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702" firstSheet="0" activeTab="7" autoFilterDateGrouping="1"/>
  </bookViews>
  <sheets>
    <sheet name="Agency" sheetId="1" state="visible" r:id="rId1"/>
    <sheet name="Calendar" sheetId="2" state="visible" r:id="rId2"/>
    <sheet name="Fare_Attributes" sheetId="3" state="visible" r:id="rId3"/>
    <sheet name="Fare_Rules" sheetId="4" state="visible" r:id="rId4"/>
    <sheet name="Frequences" sheetId="5" state="visible" r:id="rId5"/>
    <sheet name="Routes" sheetId="6" state="visible" r:id="rId6"/>
    <sheet name="Shapes" sheetId="7" state="visible" r:id="rId7"/>
    <sheet name="Stop_Times" sheetId="8" state="visible" r:id="rId8"/>
    <sheet name="Stops" sheetId="9" state="visible" r:id="rId9"/>
    <sheet name="Trip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_-&quot;R$&quot;\ * #,##0.00_-;\-&quot;R$&quot;\ * #,##0.00_-;_-&quot;R$&quot;\ * &quot;-&quot;??_-;_-@_-"/>
    <numFmt numFmtId="165" formatCode="yyyy\-mm\-d"/>
    <numFmt numFmtId="166" formatCode="0.000000"/>
    <numFmt numFmtId="167" formatCode="[$-F400]h:mm:ss\ AM/PM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16">
    <fill>
      <patternFill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"/>
        <bgColor theme="6" tint="0.5999938962981048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"/>
        <bgColor theme="5" tint="0.5999938962981048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"/>
        <bgColor theme="7" tint="0.5999938962981048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8"/>
        <bgColor theme="8"/>
      </patternFill>
    </fill>
  </fills>
  <borders count="1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</borders>
  <cellStyleXfs count="3">
    <xf numFmtId="0" fontId="1" fillId="0" borderId="0"/>
    <xf numFmtId="44" fontId="1" fillId="0" borderId="0"/>
    <xf numFmtId="0" fontId="4" fillId="0" borderId="0"/>
  </cellStyleXfs>
  <cellXfs count="59">
    <xf numFmtId="0" fontId="0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4" fillId="3" borderId="3" pivotButton="0" quotePrefix="0" xfId="2"/>
    <xf numFmtId="0" fontId="3" fillId="0" borderId="0" pivotButton="0" quotePrefix="0" xfId="0"/>
    <xf numFmtId="14" fontId="0" fillId="0" borderId="0" pivotButton="0" quotePrefix="0" xfId="0"/>
    <xf numFmtId="164" fontId="0" fillId="0" borderId="0" pivotButton="0" quotePrefix="0" xfId="1"/>
    <xf numFmtId="0" fontId="2" fillId="7" borderId="4" pivotButton="0" quotePrefix="0" xfId="0"/>
    <xf numFmtId="0" fontId="2" fillId="7" borderId="5" pivotButton="0" quotePrefix="0" xfId="0"/>
    <xf numFmtId="0" fontId="2" fillId="7" borderId="6" pivotButton="0" quotePrefix="0" xfId="0"/>
    <xf numFmtId="0" fontId="0" fillId="8" borderId="7" pivotButton="0" quotePrefix="0" xfId="0"/>
    <xf numFmtId="0" fontId="0" fillId="8" borderId="8" pivotButton="0" quotePrefix="0" xfId="0"/>
    <xf numFmtId="0" fontId="0" fillId="8" borderId="9" pivotButton="0" quotePrefix="0" xfId="0"/>
    <xf numFmtId="0" fontId="0" fillId="9" borderId="7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9" borderId="10" pivotButton="0" quotePrefix="0" xfId="0"/>
    <xf numFmtId="0" fontId="0" fillId="9" borderId="11" pivotButton="0" quotePrefix="0" xfId="0"/>
    <xf numFmtId="0" fontId="0" fillId="9" borderId="12" pivotButton="0" quotePrefix="0" xfId="0"/>
    <xf numFmtId="0" fontId="2" fillId="4" borderId="4" pivotButton="0" quotePrefix="0" xfId="0"/>
    <xf numFmtId="0" fontId="2" fillId="4" borderId="5" pivotButton="0" quotePrefix="0" xfId="0"/>
    <xf numFmtId="0" fontId="2" fillId="4" borderId="6" pivotButton="0" quotePrefix="0" xfId="0"/>
    <xf numFmtId="165" fontId="0" fillId="5" borderId="7" applyAlignment="1" pivotButton="0" quotePrefix="0" xfId="0">
      <alignment horizontal="left"/>
    </xf>
    <xf numFmtId="21" fontId="0" fillId="5" borderId="8" pivotButton="0" quotePrefix="0" xfId="0"/>
    <xf numFmtId="0" fontId="0" fillId="5" borderId="9" pivotButton="0" quotePrefix="0" xfId="0"/>
    <xf numFmtId="165" fontId="0" fillId="6" borderId="7" applyAlignment="1" pivotButton="0" quotePrefix="0" xfId="0">
      <alignment horizontal="left"/>
    </xf>
    <xf numFmtId="21" fontId="0" fillId="6" borderId="8" pivotButton="0" quotePrefix="0" xfId="0"/>
    <xf numFmtId="0" fontId="0" fillId="6" borderId="9" pivotButton="0" quotePrefix="0" xfId="0"/>
    <xf numFmtId="21" fontId="0" fillId="6" borderId="11" pivotButton="0" quotePrefix="0" xfId="0"/>
    <xf numFmtId="0" fontId="0" fillId="6" borderId="12" pivotButton="0" quotePrefix="0" xfId="0"/>
    <xf numFmtId="0" fontId="0" fillId="11" borderId="13" pivotButton="0" quotePrefix="0" xfId="0"/>
    <xf numFmtId="0" fontId="0" fillId="0" borderId="13" pivotButton="0" quotePrefix="0" xfId="0"/>
    <xf numFmtId="0" fontId="2" fillId="10" borderId="14" pivotButton="0" quotePrefix="0" xfId="0"/>
    <xf numFmtId="0" fontId="0" fillId="11" borderId="15" pivotButton="0" quotePrefix="0" xfId="0"/>
    <xf numFmtId="0" fontId="2" fillId="12" borderId="4" pivotButton="0" quotePrefix="0" xfId="0"/>
    <xf numFmtId="0" fontId="2" fillId="12" borderId="5" pivotButton="0" quotePrefix="0" xfId="0"/>
    <xf numFmtId="0" fontId="2" fillId="12" borderId="6" pivotButton="0" quotePrefix="0" xfId="0"/>
    <xf numFmtId="0" fontId="0" fillId="13" borderId="7" pivotButton="0" quotePrefix="0" xfId="0"/>
    <xf numFmtId="0" fontId="0" fillId="13" borderId="8" pivotButton="0" quotePrefix="0" xfId="0"/>
    <xf numFmtId="0" fontId="0" fillId="13" borderId="9" pivotButton="0" quotePrefix="0" xfId="0"/>
    <xf numFmtId="0" fontId="0" fillId="14" borderId="7" pivotButton="0" quotePrefix="0" xfId="0"/>
    <xf numFmtId="0" fontId="0" fillId="14" borderId="8" pivotButton="0" quotePrefix="0" xfId="0"/>
    <xf numFmtId="0" fontId="0" fillId="14" borderId="9" pivotButton="0" quotePrefix="0" xfId="0"/>
    <xf numFmtId="0" fontId="0" fillId="14" borderId="10" pivotButton="0" quotePrefix="0" xfId="0"/>
    <xf numFmtId="0" fontId="0" fillId="14" borderId="11" pivotButton="0" quotePrefix="0" xfId="0"/>
    <xf numFmtId="0" fontId="0" fillId="14" borderId="12" pivotButton="0" quotePrefix="0" xfId="0"/>
    <xf numFmtId="0" fontId="2" fillId="15" borderId="4" pivotButton="0" quotePrefix="0" xfId="0"/>
    <xf numFmtId="0" fontId="2" fillId="15" borderId="5" pivotButton="0" quotePrefix="0" xfId="0"/>
    <xf numFmtId="0" fontId="2" fillId="15" borderId="6" pivotButton="0" quotePrefix="0" xfId="0"/>
    <xf numFmtId="166" fontId="0" fillId="0" borderId="0" pivotButton="0" quotePrefix="0" xfId="0"/>
    <xf numFmtId="165" fontId="0" fillId="6" borderId="10" applyAlignment="1" pivotButton="0" quotePrefix="0" xfId="0">
      <alignment horizontal="left"/>
    </xf>
    <xf numFmtId="167" fontId="0" fillId="0" borderId="0" pivotButton="0" quotePrefix="0" xfId="0"/>
    <xf numFmtId="164" fontId="0" fillId="0" borderId="0" pivotButton="0" quotePrefix="0" xfId="1"/>
    <xf numFmtId="165" fontId="0" fillId="5" borderId="7" applyAlignment="1" pivotButton="0" quotePrefix="0" xfId="0">
      <alignment horizontal="left"/>
    </xf>
    <xf numFmtId="165" fontId="0" fillId="6" borderId="7" applyAlignment="1" pivotButton="0" quotePrefix="0" xfId="0">
      <alignment horizontal="left"/>
    </xf>
    <xf numFmtId="165" fontId="0" fillId="6" borderId="10" applyAlignment="1" pivotButton="0" quotePrefix="0" xfId="0">
      <alignment horizontal="left"/>
    </xf>
    <xf numFmtId="166" fontId="0" fillId="0" borderId="0" pivotButton="0" quotePrefix="0" xfId="0"/>
  </cellXfs>
  <cellStyles count="3">
    <cellStyle name="Normal" xfId="0" builtinId="0"/>
    <cellStyle name="Moeda" xfId="1" builtinId="4"/>
    <cellStyle name="Hiperlink" xfId="2" builtinId="8"/>
  </cellStyles>
  <dxfs count="59">
    <dxf>
      <numFmt numFmtId="167" formatCode="[$-F400]h:mm:ss\ AM/PM"/>
    </dxf>
    <dxf>
      <numFmt numFmtId="167" formatCode="[$-F400]h:mm:ss\ AM/PM"/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right style="thin">
          <color theme="9" tint="0.3999755851924192"/>
        </right>
        <top style="thin">
          <color theme="9" tint="0.3999755851924192"/>
        </top>
        <bottom style="thin">
          <color theme="9" tint="0.3999755851924192"/>
        </bottom>
      </border>
    </dxf>
    <dxf>
      <fill>
        <patternFill patternType="solid">
          <fgColor theme="9" tint="0.7999816888943144"/>
          <bgColor theme="9" tint="0.7999816888943144"/>
        </patternFill>
      </fill>
    </dxf>
    <dxf>
      <border outline="0">
        <bottom style="thin">
          <color theme="9" tint="0.3999755851924192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numFmt numFmtId="165" formatCode="0.000000"/>
    </dxf>
    <dxf>
      <numFmt numFmtId="165" formatCode="0.000000"/>
    </dxf>
    <dxf>
      <fill>
        <patternFill patternType="solid">
          <fgColor theme="7" tint="0.7999816888943144"/>
          <bgColor theme="7" tint="0.7999816888943144"/>
        </patternFill>
      </fill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7" tint="0.7999816888943144"/>
          <bgColor theme="7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7" tint="0.7999816888943144"/>
          <bgColor theme="7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7" tint="0.7999816888943144"/>
          <bgColor theme="7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7" tint="0.7999816888943144"/>
          <bgColor theme="7" tint="0.799981688894314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ill>
        <patternFill patternType="solid">
          <fgColor theme="7" tint="0.7999816888943144"/>
          <bgColor theme="7" tint="0.7999816888943144"/>
        </patternFill>
      </fill>
    </dxf>
    <dxf>
      <border outline="0">
        <bottom style="thick">
          <color theme="0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7"/>
          <bgColor theme="7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26" formatCode="hh:mm:ss"/>
      <fill>
        <patternFill patternType="solid">
          <fgColor theme="4" tint="0.7999816888943144"/>
          <bgColor theme="4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26" formatCode="hh:mm:ss"/>
      <fill>
        <patternFill patternType="solid">
          <fgColor theme="4" tint="0.7999816888943144"/>
          <bgColor theme="4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yyyy\-mm\-d"/>
      <fill>
        <patternFill patternType="solid">
          <fgColor theme="4" tint="0.7999816888943144"/>
          <bgColor theme="4" tint="0.7999816888943144"/>
        </patternFill>
      </fill>
      <alignment horizontal="left" vertical="bottom"/>
      <border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5" tint="0.7999816888943144"/>
          <bgColor theme="5" tint="0.7999816888943144"/>
        </patternFill>
      </fill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5" tint="0.7999816888943144"/>
          <bgColor theme="5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5" tint="0.7999816888943144"/>
          <bgColor theme="5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5" tint="0.7999816888943144"/>
          <bgColor theme="5" tint="0.799981688894314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5" tint="0.7999816888943144"/>
          <bgColor theme="5" tint="0.799981688894314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ill>
        <patternFill patternType="solid">
          <fgColor theme="5" tint="0.7999816888943144"/>
          <bgColor theme="5" tint="0.7999816888943144"/>
        </patternFill>
      </fill>
    </dxf>
    <dxf>
      <border outline="0">
        <bottom style="thick">
          <color theme="0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5"/>
          <bgColor theme="5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numFmt numFmtId="3" formatCode="#,##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9" formatCode="dd/mm/yyyy"/>
    </dxf>
    <dxf>
      <numFmt numFmtId="19" formatCode="dd/mm/yyyy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5999938962981048"/>
          <bgColor theme="6" tint="0.5999938962981048"/>
        </patternFill>
      </fill>
      <border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5999938962981048"/>
          <bgColor theme="6" tint="0.5999938962981048"/>
        </patternFill>
      </fill>
      <border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0"/>
        <extend val="0"/>
        <sz val="11"/>
        <u val="single"/>
        <vertAlign val="baseline"/>
        <scheme val="minor"/>
      </font>
      <fill>
        <patternFill patternType="solid">
          <fgColor theme="6" tint="0.5999938962981048"/>
          <bgColor theme="6" tint="0.5999938962981048"/>
        </patternFill>
      </fill>
      <border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5999938962981048"/>
          <bgColor theme="6" tint="0.5999938962981048"/>
        </patternFill>
      </fill>
      <border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5999938962981048"/>
          <bgColor theme="6" tint="0.5999938962981048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5999938962981048"/>
          <bgColor theme="6" tint="0.5999938962981048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6"/>
          <bgColor theme="6"/>
        </patternFill>
      </fill>
      <border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Agency" displayName="Agency" ref="A1:E2" headerRowCount="1" totalsRowShown="0" headerRowDxfId="58" dataDxfId="57">
  <autoFilter ref="A1:E2"/>
  <tableColumns count="5">
    <tableColumn id="1" name="agency_id" dataDxfId="56"/>
    <tableColumn id="2" name="agency_name" dataDxfId="55"/>
    <tableColumn id="3" name="agency_url" dataDxfId="54" dataCellStyle="Hiperlink"/>
    <tableColumn id="4" name="agency_timezone" dataDxfId="53"/>
    <tableColumn id="5" name="agency_lang" dataDxfId="52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calendar" displayName="calendar" ref="A1:J7" headerRowCount="1" totalsRowShown="0" headerRowDxfId="51">
  <autoFilter ref="A1:J7"/>
  <tableColumns count="10">
    <tableColumn id="1" name="service_id"/>
    <tableColumn id="2" name="monday"/>
    <tableColumn id="3" name="tuesday"/>
    <tableColumn id="4" name="wednesday"/>
    <tableColumn id="5" name="thursday"/>
    <tableColumn id="6" name="friday"/>
    <tableColumn id="7" name="saturday "/>
    <tableColumn id="8" name="sunday"/>
    <tableColumn id="9" name="start_date" dataDxfId="50"/>
    <tableColumn id="10" name="end_date" dataDxfId="49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3" name="Fare_attributes" displayName="Fare_attributes" ref="A1:F7" headerRowCount="1" totalsRowShown="0" headerRowDxfId="48">
  <autoFilter ref="A1:F7"/>
  <tableColumns count="6">
    <tableColumn id="1" name="fare_id"/>
    <tableColumn id="2" name="price" dataDxfId="47"/>
    <tableColumn id="3" name="currency_type"/>
    <tableColumn id="4" name="payment_method"/>
    <tableColumn id="5" name="transfers"/>
    <tableColumn id="6" name="transfer_dur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Fare_rules" displayName="Fare_rules" ref="A1:E105" headerRowCount="1" totalsRowShown="0" headerRowDxfId="46" dataDxfId="44" headerRowBorderDxfId="45" tableBorderDxfId="43" totalsRowBorderDxfId="42">
  <autoFilter ref="A1:E105"/>
  <sortState ref="A2:E105">
    <sortCondition ref="A1:A105"/>
  </sortState>
  <tableColumns count="5">
    <tableColumn id="1" name="fare_id" dataDxfId="41"/>
    <tableColumn id="2" name="route_id" dataDxfId="40"/>
    <tableColumn id="3" name="origin_id" dataDxfId="39"/>
    <tableColumn id="4" name="destination_id" dataDxfId="38"/>
    <tableColumn id="5" name="contains_id" dataDxfId="37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Frequences" displayName="Frequences" ref="A1:D1115" headerRowCount="1" totalsRowShown="0" headerRowDxfId="36" headerRowBorderDxfId="35" tableBorderDxfId="34" totalsRowBorderDxfId="33">
  <autoFilter ref="A1:D1115"/>
  <sortState ref="A2:D1115">
    <sortCondition ref="A1:A1115"/>
  </sortState>
  <tableColumns count="4">
    <tableColumn id="1" name="trip_id" dataDxfId="32"/>
    <tableColumn id="2" name="start_time" dataDxfId="31"/>
    <tableColumn id="3" name="end_time" dataDxfId="30"/>
    <tableColumn id="4" name="headway_secs" dataDxfId="2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Routes" displayName="Routes" ref="A1:G31" headerRowCount="1" totalsRowShown="0">
  <autoFilter ref="A1:G31"/>
  <tableColumns count="7">
    <tableColumn id="1" name="route_id"/>
    <tableColumn id="2" name="agency_id"/>
    <tableColumn id="3" name="route_short_name"/>
    <tableColumn id="4" name="route_long_name"/>
    <tableColumn id="5" name="route_type"/>
    <tableColumn id="6" name="route_color"/>
    <tableColumn id="7" name="route_text_color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id="7" name="Strips" displayName="Strips" ref="A1:E25413" headerRowCount="1" totalsRowShown="0" headerRowDxfId="28" dataDxfId="26" headerRowBorderDxfId="27" tableBorderDxfId="25" totalsRowBorderDxfId="24">
  <autoFilter ref="A1:E25413"/>
  <sortState ref="A2:E25413">
    <sortCondition ref="A1:A25413"/>
  </sortState>
  <tableColumns count="5">
    <tableColumn id="1" name="shape_id" dataDxfId="23"/>
    <tableColumn id="2" name="shape_pt_lat" dataDxfId="22"/>
    <tableColumn id="3" name="shape_pt_lon" dataDxfId="21"/>
    <tableColumn id="4" name="shape_pt_sequence" dataDxfId="20"/>
    <tableColumn id="5" name="shape_dist_traveled" dataDxfId="19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id="8" name="Stop_Times" displayName="Stop_Times" ref="A1:E2077" headerRowCount="1" totalsRowShown="0" headerRowDxfId="5" headerRowBorderDxfId="3" tableBorderDxfId="4" totalsRowBorderDxfId="2" headerRowCellStyle="20% - Ênfase5">
  <autoFilter ref="A1:E2077"/>
  <sortState ref="A2:E2077">
    <sortCondition ref="A1:A2077"/>
  </sortState>
  <tableColumns count="5">
    <tableColumn id="1" name="trip_id"/>
    <tableColumn id="2" name="arrival_time" dataDxfId="1"/>
    <tableColumn id="3" name="departure_time" dataDxfId="0"/>
    <tableColumn id="4" name="stop_id"/>
    <tableColumn id="5" name="stop_sequence"/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id="9" name="Stops" displayName="Stops" ref="A1:E1449" headerRowCount="1" totalsRowShown="0">
  <autoFilter ref="A1:E1449"/>
  <sortState ref="A2:E1449">
    <sortCondition ref="A1:A1449"/>
  </sortState>
  <tableColumns count="5">
    <tableColumn id="1" name="stop_id"/>
    <tableColumn id="2" name="stop_name"/>
    <tableColumn id="3" name="stop_desc"/>
    <tableColumn id="4" name="stop_lat" dataDxfId="18"/>
    <tableColumn id="5" name="stop_lon" dataDxfId="1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Trip" displayName="Trip" ref="A1:F60" headerRowCount="1" totalsRowShown="0" headerRowDxfId="16" dataDxfId="14" headerRowBorderDxfId="15" tableBorderDxfId="13" totalsRowBorderDxfId="12">
  <autoFilter ref="A1:F60"/>
  <sortState ref="A2:F60">
    <sortCondition ref="A1:A60"/>
  </sortState>
  <tableColumns count="6">
    <tableColumn id="7" name="trip_id" dataDxfId="11"/>
    <tableColumn id="1" name="route_id" dataDxfId="10"/>
    <tableColumn id="2" name="service_id" dataDxfId="9"/>
    <tableColumn id="4" name="trip_headsign" dataDxfId="8"/>
    <tableColumn id="5" name="direction_id" dataDxfId="7"/>
    <tableColumn id="6" name="shape_id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sptrans.com.br/?versao=071026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B9" sqref="B9"/>
    </sheetView>
  </sheetViews>
  <sheetFormatPr baseColWidth="8" defaultRowHeight="15"/>
  <cols>
    <col width="12.140625" bestFit="1" customWidth="1" min="1" max="1"/>
    <col width="15.5703125" bestFit="1" customWidth="1" min="2" max="2"/>
    <col width="40.42578125" bestFit="1" customWidth="1" min="3" max="3"/>
    <col width="19" bestFit="1" customWidth="1" min="4" max="4"/>
    <col width="14.140625" bestFit="1" customWidth="1" min="5" max="5"/>
  </cols>
  <sheetData>
    <row r="1" ht="15.75" customHeight="1" thickBot="1">
      <c r="A1" s="1" t="inlineStr">
        <is>
          <t>agency_id</t>
        </is>
      </c>
      <c r="B1" s="2" t="inlineStr">
        <is>
          <t>agency_name</t>
        </is>
      </c>
      <c r="C1" s="2" t="inlineStr">
        <is>
          <t>agency_url</t>
        </is>
      </c>
      <c r="D1" s="2" t="inlineStr">
        <is>
          <t>agency_timezone</t>
        </is>
      </c>
      <c r="E1" s="2" t="inlineStr">
        <is>
          <t>agency_lang</t>
        </is>
      </c>
    </row>
    <row r="2" ht="15.75" customHeight="1" thickTop="1">
      <c r="A2" s="3" t="n">
        <v>1</v>
      </c>
      <c r="B2" s="4" t="inlineStr">
        <is>
          <t>SPTRANS</t>
        </is>
      </c>
      <c r="C2" s="5" t="inlineStr">
        <is>
          <t>http://www.sptrans.com.br/?versao=071026</t>
        </is>
      </c>
      <c r="D2" s="4" t="inlineStr">
        <is>
          <t>America/Sao_Paulo</t>
        </is>
      </c>
      <c r="E2" s="4" t="inlineStr">
        <is>
          <t>pt</t>
        </is>
      </c>
    </row>
  </sheetData>
  <hyperlinks>
    <hyperlink xmlns:r="http://schemas.openxmlformats.org/officeDocument/2006/relationships" ref="C2" r:id="rId1"/>
  </hyperlinks>
  <pageMargins left="0.511811024" right="0.511811024" top="0.787401575" bottom="0.787401575" header="0.31496062" footer="0.31496062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F15" sqref="F15"/>
    </sheetView>
  </sheetViews>
  <sheetFormatPr baseColWidth="8" defaultRowHeight="15"/>
  <cols>
    <col width="9.7109375" bestFit="1" customWidth="1" min="8" max="8"/>
    <col width="12.28515625" bestFit="1" customWidth="1" min="9" max="9"/>
    <col width="11.5703125" bestFit="1" customWidth="1" min="10" max="10"/>
  </cols>
  <sheetData>
    <row r="1">
      <c r="A1" s="6" t="inlineStr">
        <is>
          <t>service_id</t>
        </is>
      </c>
      <c r="B1" s="6" t="inlineStr">
        <is>
          <t>monday</t>
        </is>
      </c>
      <c r="C1" s="6" t="inlineStr">
        <is>
          <t>tuesday</t>
        </is>
      </c>
      <c r="D1" s="6" t="inlineStr">
        <is>
          <t>wednesday</t>
        </is>
      </c>
      <c r="E1" s="6" t="inlineStr">
        <is>
          <t>thursday</t>
        </is>
      </c>
      <c r="F1" s="6" t="inlineStr">
        <is>
          <t>friday</t>
        </is>
      </c>
      <c r="G1" s="6" t="inlineStr">
        <is>
          <t xml:space="preserve">saturday </t>
        </is>
      </c>
      <c r="H1" s="6" t="inlineStr">
        <is>
          <t>sunday</t>
        </is>
      </c>
      <c r="I1" s="6" t="inlineStr">
        <is>
          <t>start_date</t>
        </is>
      </c>
      <c r="J1" s="6" t="inlineStr">
        <is>
          <t>end_date</t>
        </is>
      </c>
    </row>
    <row r="2">
      <c r="A2" t="inlineStr">
        <is>
          <t>USD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s="7" t="n">
        <v>45200</v>
      </c>
      <c r="J2" s="7" t="n">
        <v>46508</v>
      </c>
    </row>
    <row r="3">
      <c r="A3" t="inlineStr">
        <is>
          <t>U__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s="7" t="n">
        <v>45200</v>
      </c>
      <c r="J3" s="7" t="n">
        <v>46508</v>
      </c>
    </row>
    <row r="4">
      <c r="A4" t="inlineStr">
        <is>
          <t>US_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s="7" t="n">
        <v>45200</v>
      </c>
      <c r="J4" s="7" t="n">
        <v>46508</v>
      </c>
    </row>
    <row r="5">
      <c r="A5" t="inlineStr">
        <is>
          <t>_SD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s="7" t="n">
        <v>45200</v>
      </c>
      <c r="J5" s="7" t="n">
        <v>46508</v>
      </c>
    </row>
    <row r="6">
      <c r="A6" t="inlineStr">
        <is>
          <t>__D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s="7" t="n">
        <v>45200</v>
      </c>
      <c r="J6" s="7" t="n">
        <v>46508</v>
      </c>
    </row>
    <row r="7">
      <c r="A7" t="inlineStr">
        <is>
          <t>_S_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s="7" t="n">
        <v>45200</v>
      </c>
      <c r="J7" s="7" t="n">
        <v>46508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2" sqref="A2"/>
    </sheetView>
  </sheetViews>
  <sheetFormatPr baseColWidth="8" defaultRowHeight="15"/>
  <cols>
    <col width="21.42578125" bestFit="1" customWidth="1" min="1" max="1"/>
    <col width="9.5703125" bestFit="1" customWidth="1" min="2" max="2"/>
    <col width="16.140625" bestFit="1" customWidth="1" min="3" max="3"/>
    <col width="19.140625" bestFit="1" customWidth="1" min="4" max="4"/>
    <col width="11.42578125" bestFit="1" customWidth="1" min="5" max="5"/>
    <col width="19" bestFit="1" customWidth="1" min="6" max="6"/>
  </cols>
  <sheetData>
    <row r="1">
      <c r="A1" s="6" t="inlineStr">
        <is>
          <t>fare_id</t>
        </is>
      </c>
      <c r="B1" s="6" t="inlineStr">
        <is>
          <t>price</t>
        </is>
      </c>
      <c r="C1" s="6" t="inlineStr">
        <is>
          <t>currency_type</t>
        </is>
      </c>
      <c r="D1" s="6" t="inlineStr">
        <is>
          <t>payment_method</t>
        </is>
      </c>
      <c r="E1" s="6" t="inlineStr">
        <is>
          <t>transfers</t>
        </is>
      </c>
      <c r="F1" s="6" t="inlineStr">
        <is>
          <t>transfer_duration</t>
        </is>
      </c>
    </row>
    <row r="2">
      <c r="A2" t="inlineStr">
        <is>
          <t>CPTM</t>
        </is>
      </c>
      <c r="B2" s="54" t="n">
        <v>5.4</v>
      </c>
      <c r="C2" t="inlineStr">
        <is>
          <t>BRL</t>
        </is>
      </c>
      <c r="D2" t="n">
        <v>0</v>
      </c>
      <c r="F2" t="n">
        <v>10800</v>
      </c>
    </row>
    <row r="3">
      <c r="A3" t="inlineStr">
        <is>
          <t>Metrô</t>
        </is>
      </c>
      <c r="B3" s="54" t="n">
        <v>5.4</v>
      </c>
      <c r="C3" t="inlineStr">
        <is>
          <t>BRL</t>
        </is>
      </c>
      <c r="D3" t="n">
        <v>0</v>
      </c>
      <c r="F3" t="n">
        <v>10800</v>
      </c>
    </row>
    <row r="4">
      <c r="A4" t="inlineStr">
        <is>
          <t>Ônibus</t>
        </is>
      </c>
      <c r="B4" s="54" t="n">
        <v>5.3</v>
      </c>
      <c r="C4" t="inlineStr">
        <is>
          <t>BRL</t>
        </is>
      </c>
      <c r="D4" t="n">
        <v>0</v>
      </c>
      <c r="F4" t="n">
        <v>10800</v>
      </c>
    </row>
    <row r="5">
      <c r="A5" t="inlineStr">
        <is>
          <t>Ônibus + CPTM</t>
        </is>
      </c>
      <c r="B5" s="54" t="n">
        <v>9.380000000000001</v>
      </c>
      <c r="C5" t="inlineStr">
        <is>
          <t>BRL</t>
        </is>
      </c>
      <c r="D5" t="n">
        <v>0</v>
      </c>
      <c r="F5" t="n">
        <v>10800</v>
      </c>
    </row>
    <row r="6">
      <c r="A6" t="inlineStr">
        <is>
          <t>Ônibus + Metrô</t>
        </is>
      </c>
      <c r="B6" s="54" t="n">
        <v>9.380000000000001</v>
      </c>
      <c r="C6" t="inlineStr">
        <is>
          <t>BRL</t>
        </is>
      </c>
      <c r="D6" t="n">
        <v>0</v>
      </c>
      <c r="F6" t="n">
        <v>10800</v>
      </c>
    </row>
    <row r="7">
      <c r="A7" t="inlineStr">
        <is>
          <t>Ônibus + Metrô + CPTM</t>
        </is>
      </c>
      <c r="B7" s="54" t="n">
        <v>14.68</v>
      </c>
      <c r="C7" t="inlineStr">
        <is>
          <t>BRL</t>
        </is>
      </c>
      <c r="D7" t="n">
        <v>0</v>
      </c>
      <c r="F7" t="n">
        <v>10800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2" sqref="A2"/>
    </sheetView>
  </sheetViews>
  <sheetFormatPr baseColWidth="8" defaultRowHeight="15"/>
  <cols>
    <col width="21.42578125" bestFit="1" customWidth="1" min="1" max="1"/>
    <col width="10.85546875" bestFit="1" customWidth="1" min="2" max="2"/>
    <col width="10.85546875" customWidth="1" min="3" max="3"/>
    <col width="16" customWidth="1" min="4" max="4"/>
    <col width="13.42578125" customWidth="1" min="5" max="5"/>
  </cols>
  <sheetData>
    <row r="1" ht="15.75" customHeight="1" thickBot="1">
      <c r="A1" s="9" t="inlineStr">
        <is>
          <t>fare_id</t>
        </is>
      </c>
      <c r="B1" s="10" t="inlineStr">
        <is>
          <t>route_id</t>
        </is>
      </c>
      <c r="C1" s="10" t="inlineStr">
        <is>
          <t>origin_id</t>
        </is>
      </c>
      <c r="D1" s="10" t="inlineStr">
        <is>
          <t>destination_id</t>
        </is>
      </c>
      <c r="E1" s="11" t="inlineStr">
        <is>
          <t>contains_id</t>
        </is>
      </c>
    </row>
    <row r="2" ht="15.75" customHeight="1" thickTop="1">
      <c r="A2" s="12">
        <f>_xlfn.XLOOKUP("CPTM",Fare_attributes[fare_id],Fare_attributes[fare_id],"Não encontrado")</f>
        <v/>
      </c>
      <c r="B2" s="13">
        <f>_xlfn.XLOOKUP("CPTM L07",Routes[route_id],Routes[route_id],"Não encontrado")</f>
        <v/>
      </c>
      <c r="C2" s="13" t="n"/>
      <c r="D2" s="13" t="n"/>
      <c r="E2" s="14" t="n"/>
    </row>
    <row r="3">
      <c r="A3" s="15">
        <f>_xlfn.XLOOKUP("CPTM",Fare_attributes[fare_id],Fare_attributes[fare_id],"Não encontrado")</f>
        <v/>
      </c>
      <c r="B3" s="16">
        <f>_xlfn.XLOOKUP("CPTM L08",Routes[route_id],Routes[route_id],"Não encontrado")</f>
        <v/>
      </c>
      <c r="C3" s="16" t="n"/>
      <c r="D3" s="16" t="n"/>
      <c r="E3" s="17" t="n"/>
    </row>
    <row r="4">
      <c r="A4" s="12">
        <f>_xlfn.XLOOKUP("CPTM",Fare_attributes[fare_id],Fare_attributes[fare_id],"Não encontrado")</f>
        <v/>
      </c>
      <c r="B4" s="13">
        <f>_xlfn.XLOOKUP("CPTM L09",Routes[route_id],Routes[route_id],"Não encontrado")</f>
        <v/>
      </c>
      <c r="C4" s="13" t="n"/>
      <c r="D4" s="13" t="n"/>
      <c r="E4" s="14" t="n"/>
    </row>
    <row r="5">
      <c r="A5" s="15">
        <f>_xlfn.XLOOKUP("CPTM",Fare_attributes[fare_id],Fare_attributes[fare_id],"Não encontrado")</f>
        <v/>
      </c>
      <c r="B5" s="16">
        <f>_xlfn.XLOOKUP("CPTM L10",Routes[route_id],Routes[route_id],"Não encontrado")</f>
        <v/>
      </c>
      <c r="C5" s="16" t="n"/>
      <c r="D5" s="16" t="n"/>
      <c r="E5" s="17" t="n"/>
    </row>
    <row r="6">
      <c r="A6" s="12">
        <f>_xlfn.XLOOKUP("CPTM",Fare_attributes[fare_id],Fare_attributes[fare_id],"Não encontrado")</f>
        <v/>
      </c>
      <c r="B6" s="13">
        <f>_xlfn.XLOOKUP("CPTM L11",Routes[route_id],Routes[route_id],"Não encontrado")</f>
        <v/>
      </c>
      <c r="C6" s="13" t="n"/>
      <c r="D6" s="13" t="n"/>
      <c r="E6" s="14" t="n"/>
    </row>
    <row r="7">
      <c r="A7" s="15">
        <f>_xlfn.XLOOKUP("CPTM",Fare_attributes[fare_id],Fare_attributes[fare_id],"Não encontrado")</f>
        <v/>
      </c>
      <c r="B7" s="16">
        <f>_xlfn.XLOOKUP("CPTM L12",Routes[route_id],Routes[route_id],"Não encontrado")</f>
        <v/>
      </c>
      <c r="C7" s="16" t="n"/>
      <c r="D7" s="16" t="n"/>
      <c r="E7" s="17" t="n"/>
    </row>
    <row r="8">
      <c r="A8" s="12">
        <f>_xlfn.XLOOKUP("CPTM",Fare_attributes[fare_id],Fare_attributes[fare_id],"Não encontrado")</f>
        <v/>
      </c>
      <c r="B8" s="13">
        <f>_xlfn.XLOOKUP("CPTM L13",Routes[route_id],Routes[route_id],"Não encontrado")</f>
        <v/>
      </c>
      <c r="C8" s="13" t="n"/>
      <c r="D8" s="13" t="n"/>
      <c r="E8" s="14" t="n"/>
    </row>
    <row r="9">
      <c r="A9" s="15">
        <f>_xlfn.XLOOKUP("Metrô",Fare_attributes[fare_id],Fare_attributes[fare_id],"Não encontrado")</f>
        <v/>
      </c>
      <c r="B9" s="16">
        <f>_xlfn.XLOOKUP("METRÔ 15",Routes[route_id],Routes[route_id],"Não encontrado")</f>
        <v/>
      </c>
      <c r="C9" s="16" t="n"/>
      <c r="D9" s="16" t="n"/>
      <c r="E9" s="17" t="n"/>
    </row>
    <row r="10">
      <c r="A10" s="12">
        <f>_xlfn.XLOOKUP("Metrô",Fare_attributes[fare_id],Fare_attributes[fare_id],"Não encontrado")</f>
        <v/>
      </c>
      <c r="B10" s="13">
        <f>_xlfn.XLOOKUP("METRÔ L1",Routes[route_id],Routes[route_id],"Não encontrado")</f>
        <v/>
      </c>
      <c r="C10" s="13" t="n"/>
      <c r="D10" s="13" t="n"/>
      <c r="E10" s="14" t="n"/>
    </row>
    <row r="11">
      <c r="A11" s="15">
        <f>_xlfn.XLOOKUP("Metrô",Fare_attributes[fare_id],Fare_attributes[fare_id],"Não encontrado")</f>
        <v/>
      </c>
      <c r="B11" s="16">
        <f>_xlfn.XLOOKUP("METRÔ L2",Routes[route_id],Routes[route_id],"Não encontrado")</f>
        <v/>
      </c>
      <c r="C11" s="16" t="n"/>
      <c r="D11" s="16" t="n"/>
      <c r="E11" s="17" t="n"/>
    </row>
    <row r="12">
      <c r="A12" s="12">
        <f>_xlfn.XLOOKUP("Metrô",Fare_attributes[fare_id],Fare_attributes[fare_id],"Não encontrado")</f>
        <v/>
      </c>
      <c r="B12" s="13">
        <f>_xlfn.XLOOKUP("METRÔ L3",Routes[route_id],Routes[route_id],"Não encontrado")</f>
        <v/>
      </c>
      <c r="C12" s="13" t="n"/>
      <c r="D12" s="13" t="n"/>
      <c r="E12" s="14" t="n"/>
    </row>
    <row r="13">
      <c r="A13" s="15">
        <f>_xlfn.XLOOKUP("Metrô",Fare_attributes[fare_id],Fare_attributes[fare_id],"Não encontrado")</f>
        <v/>
      </c>
      <c r="B13" s="16">
        <f>_xlfn.XLOOKUP("METRÔ L4",Routes[route_id],Routes[route_id],"Não encontrado")</f>
        <v/>
      </c>
      <c r="C13" s="16" t="n"/>
      <c r="D13" s="16" t="n"/>
      <c r="E13" s="17" t="n"/>
    </row>
    <row r="14">
      <c r="A14" s="12">
        <f>_xlfn.XLOOKUP("Metrô",Fare_attributes[fare_id],Fare_attributes[fare_id],"Não encontrado")</f>
        <v/>
      </c>
      <c r="B14" s="13">
        <f>_xlfn.XLOOKUP("METRÔ L5",Routes[route_id],Routes[route_id],"Não encontrado")</f>
        <v/>
      </c>
      <c r="C14" s="13" t="n"/>
      <c r="D14" s="13" t="n"/>
      <c r="E14" s="14" t="n"/>
    </row>
    <row r="15">
      <c r="A15" s="15">
        <f>_xlfn.XLOOKUP("Metrô",Fare_attributes[fare_id],Fare_attributes[fare_id],"Não encontrado")</f>
        <v/>
      </c>
      <c r="B15" s="16">
        <f>_xlfn.XLOOKUP("METRÔ L6",Routes[route_id],Routes[route_id],"Não encontrado")</f>
        <v/>
      </c>
      <c r="C15" s="16" t="n"/>
      <c r="D15" s="16" t="n"/>
      <c r="E15" s="17" t="n"/>
    </row>
    <row r="16">
      <c r="A16" s="12">
        <f>_xlfn.XLOOKUP("Metrô",Fare_attributes[fare_id],Fare_attributes[fare_id],"Não encontrado")</f>
        <v/>
      </c>
      <c r="B16" s="13">
        <f>_xlfn.XLOOKUP("METRÔ17A",Routes[route_id],Routes[route_id],"Não encontrado")</f>
        <v/>
      </c>
      <c r="C16" s="13" t="n"/>
      <c r="D16" s="13" t="n"/>
      <c r="E16" s="14" t="n"/>
    </row>
    <row r="17">
      <c r="A17" s="15">
        <f>_xlfn.XLOOKUP("Metrô",Fare_attributes[fare_id],Fare_attributes[fare_id],"Não encontrado")</f>
        <v/>
      </c>
      <c r="B17" s="16">
        <f>_xlfn.XLOOKUP("METRÔ17W",Routes[route_id],Routes[route_id],"Não encontrado")</f>
        <v/>
      </c>
      <c r="C17" s="16" t="n"/>
      <c r="D17" s="16" t="n"/>
      <c r="E17" s="17" t="n"/>
    </row>
    <row r="18">
      <c r="A18" s="12">
        <f>_xlfn.XLOOKUP("Ônibus",Fare_attributes[fare_id],Fare_attributes[fare_id],"Não encontrado")</f>
        <v/>
      </c>
      <c r="B18" s="13">
        <f>_xlfn.XLOOKUP("118C-10",Routes[route_id],Routes[route_id],"Não encontrado")</f>
        <v/>
      </c>
      <c r="C18" s="13" t="n"/>
      <c r="D18" s="13" t="n"/>
      <c r="E18" s="14" t="n"/>
    </row>
    <row r="19">
      <c r="A19" s="15">
        <f>_xlfn.XLOOKUP("Ônibus",Fare_attributes[fare_id],Fare_attributes[fare_id],"Não encontrado")</f>
        <v/>
      </c>
      <c r="B19" s="16">
        <f>_xlfn.XLOOKUP("175T-10",Routes[route_id],Routes[route_id],"Não encontrado")</f>
        <v/>
      </c>
      <c r="C19" s="16" t="n"/>
      <c r="D19" s="16" t="n"/>
      <c r="E19" s="17" t="n"/>
    </row>
    <row r="20">
      <c r="A20" s="12">
        <f>_xlfn.XLOOKUP("Ônibus",Fare_attributes[fare_id],Fare_attributes[fare_id],"Não encontrado")</f>
        <v/>
      </c>
      <c r="B20" s="13">
        <f>_xlfn.XLOOKUP("272N-10",Routes[route_id],Routes[route_id],"Não encontrado")</f>
        <v/>
      </c>
      <c r="C20" s="13" t="n"/>
      <c r="D20" s="13" t="n"/>
      <c r="E20" s="14" t="n"/>
    </row>
    <row r="21">
      <c r="A21" s="15">
        <f>_xlfn.XLOOKUP("Ônibus",Fare_attributes[fare_id],Fare_attributes[fare_id],"Não encontrado")</f>
        <v/>
      </c>
      <c r="B21" s="16">
        <f>_xlfn.XLOOKUP("3029-10",Routes[route_id],Routes[route_id],"Não encontrado")</f>
        <v/>
      </c>
      <c r="C21" s="16" t="n"/>
      <c r="D21" s="16" t="n"/>
      <c r="E21" s="17" t="n"/>
    </row>
    <row r="22">
      <c r="A22" s="12">
        <f>_xlfn.XLOOKUP("Ônibus",Fare_attributes[fare_id],Fare_attributes[fare_id],"Não encontrado")</f>
        <v/>
      </c>
      <c r="B22" s="13">
        <f>_xlfn.XLOOKUP("311C-10",Routes[route_id],Routes[route_id],"Não encontrado")</f>
        <v/>
      </c>
      <c r="C22" s="13" t="n"/>
      <c r="D22" s="13" t="n"/>
      <c r="E22" s="14" t="n"/>
    </row>
    <row r="23">
      <c r="A23" s="15">
        <f>_xlfn.XLOOKUP("Ônibus",Fare_attributes[fare_id],Fare_attributes[fare_id],"Não encontrado")</f>
        <v/>
      </c>
      <c r="B23" s="16">
        <f>_xlfn.XLOOKUP("351F-10",Routes[route_id],Routes[route_id],"Não encontrado")</f>
        <v/>
      </c>
      <c r="C23" s="16" t="n"/>
      <c r="D23" s="16" t="n"/>
      <c r="E23" s="17" t="n"/>
    </row>
    <row r="24">
      <c r="A24" s="12">
        <f>_xlfn.XLOOKUP("Ônibus",Fare_attributes[fare_id],Fare_attributes[fare_id],"Não encontrado")</f>
        <v/>
      </c>
      <c r="B24" s="13">
        <f>_xlfn.XLOOKUP("372U-10",Routes[route_id],Routes[route_id],"Não encontrado")</f>
        <v/>
      </c>
      <c r="C24" s="13" t="n"/>
      <c r="D24" s="13" t="n"/>
      <c r="E24" s="14" t="n"/>
    </row>
    <row r="25">
      <c r="A25" s="15">
        <f>_xlfn.XLOOKUP("Ônibus",Fare_attributes[fare_id],Fare_attributes[fare_id],"Não encontrado")</f>
        <v/>
      </c>
      <c r="B25" s="16">
        <f>_xlfn.XLOOKUP("373M-10",Routes[route_id],Routes[route_id],"Não encontrado")</f>
        <v/>
      </c>
      <c r="C25" s="16" t="n"/>
      <c r="D25" s="16" t="n"/>
      <c r="E25" s="17" t="n"/>
    </row>
    <row r="26">
      <c r="A26" s="12">
        <f>_xlfn.XLOOKUP("Ônibus",Fare_attributes[fare_id],Fare_attributes[fare_id],"Não encontrado")</f>
        <v/>
      </c>
      <c r="B26" s="13">
        <f>_xlfn.XLOOKUP("373T-10",Routes[route_id],Routes[route_id],"Não encontrado")</f>
        <v/>
      </c>
      <c r="C26" s="13" t="n"/>
      <c r="D26" s="13" t="n"/>
      <c r="E26" s="14" t="n"/>
    </row>
    <row r="27">
      <c r="A27" s="15">
        <f>_xlfn.XLOOKUP("Ônibus",Fare_attributes[fare_id],Fare_attributes[fare_id],"Não encontrado")</f>
        <v/>
      </c>
      <c r="B27" s="16">
        <f>_xlfn.XLOOKUP("3762-10",Routes[route_id],Routes[route_id],"Não encontrado")</f>
        <v/>
      </c>
      <c r="C27" s="16" t="n"/>
      <c r="D27" s="16" t="n"/>
      <c r="E27" s="17" t="n"/>
    </row>
    <row r="28">
      <c r="A28" s="12">
        <f>_xlfn.XLOOKUP("Ônibus",Fare_attributes[fare_id],Fare_attributes[fare_id],"Não encontrado")</f>
        <v/>
      </c>
      <c r="B28" s="13">
        <f>_xlfn.XLOOKUP("3763-10",Routes[route_id],Routes[route_id],"Não encontrado")</f>
        <v/>
      </c>
      <c r="C28" s="13" t="n"/>
      <c r="D28" s="13" t="n"/>
      <c r="E28" s="14" t="n"/>
    </row>
    <row r="29">
      <c r="A29" s="15">
        <f>_xlfn.XLOOKUP("Ônibus",Fare_attributes[fare_id],Fare_attributes[fare_id],"Não encontrado")</f>
        <v/>
      </c>
      <c r="B29" s="16">
        <f>_xlfn.XLOOKUP("407F-10",Routes[route_id],Routes[route_id],"Não encontrado")</f>
        <v/>
      </c>
      <c r="C29" s="16" t="n"/>
      <c r="D29" s="16" t="n"/>
      <c r="E29" s="17" t="n"/>
    </row>
    <row r="30">
      <c r="A30" s="12">
        <f>_xlfn.XLOOKUP("Ônibus",Fare_attributes[fare_id],Fare_attributes[fare_id],"Não encontrado")</f>
        <v/>
      </c>
      <c r="B30" s="13">
        <f>_xlfn.XLOOKUP("4313-10",Routes[route_id],Routes[route_id],"Não encontrado")</f>
        <v/>
      </c>
      <c r="C30" s="13" t="n"/>
      <c r="D30" s="13" t="n"/>
      <c r="E30" s="14" t="n"/>
    </row>
    <row r="31">
      <c r="A31" s="15">
        <f>_xlfn.XLOOKUP("Ônibus",Fare_attributes[fare_id],Fare_attributes[fare_id],"Não encontrado")</f>
        <v/>
      </c>
      <c r="B31" s="16">
        <f>_xlfn.XLOOKUP("574W-10",Routes[route_id],Routes[route_id],"Não encontrado")</f>
        <v/>
      </c>
      <c r="C31" s="16" t="n"/>
      <c r="D31" s="16" t="n"/>
      <c r="E31" s="17" t="n"/>
    </row>
    <row r="32">
      <c r="A32" s="12">
        <f>_xlfn.XLOOKUP("Ônibus + CPTM",Fare_attributes[fare_id],Fare_attributes[fare_id],"Não encontrado")</f>
        <v/>
      </c>
      <c r="B32" s="13">
        <f>_xlfn.XLOOKUP("118C-10",Routes[route_id],Routes[route_id],"Não encontrado")</f>
        <v/>
      </c>
      <c r="C32" s="13" t="n"/>
      <c r="D32" s="13" t="n"/>
      <c r="E32" s="14" t="n"/>
    </row>
    <row r="33">
      <c r="A33" s="15">
        <f>_xlfn.XLOOKUP("Ônibus + CPTM",Fare_attributes[fare_id],Fare_attributes[fare_id],"Não encontrado")</f>
        <v/>
      </c>
      <c r="B33" s="16">
        <f>_xlfn.XLOOKUP("175T-10",Routes[route_id],Routes[route_id],"Não encontrado")</f>
        <v/>
      </c>
      <c r="C33" s="16" t="n"/>
      <c r="D33" s="16" t="n"/>
      <c r="E33" s="17" t="n"/>
    </row>
    <row r="34">
      <c r="A34" s="12">
        <f>_xlfn.XLOOKUP("Ônibus + CPTM",Fare_attributes[fare_id],Fare_attributes[fare_id],"Não encontrado")</f>
        <v/>
      </c>
      <c r="B34" s="13">
        <f>_xlfn.XLOOKUP("272N-10",Routes[route_id],Routes[route_id],"Não encontrado")</f>
        <v/>
      </c>
      <c r="C34" s="13" t="n"/>
      <c r="D34" s="13" t="n"/>
      <c r="E34" s="14" t="n"/>
    </row>
    <row r="35">
      <c r="A35" s="15">
        <f>_xlfn.XLOOKUP("Ônibus + CPTM",Fare_attributes[fare_id],Fare_attributes[fare_id],"Não encontrado")</f>
        <v/>
      </c>
      <c r="B35" s="16">
        <f>_xlfn.XLOOKUP("3029-10",Routes[route_id],Routes[route_id],"Não encontrado")</f>
        <v/>
      </c>
      <c r="C35" s="16" t="n"/>
      <c r="D35" s="16" t="n"/>
      <c r="E35" s="17" t="n"/>
    </row>
    <row r="36">
      <c r="A36" s="12">
        <f>_xlfn.XLOOKUP("Ônibus + CPTM",Fare_attributes[fare_id],Fare_attributes[fare_id],"Não encontrado")</f>
        <v/>
      </c>
      <c r="B36" s="13">
        <f>_xlfn.XLOOKUP("311C-10",Routes[route_id],Routes[route_id],"Não encontrado")</f>
        <v/>
      </c>
      <c r="C36" s="13" t="n"/>
      <c r="D36" s="13" t="n"/>
      <c r="E36" s="14" t="n"/>
    </row>
    <row r="37">
      <c r="A37" s="15">
        <f>_xlfn.XLOOKUP("Ônibus + CPTM",Fare_attributes[fare_id],Fare_attributes[fare_id],"Não encontrado")</f>
        <v/>
      </c>
      <c r="B37" s="16">
        <f>_xlfn.XLOOKUP("351F-10",Routes[route_id],Routes[route_id],"Não encontrado")</f>
        <v/>
      </c>
      <c r="C37" s="16" t="n"/>
      <c r="D37" s="16" t="n"/>
      <c r="E37" s="17" t="n"/>
    </row>
    <row r="38">
      <c r="A38" s="12">
        <f>_xlfn.XLOOKUP("Ônibus + CPTM",Fare_attributes[fare_id],Fare_attributes[fare_id],"Não encontrado")</f>
        <v/>
      </c>
      <c r="B38" s="13">
        <f>_xlfn.XLOOKUP("372U-10",Routes[route_id],Routes[route_id],"Não encontrado")</f>
        <v/>
      </c>
      <c r="C38" s="13" t="n"/>
      <c r="D38" s="13" t="n"/>
      <c r="E38" s="14" t="n"/>
    </row>
    <row r="39">
      <c r="A39" s="15">
        <f>_xlfn.XLOOKUP("Ônibus + CPTM",Fare_attributes[fare_id],Fare_attributes[fare_id],"Não encontrado")</f>
        <v/>
      </c>
      <c r="B39" s="16">
        <f>_xlfn.XLOOKUP("373M-10",Routes[route_id],Routes[route_id],"Não encontrado")</f>
        <v/>
      </c>
      <c r="C39" s="16" t="n"/>
      <c r="D39" s="16" t="n"/>
      <c r="E39" s="17" t="n"/>
    </row>
    <row r="40">
      <c r="A40" s="12">
        <f>_xlfn.XLOOKUP("Ônibus + CPTM",Fare_attributes[fare_id],Fare_attributes[fare_id],"Não encontrado")</f>
        <v/>
      </c>
      <c r="B40" s="13">
        <f>_xlfn.XLOOKUP("373T-10",Routes[route_id],Routes[route_id],"Não encontrado")</f>
        <v/>
      </c>
      <c r="C40" s="13" t="n"/>
      <c r="D40" s="13" t="n"/>
      <c r="E40" s="14" t="n"/>
    </row>
    <row r="41">
      <c r="A41" s="15">
        <f>_xlfn.XLOOKUP("Ônibus + CPTM",Fare_attributes[fare_id],Fare_attributes[fare_id],"Não encontrado")</f>
        <v/>
      </c>
      <c r="B41" s="16">
        <f>_xlfn.XLOOKUP("3762-10",Routes[route_id],Routes[route_id],"Não encontrado")</f>
        <v/>
      </c>
      <c r="C41" s="16" t="n"/>
      <c r="D41" s="16" t="n"/>
      <c r="E41" s="17" t="n"/>
    </row>
    <row r="42">
      <c r="A42" s="12">
        <f>_xlfn.XLOOKUP("Ônibus + CPTM",Fare_attributes[fare_id],Fare_attributes[fare_id],"Não encontrado")</f>
        <v/>
      </c>
      <c r="B42" s="13">
        <f>_xlfn.XLOOKUP("3763-10",Routes[route_id],Routes[route_id],"Não encontrado")</f>
        <v/>
      </c>
      <c r="C42" s="13" t="n"/>
      <c r="D42" s="13" t="n"/>
      <c r="E42" s="14" t="n"/>
    </row>
    <row r="43">
      <c r="A43" s="15">
        <f>_xlfn.XLOOKUP("Ônibus + CPTM",Fare_attributes[fare_id],Fare_attributes[fare_id],"Não encontrado")</f>
        <v/>
      </c>
      <c r="B43" s="16">
        <f>_xlfn.XLOOKUP("407F-10",Routes[route_id],Routes[route_id],"Não encontrado")</f>
        <v/>
      </c>
      <c r="C43" s="16" t="n"/>
      <c r="D43" s="16" t="n"/>
      <c r="E43" s="17" t="n"/>
    </row>
    <row r="44">
      <c r="A44" s="12">
        <f>_xlfn.XLOOKUP("Ônibus + CPTM",Fare_attributes[fare_id],Fare_attributes[fare_id],"Não encontrado")</f>
        <v/>
      </c>
      <c r="B44" s="13">
        <f>_xlfn.XLOOKUP("4313-10",Routes[route_id],Routes[route_id],"Não encontrado")</f>
        <v/>
      </c>
      <c r="C44" s="13" t="n"/>
      <c r="D44" s="13" t="n"/>
      <c r="E44" s="14" t="n"/>
    </row>
    <row r="45">
      <c r="A45" s="15">
        <f>_xlfn.XLOOKUP("Ônibus + CPTM",Fare_attributes[fare_id],Fare_attributes[fare_id],"Não encontrado")</f>
        <v/>
      </c>
      <c r="B45" s="16">
        <f>_xlfn.XLOOKUP("574W-10",Routes[route_id],Routes[route_id],"Não encontrado")</f>
        <v/>
      </c>
      <c r="C45" s="16" t="n"/>
      <c r="D45" s="16" t="n"/>
      <c r="E45" s="17" t="n"/>
    </row>
    <row r="46">
      <c r="A46" s="12">
        <f>_xlfn.XLOOKUP("Ônibus + CPTM",Fare_attributes[fare_id],Fare_attributes[fare_id],"Não encontrado")</f>
        <v/>
      </c>
      <c r="B46" s="13">
        <f>_xlfn.XLOOKUP("CPTM L07",Routes[route_id],Routes[route_id],"Não encontrado")</f>
        <v/>
      </c>
      <c r="C46" s="13" t="n"/>
      <c r="D46" s="13" t="n"/>
      <c r="E46" s="14" t="n"/>
    </row>
    <row r="47">
      <c r="A47" s="15">
        <f>_xlfn.XLOOKUP("Ônibus + CPTM",Fare_attributes[fare_id],Fare_attributes[fare_id],"Não encontrado")</f>
        <v/>
      </c>
      <c r="B47" s="16">
        <f>_xlfn.XLOOKUP("CPTM L08",Routes[route_id],Routes[route_id],"Não encontrado")</f>
        <v/>
      </c>
      <c r="C47" s="16" t="n"/>
      <c r="D47" s="16" t="n"/>
      <c r="E47" s="17" t="n"/>
    </row>
    <row r="48">
      <c r="A48" s="12">
        <f>_xlfn.XLOOKUP("Ônibus + CPTM",Fare_attributes[fare_id],Fare_attributes[fare_id],"Não encontrado")</f>
        <v/>
      </c>
      <c r="B48" s="13">
        <f>_xlfn.XLOOKUP("CPTM L09",Routes[route_id],Routes[route_id],"Não encontrado")</f>
        <v/>
      </c>
      <c r="C48" s="13" t="n"/>
      <c r="D48" s="13" t="n"/>
      <c r="E48" s="14" t="n"/>
    </row>
    <row r="49">
      <c r="A49" s="15">
        <f>_xlfn.XLOOKUP("Ônibus + CPTM",Fare_attributes[fare_id],Fare_attributes[fare_id],"Não encontrado")</f>
        <v/>
      </c>
      <c r="B49" s="16">
        <f>_xlfn.XLOOKUP("CPTM L10",Routes[route_id],Routes[route_id],"Não encontrado")</f>
        <v/>
      </c>
      <c r="C49" s="16" t="n"/>
      <c r="D49" s="16" t="n"/>
      <c r="E49" s="17" t="n"/>
    </row>
    <row r="50">
      <c r="A50" s="12">
        <f>_xlfn.XLOOKUP("Ônibus + CPTM",Fare_attributes[fare_id],Fare_attributes[fare_id],"Não encontrado")</f>
        <v/>
      </c>
      <c r="B50" s="13">
        <f>_xlfn.XLOOKUP("CPTM L11",Routes[route_id],Routes[route_id],"Não encontrado")</f>
        <v/>
      </c>
      <c r="C50" s="13" t="n"/>
      <c r="D50" s="13" t="n"/>
      <c r="E50" s="14" t="n"/>
    </row>
    <row r="51">
      <c r="A51" s="15">
        <f>_xlfn.XLOOKUP("Ônibus + CPTM",Fare_attributes[fare_id],Fare_attributes[fare_id],"Não encontrado")</f>
        <v/>
      </c>
      <c r="B51" s="16">
        <f>_xlfn.XLOOKUP("CPTM L12",Routes[route_id],Routes[route_id],"Não encontrado")</f>
        <v/>
      </c>
      <c r="C51" s="16" t="n"/>
      <c r="D51" s="16" t="n"/>
      <c r="E51" s="17" t="n"/>
    </row>
    <row r="52">
      <c r="A52" s="12">
        <f>_xlfn.XLOOKUP("Ônibus + CPTM",Fare_attributes[fare_id],Fare_attributes[fare_id],"Não encontrado")</f>
        <v/>
      </c>
      <c r="B52" s="13">
        <f>_xlfn.XLOOKUP("CPTM L13",Routes[route_id],Routes[route_id],"Não encontrado")</f>
        <v/>
      </c>
      <c r="C52" s="13" t="n"/>
      <c r="D52" s="13" t="n"/>
      <c r="E52" s="14" t="n"/>
    </row>
    <row r="53">
      <c r="A53" s="15">
        <f>_xlfn.XLOOKUP("Ônibus + Metrô",Fare_attributes[fare_id],Fare_attributes[fare_id],"Não encontrado")</f>
        <v/>
      </c>
      <c r="B53" s="16">
        <f>_xlfn.XLOOKUP("118C-10",Routes[route_id],Routes[route_id],"Não encontrado")</f>
        <v/>
      </c>
      <c r="C53" s="16" t="n"/>
      <c r="D53" s="16" t="n"/>
      <c r="E53" s="17" t="n"/>
    </row>
    <row r="54">
      <c r="A54" s="12">
        <f>_xlfn.XLOOKUP("Ônibus + Metrô",Fare_attributes[fare_id],Fare_attributes[fare_id],"Não encontrado")</f>
        <v/>
      </c>
      <c r="B54" s="13">
        <f>_xlfn.XLOOKUP("175T-10",Routes[route_id],Routes[route_id],"Não encontrado")</f>
        <v/>
      </c>
      <c r="C54" s="13" t="n"/>
      <c r="D54" s="13" t="n"/>
      <c r="E54" s="14" t="n"/>
    </row>
    <row r="55">
      <c r="A55" s="15">
        <f>_xlfn.XLOOKUP("Ônibus + Metrô",Fare_attributes[fare_id],Fare_attributes[fare_id],"Não encontrado")</f>
        <v/>
      </c>
      <c r="B55" s="16">
        <f>_xlfn.XLOOKUP("272N-10",Routes[route_id],Routes[route_id],"Não encontrado")</f>
        <v/>
      </c>
      <c r="C55" s="16" t="n"/>
      <c r="D55" s="16" t="n"/>
      <c r="E55" s="17" t="n"/>
    </row>
    <row r="56">
      <c r="A56" s="12">
        <f>_xlfn.XLOOKUP("Ônibus + Metrô",Fare_attributes[fare_id],Fare_attributes[fare_id],"Não encontrado")</f>
        <v/>
      </c>
      <c r="B56" s="13">
        <f>_xlfn.XLOOKUP("3029-10",Routes[route_id],Routes[route_id],"Não encontrado")</f>
        <v/>
      </c>
      <c r="C56" s="13" t="n"/>
      <c r="D56" s="13" t="n"/>
      <c r="E56" s="14" t="n"/>
    </row>
    <row r="57">
      <c r="A57" s="15">
        <f>_xlfn.XLOOKUP("Ônibus + Metrô",Fare_attributes[fare_id],Fare_attributes[fare_id],"Não encontrado")</f>
        <v/>
      </c>
      <c r="B57" s="16">
        <f>_xlfn.XLOOKUP("311C-10",Routes[route_id],Routes[route_id],"Não encontrado")</f>
        <v/>
      </c>
      <c r="C57" s="16" t="n"/>
      <c r="D57" s="16" t="n"/>
      <c r="E57" s="17" t="n"/>
    </row>
    <row r="58">
      <c r="A58" s="12">
        <f>_xlfn.XLOOKUP("Ônibus + Metrô",Fare_attributes[fare_id],Fare_attributes[fare_id],"Não encontrado")</f>
        <v/>
      </c>
      <c r="B58" s="13">
        <f>_xlfn.XLOOKUP("351F-10",Routes[route_id],Routes[route_id],"Não encontrado")</f>
        <v/>
      </c>
      <c r="C58" s="13" t="n"/>
      <c r="D58" s="13" t="n"/>
      <c r="E58" s="14" t="n"/>
    </row>
    <row r="59">
      <c r="A59" s="15">
        <f>_xlfn.XLOOKUP("Ônibus + Metrô",Fare_attributes[fare_id],Fare_attributes[fare_id],"Não encontrado")</f>
        <v/>
      </c>
      <c r="B59" s="16">
        <f>_xlfn.XLOOKUP("372U-10",Routes[route_id],Routes[route_id],"Não encontrado")</f>
        <v/>
      </c>
      <c r="C59" s="16" t="n"/>
      <c r="D59" s="16" t="n"/>
      <c r="E59" s="17" t="n"/>
    </row>
    <row r="60">
      <c r="A60" s="12">
        <f>_xlfn.XLOOKUP("Ônibus + Metrô",Fare_attributes[fare_id],Fare_attributes[fare_id],"Não encontrado")</f>
        <v/>
      </c>
      <c r="B60" s="13">
        <f>_xlfn.XLOOKUP("373M-10",Routes[route_id],Routes[route_id],"Não encontrado")</f>
        <v/>
      </c>
      <c r="C60" s="13" t="n"/>
      <c r="D60" s="13" t="n"/>
      <c r="E60" s="14" t="n"/>
    </row>
    <row r="61">
      <c r="A61" s="15">
        <f>_xlfn.XLOOKUP("Ônibus + Metrô",Fare_attributes[fare_id],Fare_attributes[fare_id],"Não encontrado")</f>
        <v/>
      </c>
      <c r="B61" s="16">
        <f>_xlfn.XLOOKUP("373T-10",Routes[route_id],Routes[route_id],"Não encontrado")</f>
        <v/>
      </c>
      <c r="C61" s="16" t="n"/>
      <c r="D61" s="16" t="n"/>
      <c r="E61" s="17" t="n"/>
    </row>
    <row r="62">
      <c r="A62" s="12">
        <f>_xlfn.XLOOKUP("Ônibus + Metrô",Fare_attributes[fare_id],Fare_attributes[fare_id],"Não encontrado")</f>
        <v/>
      </c>
      <c r="B62" s="13">
        <f>_xlfn.XLOOKUP("3762-10",Routes[route_id],Routes[route_id],"Não encontrado")</f>
        <v/>
      </c>
      <c r="C62" s="13" t="n"/>
      <c r="D62" s="13" t="n"/>
      <c r="E62" s="14" t="n"/>
    </row>
    <row r="63">
      <c r="A63" s="15">
        <f>_xlfn.XLOOKUP("Ônibus + Metrô",Fare_attributes[fare_id],Fare_attributes[fare_id],"Não encontrado")</f>
        <v/>
      </c>
      <c r="B63" s="16">
        <f>_xlfn.XLOOKUP("3763-10",Routes[route_id],Routes[route_id],"Não encontrado")</f>
        <v/>
      </c>
      <c r="C63" s="16" t="n"/>
      <c r="D63" s="16" t="n"/>
      <c r="E63" s="17" t="n"/>
    </row>
    <row r="64">
      <c r="A64" s="12">
        <f>_xlfn.XLOOKUP("Ônibus + Metrô",Fare_attributes[fare_id],Fare_attributes[fare_id],"Não encontrado")</f>
        <v/>
      </c>
      <c r="B64" s="13">
        <f>_xlfn.XLOOKUP("407F-10",Routes[route_id],Routes[route_id],"Não encontrado")</f>
        <v/>
      </c>
      <c r="C64" s="13" t="n"/>
      <c r="D64" s="13" t="n"/>
      <c r="E64" s="14" t="n"/>
    </row>
    <row r="65">
      <c r="A65" s="15">
        <f>_xlfn.XLOOKUP("Ônibus + Metrô",Fare_attributes[fare_id],Fare_attributes[fare_id],"Não encontrado")</f>
        <v/>
      </c>
      <c r="B65" s="16">
        <f>_xlfn.XLOOKUP("4313-10",Routes[route_id],Routes[route_id],"Não encontrado")</f>
        <v/>
      </c>
      <c r="C65" s="16" t="n"/>
      <c r="D65" s="16" t="n"/>
      <c r="E65" s="17" t="n"/>
    </row>
    <row r="66">
      <c r="A66" s="12">
        <f>_xlfn.XLOOKUP("Ônibus + Metrô",Fare_attributes[fare_id],Fare_attributes[fare_id],"Não encontrado")</f>
        <v/>
      </c>
      <c r="B66" s="13">
        <f>_xlfn.XLOOKUP("574W-10",Routes[route_id],Routes[route_id],"Não encontrado")</f>
        <v/>
      </c>
      <c r="C66" s="13" t="n"/>
      <c r="D66" s="13" t="n"/>
      <c r="E66" s="14" t="n"/>
    </row>
    <row r="67">
      <c r="A67" s="15">
        <f>_xlfn.XLOOKUP("Ônibus + Metrô",Fare_attributes[fare_id],Fare_attributes[fare_id],"Não encontrado")</f>
        <v/>
      </c>
      <c r="B67" s="16">
        <f>_xlfn.XLOOKUP("METRÔ 15",Routes[route_id],Routes[route_id],"Não encontrado")</f>
        <v/>
      </c>
      <c r="C67" s="16" t="n"/>
      <c r="D67" s="16" t="n"/>
      <c r="E67" s="17" t="n"/>
    </row>
    <row r="68">
      <c r="A68" s="12">
        <f>_xlfn.XLOOKUP("Ônibus + Metrô",Fare_attributes[fare_id],Fare_attributes[fare_id],"Não encontrado")</f>
        <v/>
      </c>
      <c r="B68" s="13">
        <f>_xlfn.XLOOKUP("METRÔ L1",Routes[route_id],Routes[route_id],"Não encontrado")</f>
        <v/>
      </c>
      <c r="C68" s="13" t="n"/>
      <c r="D68" s="13" t="n"/>
      <c r="E68" s="14" t="n"/>
    </row>
    <row r="69">
      <c r="A69" s="15">
        <f>_xlfn.XLOOKUP("Ônibus + Metrô",Fare_attributes[fare_id],Fare_attributes[fare_id],"Não encontrado")</f>
        <v/>
      </c>
      <c r="B69" s="16">
        <f>_xlfn.XLOOKUP("METRÔ L2",Routes[route_id],Routes[route_id],"Não encontrado")</f>
        <v/>
      </c>
      <c r="C69" s="16" t="n"/>
      <c r="D69" s="16" t="n"/>
      <c r="E69" s="17" t="n"/>
    </row>
    <row r="70">
      <c r="A70" s="12">
        <f>_xlfn.XLOOKUP("Ônibus + Metrô",Fare_attributes[fare_id],Fare_attributes[fare_id],"Não encontrado")</f>
        <v/>
      </c>
      <c r="B70" s="13">
        <f>_xlfn.XLOOKUP("METRÔ L3",Routes[route_id],Routes[route_id],"Não encontrado")</f>
        <v/>
      </c>
      <c r="C70" s="13" t="n"/>
      <c r="D70" s="13" t="n"/>
      <c r="E70" s="14" t="n"/>
    </row>
    <row r="71">
      <c r="A71" s="15">
        <f>_xlfn.XLOOKUP("Ônibus + Metrô",Fare_attributes[fare_id],Fare_attributes[fare_id],"Não encontrado")</f>
        <v/>
      </c>
      <c r="B71" s="16">
        <f>_xlfn.XLOOKUP("METRÔ L4",Routes[route_id],Routes[route_id],"Não encontrado")</f>
        <v/>
      </c>
      <c r="C71" s="16" t="n"/>
      <c r="D71" s="16" t="n"/>
      <c r="E71" s="17" t="n"/>
    </row>
    <row r="72">
      <c r="A72" s="12">
        <f>_xlfn.XLOOKUP("Ônibus + Metrô",Fare_attributes[fare_id],Fare_attributes[fare_id],"Não encontrado")</f>
        <v/>
      </c>
      <c r="B72" s="13">
        <f>_xlfn.XLOOKUP("METRÔ L5",Routes[route_id],Routes[route_id],"Não encontrado")</f>
        <v/>
      </c>
      <c r="C72" s="13" t="n"/>
      <c r="D72" s="13" t="n"/>
      <c r="E72" s="14" t="n"/>
    </row>
    <row r="73">
      <c r="A73" s="15">
        <f>_xlfn.XLOOKUP("Ônibus + Metrô",Fare_attributes[fare_id],Fare_attributes[fare_id],"Não encontrado")</f>
        <v/>
      </c>
      <c r="B73" s="16">
        <f>_xlfn.XLOOKUP("METRÔ L6",Routes[route_id],Routes[route_id],"Não encontrado")</f>
        <v/>
      </c>
      <c r="C73" s="16" t="n"/>
      <c r="D73" s="16" t="n"/>
      <c r="E73" s="17" t="n"/>
    </row>
    <row r="74">
      <c r="A74" s="12">
        <f>_xlfn.XLOOKUP("Ônibus + Metrô",Fare_attributes[fare_id],Fare_attributes[fare_id],"Não encontrado")</f>
        <v/>
      </c>
      <c r="B74" s="13">
        <f>_xlfn.XLOOKUP("METRÔ17A",Routes[route_id],Routes[route_id],"Não encontrado")</f>
        <v/>
      </c>
      <c r="C74" s="13" t="n"/>
      <c r="D74" s="13" t="n"/>
      <c r="E74" s="14" t="n"/>
    </row>
    <row r="75">
      <c r="A75" s="15">
        <f>_xlfn.XLOOKUP("Ônibus + Metrô",Fare_attributes[fare_id],Fare_attributes[fare_id],"Não encontrado")</f>
        <v/>
      </c>
      <c r="B75" s="16">
        <f>_xlfn.XLOOKUP("METRÔ17W",Routes[route_id],Routes[route_id],"Não encontrado")</f>
        <v/>
      </c>
      <c r="C75" s="16" t="n"/>
      <c r="D75" s="16" t="n"/>
      <c r="E75" s="17" t="n"/>
    </row>
    <row r="76">
      <c r="A76" s="12">
        <f>_xlfn.XLOOKUP("Ônibus + Metrô + CPTM",Fare_attributes[fare_id],Fare_attributes[fare_id],"Não encontrado")</f>
        <v/>
      </c>
      <c r="B76" s="13">
        <f>_xlfn.XLOOKUP("118C-10",Routes[route_id],Routes[route_id],"Não encontrado")</f>
        <v/>
      </c>
      <c r="C76" s="13" t="n"/>
      <c r="D76" s="13" t="n"/>
      <c r="E76" s="14" t="n"/>
    </row>
    <row r="77">
      <c r="A77" s="15">
        <f>_xlfn.XLOOKUP("Ônibus + Metrô + CPTM",Fare_attributes[fare_id],Fare_attributes[fare_id],"Não encontrado")</f>
        <v/>
      </c>
      <c r="B77" s="16">
        <f>_xlfn.XLOOKUP("175T-10",Routes[route_id],Routes[route_id],"Não encontrado")</f>
        <v/>
      </c>
      <c r="C77" s="16" t="n"/>
      <c r="D77" s="16" t="n"/>
      <c r="E77" s="17" t="n"/>
    </row>
    <row r="78">
      <c r="A78" s="12">
        <f>_xlfn.XLOOKUP("Ônibus + Metrô + CPTM",Fare_attributes[fare_id],Fare_attributes[fare_id],"Não encontrado")</f>
        <v/>
      </c>
      <c r="B78" s="13">
        <f>_xlfn.XLOOKUP("272N-10",Routes[route_id],Routes[route_id],"Não encontrado")</f>
        <v/>
      </c>
      <c r="C78" s="13" t="n"/>
      <c r="D78" s="13" t="n"/>
      <c r="E78" s="14" t="n"/>
    </row>
    <row r="79">
      <c r="A79" s="15">
        <f>_xlfn.XLOOKUP("Ônibus + Metrô + CPTM",Fare_attributes[fare_id],Fare_attributes[fare_id],"Não encontrado")</f>
        <v/>
      </c>
      <c r="B79" s="16">
        <f>_xlfn.XLOOKUP("3029-10",Routes[route_id],Routes[route_id],"Não encontrado")</f>
        <v/>
      </c>
      <c r="C79" s="16" t="n"/>
      <c r="D79" s="16" t="n"/>
      <c r="E79" s="17" t="n"/>
    </row>
    <row r="80">
      <c r="A80" s="12">
        <f>_xlfn.XLOOKUP("Ônibus + Metrô + CPTM",Fare_attributes[fare_id],Fare_attributes[fare_id],"Não encontrado")</f>
        <v/>
      </c>
      <c r="B80" s="13">
        <f>_xlfn.XLOOKUP("311C-10",Routes[route_id],Routes[route_id],"Não encontrado")</f>
        <v/>
      </c>
      <c r="C80" s="13" t="n"/>
      <c r="D80" s="13" t="n"/>
      <c r="E80" s="14" t="n"/>
    </row>
    <row r="81">
      <c r="A81" s="15">
        <f>_xlfn.XLOOKUP("Ônibus + Metrô + CPTM",Fare_attributes[fare_id],Fare_attributes[fare_id],"Não encontrado")</f>
        <v/>
      </c>
      <c r="B81" s="16">
        <f>_xlfn.XLOOKUP("351F-10",Routes[route_id],Routes[route_id],"Não encontrado")</f>
        <v/>
      </c>
      <c r="C81" s="16" t="n"/>
      <c r="D81" s="16" t="n"/>
      <c r="E81" s="17" t="n"/>
    </row>
    <row r="82">
      <c r="A82" s="12">
        <f>_xlfn.XLOOKUP("Ônibus + Metrô + CPTM",Fare_attributes[fare_id],Fare_attributes[fare_id],"Não encontrado")</f>
        <v/>
      </c>
      <c r="B82" s="13">
        <f>_xlfn.XLOOKUP("372U-10",Routes[route_id],Routes[route_id],"Não encontrado")</f>
        <v/>
      </c>
      <c r="C82" s="13" t="n"/>
      <c r="D82" s="13" t="n"/>
      <c r="E82" s="14" t="n"/>
    </row>
    <row r="83">
      <c r="A83" s="15">
        <f>_xlfn.XLOOKUP("Ônibus + Metrô + CPTM",Fare_attributes[fare_id],Fare_attributes[fare_id],"Não encontrado")</f>
        <v/>
      </c>
      <c r="B83" s="16">
        <f>_xlfn.XLOOKUP("373M-10",Routes[route_id],Routes[route_id],"Não encontrado")</f>
        <v/>
      </c>
      <c r="C83" s="16" t="n"/>
      <c r="D83" s="16" t="n"/>
      <c r="E83" s="17" t="n"/>
    </row>
    <row r="84">
      <c r="A84" s="12">
        <f>_xlfn.XLOOKUP("Ônibus + Metrô + CPTM",Fare_attributes[fare_id],Fare_attributes[fare_id],"Não encontrado")</f>
        <v/>
      </c>
      <c r="B84" s="13">
        <f>_xlfn.XLOOKUP("373T-10",Routes[route_id],Routes[route_id],"Não encontrado")</f>
        <v/>
      </c>
      <c r="C84" s="13" t="n"/>
      <c r="D84" s="13" t="n"/>
      <c r="E84" s="14" t="n"/>
    </row>
    <row r="85">
      <c r="A85" s="15">
        <f>_xlfn.XLOOKUP("Ônibus + Metrô + CPTM",Fare_attributes[fare_id],Fare_attributes[fare_id],"Não encontrado")</f>
        <v/>
      </c>
      <c r="B85" s="16">
        <f>_xlfn.XLOOKUP("3762-10",Routes[route_id],Routes[route_id],"Não encontrado")</f>
        <v/>
      </c>
      <c r="C85" s="16" t="n"/>
      <c r="D85" s="16" t="n"/>
      <c r="E85" s="17" t="n"/>
    </row>
    <row r="86">
      <c r="A86" s="12">
        <f>_xlfn.XLOOKUP("Ônibus + Metrô + CPTM",Fare_attributes[fare_id],Fare_attributes[fare_id],"Não encontrado")</f>
        <v/>
      </c>
      <c r="B86" s="13">
        <f>_xlfn.XLOOKUP("3763-10",Routes[route_id],Routes[route_id],"Não encontrado")</f>
        <v/>
      </c>
      <c r="C86" s="13" t="n"/>
      <c r="D86" s="13" t="n"/>
      <c r="E86" s="14" t="n"/>
    </row>
    <row r="87">
      <c r="A87" s="15">
        <f>_xlfn.XLOOKUP("Ônibus + Metrô + CPTM",Fare_attributes[fare_id],Fare_attributes[fare_id],"Não encontrado")</f>
        <v/>
      </c>
      <c r="B87" s="16">
        <f>_xlfn.XLOOKUP("407F-10",Routes[route_id],Routes[route_id],"Não encontrado")</f>
        <v/>
      </c>
      <c r="C87" s="16" t="n"/>
      <c r="D87" s="16" t="n"/>
      <c r="E87" s="17" t="n"/>
    </row>
    <row r="88">
      <c r="A88" s="12">
        <f>_xlfn.XLOOKUP("Ônibus + Metrô + CPTM",Fare_attributes[fare_id],Fare_attributes[fare_id],"Não encontrado")</f>
        <v/>
      </c>
      <c r="B88" s="13">
        <f>_xlfn.XLOOKUP("4313-10",Routes[route_id],Routes[route_id],"Não encontrado")</f>
        <v/>
      </c>
      <c r="C88" s="13" t="n"/>
      <c r="D88" s="13" t="n"/>
      <c r="E88" s="14" t="n"/>
    </row>
    <row r="89">
      <c r="A89" s="15">
        <f>_xlfn.XLOOKUP("Ônibus + Metrô + CPTM",Fare_attributes[fare_id],Fare_attributes[fare_id],"Não encontrado")</f>
        <v/>
      </c>
      <c r="B89" s="16">
        <f>_xlfn.XLOOKUP("574W-10",Routes[route_id],Routes[route_id],"Não encontrado")</f>
        <v/>
      </c>
      <c r="C89" s="16" t="n"/>
      <c r="D89" s="16" t="n"/>
      <c r="E89" s="17" t="n"/>
    </row>
    <row r="90">
      <c r="A90" s="12">
        <f>_xlfn.XLOOKUP("Ônibus + Metrô + CPTM",Fare_attributes[fare_id],Fare_attributes[fare_id],"Não encontrado")</f>
        <v/>
      </c>
      <c r="B90" s="13">
        <f>_xlfn.XLOOKUP("CPTM L07",Routes[route_id],Routes[route_id],"Não encontrado")</f>
        <v/>
      </c>
      <c r="C90" s="13" t="n"/>
      <c r="D90" s="13" t="n"/>
      <c r="E90" s="14" t="n"/>
    </row>
    <row r="91">
      <c r="A91" s="15">
        <f>_xlfn.XLOOKUP("Ônibus + Metrô + CPTM",Fare_attributes[fare_id],Fare_attributes[fare_id],"Não encontrado")</f>
        <v/>
      </c>
      <c r="B91" s="16">
        <f>_xlfn.XLOOKUP("CPTM L08",Routes[route_id],Routes[route_id],"Não encontrado")</f>
        <v/>
      </c>
      <c r="C91" s="16" t="n"/>
      <c r="D91" s="16" t="n"/>
      <c r="E91" s="17" t="n"/>
    </row>
    <row r="92">
      <c r="A92" s="12">
        <f>_xlfn.XLOOKUP("Ônibus + Metrô + CPTM",Fare_attributes[fare_id],Fare_attributes[fare_id],"Não encontrado")</f>
        <v/>
      </c>
      <c r="B92" s="13">
        <f>_xlfn.XLOOKUP("CPTM L09",Routes[route_id],Routes[route_id],"Não encontrado")</f>
        <v/>
      </c>
      <c r="C92" s="13" t="n"/>
      <c r="D92" s="13" t="n"/>
      <c r="E92" s="14" t="n"/>
    </row>
    <row r="93">
      <c r="A93" s="15">
        <f>_xlfn.XLOOKUP("Ônibus + Metrô + CPTM",Fare_attributes[fare_id],Fare_attributes[fare_id],"Não encontrado")</f>
        <v/>
      </c>
      <c r="B93" s="16">
        <f>_xlfn.XLOOKUP("CPTM L10",Routes[route_id],Routes[route_id],"Não encontrado")</f>
        <v/>
      </c>
      <c r="C93" s="16" t="n"/>
      <c r="D93" s="16" t="n"/>
      <c r="E93" s="17" t="n"/>
    </row>
    <row r="94">
      <c r="A94" s="12">
        <f>_xlfn.XLOOKUP("Ônibus + Metrô + CPTM",Fare_attributes[fare_id],Fare_attributes[fare_id],"Não encontrado")</f>
        <v/>
      </c>
      <c r="B94" s="13">
        <f>_xlfn.XLOOKUP("CPTM L11",Routes[route_id],Routes[route_id],"Não encontrado")</f>
        <v/>
      </c>
      <c r="C94" s="13" t="n"/>
      <c r="D94" s="13" t="n"/>
      <c r="E94" s="14" t="n"/>
    </row>
    <row r="95">
      <c r="A95" s="15">
        <f>_xlfn.XLOOKUP("Ônibus + Metrô + CPTM",Fare_attributes[fare_id],Fare_attributes[fare_id],"Não encontrado")</f>
        <v/>
      </c>
      <c r="B95" s="16">
        <f>_xlfn.XLOOKUP("CPTM L12",Routes[route_id],Routes[route_id],"Não encontrado")</f>
        <v/>
      </c>
      <c r="C95" s="16" t="n"/>
      <c r="D95" s="16" t="n"/>
      <c r="E95" s="17" t="n"/>
    </row>
    <row r="96">
      <c r="A96" s="12">
        <f>_xlfn.XLOOKUP("Ônibus + Metrô + CPTM",Fare_attributes[fare_id],Fare_attributes[fare_id],"Não encontrado")</f>
        <v/>
      </c>
      <c r="B96" s="13">
        <f>_xlfn.XLOOKUP("CPTM L13",Routes[route_id],Routes[route_id],"Não encontrado")</f>
        <v/>
      </c>
      <c r="C96" s="13" t="n"/>
      <c r="D96" s="13" t="n"/>
      <c r="E96" s="14" t="n"/>
    </row>
    <row r="97">
      <c r="A97" s="15">
        <f>_xlfn.XLOOKUP("Ônibus + Metrô + CPTM",Fare_attributes[fare_id],Fare_attributes[fare_id],"Não encontrado")</f>
        <v/>
      </c>
      <c r="B97" s="16">
        <f>_xlfn.XLOOKUP("METRÔ 15",Routes[route_id],Routes[route_id],"Não encontrado")</f>
        <v/>
      </c>
      <c r="C97" s="16" t="n"/>
      <c r="D97" s="16" t="n"/>
      <c r="E97" s="17" t="n"/>
    </row>
    <row r="98">
      <c r="A98" s="12">
        <f>_xlfn.XLOOKUP("Ônibus + Metrô + CPTM",Fare_attributes[fare_id],Fare_attributes[fare_id],"Não encontrado")</f>
        <v/>
      </c>
      <c r="B98" s="13">
        <f>_xlfn.XLOOKUP("METRÔ L1",Routes[route_id],Routes[route_id],"Não encontrado")</f>
        <v/>
      </c>
      <c r="C98" s="13" t="n"/>
      <c r="D98" s="13" t="n"/>
      <c r="E98" s="14" t="n"/>
    </row>
    <row r="99">
      <c r="A99" s="15">
        <f>_xlfn.XLOOKUP("Ônibus + Metrô + CPTM",Fare_attributes[fare_id],Fare_attributes[fare_id],"Não encontrado")</f>
        <v/>
      </c>
      <c r="B99" s="16">
        <f>_xlfn.XLOOKUP("METRÔ L2",Routes[route_id],Routes[route_id],"Não encontrado")</f>
        <v/>
      </c>
      <c r="C99" s="16" t="n"/>
      <c r="D99" s="16" t="n"/>
      <c r="E99" s="17" t="n"/>
    </row>
    <row r="100">
      <c r="A100" s="12">
        <f>_xlfn.XLOOKUP("Ônibus + Metrô + CPTM",Fare_attributes[fare_id],Fare_attributes[fare_id],"Não encontrado")</f>
        <v/>
      </c>
      <c r="B100" s="13">
        <f>_xlfn.XLOOKUP("METRÔ L3",Routes[route_id],Routes[route_id],"Não encontrado")</f>
        <v/>
      </c>
      <c r="C100" s="13" t="n"/>
      <c r="D100" s="13" t="n"/>
      <c r="E100" s="14" t="n"/>
    </row>
    <row r="101">
      <c r="A101" s="15">
        <f>_xlfn.XLOOKUP("Ônibus + Metrô + CPTM",Fare_attributes[fare_id],Fare_attributes[fare_id],"Não encontrado")</f>
        <v/>
      </c>
      <c r="B101" s="16">
        <f>_xlfn.XLOOKUP("METRÔ L4",Routes[route_id],Routes[route_id],"Não encontrado")</f>
        <v/>
      </c>
      <c r="C101" s="16" t="n"/>
      <c r="D101" s="16" t="n"/>
      <c r="E101" s="17" t="n"/>
    </row>
    <row r="102">
      <c r="A102" s="12">
        <f>_xlfn.XLOOKUP("Ônibus + Metrô + CPTM",Fare_attributes[fare_id],Fare_attributes[fare_id],"Não encontrado")</f>
        <v/>
      </c>
      <c r="B102" s="13">
        <f>_xlfn.XLOOKUP("METRÔ L5",Routes[route_id],Routes[route_id],"Não encontrado")</f>
        <v/>
      </c>
      <c r="C102" s="13" t="n"/>
      <c r="D102" s="13" t="n"/>
      <c r="E102" s="14" t="n"/>
    </row>
    <row r="103">
      <c r="A103" s="15">
        <f>_xlfn.XLOOKUP("Ônibus + Metrô + CPTM",Fare_attributes[fare_id],Fare_attributes[fare_id],"Não encontrado")</f>
        <v/>
      </c>
      <c r="B103" s="16">
        <f>_xlfn.XLOOKUP("METRÔ L6",Routes[route_id],Routes[route_id],"Não encontrado")</f>
        <v/>
      </c>
      <c r="C103" s="16" t="n"/>
      <c r="D103" s="16" t="n"/>
      <c r="E103" s="17" t="n"/>
    </row>
    <row r="104">
      <c r="A104" s="12">
        <f>_xlfn.XLOOKUP("Ônibus + Metrô + CPTM",Fare_attributes[fare_id],Fare_attributes[fare_id],"Não encontrado")</f>
        <v/>
      </c>
      <c r="B104" s="13">
        <f>_xlfn.XLOOKUP("METRÔ17A",Routes[route_id],Routes[route_id],"Não encontrado")</f>
        <v/>
      </c>
      <c r="C104" s="13" t="n"/>
      <c r="D104" s="13" t="n"/>
      <c r="E104" s="14" t="n"/>
    </row>
    <row r="105">
      <c r="A105" s="18">
        <f>_xlfn.XLOOKUP("Ônibus + Metrô + CPTM",Fare_attributes[fare_id],Fare_attributes[fare_id],"Não encontrado")</f>
        <v/>
      </c>
      <c r="B105" s="19">
        <f>_xlfn.XLOOKUP("METRÔ17W",Routes[route_id],Routes[route_id],"Não encontrado")</f>
        <v/>
      </c>
      <c r="C105" s="19" t="n"/>
      <c r="D105" s="19" t="n"/>
      <c r="E105" s="20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15"/>
  <sheetViews>
    <sheetView topLeftCell="A607" workbookViewId="0">
      <selection activeCell="A2" sqref="A2"/>
    </sheetView>
  </sheetViews>
  <sheetFormatPr baseColWidth="8" defaultRowHeight="15"/>
  <cols>
    <col width="12.5703125" bestFit="1" customWidth="1" min="1" max="1"/>
    <col width="12.42578125" bestFit="1" customWidth="1" min="2" max="2"/>
    <col width="11.7109375" bestFit="1" customWidth="1" min="3" max="3"/>
    <col width="16.28515625" bestFit="1" customWidth="1" min="4" max="4"/>
  </cols>
  <sheetData>
    <row r="1" ht="15.75" customHeight="1" thickBot="1">
      <c r="A1" s="21" t="inlineStr">
        <is>
          <t>trip_id</t>
        </is>
      </c>
      <c r="B1" s="22" t="inlineStr">
        <is>
          <t>start_time</t>
        </is>
      </c>
      <c r="C1" s="22" t="inlineStr">
        <is>
          <t>end_time</t>
        </is>
      </c>
      <c r="D1" s="23" t="inlineStr">
        <is>
          <t>headway_secs</t>
        </is>
      </c>
    </row>
    <row r="2" ht="15.75" customHeight="1" thickTop="1">
      <c r="A2" s="55">
        <f>_xlfn.XLOOKUP("118C-10-0",Trip[trip_id],Trip[trip_id],"Não encontrado")</f>
        <v/>
      </c>
      <c r="B2" s="25" t="n">
        <v>0.1666666666666667</v>
      </c>
      <c r="C2" s="25" t="n">
        <v>0.2076388888888889</v>
      </c>
      <c r="D2" s="26" t="n">
        <v>900</v>
      </c>
    </row>
    <row r="3">
      <c r="A3" s="56">
        <f>_xlfn.XLOOKUP("118C-10-0",Trip[trip_id],Trip[trip_id],"Não encontrado")</f>
        <v/>
      </c>
      <c r="B3" s="28" t="n">
        <v>0.2083333333333333</v>
      </c>
      <c r="C3" s="28" t="n">
        <v>0.2493055555555556</v>
      </c>
      <c r="D3" s="29" t="n">
        <v>420</v>
      </c>
    </row>
    <row r="4">
      <c r="A4" s="55">
        <f>_xlfn.XLOOKUP("118C-10-0",Trip[trip_id],Trip[trip_id],"Não encontrado")</f>
        <v/>
      </c>
      <c r="B4" s="25" t="n">
        <v>0.25</v>
      </c>
      <c r="C4" s="25" t="n">
        <v>0.2909722222222222</v>
      </c>
      <c r="D4" s="26" t="n">
        <v>360</v>
      </c>
    </row>
    <row r="5">
      <c r="A5" s="56">
        <f>_xlfn.XLOOKUP("118C-10-0",Trip[trip_id],Trip[trip_id],"Não encontrado")</f>
        <v/>
      </c>
      <c r="B5" s="28" t="n">
        <v>0.2916666666666667</v>
      </c>
      <c r="C5" s="28" t="n">
        <v>0.3326388888888889</v>
      </c>
      <c r="D5" s="29" t="n">
        <v>480</v>
      </c>
    </row>
    <row r="6">
      <c r="A6" s="55">
        <f>_xlfn.XLOOKUP("118C-10-0",Trip[trip_id],Trip[trip_id],"Não encontrado")</f>
        <v/>
      </c>
      <c r="B6" s="25" t="n">
        <v>0.3333333333333333</v>
      </c>
      <c r="C6" s="25" t="n">
        <v>0.3743055555555556</v>
      </c>
      <c r="D6" s="26" t="n">
        <v>720</v>
      </c>
    </row>
    <row r="7">
      <c r="A7" s="56">
        <f>_xlfn.XLOOKUP("118C-10-0",Trip[trip_id],Trip[trip_id],"Não encontrado")</f>
        <v/>
      </c>
      <c r="B7" s="28" t="n">
        <v>0.375</v>
      </c>
      <c r="C7" s="28" t="n">
        <v>0.4159722222222222</v>
      </c>
      <c r="D7" s="29" t="n">
        <v>900</v>
      </c>
    </row>
    <row r="8">
      <c r="A8" s="55">
        <f>_xlfn.XLOOKUP("118C-10-0",Trip[trip_id],Trip[trip_id],"Não encontrado")</f>
        <v/>
      </c>
      <c r="B8" s="25" t="n">
        <v>0.4166666666666667</v>
      </c>
      <c r="C8" s="25" t="n">
        <v>0.4576388888888889</v>
      </c>
      <c r="D8" s="26" t="n">
        <v>900</v>
      </c>
    </row>
    <row r="9">
      <c r="A9" s="56">
        <f>_xlfn.XLOOKUP("118C-10-0",Trip[trip_id],Trip[trip_id],"Não encontrado")</f>
        <v/>
      </c>
      <c r="B9" s="28" t="n">
        <v>0.4583333333333333</v>
      </c>
      <c r="C9" s="28" t="n">
        <v>0.4993055555555556</v>
      </c>
      <c r="D9" s="29" t="n">
        <v>900</v>
      </c>
    </row>
    <row r="10">
      <c r="A10" s="55">
        <f>_xlfn.XLOOKUP("118C-10-0",Trip[trip_id],Trip[trip_id],"Não encontrado")</f>
        <v/>
      </c>
      <c r="B10" s="25" t="n">
        <v>0.5</v>
      </c>
      <c r="C10" s="25" t="n">
        <v>0.5409722222222222</v>
      </c>
      <c r="D10" s="26" t="n">
        <v>720</v>
      </c>
    </row>
    <row r="11">
      <c r="A11" s="56">
        <f>_xlfn.XLOOKUP("118C-10-0",Trip[trip_id],Trip[trip_id],"Não encontrado")</f>
        <v/>
      </c>
      <c r="B11" s="28" t="n">
        <v>0.5416666666666666</v>
      </c>
      <c r="C11" s="28" t="n">
        <v>0.5826388888888889</v>
      </c>
      <c r="D11" s="29" t="n">
        <v>720</v>
      </c>
    </row>
    <row r="12">
      <c r="A12" s="55">
        <f>_xlfn.XLOOKUP("118C-10-0",Trip[trip_id],Trip[trip_id],"Não encontrado")</f>
        <v/>
      </c>
      <c r="B12" s="25" t="n">
        <v>0.5833333333333334</v>
      </c>
      <c r="C12" s="25" t="n">
        <v>0.6243055555555556</v>
      </c>
      <c r="D12" s="26" t="n">
        <v>480</v>
      </c>
    </row>
    <row r="13">
      <c r="A13" s="56">
        <f>_xlfn.XLOOKUP("118C-10-0",Trip[trip_id],Trip[trip_id],"Não encontrado")</f>
        <v/>
      </c>
      <c r="B13" s="28" t="n">
        <v>0.625</v>
      </c>
      <c r="C13" s="28" t="n">
        <v>0.6659722222222222</v>
      </c>
      <c r="D13" s="29" t="n">
        <v>720</v>
      </c>
    </row>
    <row r="14">
      <c r="A14" s="55">
        <f>_xlfn.XLOOKUP("118C-10-0",Trip[trip_id],Trip[trip_id],"Não encontrado")</f>
        <v/>
      </c>
      <c r="B14" s="25" t="n">
        <v>0.6666666666666666</v>
      </c>
      <c r="C14" s="25" t="n">
        <v>0.7076388888888889</v>
      </c>
      <c r="D14" s="26" t="n">
        <v>600</v>
      </c>
    </row>
    <row r="15">
      <c r="A15" s="56">
        <f>_xlfn.XLOOKUP("118C-10-0",Trip[trip_id],Trip[trip_id],"Não encontrado")</f>
        <v/>
      </c>
      <c r="B15" s="28" t="n">
        <v>0.7083333333333334</v>
      </c>
      <c r="C15" s="28" t="n">
        <v>0.7493055555555556</v>
      </c>
      <c r="D15" s="29" t="n">
        <v>900</v>
      </c>
    </row>
    <row r="16">
      <c r="A16" s="55">
        <f>_xlfn.XLOOKUP("118C-10-0",Trip[trip_id],Trip[trip_id],"Não encontrado")</f>
        <v/>
      </c>
      <c r="B16" s="25" t="n">
        <v>0.75</v>
      </c>
      <c r="C16" s="25" t="n">
        <v>0.7909722222222222</v>
      </c>
      <c r="D16" s="26" t="n">
        <v>900</v>
      </c>
    </row>
    <row r="17">
      <c r="A17" s="56">
        <f>_xlfn.XLOOKUP("118C-10-0",Trip[trip_id],Trip[trip_id],"Não encontrado")</f>
        <v/>
      </c>
      <c r="B17" s="28" t="n">
        <v>0.7916666666666666</v>
      </c>
      <c r="C17" s="28" t="n">
        <v>0.8326388888888889</v>
      </c>
      <c r="D17" s="29" t="n">
        <v>900</v>
      </c>
    </row>
    <row r="18">
      <c r="A18" s="55">
        <f>_xlfn.XLOOKUP("118C-10-0",Trip[trip_id],Trip[trip_id],"Não encontrado")</f>
        <v/>
      </c>
      <c r="B18" s="25" t="n">
        <v>0.8333333333333334</v>
      </c>
      <c r="C18" s="25" t="n">
        <v>0.8743055555555556</v>
      </c>
      <c r="D18" s="26" t="n">
        <v>900</v>
      </c>
    </row>
    <row r="19">
      <c r="A19" s="56">
        <f>_xlfn.XLOOKUP("118C-10-0",Trip[trip_id],Trip[trip_id],"Não encontrado")</f>
        <v/>
      </c>
      <c r="B19" s="28" t="n">
        <v>0.875</v>
      </c>
      <c r="C19" s="28" t="n">
        <v>0.9159722222222222</v>
      </c>
      <c r="D19" s="29" t="n">
        <v>900</v>
      </c>
    </row>
    <row r="20">
      <c r="A20" s="55">
        <f>_xlfn.XLOOKUP("118C-10-0",Trip[trip_id],Trip[trip_id],"Não encontrado")</f>
        <v/>
      </c>
      <c r="B20" s="25" t="n">
        <v>0.9166666666666666</v>
      </c>
      <c r="C20" s="25" t="n">
        <v>0.9576388888888889</v>
      </c>
      <c r="D20" s="26" t="n">
        <v>900</v>
      </c>
    </row>
    <row r="21">
      <c r="A21" s="56">
        <f>_xlfn.XLOOKUP("118C-10-0",Trip[trip_id],Trip[trip_id],"Não encontrado")</f>
        <v/>
      </c>
      <c r="B21" s="28" t="n">
        <v>0.9583333333333334</v>
      </c>
      <c r="C21" s="28" t="n">
        <v>0.9993055555555556</v>
      </c>
      <c r="D21" s="29" t="n">
        <v>1200</v>
      </c>
    </row>
    <row r="22">
      <c r="A22" s="55">
        <f>_xlfn.XLOOKUP("118C-10-1",Trip[trip_id],Trip[trip_id],"Não encontrado")</f>
        <v/>
      </c>
      <c r="B22" s="25" t="n">
        <v>0</v>
      </c>
      <c r="C22" s="25" t="n">
        <v>0.04097222222222222</v>
      </c>
      <c r="D22" s="26" t="n">
        <v>1200</v>
      </c>
    </row>
    <row r="23">
      <c r="A23" s="56">
        <f>_xlfn.XLOOKUP("118C-10-1",Trip[trip_id],Trip[trip_id],"Não encontrado")</f>
        <v/>
      </c>
      <c r="B23" s="28" t="n">
        <v>0.2083333333333333</v>
      </c>
      <c r="C23" s="28" t="n">
        <v>0.2493055555555556</v>
      </c>
      <c r="D23" s="29" t="n">
        <v>1200</v>
      </c>
    </row>
    <row r="24">
      <c r="A24" s="55">
        <f>_xlfn.XLOOKUP("118C-10-1",Trip[trip_id],Trip[trip_id],"Não encontrado")</f>
        <v/>
      </c>
      <c r="B24" s="25" t="n">
        <v>0.25</v>
      </c>
      <c r="C24" s="25" t="n">
        <v>0.2909722222222222</v>
      </c>
      <c r="D24" s="26" t="n">
        <v>720</v>
      </c>
    </row>
    <row r="25">
      <c r="A25" s="56">
        <f>_xlfn.XLOOKUP("118C-10-1",Trip[trip_id],Trip[trip_id],"Não encontrado")</f>
        <v/>
      </c>
      <c r="B25" s="28" t="n">
        <v>0.2916666666666667</v>
      </c>
      <c r="C25" s="28" t="n">
        <v>0.3326388888888889</v>
      </c>
      <c r="D25" s="29" t="n">
        <v>720</v>
      </c>
    </row>
    <row r="26">
      <c r="A26" s="55">
        <f>_xlfn.XLOOKUP("118C-10-1",Trip[trip_id],Trip[trip_id],"Não encontrado")</f>
        <v/>
      </c>
      <c r="B26" s="25" t="n">
        <v>0.3333333333333333</v>
      </c>
      <c r="C26" s="25" t="n">
        <v>0.3743055555555556</v>
      </c>
      <c r="D26" s="26" t="n">
        <v>420</v>
      </c>
    </row>
    <row r="27">
      <c r="A27" s="56">
        <f>_xlfn.XLOOKUP("118C-10-1",Trip[trip_id],Trip[trip_id],"Não encontrado")</f>
        <v/>
      </c>
      <c r="B27" s="28" t="n">
        <v>0.375</v>
      </c>
      <c r="C27" s="28" t="n">
        <v>0.4159722222222222</v>
      </c>
      <c r="D27" s="29" t="n">
        <v>420</v>
      </c>
    </row>
    <row r="28">
      <c r="A28" s="55">
        <f>_xlfn.XLOOKUP("118C-10-1",Trip[trip_id],Trip[trip_id],"Não encontrado")</f>
        <v/>
      </c>
      <c r="B28" s="25" t="n">
        <v>0.4166666666666667</v>
      </c>
      <c r="C28" s="25" t="n">
        <v>0.4576388888888889</v>
      </c>
      <c r="D28" s="26" t="n">
        <v>720</v>
      </c>
    </row>
    <row r="29">
      <c r="A29" s="56">
        <f>_xlfn.XLOOKUP("118C-10-1",Trip[trip_id],Trip[trip_id],"Não encontrado")</f>
        <v/>
      </c>
      <c r="B29" s="28" t="n">
        <v>0.4583333333333333</v>
      </c>
      <c r="C29" s="28" t="n">
        <v>0.4993055555555556</v>
      </c>
      <c r="D29" s="29" t="n">
        <v>900</v>
      </c>
    </row>
    <row r="30">
      <c r="A30" s="55">
        <f>_xlfn.XLOOKUP("118C-10-1",Trip[trip_id],Trip[trip_id],"Não encontrado")</f>
        <v/>
      </c>
      <c r="B30" s="25" t="n">
        <v>0.5</v>
      </c>
      <c r="C30" s="25" t="n">
        <v>0.5409722222222222</v>
      </c>
      <c r="D30" s="26" t="n">
        <v>900</v>
      </c>
    </row>
    <row r="31">
      <c r="A31" s="56">
        <f>_xlfn.XLOOKUP("118C-10-1",Trip[trip_id],Trip[trip_id],"Não encontrado")</f>
        <v/>
      </c>
      <c r="B31" s="28" t="n">
        <v>0.5416666666666666</v>
      </c>
      <c r="C31" s="28" t="n">
        <v>0.5826388888888889</v>
      </c>
      <c r="D31" s="29" t="n">
        <v>900</v>
      </c>
    </row>
    <row r="32">
      <c r="A32" s="55">
        <f>_xlfn.XLOOKUP("118C-10-1",Trip[trip_id],Trip[trip_id],"Não encontrado")</f>
        <v/>
      </c>
      <c r="B32" s="25" t="n">
        <v>0.5833333333333334</v>
      </c>
      <c r="C32" s="25" t="n">
        <v>0.6243055555555556</v>
      </c>
      <c r="D32" s="26" t="n">
        <v>720</v>
      </c>
    </row>
    <row r="33">
      <c r="A33" s="56">
        <f>_xlfn.XLOOKUP("118C-10-1",Trip[trip_id],Trip[trip_id],"Não encontrado")</f>
        <v/>
      </c>
      <c r="B33" s="28" t="n">
        <v>0.625</v>
      </c>
      <c r="C33" s="28" t="n">
        <v>0.6659722222222222</v>
      </c>
      <c r="D33" s="29" t="n">
        <v>720</v>
      </c>
    </row>
    <row r="34">
      <c r="A34" s="55">
        <f>_xlfn.XLOOKUP("118C-10-1",Trip[trip_id],Trip[trip_id],"Não encontrado")</f>
        <v/>
      </c>
      <c r="B34" s="25" t="n">
        <v>0.6666666666666666</v>
      </c>
      <c r="C34" s="25" t="n">
        <v>0.7076388888888889</v>
      </c>
      <c r="D34" s="26" t="n">
        <v>480</v>
      </c>
    </row>
    <row r="35">
      <c r="A35" s="56">
        <f>_xlfn.XLOOKUP("118C-10-1",Trip[trip_id],Trip[trip_id],"Não encontrado")</f>
        <v/>
      </c>
      <c r="B35" s="28" t="n">
        <v>0.7083333333333334</v>
      </c>
      <c r="C35" s="28" t="n">
        <v>0.7493055555555556</v>
      </c>
      <c r="D35" s="29" t="n">
        <v>720</v>
      </c>
    </row>
    <row r="36">
      <c r="A36" s="55">
        <f>_xlfn.XLOOKUP("118C-10-1",Trip[trip_id],Trip[trip_id],"Não encontrado")</f>
        <v/>
      </c>
      <c r="B36" s="25" t="n">
        <v>0.75</v>
      </c>
      <c r="C36" s="25" t="n">
        <v>0.7909722222222222</v>
      </c>
      <c r="D36" s="26" t="n">
        <v>600</v>
      </c>
    </row>
    <row r="37">
      <c r="A37" s="56">
        <f>_xlfn.XLOOKUP("118C-10-1",Trip[trip_id],Trip[trip_id],"Não encontrado")</f>
        <v/>
      </c>
      <c r="B37" s="28" t="n">
        <v>0.7916666666666666</v>
      </c>
      <c r="C37" s="28" t="n">
        <v>0.8326388888888889</v>
      </c>
      <c r="D37" s="29" t="n">
        <v>900</v>
      </c>
    </row>
    <row r="38">
      <c r="A38" s="55">
        <f>_xlfn.XLOOKUP("118C-10-1",Trip[trip_id],Trip[trip_id],"Não encontrado")</f>
        <v/>
      </c>
      <c r="B38" s="25" t="n">
        <v>0.8333333333333334</v>
      </c>
      <c r="C38" s="25" t="n">
        <v>0.8743055555555556</v>
      </c>
      <c r="D38" s="26" t="n">
        <v>900</v>
      </c>
    </row>
    <row r="39">
      <c r="A39" s="56">
        <f>_xlfn.XLOOKUP("118C-10-1",Trip[trip_id],Trip[trip_id],"Não encontrado")</f>
        <v/>
      </c>
      <c r="B39" s="28" t="n">
        <v>0.875</v>
      </c>
      <c r="C39" s="28" t="n">
        <v>0.9159722222222222</v>
      </c>
      <c r="D39" s="29" t="n">
        <v>900</v>
      </c>
    </row>
    <row r="40">
      <c r="A40" s="55">
        <f>_xlfn.XLOOKUP("118C-10-1",Trip[trip_id],Trip[trip_id],"Não encontrado")</f>
        <v/>
      </c>
      <c r="B40" s="25" t="n">
        <v>0.9166666666666666</v>
      </c>
      <c r="C40" s="25" t="n">
        <v>0.9576388888888889</v>
      </c>
      <c r="D40" s="26" t="n">
        <v>900</v>
      </c>
    </row>
    <row r="41">
      <c r="A41" s="56">
        <f>_xlfn.XLOOKUP("118C-10-1",Trip[trip_id],Trip[trip_id],"Não encontrado")</f>
        <v/>
      </c>
      <c r="B41" s="28" t="n">
        <v>0.9583333333333334</v>
      </c>
      <c r="C41" s="28" t="n">
        <v>0.9993055555555556</v>
      </c>
      <c r="D41" s="29" t="n">
        <v>900</v>
      </c>
    </row>
    <row r="42">
      <c r="A42" s="55">
        <f>_xlfn.XLOOKUP("175T-10-0",Trip[trip_id],Trip[trip_id],"Não encontrado")</f>
        <v/>
      </c>
      <c r="B42" s="25" t="n">
        <v>0</v>
      </c>
      <c r="C42" s="25" t="n">
        <v>0.04097222222222222</v>
      </c>
      <c r="D42" s="26" t="n">
        <v>3600</v>
      </c>
    </row>
    <row r="43">
      <c r="A43" s="56">
        <f>_xlfn.XLOOKUP("175T-10-0",Trip[trip_id],Trip[trip_id],"Não encontrado")</f>
        <v/>
      </c>
      <c r="B43" s="28" t="n">
        <v>0.1666666666666667</v>
      </c>
      <c r="C43" s="28" t="n">
        <v>0.2076388888888889</v>
      </c>
      <c r="D43" s="29" t="n">
        <v>600</v>
      </c>
    </row>
    <row r="44">
      <c r="A44" s="55">
        <f>_xlfn.XLOOKUP("175T-10-0",Trip[trip_id],Trip[trip_id],"Não encontrado")</f>
        <v/>
      </c>
      <c r="B44" s="25" t="n">
        <v>0.2083333333333333</v>
      </c>
      <c r="C44" s="25" t="n">
        <v>0.2493055555555556</v>
      </c>
      <c r="D44" s="26" t="n">
        <v>360</v>
      </c>
    </row>
    <row r="45">
      <c r="A45" s="56">
        <f>_xlfn.XLOOKUP("175T-10-0",Trip[trip_id],Trip[trip_id],"Não encontrado")</f>
        <v/>
      </c>
      <c r="B45" s="28" t="n">
        <v>0.25</v>
      </c>
      <c r="C45" s="28" t="n">
        <v>0.2909722222222222</v>
      </c>
      <c r="D45" s="29" t="n">
        <v>300</v>
      </c>
    </row>
    <row r="46">
      <c r="A46" s="55">
        <f>_xlfn.XLOOKUP("175T-10-0",Trip[trip_id],Trip[trip_id],"Não encontrado")</f>
        <v/>
      </c>
      <c r="B46" s="25" t="n">
        <v>0.2916666666666667</v>
      </c>
      <c r="C46" s="25" t="n">
        <v>0.3326388888888889</v>
      </c>
      <c r="D46" s="26" t="n">
        <v>360</v>
      </c>
    </row>
    <row r="47">
      <c r="A47" s="56">
        <f>_xlfn.XLOOKUP("175T-10-0",Trip[trip_id],Trip[trip_id],"Não encontrado")</f>
        <v/>
      </c>
      <c r="B47" s="28" t="n">
        <v>0.3333333333333333</v>
      </c>
      <c r="C47" s="28" t="n">
        <v>0.3743055555555556</v>
      </c>
      <c r="D47" s="29" t="n">
        <v>480</v>
      </c>
    </row>
    <row r="48">
      <c r="A48" s="55">
        <f>_xlfn.XLOOKUP("175T-10-0",Trip[trip_id],Trip[trip_id],"Não encontrado")</f>
        <v/>
      </c>
      <c r="B48" s="25" t="n">
        <v>0.375</v>
      </c>
      <c r="C48" s="25" t="n">
        <v>0.4159722222222222</v>
      </c>
      <c r="D48" s="26" t="n">
        <v>600</v>
      </c>
    </row>
    <row r="49">
      <c r="A49" s="56">
        <f>_xlfn.XLOOKUP("175T-10-0",Trip[trip_id],Trip[trip_id],"Não encontrado")</f>
        <v/>
      </c>
      <c r="B49" s="28" t="n">
        <v>0.4166666666666667</v>
      </c>
      <c r="C49" s="28" t="n">
        <v>0.4576388888888889</v>
      </c>
      <c r="D49" s="29" t="n">
        <v>600</v>
      </c>
    </row>
    <row r="50">
      <c r="A50" s="55">
        <f>_xlfn.XLOOKUP("175T-10-0",Trip[trip_id],Trip[trip_id],"Não encontrado")</f>
        <v/>
      </c>
      <c r="B50" s="25" t="n">
        <v>0.4583333333333333</v>
      </c>
      <c r="C50" s="25" t="n">
        <v>0.4993055555555556</v>
      </c>
      <c r="D50" s="26" t="n">
        <v>600</v>
      </c>
    </row>
    <row r="51">
      <c r="A51" s="56">
        <f>_xlfn.XLOOKUP("175T-10-0",Trip[trip_id],Trip[trip_id],"Não encontrado")</f>
        <v/>
      </c>
      <c r="B51" s="28" t="n">
        <v>0.5</v>
      </c>
      <c r="C51" s="28" t="n">
        <v>0.5409722222222222</v>
      </c>
      <c r="D51" s="29" t="n">
        <v>600</v>
      </c>
    </row>
    <row r="52">
      <c r="A52" s="55">
        <f>_xlfn.XLOOKUP("175T-10-0",Trip[trip_id],Trip[trip_id],"Não encontrado")</f>
        <v/>
      </c>
      <c r="B52" s="25" t="n">
        <v>0.5416666666666666</v>
      </c>
      <c r="C52" s="25" t="n">
        <v>0.5826388888888889</v>
      </c>
      <c r="D52" s="26" t="n">
        <v>480</v>
      </c>
    </row>
    <row r="53">
      <c r="A53" s="56">
        <f>_xlfn.XLOOKUP("175T-10-0",Trip[trip_id],Trip[trip_id],"Não encontrado")</f>
        <v/>
      </c>
      <c r="B53" s="28" t="n">
        <v>0.5833333333333334</v>
      </c>
      <c r="C53" s="28" t="n">
        <v>0.6243055555555556</v>
      </c>
      <c r="D53" s="29" t="n">
        <v>420</v>
      </c>
    </row>
    <row r="54">
      <c r="A54" s="55">
        <f>_xlfn.XLOOKUP("175T-10-0",Trip[trip_id],Trip[trip_id],"Não encontrado")</f>
        <v/>
      </c>
      <c r="B54" s="25" t="n">
        <v>0.625</v>
      </c>
      <c r="C54" s="25" t="n">
        <v>0.6659722222222222</v>
      </c>
      <c r="D54" s="26" t="n">
        <v>420</v>
      </c>
    </row>
    <row r="55">
      <c r="A55" s="56">
        <f>_xlfn.XLOOKUP("175T-10-0",Trip[trip_id],Trip[trip_id],"Não encontrado")</f>
        <v/>
      </c>
      <c r="B55" s="28" t="n">
        <v>0.6666666666666666</v>
      </c>
      <c r="C55" s="28" t="n">
        <v>0.7076388888888889</v>
      </c>
      <c r="D55" s="29" t="n">
        <v>420</v>
      </c>
    </row>
    <row r="56">
      <c r="A56" s="55">
        <f>_xlfn.XLOOKUP("175T-10-0",Trip[trip_id],Trip[trip_id],"Não encontrado")</f>
        <v/>
      </c>
      <c r="B56" s="25" t="n">
        <v>0.7083333333333334</v>
      </c>
      <c r="C56" s="25" t="n">
        <v>0.7493055555555556</v>
      </c>
      <c r="D56" s="26" t="n">
        <v>420</v>
      </c>
    </row>
    <row r="57">
      <c r="A57" s="56">
        <f>_xlfn.XLOOKUP("175T-10-0",Trip[trip_id],Trip[trip_id],"Não encontrado")</f>
        <v/>
      </c>
      <c r="B57" s="28" t="n">
        <v>0.75</v>
      </c>
      <c r="C57" s="28" t="n">
        <v>0.7909722222222222</v>
      </c>
      <c r="D57" s="29" t="n">
        <v>420</v>
      </c>
    </row>
    <row r="58">
      <c r="A58" s="55">
        <f>_xlfn.XLOOKUP("175T-10-0",Trip[trip_id],Trip[trip_id],"Não encontrado")</f>
        <v/>
      </c>
      <c r="B58" s="25" t="n">
        <v>0.7916666666666666</v>
      </c>
      <c r="C58" s="25" t="n">
        <v>0.8326388888888889</v>
      </c>
      <c r="D58" s="26" t="n">
        <v>420</v>
      </c>
    </row>
    <row r="59">
      <c r="A59" s="56">
        <f>_xlfn.XLOOKUP("175T-10-0",Trip[trip_id],Trip[trip_id],"Não encontrado")</f>
        <v/>
      </c>
      <c r="B59" s="28" t="n">
        <v>0.8333333333333334</v>
      </c>
      <c r="C59" s="28" t="n">
        <v>0.8743055555555556</v>
      </c>
      <c r="D59" s="29" t="n">
        <v>480</v>
      </c>
    </row>
    <row r="60">
      <c r="A60" s="55">
        <f>_xlfn.XLOOKUP("175T-10-0",Trip[trip_id],Trip[trip_id],"Não encontrado")</f>
        <v/>
      </c>
      <c r="B60" s="25" t="n">
        <v>0.875</v>
      </c>
      <c r="C60" s="25" t="n">
        <v>0.9159722222222222</v>
      </c>
      <c r="D60" s="26" t="n">
        <v>720</v>
      </c>
    </row>
    <row r="61">
      <c r="A61" s="56">
        <f>_xlfn.XLOOKUP("175T-10-0",Trip[trip_id],Trip[trip_id],"Não encontrado")</f>
        <v/>
      </c>
      <c r="B61" s="28" t="n">
        <v>0.9166666666666666</v>
      </c>
      <c r="C61" s="28" t="n">
        <v>0.9576388888888889</v>
      </c>
      <c r="D61" s="29" t="n">
        <v>900</v>
      </c>
    </row>
    <row r="62">
      <c r="A62" s="55">
        <f>_xlfn.XLOOKUP("175T-10-0",Trip[trip_id],Trip[trip_id],"Não encontrado")</f>
        <v/>
      </c>
      <c r="B62" s="25" t="n">
        <v>0.9583333333333334</v>
      </c>
      <c r="C62" s="25" t="n">
        <v>0.9993055555555556</v>
      </c>
      <c r="D62" s="26" t="n">
        <v>1800</v>
      </c>
    </row>
    <row r="63">
      <c r="A63" s="56">
        <f>_xlfn.XLOOKUP("175T-10-1",Trip[trip_id],Trip[trip_id],"Não encontrado")</f>
        <v/>
      </c>
      <c r="B63" s="28" t="n">
        <v>0</v>
      </c>
      <c r="C63" s="28" t="n">
        <v>0.04097222222222222</v>
      </c>
      <c r="D63" s="29" t="n">
        <v>1200</v>
      </c>
    </row>
    <row r="64">
      <c r="A64" s="55">
        <f>_xlfn.XLOOKUP("175T-10-1",Trip[trip_id],Trip[trip_id],"Não encontrado")</f>
        <v/>
      </c>
      <c r="B64" s="25" t="n">
        <v>0.04166666666666666</v>
      </c>
      <c r="C64" s="25" t="n">
        <v>0.08263888888888889</v>
      </c>
      <c r="D64" s="26" t="n">
        <v>3600</v>
      </c>
    </row>
    <row r="65">
      <c r="A65" s="56">
        <f>_xlfn.XLOOKUP("175T-10-1",Trip[trip_id],Trip[trip_id],"Não encontrado")</f>
        <v/>
      </c>
      <c r="B65" s="28" t="n">
        <v>0.1666666666666667</v>
      </c>
      <c r="C65" s="28" t="n">
        <v>0.2076388888888889</v>
      </c>
      <c r="D65" s="29" t="n">
        <v>900</v>
      </c>
    </row>
    <row r="66">
      <c r="A66" s="55">
        <f>_xlfn.XLOOKUP("175T-10-1",Trip[trip_id],Trip[trip_id],"Não encontrado")</f>
        <v/>
      </c>
      <c r="B66" s="25" t="n">
        <v>0.2083333333333333</v>
      </c>
      <c r="C66" s="25" t="n">
        <v>0.2493055555555556</v>
      </c>
      <c r="D66" s="26" t="n">
        <v>360</v>
      </c>
    </row>
    <row r="67">
      <c r="A67" s="56">
        <f>_xlfn.XLOOKUP("175T-10-1",Trip[trip_id],Trip[trip_id],"Não encontrado")</f>
        <v/>
      </c>
      <c r="B67" s="28" t="n">
        <v>0.25</v>
      </c>
      <c r="C67" s="28" t="n">
        <v>0.2909722222222222</v>
      </c>
      <c r="D67" s="29" t="n">
        <v>360</v>
      </c>
    </row>
    <row r="68">
      <c r="A68" s="55">
        <f>_xlfn.XLOOKUP("175T-10-1",Trip[trip_id],Trip[trip_id],"Não encontrado")</f>
        <v/>
      </c>
      <c r="B68" s="25" t="n">
        <v>0.2916666666666667</v>
      </c>
      <c r="C68" s="25" t="n">
        <v>0.3326388888888889</v>
      </c>
      <c r="D68" s="26" t="n">
        <v>480</v>
      </c>
    </row>
    <row r="69">
      <c r="A69" s="56">
        <f>_xlfn.XLOOKUP("175T-10-1",Trip[trip_id],Trip[trip_id],"Não encontrado")</f>
        <v/>
      </c>
      <c r="B69" s="28" t="n">
        <v>0.3333333333333333</v>
      </c>
      <c r="C69" s="28" t="n">
        <v>0.3743055555555556</v>
      </c>
      <c r="D69" s="29" t="n">
        <v>600</v>
      </c>
    </row>
    <row r="70">
      <c r="A70" s="55">
        <f>_xlfn.XLOOKUP("175T-10-1",Trip[trip_id],Trip[trip_id],"Não encontrado")</f>
        <v/>
      </c>
      <c r="B70" s="25" t="n">
        <v>0.375</v>
      </c>
      <c r="C70" s="25" t="n">
        <v>0.4159722222222222</v>
      </c>
      <c r="D70" s="26" t="n">
        <v>480</v>
      </c>
    </row>
    <row r="71">
      <c r="A71" s="56">
        <f>_xlfn.XLOOKUP("175T-10-1",Trip[trip_id],Trip[trip_id],"Não encontrado")</f>
        <v/>
      </c>
      <c r="B71" s="28" t="n">
        <v>0.4166666666666667</v>
      </c>
      <c r="C71" s="28" t="n">
        <v>0.4576388888888889</v>
      </c>
      <c r="D71" s="29" t="n">
        <v>720</v>
      </c>
    </row>
    <row r="72">
      <c r="A72" s="55">
        <f>_xlfn.XLOOKUP("175T-10-1",Trip[trip_id],Trip[trip_id],"Não encontrado")</f>
        <v/>
      </c>
      <c r="B72" s="25" t="n">
        <v>0.4583333333333333</v>
      </c>
      <c r="C72" s="25" t="n">
        <v>0.4993055555555556</v>
      </c>
      <c r="D72" s="26" t="n">
        <v>600</v>
      </c>
    </row>
    <row r="73">
      <c r="A73" s="56">
        <f>_xlfn.XLOOKUP("175T-10-1",Trip[trip_id],Trip[trip_id],"Não encontrado")</f>
        <v/>
      </c>
      <c r="B73" s="28" t="n">
        <v>0.5</v>
      </c>
      <c r="C73" s="28" t="n">
        <v>0.5409722222222222</v>
      </c>
      <c r="D73" s="29" t="n">
        <v>420</v>
      </c>
    </row>
    <row r="74">
      <c r="A74" s="55">
        <f>_xlfn.XLOOKUP("175T-10-1",Trip[trip_id],Trip[trip_id],"Não encontrado")</f>
        <v/>
      </c>
      <c r="B74" s="25" t="n">
        <v>0.5416666666666666</v>
      </c>
      <c r="C74" s="25" t="n">
        <v>0.5826388888888889</v>
      </c>
      <c r="D74" s="26" t="n">
        <v>420</v>
      </c>
    </row>
    <row r="75">
      <c r="A75" s="56">
        <f>_xlfn.XLOOKUP("175T-10-1",Trip[trip_id],Trip[trip_id],"Não encontrado")</f>
        <v/>
      </c>
      <c r="B75" s="28" t="n">
        <v>0.5833333333333334</v>
      </c>
      <c r="C75" s="28" t="n">
        <v>0.6243055555555556</v>
      </c>
      <c r="D75" s="29" t="n">
        <v>420</v>
      </c>
    </row>
    <row r="76">
      <c r="A76" s="55">
        <f>_xlfn.XLOOKUP("175T-10-1",Trip[trip_id],Trip[trip_id],"Não encontrado")</f>
        <v/>
      </c>
      <c r="B76" s="25" t="n">
        <v>0.625</v>
      </c>
      <c r="C76" s="25" t="n">
        <v>0.6659722222222222</v>
      </c>
      <c r="D76" s="26" t="n">
        <v>420</v>
      </c>
    </row>
    <row r="77">
      <c r="A77" s="56">
        <f>_xlfn.XLOOKUP("175T-10-1",Trip[trip_id],Trip[trip_id],"Não encontrado")</f>
        <v/>
      </c>
      <c r="B77" s="28" t="n">
        <v>0.6666666666666666</v>
      </c>
      <c r="C77" s="28" t="n">
        <v>0.7076388888888889</v>
      </c>
      <c r="D77" s="29" t="n">
        <v>480</v>
      </c>
    </row>
    <row r="78">
      <c r="A78" s="55">
        <f>_xlfn.XLOOKUP("175T-10-1",Trip[trip_id],Trip[trip_id],"Não encontrado")</f>
        <v/>
      </c>
      <c r="B78" s="25" t="n">
        <v>0.7083333333333334</v>
      </c>
      <c r="C78" s="25" t="n">
        <v>0.7493055555555556</v>
      </c>
      <c r="D78" s="26" t="n">
        <v>420</v>
      </c>
    </row>
    <row r="79">
      <c r="A79" s="56">
        <f>_xlfn.XLOOKUP("175T-10-1",Trip[trip_id],Trip[trip_id],"Não encontrado")</f>
        <v/>
      </c>
      <c r="B79" s="28" t="n">
        <v>0.75</v>
      </c>
      <c r="C79" s="28" t="n">
        <v>0.7909722222222222</v>
      </c>
      <c r="D79" s="29" t="n">
        <v>480</v>
      </c>
    </row>
    <row r="80">
      <c r="A80" s="55">
        <f>_xlfn.XLOOKUP("175T-10-1",Trip[trip_id],Trip[trip_id],"Não encontrado")</f>
        <v/>
      </c>
      <c r="B80" s="25" t="n">
        <v>0.7916666666666666</v>
      </c>
      <c r="C80" s="25" t="n">
        <v>0.8326388888888889</v>
      </c>
      <c r="D80" s="26" t="n">
        <v>480</v>
      </c>
    </row>
    <row r="81">
      <c r="A81" s="56">
        <f>_xlfn.XLOOKUP("175T-10-1",Trip[trip_id],Trip[trip_id],"Não encontrado")</f>
        <v/>
      </c>
      <c r="B81" s="28" t="n">
        <v>0.8333333333333334</v>
      </c>
      <c r="C81" s="28" t="n">
        <v>0.8743055555555556</v>
      </c>
      <c r="D81" s="29" t="n">
        <v>480</v>
      </c>
    </row>
    <row r="82">
      <c r="A82" s="55">
        <f>_xlfn.XLOOKUP("175T-10-1",Trip[trip_id],Trip[trip_id],"Não encontrado")</f>
        <v/>
      </c>
      <c r="B82" s="25" t="n">
        <v>0.875</v>
      </c>
      <c r="C82" s="25" t="n">
        <v>0.9159722222222222</v>
      </c>
      <c r="D82" s="26" t="n">
        <v>480</v>
      </c>
    </row>
    <row r="83">
      <c r="A83" s="56">
        <f>_xlfn.XLOOKUP("175T-10-1",Trip[trip_id],Trip[trip_id],"Não encontrado")</f>
        <v/>
      </c>
      <c r="B83" s="28" t="n">
        <v>0.9166666666666666</v>
      </c>
      <c r="C83" s="28" t="n">
        <v>0.9576388888888889</v>
      </c>
      <c r="D83" s="29" t="n">
        <v>480</v>
      </c>
    </row>
    <row r="84">
      <c r="A84" s="55">
        <f>_xlfn.XLOOKUP("175T-10-1",Trip[trip_id],Trip[trip_id],"Não encontrado")</f>
        <v/>
      </c>
      <c r="B84" s="25" t="n">
        <v>0.9583333333333334</v>
      </c>
      <c r="C84" s="25" t="n">
        <v>0.9993055555555556</v>
      </c>
      <c r="D84" s="26" t="n">
        <v>720</v>
      </c>
    </row>
    <row r="85">
      <c r="A85" s="56">
        <f>_xlfn.XLOOKUP("272N-10-0",Trip[trip_id],Trip[trip_id],"Não encontrado")</f>
        <v/>
      </c>
      <c r="B85" s="28" t="n">
        <v>0.1666666666666667</v>
      </c>
      <c r="C85" s="28" t="n">
        <v>0.2076388888888889</v>
      </c>
      <c r="D85" s="29" t="n">
        <v>1800</v>
      </c>
    </row>
    <row r="86">
      <c r="A86" s="55">
        <f>_xlfn.XLOOKUP("272N-10-0",Trip[trip_id],Trip[trip_id],"Não encontrado")</f>
        <v/>
      </c>
      <c r="B86" s="25" t="n">
        <v>0.2083333333333333</v>
      </c>
      <c r="C86" s="25" t="n">
        <v>0.2493055555555556</v>
      </c>
      <c r="D86" s="26" t="n">
        <v>1200</v>
      </c>
    </row>
    <row r="87">
      <c r="A87" s="56">
        <f>_xlfn.XLOOKUP("272N-10-0",Trip[trip_id],Trip[trip_id],"Não encontrado")</f>
        <v/>
      </c>
      <c r="B87" s="28" t="n">
        <v>0.25</v>
      </c>
      <c r="C87" s="28" t="n">
        <v>0.2909722222222222</v>
      </c>
      <c r="D87" s="29" t="n">
        <v>1200</v>
      </c>
    </row>
    <row r="88">
      <c r="A88" s="55">
        <f>_xlfn.XLOOKUP("272N-10-0",Trip[trip_id],Trip[trip_id],"Não encontrado")</f>
        <v/>
      </c>
      <c r="B88" s="25" t="n">
        <v>0.2916666666666667</v>
      </c>
      <c r="C88" s="25" t="n">
        <v>0.3326388888888889</v>
      </c>
      <c r="D88" s="26" t="n">
        <v>1800</v>
      </c>
    </row>
    <row r="89">
      <c r="A89" s="56">
        <f>_xlfn.XLOOKUP("272N-10-0",Trip[trip_id],Trip[trip_id],"Não encontrado")</f>
        <v/>
      </c>
      <c r="B89" s="28" t="n">
        <v>0.3333333333333333</v>
      </c>
      <c r="C89" s="28" t="n">
        <v>0.3743055555555556</v>
      </c>
      <c r="D89" s="29" t="n">
        <v>1800</v>
      </c>
    </row>
    <row r="90">
      <c r="A90" s="55">
        <f>_xlfn.XLOOKUP("272N-10-0",Trip[trip_id],Trip[trip_id],"Não encontrado")</f>
        <v/>
      </c>
      <c r="B90" s="25" t="n">
        <v>0.375</v>
      </c>
      <c r="C90" s="25" t="n">
        <v>0.4159722222222222</v>
      </c>
      <c r="D90" s="26" t="n">
        <v>1800</v>
      </c>
    </row>
    <row r="91">
      <c r="A91" s="56">
        <f>_xlfn.XLOOKUP("272N-10-0",Trip[trip_id],Trip[trip_id],"Não encontrado")</f>
        <v/>
      </c>
      <c r="B91" s="28" t="n">
        <v>0.4166666666666667</v>
      </c>
      <c r="C91" s="28" t="n">
        <v>0.4576388888888889</v>
      </c>
      <c r="D91" s="29" t="n">
        <v>1800</v>
      </c>
    </row>
    <row r="92">
      <c r="A92" s="55">
        <f>_xlfn.XLOOKUP("272N-10-0",Trip[trip_id],Trip[trip_id],"Não encontrado")</f>
        <v/>
      </c>
      <c r="B92" s="25" t="n">
        <v>0.4583333333333333</v>
      </c>
      <c r="C92" s="25" t="n">
        <v>0.4993055555555556</v>
      </c>
      <c r="D92" s="26" t="n">
        <v>1800</v>
      </c>
    </row>
    <row r="93">
      <c r="A93" s="56">
        <f>_xlfn.XLOOKUP("272N-10-0",Trip[trip_id],Trip[trip_id],"Não encontrado")</f>
        <v/>
      </c>
      <c r="B93" s="28" t="n">
        <v>0.5</v>
      </c>
      <c r="C93" s="28" t="n">
        <v>0.5409722222222222</v>
      </c>
      <c r="D93" s="29" t="n">
        <v>1800</v>
      </c>
    </row>
    <row r="94">
      <c r="A94" s="55">
        <f>_xlfn.XLOOKUP("272N-10-0",Trip[trip_id],Trip[trip_id],"Não encontrado")</f>
        <v/>
      </c>
      <c r="B94" s="25" t="n">
        <v>0.5416666666666666</v>
      </c>
      <c r="C94" s="25" t="n">
        <v>0.5826388888888889</v>
      </c>
      <c r="D94" s="26" t="n">
        <v>1800</v>
      </c>
    </row>
    <row r="95">
      <c r="A95" s="56">
        <f>_xlfn.XLOOKUP("272N-10-0",Trip[trip_id],Trip[trip_id],"Não encontrado")</f>
        <v/>
      </c>
      <c r="B95" s="28" t="n">
        <v>0.5833333333333334</v>
      </c>
      <c r="C95" s="28" t="n">
        <v>0.6243055555555556</v>
      </c>
      <c r="D95" s="29" t="n">
        <v>1800</v>
      </c>
    </row>
    <row r="96">
      <c r="A96" s="55">
        <f>_xlfn.XLOOKUP("272N-10-0",Trip[trip_id],Trip[trip_id],"Não encontrado")</f>
        <v/>
      </c>
      <c r="B96" s="25" t="n">
        <v>0.625</v>
      </c>
      <c r="C96" s="25" t="n">
        <v>0.6659722222222222</v>
      </c>
      <c r="D96" s="26" t="n">
        <v>1200</v>
      </c>
    </row>
    <row r="97">
      <c r="A97" s="56">
        <f>_xlfn.XLOOKUP("272N-10-0",Trip[trip_id],Trip[trip_id],"Não encontrado")</f>
        <v/>
      </c>
      <c r="B97" s="28" t="n">
        <v>0.6666666666666666</v>
      </c>
      <c r="C97" s="28" t="n">
        <v>0.7076388888888889</v>
      </c>
      <c r="D97" s="29" t="n">
        <v>1800</v>
      </c>
    </row>
    <row r="98">
      <c r="A98" s="55">
        <f>_xlfn.XLOOKUP("272N-10-0",Trip[trip_id],Trip[trip_id],"Não encontrado")</f>
        <v/>
      </c>
      <c r="B98" s="25" t="n">
        <v>0.7083333333333334</v>
      </c>
      <c r="C98" s="25" t="n">
        <v>0.7493055555555556</v>
      </c>
      <c r="D98" s="26" t="n">
        <v>1800</v>
      </c>
    </row>
    <row r="99">
      <c r="A99" s="56">
        <f>_xlfn.XLOOKUP("272N-10-0",Trip[trip_id],Trip[trip_id],"Não encontrado")</f>
        <v/>
      </c>
      <c r="B99" s="28" t="n">
        <v>0.75</v>
      </c>
      <c r="C99" s="28" t="n">
        <v>0.7909722222222222</v>
      </c>
      <c r="D99" s="29" t="n">
        <v>1800</v>
      </c>
    </row>
    <row r="100">
      <c r="A100" s="55">
        <f>_xlfn.XLOOKUP("272N-10-0",Trip[trip_id],Trip[trip_id],"Não encontrado")</f>
        <v/>
      </c>
      <c r="B100" s="25" t="n">
        <v>0.7916666666666666</v>
      </c>
      <c r="C100" s="25" t="n">
        <v>0.8326388888888889</v>
      </c>
      <c r="D100" s="26" t="n">
        <v>1800</v>
      </c>
    </row>
    <row r="101">
      <c r="A101" s="56">
        <f>_xlfn.XLOOKUP("272N-10-0",Trip[trip_id],Trip[trip_id],"Não encontrado")</f>
        <v/>
      </c>
      <c r="B101" s="28" t="n">
        <v>0.8333333333333334</v>
      </c>
      <c r="C101" s="28" t="n">
        <v>0.8743055555555556</v>
      </c>
      <c r="D101" s="29" t="n">
        <v>1800</v>
      </c>
    </row>
    <row r="102">
      <c r="A102" s="55">
        <f>_xlfn.XLOOKUP("272N-10-0",Trip[trip_id],Trip[trip_id],"Não encontrado")</f>
        <v/>
      </c>
      <c r="B102" s="25" t="n">
        <v>0.875</v>
      </c>
      <c r="C102" s="25" t="n">
        <v>0.9159722222222222</v>
      </c>
      <c r="D102" s="26" t="n">
        <v>1800</v>
      </c>
    </row>
    <row r="103">
      <c r="A103" s="56">
        <f>_xlfn.XLOOKUP("272N-10-0",Trip[trip_id],Trip[trip_id],"Não encontrado")</f>
        <v/>
      </c>
      <c r="B103" s="28" t="n">
        <v>0.9166666666666666</v>
      </c>
      <c r="C103" s="28" t="n">
        <v>0.9576388888888889</v>
      </c>
      <c r="D103" s="29" t="n">
        <v>1800</v>
      </c>
    </row>
    <row r="104">
      <c r="A104" s="55">
        <f>_xlfn.XLOOKUP("272N-10-0",Trip[trip_id],Trip[trip_id],"Não encontrado")</f>
        <v/>
      </c>
      <c r="B104" s="25" t="n">
        <v>0.9583333333333334</v>
      </c>
      <c r="C104" s="25" t="n">
        <v>0.9993055555555556</v>
      </c>
      <c r="D104" s="26" t="n">
        <v>1800</v>
      </c>
    </row>
    <row r="105">
      <c r="A105" s="56">
        <f>_xlfn.XLOOKUP("3029-10-0",Trip[trip_id],Trip[trip_id],"Não encontrado")</f>
        <v/>
      </c>
      <c r="B105" s="28" t="n">
        <v>0.1666666666666667</v>
      </c>
      <c r="C105" s="28" t="n">
        <v>0.2076388888888889</v>
      </c>
      <c r="D105" s="29" t="n">
        <v>720</v>
      </c>
    </row>
    <row r="106">
      <c r="A106" s="55">
        <f>_xlfn.XLOOKUP("3029-10-0",Trip[trip_id],Trip[trip_id],"Não encontrado")</f>
        <v/>
      </c>
      <c r="B106" s="25" t="n">
        <v>0.2083333333333333</v>
      </c>
      <c r="C106" s="25" t="n">
        <v>0.2493055555555556</v>
      </c>
      <c r="D106" s="26" t="n">
        <v>360</v>
      </c>
    </row>
    <row r="107">
      <c r="A107" s="56">
        <f>_xlfn.XLOOKUP("3029-10-0",Trip[trip_id],Trip[trip_id],"Não encontrado")</f>
        <v/>
      </c>
      <c r="B107" s="28" t="n">
        <v>0.25</v>
      </c>
      <c r="C107" s="28" t="n">
        <v>0.2909722222222222</v>
      </c>
      <c r="D107" s="29" t="n">
        <v>300</v>
      </c>
    </row>
    <row r="108">
      <c r="A108" s="55">
        <f>_xlfn.XLOOKUP("3029-10-0",Trip[trip_id],Trip[trip_id],"Não encontrado")</f>
        <v/>
      </c>
      <c r="B108" s="25" t="n">
        <v>0.2916666666666667</v>
      </c>
      <c r="C108" s="25" t="n">
        <v>0.3326388888888889</v>
      </c>
      <c r="D108" s="26" t="n">
        <v>360</v>
      </c>
    </row>
    <row r="109">
      <c r="A109" s="56">
        <f>_xlfn.XLOOKUP("3029-10-0",Trip[trip_id],Trip[trip_id],"Não encontrado")</f>
        <v/>
      </c>
      <c r="B109" s="28" t="n">
        <v>0.3333333333333333</v>
      </c>
      <c r="C109" s="28" t="n">
        <v>0.3743055555555556</v>
      </c>
      <c r="D109" s="29" t="n">
        <v>480</v>
      </c>
    </row>
    <row r="110">
      <c r="A110" s="55">
        <f>_xlfn.XLOOKUP("3029-10-0",Trip[trip_id],Trip[trip_id],"Não encontrado")</f>
        <v/>
      </c>
      <c r="B110" s="25" t="n">
        <v>0.375</v>
      </c>
      <c r="C110" s="25" t="n">
        <v>0.4159722222222222</v>
      </c>
      <c r="D110" s="26" t="n">
        <v>600</v>
      </c>
    </row>
    <row r="111">
      <c r="A111" s="56">
        <f>_xlfn.XLOOKUP("3029-10-0",Trip[trip_id],Trip[trip_id],"Não encontrado")</f>
        <v/>
      </c>
      <c r="B111" s="28" t="n">
        <v>0.4166666666666667</v>
      </c>
      <c r="C111" s="28" t="n">
        <v>0.4576388888888889</v>
      </c>
      <c r="D111" s="29" t="n">
        <v>600</v>
      </c>
    </row>
    <row r="112">
      <c r="A112" s="55">
        <f>_xlfn.XLOOKUP("3029-10-0",Trip[trip_id],Trip[trip_id],"Não encontrado")</f>
        <v/>
      </c>
      <c r="B112" s="25" t="n">
        <v>0.4583333333333333</v>
      </c>
      <c r="C112" s="25" t="n">
        <v>0.4993055555555556</v>
      </c>
      <c r="D112" s="26" t="n">
        <v>600</v>
      </c>
    </row>
    <row r="113">
      <c r="A113" s="56">
        <f>_xlfn.XLOOKUP("3029-10-0",Trip[trip_id],Trip[trip_id],"Não encontrado")</f>
        <v/>
      </c>
      <c r="B113" s="28" t="n">
        <v>0.5</v>
      </c>
      <c r="C113" s="28" t="n">
        <v>0.5409722222222222</v>
      </c>
      <c r="D113" s="29" t="n">
        <v>600</v>
      </c>
    </row>
    <row r="114">
      <c r="A114" s="55">
        <f>_xlfn.XLOOKUP("3029-10-0",Trip[trip_id],Trip[trip_id],"Não encontrado")</f>
        <v/>
      </c>
      <c r="B114" s="25" t="n">
        <v>0.5416666666666666</v>
      </c>
      <c r="C114" s="25" t="n">
        <v>0.5826388888888889</v>
      </c>
      <c r="D114" s="26" t="n">
        <v>600</v>
      </c>
    </row>
    <row r="115">
      <c r="A115" s="56">
        <f>_xlfn.XLOOKUP("3029-10-0",Trip[trip_id],Trip[trip_id],"Não encontrado")</f>
        <v/>
      </c>
      <c r="B115" s="28" t="n">
        <v>0.5833333333333334</v>
      </c>
      <c r="C115" s="28" t="n">
        <v>0.6243055555555556</v>
      </c>
      <c r="D115" s="29" t="n">
        <v>600</v>
      </c>
    </row>
    <row r="116">
      <c r="A116" s="55">
        <f>_xlfn.XLOOKUP("3029-10-0",Trip[trip_id],Trip[trip_id],"Não encontrado")</f>
        <v/>
      </c>
      <c r="B116" s="25" t="n">
        <v>0.625</v>
      </c>
      <c r="C116" s="25" t="n">
        <v>0.6659722222222222</v>
      </c>
      <c r="D116" s="26" t="n">
        <v>600</v>
      </c>
    </row>
    <row r="117">
      <c r="A117" s="56">
        <f>_xlfn.XLOOKUP("3029-10-0",Trip[trip_id],Trip[trip_id],"Não encontrado")</f>
        <v/>
      </c>
      <c r="B117" s="28" t="n">
        <v>0.6666666666666666</v>
      </c>
      <c r="C117" s="28" t="n">
        <v>0.7076388888888889</v>
      </c>
      <c r="D117" s="29" t="n">
        <v>420</v>
      </c>
    </row>
    <row r="118">
      <c r="A118" s="55">
        <f>_xlfn.XLOOKUP("3029-10-0",Trip[trip_id],Trip[trip_id],"Não encontrado")</f>
        <v/>
      </c>
      <c r="B118" s="25" t="n">
        <v>0.7083333333333334</v>
      </c>
      <c r="C118" s="25" t="n">
        <v>0.7493055555555556</v>
      </c>
      <c r="D118" s="26" t="n">
        <v>480</v>
      </c>
    </row>
    <row r="119">
      <c r="A119" s="56">
        <f>_xlfn.XLOOKUP("3029-10-0",Trip[trip_id],Trip[trip_id],"Não encontrado")</f>
        <v/>
      </c>
      <c r="B119" s="28" t="n">
        <v>0.75</v>
      </c>
      <c r="C119" s="28" t="n">
        <v>0.7909722222222222</v>
      </c>
      <c r="D119" s="29" t="n">
        <v>600</v>
      </c>
    </row>
    <row r="120">
      <c r="A120" s="55">
        <f>_xlfn.XLOOKUP("3029-10-0",Trip[trip_id],Trip[trip_id],"Não encontrado")</f>
        <v/>
      </c>
      <c r="B120" s="25" t="n">
        <v>0.7916666666666666</v>
      </c>
      <c r="C120" s="25" t="n">
        <v>0.8326388888888889</v>
      </c>
      <c r="D120" s="26" t="n">
        <v>600</v>
      </c>
    </row>
    <row r="121">
      <c r="A121" s="56">
        <f>_xlfn.XLOOKUP("3029-10-0",Trip[trip_id],Trip[trip_id],"Não encontrado")</f>
        <v/>
      </c>
      <c r="B121" s="28" t="n">
        <v>0.8333333333333334</v>
      </c>
      <c r="C121" s="28" t="n">
        <v>0.8743055555555556</v>
      </c>
      <c r="D121" s="29" t="n">
        <v>600</v>
      </c>
    </row>
    <row r="122">
      <c r="A122" s="55">
        <f>_xlfn.XLOOKUP("3029-10-0",Trip[trip_id],Trip[trip_id],"Não encontrado")</f>
        <v/>
      </c>
      <c r="B122" s="25" t="n">
        <v>0.875</v>
      </c>
      <c r="C122" s="25" t="n">
        <v>0.9159722222222222</v>
      </c>
      <c r="D122" s="26" t="n">
        <v>600</v>
      </c>
    </row>
    <row r="123">
      <c r="A123" s="56">
        <f>_xlfn.XLOOKUP("3029-10-0",Trip[trip_id],Trip[trip_id],"Não encontrado")</f>
        <v/>
      </c>
      <c r="B123" s="28" t="n">
        <v>0.9166666666666666</v>
      </c>
      <c r="C123" s="28" t="n">
        <v>0.9576388888888889</v>
      </c>
      <c r="D123" s="29" t="n">
        <v>900</v>
      </c>
    </row>
    <row r="124">
      <c r="A124" s="55">
        <f>_xlfn.XLOOKUP("3029-10-0",Trip[trip_id],Trip[trip_id],"Não encontrado")</f>
        <v/>
      </c>
      <c r="B124" s="25" t="n">
        <v>0.9583333333333334</v>
      </c>
      <c r="C124" s="25" t="n">
        <v>0.9993055555555556</v>
      </c>
      <c r="D124" s="26" t="n">
        <v>1200</v>
      </c>
    </row>
    <row r="125">
      <c r="A125" s="55">
        <f>_xlfn.XLOOKUP("3029-10-1",Trip[trip_id],Trip[trip_id],"Não encontrado")</f>
        <v/>
      </c>
      <c r="B125" s="25" t="n">
        <v>0</v>
      </c>
      <c r="C125" s="25" t="n">
        <v>0.04097222222222222</v>
      </c>
      <c r="D125" s="26" t="n">
        <v>1200</v>
      </c>
    </row>
    <row r="126">
      <c r="A126" s="56">
        <f>_xlfn.XLOOKUP("3029-10-1",Trip[trip_id],Trip[trip_id],"Não encontrado")</f>
        <v/>
      </c>
      <c r="B126" s="28" t="n">
        <v>0.2083333333333333</v>
      </c>
      <c r="C126" s="28" t="n">
        <v>0.2493055555555556</v>
      </c>
      <c r="D126" s="29" t="n">
        <v>720</v>
      </c>
    </row>
    <row r="127">
      <c r="A127" s="55">
        <f>_xlfn.XLOOKUP("3029-10-1",Trip[trip_id],Trip[trip_id],"Não encontrado")</f>
        <v/>
      </c>
      <c r="B127" s="25" t="n">
        <v>0.25</v>
      </c>
      <c r="C127" s="25" t="n">
        <v>0.2909722222222222</v>
      </c>
      <c r="D127" s="26" t="n">
        <v>360</v>
      </c>
    </row>
    <row r="128">
      <c r="A128" s="56">
        <f>_xlfn.XLOOKUP("3029-10-1",Trip[trip_id],Trip[trip_id],"Não encontrado")</f>
        <v/>
      </c>
      <c r="B128" s="28" t="n">
        <v>0.2916666666666667</v>
      </c>
      <c r="C128" s="28" t="n">
        <v>0.3326388888888889</v>
      </c>
      <c r="D128" s="29" t="n">
        <v>360</v>
      </c>
    </row>
    <row r="129">
      <c r="A129" s="55">
        <f>_xlfn.XLOOKUP("3029-10-1",Trip[trip_id],Trip[trip_id],"Não encontrado")</f>
        <v/>
      </c>
      <c r="B129" s="25" t="n">
        <v>0.3333333333333333</v>
      </c>
      <c r="C129" s="25" t="n">
        <v>0.3743055555555556</v>
      </c>
      <c r="D129" s="26" t="n">
        <v>300</v>
      </c>
    </row>
    <row r="130">
      <c r="A130" s="56">
        <f>_xlfn.XLOOKUP("3029-10-1",Trip[trip_id],Trip[trip_id],"Não encontrado")</f>
        <v/>
      </c>
      <c r="B130" s="28" t="n">
        <v>0.375</v>
      </c>
      <c r="C130" s="28" t="n">
        <v>0.4159722222222222</v>
      </c>
      <c r="D130" s="29" t="n">
        <v>420</v>
      </c>
    </row>
    <row r="131">
      <c r="A131" s="55">
        <f>_xlfn.XLOOKUP("3029-10-1",Trip[trip_id],Trip[trip_id],"Não encontrado")</f>
        <v/>
      </c>
      <c r="B131" s="25" t="n">
        <v>0.4166666666666667</v>
      </c>
      <c r="C131" s="25" t="n">
        <v>0.4576388888888889</v>
      </c>
      <c r="D131" s="26" t="n">
        <v>600</v>
      </c>
    </row>
    <row r="132">
      <c r="A132" s="56">
        <f>_xlfn.XLOOKUP("3029-10-1",Trip[trip_id],Trip[trip_id],"Não encontrado")</f>
        <v/>
      </c>
      <c r="B132" s="28" t="n">
        <v>0.4583333333333333</v>
      </c>
      <c r="C132" s="28" t="n">
        <v>0.4993055555555556</v>
      </c>
      <c r="D132" s="29" t="n">
        <v>600</v>
      </c>
    </row>
    <row r="133">
      <c r="A133" s="55">
        <f>_xlfn.XLOOKUP("3029-10-1",Trip[trip_id],Trip[trip_id],"Não encontrado")</f>
        <v/>
      </c>
      <c r="B133" s="25" t="n">
        <v>0.5</v>
      </c>
      <c r="C133" s="25" t="n">
        <v>0.5409722222222222</v>
      </c>
      <c r="D133" s="26" t="n">
        <v>600</v>
      </c>
    </row>
    <row r="134">
      <c r="A134" s="56">
        <f>_xlfn.XLOOKUP("3029-10-1",Trip[trip_id],Trip[trip_id],"Não encontrado")</f>
        <v/>
      </c>
      <c r="B134" s="28" t="n">
        <v>0.5416666666666666</v>
      </c>
      <c r="C134" s="28" t="n">
        <v>0.5826388888888889</v>
      </c>
      <c r="D134" s="29" t="n">
        <v>600</v>
      </c>
    </row>
    <row r="135">
      <c r="A135" s="55">
        <f>_xlfn.XLOOKUP("3029-10-1",Trip[trip_id],Trip[trip_id],"Não encontrado")</f>
        <v/>
      </c>
      <c r="B135" s="25" t="n">
        <v>0.5833333333333334</v>
      </c>
      <c r="C135" s="25" t="n">
        <v>0.6243055555555556</v>
      </c>
      <c r="D135" s="26" t="n">
        <v>600</v>
      </c>
    </row>
    <row r="136">
      <c r="A136" s="56">
        <f>_xlfn.XLOOKUP("3029-10-1",Trip[trip_id],Trip[trip_id],"Não encontrado")</f>
        <v/>
      </c>
      <c r="B136" s="28" t="n">
        <v>0.625</v>
      </c>
      <c r="C136" s="28" t="n">
        <v>0.6659722222222222</v>
      </c>
      <c r="D136" s="29" t="n">
        <v>420</v>
      </c>
    </row>
    <row r="137">
      <c r="A137" s="55">
        <f>_xlfn.XLOOKUP("3029-10-1",Trip[trip_id],Trip[trip_id],"Não encontrado")</f>
        <v/>
      </c>
      <c r="B137" s="25" t="n">
        <v>0.6666666666666666</v>
      </c>
      <c r="C137" s="25" t="n">
        <v>0.7076388888888889</v>
      </c>
      <c r="D137" s="26" t="n">
        <v>360</v>
      </c>
    </row>
    <row r="138">
      <c r="A138" s="56">
        <f>_xlfn.XLOOKUP("3029-10-1",Trip[trip_id],Trip[trip_id],"Não encontrado")</f>
        <v/>
      </c>
      <c r="B138" s="28" t="n">
        <v>0.7083333333333334</v>
      </c>
      <c r="C138" s="28" t="n">
        <v>0.7493055555555556</v>
      </c>
      <c r="D138" s="29" t="n">
        <v>420</v>
      </c>
    </row>
    <row r="139">
      <c r="A139" s="55">
        <f>_xlfn.XLOOKUP("3029-10-1",Trip[trip_id],Trip[trip_id],"Não encontrado")</f>
        <v/>
      </c>
      <c r="B139" s="25" t="n">
        <v>0.75</v>
      </c>
      <c r="C139" s="25" t="n">
        <v>0.7909722222222222</v>
      </c>
      <c r="D139" s="26" t="n">
        <v>420</v>
      </c>
    </row>
    <row r="140">
      <c r="A140" s="56">
        <f>_xlfn.XLOOKUP("3029-10-1",Trip[trip_id],Trip[trip_id],"Não encontrado")</f>
        <v/>
      </c>
      <c r="B140" s="28" t="n">
        <v>0.7916666666666666</v>
      </c>
      <c r="C140" s="28" t="n">
        <v>0.8326388888888889</v>
      </c>
      <c r="D140" s="29" t="n">
        <v>480</v>
      </c>
    </row>
    <row r="141">
      <c r="A141" s="55">
        <f>_xlfn.XLOOKUP("3029-10-1",Trip[trip_id],Trip[trip_id],"Não encontrado")</f>
        <v/>
      </c>
      <c r="B141" s="25" t="n">
        <v>0.8333333333333334</v>
      </c>
      <c r="C141" s="25" t="n">
        <v>0.8743055555555556</v>
      </c>
      <c r="D141" s="26" t="n">
        <v>600</v>
      </c>
    </row>
    <row r="142">
      <c r="A142" s="56">
        <f>_xlfn.XLOOKUP("3029-10-1",Trip[trip_id],Trip[trip_id],"Não encontrado")</f>
        <v/>
      </c>
      <c r="B142" s="28" t="n">
        <v>0.875</v>
      </c>
      <c r="C142" s="28" t="n">
        <v>0.9159722222222222</v>
      </c>
      <c r="D142" s="29" t="n">
        <v>600</v>
      </c>
    </row>
    <row r="143">
      <c r="A143" s="55">
        <f>_xlfn.XLOOKUP("3029-10-1",Trip[trip_id],Trip[trip_id],"Não encontrado")</f>
        <v/>
      </c>
      <c r="B143" s="25" t="n">
        <v>0.9166666666666666</v>
      </c>
      <c r="C143" s="25" t="n">
        <v>0.9576388888888889</v>
      </c>
      <c r="D143" s="26" t="n">
        <v>720</v>
      </c>
    </row>
    <row r="144">
      <c r="A144" s="56">
        <f>_xlfn.XLOOKUP("3029-10-1",Trip[trip_id],Trip[trip_id],"Não encontrado")</f>
        <v/>
      </c>
      <c r="B144" s="28" t="n">
        <v>0.9583333333333334</v>
      </c>
      <c r="C144" s="28" t="n">
        <v>0.9993055555555556</v>
      </c>
      <c r="D144" s="29" t="n">
        <v>1200</v>
      </c>
    </row>
    <row r="145">
      <c r="A145" s="56">
        <f>_xlfn.XLOOKUP("311C-10-0",Trip[trip_id],Trip[trip_id],"Não encontrado")</f>
        <v/>
      </c>
      <c r="B145" s="28" t="n">
        <v>0.1666666666666667</v>
      </c>
      <c r="C145" s="28" t="n">
        <v>0.2076388888888889</v>
      </c>
      <c r="D145" s="29" t="n">
        <v>1800</v>
      </c>
    </row>
    <row r="146">
      <c r="A146" s="55">
        <f>_xlfn.XLOOKUP("311C-10-0",Trip[trip_id],Trip[trip_id],"Não encontrado")</f>
        <v/>
      </c>
      <c r="B146" s="25" t="n">
        <v>0.2083333333333333</v>
      </c>
      <c r="C146" s="25" t="n">
        <v>0.2493055555555556</v>
      </c>
      <c r="D146" s="26" t="n">
        <v>1200</v>
      </c>
    </row>
    <row r="147">
      <c r="A147" s="56">
        <f>_xlfn.XLOOKUP("311C-10-0",Trip[trip_id],Trip[trip_id],"Não encontrado")</f>
        <v/>
      </c>
      <c r="B147" s="28" t="n">
        <v>0.25</v>
      </c>
      <c r="C147" s="28" t="n">
        <v>0.2909722222222222</v>
      </c>
      <c r="D147" s="29" t="n">
        <v>900</v>
      </c>
    </row>
    <row r="148">
      <c r="A148" s="55">
        <f>_xlfn.XLOOKUP("311C-10-0",Trip[trip_id],Trip[trip_id],"Não encontrado")</f>
        <v/>
      </c>
      <c r="B148" s="25" t="n">
        <v>0.2916666666666667</v>
      </c>
      <c r="C148" s="25" t="n">
        <v>0.3326388888888889</v>
      </c>
      <c r="D148" s="26" t="n">
        <v>1200</v>
      </c>
    </row>
    <row r="149">
      <c r="A149" s="56">
        <f>_xlfn.XLOOKUP("311C-10-0",Trip[trip_id],Trip[trip_id],"Não encontrado")</f>
        <v/>
      </c>
      <c r="B149" s="28" t="n">
        <v>0.3333333333333333</v>
      </c>
      <c r="C149" s="28" t="n">
        <v>0.3743055555555556</v>
      </c>
      <c r="D149" s="29" t="n">
        <v>1200</v>
      </c>
    </row>
    <row r="150">
      <c r="A150" s="55">
        <f>_xlfn.XLOOKUP("311C-10-0",Trip[trip_id],Trip[trip_id],"Não encontrado")</f>
        <v/>
      </c>
      <c r="B150" s="25" t="n">
        <v>0.375</v>
      </c>
      <c r="C150" s="25" t="n">
        <v>0.4159722222222222</v>
      </c>
      <c r="D150" s="26" t="n">
        <v>1800</v>
      </c>
    </row>
    <row r="151">
      <c r="A151" s="56">
        <f>_xlfn.XLOOKUP("311C-10-0",Trip[trip_id],Trip[trip_id],"Não encontrado")</f>
        <v/>
      </c>
      <c r="B151" s="28" t="n">
        <v>0.4166666666666667</v>
      </c>
      <c r="C151" s="28" t="n">
        <v>0.4576388888888889</v>
      </c>
      <c r="D151" s="29" t="n">
        <v>1800</v>
      </c>
    </row>
    <row r="152">
      <c r="A152" s="55">
        <f>_xlfn.XLOOKUP("311C-10-0",Trip[trip_id],Trip[trip_id],"Não encontrado")</f>
        <v/>
      </c>
      <c r="B152" s="25" t="n">
        <v>0.4583333333333333</v>
      </c>
      <c r="C152" s="25" t="n">
        <v>0.4993055555555556</v>
      </c>
      <c r="D152" s="26" t="n">
        <v>1200</v>
      </c>
    </row>
    <row r="153">
      <c r="A153" s="56">
        <f>_xlfn.XLOOKUP("311C-10-0",Trip[trip_id],Trip[trip_id],"Não encontrado")</f>
        <v/>
      </c>
      <c r="B153" s="28" t="n">
        <v>0.5</v>
      </c>
      <c r="C153" s="28" t="n">
        <v>0.5409722222222222</v>
      </c>
      <c r="D153" s="29" t="n">
        <v>1200</v>
      </c>
    </row>
    <row r="154">
      <c r="A154" s="55">
        <f>_xlfn.XLOOKUP("311C-10-0",Trip[trip_id],Trip[trip_id],"Não encontrado")</f>
        <v/>
      </c>
      <c r="B154" s="25" t="n">
        <v>0.5416666666666666</v>
      </c>
      <c r="C154" s="25" t="n">
        <v>0.5826388888888889</v>
      </c>
      <c r="D154" s="26" t="n">
        <v>1800</v>
      </c>
    </row>
    <row r="155">
      <c r="A155" s="56">
        <f>_xlfn.XLOOKUP("311C-10-0",Trip[trip_id],Trip[trip_id],"Não encontrado")</f>
        <v/>
      </c>
      <c r="B155" s="28" t="n">
        <v>0.5833333333333334</v>
      </c>
      <c r="C155" s="28" t="n">
        <v>0.6243055555555556</v>
      </c>
      <c r="D155" s="29" t="n">
        <v>1200</v>
      </c>
    </row>
    <row r="156">
      <c r="A156" s="55">
        <f>_xlfn.XLOOKUP("311C-10-0",Trip[trip_id],Trip[trip_id],"Não encontrado")</f>
        <v/>
      </c>
      <c r="B156" s="25" t="n">
        <v>0.625</v>
      </c>
      <c r="C156" s="25" t="n">
        <v>0.6659722222222222</v>
      </c>
      <c r="D156" s="26" t="n">
        <v>900</v>
      </c>
    </row>
    <row r="157">
      <c r="A157" s="56">
        <f>_xlfn.XLOOKUP("311C-10-0",Trip[trip_id],Trip[trip_id],"Não encontrado")</f>
        <v/>
      </c>
      <c r="B157" s="28" t="n">
        <v>0.6666666666666666</v>
      </c>
      <c r="C157" s="28" t="n">
        <v>0.7076388888888889</v>
      </c>
      <c r="D157" s="29" t="n">
        <v>1200</v>
      </c>
    </row>
    <row r="158">
      <c r="A158" s="55">
        <f>_xlfn.XLOOKUP("311C-10-0",Trip[trip_id],Trip[trip_id],"Não encontrado")</f>
        <v/>
      </c>
      <c r="B158" s="25" t="n">
        <v>0.7083333333333334</v>
      </c>
      <c r="C158" s="25" t="n">
        <v>0.7493055555555556</v>
      </c>
      <c r="D158" s="26" t="n">
        <v>1800</v>
      </c>
    </row>
    <row r="159">
      <c r="A159" s="56">
        <f>_xlfn.XLOOKUP("311C-10-0",Trip[trip_id],Trip[trip_id],"Não encontrado")</f>
        <v/>
      </c>
      <c r="B159" s="28" t="n">
        <v>0.75</v>
      </c>
      <c r="C159" s="28" t="n">
        <v>0.7909722222222222</v>
      </c>
      <c r="D159" s="29" t="n">
        <v>1800</v>
      </c>
    </row>
    <row r="160">
      <c r="A160" s="55">
        <f>_xlfn.XLOOKUP("311C-10-0",Trip[trip_id],Trip[trip_id],"Não encontrado")</f>
        <v/>
      </c>
      <c r="B160" s="25" t="n">
        <v>0.7916666666666666</v>
      </c>
      <c r="C160" s="25" t="n">
        <v>0.8326388888888889</v>
      </c>
      <c r="D160" s="26" t="n">
        <v>1800</v>
      </c>
    </row>
    <row r="161">
      <c r="A161" s="56">
        <f>_xlfn.XLOOKUP("311C-10-0",Trip[trip_id],Trip[trip_id],"Não encontrado")</f>
        <v/>
      </c>
      <c r="B161" s="28" t="n">
        <v>0.8333333333333334</v>
      </c>
      <c r="C161" s="28" t="n">
        <v>0.8743055555555556</v>
      </c>
      <c r="D161" s="29" t="n">
        <v>1800</v>
      </c>
    </row>
    <row r="162">
      <c r="A162" s="55">
        <f>_xlfn.XLOOKUP("311C-10-0",Trip[trip_id],Trip[trip_id],"Não encontrado")</f>
        <v/>
      </c>
      <c r="B162" s="25" t="n">
        <v>0.875</v>
      </c>
      <c r="C162" s="25" t="n">
        <v>0.9159722222222222</v>
      </c>
      <c r="D162" s="26" t="n">
        <v>1800</v>
      </c>
    </row>
    <row r="163">
      <c r="A163" s="56">
        <f>_xlfn.XLOOKUP("311C-10-0",Trip[trip_id],Trip[trip_id],"Não encontrado")</f>
        <v/>
      </c>
      <c r="B163" s="28" t="n">
        <v>0.9166666666666666</v>
      </c>
      <c r="C163" s="28" t="n">
        <v>0.9576388888888889</v>
      </c>
      <c r="D163" s="29" t="n">
        <v>1200</v>
      </c>
    </row>
    <row r="164">
      <c r="A164" s="55">
        <f>_xlfn.XLOOKUP("311C-10-0",Trip[trip_id],Trip[trip_id],"Não encontrado")</f>
        <v/>
      </c>
      <c r="B164" s="25" t="n">
        <v>0.9583333333333334</v>
      </c>
      <c r="C164" s="25" t="n">
        <v>0.9993055555555556</v>
      </c>
      <c r="D164" s="26" t="n">
        <v>3600</v>
      </c>
    </row>
    <row r="165">
      <c r="A165" s="56">
        <f>_xlfn.XLOOKUP("311C-10-1",Trip[trip_id],Trip[trip_id],"Não encontrado")</f>
        <v/>
      </c>
      <c r="B165" s="28" t="n">
        <v>0</v>
      </c>
      <c r="C165" s="28" t="n">
        <v>0.04097222222222222</v>
      </c>
      <c r="D165" s="29" t="n">
        <v>1800</v>
      </c>
    </row>
    <row r="166">
      <c r="A166" s="55">
        <f>_xlfn.XLOOKUP("311C-10-1",Trip[trip_id],Trip[trip_id],"Não encontrado")</f>
        <v/>
      </c>
      <c r="B166" s="25" t="n">
        <v>0.1666666666666667</v>
      </c>
      <c r="C166" s="25" t="n">
        <v>0.2076388888888889</v>
      </c>
      <c r="D166" s="26" t="n">
        <v>3600</v>
      </c>
    </row>
    <row r="167">
      <c r="A167" s="56">
        <f>_xlfn.XLOOKUP("311C-10-1",Trip[trip_id],Trip[trip_id],"Não encontrado")</f>
        <v/>
      </c>
      <c r="B167" s="28" t="n">
        <v>0.2083333333333333</v>
      </c>
      <c r="C167" s="28" t="n">
        <v>0.2493055555555556</v>
      </c>
      <c r="D167" s="29" t="n">
        <v>3600</v>
      </c>
    </row>
    <row r="168">
      <c r="A168" s="55">
        <f>_xlfn.XLOOKUP("311C-10-1",Trip[trip_id],Trip[trip_id],"Não encontrado")</f>
        <v/>
      </c>
      <c r="B168" s="25" t="n">
        <v>0.25</v>
      </c>
      <c r="C168" s="25" t="n">
        <v>0.2909722222222222</v>
      </c>
      <c r="D168" s="26" t="n">
        <v>1800</v>
      </c>
    </row>
    <row r="169">
      <c r="A169" s="56">
        <f>_xlfn.XLOOKUP("311C-10-1",Trip[trip_id],Trip[trip_id],"Não encontrado")</f>
        <v/>
      </c>
      <c r="B169" s="28" t="n">
        <v>0.2916666666666667</v>
      </c>
      <c r="C169" s="28" t="n">
        <v>0.3326388888888889</v>
      </c>
      <c r="D169" s="29" t="n">
        <v>1800</v>
      </c>
    </row>
    <row r="170">
      <c r="A170" s="55">
        <f>_xlfn.XLOOKUP("311C-10-1",Trip[trip_id],Trip[trip_id],"Não encontrado")</f>
        <v/>
      </c>
      <c r="B170" s="25" t="n">
        <v>0.3333333333333333</v>
      </c>
      <c r="C170" s="25" t="n">
        <v>0.3743055555555556</v>
      </c>
      <c r="D170" s="26" t="n">
        <v>1200</v>
      </c>
    </row>
    <row r="171">
      <c r="A171" s="56">
        <f>_xlfn.XLOOKUP("311C-10-1",Trip[trip_id],Trip[trip_id],"Não encontrado")</f>
        <v/>
      </c>
      <c r="B171" s="28" t="n">
        <v>0.375</v>
      </c>
      <c r="C171" s="28" t="n">
        <v>0.4159722222222222</v>
      </c>
      <c r="D171" s="29" t="n">
        <v>900</v>
      </c>
    </row>
    <row r="172">
      <c r="A172" s="55">
        <f>_xlfn.XLOOKUP("311C-10-1",Trip[trip_id],Trip[trip_id],"Não encontrado")</f>
        <v/>
      </c>
      <c r="B172" s="25" t="n">
        <v>0.4166666666666667</v>
      </c>
      <c r="C172" s="25" t="n">
        <v>0.4576388888888889</v>
      </c>
      <c r="D172" s="26" t="n">
        <v>1800</v>
      </c>
    </row>
    <row r="173">
      <c r="A173" s="56">
        <f>_xlfn.XLOOKUP("311C-10-1",Trip[trip_id],Trip[trip_id],"Não encontrado")</f>
        <v/>
      </c>
      <c r="B173" s="28" t="n">
        <v>0.4583333333333333</v>
      </c>
      <c r="C173" s="28" t="n">
        <v>0.4993055555555556</v>
      </c>
      <c r="D173" s="29" t="n">
        <v>1800</v>
      </c>
    </row>
    <row r="174">
      <c r="A174" s="55">
        <f>_xlfn.XLOOKUP("311C-10-1",Trip[trip_id],Trip[trip_id],"Não encontrado")</f>
        <v/>
      </c>
      <c r="B174" s="25" t="n">
        <v>0.5</v>
      </c>
      <c r="C174" s="25" t="n">
        <v>0.5409722222222222</v>
      </c>
      <c r="D174" s="26" t="n">
        <v>1200</v>
      </c>
    </row>
    <row r="175">
      <c r="A175" s="56">
        <f>_xlfn.XLOOKUP("311C-10-1",Trip[trip_id],Trip[trip_id],"Não encontrado")</f>
        <v/>
      </c>
      <c r="B175" s="28" t="n">
        <v>0.5416666666666666</v>
      </c>
      <c r="C175" s="28" t="n">
        <v>0.5826388888888889</v>
      </c>
      <c r="D175" s="29" t="n">
        <v>1200</v>
      </c>
    </row>
    <row r="176">
      <c r="A176" s="55">
        <f>_xlfn.XLOOKUP("311C-10-1",Trip[trip_id],Trip[trip_id],"Não encontrado")</f>
        <v/>
      </c>
      <c r="B176" s="25" t="n">
        <v>0.5833333333333334</v>
      </c>
      <c r="C176" s="25" t="n">
        <v>0.6243055555555556</v>
      </c>
      <c r="D176" s="26" t="n">
        <v>1200</v>
      </c>
    </row>
    <row r="177">
      <c r="A177" s="56">
        <f>_xlfn.XLOOKUP("311C-10-1",Trip[trip_id],Trip[trip_id],"Não encontrado")</f>
        <v/>
      </c>
      <c r="B177" s="28" t="n">
        <v>0.625</v>
      </c>
      <c r="C177" s="28" t="n">
        <v>0.6659722222222222</v>
      </c>
      <c r="D177" s="29" t="n">
        <v>1800</v>
      </c>
    </row>
    <row r="178">
      <c r="A178" s="55">
        <f>_xlfn.XLOOKUP("311C-10-1",Trip[trip_id],Trip[trip_id],"Não encontrado")</f>
        <v/>
      </c>
      <c r="B178" s="25" t="n">
        <v>0.6666666666666666</v>
      </c>
      <c r="C178" s="25" t="n">
        <v>0.7076388888888889</v>
      </c>
      <c r="D178" s="26" t="n">
        <v>1200</v>
      </c>
    </row>
    <row r="179">
      <c r="A179" s="56">
        <f>_xlfn.XLOOKUP("311C-10-1",Trip[trip_id],Trip[trip_id],"Não encontrado")</f>
        <v/>
      </c>
      <c r="B179" s="28" t="n">
        <v>0.7083333333333334</v>
      </c>
      <c r="C179" s="28" t="n">
        <v>0.7493055555555556</v>
      </c>
      <c r="D179" s="29" t="n">
        <v>900</v>
      </c>
    </row>
    <row r="180">
      <c r="A180" s="55">
        <f>_xlfn.XLOOKUP("311C-10-1",Trip[trip_id],Trip[trip_id],"Não encontrado")</f>
        <v/>
      </c>
      <c r="B180" s="25" t="n">
        <v>0.75</v>
      </c>
      <c r="C180" s="25" t="n">
        <v>0.7909722222222222</v>
      </c>
      <c r="D180" s="26" t="n">
        <v>1200</v>
      </c>
    </row>
    <row r="181">
      <c r="A181" s="56">
        <f>_xlfn.XLOOKUP("311C-10-1",Trip[trip_id],Trip[trip_id],"Não encontrado")</f>
        <v/>
      </c>
      <c r="B181" s="28" t="n">
        <v>0.7916666666666666</v>
      </c>
      <c r="C181" s="28" t="n">
        <v>0.8326388888888889</v>
      </c>
      <c r="D181" s="29" t="n">
        <v>1800</v>
      </c>
    </row>
    <row r="182">
      <c r="A182" s="55">
        <f>_xlfn.XLOOKUP("311C-10-1",Trip[trip_id],Trip[trip_id],"Não encontrado")</f>
        <v/>
      </c>
      <c r="B182" s="25" t="n">
        <v>0.8333333333333334</v>
      </c>
      <c r="C182" s="25" t="n">
        <v>0.8743055555555556</v>
      </c>
      <c r="D182" s="26" t="n">
        <v>1800</v>
      </c>
    </row>
    <row r="183">
      <c r="A183" s="56">
        <f>_xlfn.XLOOKUP("311C-10-1",Trip[trip_id],Trip[trip_id],"Não encontrado")</f>
        <v/>
      </c>
      <c r="B183" s="28" t="n">
        <v>0.875</v>
      </c>
      <c r="C183" s="28" t="n">
        <v>0.9159722222222222</v>
      </c>
      <c r="D183" s="29" t="n">
        <v>1800</v>
      </c>
    </row>
    <row r="184">
      <c r="A184" s="55">
        <f>_xlfn.XLOOKUP("311C-10-1",Trip[trip_id],Trip[trip_id],"Não encontrado")</f>
        <v/>
      </c>
      <c r="B184" s="25" t="n">
        <v>0.9166666666666666</v>
      </c>
      <c r="C184" s="25" t="n">
        <v>0.9576388888888889</v>
      </c>
      <c r="D184" s="26" t="n">
        <v>1200</v>
      </c>
    </row>
    <row r="185">
      <c r="A185" s="56">
        <f>_xlfn.XLOOKUP("311C-10-1",Trip[trip_id],Trip[trip_id],"Não encontrado")</f>
        <v/>
      </c>
      <c r="B185" s="28" t="n">
        <v>0.9583333333333334</v>
      </c>
      <c r="C185" s="28" t="n">
        <v>0.9993055555555556</v>
      </c>
      <c r="D185" s="29" t="n">
        <v>1800</v>
      </c>
    </row>
    <row r="186">
      <c r="A186" s="55">
        <f>_xlfn.XLOOKUP("351F-10-0",Trip[trip_id],Trip[trip_id],"Não encontrado")</f>
        <v/>
      </c>
      <c r="B186" s="25" t="n">
        <v>0.1666666666666667</v>
      </c>
      <c r="C186" s="25" t="n">
        <v>0.2076388888888889</v>
      </c>
      <c r="D186" s="26" t="n">
        <v>1800</v>
      </c>
    </row>
    <row r="187">
      <c r="A187" s="56">
        <f>_xlfn.XLOOKUP("351F-10-0",Trip[trip_id],Trip[trip_id],"Não encontrado")</f>
        <v/>
      </c>
      <c r="B187" s="28" t="n">
        <v>0.2083333333333333</v>
      </c>
      <c r="C187" s="28" t="n">
        <v>0.2493055555555556</v>
      </c>
      <c r="D187" s="29" t="n">
        <v>900</v>
      </c>
    </row>
    <row r="188">
      <c r="A188" s="55">
        <f>_xlfn.XLOOKUP("351F-10-0",Trip[trip_id],Trip[trip_id],"Não encontrado")</f>
        <v/>
      </c>
      <c r="B188" s="25" t="n">
        <v>0.25</v>
      </c>
      <c r="C188" s="25" t="n">
        <v>0.2909722222222222</v>
      </c>
      <c r="D188" s="26" t="n">
        <v>720</v>
      </c>
    </row>
    <row r="189">
      <c r="A189" s="56">
        <f>_xlfn.XLOOKUP("351F-10-0",Trip[trip_id],Trip[trip_id],"Não encontrado")</f>
        <v/>
      </c>
      <c r="B189" s="28" t="n">
        <v>0.2916666666666667</v>
      </c>
      <c r="C189" s="28" t="n">
        <v>0.3326388888888889</v>
      </c>
      <c r="D189" s="29" t="n">
        <v>900</v>
      </c>
    </row>
    <row r="190">
      <c r="A190" s="55">
        <f>_xlfn.XLOOKUP("351F-10-0",Trip[trip_id],Trip[trip_id],"Não encontrado")</f>
        <v/>
      </c>
      <c r="B190" s="25" t="n">
        <v>0.3333333333333333</v>
      </c>
      <c r="C190" s="25" t="n">
        <v>0.3743055555555556</v>
      </c>
      <c r="D190" s="26" t="n">
        <v>1800</v>
      </c>
    </row>
    <row r="191">
      <c r="A191" s="56">
        <f>_xlfn.XLOOKUP("351F-10-0",Trip[trip_id],Trip[trip_id],"Não encontrado")</f>
        <v/>
      </c>
      <c r="B191" s="28" t="n">
        <v>0.375</v>
      </c>
      <c r="C191" s="28" t="n">
        <v>0.4159722222222222</v>
      </c>
      <c r="D191" s="29" t="n">
        <v>1800</v>
      </c>
    </row>
    <row r="192">
      <c r="A192" s="55">
        <f>_xlfn.XLOOKUP("351F-10-0",Trip[trip_id],Trip[trip_id],"Não encontrado")</f>
        <v/>
      </c>
      <c r="B192" s="25" t="n">
        <v>0.4166666666666667</v>
      </c>
      <c r="C192" s="25" t="n">
        <v>0.4576388888888889</v>
      </c>
      <c r="D192" s="26" t="n">
        <v>1800</v>
      </c>
    </row>
    <row r="193">
      <c r="A193" s="56">
        <f>_xlfn.XLOOKUP("351F-10-0",Trip[trip_id],Trip[trip_id],"Não encontrado")</f>
        <v/>
      </c>
      <c r="B193" s="28" t="n">
        <v>0.4583333333333333</v>
      </c>
      <c r="C193" s="28" t="n">
        <v>0.4993055555555556</v>
      </c>
      <c r="D193" s="29" t="n">
        <v>1800</v>
      </c>
    </row>
    <row r="194">
      <c r="A194" s="55">
        <f>_xlfn.XLOOKUP("351F-10-0",Trip[trip_id],Trip[trip_id],"Não encontrado")</f>
        <v/>
      </c>
      <c r="B194" s="25" t="n">
        <v>0.5</v>
      </c>
      <c r="C194" s="25" t="n">
        <v>0.5409722222222222</v>
      </c>
      <c r="D194" s="26" t="n">
        <v>1200</v>
      </c>
    </row>
    <row r="195">
      <c r="A195" s="56">
        <f>_xlfn.XLOOKUP("351F-10-0",Trip[trip_id],Trip[trip_id],"Não encontrado")</f>
        <v/>
      </c>
      <c r="B195" s="28" t="n">
        <v>0.5416666666666666</v>
      </c>
      <c r="C195" s="28" t="n">
        <v>0.5826388888888889</v>
      </c>
      <c r="D195" s="29" t="n">
        <v>1200</v>
      </c>
    </row>
    <row r="196">
      <c r="A196" s="55">
        <f>_xlfn.XLOOKUP("351F-10-0",Trip[trip_id],Trip[trip_id],"Não encontrado")</f>
        <v/>
      </c>
      <c r="B196" s="25" t="n">
        <v>0.5833333333333334</v>
      </c>
      <c r="C196" s="25" t="n">
        <v>0.6243055555555556</v>
      </c>
      <c r="D196" s="26" t="n">
        <v>1800</v>
      </c>
    </row>
    <row r="197">
      <c r="A197" s="56">
        <f>_xlfn.XLOOKUP("351F-10-0",Trip[trip_id],Trip[trip_id],"Não encontrado")</f>
        <v/>
      </c>
      <c r="B197" s="28" t="n">
        <v>0.625</v>
      </c>
      <c r="C197" s="28" t="n">
        <v>0.6659722222222222</v>
      </c>
      <c r="D197" s="29" t="n">
        <v>1200</v>
      </c>
    </row>
    <row r="198">
      <c r="A198" s="55">
        <f>_xlfn.XLOOKUP("351F-10-0",Trip[trip_id],Trip[trip_id],"Não encontrado")</f>
        <v/>
      </c>
      <c r="B198" s="25" t="n">
        <v>0.6666666666666666</v>
      </c>
      <c r="C198" s="25" t="n">
        <v>0.7076388888888889</v>
      </c>
      <c r="D198" s="26" t="n">
        <v>1800</v>
      </c>
    </row>
    <row r="199">
      <c r="A199" s="56">
        <f>_xlfn.XLOOKUP("351F-10-0",Trip[trip_id],Trip[trip_id],"Não encontrado")</f>
        <v/>
      </c>
      <c r="B199" s="28" t="n">
        <v>0.7083333333333334</v>
      </c>
      <c r="C199" s="28" t="n">
        <v>0.7493055555555556</v>
      </c>
      <c r="D199" s="29" t="n">
        <v>1200</v>
      </c>
    </row>
    <row r="200">
      <c r="A200" s="55">
        <f>_xlfn.XLOOKUP("351F-10-0",Trip[trip_id],Trip[trip_id],"Não encontrado")</f>
        <v/>
      </c>
      <c r="B200" s="25" t="n">
        <v>0.75</v>
      </c>
      <c r="C200" s="25" t="n">
        <v>0.7909722222222222</v>
      </c>
      <c r="D200" s="26" t="n">
        <v>1800</v>
      </c>
    </row>
    <row r="201">
      <c r="A201" s="56">
        <f>_xlfn.XLOOKUP("351F-10-0",Trip[trip_id],Trip[trip_id],"Não encontrado")</f>
        <v/>
      </c>
      <c r="B201" s="28" t="n">
        <v>0.7916666666666666</v>
      </c>
      <c r="C201" s="28" t="n">
        <v>0.8326388888888889</v>
      </c>
      <c r="D201" s="29" t="n">
        <v>1800</v>
      </c>
    </row>
    <row r="202">
      <c r="A202" s="55">
        <f>_xlfn.XLOOKUP("351F-10-0",Trip[trip_id],Trip[trip_id],"Não encontrado")</f>
        <v/>
      </c>
      <c r="B202" s="25" t="n">
        <v>0.8333333333333334</v>
      </c>
      <c r="C202" s="25" t="n">
        <v>0.8743055555555556</v>
      </c>
      <c r="D202" s="26" t="n">
        <v>1800</v>
      </c>
    </row>
    <row r="203">
      <c r="A203" s="56">
        <f>_xlfn.XLOOKUP("351F-10-0",Trip[trip_id],Trip[trip_id],"Não encontrado")</f>
        <v/>
      </c>
      <c r="B203" s="28" t="n">
        <v>0.875</v>
      </c>
      <c r="C203" s="28" t="n">
        <v>0.9159722222222222</v>
      </c>
      <c r="D203" s="29" t="n">
        <v>1200</v>
      </c>
    </row>
    <row r="204">
      <c r="A204" s="55">
        <f>_xlfn.XLOOKUP("351F-10-0",Trip[trip_id],Trip[trip_id],"Não encontrado")</f>
        <v/>
      </c>
      <c r="B204" s="25" t="n">
        <v>0.9166666666666666</v>
      </c>
      <c r="C204" s="25" t="n">
        <v>0.9576388888888889</v>
      </c>
      <c r="D204" s="26" t="n">
        <v>1800</v>
      </c>
    </row>
    <row r="205">
      <c r="A205" s="56">
        <f>_xlfn.XLOOKUP("351F-10-0",Trip[trip_id],Trip[trip_id],"Não encontrado")</f>
        <v/>
      </c>
      <c r="B205" s="28" t="n">
        <v>0.9583333333333334</v>
      </c>
      <c r="C205" s="28" t="n">
        <v>0.9993055555555556</v>
      </c>
      <c r="D205" s="29" t="n">
        <v>3600</v>
      </c>
    </row>
    <row r="206">
      <c r="A206" s="55">
        <f>_xlfn.XLOOKUP("351F-10-1",Trip[trip_id],Trip[trip_id],"Não encontrado")</f>
        <v/>
      </c>
      <c r="B206" s="25" t="n">
        <v>0</v>
      </c>
      <c r="C206" s="25" t="n">
        <v>0.04097222222222222</v>
      </c>
      <c r="D206" s="26" t="n">
        <v>1800</v>
      </c>
    </row>
    <row r="207">
      <c r="A207" s="56">
        <f>_xlfn.XLOOKUP("351F-10-1",Trip[trip_id],Trip[trip_id],"Não encontrado")</f>
        <v/>
      </c>
      <c r="B207" s="28" t="n">
        <v>0.1666666666666667</v>
      </c>
      <c r="C207" s="28" t="n">
        <v>0.2076388888888889</v>
      </c>
      <c r="D207" s="29" t="n">
        <v>1800</v>
      </c>
    </row>
    <row r="208">
      <c r="A208" s="55">
        <f>_xlfn.XLOOKUP("351F-10-1",Trip[trip_id],Trip[trip_id],"Não encontrado")</f>
        <v/>
      </c>
      <c r="B208" s="25" t="n">
        <v>0.2083333333333333</v>
      </c>
      <c r="C208" s="25" t="n">
        <v>0.2493055555555556</v>
      </c>
      <c r="D208" s="26" t="n">
        <v>1200</v>
      </c>
    </row>
    <row r="209">
      <c r="A209" s="56">
        <f>_xlfn.XLOOKUP("351F-10-1",Trip[trip_id],Trip[trip_id],"Não encontrado")</f>
        <v/>
      </c>
      <c r="B209" s="28" t="n">
        <v>0.25</v>
      </c>
      <c r="C209" s="28" t="n">
        <v>0.2909722222222222</v>
      </c>
      <c r="D209" s="29" t="n">
        <v>1200</v>
      </c>
    </row>
    <row r="210">
      <c r="A210" s="55">
        <f>_xlfn.XLOOKUP("351F-10-1",Trip[trip_id],Trip[trip_id],"Não encontrado")</f>
        <v/>
      </c>
      <c r="B210" s="25" t="n">
        <v>0.2916666666666667</v>
      </c>
      <c r="C210" s="25" t="n">
        <v>0.3326388888888889</v>
      </c>
      <c r="D210" s="26" t="n">
        <v>1200</v>
      </c>
    </row>
    <row r="211">
      <c r="A211" s="56">
        <f>_xlfn.XLOOKUP("351F-10-1",Trip[trip_id],Trip[trip_id],"Não encontrado")</f>
        <v/>
      </c>
      <c r="B211" s="28" t="n">
        <v>0.3333333333333333</v>
      </c>
      <c r="C211" s="28" t="n">
        <v>0.3743055555555556</v>
      </c>
      <c r="D211" s="29" t="n">
        <v>1200</v>
      </c>
    </row>
    <row r="212">
      <c r="A212" s="55">
        <f>_xlfn.XLOOKUP("351F-10-1",Trip[trip_id],Trip[trip_id],"Não encontrado")</f>
        <v/>
      </c>
      <c r="B212" s="25" t="n">
        <v>0.375</v>
      </c>
      <c r="C212" s="25" t="n">
        <v>0.4159722222222222</v>
      </c>
      <c r="D212" s="26" t="n">
        <v>1800</v>
      </c>
    </row>
    <row r="213">
      <c r="A213" s="56">
        <f>_xlfn.XLOOKUP("351F-10-1",Trip[trip_id],Trip[trip_id],"Não encontrado")</f>
        <v/>
      </c>
      <c r="B213" s="28" t="n">
        <v>0.4166666666666667</v>
      </c>
      <c r="C213" s="28" t="n">
        <v>0.4576388888888889</v>
      </c>
      <c r="D213" s="29" t="n">
        <v>1800</v>
      </c>
    </row>
    <row r="214">
      <c r="A214" s="55">
        <f>_xlfn.XLOOKUP("351F-10-1",Trip[trip_id],Trip[trip_id],"Não encontrado")</f>
        <v/>
      </c>
      <c r="B214" s="25" t="n">
        <v>0.4583333333333333</v>
      </c>
      <c r="C214" s="25" t="n">
        <v>0.4993055555555556</v>
      </c>
      <c r="D214" s="26" t="n">
        <v>1800</v>
      </c>
    </row>
    <row r="215">
      <c r="A215" s="56">
        <f>_xlfn.XLOOKUP("351F-10-1",Trip[trip_id],Trip[trip_id],"Não encontrado")</f>
        <v/>
      </c>
      <c r="B215" s="28" t="n">
        <v>0.5</v>
      </c>
      <c r="C215" s="28" t="n">
        <v>0.5409722222222222</v>
      </c>
      <c r="D215" s="29" t="n">
        <v>1200</v>
      </c>
    </row>
    <row r="216">
      <c r="A216" s="55">
        <f>_xlfn.XLOOKUP("351F-10-1",Trip[trip_id],Trip[trip_id],"Não encontrado")</f>
        <v/>
      </c>
      <c r="B216" s="25" t="n">
        <v>0.5416666666666666</v>
      </c>
      <c r="C216" s="25" t="n">
        <v>0.5826388888888889</v>
      </c>
      <c r="D216" s="26" t="n">
        <v>1800</v>
      </c>
    </row>
    <row r="217">
      <c r="A217" s="56">
        <f>_xlfn.XLOOKUP("351F-10-1",Trip[trip_id],Trip[trip_id],"Não encontrado")</f>
        <v/>
      </c>
      <c r="B217" s="28" t="n">
        <v>0.5833333333333334</v>
      </c>
      <c r="C217" s="28" t="n">
        <v>0.6243055555555556</v>
      </c>
      <c r="D217" s="29" t="n">
        <v>1200</v>
      </c>
    </row>
    <row r="218">
      <c r="A218" s="55">
        <f>_xlfn.XLOOKUP("351F-10-1",Trip[trip_id],Trip[trip_id],"Não encontrado")</f>
        <v/>
      </c>
      <c r="B218" s="25" t="n">
        <v>0.625</v>
      </c>
      <c r="C218" s="25" t="n">
        <v>0.6659722222222222</v>
      </c>
      <c r="D218" s="26" t="n">
        <v>1200</v>
      </c>
    </row>
    <row r="219">
      <c r="A219" s="56">
        <f>_xlfn.XLOOKUP("351F-10-1",Trip[trip_id],Trip[trip_id],"Não encontrado")</f>
        <v/>
      </c>
      <c r="B219" s="28" t="n">
        <v>0.6666666666666666</v>
      </c>
      <c r="C219" s="28" t="n">
        <v>0.7076388888888889</v>
      </c>
      <c r="D219" s="29" t="n">
        <v>1200</v>
      </c>
    </row>
    <row r="220">
      <c r="A220" s="55">
        <f>_xlfn.XLOOKUP("351F-10-1",Trip[trip_id],Trip[trip_id],"Não encontrado")</f>
        <v/>
      </c>
      <c r="B220" s="25" t="n">
        <v>0.7083333333333334</v>
      </c>
      <c r="C220" s="25" t="n">
        <v>0.7493055555555556</v>
      </c>
      <c r="D220" s="26" t="n">
        <v>1200</v>
      </c>
    </row>
    <row r="221">
      <c r="A221" s="56">
        <f>_xlfn.XLOOKUP("351F-10-1",Trip[trip_id],Trip[trip_id],"Não encontrado")</f>
        <v/>
      </c>
      <c r="B221" s="28" t="n">
        <v>0.75</v>
      </c>
      <c r="C221" s="28" t="n">
        <v>0.7909722222222222</v>
      </c>
      <c r="D221" s="29" t="n">
        <v>1800</v>
      </c>
    </row>
    <row r="222">
      <c r="A222" s="55">
        <f>_xlfn.XLOOKUP("351F-10-1",Trip[trip_id],Trip[trip_id],"Não encontrado")</f>
        <v/>
      </c>
      <c r="B222" s="25" t="n">
        <v>0.7916666666666666</v>
      </c>
      <c r="C222" s="25" t="n">
        <v>0.8326388888888889</v>
      </c>
      <c r="D222" s="26" t="n">
        <v>1800</v>
      </c>
    </row>
    <row r="223">
      <c r="A223" s="56">
        <f>_xlfn.XLOOKUP("351F-10-1",Trip[trip_id],Trip[trip_id],"Não encontrado")</f>
        <v/>
      </c>
      <c r="B223" s="28" t="n">
        <v>0.8333333333333334</v>
      </c>
      <c r="C223" s="28" t="n">
        <v>0.8743055555555556</v>
      </c>
      <c r="D223" s="29" t="n">
        <v>1800</v>
      </c>
    </row>
    <row r="224">
      <c r="A224" s="55">
        <f>_xlfn.XLOOKUP("351F-10-1",Trip[trip_id],Trip[trip_id],"Não encontrado")</f>
        <v/>
      </c>
      <c r="B224" s="25" t="n">
        <v>0.875</v>
      </c>
      <c r="C224" s="25" t="n">
        <v>0.9159722222222222</v>
      </c>
      <c r="D224" s="26" t="n">
        <v>1800</v>
      </c>
    </row>
    <row r="225">
      <c r="A225" s="56">
        <f>_xlfn.XLOOKUP("351F-10-1",Trip[trip_id],Trip[trip_id],"Não encontrado")</f>
        <v/>
      </c>
      <c r="B225" s="28" t="n">
        <v>0.9166666666666666</v>
      </c>
      <c r="C225" s="28" t="n">
        <v>0.9576388888888889</v>
      </c>
      <c r="D225" s="29" t="n">
        <v>1200</v>
      </c>
    </row>
    <row r="226">
      <c r="A226" s="55">
        <f>_xlfn.XLOOKUP("351F-10-1",Trip[trip_id],Trip[trip_id],"Não encontrado")</f>
        <v/>
      </c>
      <c r="B226" s="25" t="n">
        <v>0.9583333333333334</v>
      </c>
      <c r="C226" s="25" t="n">
        <v>0.9993055555555556</v>
      </c>
      <c r="D226" s="26" t="n">
        <v>1800</v>
      </c>
    </row>
    <row r="227">
      <c r="A227" s="56">
        <f>_xlfn.XLOOKUP("372U-10-0",Trip[trip_id],Trip[trip_id],"Não encontrado")</f>
        <v/>
      </c>
      <c r="B227" s="28" t="n">
        <v>0.1666666666666667</v>
      </c>
      <c r="C227" s="28" t="n">
        <v>0.2076388888888889</v>
      </c>
      <c r="D227" s="29" t="n">
        <v>720</v>
      </c>
    </row>
    <row r="228">
      <c r="A228" s="55">
        <f>_xlfn.XLOOKUP("372U-10-0",Trip[trip_id],Trip[trip_id],"Não encontrado")</f>
        <v/>
      </c>
      <c r="B228" s="25" t="n">
        <v>0.2083333333333333</v>
      </c>
      <c r="C228" s="25" t="n">
        <v>0.2493055555555556</v>
      </c>
      <c r="D228" s="26" t="n">
        <v>360</v>
      </c>
    </row>
    <row r="229">
      <c r="A229" s="56">
        <f>_xlfn.XLOOKUP("372U-10-0",Trip[trip_id],Trip[trip_id],"Não encontrado")</f>
        <v/>
      </c>
      <c r="B229" s="28" t="n">
        <v>0.25</v>
      </c>
      <c r="C229" s="28" t="n">
        <v>0.2909722222222222</v>
      </c>
      <c r="D229" s="29" t="n">
        <v>240</v>
      </c>
    </row>
    <row r="230">
      <c r="A230" s="55">
        <f>_xlfn.XLOOKUP("372U-10-0",Trip[trip_id],Trip[trip_id],"Não encontrado")</f>
        <v/>
      </c>
      <c r="B230" s="25" t="n">
        <v>0.2916666666666667</v>
      </c>
      <c r="C230" s="25" t="n">
        <v>0.3326388888888889</v>
      </c>
      <c r="D230" s="26" t="n">
        <v>240</v>
      </c>
    </row>
    <row r="231">
      <c r="A231" s="56">
        <f>_xlfn.XLOOKUP("372U-10-0",Trip[trip_id],Trip[trip_id],"Não encontrado")</f>
        <v/>
      </c>
      <c r="B231" s="28" t="n">
        <v>0.3333333333333333</v>
      </c>
      <c r="C231" s="28" t="n">
        <v>0.3743055555555556</v>
      </c>
      <c r="D231" s="29" t="n">
        <v>300</v>
      </c>
    </row>
    <row r="232">
      <c r="A232" s="55">
        <f>_xlfn.XLOOKUP("372U-10-0",Trip[trip_id],Trip[trip_id],"Não encontrado")</f>
        <v/>
      </c>
      <c r="B232" s="25" t="n">
        <v>0.375</v>
      </c>
      <c r="C232" s="25" t="n">
        <v>0.4159722222222222</v>
      </c>
      <c r="D232" s="26" t="n">
        <v>360</v>
      </c>
    </row>
    <row r="233">
      <c r="A233" s="56">
        <f>_xlfn.XLOOKUP("372U-10-0",Trip[trip_id],Trip[trip_id],"Não encontrado")</f>
        <v/>
      </c>
      <c r="B233" s="28" t="n">
        <v>0.4166666666666667</v>
      </c>
      <c r="C233" s="28" t="n">
        <v>0.4576388888888889</v>
      </c>
      <c r="D233" s="29" t="n">
        <v>360</v>
      </c>
    </row>
    <row r="234">
      <c r="A234" s="55">
        <f>_xlfn.XLOOKUP("372U-10-0",Trip[trip_id],Trip[trip_id],"Não encontrado")</f>
        <v/>
      </c>
      <c r="B234" s="25" t="n">
        <v>0.4583333333333333</v>
      </c>
      <c r="C234" s="25" t="n">
        <v>0.4993055555555556</v>
      </c>
      <c r="D234" s="26" t="n">
        <v>360</v>
      </c>
    </row>
    <row r="235">
      <c r="A235" s="56">
        <f>_xlfn.XLOOKUP("372U-10-0",Trip[trip_id],Trip[trip_id],"Não encontrado")</f>
        <v/>
      </c>
      <c r="B235" s="28" t="n">
        <v>0.5</v>
      </c>
      <c r="C235" s="28" t="n">
        <v>0.5409722222222222</v>
      </c>
      <c r="D235" s="29" t="n">
        <v>360</v>
      </c>
    </row>
    <row r="236">
      <c r="A236" s="55">
        <f>_xlfn.XLOOKUP("372U-10-0",Trip[trip_id],Trip[trip_id],"Não encontrado")</f>
        <v/>
      </c>
      <c r="B236" s="25" t="n">
        <v>0.5416666666666666</v>
      </c>
      <c r="C236" s="25" t="n">
        <v>0.5826388888888889</v>
      </c>
      <c r="D236" s="26" t="n">
        <v>360</v>
      </c>
    </row>
    <row r="237">
      <c r="A237" s="56">
        <f>_xlfn.XLOOKUP("372U-10-0",Trip[trip_id],Trip[trip_id],"Não encontrado")</f>
        <v/>
      </c>
      <c r="B237" s="28" t="n">
        <v>0.5833333333333334</v>
      </c>
      <c r="C237" s="28" t="n">
        <v>0.6243055555555556</v>
      </c>
      <c r="D237" s="29" t="n">
        <v>360</v>
      </c>
    </row>
    <row r="238">
      <c r="A238" s="55">
        <f>_xlfn.XLOOKUP("372U-10-0",Trip[trip_id],Trip[trip_id],"Não encontrado")</f>
        <v/>
      </c>
      <c r="B238" s="25" t="n">
        <v>0.625</v>
      </c>
      <c r="C238" s="25" t="n">
        <v>0.6659722222222222</v>
      </c>
      <c r="D238" s="26" t="n">
        <v>360</v>
      </c>
    </row>
    <row r="239">
      <c r="A239" s="56">
        <f>_xlfn.XLOOKUP("372U-10-0",Trip[trip_id],Trip[trip_id],"Não encontrado")</f>
        <v/>
      </c>
      <c r="B239" s="28" t="n">
        <v>0.6666666666666666</v>
      </c>
      <c r="C239" s="28" t="n">
        <v>0.7076388888888889</v>
      </c>
      <c r="D239" s="29" t="n">
        <v>240</v>
      </c>
    </row>
    <row r="240">
      <c r="A240" s="55">
        <f>_xlfn.XLOOKUP("372U-10-0",Trip[trip_id],Trip[trip_id],"Não encontrado")</f>
        <v/>
      </c>
      <c r="B240" s="25" t="n">
        <v>0.7083333333333334</v>
      </c>
      <c r="C240" s="25" t="n">
        <v>0.7493055555555556</v>
      </c>
      <c r="D240" s="26" t="n">
        <v>240</v>
      </c>
    </row>
    <row r="241">
      <c r="A241" s="56">
        <f>_xlfn.XLOOKUP("372U-10-0",Trip[trip_id],Trip[trip_id],"Não encontrado")</f>
        <v/>
      </c>
      <c r="B241" s="28" t="n">
        <v>0.75</v>
      </c>
      <c r="C241" s="28" t="n">
        <v>0.7909722222222222</v>
      </c>
      <c r="D241" s="29" t="n">
        <v>240</v>
      </c>
    </row>
    <row r="242">
      <c r="A242" s="55">
        <f>_xlfn.XLOOKUP("372U-10-0",Trip[trip_id],Trip[trip_id],"Não encontrado")</f>
        <v/>
      </c>
      <c r="B242" s="25" t="n">
        <v>0.7916666666666666</v>
      </c>
      <c r="C242" s="25" t="n">
        <v>0.8326388888888889</v>
      </c>
      <c r="D242" s="26" t="n">
        <v>420</v>
      </c>
    </row>
    <row r="243">
      <c r="A243" s="56">
        <f>_xlfn.XLOOKUP("372U-10-0",Trip[trip_id],Trip[trip_id],"Não encontrado")</f>
        <v/>
      </c>
      <c r="B243" s="28" t="n">
        <v>0.8333333333333334</v>
      </c>
      <c r="C243" s="28" t="n">
        <v>0.8743055555555556</v>
      </c>
      <c r="D243" s="29" t="n">
        <v>480</v>
      </c>
    </row>
    <row r="244">
      <c r="A244" s="55">
        <f>_xlfn.XLOOKUP("372U-10-0",Trip[trip_id],Trip[trip_id],"Não encontrado")</f>
        <v/>
      </c>
      <c r="B244" s="25" t="n">
        <v>0.875</v>
      </c>
      <c r="C244" s="25" t="n">
        <v>0.9159722222222222</v>
      </c>
      <c r="D244" s="26" t="n">
        <v>420</v>
      </c>
    </row>
    <row r="245">
      <c r="A245" s="56">
        <f>_xlfn.XLOOKUP("372U-10-0",Trip[trip_id],Trip[trip_id],"Não encontrado")</f>
        <v/>
      </c>
      <c r="B245" s="28" t="n">
        <v>0.9166666666666666</v>
      </c>
      <c r="C245" s="28" t="n">
        <v>0.9576388888888889</v>
      </c>
      <c r="D245" s="29" t="n">
        <v>720</v>
      </c>
    </row>
    <row r="246">
      <c r="A246" s="55">
        <f>_xlfn.XLOOKUP("372U-10-0",Trip[trip_id],Trip[trip_id],"Não encontrado")</f>
        <v/>
      </c>
      <c r="B246" s="25" t="n">
        <v>0.9583333333333334</v>
      </c>
      <c r="C246" s="25" t="n">
        <v>0.9993055555555556</v>
      </c>
      <c r="D246" s="26" t="n">
        <v>900</v>
      </c>
    </row>
    <row r="247">
      <c r="A247" s="56">
        <f>_xlfn.XLOOKUP("372U-10-1",Trip[trip_id],Trip[trip_id],"Não encontrado")</f>
        <v/>
      </c>
      <c r="B247" s="28" t="n">
        <v>0</v>
      </c>
      <c r="C247" s="28" t="n">
        <v>0.04097222222222222</v>
      </c>
      <c r="D247" s="29" t="n">
        <v>1800</v>
      </c>
    </row>
    <row r="248">
      <c r="A248" s="55">
        <f>_xlfn.XLOOKUP("372U-10-1",Trip[trip_id],Trip[trip_id],"Não encontrado")</f>
        <v/>
      </c>
      <c r="B248" s="25" t="n">
        <v>0.2083333333333333</v>
      </c>
      <c r="C248" s="25" t="n">
        <v>0.2493055555555556</v>
      </c>
      <c r="D248" s="26" t="n">
        <v>420</v>
      </c>
    </row>
    <row r="249">
      <c r="A249" s="56">
        <f>_xlfn.XLOOKUP("372U-10-1",Trip[trip_id],Trip[trip_id],"Não encontrado")</f>
        <v/>
      </c>
      <c r="B249" s="28" t="n">
        <v>0.25</v>
      </c>
      <c r="C249" s="28" t="n">
        <v>0.2909722222222222</v>
      </c>
      <c r="D249" s="29" t="n">
        <v>300</v>
      </c>
    </row>
    <row r="250">
      <c r="A250" s="55">
        <f>_xlfn.XLOOKUP("372U-10-1",Trip[trip_id],Trip[trip_id],"Não encontrado")</f>
        <v/>
      </c>
      <c r="B250" s="25" t="n">
        <v>0.2916666666666667</v>
      </c>
      <c r="C250" s="25" t="n">
        <v>0.3326388888888889</v>
      </c>
      <c r="D250" s="26" t="n">
        <v>240</v>
      </c>
    </row>
    <row r="251">
      <c r="A251" s="56">
        <f>_xlfn.XLOOKUP("372U-10-1",Trip[trip_id],Trip[trip_id],"Não encontrado")</f>
        <v/>
      </c>
      <c r="B251" s="28" t="n">
        <v>0.3333333333333333</v>
      </c>
      <c r="C251" s="28" t="n">
        <v>0.3743055555555556</v>
      </c>
      <c r="D251" s="29" t="n">
        <v>240</v>
      </c>
    </row>
    <row r="252">
      <c r="A252" s="55">
        <f>_xlfn.XLOOKUP("372U-10-1",Trip[trip_id],Trip[trip_id],"Não encontrado")</f>
        <v/>
      </c>
      <c r="B252" s="25" t="n">
        <v>0.375</v>
      </c>
      <c r="C252" s="25" t="n">
        <v>0.4159722222222222</v>
      </c>
      <c r="D252" s="26" t="n">
        <v>300</v>
      </c>
    </row>
    <row r="253">
      <c r="A253" s="56">
        <f>_xlfn.XLOOKUP("372U-10-1",Trip[trip_id],Trip[trip_id],"Não encontrado")</f>
        <v/>
      </c>
      <c r="B253" s="28" t="n">
        <v>0.4166666666666667</v>
      </c>
      <c r="C253" s="28" t="n">
        <v>0.4576388888888889</v>
      </c>
      <c r="D253" s="29" t="n">
        <v>360</v>
      </c>
    </row>
    <row r="254">
      <c r="A254" s="55">
        <f>_xlfn.XLOOKUP("372U-10-1",Trip[trip_id],Trip[trip_id],"Não encontrado")</f>
        <v/>
      </c>
      <c r="B254" s="25" t="n">
        <v>0.4583333333333333</v>
      </c>
      <c r="C254" s="25" t="n">
        <v>0.4993055555555556</v>
      </c>
      <c r="D254" s="26" t="n">
        <v>360</v>
      </c>
    </row>
    <row r="255">
      <c r="A255" s="56">
        <f>_xlfn.XLOOKUP("372U-10-1",Trip[trip_id],Trip[trip_id],"Não encontrado")</f>
        <v/>
      </c>
      <c r="B255" s="28" t="n">
        <v>0.5</v>
      </c>
      <c r="C255" s="28" t="n">
        <v>0.5409722222222222</v>
      </c>
      <c r="D255" s="29" t="n">
        <v>360</v>
      </c>
    </row>
    <row r="256">
      <c r="A256" s="55">
        <f>_xlfn.XLOOKUP("372U-10-1",Trip[trip_id],Trip[trip_id],"Não encontrado")</f>
        <v/>
      </c>
      <c r="B256" s="25" t="n">
        <v>0.5416666666666666</v>
      </c>
      <c r="C256" s="25" t="n">
        <v>0.5826388888888889</v>
      </c>
      <c r="D256" s="26" t="n">
        <v>360</v>
      </c>
    </row>
    <row r="257">
      <c r="A257" s="56">
        <f>_xlfn.XLOOKUP("372U-10-1",Trip[trip_id],Trip[trip_id],"Não encontrado")</f>
        <v/>
      </c>
      <c r="B257" s="28" t="n">
        <v>0.5833333333333334</v>
      </c>
      <c r="C257" s="28" t="n">
        <v>0.6243055555555556</v>
      </c>
      <c r="D257" s="29" t="n">
        <v>360</v>
      </c>
    </row>
    <row r="258">
      <c r="A258" s="55">
        <f>_xlfn.XLOOKUP("372U-10-1",Trip[trip_id],Trip[trip_id],"Não encontrado")</f>
        <v/>
      </c>
      <c r="B258" s="25" t="n">
        <v>0.625</v>
      </c>
      <c r="C258" s="25" t="n">
        <v>0.6659722222222222</v>
      </c>
      <c r="D258" s="26" t="n">
        <v>240</v>
      </c>
    </row>
    <row r="259">
      <c r="A259" s="56">
        <f>_xlfn.XLOOKUP("372U-10-1",Trip[trip_id],Trip[trip_id],"Não encontrado")</f>
        <v/>
      </c>
      <c r="B259" s="28" t="n">
        <v>0.6666666666666666</v>
      </c>
      <c r="C259" s="28" t="n">
        <v>0.7076388888888889</v>
      </c>
      <c r="D259" s="29" t="n">
        <v>240</v>
      </c>
    </row>
    <row r="260">
      <c r="A260" s="55">
        <f>_xlfn.XLOOKUP("372U-10-1",Trip[trip_id],Trip[trip_id],"Não encontrado")</f>
        <v/>
      </c>
      <c r="B260" s="25" t="n">
        <v>0.7083333333333334</v>
      </c>
      <c r="C260" s="25" t="n">
        <v>0.7493055555555556</v>
      </c>
      <c r="D260" s="26" t="n">
        <v>240</v>
      </c>
    </row>
    <row r="261">
      <c r="A261" s="56">
        <f>_xlfn.XLOOKUP("372U-10-1",Trip[trip_id],Trip[trip_id],"Não encontrado")</f>
        <v/>
      </c>
      <c r="B261" s="28" t="n">
        <v>0.75</v>
      </c>
      <c r="C261" s="28" t="n">
        <v>0.7909722222222222</v>
      </c>
      <c r="D261" s="29" t="n">
        <v>240</v>
      </c>
    </row>
    <row r="262">
      <c r="A262" s="55">
        <f>_xlfn.XLOOKUP("372U-10-1",Trip[trip_id],Trip[trip_id],"Não encontrado")</f>
        <v/>
      </c>
      <c r="B262" s="25" t="n">
        <v>0.7916666666666666</v>
      </c>
      <c r="C262" s="25" t="n">
        <v>0.8326388888888889</v>
      </c>
      <c r="D262" s="26" t="n">
        <v>240</v>
      </c>
    </row>
    <row r="263">
      <c r="A263" s="56">
        <f>_xlfn.XLOOKUP("372U-10-1",Trip[trip_id],Trip[trip_id],"Não encontrado")</f>
        <v/>
      </c>
      <c r="B263" s="28" t="n">
        <v>0.8333333333333334</v>
      </c>
      <c r="C263" s="28" t="n">
        <v>0.8743055555555556</v>
      </c>
      <c r="D263" s="29" t="n">
        <v>420</v>
      </c>
    </row>
    <row r="264">
      <c r="A264" s="55">
        <f>_xlfn.XLOOKUP("372U-10-1",Trip[trip_id],Trip[trip_id],"Não encontrado")</f>
        <v/>
      </c>
      <c r="B264" s="25" t="n">
        <v>0.875</v>
      </c>
      <c r="C264" s="25" t="n">
        <v>0.9159722222222222</v>
      </c>
      <c r="D264" s="26" t="n">
        <v>600</v>
      </c>
    </row>
    <row r="265">
      <c r="A265" s="56">
        <f>_xlfn.XLOOKUP("372U-10-1",Trip[trip_id],Trip[trip_id],"Não encontrado")</f>
        <v/>
      </c>
      <c r="B265" s="28" t="n">
        <v>0.9166666666666666</v>
      </c>
      <c r="C265" s="28" t="n">
        <v>0.9576388888888889</v>
      </c>
      <c r="D265" s="29" t="n">
        <v>720</v>
      </c>
    </row>
    <row r="266">
      <c r="A266" s="55">
        <f>_xlfn.XLOOKUP("372U-10-1",Trip[trip_id],Trip[trip_id],"Não encontrado")</f>
        <v/>
      </c>
      <c r="B266" s="25" t="n">
        <v>0.9583333333333334</v>
      </c>
      <c r="C266" s="25" t="n">
        <v>0.9993055555555556</v>
      </c>
      <c r="D266" s="26" t="n">
        <v>900</v>
      </c>
    </row>
    <row r="267">
      <c r="A267" s="56">
        <f>_xlfn.XLOOKUP("373M-10-0",Trip[trip_id],Trip[trip_id],"Não encontrado")</f>
        <v/>
      </c>
      <c r="B267" s="28" t="n">
        <v>0.1666666666666667</v>
      </c>
      <c r="C267" s="28" t="n">
        <v>0.2076388888888889</v>
      </c>
      <c r="D267" s="29" t="n">
        <v>1800</v>
      </c>
    </row>
    <row r="268">
      <c r="A268" s="55">
        <f>_xlfn.XLOOKUP("373M-10-0",Trip[trip_id],Trip[trip_id],"Não encontrado")</f>
        <v/>
      </c>
      <c r="B268" s="25" t="n">
        <v>0.2083333333333333</v>
      </c>
      <c r="C268" s="25" t="n">
        <v>0.2493055555555556</v>
      </c>
      <c r="D268" s="26" t="n">
        <v>1200</v>
      </c>
    </row>
    <row r="269">
      <c r="A269" s="56">
        <f>_xlfn.XLOOKUP("373M-10-0",Trip[trip_id],Trip[trip_id],"Não encontrado")</f>
        <v/>
      </c>
      <c r="B269" s="28" t="n">
        <v>0.25</v>
      </c>
      <c r="C269" s="28" t="n">
        <v>0.2909722222222222</v>
      </c>
      <c r="D269" s="29" t="n">
        <v>1800</v>
      </c>
    </row>
    <row r="270">
      <c r="A270" s="55">
        <f>_xlfn.XLOOKUP("373M-10-0",Trip[trip_id],Trip[trip_id],"Não encontrado")</f>
        <v/>
      </c>
      <c r="B270" s="25" t="n">
        <v>0.2916666666666667</v>
      </c>
      <c r="C270" s="25" t="n">
        <v>0.3326388888888889</v>
      </c>
      <c r="D270" s="26" t="n">
        <v>1800</v>
      </c>
    </row>
    <row r="271">
      <c r="A271" s="56">
        <f>_xlfn.XLOOKUP("373M-10-0",Trip[trip_id],Trip[trip_id],"Não encontrado")</f>
        <v/>
      </c>
      <c r="B271" s="28" t="n">
        <v>0.3333333333333333</v>
      </c>
      <c r="C271" s="28" t="n">
        <v>0.3743055555555556</v>
      </c>
      <c r="D271" s="29" t="n">
        <v>3600</v>
      </c>
    </row>
    <row r="272">
      <c r="A272" s="55">
        <f>_xlfn.XLOOKUP("373M-10-0",Trip[trip_id],Trip[trip_id],"Não encontrado")</f>
        <v/>
      </c>
      <c r="B272" s="25" t="n">
        <v>0.375</v>
      </c>
      <c r="C272" s="25" t="n">
        <v>0.4159722222222222</v>
      </c>
      <c r="D272" s="26" t="n">
        <v>3600</v>
      </c>
    </row>
    <row r="273">
      <c r="A273" s="56">
        <f>_xlfn.XLOOKUP("373M-10-0",Trip[trip_id],Trip[trip_id],"Não encontrado")</f>
        <v/>
      </c>
      <c r="B273" s="28" t="n">
        <v>0.4166666666666667</v>
      </c>
      <c r="C273" s="28" t="n">
        <v>0.4576388888888889</v>
      </c>
      <c r="D273" s="29" t="n">
        <v>1800</v>
      </c>
    </row>
    <row r="274">
      <c r="A274" s="55">
        <f>_xlfn.XLOOKUP("373M-10-0",Trip[trip_id],Trip[trip_id],"Não encontrado")</f>
        <v/>
      </c>
      <c r="B274" s="25" t="n">
        <v>0.4583333333333333</v>
      </c>
      <c r="C274" s="25" t="n">
        <v>0.4993055555555556</v>
      </c>
      <c r="D274" s="26" t="n">
        <v>1800</v>
      </c>
    </row>
    <row r="275">
      <c r="A275" s="56">
        <f>_xlfn.XLOOKUP("373M-10-0",Trip[trip_id],Trip[trip_id],"Não encontrado")</f>
        <v/>
      </c>
      <c r="B275" s="28" t="n">
        <v>0.5</v>
      </c>
      <c r="C275" s="28" t="n">
        <v>0.5409722222222222</v>
      </c>
      <c r="D275" s="29" t="n">
        <v>3600</v>
      </c>
    </row>
    <row r="276">
      <c r="A276" s="55">
        <f>_xlfn.XLOOKUP("373M-10-0",Trip[trip_id],Trip[trip_id],"Não encontrado")</f>
        <v/>
      </c>
      <c r="B276" s="25" t="n">
        <v>0.5416666666666666</v>
      </c>
      <c r="C276" s="25" t="n">
        <v>0.5826388888888889</v>
      </c>
      <c r="D276" s="26" t="n">
        <v>1800</v>
      </c>
    </row>
    <row r="277">
      <c r="A277" s="56">
        <f>_xlfn.XLOOKUP("373M-10-0",Trip[trip_id],Trip[trip_id],"Não encontrado")</f>
        <v/>
      </c>
      <c r="B277" s="28" t="n">
        <v>0.5833333333333334</v>
      </c>
      <c r="C277" s="28" t="n">
        <v>0.6243055555555556</v>
      </c>
      <c r="D277" s="29" t="n">
        <v>1800</v>
      </c>
    </row>
    <row r="278">
      <c r="A278" s="55">
        <f>_xlfn.XLOOKUP("373M-10-0",Trip[trip_id],Trip[trip_id],"Não encontrado")</f>
        <v/>
      </c>
      <c r="B278" s="25" t="n">
        <v>0.625</v>
      </c>
      <c r="C278" s="25" t="n">
        <v>0.6659722222222222</v>
      </c>
      <c r="D278" s="26" t="n">
        <v>1800</v>
      </c>
    </row>
    <row r="279">
      <c r="A279" s="56">
        <f>_xlfn.XLOOKUP("373M-10-0",Trip[trip_id],Trip[trip_id],"Não encontrado")</f>
        <v/>
      </c>
      <c r="B279" s="28" t="n">
        <v>0.6666666666666666</v>
      </c>
      <c r="C279" s="28" t="n">
        <v>0.7076388888888889</v>
      </c>
      <c r="D279" s="29" t="n">
        <v>3600</v>
      </c>
    </row>
    <row r="280">
      <c r="A280" s="55">
        <f>_xlfn.XLOOKUP("373M-10-0",Trip[trip_id],Trip[trip_id],"Não encontrado")</f>
        <v/>
      </c>
      <c r="B280" s="25" t="n">
        <v>0.7083333333333334</v>
      </c>
      <c r="C280" s="25" t="n">
        <v>0.7493055555555556</v>
      </c>
      <c r="D280" s="26" t="n">
        <v>1800</v>
      </c>
    </row>
    <row r="281">
      <c r="A281" s="56">
        <f>_xlfn.XLOOKUP("373M-10-0",Trip[trip_id],Trip[trip_id],"Não encontrado")</f>
        <v/>
      </c>
      <c r="B281" s="28" t="n">
        <v>0.75</v>
      </c>
      <c r="C281" s="28" t="n">
        <v>0.7909722222222222</v>
      </c>
      <c r="D281" s="29" t="n">
        <v>3600</v>
      </c>
    </row>
    <row r="282">
      <c r="A282" s="55">
        <f>_xlfn.XLOOKUP("373M-10-0",Trip[trip_id],Trip[trip_id],"Não encontrado")</f>
        <v/>
      </c>
      <c r="B282" s="25" t="n">
        <v>0.7916666666666666</v>
      </c>
      <c r="C282" s="25" t="n">
        <v>0.8326388888888889</v>
      </c>
      <c r="D282" s="26" t="n">
        <v>1800</v>
      </c>
    </row>
    <row r="283">
      <c r="A283" s="56">
        <f>_xlfn.XLOOKUP("373M-10-0",Trip[trip_id],Trip[trip_id],"Não encontrado")</f>
        <v/>
      </c>
      <c r="B283" s="28" t="n">
        <v>0.8333333333333334</v>
      </c>
      <c r="C283" s="28" t="n">
        <v>0.8743055555555556</v>
      </c>
      <c r="D283" s="29" t="n">
        <v>3600</v>
      </c>
    </row>
    <row r="284">
      <c r="A284" s="55">
        <f>_xlfn.XLOOKUP("373M-10-0",Trip[trip_id],Trip[trip_id],"Não encontrado")</f>
        <v/>
      </c>
      <c r="B284" s="25" t="n">
        <v>0.875</v>
      </c>
      <c r="C284" s="25" t="n">
        <v>0.9159722222222222</v>
      </c>
      <c r="D284" s="26" t="n">
        <v>1800</v>
      </c>
    </row>
    <row r="285">
      <c r="A285" s="56">
        <f>_xlfn.XLOOKUP("373M-10-0",Trip[trip_id],Trip[trip_id],"Não encontrado")</f>
        <v/>
      </c>
      <c r="B285" s="28" t="n">
        <v>0.9166666666666666</v>
      </c>
      <c r="C285" s="28" t="n">
        <v>0.9576388888888889</v>
      </c>
      <c r="D285" s="29" t="n">
        <v>1800</v>
      </c>
    </row>
    <row r="286">
      <c r="A286" s="55">
        <f>_xlfn.XLOOKUP("373M-10-0",Trip[trip_id],Trip[trip_id],"Não encontrado")</f>
        <v/>
      </c>
      <c r="B286" s="25" t="n">
        <v>0.9583333333333334</v>
      </c>
      <c r="C286" s="25" t="n">
        <v>0.9993055555555556</v>
      </c>
      <c r="D286" s="26" t="n">
        <v>3600</v>
      </c>
    </row>
    <row r="287">
      <c r="A287" s="56">
        <f>_xlfn.XLOOKUP("373M-10-1",Trip[trip_id],Trip[trip_id],"Não encontrado")</f>
        <v/>
      </c>
      <c r="B287" s="28" t="n">
        <v>0</v>
      </c>
      <c r="C287" s="28" t="n">
        <v>0.04097222222222222</v>
      </c>
      <c r="D287" s="29" t="n">
        <v>3600</v>
      </c>
    </row>
    <row r="288">
      <c r="A288" s="55">
        <f>_xlfn.XLOOKUP("373M-10-1",Trip[trip_id],Trip[trip_id],"Não encontrado")</f>
        <v/>
      </c>
      <c r="B288" s="25" t="n">
        <v>0.1666666666666667</v>
      </c>
      <c r="C288" s="25" t="n">
        <v>0.2076388888888889</v>
      </c>
      <c r="D288" s="26" t="n">
        <v>3600</v>
      </c>
    </row>
    <row r="289">
      <c r="A289" s="56">
        <f>_xlfn.XLOOKUP("373M-10-1",Trip[trip_id],Trip[trip_id],"Não encontrado")</f>
        <v/>
      </c>
      <c r="B289" s="28" t="n">
        <v>0.2083333333333333</v>
      </c>
      <c r="C289" s="28" t="n">
        <v>0.2493055555555556</v>
      </c>
      <c r="D289" s="29" t="n">
        <v>3600</v>
      </c>
    </row>
    <row r="290">
      <c r="A290" s="55">
        <f>_xlfn.XLOOKUP("373M-10-1",Trip[trip_id],Trip[trip_id],"Não encontrado")</f>
        <v/>
      </c>
      <c r="B290" s="25" t="n">
        <v>0.25</v>
      </c>
      <c r="C290" s="25" t="n">
        <v>0.2909722222222222</v>
      </c>
      <c r="D290" s="26" t="n">
        <v>1200</v>
      </c>
    </row>
    <row r="291">
      <c r="A291" s="56">
        <f>_xlfn.XLOOKUP("373M-10-1",Trip[trip_id],Trip[trip_id],"Não encontrado")</f>
        <v/>
      </c>
      <c r="B291" s="28" t="n">
        <v>0.2916666666666667</v>
      </c>
      <c r="C291" s="28" t="n">
        <v>0.3326388888888889</v>
      </c>
      <c r="D291" s="29" t="n">
        <v>1800</v>
      </c>
    </row>
    <row r="292">
      <c r="A292" s="55">
        <f>_xlfn.XLOOKUP("373M-10-1",Trip[trip_id],Trip[trip_id],"Não encontrado")</f>
        <v/>
      </c>
      <c r="B292" s="25" t="n">
        <v>0.3333333333333333</v>
      </c>
      <c r="C292" s="25" t="n">
        <v>0.3743055555555556</v>
      </c>
      <c r="D292" s="26" t="n">
        <v>3600</v>
      </c>
    </row>
    <row r="293">
      <c r="A293" s="56">
        <f>_xlfn.XLOOKUP("373M-10-1",Trip[trip_id],Trip[trip_id],"Não encontrado")</f>
        <v/>
      </c>
      <c r="B293" s="28" t="n">
        <v>0.375</v>
      </c>
      <c r="C293" s="28" t="n">
        <v>0.4159722222222222</v>
      </c>
      <c r="D293" s="29" t="n">
        <v>1800</v>
      </c>
    </row>
    <row r="294">
      <c r="A294" s="55">
        <f>_xlfn.XLOOKUP("373M-10-1",Trip[trip_id],Trip[trip_id],"Não encontrado")</f>
        <v/>
      </c>
      <c r="B294" s="25" t="n">
        <v>0.4166666666666667</v>
      </c>
      <c r="C294" s="25" t="n">
        <v>0.4576388888888889</v>
      </c>
      <c r="D294" s="26" t="n">
        <v>3600</v>
      </c>
    </row>
    <row r="295">
      <c r="A295" s="56">
        <f>_xlfn.XLOOKUP("373M-10-1",Trip[trip_id],Trip[trip_id],"Não encontrado")</f>
        <v/>
      </c>
      <c r="B295" s="28" t="n">
        <v>0.4583333333333333</v>
      </c>
      <c r="C295" s="28" t="n">
        <v>0.4993055555555556</v>
      </c>
      <c r="D295" s="29" t="n">
        <v>3600</v>
      </c>
    </row>
    <row r="296">
      <c r="A296" s="55">
        <f>_xlfn.XLOOKUP("373M-10-1",Trip[trip_id],Trip[trip_id],"Não encontrado")</f>
        <v/>
      </c>
      <c r="B296" s="25" t="n">
        <v>0.5</v>
      </c>
      <c r="C296" s="25" t="n">
        <v>0.5409722222222222</v>
      </c>
      <c r="D296" s="26" t="n">
        <v>1800</v>
      </c>
    </row>
    <row r="297">
      <c r="A297" s="56">
        <f>_xlfn.XLOOKUP("373M-10-1",Trip[trip_id],Trip[trip_id],"Não encontrado")</f>
        <v/>
      </c>
      <c r="B297" s="28" t="n">
        <v>0.5416666666666666</v>
      </c>
      <c r="C297" s="28" t="n">
        <v>0.5826388888888889</v>
      </c>
      <c r="D297" s="29" t="n">
        <v>1800</v>
      </c>
    </row>
    <row r="298">
      <c r="A298" s="55">
        <f>_xlfn.XLOOKUP("373M-10-1",Trip[trip_id],Trip[trip_id],"Não encontrado")</f>
        <v/>
      </c>
      <c r="B298" s="25" t="n">
        <v>0.5833333333333334</v>
      </c>
      <c r="C298" s="25" t="n">
        <v>0.6243055555555556</v>
      </c>
      <c r="D298" s="26" t="n">
        <v>1800</v>
      </c>
    </row>
    <row r="299">
      <c r="A299" s="56">
        <f>_xlfn.XLOOKUP("373M-10-1",Trip[trip_id],Trip[trip_id],"Não encontrado")</f>
        <v/>
      </c>
      <c r="B299" s="28" t="n">
        <v>0.625</v>
      </c>
      <c r="C299" s="28" t="n">
        <v>0.6659722222222222</v>
      </c>
      <c r="D299" s="29" t="n">
        <v>1800</v>
      </c>
    </row>
    <row r="300">
      <c r="A300" s="55">
        <f>_xlfn.XLOOKUP("373M-10-1",Trip[trip_id],Trip[trip_id],"Não encontrado")</f>
        <v/>
      </c>
      <c r="B300" s="25" t="n">
        <v>0.6666666666666666</v>
      </c>
      <c r="C300" s="25" t="n">
        <v>0.7076388888888889</v>
      </c>
      <c r="D300" s="26" t="n">
        <v>3600</v>
      </c>
    </row>
    <row r="301">
      <c r="A301" s="56">
        <f>_xlfn.XLOOKUP("373M-10-1",Trip[trip_id],Trip[trip_id],"Não encontrado")</f>
        <v/>
      </c>
      <c r="B301" s="28" t="n">
        <v>0.7083333333333334</v>
      </c>
      <c r="C301" s="28" t="n">
        <v>0.7493055555555556</v>
      </c>
      <c r="D301" s="29" t="n">
        <v>1800</v>
      </c>
    </row>
    <row r="302">
      <c r="A302" s="55">
        <f>_xlfn.XLOOKUP("373M-10-1",Trip[trip_id],Trip[trip_id],"Não encontrado")</f>
        <v/>
      </c>
      <c r="B302" s="25" t="n">
        <v>0.75</v>
      </c>
      <c r="C302" s="25" t="n">
        <v>0.7909722222222222</v>
      </c>
      <c r="D302" s="26" t="n">
        <v>1800</v>
      </c>
    </row>
    <row r="303">
      <c r="A303" s="56">
        <f>_xlfn.XLOOKUP("373M-10-1",Trip[trip_id],Trip[trip_id],"Não encontrado")</f>
        <v/>
      </c>
      <c r="B303" s="28" t="n">
        <v>0.7916666666666666</v>
      </c>
      <c r="C303" s="28" t="n">
        <v>0.8326388888888889</v>
      </c>
      <c r="D303" s="29" t="n">
        <v>3600</v>
      </c>
    </row>
    <row r="304">
      <c r="A304" s="55">
        <f>_xlfn.XLOOKUP("373M-10-1",Trip[trip_id],Trip[trip_id],"Não encontrado")</f>
        <v/>
      </c>
      <c r="B304" s="25" t="n">
        <v>0.8333333333333334</v>
      </c>
      <c r="C304" s="25" t="n">
        <v>0.8743055555555556</v>
      </c>
      <c r="D304" s="26" t="n">
        <v>3600</v>
      </c>
    </row>
    <row r="305">
      <c r="A305" s="56">
        <f>_xlfn.XLOOKUP("373M-10-1",Trip[trip_id],Trip[trip_id],"Não encontrado")</f>
        <v/>
      </c>
      <c r="B305" s="28" t="n">
        <v>0.875</v>
      </c>
      <c r="C305" s="28" t="n">
        <v>0.9159722222222222</v>
      </c>
      <c r="D305" s="29" t="n">
        <v>1800</v>
      </c>
    </row>
    <row r="306">
      <c r="A306" s="55">
        <f>_xlfn.XLOOKUP("373M-10-1",Trip[trip_id],Trip[trip_id],"Não encontrado")</f>
        <v/>
      </c>
      <c r="B306" s="25" t="n">
        <v>0.9166666666666666</v>
      </c>
      <c r="C306" s="25" t="n">
        <v>0.9576388888888889</v>
      </c>
      <c r="D306" s="26" t="n">
        <v>1800</v>
      </c>
    </row>
    <row r="307">
      <c r="A307" s="56">
        <f>_xlfn.XLOOKUP("373M-10-1",Trip[trip_id],Trip[trip_id],"Não encontrado")</f>
        <v/>
      </c>
      <c r="B307" s="28" t="n">
        <v>0.9583333333333334</v>
      </c>
      <c r="C307" s="28" t="n">
        <v>0.9993055555555556</v>
      </c>
      <c r="D307" s="29" t="n">
        <v>1800</v>
      </c>
    </row>
    <row r="308">
      <c r="A308" s="55">
        <f>_xlfn.XLOOKUP("373T-10-0",Trip[trip_id],Trip[trip_id],"Não encontrado")</f>
        <v/>
      </c>
      <c r="B308" s="25" t="n">
        <v>0</v>
      </c>
      <c r="C308" s="25" t="n">
        <v>0.04097222222222222</v>
      </c>
      <c r="D308" s="26" t="n">
        <v>1800</v>
      </c>
    </row>
    <row r="309">
      <c r="A309" s="56">
        <f>_xlfn.XLOOKUP("373T-10-0",Trip[trip_id],Trip[trip_id],"Não encontrado")</f>
        <v/>
      </c>
      <c r="B309" s="28" t="n">
        <v>0.1666666666666667</v>
      </c>
      <c r="C309" s="28" t="n">
        <v>0.2076388888888889</v>
      </c>
      <c r="D309" s="29" t="n">
        <v>900</v>
      </c>
    </row>
    <row r="310">
      <c r="A310" s="55">
        <f>_xlfn.XLOOKUP("373T-10-0",Trip[trip_id],Trip[trip_id],"Não encontrado")</f>
        <v/>
      </c>
      <c r="B310" s="25" t="n">
        <v>0.2083333333333333</v>
      </c>
      <c r="C310" s="25" t="n">
        <v>0.2493055555555556</v>
      </c>
      <c r="D310" s="26" t="n">
        <v>420</v>
      </c>
    </row>
    <row r="311">
      <c r="A311" s="56">
        <f>_xlfn.XLOOKUP("373T-10-0",Trip[trip_id],Trip[trip_id],"Não encontrado")</f>
        <v/>
      </c>
      <c r="B311" s="28" t="n">
        <v>0.25</v>
      </c>
      <c r="C311" s="28" t="n">
        <v>0.2909722222222222</v>
      </c>
      <c r="D311" s="29" t="n">
        <v>240</v>
      </c>
    </row>
    <row r="312">
      <c r="A312" s="55">
        <f>_xlfn.XLOOKUP("373T-10-0",Trip[trip_id],Trip[trip_id],"Não encontrado")</f>
        <v/>
      </c>
      <c r="B312" s="25" t="n">
        <v>0.2916666666666667</v>
      </c>
      <c r="C312" s="25" t="n">
        <v>0.3326388888888889</v>
      </c>
      <c r="D312" s="26" t="n">
        <v>480</v>
      </c>
    </row>
    <row r="313">
      <c r="A313" s="56">
        <f>_xlfn.XLOOKUP("373T-10-0",Trip[trip_id],Trip[trip_id],"Não encontrado")</f>
        <v/>
      </c>
      <c r="B313" s="28" t="n">
        <v>0.3333333333333333</v>
      </c>
      <c r="C313" s="28" t="n">
        <v>0.3743055555555556</v>
      </c>
      <c r="D313" s="29" t="n">
        <v>600</v>
      </c>
    </row>
    <row r="314">
      <c r="A314" s="55">
        <f>_xlfn.XLOOKUP("373T-10-0",Trip[trip_id],Trip[trip_id],"Não encontrado")</f>
        <v/>
      </c>
      <c r="B314" s="25" t="n">
        <v>0.375</v>
      </c>
      <c r="C314" s="25" t="n">
        <v>0.4159722222222222</v>
      </c>
      <c r="D314" s="26" t="n">
        <v>600</v>
      </c>
    </row>
    <row r="315">
      <c r="A315" s="56">
        <f>_xlfn.XLOOKUP("373T-10-0",Trip[trip_id],Trip[trip_id],"Não encontrado")</f>
        <v/>
      </c>
      <c r="B315" s="28" t="n">
        <v>0.4166666666666667</v>
      </c>
      <c r="C315" s="28" t="n">
        <v>0.4576388888888889</v>
      </c>
      <c r="D315" s="29" t="n">
        <v>720</v>
      </c>
    </row>
    <row r="316">
      <c r="A316" s="55">
        <f>_xlfn.XLOOKUP("373T-10-0",Trip[trip_id],Trip[trip_id],"Não encontrado")</f>
        <v/>
      </c>
      <c r="B316" s="25" t="n">
        <v>0.4583333333333333</v>
      </c>
      <c r="C316" s="25" t="n">
        <v>0.4993055555555556</v>
      </c>
      <c r="D316" s="26" t="n">
        <v>600</v>
      </c>
    </row>
    <row r="317">
      <c r="A317" s="56">
        <f>_xlfn.XLOOKUP("373T-10-0",Trip[trip_id],Trip[trip_id],"Não encontrado")</f>
        <v/>
      </c>
      <c r="B317" s="28" t="n">
        <v>0.5</v>
      </c>
      <c r="C317" s="28" t="n">
        <v>0.5409722222222222</v>
      </c>
      <c r="D317" s="29" t="n">
        <v>480</v>
      </c>
    </row>
    <row r="318">
      <c r="A318" s="55">
        <f>_xlfn.XLOOKUP("373T-10-0",Trip[trip_id],Trip[trip_id],"Não encontrado")</f>
        <v/>
      </c>
      <c r="B318" s="25" t="n">
        <v>0.5416666666666666</v>
      </c>
      <c r="C318" s="25" t="n">
        <v>0.5826388888888889</v>
      </c>
      <c r="D318" s="26" t="n">
        <v>480</v>
      </c>
    </row>
    <row r="319">
      <c r="A319" s="56">
        <f>_xlfn.XLOOKUP("373T-10-0",Trip[trip_id],Trip[trip_id],"Não encontrado")</f>
        <v/>
      </c>
      <c r="B319" s="28" t="n">
        <v>0.5833333333333334</v>
      </c>
      <c r="C319" s="28" t="n">
        <v>0.6243055555555556</v>
      </c>
      <c r="D319" s="29" t="n">
        <v>600</v>
      </c>
    </row>
    <row r="320">
      <c r="A320" s="55">
        <f>_xlfn.XLOOKUP("373T-10-0",Trip[trip_id],Trip[trip_id],"Não encontrado")</f>
        <v/>
      </c>
      <c r="B320" s="25" t="n">
        <v>0.625</v>
      </c>
      <c r="C320" s="25" t="n">
        <v>0.6659722222222222</v>
      </c>
      <c r="D320" s="26" t="n">
        <v>480</v>
      </c>
    </row>
    <row r="321">
      <c r="A321" s="56">
        <f>_xlfn.XLOOKUP("373T-10-0",Trip[trip_id],Trip[trip_id],"Não encontrado")</f>
        <v/>
      </c>
      <c r="B321" s="28" t="n">
        <v>0.6666666666666666</v>
      </c>
      <c r="C321" s="28" t="n">
        <v>0.7076388888888889</v>
      </c>
      <c r="D321" s="29" t="n">
        <v>420</v>
      </c>
    </row>
    <row r="322">
      <c r="A322" s="55">
        <f>_xlfn.XLOOKUP("373T-10-0",Trip[trip_id],Trip[trip_id],"Não encontrado")</f>
        <v/>
      </c>
      <c r="B322" s="25" t="n">
        <v>0.7083333333333334</v>
      </c>
      <c r="C322" s="25" t="n">
        <v>0.7493055555555556</v>
      </c>
      <c r="D322" s="26" t="n">
        <v>360</v>
      </c>
    </row>
    <row r="323">
      <c r="A323" s="56">
        <f>_xlfn.XLOOKUP("373T-10-0",Trip[trip_id],Trip[trip_id],"Não encontrado")</f>
        <v/>
      </c>
      <c r="B323" s="28" t="n">
        <v>0.75</v>
      </c>
      <c r="C323" s="28" t="n">
        <v>0.7909722222222222</v>
      </c>
      <c r="D323" s="29" t="n">
        <v>480</v>
      </c>
    </row>
    <row r="324">
      <c r="A324" s="55">
        <f>_xlfn.XLOOKUP("373T-10-0",Trip[trip_id],Trip[trip_id],"Não encontrado")</f>
        <v/>
      </c>
      <c r="B324" s="25" t="n">
        <v>0.7916666666666666</v>
      </c>
      <c r="C324" s="25" t="n">
        <v>0.8326388888888889</v>
      </c>
      <c r="D324" s="26" t="n">
        <v>600</v>
      </c>
    </row>
    <row r="325">
      <c r="A325" s="56">
        <f>_xlfn.XLOOKUP("373T-10-0",Trip[trip_id],Trip[trip_id],"Não encontrado")</f>
        <v/>
      </c>
      <c r="B325" s="28" t="n">
        <v>0.8333333333333334</v>
      </c>
      <c r="C325" s="28" t="n">
        <v>0.8743055555555556</v>
      </c>
      <c r="D325" s="29" t="n">
        <v>720</v>
      </c>
    </row>
    <row r="326">
      <c r="A326" s="55">
        <f>_xlfn.XLOOKUP("373T-10-0",Trip[trip_id],Trip[trip_id],"Não encontrado")</f>
        <v/>
      </c>
      <c r="B326" s="25" t="n">
        <v>0.875</v>
      </c>
      <c r="C326" s="25" t="n">
        <v>0.9159722222222222</v>
      </c>
      <c r="D326" s="26" t="n">
        <v>600</v>
      </c>
    </row>
    <row r="327">
      <c r="A327" s="56">
        <f>_xlfn.XLOOKUP("373T-10-0",Trip[trip_id],Trip[trip_id],"Não encontrado")</f>
        <v/>
      </c>
      <c r="B327" s="28" t="n">
        <v>0.9166666666666666</v>
      </c>
      <c r="C327" s="28" t="n">
        <v>0.9576388888888889</v>
      </c>
      <c r="D327" s="29" t="n">
        <v>600</v>
      </c>
    </row>
    <row r="328">
      <c r="A328" s="55">
        <f>_xlfn.XLOOKUP("373T-10-0",Trip[trip_id],Trip[trip_id],"Não encontrado")</f>
        <v/>
      </c>
      <c r="B328" s="25" t="n">
        <v>0.9583333333333334</v>
      </c>
      <c r="C328" s="25" t="n">
        <v>0.9993055555555556</v>
      </c>
      <c r="D328" s="26" t="n">
        <v>900</v>
      </c>
    </row>
    <row r="329">
      <c r="A329" s="56">
        <f>_xlfn.XLOOKUP("373T-10-1",Trip[trip_id],Trip[trip_id],"Não encontrado")</f>
        <v/>
      </c>
      <c r="B329" s="28" t="n">
        <v>0</v>
      </c>
      <c r="C329" s="28" t="n">
        <v>0.04097222222222222</v>
      </c>
      <c r="D329" s="29" t="n">
        <v>900</v>
      </c>
    </row>
    <row r="330">
      <c r="A330" s="55">
        <f>_xlfn.XLOOKUP("373T-10-1",Trip[trip_id],Trip[trip_id],"Não encontrado")</f>
        <v/>
      </c>
      <c r="B330" s="25" t="n">
        <v>0.1666666666666667</v>
      </c>
      <c r="C330" s="25" t="n">
        <v>0.2076388888888889</v>
      </c>
      <c r="D330" s="26" t="n">
        <v>1800</v>
      </c>
    </row>
    <row r="331">
      <c r="A331" s="56">
        <f>_xlfn.XLOOKUP("373T-10-1",Trip[trip_id],Trip[trip_id],"Não encontrado")</f>
        <v/>
      </c>
      <c r="B331" s="28" t="n">
        <v>0.2083333333333333</v>
      </c>
      <c r="C331" s="28" t="n">
        <v>0.2493055555555556</v>
      </c>
      <c r="D331" s="29" t="n">
        <v>480</v>
      </c>
    </row>
    <row r="332">
      <c r="A332" s="55">
        <f>_xlfn.XLOOKUP("373T-10-1",Trip[trip_id],Trip[trip_id],"Não encontrado")</f>
        <v/>
      </c>
      <c r="B332" s="25" t="n">
        <v>0.25</v>
      </c>
      <c r="C332" s="25" t="n">
        <v>0.2909722222222222</v>
      </c>
      <c r="D332" s="26" t="n">
        <v>420</v>
      </c>
    </row>
    <row r="333">
      <c r="A333" s="56">
        <f>_xlfn.XLOOKUP("373T-10-1",Trip[trip_id],Trip[trip_id],"Não encontrado")</f>
        <v/>
      </c>
      <c r="B333" s="28" t="n">
        <v>0.2916666666666667</v>
      </c>
      <c r="C333" s="28" t="n">
        <v>0.3326388888888889</v>
      </c>
      <c r="D333" s="29" t="n">
        <v>360</v>
      </c>
    </row>
    <row r="334">
      <c r="A334" s="55">
        <f>_xlfn.XLOOKUP("373T-10-1",Trip[trip_id],Trip[trip_id],"Não encontrado")</f>
        <v/>
      </c>
      <c r="B334" s="25" t="n">
        <v>0.3333333333333333</v>
      </c>
      <c r="C334" s="25" t="n">
        <v>0.3743055555555556</v>
      </c>
      <c r="D334" s="26" t="n">
        <v>360</v>
      </c>
    </row>
    <row r="335">
      <c r="A335" s="56">
        <f>_xlfn.XLOOKUP("373T-10-1",Trip[trip_id],Trip[trip_id],"Não encontrado")</f>
        <v/>
      </c>
      <c r="B335" s="28" t="n">
        <v>0.375</v>
      </c>
      <c r="C335" s="28" t="n">
        <v>0.4159722222222222</v>
      </c>
      <c r="D335" s="29" t="n">
        <v>600</v>
      </c>
    </row>
    <row r="336">
      <c r="A336" s="55">
        <f>_xlfn.XLOOKUP("373T-10-1",Trip[trip_id],Trip[trip_id],"Não encontrado")</f>
        <v/>
      </c>
      <c r="B336" s="25" t="n">
        <v>0.4166666666666667</v>
      </c>
      <c r="C336" s="25" t="n">
        <v>0.4576388888888889</v>
      </c>
      <c r="D336" s="26" t="n">
        <v>600</v>
      </c>
    </row>
    <row r="337">
      <c r="A337" s="56">
        <f>_xlfn.XLOOKUP("373T-10-1",Trip[trip_id],Trip[trip_id],"Não encontrado")</f>
        <v/>
      </c>
      <c r="B337" s="28" t="n">
        <v>0.4583333333333333</v>
      </c>
      <c r="C337" s="28" t="n">
        <v>0.4993055555555556</v>
      </c>
      <c r="D337" s="29" t="n">
        <v>480</v>
      </c>
    </row>
    <row r="338">
      <c r="A338" s="55">
        <f>_xlfn.XLOOKUP("373T-10-1",Trip[trip_id],Trip[trip_id],"Não encontrado")</f>
        <v/>
      </c>
      <c r="B338" s="25" t="n">
        <v>0.5</v>
      </c>
      <c r="C338" s="25" t="n">
        <v>0.5409722222222222</v>
      </c>
      <c r="D338" s="26" t="n">
        <v>600</v>
      </c>
    </row>
    <row r="339">
      <c r="A339" s="56">
        <f>_xlfn.XLOOKUP("373T-10-1",Trip[trip_id],Trip[trip_id],"Não encontrado")</f>
        <v/>
      </c>
      <c r="B339" s="28" t="n">
        <v>0.5416666666666666</v>
      </c>
      <c r="C339" s="28" t="n">
        <v>0.5826388888888889</v>
      </c>
      <c r="D339" s="29" t="n">
        <v>480</v>
      </c>
    </row>
    <row r="340">
      <c r="A340" s="55">
        <f>_xlfn.XLOOKUP("373T-10-1",Trip[trip_id],Trip[trip_id],"Não encontrado")</f>
        <v/>
      </c>
      <c r="B340" s="25" t="n">
        <v>0.5833333333333334</v>
      </c>
      <c r="C340" s="25" t="n">
        <v>0.6243055555555556</v>
      </c>
      <c r="D340" s="26" t="n">
        <v>480</v>
      </c>
    </row>
    <row r="341">
      <c r="A341" s="56">
        <f>_xlfn.XLOOKUP("373T-10-1",Trip[trip_id],Trip[trip_id],"Não encontrado")</f>
        <v/>
      </c>
      <c r="B341" s="28" t="n">
        <v>0.625</v>
      </c>
      <c r="C341" s="28" t="n">
        <v>0.6659722222222222</v>
      </c>
      <c r="D341" s="29" t="n">
        <v>600</v>
      </c>
    </row>
    <row r="342">
      <c r="A342" s="55">
        <f>_xlfn.XLOOKUP("373T-10-1",Trip[trip_id],Trip[trip_id],"Não encontrado")</f>
        <v/>
      </c>
      <c r="B342" s="25" t="n">
        <v>0.6666666666666666</v>
      </c>
      <c r="C342" s="25" t="n">
        <v>0.7076388888888889</v>
      </c>
      <c r="D342" s="26" t="n">
        <v>600</v>
      </c>
    </row>
    <row r="343">
      <c r="A343" s="56">
        <f>_xlfn.XLOOKUP("373T-10-1",Trip[trip_id],Trip[trip_id],"Não encontrado")</f>
        <v/>
      </c>
      <c r="B343" s="28" t="n">
        <v>0.7083333333333334</v>
      </c>
      <c r="C343" s="28" t="n">
        <v>0.7493055555555556</v>
      </c>
      <c r="D343" s="29" t="n">
        <v>480</v>
      </c>
    </row>
    <row r="344">
      <c r="A344" s="55">
        <f>_xlfn.XLOOKUP("373T-10-1",Trip[trip_id],Trip[trip_id],"Não encontrado")</f>
        <v/>
      </c>
      <c r="B344" s="25" t="n">
        <v>0.75</v>
      </c>
      <c r="C344" s="25" t="n">
        <v>0.7909722222222222</v>
      </c>
      <c r="D344" s="26" t="n">
        <v>360</v>
      </c>
    </row>
    <row r="345">
      <c r="A345" s="56">
        <f>_xlfn.XLOOKUP("373T-10-1",Trip[trip_id],Trip[trip_id],"Não encontrado")</f>
        <v/>
      </c>
      <c r="B345" s="28" t="n">
        <v>0.7916666666666666</v>
      </c>
      <c r="C345" s="28" t="n">
        <v>0.8326388888888889</v>
      </c>
      <c r="D345" s="29" t="n">
        <v>420</v>
      </c>
    </row>
    <row r="346">
      <c r="A346" s="55">
        <f>_xlfn.XLOOKUP("373T-10-1",Trip[trip_id],Trip[trip_id],"Não encontrado")</f>
        <v/>
      </c>
      <c r="B346" s="25" t="n">
        <v>0.8333333333333334</v>
      </c>
      <c r="C346" s="25" t="n">
        <v>0.8743055555555556</v>
      </c>
      <c r="D346" s="26" t="n">
        <v>480</v>
      </c>
    </row>
    <row r="347">
      <c r="A347" s="56">
        <f>_xlfn.XLOOKUP("373T-10-1",Trip[trip_id],Trip[trip_id],"Não encontrado")</f>
        <v/>
      </c>
      <c r="B347" s="28" t="n">
        <v>0.875</v>
      </c>
      <c r="C347" s="28" t="n">
        <v>0.9159722222222222</v>
      </c>
      <c r="D347" s="29" t="n">
        <v>600</v>
      </c>
    </row>
    <row r="348">
      <c r="A348" s="55">
        <f>_xlfn.XLOOKUP("373T-10-1",Trip[trip_id],Trip[trip_id],"Não encontrado")</f>
        <v/>
      </c>
      <c r="B348" s="25" t="n">
        <v>0.9166666666666666</v>
      </c>
      <c r="C348" s="25" t="n">
        <v>0.9576388888888889</v>
      </c>
      <c r="D348" s="26" t="n">
        <v>600</v>
      </c>
    </row>
    <row r="349">
      <c r="A349" s="56">
        <f>_xlfn.XLOOKUP("373T-10-1",Trip[trip_id],Trip[trip_id],"Não encontrado")</f>
        <v/>
      </c>
      <c r="B349" s="28" t="n">
        <v>0.9583333333333334</v>
      </c>
      <c r="C349" s="28" t="n">
        <v>0.9993055555555556</v>
      </c>
      <c r="D349" s="29" t="n">
        <v>600</v>
      </c>
    </row>
    <row r="350">
      <c r="A350" s="55">
        <f>_xlfn.XLOOKUP("3762-10-0",Trip[trip_id],Trip[trip_id],"Não encontrado")</f>
        <v/>
      </c>
      <c r="B350" s="25" t="n">
        <v>0.1666666666666667</v>
      </c>
      <c r="C350" s="25" t="n">
        <v>0.2076388888888889</v>
      </c>
      <c r="D350" s="26" t="n">
        <v>1200</v>
      </c>
    </row>
    <row r="351">
      <c r="A351" s="56">
        <f>_xlfn.XLOOKUP("3762-10-0",Trip[trip_id],Trip[trip_id],"Não encontrado")</f>
        <v/>
      </c>
      <c r="B351" s="28" t="n">
        <v>0.2083333333333333</v>
      </c>
      <c r="C351" s="28" t="n">
        <v>0.2493055555555556</v>
      </c>
      <c r="D351" s="29" t="n">
        <v>420</v>
      </c>
    </row>
    <row r="352">
      <c r="A352" s="55">
        <f>_xlfn.XLOOKUP("3762-10-0",Trip[trip_id],Trip[trip_id],"Não encontrado")</f>
        <v/>
      </c>
      <c r="B352" s="25" t="n">
        <v>0.25</v>
      </c>
      <c r="C352" s="25" t="n">
        <v>0.2909722222222222</v>
      </c>
      <c r="D352" s="26" t="n">
        <v>360</v>
      </c>
    </row>
    <row r="353">
      <c r="A353" s="56">
        <f>_xlfn.XLOOKUP("3762-10-0",Trip[trip_id],Trip[trip_id],"Não encontrado")</f>
        <v/>
      </c>
      <c r="B353" s="28" t="n">
        <v>0.2916666666666667</v>
      </c>
      <c r="C353" s="28" t="n">
        <v>0.3326388888888889</v>
      </c>
      <c r="D353" s="29" t="n">
        <v>420</v>
      </c>
    </row>
    <row r="354">
      <c r="A354" s="55">
        <f>_xlfn.XLOOKUP("3762-10-0",Trip[trip_id],Trip[trip_id],"Não encontrado")</f>
        <v/>
      </c>
      <c r="B354" s="25" t="n">
        <v>0.3333333333333333</v>
      </c>
      <c r="C354" s="25" t="n">
        <v>0.3743055555555556</v>
      </c>
      <c r="D354" s="26" t="n">
        <v>600</v>
      </c>
    </row>
    <row r="355">
      <c r="A355" s="56">
        <f>_xlfn.XLOOKUP("3762-10-0",Trip[trip_id],Trip[trip_id],"Não encontrado")</f>
        <v/>
      </c>
      <c r="B355" s="28" t="n">
        <v>0.375</v>
      </c>
      <c r="C355" s="28" t="n">
        <v>0.4159722222222222</v>
      </c>
      <c r="D355" s="29" t="n">
        <v>720</v>
      </c>
    </row>
    <row r="356">
      <c r="A356" s="55">
        <f>_xlfn.XLOOKUP("3762-10-0",Trip[trip_id],Trip[trip_id],"Não encontrado")</f>
        <v/>
      </c>
      <c r="B356" s="25" t="n">
        <v>0.4166666666666667</v>
      </c>
      <c r="C356" s="25" t="n">
        <v>0.4576388888888889</v>
      </c>
      <c r="D356" s="26" t="n">
        <v>600</v>
      </c>
    </row>
    <row r="357">
      <c r="A357" s="56">
        <f>_xlfn.XLOOKUP("3762-10-0",Trip[trip_id],Trip[trip_id],"Não encontrado")</f>
        <v/>
      </c>
      <c r="B357" s="28" t="n">
        <v>0.4583333333333333</v>
      </c>
      <c r="C357" s="28" t="n">
        <v>0.4993055555555556</v>
      </c>
      <c r="D357" s="29" t="n">
        <v>360</v>
      </c>
    </row>
    <row r="358">
      <c r="A358" s="55">
        <f>_xlfn.XLOOKUP("3762-10-0",Trip[trip_id],Trip[trip_id],"Não encontrado")</f>
        <v/>
      </c>
      <c r="B358" s="25" t="n">
        <v>0.5</v>
      </c>
      <c r="C358" s="25" t="n">
        <v>0.5409722222222222</v>
      </c>
      <c r="D358" s="26" t="n">
        <v>480</v>
      </c>
    </row>
    <row r="359">
      <c r="A359" s="56">
        <f>_xlfn.XLOOKUP("3762-10-0",Trip[trip_id],Trip[trip_id],"Não encontrado")</f>
        <v/>
      </c>
      <c r="B359" s="28" t="n">
        <v>0.5416666666666666</v>
      </c>
      <c r="C359" s="28" t="n">
        <v>0.5826388888888889</v>
      </c>
      <c r="D359" s="29" t="n">
        <v>720</v>
      </c>
    </row>
    <row r="360">
      <c r="A360" s="55">
        <f>_xlfn.XLOOKUP("3762-10-0",Trip[trip_id],Trip[trip_id],"Não encontrado")</f>
        <v/>
      </c>
      <c r="B360" s="25" t="n">
        <v>0.5833333333333334</v>
      </c>
      <c r="C360" s="25" t="n">
        <v>0.6243055555555556</v>
      </c>
      <c r="D360" s="26" t="n">
        <v>720</v>
      </c>
    </row>
    <row r="361">
      <c r="A361" s="56">
        <f>_xlfn.XLOOKUP("3762-10-0",Trip[trip_id],Trip[trip_id],"Não encontrado")</f>
        <v/>
      </c>
      <c r="B361" s="28" t="n">
        <v>0.625</v>
      </c>
      <c r="C361" s="28" t="n">
        <v>0.6659722222222222</v>
      </c>
      <c r="D361" s="29" t="n">
        <v>600</v>
      </c>
    </row>
    <row r="362">
      <c r="A362" s="55">
        <f>_xlfn.XLOOKUP("3762-10-0",Trip[trip_id],Trip[trip_id],"Não encontrado")</f>
        <v/>
      </c>
      <c r="B362" s="25" t="n">
        <v>0.6666666666666666</v>
      </c>
      <c r="C362" s="25" t="n">
        <v>0.7076388888888889</v>
      </c>
      <c r="D362" s="26" t="n">
        <v>600</v>
      </c>
    </row>
    <row r="363">
      <c r="A363" s="56">
        <f>_xlfn.XLOOKUP("3762-10-0",Trip[trip_id],Trip[trip_id],"Não encontrado")</f>
        <v/>
      </c>
      <c r="B363" s="28" t="n">
        <v>0.7083333333333334</v>
      </c>
      <c r="C363" s="28" t="n">
        <v>0.7493055555555556</v>
      </c>
      <c r="D363" s="29" t="n">
        <v>420</v>
      </c>
    </row>
    <row r="364">
      <c r="A364" s="55">
        <f>_xlfn.XLOOKUP("3762-10-0",Trip[trip_id],Trip[trip_id],"Não encontrado")</f>
        <v/>
      </c>
      <c r="B364" s="25" t="n">
        <v>0.75</v>
      </c>
      <c r="C364" s="25" t="n">
        <v>0.7909722222222222</v>
      </c>
      <c r="D364" s="26" t="n">
        <v>480</v>
      </c>
    </row>
    <row r="365">
      <c r="A365" s="56">
        <f>_xlfn.XLOOKUP("3762-10-0",Trip[trip_id],Trip[trip_id],"Não encontrado")</f>
        <v/>
      </c>
      <c r="B365" s="28" t="n">
        <v>0.7916666666666666</v>
      </c>
      <c r="C365" s="28" t="n">
        <v>0.8326388888888889</v>
      </c>
      <c r="D365" s="29" t="n">
        <v>600</v>
      </c>
    </row>
    <row r="366">
      <c r="A366" s="55">
        <f>_xlfn.XLOOKUP("3762-10-0",Trip[trip_id],Trip[trip_id],"Não encontrado")</f>
        <v/>
      </c>
      <c r="B366" s="25" t="n">
        <v>0.8333333333333334</v>
      </c>
      <c r="C366" s="25" t="n">
        <v>0.8743055555555556</v>
      </c>
      <c r="D366" s="26" t="n">
        <v>600</v>
      </c>
    </row>
    <row r="367">
      <c r="A367" s="56">
        <f>_xlfn.XLOOKUP("3762-10-0",Trip[trip_id],Trip[trip_id],"Não encontrado")</f>
        <v/>
      </c>
      <c r="B367" s="28" t="n">
        <v>0.875</v>
      </c>
      <c r="C367" s="28" t="n">
        <v>0.9159722222222222</v>
      </c>
      <c r="D367" s="29" t="n">
        <v>600</v>
      </c>
    </row>
    <row r="368">
      <c r="A368" s="55">
        <f>_xlfn.XLOOKUP("3762-10-0",Trip[trip_id],Trip[trip_id],"Não encontrado")</f>
        <v/>
      </c>
      <c r="B368" s="25" t="n">
        <v>0.9166666666666666</v>
      </c>
      <c r="C368" s="25" t="n">
        <v>0.9576388888888889</v>
      </c>
      <c r="D368" s="26" t="n">
        <v>900</v>
      </c>
    </row>
    <row r="369">
      <c r="A369" s="56">
        <f>_xlfn.XLOOKUP("3762-10-0",Trip[trip_id],Trip[trip_id],"Não encontrado")</f>
        <v/>
      </c>
      <c r="B369" s="28" t="n">
        <v>0.9583333333333334</v>
      </c>
      <c r="C369" s="28" t="n">
        <v>0.9993055555555556</v>
      </c>
      <c r="D369" s="29" t="n">
        <v>1800</v>
      </c>
    </row>
    <row r="370">
      <c r="A370" s="55">
        <f>_xlfn.XLOOKUP("3762-10-1",Trip[trip_id],Trip[trip_id],"Não encontrado")</f>
        <v/>
      </c>
      <c r="B370" s="25" t="n">
        <v>0</v>
      </c>
      <c r="C370" s="25" t="n">
        <v>0.04097222222222222</v>
      </c>
      <c r="D370" s="26" t="n">
        <v>1800</v>
      </c>
    </row>
    <row r="371">
      <c r="A371" s="56">
        <f>_xlfn.XLOOKUP("3762-10-1",Trip[trip_id],Trip[trip_id],"Não encontrado")</f>
        <v/>
      </c>
      <c r="B371" s="28" t="n">
        <v>0.2083333333333333</v>
      </c>
      <c r="C371" s="28" t="n">
        <v>0.2493055555555556</v>
      </c>
      <c r="D371" s="29" t="n">
        <v>480</v>
      </c>
    </row>
    <row r="372">
      <c r="A372" s="55">
        <f>_xlfn.XLOOKUP("3762-10-1",Trip[trip_id],Trip[trip_id],"Não encontrado")</f>
        <v/>
      </c>
      <c r="B372" s="25" t="n">
        <v>0.25</v>
      </c>
      <c r="C372" s="25" t="n">
        <v>0.2909722222222222</v>
      </c>
      <c r="D372" s="26" t="n">
        <v>480</v>
      </c>
    </row>
    <row r="373">
      <c r="A373" s="56">
        <f>_xlfn.XLOOKUP("3762-10-1",Trip[trip_id],Trip[trip_id],"Não encontrado")</f>
        <v/>
      </c>
      <c r="B373" s="28" t="n">
        <v>0.2916666666666667</v>
      </c>
      <c r="C373" s="28" t="n">
        <v>0.3326388888888889</v>
      </c>
      <c r="D373" s="29" t="n">
        <v>360</v>
      </c>
    </row>
    <row r="374">
      <c r="A374" s="55">
        <f>_xlfn.XLOOKUP("3762-10-1",Trip[trip_id],Trip[trip_id],"Não encontrado")</f>
        <v/>
      </c>
      <c r="B374" s="25" t="n">
        <v>0.3333333333333333</v>
      </c>
      <c r="C374" s="25" t="n">
        <v>0.3743055555555556</v>
      </c>
      <c r="D374" s="26" t="n">
        <v>420</v>
      </c>
    </row>
    <row r="375">
      <c r="A375" s="56">
        <f>_xlfn.XLOOKUP("3762-10-1",Trip[trip_id],Trip[trip_id],"Não encontrado")</f>
        <v/>
      </c>
      <c r="B375" s="28" t="n">
        <v>0.375</v>
      </c>
      <c r="C375" s="28" t="n">
        <v>0.4159722222222222</v>
      </c>
      <c r="D375" s="29" t="n">
        <v>600</v>
      </c>
    </row>
    <row r="376">
      <c r="A376" s="55">
        <f>_xlfn.XLOOKUP("3762-10-1",Trip[trip_id],Trip[trip_id],"Não encontrado")</f>
        <v/>
      </c>
      <c r="B376" s="25" t="n">
        <v>0.4166666666666667</v>
      </c>
      <c r="C376" s="25" t="n">
        <v>0.4576388888888889</v>
      </c>
      <c r="D376" s="26" t="n">
        <v>720</v>
      </c>
    </row>
    <row r="377">
      <c r="A377" s="56">
        <f>_xlfn.XLOOKUP("3762-10-1",Trip[trip_id],Trip[trip_id],"Não encontrado")</f>
        <v/>
      </c>
      <c r="B377" s="28" t="n">
        <v>0.4583333333333333</v>
      </c>
      <c r="C377" s="28" t="n">
        <v>0.4993055555555556</v>
      </c>
      <c r="D377" s="29" t="n">
        <v>600</v>
      </c>
    </row>
    <row r="378">
      <c r="A378" s="55">
        <f>_xlfn.XLOOKUP("3762-10-1",Trip[trip_id],Trip[trip_id],"Não encontrado")</f>
        <v/>
      </c>
      <c r="B378" s="25" t="n">
        <v>0.5</v>
      </c>
      <c r="C378" s="25" t="n">
        <v>0.5409722222222222</v>
      </c>
      <c r="D378" s="26" t="n">
        <v>720</v>
      </c>
    </row>
    <row r="379">
      <c r="A379" s="56">
        <f>_xlfn.XLOOKUP("3762-10-1",Trip[trip_id],Trip[trip_id],"Não encontrado")</f>
        <v/>
      </c>
      <c r="B379" s="28" t="n">
        <v>0.5416666666666666</v>
      </c>
      <c r="C379" s="28" t="n">
        <v>0.5826388888888889</v>
      </c>
      <c r="D379" s="29" t="n">
        <v>900</v>
      </c>
    </row>
    <row r="380">
      <c r="A380" s="55">
        <f>_xlfn.XLOOKUP("3762-10-1",Trip[trip_id],Trip[trip_id],"Não encontrado")</f>
        <v/>
      </c>
      <c r="B380" s="25" t="n">
        <v>0.5833333333333334</v>
      </c>
      <c r="C380" s="25" t="n">
        <v>0.6243055555555556</v>
      </c>
      <c r="D380" s="26" t="n">
        <v>720</v>
      </c>
    </row>
    <row r="381">
      <c r="A381" s="56">
        <f>_xlfn.XLOOKUP("3762-10-1",Trip[trip_id],Trip[trip_id],"Não encontrado")</f>
        <v/>
      </c>
      <c r="B381" s="28" t="n">
        <v>0.625</v>
      </c>
      <c r="C381" s="28" t="n">
        <v>0.6659722222222222</v>
      </c>
      <c r="D381" s="29" t="n">
        <v>900</v>
      </c>
    </row>
    <row r="382">
      <c r="A382" s="55">
        <f>_xlfn.XLOOKUP("3762-10-1",Trip[trip_id],Trip[trip_id],"Não encontrado")</f>
        <v/>
      </c>
      <c r="B382" s="25" t="n">
        <v>0.6666666666666666</v>
      </c>
      <c r="C382" s="25" t="n">
        <v>0.7076388888888889</v>
      </c>
      <c r="D382" s="26" t="n">
        <v>600</v>
      </c>
    </row>
    <row r="383">
      <c r="A383" s="56">
        <f>_xlfn.XLOOKUP("3762-10-1",Trip[trip_id],Trip[trip_id],"Não encontrado")</f>
        <v/>
      </c>
      <c r="B383" s="28" t="n">
        <v>0.7083333333333334</v>
      </c>
      <c r="C383" s="28" t="n">
        <v>0.7493055555555556</v>
      </c>
      <c r="D383" s="29" t="n">
        <v>420</v>
      </c>
    </row>
    <row r="384">
      <c r="A384" s="55">
        <f>_xlfn.XLOOKUP("3762-10-1",Trip[trip_id],Trip[trip_id],"Não encontrado")</f>
        <v/>
      </c>
      <c r="B384" s="25" t="n">
        <v>0.75</v>
      </c>
      <c r="C384" s="25" t="n">
        <v>0.7909722222222222</v>
      </c>
      <c r="D384" s="26" t="n">
        <v>480</v>
      </c>
    </row>
    <row r="385">
      <c r="A385" s="56">
        <f>_xlfn.XLOOKUP("3762-10-1",Trip[trip_id],Trip[trip_id],"Não encontrado")</f>
        <v/>
      </c>
      <c r="B385" s="28" t="n">
        <v>0.7916666666666666</v>
      </c>
      <c r="C385" s="28" t="n">
        <v>0.8326388888888889</v>
      </c>
      <c r="D385" s="29" t="n">
        <v>480</v>
      </c>
    </row>
    <row r="386">
      <c r="A386" s="55">
        <f>_xlfn.XLOOKUP("3762-10-1",Trip[trip_id],Trip[trip_id],"Não encontrado")</f>
        <v/>
      </c>
      <c r="B386" s="25" t="n">
        <v>0.8333333333333334</v>
      </c>
      <c r="C386" s="25" t="n">
        <v>0.8743055555555556</v>
      </c>
      <c r="D386" s="26" t="n">
        <v>480</v>
      </c>
    </row>
    <row r="387">
      <c r="A387" s="56">
        <f>_xlfn.XLOOKUP("3762-10-1",Trip[trip_id],Trip[trip_id],"Não encontrado")</f>
        <v/>
      </c>
      <c r="B387" s="28" t="n">
        <v>0.875</v>
      </c>
      <c r="C387" s="28" t="n">
        <v>0.9159722222222222</v>
      </c>
      <c r="D387" s="29" t="n">
        <v>720</v>
      </c>
    </row>
    <row r="388">
      <c r="A388" s="55">
        <f>_xlfn.XLOOKUP("3762-10-1",Trip[trip_id],Trip[trip_id],"Não encontrado")</f>
        <v/>
      </c>
      <c r="B388" s="25" t="n">
        <v>0.9166666666666666</v>
      </c>
      <c r="C388" s="25" t="n">
        <v>0.9576388888888889</v>
      </c>
      <c r="D388" s="26" t="n">
        <v>720</v>
      </c>
    </row>
    <row r="389">
      <c r="A389" s="56">
        <f>_xlfn.XLOOKUP("3762-10-1",Trip[trip_id],Trip[trip_id],"Não encontrado")</f>
        <v/>
      </c>
      <c r="B389" s="28" t="n">
        <v>0.9583333333333334</v>
      </c>
      <c r="C389" s="28" t="n">
        <v>0.9993055555555556</v>
      </c>
      <c r="D389" s="29" t="n">
        <v>1200</v>
      </c>
    </row>
    <row r="390">
      <c r="A390" s="55">
        <f>_xlfn.XLOOKUP("3763-10-0",Trip[trip_id],Trip[trip_id],"Não encontrado")</f>
        <v/>
      </c>
      <c r="B390" s="25" t="n">
        <v>0</v>
      </c>
      <c r="C390" s="25" t="n">
        <v>0.04097222222222222</v>
      </c>
      <c r="D390" s="26" t="n">
        <v>3600</v>
      </c>
    </row>
    <row r="391">
      <c r="A391" s="56">
        <f>_xlfn.XLOOKUP("3763-10-0",Trip[trip_id],Trip[trip_id],"Não encontrado")</f>
        <v/>
      </c>
      <c r="B391" s="28" t="n">
        <v>0.1666666666666667</v>
      </c>
      <c r="C391" s="28" t="n">
        <v>0.2076388888888889</v>
      </c>
      <c r="D391" s="29" t="n">
        <v>720</v>
      </c>
    </row>
    <row r="392">
      <c r="A392" s="55">
        <f>_xlfn.XLOOKUP("3763-10-0",Trip[trip_id],Trip[trip_id],"Não encontrado")</f>
        <v/>
      </c>
      <c r="B392" s="25" t="n">
        <v>0.2083333333333333</v>
      </c>
      <c r="C392" s="25" t="n">
        <v>0.2493055555555556</v>
      </c>
      <c r="D392" s="26" t="n">
        <v>420</v>
      </c>
    </row>
    <row r="393">
      <c r="A393" s="56">
        <f>_xlfn.XLOOKUP("3763-10-0",Trip[trip_id],Trip[trip_id],"Não encontrado")</f>
        <v/>
      </c>
      <c r="B393" s="28" t="n">
        <v>0.25</v>
      </c>
      <c r="C393" s="28" t="n">
        <v>0.2909722222222222</v>
      </c>
      <c r="D393" s="29" t="n">
        <v>180</v>
      </c>
    </row>
    <row r="394">
      <c r="A394" s="55">
        <f>_xlfn.XLOOKUP("3763-10-0",Trip[trip_id],Trip[trip_id],"Não encontrado")</f>
        <v/>
      </c>
      <c r="B394" s="25" t="n">
        <v>0.2916666666666667</v>
      </c>
      <c r="C394" s="25" t="n">
        <v>0.3326388888888889</v>
      </c>
      <c r="D394" s="26" t="n">
        <v>180</v>
      </c>
    </row>
    <row r="395">
      <c r="A395" s="56">
        <f>_xlfn.XLOOKUP("3763-10-0",Trip[trip_id],Trip[trip_id],"Não encontrado")</f>
        <v/>
      </c>
      <c r="B395" s="28" t="n">
        <v>0.3333333333333333</v>
      </c>
      <c r="C395" s="28" t="n">
        <v>0.3743055555555556</v>
      </c>
      <c r="D395" s="29" t="n">
        <v>300</v>
      </c>
    </row>
    <row r="396">
      <c r="A396" s="55">
        <f>_xlfn.XLOOKUP("3763-10-0",Trip[trip_id],Trip[trip_id],"Não encontrado")</f>
        <v/>
      </c>
      <c r="B396" s="25" t="n">
        <v>0.375</v>
      </c>
      <c r="C396" s="25" t="n">
        <v>0.4159722222222222</v>
      </c>
      <c r="D396" s="26" t="n">
        <v>420</v>
      </c>
    </row>
    <row r="397">
      <c r="A397" s="56">
        <f>_xlfn.XLOOKUP("3763-10-0",Trip[trip_id],Trip[trip_id],"Não encontrado")</f>
        <v/>
      </c>
      <c r="B397" s="28" t="n">
        <v>0.4166666666666667</v>
      </c>
      <c r="C397" s="28" t="n">
        <v>0.4576388888888889</v>
      </c>
      <c r="D397" s="29" t="n">
        <v>240</v>
      </c>
    </row>
    <row r="398">
      <c r="A398" s="55">
        <f>_xlfn.XLOOKUP("3763-10-0",Trip[trip_id],Trip[trip_id],"Não encontrado")</f>
        <v/>
      </c>
      <c r="B398" s="25" t="n">
        <v>0.4583333333333333</v>
      </c>
      <c r="C398" s="25" t="n">
        <v>0.4993055555555556</v>
      </c>
      <c r="D398" s="26" t="n">
        <v>240</v>
      </c>
    </row>
    <row r="399">
      <c r="A399" s="56">
        <f>_xlfn.XLOOKUP("3763-10-0",Trip[trip_id],Trip[trip_id],"Não encontrado")</f>
        <v/>
      </c>
      <c r="B399" s="28" t="n">
        <v>0.5</v>
      </c>
      <c r="C399" s="28" t="n">
        <v>0.5409722222222222</v>
      </c>
      <c r="D399" s="29" t="n">
        <v>240</v>
      </c>
    </row>
    <row r="400">
      <c r="A400" s="55">
        <f>_xlfn.XLOOKUP("3763-10-0",Trip[trip_id],Trip[trip_id],"Não encontrado")</f>
        <v/>
      </c>
      <c r="B400" s="25" t="n">
        <v>0.5416666666666666</v>
      </c>
      <c r="C400" s="25" t="n">
        <v>0.5826388888888889</v>
      </c>
      <c r="D400" s="26" t="n">
        <v>360</v>
      </c>
    </row>
    <row r="401">
      <c r="A401" s="56">
        <f>_xlfn.XLOOKUP("3763-10-0",Trip[trip_id],Trip[trip_id],"Não encontrado")</f>
        <v/>
      </c>
      <c r="B401" s="28" t="n">
        <v>0.5833333333333334</v>
      </c>
      <c r="C401" s="28" t="n">
        <v>0.6243055555555556</v>
      </c>
      <c r="D401" s="29" t="n">
        <v>420</v>
      </c>
    </row>
    <row r="402">
      <c r="A402" s="55">
        <f>_xlfn.XLOOKUP("3763-10-0",Trip[trip_id],Trip[trip_id],"Não encontrado")</f>
        <v/>
      </c>
      <c r="B402" s="25" t="n">
        <v>0.625</v>
      </c>
      <c r="C402" s="25" t="n">
        <v>0.6659722222222222</v>
      </c>
      <c r="D402" s="26" t="n">
        <v>240</v>
      </c>
    </row>
    <row r="403">
      <c r="A403" s="56">
        <f>_xlfn.XLOOKUP("3763-10-0",Trip[trip_id],Trip[trip_id],"Não encontrado")</f>
        <v/>
      </c>
      <c r="B403" s="28" t="n">
        <v>0.6666666666666666</v>
      </c>
      <c r="C403" s="28" t="n">
        <v>0.7076388888888889</v>
      </c>
      <c r="D403" s="29" t="n">
        <v>240</v>
      </c>
    </row>
    <row r="404">
      <c r="A404" s="55">
        <f>_xlfn.XLOOKUP("3763-10-0",Trip[trip_id],Trip[trip_id],"Não encontrado")</f>
        <v/>
      </c>
      <c r="B404" s="25" t="n">
        <v>0.7083333333333334</v>
      </c>
      <c r="C404" s="25" t="n">
        <v>0.7493055555555556</v>
      </c>
      <c r="D404" s="26" t="n">
        <v>180</v>
      </c>
    </row>
    <row r="405">
      <c r="A405" s="56">
        <f>_xlfn.XLOOKUP("3763-10-0",Trip[trip_id],Trip[trip_id],"Não encontrado")</f>
        <v/>
      </c>
      <c r="B405" s="28" t="n">
        <v>0.75</v>
      </c>
      <c r="C405" s="28" t="n">
        <v>0.7909722222222222</v>
      </c>
      <c r="D405" s="29" t="n">
        <v>240</v>
      </c>
    </row>
    <row r="406">
      <c r="A406" s="55">
        <f>_xlfn.XLOOKUP("3763-10-0",Trip[trip_id],Trip[trip_id],"Não encontrado")</f>
        <v/>
      </c>
      <c r="B406" s="25" t="n">
        <v>0.7916666666666666</v>
      </c>
      <c r="C406" s="25" t="n">
        <v>0.8326388888888889</v>
      </c>
      <c r="D406" s="26" t="n">
        <v>420</v>
      </c>
    </row>
    <row r="407">
      <c r="A407" s="56">
        <f>_xlfn.XLOOKUP("3763-10-0",Trip[trip_id],Trip[trip_id],"Não encontrado")</f>
        <v/>
      </c>
      <c r="B407" s="28" t="n">
        <v>0.8333333333333334</v>
      </c>
      <c r="C407" s="28" t="n">
        <v>0.8743055555555556</v>
      </c>
      <c r="D407" s="29" t="n">
        <v>360</v>
      </c>
    </row>
    <row r="408">
      <c r="A408" s="55">
        <f>_xlfn.XLOOKUP("3763-10-0",Trip[trip_id],Trip[trip_id],"Não encontrado")</f>
        <v/>
      </c>
      <c r="B408" s="25" t="n">
        <v>0.875</v>
      </c>
      <c r="C408" s="25" t="n">
        <v>0.9159722222222222</v>
      </c>
      <c r="D408" s="26" t="n">
        <v>360</v>
      </c>
    </row>
    <row r="409">
      <c r="A409" s="56">
        <f>_xlfn.XLOOKUP("3763-10-0",Trip[trip_id],Trip[trip_id],"Não encontrado")</f>
        <v/>
      </c>
      <c r="B409" s="28" t="n">
        <v>0.9166666666666666</v>
      </c>
      <c r="C409" s="28" t="n">
        <v>0.9576388888888889</v>
      </c>
      <c r="D409" s="29" t="n">
        <v>600</v>
      </c>
    </row>
    <row r="410">
      <c r="A410" s="55">
        <f>_xlfn.XLOOKUP("3763-10-0",Trip[trip_id],Trip[trip_id],"Não encontrado")</f>
        <v/>
      </c>
      <c r="B410" s="25" t="n">
        <v>0.9583333333333334</v>
      </c>
      <c r="C410" s="25" t="n">
        <v>0.9993055555555556</v>
      </c>
      <c r="D410" s="26" t="n">
        <v>900</v>
      </c>
    </row>
    <row r="411">
      <c r="A411" s="55">
        <f>_xlfn.XLOOKUP("3763-10-1",Trip[trip_id],Trip[trip_id],"Não encontrado")</f>
        <v/>
      </c>
      <c r="B411" s="25" t="n">
        <v>0</v>
      </c>
      <c r="C411" s="25" t="n">
        <v>0.04097222222222222</v>
      </c>
      <c r="D411" s="26" t="n">
        <v>1200</v>
      </c>
    </row>
    <row r="412">
      <c r="A412" s="56">
        <f>_xlfn.XLOOKUP("3763-10-1",Trip[trip_id],Trip[trip_id],"Não encontrado")</f>
        <v/>
      </c>
      <c r="B412" s="28" t="n">
        <v>0.1666666666666667</v>
      </c>
      <c r="C412" s="28" t="n">
        <v>0.2076388888888889</v>
      </c>
      <c r="D412" s="29" t="n">
        <v>3600</v>
      </c>
    </row>
    <row r="413">
      <c r="A413" s="55">
        <f>_xlfn.XLOOKUP("3763-10-1",Trip[trip_id],Trip[trip_id],"Não encontrado")</f>
        <v/>
      </c>
      <c r="B413" s="25" t="n">
        <v>0.2083333333333333</v>
      </c>
      <c r="C413" s="25" t="n">
        <v>0.2493055555555556</v>
      </c>
      <c r="D413" s="26" t="n">
        <v>300</v>
      </c>
    </row>
    <row r="414">
      <c r="A414" s="56">
        <f>_xlfn.XLOOKUP("3763-10-1",Trip[trip_id],Trip[trip_id],"Não encontrado")</f>
        <v/>
      </c>
      <c r="B414" s="28" t="n">
        <v>0.25</v>
      </c>
      <c r="C414" s="28" t="n">
        <v>0.2909722222222222</v>
      </c>
      <c r="D414" s="29" t="n">
        <v>180</v>
      </c>
    </row>
    <row r="415">
      <c r="A415" s="55">
        <f>_xlfn.XLOOKUP("3763-10-1",Trip[trip_id],Trip[trip_id],"Não encontrado")</f>
        <v/>
      </c>
      <c r="B415" s="25" t="n">
        <v>0.2916666666666667</v>
      </c>
      <c r="C415" s="25" t="n">
        <v>0.3326388888888889</v>
      </c>
      <c r="D415" s="26" t="n">
        <v>180</v>
      </c>
    </row>
    <row r="416">
      <c r="A416" s="56">
        <f>_xlfn.XLOOKUP("3763-10-1",Trip[trip_id],Trip[trip_id],"Não encontrado")</f>
        <v/>
      </c>
      <c r="B416" s="28" t="n">
        <v>0.3333333333333333</v>
      </c>
      <c r="C416" s="28" t="n">
        <v>0.3743055555555556</v>
      </c>
      <c r="D416" s="29" t="n">
        <v>180</v>
      </c>
    </row>
    <row r="417">
      <c r="A417" s="55">
        <f>_xlfn.XLOOKUP("3763-10-1",Trip[trip_id],Trip[trip_id],"Não encontrado")</f>
        <v/>
      </c>
      <c r="B417" s="25" t="n">
        <v>0.375</v>
      </c>
      <c r="C417" s="25" t="n">
        <v>0.4159722222222222</v>
      </c>
      <c r="D417" s="26" t="n">
        <v>300</v>
      </c>
    </row>
    <row r="418">
      <c r="A418" s="56">
        <f>_xlfn.XLOOKUP("3763-10-1",Trip[trip_id],Trip[trip_id],"Não encontrado")</f>
        <v/>
      </c>
      <c r="B418" s="28" t="n">
        <v>0.4166666666666667</v>
      </c>
      <c r="C418" s="28" t="n">
        <v>0.4576388888888889</v>
      </c>
      <c r="D418" s="29" t="n">
        <v>360</v>
      </c>
    </row>
    <row r="419">
      <c r="A419" s="55">
        <f>_xlfn.XLOOKUP("3763-10-1",Trip[trip_id],Trip[trip_id],"Não encontrado")</f>
        <v/>
      </c>
      <c r="B419" s="25" t="n">
        <v>0.4583333333333333</v>
      </c>
      <c r="C419" s="25" t="n">
        <v>0.4993055555555556</v>
      </c>
      <c r="D419" s="26" t="n">
        <v>240</v>
      </c>
    </row>
    <row r="420">
      <c r="A420" s="56">
        <f>_xlfn.XLOOKUP("3763-10-1",Trip[trip_id],Trip[trip_id],"Não encontrado")</f>
        <v/>
      </c>
      <c r="B420" s="28" t="n">
        <v>0.5</v>
      </c>
      <c r="C420" s="28" t="n">
        <v>0.5409722222222222</v>
      </c>
      <c r="D420" s="29" t="n">
        <v>360</v>
      </c>
    </row>
    <row r="421">
      <c r="A421" s="55">
        <f>_xlfn.XLOOKUP("3763-10-1",Trip[trip_id],Trip[trip_id],"Não encontrado")</f>
        <v/>
      </c>
      <c r="B421" s="25" t="n">
        <v>0.5416666666666666</v>
      </c>
      <c r="C421" s="25" t="n">
        <v>0.5826388888888889</v>
      </c>
      <c r="D421" s="26" t="n">
        <v>360</v>
      </c>
    </row>
    <row r="422">
      <c r="A422" s="56">
        <f>_xlfn.XLOOKUP("3763-10-1",Trip[trip_id],Trip[trip_id],"Não encontrado")</f>
        <v/>
      </c>
      <c r="B422" s="28" t="n">
        <v>0.5833333333333334</v>
      </c>
      <c r="C422" s="28" t="n">
        <v>0.6243055555555556</v>
      </c>
      <c r="D422" s="29" t="n">
        <v>420</v>
      </c>
    </row>
    <row r="423">
      <c r="A423" s="55">
        <f>_xlfn.XLOOKUP("3763-10-1",Trip[trip_id],Trip[trip_id],"Não encontrado")</f>
        <v/>
      </c>
      <c r="B423" s="25" t="n">
        <v>0.625</v>
      </c>
      <c r="C423" s="25" t="n">
        <v>0.6659722222222222</v>
      </c>
      <c r="D423" s="26" t="n">
        <v>240</v>
      </c>
    </row>
    <row r="424">
      <c r="A424" s="56">
        <f>_xlfn.XLOOKUP("3763-10-1",Trip[trip_id],Trip[trip_id],"Não encontrado")</f>
        <v/>
      </c>
      <c r="B424" s="28" t="n">
        <v>0.6666666666666666</v>
      </c>
      <c r="C424" s="28" t="n">
        <v>0.7076388888888889</v>
      </c>
      <c r="D424" s="29" t="n">
        <v>240</v>
      </c>
    </row>
    <row r="425">
      <c r="A425" s="55">
        <f>_xlfn.XLOOKUP("3763-10-1",Trip[trip_id],Trip[trip_id],"Não encontrado")</f>
        <v/>
      </c>
      <c r="B425" s="25" t="n">
        <v>0.7083333333333334</v>
      </c>
      <c r="C425" s="25" t="n">
        <v>0.7493055555555556</v>
      </c>
      <c r="D425" s="26" t="n">
        <v>180</v>
      </c>
    </row>
    <row r="426">
      <c r="A426" s="56">
        <f>_xlfn.XLOOKUP("3763-10-1",Trip[trip_id],Trip[trip_id],"Não encontrado")</f>
        <v/>
      </c>
      <c r="B426" s="28" t="n">
        <v>0.75</v>
      </c>
      <c r="C426" s="28" t="n">
        <v>0.7909722222222222</v>
      </c>
      <c r="D426" s="29" t="n">
        <v>180</v>
      </c>
    </row>
    <row r="427">
      <c r="A427" s="55">
        <f>_xlfn.XLOOKUP("3763-10-1",Trip[trip_id],Trip[trip_id],"Não encontrado")</f>
        <v/>
      </c>
      <c r="B427" s="25" t="n">
        <v>0.7916666666666666</v>
      </c>
      <c r="C427" s="25" t="n">
        <v>0.8326388888888889</v>
      </c>
      <c r="D427" s="26" t="n">
        <v>240</v>
      </c>
    </row>
    <row r="428">
      <c r="A428" s="56">
        <f>_xlfn.XLOOKUP("3763-10-1",Trip[trip_id],Trip[trip_id],"Não encontrado")</f>
        <v/>
      </c>
      <c r="B428" s="28" t="n">
        <v>0.8333333333333334</v>
      </c>
      <c r="C428" s="28" t="n">
        <v>0.8743055555555556</v>
      </c>
      <c r="D428" s="29" t="n">
        <v>360</v>
      </c>
    </row>
    <row r="429">
      <c r="A429" s="55">
        <f>_xlfn.XLOOKUP("3763-10-1",Trip[trip_id],Trip[trip_id],"Não encontrado")</f>
        <v/>
      </c>
      <c r="B429" s="25" t="n">
        <v>0.875</v>
      </c>
      <c r="C429" s="25" t="n">
        <v>0.9159722222222222</v>
      </c>
      <c r="D429" s="26" t="n">
        <v>420</v>
      </c>
    </row>
    <row r="430">
      <c r="A430" s="56">
        <f>_xlfn.XLOOKUP("3763-10-1",Trip[trip_id],Trip[trip_id],"Não encontrado")</f>
        <v/>
      </c>
      <c r="B430" s="28" t="n">
        <v>0.9166666666666666</v>
      </c>
      <c r="C430" s="28" t="n">
        <v>0.9576388888888889</v>
      </c>
      <c r="D430" s="29" t="n">
        <v>600</v>
      </c>
    </row>
    <row r="431">
      <c r="A431" s="55">
        <f>_xlfn.XLOOKUP("3763-10-1",Trip[trip_id],Trip[trip_id],"Não encontrado")</f>
        <v/>
      </c>
      <c r="B431" s="25" t="n">
        <v>0.9583333333333334</v>
      </c>
      <c r="C431" s="25" t="n">
        <v>0.9993055555555556</v>
      </c>
      <c r="D431" s="26" t="n">
        <v>720</v>
      </c>
    </row>
    <row r="432">
      <c r="A432" s="56">
        <f>_xlfn.XLOOKUP("407F-10-0",Trip[trip_id],Trip[trip_id],"Não encontrado")</f>
        <v/>
      </c>
      <c r="B432" s="28" t="n">
        <v>0.1666666666666667</v>
      </c>
      <c r="C432" s="28" t="n">
        <v>0.2076388888888889</v>
      </c>
      <c r="D432" s="29" t="n">
        <v>1800</v>
      </c>
    </row>
    <row r="433">
      <c r="A433" s="55">
        <f>_xlfn.XLOOKUP("407F-10-0",Trip[trip_id],Trip[trip_id],"Não encontrado")</f>
        <v/>
      </c>
      <c r="B433" s="25" t="n">
        <v>0.2083333333333333</v>
      </c>
      <c r="C433" s="25" t="n">
        <v>0.2493055555555556</v>
      </c>
      <c r="D433" s="26" t="n">
        <v>720</v>
      </c>
    </row>
    <row r="434">
      <c r="A434" s="56">
        <f>_xlfn.XLOOKUP("407F-10-0",Trip[trip_id],Trip[trip_id],"Não encontrado")</f>
        <v/>
      </c>
      <c r="B434" s="28" t="n">
        <v>0.25</v>
      </c>
      <c r="C434" s="28" t="n">
        <v>0.2909722222222222</v>
      </c>
      <c r="D434" s="29" t="n">
        <v>720</v>
      </c>
    </row>
    <row r="435">
      <c r="A435" s="55">
        <f>_xlfn.XLOOKUP("407F-10-0",Trip[trip_id],Trip[trip_id],"Não encontrado")</f>
        <v/>
      </c>
      <c r="B435" s="25" t="n">
        <v>0.2916666666666667</v>
      </c>
      <c r="C435" s="25" t="n">
        <v>0.3326388888888889</v>
      </c>
      <c r="D435" s="26" t="n">
        <v>1200</v>
      </c>
    </row>
    <row r="436">
      <c r="A436" s="56">
        <f>_xlfn.XLOOKUP("407F-10-0",Trip[trip_id],Trip[trip_id],"Não encontrado")</f>
        <v/>
      </c>
      <c r="B436" s="28" t="n">
        <v>0.3333333333333333</v>
      </c>
      <c r="C436" s="28" t="n">
        <v>0.3743055555555556</v>
      </c>
      <c r="D436" s="29" t="n">
        <v>1200</v>
      </c>
    </row>
    <row r="437">
      <c r="A437" s="55">
        <f>_xlfn.XLOOKUP("407F-10-0",Trip[trip_id],Trip[trip_id],"Não encontrado")</f>
        <v/>
      </c>
      <c r="B437" s="25" t="n">
        <v>0.375</v>
      </c>
      <c r="C437" s="25" t="n">
        <v>0.4159722222222222</v>
      </c>
      <c r="D437" s="26" t="n">
        <v>1800</v>
      </c>
    </row>
    <row r="438">
      <c r="A438" s="56">
        <f>_xlfn.XLOOKUP("407F-10-0",Trip[trip_id],Trip[trip_id],"Não encontrado")</f>
        <v/>
      </c>
      <c r="B438" s="28" t="n">
        <v>0.4166666666666667</v>
      </c>
      <c r="C438" s="28" t="n">
        <v>0.4576388888888889</v>
      </c>
      <c r="D438" s="29" t="n">
        <v>1800</v>
      </c>
    </row>
    <row r="439">
      <c r="A439" s="55">
        <f>_xlfn.XLOOKUP("407F-10-0",Trip[trip_id],Trip[trip_id],"Não encontrado")</f>
        <v/>
      </c>
      <c r="B439" s="25" t="n">
        <v>0.4583333333333333</v>
      </c>
      <c r="C439" s="25" t="n">
        <v>0.4993055555555556</v>
      </c>
      <c r="D439" s="26" t="n">
        <v>1800</v>
      </c>
    </row>
    <row r="440">
      <c r="A440" s="56">
        <f>_xlfn.XLOOKUP("407F-10-0",Trip[trip_id],Trip[trip_id],"Não encontrado")</f>
        <v/>
      </c>
      <c r="B440" s="28" t="n">
        <v>0.5</v>
      </c>
      <c r="C440" s="28" t="n">
        <v>0.5409722222222222</v>
      </c>
      <c r="D440" s="29" t="n">
        <v>1200</v>
      </c>
    </row>
    <row r="441">
      <c r="A441" s="55">
        <f>_xlfn.XLOOKUP("407F-10-0",Trip[trip_id],Trip[trip_id],"Não encontrado")</f>
        <v/>
      </c>
      <c r="B441" s="25" t="n">
        <v>0.5416666666666666</v>
      </c>
      <c r="C441" s="25" t="n">
        <v>0.5826388888888889</v>
      </c>
      <c r="D441" s="26" t="n">
        <v>1800</v>
      </c>
    </row>
    <row r="442">
      <c r="A442" s="56">
        <f>_xlfn.XLOOKUP("407F-10-0",Trip[trip_id],Trip[trip_id],"Não encontrado")</f>
        <v/>
      </c>
      <c r="B442" s="28" t="n">
        <v>0.5833333333333334</v>
      </c>
      <c r="C442" s="28" t="n">
        <v>0.6243055555555556</v>
      </c>
      <c r="D442" s="29" t="n">
        <v>1800</v>
      </c>
    </row>
    <row r="443">
      <c r="A443" s="55">
        <f>_xlfn.XLOOKUP("407F-10-0",Trip[trip_id],Trip[trip_id],"Não encontrado")</f>
        <v/>
      </c>
      <c r="B443" s="25" t="n">
        <v>0.625</v>
      </c>
      <c r="C443" s="25" t="n">
        <v>0.6659722222222222</v>
      </c>
      <c r="D443" s="26" t="n">
        <v>900</v>
      </c>
    </row>
    <row r="444">
      <c r="A444" s="56">
        <f>_xlfn.XLOOKUP("407F-10-0",Trip[trip_id],Trip[trip_id],"Não encontrado")</f>
        <v/>
      </c>
      <c r="B444" s="28" t="n">
        <v>0.6666666666666666</v>
      </c>
      <c r="C444" s="28" t="n">
        <v>0.7076388888888889</v>
      </c>
      <c r="D444" s="29" t="n">
        <v>1200</v>
      </c>
    </row>
    <row r="445">
      <c r="A445" s="55">
        <f>_xlfn.XLOOKUP("407F-10-0",Trip[trip_id],Trip[trip_id],"Não encontrado")</f>
        <v/>
      </c>
      <c r="B445" s="25" t="n">
        <v>0.7083333333333334</v>
      </c>
      <c r="C445" s="25" t="n">
        <v>0.7493055555555556</v>
      </c>
      <c r="D445" s="26" t="n">
        <v>1800</v>
      </c>
    </row>
    <row r="446">
      <c r="A446" s="56">
        <f>_xlfn.XLOOKUP("407F-10-0",Trip[trip_id],Trip[trip_id],"Não encontrado")</f>
        <v/>
      </c>
      <c r="B446" s="28" t="n">
        <v>0.75</v>
      </c>
      <c r="C446" s="28" t="n">
        <v>0.7909722222222222</v>
      </c>
      <c r="D446" s="29" t="n">
        <v>1800</v>
      </c>
    </row>
    <row r="447">
      <c r="A447" s="55">
        <f>_xlfn.XLOOKUP("407F-10-0",Trip[trip_id],Trip[trip_id],"Não encontrado")</f>
        <v/>
      </c>
      <c r="B447" s="25" t="n">
        <v>0.7916666666666666</v>
      </c>
      <c r="C447" s="25" t="n">
        <v>0.8326388888888889</v>
      </c>
      <c r="D447" s="26" t="n">
        <v>1800</v>
      </c>
    </row>
    <row r="448">
      <c r="A448" s="56">
        <f>_xlfn.XLOOKUP("407F-10-0",Trip[trip_id],Trip[trip_id],"Não encontrado")</f>
        <v/>
      </c>
      <c r="B448" s="28" t="n">
        <v>0.8333333333333334</v>
      </c>
      <c r="C448" s="28" t="n">
        <v>0.8743055555555556</v>
      </c>
      <c r="D448" s="29" t="n">
        <v>1800</v>
      </c>
    </row>
    <row r="449">
      <c r="A449" s="55">
        <f>_xlfn.XLOOKUP("407F-10-0",Trip[trip_id],Trip[trip_id],"Não encontrado")</f>
        <v/>
      </c>
      <c r="B449" s="25" t="n">
        <v>0.875</v>
      </c>
      <c r="C449" s="25" t="n">
        <v>0.9159722222222222</v>
      </c>
      <c r="D449" s="26" t="n">
        <v>1200</v>
      </c>
    </row>
    <row r="450">
      <c r="A450" s="56">
        <f>_xlfn.XLOOKUP("407F-10-0",Trip[trip_id],Trip[trip_id],"Não encontrado")</f>
        <v/>
      </c>
      <c r="B450" s="28" t="n">
        <v>0.9166666666666666</v>
      </c>
      <c r="C450" s="28" t="n">
        <v>0.9576388888888889</v>
      </c>
      <c r="D450" s="29" t="n">
        <v>1200</v>
      </c>
    </row>
    <row r="451">
      <c r="A451" s="55">
        <f>_xlfn.XLOOKUP("407F-10-0",Trip[trip_id],Trip[trip_id],"Não encontrado")</f>
        <v/>
      </c>
      <c r="B451" s="25" t="n">
        <v>0.9583333333333334</v>
      </c>
      <c r="C451" s="25" t="n">
        <v>0.9993055555555556</v>
      </c>
      <c r="D451" s="26" t="n">
        <v>1800</v>
      </c>
    </row>
    <row r="452">
      <c r="A452" s="56">
        <f>_xlfn.XLOOKUP("407F-10-1",Trip[trip_id],Trip[trip_id],"Não encontrado")</f>
        <v/>
      </c>
      <c r="B452" s="28" t="n">
        <v>0</v>
      </c>
      <c r="C452" s="28" t="n">
        <v>0.04097222222222222</v>
      </c>
      <c r="D452" s="29" t="n">
        <v>1800</v>
      </c>
    </row>
    <row r="453">
      <c r="A453" s="55">
        <f>_xlfn.XLOOKUP("407F-10-1",Trip[trip_id],Trip[trip_id],"Não encontrado")</f>
        <v/>
      </c>
      <c r="B453" s="25" t="n">
        <v>0.2083333333333333</v>
      </c>
      <c r="C453" s="25" t="n">
        <v>0.2493055555555556</v>
      </c>
      <c r="D453" s="26" t="n">
        <v>1800</v>
      </c>
    </row>
    <row r="454">
      <c r="A454" s="56">
        <f>_xlfn.XLOOKUP("407F-10-1",Trip[trip_id],Trip[trip_id],"Não encontrado")</f>
        <v/>
      </c>
      <c r="B454" s="28" t="n">
        <v>0.25</v>
      </c>
      <c r="C454" s="28" t="n">
        <v>0.2909722222222222</v>
      </c>
      <c r="D454" s="29" t="n">
        <v>1200</v>
      </c>
    </row>
    <row r="455">
      <c r="A455" s="55">
        <f>_xlfn.XLOOKUP("407F-10-1",Trip[trip_id],Trip[trip_id],"Não encontrado")</f>
        <v/>
      </c>
      <c r="B455" s="25" t="n">
        <v>0.2916666666666667</v>
      </c>
      <c r="C455" s="25" t="n">
        <v>0.3326388888888889</v>
      </c>
      <c r="D455" s="26" t="n">
        <v>720</v>
      </c>
    </row>
    <row r="456">
      <c r="A456" s="56">
        <f>_xlfn.XLOOKUP("407F-10-1",Trip[trip_id],Trip[trip_id],"Não encontrado")</f>
        <v/>
      </c>
      <c r="B456" s="28" t="n">
        <v>0.3333333333333333</v>
      </c>
      <c r="C456" s="28" t="n">
        <v>0.3743055555555556</v>
      </c>
      <c r="D456" s="29" t="n">
        <v>1200</v>
      </c>
    </row>
    <row r="457">
      <c r="A457" s="55">
        <f>_xlfn.XLOOKUP("407F-10-1",Trip[trip_id],Trip[trip_id],"Não encontrado")</f>
        <v/>
      </c>
      <c r="B457" s="25" t="n">
        <v>0.375</v>
      </c>
      <c r="C457" s="25" t="n">
        <v>0.4159722222222222</v>
      </c>
      <c r="D457" s="26" t="n">
        <v>1200</v>
      </c>
    </row>
    <row r="458">
      <c r="A458" s="56">
        <f>_xlfn.XLOOKUP("407F-10-1",Trip[trip_id],Trip[trip_id],"Não encontrado")</f>
        <v/>
      </c>
      <c r="B458" s="28" t="n">
        <v>0.4166666666666667</v>
      </c>
      <c r="C458" s="28" t="n">
        <v>0.4576388888888889</v>
      </c>
      <c r="D458" s="29" t="n">
        <v>1200</v>
      </c>
    </row>
    <row r="459">
      <c r="A459" s="55">
        <f>_xlfn.XLOOKUP("407F-10-1",Trip[trip_id],Trip[trip_id],"Não encontrado")</f>
        <v/>
      </c>
      <c r="B459" s="25" t="n">
        <v>0.4583333333333333</v>
      </c>
      <c r="C459" s="25" t="n">
        <v>0.4993055555555556</v>
      </c>
      <c r="D459" s="26" t="n">
        <v>1800</v>
      </c>
    </row>
    <row r="460">
      <c r="A460" s="56">
        <f>_xlfn.XLOOKUP("407F-10-1",Trip[trip_id],Trip[trip_id],"Não encontrado")</f>
        <v/>
      </c>
      <c r="B460" s="28" t="n">
        <v>0.5</v>
      </c>
      <c r="C460" s="28" t="n">
        <v>0.5409722222222222</v>
      </c>
      <c r="D460" s="29" t="n">
        <v>1800</v>
      </c>
    </row>
    <row r="461">
      <c r="A461" s="55">
        <f>_xlfn.XLOOKUP("407F-10-1",Trip[trip_id],Trip[trip_id],"Não encontrado")</f>
        <v/>
      </c>
      <c r="B461" s="25" t="n">
        <v>0.5416666666666666</v>
      </c>
      <c r="C461" s="25" t="n">
        <v>0.5826388888888889</v>
      </c>
      <c r="D461" s="26" t="n">
        <v>1200</v>
      </c>
    </row>
    <row r="462">
      <c r="A462" s="56">
        <f>_xlfn.XLOOKUP("407F-10-1",Trip[trip_id],Trip[trip_id],"Não encontrado")</f>
        <v/>
      </c>
      <c r="B462" s="28" t="n">
        <v>0.5833333333333334</v>
      </c>
      <c r="C462" s="28" t="n">
        <v>0.6243055555555556</v>
      </c>
      <c r="D462" s="29" t="n">
        <v>1800</v>
      </c>
    </row>
    <row r="463">
      <c r="A463" s="55">
        <f>_xlfn.XLOOKUP("407F-10-1",Trip[trip_id],Trip[trip_id],"Não encontrado")</f>
        <v/>
      </c>
      <c r="B463" s="25" t="n">
        <v>0.625</v>
      </c>
      <c r="C463" s="25" t="n">
        <v>0.6659722222222222</v>
      </c>
      <c r="D463" s="26" t="n">
        <v>1800</v>
      </c>
    </row>
    <row r="464">
      <c r="A464" s="56">
        <f>_xlfn.XLOOKUP("407F-10-1",Trip[trip_id],Trip[trip_id],"Não encontrado")</f>
        <v/>
      </c>
      <c r="B464" s="28" t="n">
        <v>0.6666666666666666</v>
      </c>
      <c r="C464" s="28" t="n">
        <v>0.7076388888888889</v>
      </c>
      <c r="D464" s="29" t="n">
        <v>1200</v>
      </c>
    </row>
    <row r="465">
      <c r="A465" s="55">
        <f>_xlfn.XLOOKUP("407F-10-1",Trip[trip_id],Trip[trip_id],"Não encontrado")</f>
        <v/>
      </c>
      <c r="B465" s="25" t="n">
        <v>0.7083333333333334</v>
      </c>
      <c r="C465" s="25" t="n">
        <v>0.7493055555555556</v>
      </c>
      <c r="D465" s="26" t="n">
        <v>900</v>
      </c>
    </row>
    <row r="466">
      <c r="A466" s="56">
        <f>_xlfn.XLOOKUP("407F-10-1",Trip[trip_id],Trip[trip_id],"Não encontrado")</f>
        <v/>
      </c>
      <c r="B466" s="28" t="n">
        <v>0.75</v>
      </c>
      <c r="C466" s="28" t="n">
        <v>0.7909722222222222</v>
      </c>
      <c r="D466" s="29" t="n">
        <v>1200</v>
      </c>
    </row>
    <row r="467">
      <c r="A467" s="55">
        <f>_xlfn.XLOOKUP("407F-10-1",Trip[trip_id],Trip[trip_id],"Não encontrado")</f>
        <v/>
      </c>
      <c r="B467" s="25" t="n">
        <v>0.7916666666666666</v>
      </c>
      <c r="C467" s="25" t="n">
        <v>0.8326388888888889</v>
      </c>
      <c r="D467" s="26" t="n">
        <v>1800</v>
      </c>
    </row>
    <row r="468">
      <c r="A468" s="56">
        <f>_xlfn.XLOOKUP("407F-10-1",Trip[trip_id],Trip[trip_id],"Não encontrado")</f>
        <v/>
      </c>
      <c r="B468" s="28" t="n">
        <v>0.8333333333333334</v>
      </c>
      <c r="C468" s="28" t="n">
        <v>0.8743055555555556</v>
      </c>
      <c r="D468" s="29" t="n">
        <v>1200</v>
      </c>
    </row>
    <row r="469">
      <c r="A469" s="55">
        <f>_xlfn.XLOOKUP("407F-10-1",Trip[trip_id],Trip[trip_id],"Não encontrado")</f>
        <v/>
      </c>
      <c r="B469" s="25" t="n">
        <v>0.875</v>
      </c>
      <c r="C469" s="25" t="n">
        <v>0.9159722222222222</v>
      </c>
      <c r="D469" s="26" t="n">
        <v>1800</v>
      </c>
    </row>
    <row r="470">
      <c r="A470" s="56">
        <f>_xlfn.XLOOKUP("407F-10-1",Trip[trip_id],Trip[trip_id],"Não encontrado")</f>
        <v/>
      </c>
      <c r="B470" s="28" t="n">
        <v>0.9166666666666666</v>
      </c>
      <c r="C470" s="28" t="n">
        <v>0.9576388888888889</v>
      </c>
      <c r="D470" s="29" t="n">
        <v>1200</v>
      </c>
    </row>
    <row r="471">
      <c r="A471" s="55">
        <f>_xlfn.XLOOKUP("407F-10-1",Trip[trip_id],Trip[trip_id],"Não encontrado")</f>
        <v/>
      </c>
      <c r="B471" s="25" t="n">
        <v>0.9583333333333334</v>
      </c>
      <c r="C471" s="25" t="n">
        <v>0.9993055555555556</v>
      </c>
      <c r="D471" s="26" t="n">
        <v>1200</v>
      </c>
    </row>
    <row r="472">
      <c r="A472" s="56">
        <f>_xlfn.XLOOKUP("4313-10-0",Trip[trip_id],Trip[trip_id],"Não encontrado")</f>
        <v/>
      </c>
      <c r="B472" s="28" t="n">
        <v>0.125</v>
      </c>
      <c r="C472" s="28" t="n">
        <v>0.1659722222222222</v>
      </c>
      <c r="D472" s="29" t="n">
        <v>1200</v>
      </c>
    </row>
    <row r="473">
      <c r="A473" s="55">
        <f>_xlfn.XLOOKUP("4313-10-0",Trip[trip_id],Trip[trip_id],"Não encontrado")</f>
        <v/>
      </c>
      <c r="B473" s="25" t="n">
        <v>0.1666666666666667</v>
      </c>
      <c r="C473" s="25" t="n">
        <v>0.2076388888888889</v>
      </c>
      <c r="D473" s="26" t="n">
        <v>300</v>
      </c>
    </row>
    <row r="474">
      <c r="A474" s="56">
        <f>_xlfn.XLOOKUP("4313-10-0",Trip[trip_id],Trip[trip_id],"Não encontrado")</f>
        <v/>
      </c>
      <c r="B474" s="28" t="n">
        <v>0.2083333333333333</v>
      </c>
      <c r="C474" s="28" t="n">
        <v>0.2493055555555556</v>
      </c>
      <c r="D474" s="29" t="n">
        <v>300</v>
      </c>
    </row>
    <row r="475">
      <c r="A475" s="55">
        <f>_xlfn.XLOOKUP("4313-10-0",Trip[trip_id],Trip[trip_id],"Não encontrado")</f>
        <v/>
      </c>
      <c r="B475" s="25" t="n">
        <v>0.25</v>
      </c>
      <c r="C475" s="25" t="n">
        <v>0.2909722222222222</v>
      </c>
      <c r="D475" s="26" t="n">
        <v>240</v>
      </c>
    </row>
    <row r="476">
      <c r="A476" s="56">
        <f>_xlfn.XLOOKUP("4313-10-0",Trip[trip_id],Trip[trip_id],"Não encontrado")</f>
        <v/>
      </c>
      <c r="B476" s="28" t="n">
        <v>0.2916666666666667</v>
      </c>
      <c r="C476" s="28" t="n">
        <v>0.3326388888888889</v>
      </c>
      <c r="D476" s="29" t="n">
        <v>360</v>
      </c>
    </row>
    <row r="477">
      <c r="A477" s="55">
        <f>_xlfn.XLOOKUP("4313-10-0",Trip[trip_id],Trip[trip_id],"Não encontrado")</f>
        <v/>
      </c>
      <c r="B477" s="25" t="n">
        <v>0.3333333333333333</v>
      </c>
      <c r="C477" s="25" t="n">
        <v>0.3743055555555556</v>
      </c>
      <c r="D477" s="26" t="n">
        <v>420</v>
      </c>
    </row>
    <row r="478">
      <c r="A478" s="56">
        <f>_xlfn.XLOOKUP("4313-10-0",Trip[trip_id],Trip[trip_id],"Não encontrado")</f>
        <v/>
      </c>
      <c r="B478" s="28" t="n">
        <v>0.375</v>
      </c>
      <c r="C478" s="28" t="n">
        <v>0.4159722222222222</v>
      </c>
      <c r="D478" s="29" t="n">
        <v>480</v>
      </c>
    </row>
    <row r="479">
      <c r="A479" s="55">
        <f>_xlfn.XLOOKUP("4313-10-0",Trip[trip_id],Trip[trip_id],"Não encontrado")</f>
        <v/>
      </c>
      <c r="B479" s="25" t="n">
        <v>0.4166666666666667</v>
      </c>
      <c r="C479" s="25" t="n">
        <v>0.4576388888888889</v>
      </c>
      <c r="D479" s="26" t="n">
        <v>480</v>
      </c>
    </row>
    <row r="480">
      <c r="A480" s="56">
        <f>_xlfn.XLOOKUP("4313-10-0",Trip[trip_id],Trip[trip_id],"Não encontrado")</f>
        <v/>
      </c>
      <c r="B480" s="28" t="n">
        <v>0.4583333333333333</v>
      </c>
      <c r="C480" s="28" t="n">
        <v>0.4993055555555556</v>
      </c>
      <c r="D480" s="29" t="n">
        <v>480</v>
      </c>
    </row>
    <row r="481">
      <c r="A481" s="55">
        <f>_xlfn.XLOOKUP("4313-10-0",Trip[trip_id],Trip[trip_id],"Não encontrado")</f>
        <v/>
      </c>
      <c r="B481" s="25" t="n">
        <v>0.5</v>
      </c>
      <c r="C481" s="25" t="n">
        <v>0.5409722222222222</v>
      </c>
      <c r="D481" s="26" t="n">
        <v>600</v>
      </c>
    </row>
    <row r="482">
      <c r="A482" s="56">
        <f>_xlfn.XLOOKUP("4313-10-0",Trip[trip_id],Trip[trip_id],"Não encontrado")</f>
        <v/>
      </c>
      <c r="B482" s="28" t="n">
        <v>0.5416666666666666</v>
      </c>
      <c r="C482" s="28" t="n">
        <v>0.5826388888888889</v>
      </c>
      <c r="D482" s="29" t="n">
        <v>480</v>
      </c>
    </row>
    <row r="483">
      <c r="A483" s="55">
        <f>_xlfn.XLOOKUP("4313-10-0",Trip[trip_id],Trip[trip_id],"Não encontrado")</f>
        <v/>
      </c>
      <c r="B483" s="25" t="n">
        <v>0.5833333333333334</v>
      </c>
      <c r="C483" s="25" t="n">
        <v>0.6243055555555556</v>
      </c>
      <c r="D483" s="26" t="n">
        <v>420</v>
      </c>
    </row>
    <row r="484">
      <c r="A484" s="56">
        <f>_xlfn.XLOOKUP("4313-10-0",Trip[trip_id],Trip[trip_id],"Não encontrado")</f>
        <v/>
      </c>
      <c r="B484" s="28" t="n">
        <v>0.625</v>
      </c>
      <c r="C484" s="28" t="n">
        <v>0.6659722222222222</v>
      </c>
      <c r="D484" s="29" t="n">
        <v>360</v>
      </c>
    </row>
    <row r="485">
      <c r="A485" s="55">
        <f>_xlfn.XLOOKUP("4313-10-0",Trip[trip_id],Trip[trip_id],"Não encontrado")</f>
        <v/>
      </c>
      <c r="B485" s="25" t="n">
        <v>0.6666666666666666</v>
      </c>
      <c r="C485" s="25" t="n">
        <v>0.7076388888888889</v>
      </c>
      <c r="D485" s="26" t="n">
        <v>420</v>
      </c>
    </row>
    <row r="486">
      <c r="A486" s="56">
        <f>_xlfn.XLOOKUP("4313-10-0",Trip[trip_id],Trip[trip_id],"Não encontrado")</f>
        <v/>
      </c>
      <c r="B486" s="28" t="n">
        <v>0.7083333333333334</v>
      </c>
      <c r="C486" s="28" t="n">
        <v>0.7493055555555556</v>
      </c>
      <c r="D486" s="29" t="n">
        <v>480</v>
      </c>
    </row>
    <row r="487">
      <c r="A487" s="55">
        <f>_xlfn.XLOOKUP("4313-10-0",Trip[trip_id],Trip[trip_id],"Não encontrado")</f>
        <v/>
      </c>
      <c r="B487" s="25" t="n">
        <v>0.75</v>
      </c>
      <c r="C487" s="25" t="n">
        <v>0.7909722222222222</v>
      </c>
      <c r="D487" s="26" t="n">
        <v>600</v>
      </c>
    </row>
    <row r="488">
      <c r="A488" s="56">
        <f>_xlfn.XLOOKUP("4313-10-0",Trip[trip_id],Trip[trip_id],"Não encontrado")</f>
        <v/>
      </c>
      <c r="B488" s="28" t="n">
        <v>0.7916666666666666</v>
      </c>
      <c r="C488" s="28" t="n">
        <v>0.8326388888888889</v>
      </c>
      <c r="D488" s="29" t="n">
        <v>480</v>
      </c>
    </row>
    <row r="489">
      <c r="A489" s="55">
        <f>_xlfn.XLOOKUP("4313-10-0",Trip[trip_id],Trip[trip_id],"Não encontrado")</f>
        <v/>
      </c>
      <c r="B489" s="25" t="n">
        <v>0.8333333333333334</v>
      </c>
      <c r="C489" s="25" t="n">
        <v>0.8743055555555556</v>
      </c>
      <c r="D489" s="26" t="n">
        <v>600</v>
      </c>
    </row>
    <row r="490">
      <c r="A490" s="56">
        <f>_xlfn.XLOOKUP("4313-10-0",Trip[trip_id],Trip[trip_id],"Não encontrado")</f>
        <v/>
      </c>
      <c r="B490" s="28" t="n">
        <v>0.875</v>
      </c>
      <c r="C490" s="28" t="n">
        <v>0.9159722222222222</v>
      </c>
      <c r="D490" s="29" t="n">
        <v>600</v>
      </c>
    </row>
    <row r="491">
      <c r="A491" s="55">
        <f>_xlfn.XLOOKUP("4313-10-0",Trip[trip_id],Trip[trip_id],"Não encontrado")</f>
        <v/>
      </c>
      <c r="B491" s="25" t="n">
        <v>0.9166666666666666</v>
      </c>
      <c r="C491" s="25" t="n">
        <v>0.9576388888888889</v>
      </c>
      <c r="D491" s="26" t="n">
        <v>600</v>
      </c>
    </row>
    <row r="492">
      <c r="A492" s="56">
        <f>_xlfn.XLOOKUP("4313-10-0",Trip[trip_id],Trip[trip_id],"Não encontrado")</f>
        <v/>
      </c>
      <c r="B492" s="28" t="n">
        <v>0.9583333333333334</v>
      </c>
      <c r="C492" s="28" t="n">
        <v>0.9993055555555556</v>
      </c>
      <c r="D492" s="29" t="n">
        <v>1200</v>
      </c>
    </row>
    <row r="493">
      <c r="A493" s="56">
        <f>_xlfn.XLOOKUP("4313-10-1",Trip[trip_id],Trip[trip_id],"Não encontrado")</f>
        <v/>
      </c>
      <c r="B493" s="28" t="n">
        <v>0</v>
      </c>
      <c r="C493" s="28" t="n">
        <v>0.04097222222222222</v>
      </c>
      <c r="D493" s="29" t="n">
        <v>1200</v>
      </c>
    </row>
    <row r="494">
      <c r="A494" s="55">
        <f>_xlfn.XLOOKUP("4313-10-1",Trip[trip_id],Trip[trip_id],"Não encontrado")</f>
        <v/>
      </c>
      <c r="B494" s="25" t="n">
        <v>0.1666666666666667</v>
      </c>
      <c r="C494" s="25" t="n">
        <v>0.2076388888888889</v>
      </c>
      <c r="D494" s="26" t="n">
        <v>1800</v>
      </c>
    </row>
    <row r="495">
      <c r="A495" s="56">
        <f>_xlfn.XLOOKUP("4313-10-1",Trip[trip_id],Trip[trip_id],"Não encontrado")</f>
        <v/>
      </c>
      <c r="B495" s="28" t="n">
        <v>0.2083333333333333</v>
      </c>
      <c r="C495" s="28" t="n">
        <v>0.2493055555555556</v>
      </c>
      <c r="D495" s="29" t="n">
        <v>480</v>
      </c>
    </row>
    <row r="496">
      <c r="A496" s="55">
        <f>_xlfn.XLOOKUP("4313-10-1",Trip[trip_id],Trip[trip_id],"Não encontrado")</f>
        <v/>
      </c>
      <c r="B496" s="25" t="n">
        <v>0.25</v>
      </c>
      <c r="C496" s="25" t="n">
        <v>0.2909722222222222</v>
      </c>
      <c r="D496" s="26" t="n">
        <v>360</v>
      </c>
    </row>
    <row r="497">
      <c r="A497" s="56">
        <f>_xlfn.XLOOKUP("4313-10-1",Trip[trip_id],Trip[trip_id],"Não encontrado")</f>
        <v/>
      </c>
      <c r="B497" s="28" t="n">
        <v>0.2916666666666667</v>
      </c>
      <c r="C497" s="28" t="n">
        <v>0.3326388888888889</v>
      </c>
      <c r="D497" s="29" t="n">
        <v>300</v>
      </c>
    </row>
    <row r="498">
      <c r="A498" s="55">
        <f>_xlfn.XLOOKUP("4313-10-1",Trip[trip_id],Trip[trip_id],"Não encontrado")</f>
        <v/>
      </c>
      <c r="B498" s="25" t="n">
        <v>0.3333333333333333</v>
      </c>
      <c r="C498" s="25" t="n">
        <v>0.3743055555555556</v>
      </c>
      <c r="D498" s="26" t="n">
        <v>240</v>
      </c>
    </row>
    <row r="499">
      <c r="A499" s="56">
        <f>_xlfn.XLOOKUP("4313-10-1",Trip[trip_id],Trip[trip_id],"Não encontrado")</f>
        <v/>
      </c>
      <c r="B499" s="28" t="n">
        <v>0.375</v>
      </c>
      <c r="C499" s="28" t="n">
        <v>0.4159722222222222</v>
      </c>
      <c r="D499" s="29" t="n">
        <v>360</v>
      </c>
    </row>
    <row r="500">
      <c r="A500" s="55">
        <f>_xlfn.XLOOKUP("4313-10-1",Trip[trip_id],Trip[trip_id],"Não encontrado")</f>
        <v/>
      </c>
      <c r="B500" s="25" t="n">
        <v>0.4166666666666667</v>
      </c>
      <c r="C500" s="25" t="n">
        <v>0.4576388888888889</v>
      </c>
      <c r="D500" s="26" t="n">
        <v>480</v>
      </c>
    </row>
    <row r="501">
      <c r="A501" s="56">
        <f>_xlfn.XLOOKUP("4313-10-1",Trip[trip_id],Trip[trip_id],"Não encontrado")</f>
        <v/>
      </c>
      <c r="B501" s="28" t="n">
        <v>0.4583333333333333</v>
      </c>
      <c r="C501" s="28" t="n">
        <v>0.4993055555555556</v>
      </c>
      <c r="D501" s="29" t="n">
        <v>480</v>
      </c>
    </row>
    <row r="502">
      <c r="A502" s="55">
        <f>_xlfn.XLOOKUP("4313-10-1",Trip[trip_id],Trip[trip_id],"Não encontrado")</f>
        <v/>
      </c>
      <c r="B502" s="25" t="n">
        <v>0.5</v>
      </c>
      <c r="C502" s="25" t="n">
        <v>0.5409722222222222</v>
      </c>
      <c r="D502" s="26" t="n">
        <v>480</v>
      </c>
    </row>
    <row r="503">
      <c r="A503" s="56">
        <f>_xlfn.XLOOKUP("4313-10-1",Trip[trip_id],Trip[trip_id],"Não encontrado")</f>
        <v/>
      </c>
      <c r="B503" s="28" t="n">
        <v>0.5416666666666666</v>
      </c>
      <c r="C503" s="28" t="n">
        <v>0.5826388888888889</v>
      </c>
      <c r="D503" s="29" t="n">
        <v>600</v>
      </c>
    </row>
    <row r="504">
      <c r="A504" s="55">
        <f>_xlfn.XLOOKUP("4313-10-1",Trip[trip_id],Trip[trip_id],"Não encontrado")</f>
        <v/>
      </c>
      <c r="B504" s="25" t="n">
        <v>0.5833333333333334</v>
      </c>
      <c r="C504" s="25" t="n">
        <v>0.6243055555555556</v>
      </c>
      <c r="D504" s="26" t="n">
        <v>600</v>
      </c>
    </row>
    <row r="505">
      <c r="A505" s="56">
        <f>_xlfn.XLOOKUP("4313-10-1",Trip[trip_id],Trip[trip_id],"Não encontrado")</f>
        <v/>
      </c>
      <c r="B505" s="28" t="n">
        <v>0.625</v>
      </c>
      <c r="C505" s="28" t="n">
        <v>0.6659722222222222</v>
      </c>
      <c r="D505" s="29" t="n">
        <v>420</v>
      </c>
    </row>
    <row r="506">
      <c r="A506" s="55">
        <f>_xlfn.XLOOKUP("4313-10-1",Trip[trip_id],Trip[trip_id],"Não encontrado")</f>
        <v/>
      </c>
      <c r="B506" s="25" t="n">
        <v>0.6666666666666666</v>
      </c>
      <c r="C506" s="25" t="n">
        <v>0.7076388888888889</v>
      </c>
      <c r="D506" s="26" t="n">
        <v>360</v>
      </c>
    </row>
    <row r="507">
      <c r="A507" s="56">
        <f>_xlfn.XLOOKUP("4313-10-1",Trip[trip_id],Trip[trip_id],"Não encontrado")</f>
        <v/>
      </c>
      <c r="B507" s="28" t="n">
        <v>0.7083333333333334</v>
      </c>
      <c r="C507" s="28" t="n">
        <v>0.7493055555555556</v>
      </c>
      <c r="D507" s="29" t="n">
        <v>300</v>
      </c>
    </row>
    <row r="508">
      <c r="A508" s="55">
        <f>_xlfn.XLOOKUP("4313-10-1",Trip[trip_id],Trip[trip_id],"Não encontrado")</f>
        <v/>
      </c>
      <c r="B508" s="25" t="n">
        <v>0.75</v>
      </c>
      <c r="C508" s="25" t="n">
        <v>0.7909722222222222</v>
      </c>
      <c r="D508" s="26" t="n">
        <v>420</v>
      </c>
    </row>
    <row r="509">
      <c r="A509" s="56">
        <f>_xlfn.XLOOKUP("4313-10-1",Trip[trip_id],Trip[trip_id],"Não encontrado")</f>
        <v/>
      </c>
      <c r="B509" s="28" t="n">
        <v>0.7916666666666666</v>
      </c>
      <c r="C509" s="28" t="n">
        <v>0.8326388888888889</v>
      </c>
      <c r="D509" s="29" t="n">
        <v>480</v>
      </c>
    </row>
    <row r="510">
      <c r="A510" s="55">
        <f>_xlfn.XLOOKUP("4313-10-1",Trip[trip_id],Trip[trip_id],"Não encontrado")</f>
        <v/>
      </c>
      <c r="B510" s="25" t="n">
        <v>0.8333333333333334</v>
      </c>
      <c r="C510" s="25" t="n">
        <v>0.8743055555555556</v>
      </c>
      <c r="D510" s="26" t="n">
        <v>480</v>
      </c>
    </row>
    <row r="511">
      <c r="A511" s="56">
        <f>_xlfn.XLOOKUP("4313-10-1",Trip[trip_id],Trip[trip_id],"Não encontrado")</f>
        <v/>
      </c>
      <c r="B511" s="28" t="n">
        <v>0.875</v>
      </c>
      <c r="C511" s="28" t="n">
        <v>0.9159722222222222</v>
      </c>
      <c r="D511" s="29" t="n">
        <v>480</v>
      </c>
    </row>
    <row r="512">
      <c r="A512" s="55">
        <f>_xlfn.XLOOKUP("4313-10-1",Trip[trip_id],Trip[trip_id],"Não encontrado")</f>
        <v/>
      </c>
      <c r="B512" s="25" t="n">
        <v>0.9166666666666666</v>
      </c>
      <c r="C512" s="25" t="n">
        <v>0.9576388888888889</v>
      </c>
      <c r="D512" s="26" t="n">
        <v>480</v>
      </c>
    </row>
    <row r="513">
      <c r="A513" s="56">
        <f>_xlfn.XLOOKUP("4313-10-1",Trip[trip_id],Trip[trip_id],"Não encontrado")</f>
        <v/>
      </c>
      <c r="B513" s="28" t="n">
        <v>0.9583333333333334</v>
      </c>
      <c r="C513" s="28" t="n">
        <v>0.9993055555555556</v>
      </c>
      <c r="D513" s="29" t="n">
        <v>480</v>
      </c>
    </row>
    <row r="514">
      <c r="A514" s="55">
        <f>_xlfn.XLOOKUP("574W-10-0",Trip[trip_id],Trip[trip_id],"Não encontrado")</f>
        <v/>
      </c>
      <c r="B514" s="25" t="n">
        <v>0.125</v>
      </c>
      <c r="C514" s="25" t="n">
        <v>0.1659722222222222</v>
      </c>
      <c r="D514" s="26" t="n">
        <v>3600</v>
      </c>
    </row>
    <row r="515">
      <c r="A515" s="56">
        <f>_xlfn.XLOOKUP("574W-10-0",Trip[trip_id],Trip[trip_id],"Não encontrado")</f>
        <v/>
      </c>
      <c r="B515" s="28" t="n">
        <v>0.1666666666666667</v>
      </c>
      <c r="C515" s="28" t="n">
        <v>0.2076388888888889</v>
      </c>
      <c r="D515" s="29" t="n">
        <v>720</v>
      </c>
    </row>
    <row r="516">
      <c r="A516" s="55">
        <f>_xlfn.XLOOKUP("574W-10-0",Trip[trip_id],Trip[trip_id],"Não encontrado")</f>
        <v/>
      </c>
      <c r="B516" s="25" t="n">
        <v>0.2083333333333333</v>
      </c>
      <c r="C516" s="25" t="n">
        <v>0.2493055555555556</v>
      </c>
      <c r="D516" s="26" t="n">
        <v>600</v>
      </c>
    </row>
    <row r="517">
      <c r="A517" s="56">
        <f>_xlfn.XLOOKUP("574W-10-0",Trip[trip_id],Trip[trip_id],"Não encontrado")</f>
        <v/>
      </c>
      <c r="B517" s="28" t="n">
        <v>0.25</v>
      </c>
      <c r="C517" s="28" t="n">
        <v>0.2909722222222222</v>
      </c>
      <c r="D517" s="29" t="n">
        <v>600</v>
      </c>
    </row>
    <row r="518">
      <c r="A518" s="55">
        <f>_xlfn.XLOOKUP("574W-10-0",Trip[trip_id],Trip[trip_id],"Não encontrado")</f>
        <v/>
      </c>
      <c r="B518" s="25" t="n">
        <v>0.2916666666666667</v>
      </c>
      <c r="C518" s="25" t="n">
        <v>0.3326388888888889</v>
      </c>
      <c r="D518" s="26" t="n">
        <v>720</v>
      </c>
    </row>
    <row r="519">
      <c r="A519" s="56">
        <f>_xlfn.XLOOKUP("574W-10-0",Trip[trip_id],Trip[trip_id],"Não encontrado")</f>
        <v/>
      </c>
      <c r="B519" s="28" t="n">
        <v>0.3333333333333333</v>
      </c>
      <c r="C519" s="28" t="n">
        <v>0.3743055555555556</v>
      </c>
      <c r="D519" s="29" t="n">
        <v>900</v>
      </c>
    </row>
    <row r="520">
      <c r="A520" s="55">
        <f>_xlfn.XLOOKUP("574W-10-0",Trip[trip_id],Trip[trip_id],"Não encontrado")</f>
        <v/>
      </c>
      <c r="B520" s="25" t="n">
        <v>0.375</v>
      </c>
      <c r="C520" s="25" t="n">
        <v>0.4159722222222222</v>
      </c>
      <c r="D520" s="26" t="n">
        <v>1200</v>
      </c>
    </row>
    <row r="521">
      <c r="A521" s="56">
        <f>_xlfn.XLOOKUP("574W-10-0",Trip[trip_id],Trip[trip_id],"Não encontrado")</f>
        <v/>
      </c>
      <c r="B521" s="28" t="n">
        <v>0.4166666666666667</v>
      </c>
      <c r="C521" s="28" t="n">
        <v>0.4576388888888889</v>
      </c>
      <c r="D521" s="29" t="n">
        <v>900</v>
      </c>
    </row>
    <row r="522">
      <c r="A522" s="55">
        <f>_xlfn.XLOOKUP("574W-10-0",Trip[trip_id],Trip[trip_id],"Não encontrado")</f>
        <v/>
      </c>
      <c r="B522" s="25" t="n">
        <v>0.4583333333333333</v>
      </c>
      <c r="C522" s="25" t="n">
        <v>0.4993055555555556</v>
      </c>
      <c r="D522" s="26" t="n">
        <v>900</v>
      </c>
    </row>
    <row r="523">
      <c r="A523" s="56">
        <f>_xlfn.XLOOKUP("574W-10-0",Trip[trip_id],Trip[trip_id],"Não encontrado")</f>
        <v/>
      </c>
      <c r="B523" s="28" t="n">
        <v>0.5</v>
      </c>
      <c r="C523" s="28" t="n">
        <v>0.5409722222222222</v>
      </c>
      <c r="D523" s="29" t="n">
        <v>720</v>
      </c>
    </row>
    <row r="524">
      <c r="A524" s="55">
        <f>_xlfn.XLOOKUP("574W-10-0",Trip[trip_id],Trip[trip_id],"Não encontrado")</f>
        <v/>
      </c>
      <c r="B524" s="25" t="n">
        <v>0.5416666666666666</v>
      </c>
      <c r="C524" s="25" t="n">
        <v>0.5826388888888889</v>
      </c>
      <c r="D524" s="26" t="n">
        <v>720</v>
      </c>
    </row>
    <row r="525">
      <c r="A525" s="56">
        <f>_xlfn.XLOOKUP("574W-10-0",Trip[trip_id],Trip[trip_id],"Não encontrado")</f>
        <v/>
      </c>
      <c r="B525" s="28" t="n">
        <v>0.5833333333333334</v>
      </c>
      <c r="C525" s="28" t="n">
        <v>0.6243055555555556</v>
      </c>
      <c r="D525" s="29" t="n">
        <v>900</v>
      </c>
    </row>
    <row r="526">
      <c r="A526" s="55">
        <f>_xlfn.XLOOKUP("574W-10-0",Trip[trip_id],Trip[trip_id],"Não encontrado")</f>
        <v/>
      </c>
      <c r="B526" s="25" t="n">
        <v>0.625</v>
      </c>
      <c r="C526" s="25" t="n">
        <v>0.6659722222222222</v>
      </c>
      <c r="D526" s="26" t="n">
        <v>900</v>
      </c>
    </row>
    <row r="527">
      <c r="A527" s="56">
        <f>_xlfn.XLOOKUP("574W-10-0",Trip[trip_id],Trip[trip_id],"Não encontrado")</f>
        <v/>
      </c>
      <c r="B527" s="28" t="n">
        <v>0.6666666666666666</v>
      </c>
      <c r="C527" s="28" t="n">
        <v>0.7076388888888889</v>
      </c>
      <c r="D527" s="29" t="n">
        <v>720</v>
      </c>
    </row>
    <row r="528">
      <c r="A528" s="55">
        <f>_xlfn.XLOOKUP("574W-10-0",Trip[trip_id],Trip[trip_id],"Não encontrado")</f>
        <v/>
      </c>
      <c r="B528" s="25" t="n">
        <v>0.7083333333333334</v>
      </c>
      <c r="C528" s="25" t="n">
        <v>0.7493055555555556</v>
      </c>
      <c r="D528" s="26" t="n">
        <v>720</v>
      </c>
    </row>
    <row r="529">
      <c r="A529" s="56">
        <f>_xlfn.XLOOKUP("574W-10-0",Trip[trip_id],Trip[trip_id],"Não encontrado")</f>
        <v/>
      </c>
      <c r="B529" s="28" t="n">
        <v>0.75</v>
      </c>
      <c r="C529" s="28" t="n">
        <v>0.7909722222222222</v>
      </c>
      <c r="D529" s="29" t="n">
        <v>900</v>
      </c>
    </row>
    <row r="530">
      <c r="A530" s="55">
        <f>_xlfn.XLOOKUP("574W-10-0",Trip[trip_id],Trip[trip_id],"Não encontrado")</f>
        <v/>
      </c>
      <c r="B530" s="25" t="n">
        <v>0.7916666666666666</v>
      </c>
      <c r="C530" s="25" t="n">
        <v>0.8326388888888889</v>
      </c>
      <c r="D530" s="26" t="n">
        <v>900</v>
      </c>
    </row>
    <row r="531">
      <c r="A531" s="56">
        <f>_xlfn.XLOOKUP("574W-10-0",Trip[trip_id],Trip[trip_id],"Não encontrado")</f>
        <v/>
      </c>
      <c r="B531" s="28" t="n">
        <v>0.8333333333333334</v>
      </c>
      <c r="C531" s="28" t="n">
        <v>0.8743055555555556</v>
      </c>
      <c r="D531" s="29" t="n">
        <v>900</v>
      </c>
    </row>
    <row r="532">
      <c r="A532" s="55">
        <f>_xlfn.XLOOKUP("574W-10-0",Trip[trip_id],Trip[trip_id],"Não encontrado")</f>
        <v/>
      </c>
      <c r="B532" s="25" t="n">
        <v>0.875</v>
      </c>
      <c r="C532" s="25" t="n">
        <v>0.9159722222222222</v>
      </c>
      <c r="D532" s="26" t="n">
        <v>720</v>
      </c>
    </row>
    <row r="533">
      <c r="A533" s="56">
        <f>_xlfn.XLOOKUP("574W-10-0",Trip[trip_id],Trip[trip_id],"Não encontrado")</f>
        <v/>
      </c>
      <c r="B533" s="28" t="n">
        <v>0.9166666666666666</v>
      </c>
      <c r="C533" s="28" t="n">
        <v>0.9576388888888889</v>
      </c>
      <c r="D533" s="29" t="n">
        <v>900</v>
      </c>
    </row>
    <row r="534">
      <c r="A534" s="55">
        <f>_xlfn.XLOOKUP("574W-10-0",Trip[trip_id],Trip[trip_id],"Não encontrado")</f>
        <v/>
      </c>
      <c r="B534" s="25" t="n">
        <v>0.9583333333333334</v>
      </c>
      <c r="C534" s="25" t="n">
        <v>0.9993055555555556</v>
      </c>
      <c r="D534" s="26" t="n">
        <v>1200</v>
      </c>
    </row>
    <row r="535">
      <c r="A535" s="56">
        <f>_xlfn.XLOOKUP("574W-10-1",Trip[trip_id],Trip[trip_id],"Não encontrado")</f>
        <v/>
      </c>
      <c r="B535" s="28" t="n">
        <v>0</v>
      </c>
      <c r="C535" s="28" t="n">
        <v>0.04097222222222222</v>
      </c>
      <c r="D535" s="29" t="n">
        <v>1200</v>
      </c>
    </row>
    <row r="536">
      <c r="A536" s="55">
        <f>_xlfn.XLOOKUP("574W-10-1",Trip[trip_id],Trip[trip_id],"Não encontrado")</f>
        <v/>
      </c>
      <c r="B536" s="25" t="n">
        <v>0.1666666666666667</v>
      </c>
      <c r="C536" s="25" t="n">
        <v>0.2076388888888889</v>
      </c>
      <c r="D536" s="26" t="n">
        <v>3600</v>
      </c>
    </row>
    <row r="537">
      <c r="A537" s="56">
        <f>_xlfn.XLOOKUP("574W-10-1",Trip[trip_id],Trip[trip_id],"Não encontrado")</f>
        <v/>
      </c>
      <c r="B537" s="28" t="n">
        <v>0.2083333333333333</v>
      </c>
      <c r="C537" s="28" t="n">
        <v>0.2493055555555556</v>
      </c>
      <c r="D537" s="29" t="n">
        <v>1200</v>
      </c>
    </row>
    <row r="538">
      <c r="A538" s="55">
        <f>_xlfn.XLOOKUP("574W-10-1",Trip[trip_id],Trip[trip_id],"Não encontrado")</f>
        <v/>
      </c>
      <c r="B538" s="25" t="n">
        <v>0.25</v>
      </c>
      <c r="C538" s="25" t="n">
        <v>0.2909722222222222</v>
      </c>
      <c r="D538" s="26" t="n">
        <v>720</v>
      </c>
    </row>
    <row r="539">
      <c r="A539" s="56">
        <f>_xlfn.XLOOKUP("574W-10-1",Trip[trip_id],Trip[trip_id],"Não encontrado")</f>
        <v/>
      </c>
      <c r="B539" s="28" t="n">
        <v>0.2916666666666667</v>
      </c>
      <c r="C539" s="28" t="n">
        <v>0.3326388888888889</v>
      </c>
      <c r="D539" s="29" t="n">
        <v>720</v>
      </c>
    </row>
    <row r="540">
      <c r="A540" s="55">
        <f>_xlfn.XLOOKUP("574W-10-1",Trip[trip_id],Trip[trip_id],"Não encontrado")</f>
        <v/>
      </c>
      <c r="B540" s="25" t="n">
        <v>0.3333333333333333</v>
      </c>
      <c r="C540" s="25" t="n">
        <v>0.3743055555555556</v>
      </c>
      <c r="D540" s="26" t="n">
        <v>720</v>
      </c>
    </row>
    <row r="541">
      <c r="A541" s="56">
        <f>_xlfn.XLOOKUP("574W-10-1",Trip[trip_id],Trip[trip_id],"Não encontrado")</f>
        <v/>
      </c>
      <c r="B541" s="28" t="n">
        <v>0.375</v>
      </c>
      <c r="C541" s="28" t="n">
        <v>0.4159722222222222</v>
      </c>
      <c r="D541" s="29" t="n">
        <v>720</v>
      </c>
    </row>
    <row r="542">
      <c r="A542" s="55">
        <f>_xlfn.XLOOKUP("574W-10-1",Trip[trip_id],Trip[trip_id],"Não encontrado")</f>
        <v/>
      </c>
      <c r="B542" s="25" t="n">
        <v>0.4166666666666667</v>
      </c>
      <c r="C542" s="25" t="n">
        <v>0.4576388888888889</v>
      </c>
      <c r="D542" s="26" t="n">
        <v>900</v>
      </c>
    </row>
    <row r="543">
      <c r="A543" s="56">
        <f>_xlfn.XLOOKUP("574W-10-1",Trip[trip_id],Trip[trip_id],"Não encontrado")</f>
        <v/>
      </c>
      <c r="B543" s="28" t="n">
        <v>0.4583333333333333</v>
      </c>
      <c r="C543" s="28" t="n">
        <v>0.4993055555555556</v>
      </c>
      <c r="D543" s="29" t="n">
        <v>900</v>
      </c>
    </row>
    <row r="544">
      <c r="A544" s="55">
        <f>_xlfn.XLOOKUP("574W-10-1",Trip[trip_id],Trip[trip_id],"Não encontrado")</f>
        <v/>
      </c>
      <c r="B544" s="25" t="n">
        <v>0.5</v>
      </c>
      <c r="C544" s="25" t="n">
        <v>0.5409722222222222</v>
      </c>
      <c r="D544" s="26" t="n">
        <v>900</v>
      </c>
    </row>
    <row r="545">
      <c r="A545" s="56">
        <f>_xlfn.XLOOKUP("574W-10-1",Trip[trip_id],Trip[trip_id],"Não encontrado")</f>
        <v/>
      </c>
      <c r="B545" s="28" t="n">
        <v>0.5416666666666666</v>
      </c>
      <c r="C545" s="28" t="n">
        <v>0.5826388888888889</v>
      </c>
      <c r="D545" s="29" t="n">
        <v>900</v>
      </c>
    </row>
    <row r="546">
      <c r="A546" s="55">
        <f>_xlfn.XLOOKUP("574W-10-1",Trip[trip_id],Trip[trip_id],"Não encontrado")</f>
        <v/>
      </c>
      <c r="B546" s="25" t="n">
        <v>0.5833333333333334</v>
      </c>
      <c r="C546" s="25" t="n">
        <v>0.6243055555555556</v>
      </c>
      <c r="D546" s="26" t="n">
        <v>720</v>
      </c>
    </row>
    <row r="547">
      <c r="A547" s="56">
        <f>_xlfn.XLOOKUP("574W-10-1",Trip[trip_id],Trip[trip_id],"Não encontrado")</f>
        <v/>
      </c>
      <c r="B547" s="28" t="n">
        <v>0.625</v>
      </c>
      <c r="C547" s="28" t="n">
        <v>0.6659722222222222</v>
      </c>
      <c r="D547" s="29" t="n">
        <v>720</v>
      </c>
    </row>
    <row r="548">
      <c r="A548" s="55">
        <f>_xlfn.XLOOKUP("574W-10-1",Trip[trip_id],Trip[trip_id],"Não encontrado")</f>
        <v/>
      </c>
      <c r="B548" s="25" t="n">
        <v>0.6666666666666666</v>
      </c>
      <c r="C548" s="25" t="n">
        <v>0.7076388888888889</v>
      </c>
      <c r="D548" s="26" t="n">
        <v>900</v>
      </c>
    </row>
    <row r="549">
      <c r="A549" s="56">
        <f>_xlfn.XLOOKUP("574W-10-1",Trip[trip_id],Trip[trip_id],"Não encontrado")</f>
        <v/>
      </c>
      <c r="B549" s="28" t="n">
        <v>0.7083333333333334</v>
      </c>
      <c r="C549" s="28" t="n">
        <v>0.7493055555555556</v>
      </c>
      <c r="D549" s="29" t="n">
        <v>720</v>
      </c>
    </row>
    <row r="550">
      <c r="A550" s="55">
        <f>_xlfn.XLOOKUP("574W-10-1",Trip[trip_id],Trip[trip_id],"Não encontrado")</f>
        <v/>
      </c>
      <c r="B550" s="25" t="n">
        <v>0.75</v>
      </c>
      <c r="C550" s="25" t="n">
        <v>0.7909722222222222</v>
      </c>
      <c r="D550" s="26" t="n">
        <v>720</v>
      </c>
    </row>
    <row r="551">
      <c r="A551" s="56">
        <f>_xlfn.XLOOKUP("574W-10-1",Trip[trip_id],Trip[trip_id],"Não encontrado")</f>
        <v/>
      </c>
      <c r="B551" s="28" t="n">
        <v>0.7916666666666666</v>
      </c>
      <c r="C551" s="28" t="n">
        <v>0.8326388888888889</v>
      </c>
      <c r="D551" s="29" t="n">
        <v>900</v>
      </c>
    </row>
    <row r="552">
      <c r="A552" s="55">
        <f>_xlfn.XLOOKUP("574W-10-1",Trip[trip_id],Trip[trip_id],"Não encontrado")</f>
        <v/>
      </c>
      <c r="B552" s="25" t="n">
        <v>0.8333333333333334</v>
      </c>
      <c r="C552" s="25" t="n">
        <v>0.8743055555555556</v>
      </c>
      <c r="D552" s="26" t="n">
        <v>900</v>
      </c>
    </row>
    <row r="553">
      <c r="A553" s="56">
        <f>_xlfn.XLOOKUP("574W-10-1",Trip[trip_id],Trip[trip_id],"Não encontrado")</f>
        <v/>
      </c>
      <c r="B553" s="28" t="n">
        <v>0.875</v>
      </c>
      <c r="C553" s="28" t="n">
        <v>0.9159722222222222</v>
      </c>
      <c r="D553" s="29" t="n">
        <v>720</v>
      </c>
    </row>
    <row r="554">
      <c r="A554" s="55">
        <f>_xlfn.XLOOKUP("574W-10-1",Trip[trip_id],Trip[trip_id],"Não encontrado")</f>
        <v/>
      </c>
      <c r="B554" s="25" t="n">
        <v>0.9166666666666666</v>
      </c>
      <c r="C554" s="25" t="n">
        <v>0.9576388888888889</v>
      </c>
      <c r="D554" s="26" t="n">
        <v>720</v>
      </c>
    </row>
    <row r="555">
      <c r="A555" s="56">
        <f>_xlfn.XLOOKUP("574W-10-1",Trip[trip_id],Trip[trip_id],"Não encontrado")</f>
        <v/>
      </c>
      <c r="B555" s="28" t="n">
        <v>0.9583333333333334</v>
      </c>
      <c r="C555" s="28" t="n">
        <v>0.9993055555555556</v>
      </c>
      <c r="D555" s="29" t="n">
        <v>720</v>
      </c>
    </row>
    <row r="556">
      <c r="A556" s="55">
        <f>_xlfn.XLOOKUP("CPTM L07-0",Trip[trip_id],Trip[trip_id],"Não encontrado")</f>
        <v/>
      </c>
      <c r="B556" s="25" t="n">
        <v>0.1666666666666667</v>
      </c>
      <c r="C556" s="25" t="n">
        <v>0.2076388888888889</v>
      </c>
      <c r="D556" s="26" t="n">
        <v>720</v>
      </c>
    </row>
    <row r="557">
      <c r="A557" s="56">
        <f>_xlfn.XLOOKUP("CPTM L07-0",Trip[trip_id],Trip[trip_id],"Não encontrado")</f>
        <v/>
      </c>
      <c r="B557" s="28" t="n">
        <v>0.2083333333333333</v>
      </c>
      <c r="C557" s="28" t="n">
        <v>0.2493055555555556</v>
      </c>
      <c r="D557" s="29" t="n">
        <v>360</v>
      </c>
    </row>
    <row r="558">
      <c r="A558" s="55">
        <f>_xlfn.XLOOKUP("CPTM L07-0",Trip[trip_id],Trip[trip_id],"Não encontrado")</f>
        <v/>
      </c>
      <c r="B558" s="25" t="n">
        <v>0.25</v>
      </c>
      <c r="C558" s="25" t="n">
        <v>0.2909722222222222</v>
      </c>
      <c r="D558" s="26" t="n">
        <v>360</v>
      </c>
    </row>
    <row r="559">
      <c r="A559" s="56">
        <f>_xlfn.XLOOKUP("CPTM L07-0",Trip[trip_id],Trip[trip_id],"Não encontrado")</f>
        <v/>
      </c>
      <c r="B559" s="28" t="n">
        <v>0.2916666666666667</v>
      </c>
      <c r="C559" s="28" t="n">
        <v>0.3326388888888889</v>
      </c>
      <c r="D559" s="29" t="n">
        <v>360</v>
      </c>
    </row>
    <row r="560">
      <c r="A560" s="55">
        <f>_xlfn.XLOOKUP("CPTM L07-0",Trip[trip_id],Trip[trip_id],"Não encontrado")</f>
        <v/>
      </c>
      <c r="B560" s="25" t="n">
        <v>0.3333333333333333</v>
      </c>
      <c r="C560" s="25" t="n">
        <v>0.3743055555555556</v>
      </c>
      <c r="D560" s="26" t="n">
        <v>360</v>
      </c>
    </row>
    <row r="561">
      <c r="A561" s="56">
        <f>_xlfn.XLOOKUP("CPTM L07-0",Trip[trip_id],Trip[trip_id],"Não encontrado")</f>
        <v/>
      </c>
      <c r="B561" s="28" t="n">
        <v>0.375</v>
      </c>
      <c r="C561" s="28" t="n">
        <v>0.4159722222222222</v>
      </c>
      <c r="D561" s="29" t="n">
        <v>480</v>
      </c>
    </row>
    <row r="562">
      <c r="A562" s="55">
        <f>_xlfn.XLOOKUP("CPTM L07-0",Trip[trip_id],Trip[trip_id],"Não encontrado")</f>
        <v/>
      </c>
      <c r="B562" s="25" t="n">
        <v>0.4166666666666667</v>
      </c>
      <c r="C562" s="25" t="n">
        <v>0.4576388888888889</v>
      </c>
      <c r="D562" s="26" t="n">
        <v>480</v>
      </c>
    </row>
    <row r="563">
      <c r="A563" s="56">
        <f>_xlfn.XLOOKUP("CPTM L07-0",Trip[trip_id],Trip[trip_id],"Não encontrado")</f>
        <v/>
      </c>
      <c r="B563" s="28" t="n">
        <v>0.4583333333333333</v>
      </c>
      <c r="C563" s="28" t="n">
        <v>0.4993055555555556</v>
      </c>
      <c r="D563" s="29" t="n">
        <v>480</v>
      </c>
    </row>
    <row r="564">
      <c r="A564" s="55">
        <f>_xlfn.XLOOKUP("CPTM L07-0",Trip[trip_id],Trip[trip_id],"Não encontrado")</f>
        <v/>
      </c>
      <c r="B564" s="25" t="n">
        <v>0.5</v>
      </c>
      <c r="C564" s="25" t="n">
        <v>0.5409722222222222</v>
      </c>
      <c r="D564" s="26" t="n">
        <v>480</v>
      </c>
    </row>
    <row r="565">
      <c r="A565" s="56">
        <f>_xlfn.XLOOKUP("CPTM L07-0",Trip[trip_id],Trip[trip_id],"Não encontrado")</f>
        <v/>
      </c>
      <c r="B565" s="28" t="n">
        <v>0.5416666666666666</v>
      </c>
      <c r="C565" s="28" t="n">
        <v>0.5826388888888889</v>
      </c>
      <c r="D565" s="29" t="n">
        <v>480</v>
      </c>
    </row>
    <row r="566">
      <c r="A566" s="55">
        <f>_xlfn.XLOOKUP("CPTM L07-0",Trip[trip_id],Trip[trip_id],"Não encontrado")</f>
        <v/>
      </c>
      <c r="B566" s="25" t="n">
        <v>0.5833333333333334</v>
      </c>
      <c r="C566" s="25" t="n">
        <v>0.6243055555555556</v>
      </c>
      <c r="D566" s="26" t="n">
        <v>480</v>
      </c>
    </row>
    <row r="567">
      <c r="A567" s="56">
        <f>_xlfn.XLOOKUP("CPTM L07-0",Trip[trip_id],Trip[trip_id],"Não encontrado")</f>
        <v/>
      </c>
      <c r="B567" s="28" t="n">
        <v>0.625</v>
      </c>
      <c r="C567" s="28" t="n">
        <v>0.6659722222222222</v>
      </c>
      <c r="D567" s="29" t="n">
        <v>480</v>
      </c>
    </row>
    <row r="568">
      <c r="A568" s="55">
        <f>_xlfn.XLOOKUP("CPTM L07-0",Trip[trip_id],Trip[trip_id],"Não encontrado")</f>
        <v/>
      </c>
      <c r="B568" s="25" t="n">
        <v>0.6666666666666666</v>
      </c>
      <c r="C568" s="25" t="n">
        <v>0.7076388888888889</v>
      </c>
      <c r="D568" s="26" t="n">
        <v>360</v>
      </c>
    </row>
    <row r="569">
      <c r="A569" s="56">
        <f>_xlfn.XLOOKUP("CPTM L07-0",Trip[trip_id],Trip[trip_id],"Não encontrado")</f>
        <v/>
      </c>
      <c r="B569" s="28" t="n">
        <v>0.7083333333333334</v>
      </c>
      <c r="C569" s="28" t="n">
        <v>0.7493055555555556</v>
      </c>
      <c r="D569" s="29" t="n">
        <v>360</v>
      </c>
    </row>
    <row r="570">
      <c r="A570" s="55">
        <f>_xlfn.XLOOKUP("CPTM L07-0",Trip[trip_id],Trip[trip_id],"Não encontrado")</f>
        <v/>
      </c>
      <c r="B570" s="25" t="n">
        <v>0.75</v>
      </c>
      <c r="C570" s="25" t="n">
        <v>0.7909722222222222</v>
      </c>
      <c r="D570" s="26" t="n">
        <v>360</v>
      </c>
    </row>
    <row r="571">
      <c r="A571" s="56">
        <f>_xlfn.XLOOKUP("CPTM L07-0",Trip[trip_id],Trip[trip_id],"Não encontrado")</f>
        <v/>
      </c>
      <c r="B571" s="28" t="n">
        <v>0.7916666666666666</v>
      </c>
      <c r="C571" s="28" t="n">
        <v>0.8326388888888889</v>
      </c>
      <c r="D571" s="29" t="n">
        <v>360</v>
      </c>
    </row>
    <row r="572">
      <c r="A572" s="55">
        <f>_xlfn.XLOOKUP("CPTM L07-0",Trip[trip_id],Trip[trip_id],"Não encontrado")</f>
        <v/>
      </c>
      <c r="B572" s="25" t="n">
        <v>0.8333333333333334</v>
      </c>
      <c r="C572" s="25" t="n">
        <v>0.8743055555555556</v>
      </c>
      <c r="D572" s="26" t="n">
        <v>720</v>
      </c>
    </row>
    <row r="573">
      <c r="A573" s="56">
        <f>_xlfn.XLOOKUP("CPTM L07-0",Trip[trip_id],Trip[trip_id],"Não encontrado")</f>
        <v/>
      </c>
      <c r="B573" s="28" t="n">
        <v>0.875</v>
      </c>
      <c r="C573" s="28" t="n">
        <v>0.9159722222222222</v>
      </c>
      <c r="D573" s="29" t="n">
        <v>720</v>
      </c>
    </row>
    <row r="574">
      <c r="A574" s="55">
        <f>_xlfn.XLOOKUP("CPTM L07-0",Trip[trip_id],Trip[trip_id],"Não encontrado")</f>
        <v/>
      </c>
      <c r="B574" s="25" t="n">
        <v>0.9166666666666666</v>
      </c>
      <c r="C574" s="25" t="n">
        <v>0.9576388888888889</v>
      </c>
      <c r="D574" s="26" t="n">
        <v>720</v>
      </c>
    </row>
    <row r="575">
      <c r="A575" s="56">
        <f>_xlfn.XLOOKUP("CPTM L07-0",Trip[trip_id],Trip[trip_id],"Não encontrado")</f>
        <v/>
      </c>
      <c r="B575" s="28" t="n">
        <v>0.9583333333333334</v>
      </c>
      <c r="C575" s="28" t="n">
        <v>0.9993055555555556</v>
      </c>
      <c r="D575" s="29" t="n">
        <v>720</v>
      </c>
    </row>
    <row r="576">
      <c r="A576" s="55">
        <f>_xlfn.XLOOKUP("CPTM L07-1",Trip[trip_id],Trip[trip_id],"Não encontrado")</f>
        <v/>
      </c>
      <c r="B576" s="25" t="n">
        <v>0.1666666666666667</v>
      </c>
      <c r="C576" s="25" t="n">
        <v>0.2076388888888889</v>
      </c>
      <c r="D576" s="26" t="n">
        <v>720</v>
      </c>
    </row>
    <row r="577">
      <c r="A577" s="56">
        <f>_xlfn.XLOOKUP("CPTM L07-1",Trip[trip_id],Trip[trip_id],"Não encontrado")</f>
        <v/>
      </c>
      <c r="B577" s="28" t="n">
        <v>0.2083333333333333</v>
      </c>
      <c r="C577" s="28" t="n">
        <v>0.2493055555555556</v>
      </c>
      <c r="D577" s="29" t="n">
        <v>360</v>
      </c>
    </row>
    <row r="578">
      <c r="A578" s="55">
        <f>_xlfn.XLOOKUP("CPTM L07-1",Trip[trip_id],Trip[trip_id],"Não encontrado")</f>
        <v/>
      </c>
      <c r="B578" s="25" t="n">
        <v>0.25</v>
      </c>
      <c r="C578" s="25" t="n">
        <v>0.2909722222222222</v>
      </c>
      <c r="D578" s="26" t="n">
        <v>360</v>
      </c>
    </row>
    <row r="579">
      <c r="A579" s="56">
        <f>_xlfn.XLOOKUP("CPTM L07-1",Trip[trip_id],Trip[trip_id],"Não encontrado")</f>
        <v/>
      </c>
      <c r="B579" s="28" t="n">
        <v>0.2916666666666667</v>
      </c>
      <c r="C579" s="28" t="n">
        <v>0.3326388888888889</v>
      </c>
      <c r="D579" s="29" t="n">
        <v>360</v>
      </c>
    </row>
    <row r="580">
      <c r="A580" s="55">
        <f>_xlfn.XLOOKUP("CPTM L07-1",Trip[trip_id],Trip[trip_id],"Não encontrado")</f>
        <v/>
      </c>
      <c r="B580" s="25" t="n">
        <v>0.3333333333333333</v>
      </c>
      <c r="C580" s="25" t="n">
        <v>0.3743055555555556</v>
      </c>
      <c r="D580" s="26" t="n">
        <v>360</v>
      </c>
    </row>
    <row r="581">
      <c r="A581" s="56">
        <f>_xlfn.XLOOKUP("CPTM L07-1",Trip[trip_id],Trip[trip_id],"Não encontrado")</f>
        <v/>
      </c>
      <c r="B581" s="28" t="n">
        <v>0.375</v>
      </c>
      <c r="C581" s="28" t="n">
        <v>0.4159722222222222</v>
      </c>
      <c r="D581" s="29" t="n">
        <v>480</v>
      </c>
    </row>
    <row r="582">
      <c r="A582" s="55">
        <f>_xlfn.XLOOKUP("CPTM L07-1",Trip[trip_id],Trip[trip_id],"Não encontrado")</f>
        <v/>
      </c>
      <c r="B582" s="25" t="n">
        <v>0.4166666666666667</v>
      </c>
      <c r="C582" s="25" t="n">
        <v>0.4576388888888889</v>
      </c>
      <c r="D582" s="26" t="n">
        <v>480</v>
      </c>
    </row>
    <row r="583">
      <c r="A583" s="56">
        <f>_xlfn.XLOOKUP("CPTM L07-1",Trip[trip_id],Trip[trip_id],"Não encontrado")</f>
        <v/>
      </c>
      <c r="B583" s="28" t="n">
        <v>0.4583333333333333</v>
      </c>
      <c r="C583" s="28" t="n">
        <v>0.4993055555555556</v>
      </c>
      <c r="D583" s="29" t="n">
        <v>480</v>
      </c>
    </row>
    <row r="584">
      <c r="A584" s="55">
        <f>_xlfn.XLOOKUP("CPTM L07-1",Trip[trip_id],Trip[trip_id],"Não encontrado")</f>
        <v/>
      </c>
      <c r="B584" s="25" t="n">
        <v>0.5</v>
      </c>
      <c r="C584" s="25" t="n">
        <v>0.5409722222222222</v>
      </c>
      <c r="D584" s="26" t="n">
        <v>480</v>
      </c>
    </row>
    <row r="585">
      <c r="A585" s="56">
        <f>_xlfn.XLOOKUP("CPTM L07-1",Trip[trip_id],Trip[trip_id],"Não encontrado")</f>
        <v/>
      </c>
      <c r="B585" s="28" t="n">
        <v>0.5416666666666666</v>
      </c>
      <c r="C585" s="28" t="n">
        <v>0.5826388888888889</v>
      </c>
      <c r="D585" s="29" t="n">
        <v>480</v>
      </c>
    </row>
    <row r="586">
      <c r="A586" s="55">
        <f>_xlfn.XLOOKUP("CPTM L07-1",Trip[trip_id],Trip[trip_id],"Não encontrado")</f>
        <v/>
      </c>
      <c r="B586" s="25" t="n">
        <v>0.5833333333333334</v>
      </c>
      <c r="C586" s="25" t="n">
        <v>0.6243055555555556</v>
      </c>
      <c r="D586" s="26" t="n">
        <v>480</v>
      </c>
    </row>
    <row r="587">
      <c r="A587" s="56">
        <f>_xlfn.XLOOKUP("CPTM L07-1",Trip[trip_id],Trip[trip_id],"Não encontrado")</f>
        <v/>
      </c>
      <c r="B587" s="28" t="n">
        <v>0.625</v>
      </c>
      <c r="C587" s="28" t="n">
        <v>0.6659722222222222</v>
      </c>
      <c r="D587" s="29" t="n">
        <v>480</v>
      </c>
    </row>
    <row r="588">
      <c r="A588" s="55">
        <f>_xlfn.XLOOKUP("CPTM L07-1",Trip[trip_id],Trip[trip_id],"Não encontrado")</f>
        <v/>
      </c>
      <c r="B588" s="25" t="n">
        <v>0.6666666666666666</v>
      </c>
      <c r="C588" s="25" t="n">
        <v>0.7076388888888889</v>
      </c>
      <c r="D588" s="26" t="n">
        <v>360</v>
      </c>
    </row>
    <row r="589">
      <c r="A589" s="56">
        <f>_xlfn.XLOOKUP("CPTM L07-1",Trip[trip_id],Trip[trip_id],"Não encontrado")</f>
        <v/>
      </c>
      <c r="B589" s="28" t="n">
        <v>0.7083333333333334</v>
      </c>
      <c r="C589" s="28" t="n">
        <v>0.7493055555555556</v>
      </c>
      <c r="D589" s="29" t="n">
        <v>360</v>
      </c>
    </row>
    <row r="590">
      <c r="A590" s="55">
        <f>_xlfn.XLOOKUP("CPTM L07-1",Trip[trip_id],Trip[trip_id],"Não encontrado")</f>
        <v/>
      </c>
      <c r="B590" s="25" t="n">
        <v>0.75</v>
      </c>
      <c r="C590" s="25" t="n">
        <v>0.7909722222222222</v>
      </c>
      <c r="D590" s="26" t="n">
        <v>360</v>
      </c>
    </row>
    <row r="591">
      <c r="A591" s="56">
        <f>_xlfn.XLOOKUP("CPTM L07-1",Trip[trip_id],Trip[trip_id],"Não encontrado")</f>
        <v/>
      </c>
      <c r="B591" s="28" t="n">
        <v>0.7916666666666666</v>
      </c>
      <c r="C591" s="28" t="n">
        <v>0.8326388888888889</v>
      </c>
      <c r="D591" s="29" t="n">
        <v>360</v>
      </c>
    </row>
    <row r="592">
      <c r="A592" s="55">
        <f>_xlfn.XLOOKUP("CPTM L07-1",Trip[trip_id],Trip[trip_id],"Não encontrado")</f>
        <v/>
      </c>
      <c r="B592" s="25" t="n">
        <v>0.8333333333333334</v>
      </c>
      <c r="C592" s="25" t="n">
        <v>0.8743055555555556</v>
      </c>
      <c r="D592" s="26" t="n">
        <v>720</v>
      </c>
    </row>
    <row r="593">
      <c r="A593" s="56">
        <f>_xlfn.XLOOKUP("CPTM L07-1",Trip[trip_id],Trip[trip_id],"Não encontrado")</f>
        <v/>
      </c>
      <c r="B593" s="28" t="n">
        <v>0.875</v>
      </c>
      <c r="C593" s="28" t="n">
        <v>0.9159722222222222</v>
      </c>
      <c r="D593" s="29" t="n">
        <v>720</v>
      </c>
    </row>
    <row r="594">
      <c r="A594" s="55">
        <f>_xlfn.XLOOKUP("CPTM L07-1",Trip[trip_id],Trip[trip_id],"Não encontrado")</f>
        <v/>
      </c>
      <c r="B594" s="25" t="n">
        <v>0.9166666666666666</v>
      </c>
      <c r="C594" s="25" t="n">
        <v>0.9576388888888889</v>
      </c>
      <c r="D594" s="26" t="n">
        <v>720</v>
      </c>
    </row>
    <row r="595">
      <c r="A595" s="56">
        <f>_xlfn.XLOOKUP("CPTM L07-1",Trip[trip_id],Trip[trip_id],"Não encontrado")</f>
        <v/>
      </c>
      <c r="B595" s="28" t="n">
        <v>0.9583333333333334</v>
      </c>
      <c r="C595" s="28" t="n">
        <v>0.9993055555555556</v>
      </c>
      <c r="D595" s="29" t="n">
        <v>720</v>
      </c>
    </row>
    <row r="596">
      <c r="A596" s="55">
        <f>_xlfn.XLOOKUP("CPTM L08-0",Trip[trip_id],Trip[trip_id],"Não encontrado")</f>
        <v/>
      </c>
      <c r="B596" s="25" t="n">
        <v>0.1666666666666667</v>
      </c>
      <c r="C596" s="25" t="n">
        <v>0.2076388888888889</v>
      </c>
      <c r="D596" s="26" t="n">
        <v>600</v>
      </c>
    </row>
    <row r="597">
      <c r="A597" s="56">
        <f>_xlfn.XLOOKUP("CPTM L08-0",Trip[trip_id],Trip[trip_id],"Não encontrado")</f>
        <v/>
      </c>
      <c r="B597" s="28" t="n">
        <v>0.2083333333333333</v>
      </c>
      <c r="C597" s="28" t="n">
        <v>0.2493055555555556</v>
      </c>
      <c r="D597" s="29" t="n">
        <v>480</v>
      </c>
    </row>
    <row r="598">
      <c r="A598" s="55">
        <f>_xlfn.XLOOKUP("CPTM L08-0",Trip[trip_id],Trip[trip_id],"Não encontrado")</f>
        <v/>
      </c>
      <c r="B598" s="25" t="n">
        <v>0.25</v>
      </c>
      <c r="C598" s="25" t="n">
        <v>0.2909722222222222</v>
      </c>
      <c r="D598" s="26" t="n">
        <v>300</v>
      </c>
    </row>
    <row r="599">
      <c r="A599" s="56">
        <f>_xlfn.XLOOKUP("CPTM L08-0",Trip[trip_id],Trip[trip_id],"Não encontrado")</f>
        <v/>
      </c>
      <c r="B599" s="28" t="n">
        <v>0.2916666666666667</v>
      </c>
      <c r="C599" s="28" t="n">
        <v>0.3326388888888889</v>
      </c>
      <c r="D599" s="29" t="n">
        <v>300</v>
      </c>
    </row>
    <row r="600">
      <c r="A600" s="55">
        <f>_xlfn.XLOOKUP("CPTM L08-0",Trip[trip_id],Trip[trip_id],"Não encontrado")</f>
        <v/>
      </c>
      <c r="B600" s="25" t="n">
        <v>0.3333333333333333</v>
      </c>
      <c r="C600" s="25" t="n">
        <v>0.3743055555555556</v>
      </c>
      <c r="D600" s="26" t="n">
        <v>300</v>
      </c>
    </row>
    <row r="601">
      <c r="A601" s="56">
        <f>_xlfn.XLOOKUP("CPTM L08-0",Trip[trip_id],Trip[trip_id],"Não encontrado")</f>
        <v/>
      </c>
      <c r="B601" s="28" t="n">
        <v>0.375</v>
      </c>
      <c r="C601" s="28" t="n">
        <v>0.4159722222222222</v>
      </c>
      <c r="D601" s="29" t="n">
        <v>480</v>
      </c>
    </row>
    <row r="602">
      <c r="A602" s="55">
        <f>_xlfn.XLOOKUP("CPTM L08-0",Trip[trip_id],Trip[trip_id],"Não encontrado")</f>
        <v/>
      </c>
      <c r="B602" s="25" t="n">
        <v>0.4166666666666667</v>
      </c>
      <c r="C602" s="25" t="n">
        <v>0.4576388888888889</v>
      </c>
      <c r="D602" s="26" t="n">
        <v>480</v>
      </c>
    </row>
    <row r="603">
      <c r="A603" s="56">
        <f>_xlfn.XLOOKUP("CPTM L08-0",Trip[trip_id],Trip[trip_id],"Não encontrado")</f>
        <v/>
      </c>
      <c r="B603" s="28" t="n">
        <v>0.4583333333333333</v>
      </c>
      <c r="C603" s="28" t="n">
        <v>0.4993055555555556</v>
      </c>
      <c r="D603" s="29" t="n">
        <v>480</v>
      </c>
    </row>
    <row r="604">
      <c r="A604" s="55">
        <f>_xlfn.XLOOKUP("CPTM L08-0",Trip[trip_id],Trip[trip_id],"Não encontrado")</f>
        <v/>
      </c>
      <c r="B604" s="25" t="n">
        <v>0.5</v>
      </c>
      <c r="C604" s="25" t="n">
        <v>0.5409722222222222</v>
      </c>
      <c r="D604" s="26" t="n">
        <v>480</v>
      </c>
    </row>
    <row r="605">
      <c r="A605" s="56">
        <f>_xlfn.XLOOKUP("CPTM L08-0",Trip[trip_id],Trip[trip_id],"Não encontrado")</f>
        <v/>
      </c>
      <c r="B605" s="28" t="n">
        <v>0.5416666666666666</v>
      </c>
      <c r="C605" s="28" t="n">
        <v>0.5826388888888889</v>
      </c>
      <c r="D605" s="29" t="n">
        <v>480</v>
      </c>
    </row>
    <row r="606">
      <c r="A606" s="55">
        <f>_xlfn.XLOOKUP("CPTM L08-0",Trip[trip_id],Trip[trip_id],"Não encontrado")</f>
        <v/>
      </c>
      <c r="B606" s="25" t="n">
        <v>0.5833333333333334</v>
      </c>
      <c r="C606" s="25" t="n">
        <v>0.6243055555555556</v>
      </c>
      <c r="D606" s="26" t="n">
        <v>480</v>
      </c>
    </row>
    <row r="607">
      <c r="A607" s="56">
        <f>_xlfn.XLOOKUP("CPTM L08-0",Trip[trip_id],Trip[trip_id],"Não encontrado")</f>
        <v/>
      </c>
      <c r="B607" s="28" t="n">
        <v>0.625</v>
      </c>
      <c r="C607" s="28" t="n">
        <v>0.6659722222222222</v>
      </c>
      <c r="D607" s="29" t="n">
        <v>480</v>
      </c>
    </row>
    <row r="608">
      <c r="A608" s="55">
        <f>_xlfn.XLOOKUP("CPTM L08-0",Trip[trip_id],Trip[trip_id],"Não encontrado")</f>
        <v/>
      </c>
      <c r="B608" s="25" t="n">
        <v>0.6666666666666666</v>
      </c>
      <c r="C608" s="25" t="n">
        <v>0.7076388888888889</v>
      </c>
      <c r="D608" s="26" t="n">
        <v>480</v>
      </c>
    </row>
    <row r="609">
      <c r="A609" s="56">
        <f>_xlfn.XLOOKUP("CPTM L08-0",Trip[trip_id],Trip[trip_id],"Não encontrado")</f>
        <v/>
      </c>
      <c r="B609" s="28" t="n">
        <v>0.7083333333333334</v>
      </c>
      <c r="C609" s="28" t="n">
        <v>0.7493055555555556</v>
      </c>
      <c r="D609" s="29" t="n">
        <v>360</v>
      </c>
    </row>
    <row r="610">
      <c r="A610" s="55">
        <f>_xlfn.XLOOKUP("CPTM L08-0",Trip[trip_id],Trip[trip_id],"Não encontrado")</f>
        <v/>
      </c>
      <c r="B610" s="25" t="n">
        <v>0.75</v>
      </c>
      <c r="C610" s="25" t="n">
        <v>0.7909722222222222</v>
      </c>
      <c r="D610" s="26" t="n">
        <v>360</v>
      </c>
    </row>
    <row r="611">
      <c r="A611" s="56">
        <f>_xlfn.XLOOKUP("CPTM L08-0",Trip[trip_id],Trip[trip_id],"Não encontrado")</f>
        <v/>
      </c>
      <c r="B611" s="28" t="n">
        <v>0.7916666666666666</v>
      </c>
      <c r="C611" s="28" t="n">
        <v>0.8326388888888889</v>
      </c>
      <c r="D611" s="29" t="n">
        <v>360</v>
      </c>
    </row>
    <row r="612">
      <c r="A612" s="55">
        <f>_xlfn.XLOOKUP("CPTM L08-0",Trip[trip_id],Trip[trip_id],"Não encontrado")</f>
        <v/>
      </c>
      <c r="B612" s="25" t="n">
        <v>0.8333333333333334</v>
      </c>
      <c r="C612" s="25" t="n">
        <v>0.8743055555555556</v>
      </c>
      <c r="D612" s="26" t="n">
        <v>600</v>
      </c>
    </row>
    <row r="613">
      <c r="A613" s="56">
        <f>_xlfn.XLOOKUP("CPTM L08-0",Trip[trip_id],Trip[trip_id],"Não encontrado")</f>
        <v/>
      </c>
      <c r="B613" s="28" t="n">
        <v>0.875</v>
      </c>
      <c r="C613" s="28" t="n">
        <v>0.9159722222222222</v>
      </c>
      <c r="D613" s="29" t="n">
        <v>600</v>
      </c>
    </row>
    <row r="614">
      <c r="A614" s="55">
        <f>_xlfn.XLOOKUP("CPTM L08-0",Trip[trip_id],Trip[trip_id],"Não encontrado")</f>
        <v/>
      </c>
      <c r="B614" s="25" t="n">
        <v>0.9166666666666666</v>
      </c>
      <c r="C614" s="25" t="n">
        <v>0.9576388888888889</v>
      </c>
      <c r="D614" s="26" t="n">
        <v>600</v>
      </c>
    </row>
    <row r="615">
      <c r="A615" s="56">
        <f>_xlfn.XLOOKUP("CPTM L08-0",Trip[trip_id],Trip[trip_id],"Não encontrado")</f>
        <v/>
      </c>
      <c r="B615" s="28" t="n">
        <v>0.9583333333333334</v>
      </c>
      <c r="C615" s="28" t="n">
        <v>0.9993055555555556</v>
      </c>
      <c r="D615" s="29" t="n">
        <v>600</v>
      </c>
    </row>
    <row r="616">
      <c r="A616" s="55">
        <f>_xlfn.XLOOKUP("CPTM L08-1",Trip[trip_id],Trip[trip_id],"Não encontrado")</f>
        <v/>
      </c>
      <c r="B616" s="25" t="n">
        <v>0.1666666666666667</v>
      </c>
      <c r="C616" s="25" t="n">
        <v>0.2076388888888889</v>
      </c>
      <c r="D616" s="26" t="n">
        <v>600</v>
      </c>
    </row>
    <row r="617">
      <c r="A617" s="56">
        <f>_xlfn.XLOOKUP("CPTM L08-1",Trip[trip_id],Trip[trip_id],"Não encontrado")</f>
        <v/>
      </c>
      <c r="B617" s="28" t="n">
        <v>0.2083333333333333</v>
      </c>
      <c r="C617" s="28" t="n">
        <v>0.2493055555555556</v>
      </c>
      <c r="D617" s="29" t="n">
        <v>480</v>
      </c>
    </row>
    <row r="618">
      <c r="A618" s="55">
        <f>_xlfn.XLOOKUP("CPTM L08-1",Trip[trip_id],Trip[trip_id],"Não encontrado")</f>
        <v/>
      </c>
      <c r="B618" s="25" t="n">
        <v>0.25</v>
      </c>
      <c r="C618" s="25" t="n">
        <v>0.2909722222222222</v>
      </c>
      <c r="D618" s="26" t="n">
        <v>300</v>
      </c>
    </row>
    <row r="619">
      <c r="A619" s="56">
        <f>_xlfn.XLOOKUP("CPTM L08-1",Trip[trip_id],Trip[trip_id],"Não encontrado")</f>
        <v/>
      </c>
      <c r="B619" s="28" t="n">
        <v>0.2916666666666667</v>
      </c>
      <c r="C619" s="28" t="n">
        <v>0.3326388888888889</v>
      </c>
      <c r="D619" s="29" t="n">
        <v>300</v>
      </c>
    </row>
    <row r="620">
      <c r="A620" s="55">
        <f>_xlfn.XLOOKUP("CPTM L08-1",Trip[trip_id],Trip[trip_id],"Não encontrado")</f>
        <v/>
      </c>
      <c r="B620" s="25" t="n">
        <v>0.3333333333333333</v>
      </c>
      <c r="C620" s="25" t="n">
        <v>0.3743055555555556</v>
      </c>
      <c r="D620" s="26" t="n">
        <v>300</v>
      </c>
    </row>
    <row r="621">
      <c r="A621" s="56">
        <f>_xlfn.XLOOKUP("CPTM L08-1",Trip[trip_id],Trip[trip_id],"Não encontrado")</f>
        <v/>
      </c>
      <c r="B621" s="28" t="n">
        <v>0.375</v>
      </c>
      <c r="C621" s="28" t="n">
        <v>0.4159722222222222</v>
      </c>
      <c r="D621" s="29" t="n">
        <v>480</v>
      </c>
    </row>
    <row r="622">
      <c r="A622" s="55">
        <f>_xlfn.XLOOKUP("CPTM L08-1",Trip[trip_id],Trip[trip_id],"Não encontrado")</f>
        <v/>
      </c>
      <c r="B622" s="25" t="n">
        <v>0.4166666666666667</v>
      </c>
      <c r="C622" s="25" t="n">
        <v>0.4576388888888889</v>
      </c>
      <c r="D622" s="26" t="n">
        <v>480</v>
      </c>
    </row>
    <row r="623">
      <c r="A623" s="56">
        <f>_xlfn.XLOOKUP("CPTM L08-1",Trip[trip_id],Trip[trip_id],"Não encontrado")</f>
        <v/>
      </c>
      <c r="B623" s="28" t="n">
        <v>0.4583333333333333</v>
      </c>
      <c r="C623" s="28" t="n">
        <v>0.4993055555555556</v>
      </c>
      <c r="D623" s="29" t="n">
        <v>480</v>
      </c>
    </row>
    <row r="624">
      <c r="A624" s="55">
        <f>_xlfn.XLOOKUP("CPTM L08-1",Trip[trip_id],Trip[trip_id],"Não encontrado")</f>
        <v/>
      </c>
      <c r="B624" s="25" t="n">
        <v>0.5</v>
      </c>
      <c r="C624" s="25" t="n">
        <v>0.5409722222222222</v>
      </c>
      <c r="D624" s="26" t="n">
        <v>480</v>
      </c>
    </row>
    <row r="625">
      <c r="A625" s="56">
        <f>_xlfn.XLOOKUP("CPTM L08-1",Trip[trip_id],Trip[trip_id],"Não encontrado")</f>
        <v/>
      </c>
      <c r="B625" s="28" t="n">
        <v>0.5416666666666666</v>
      </c>
      <c r="C625" s="28" t="n">
        <v>0.5826388888888889</v>
      </c>
      <c r="D625" s="29" t="n">
        <v>480</v>
      </c>
    </row>
    <row r="626">
      <c r="A626" s="55">
        <f>_xlfn.XLOOKUP("CPTM L08-1",Trip[trip_id],Trip[trip_id],"Não encontrado")</f>
        <v/>
      </c>
      <c r="B626" s="25" t="n">
        <v>0.5833333333333334</v>
      </c>
      <c r="C626" s="25" t="n">
        <v>0.6243055555555556</v>
      </c>
      <c r="D626" s="26" t="n">
        <v>480</v>
      </c>
    </row>
    <row r="627">
      <c r="A627" s="56">
        <f>_xlfn.XLOOKUP("CPTM L08-1",Trip[trip_id],Trip[trip_id],"Não encontrado")</f>
        <v/>
      </c>
      <c r="B627" s="28" t="n">
        <v>0.625</v>
      </c>
      <c r="C627" s="28" t="n">
        <v>0.6659722222222222</v>
      </c>
      <c r="D627" s="29" t="n">
        <v>480</v>
      </c>
    </row>
    <row r="628">
      <c r="A628" s="55">
        <f>_xlfn.XLOOKUP("CPTM L08-1",Trip[trip_id],Trip[trip_id],"Não encontrado")</f>
        <v/>
      </c>
      <c r="B628" s="25" t="n">
        <v>0.6666666666666666</v>
      </c>
      <c r="C628" s="25" t="n">
        <v>0.7076388888888889</v>
      </c>
      <c r="D628" s="26" t="n">
        <v>480</v>
      </c>
    </row>
    <row r="629">
      <c r="A629" s="56">
        <f>_xlfn.XLOOKUP("CPTM L08-1",Trip[trip_id],Trip[trip_id],"Não encontrado")</f>
        <v/>
      </c>
      <c r="B629" s="28" t="n">
        <v>0.7083333333333334</v>
      </c>
      <c r="C629" s="28" t="n">
        <v>0.7493055555555556</v>
      </c>
      <c r="D629" s="29" t="n">
        <v>360</v>
      </c>
    </row>
    <row r="630">
      <c r="A630" s="55">
        <f>_xlfn.XLOOKUP("CPTM L08-1",Trip[trip_id],Trip[trip_id],"Não encontrado")</f>
        <v/>
      </c>
      <c r="B630" s="25" t="n">
        <v>0.75</v>
      </c>
      <c r="C630" s="25" t="n">
        <v>0.7909722222222222</v>
      </c>
      <c r="D630" s="26" t="n">
        <v>360</v>
      </c>
    </row>
    <row r="631">
      <c r="A631" s="56">
        <f>_xlfn.XLOOKUP("CPTM L08-1",Trip[trip_id],Trip[trip_id],"Não encontrado")</f>
        <v/>
      </c>
      <c r="B631" s="28" t="n">
        <v>0.7916666666666666</v>
      </c>
      <c r="C631" s="28" t="n">
        <v>0.8326388888888889</v>
      </c>
      <c r="D631" s="29" t="n">
        <v>360</v>
      </c>
    </row>
    <row r="632">
      <c r="A632" s="55">
        <f>_xlfn.XLOOKUP("CPTM L08-1",Trip[trip_id],Trip[trip_id],"Não encontrado")</f>
        <v/>
      </c>
      <c r="B632" s="25" t="n">
        <v>0.8333333333333334</v>
      </c>
      <c r="C632" s="25" t="n">
        <v>0.8743055555555556</v>
      </c>
      <c r="D632" s="26" t="n">
        <v>600</v>
      </c>
    </row>
    <row r="633">
      <c r="A633" s="56">
        <f>_xlfn.XLOOKUP("CPTM L08-1",Trip[trip_id],Trip[trip_id],"Não encontrado")</f>
        <v/>
      </c>
      <c r="B633" s="28" t="n">
        <v>0.875</v>
      </c>
      <c r="C633" s="28" t="n">
        <v>0.9159722222222222</v>
      </c>
      <c r="D633" s="29" t="n">
        <v>600</v>
      </c>
    </row>
    <row r="634">
      <c r="A634" s="55">
        <f>_xlfn.XLOOKUP("CPTM L08-1",Trip[trip_id],Trip[trip_id],"Não encontrado")</f>
        <v/>
      </c>
      <c r="B634" s="25" t="n">
        <v>0.9166666666666666</v>
      </c>
      <c r="C634" s="25" t="n">
        <v>0.9576388888888889</v>
      </c>
      <c r="D634" s="26" t="n">
        <v>600</v>
      </c>
    </row>
    <row r="635">
      <c r="A635" s="56">
        <f>_xlfn.XLOOKUP("CPTM L08-1",Trip[trip_id],Trip[trip_id],"Não encontrado")</f>
        <v/>
      </c>
      <c r="B635" s="28" t="n">
        <v>0.9583333333333334</v>
      </c>
      <c r="C635" s="28" t="n">
        <v>0.9993055555555556</v>
      </c>
      <c r="D635" s="29" t="n">
        <v>600</v>
      </c>
    </row>
    <row r="636">
      <c r="A636" s="55">
        <f>_xlfn.XLOOKUP("CPTM L09-0",Trip[trip_id],Trip[trip_id],"Não encontrado")</f>
        <v/>
      </c>
      <c r="B636" s="25" t="n">
        <v>0.1666666666666667</v>
      </c>
      <c r="C636" s="25" t="n">
        <v>0.2076388888888889</v>
      </c>
      <c r="D636" s="26" t="n">
        <v>480</v>
      </c>
    </row>
    <row r="637">
      <c r="A637" s="56">
        <f>_xlfn.XLOOKUP("CPTM L09-0",Trip[trip_id],Trip[trip_id],"Não encontrado")</f>
        <v/>
      </c>
      <c r="B637" s="28" t="n">
        <v>0.2083333333333333</v>
      </c>
      <c r="C637" s="28" t="n">
        <v>0.2493055555555556</v>
      </c>
      <c r="D637" s="29" t="n">
        <v>480</v>
      </c>
    </row>
    <row r="638">
      <c r="A638" s="55">
        <f>_xlfn.XLOOKUP("CPTM L09-0",Trip[trip_id],Trip[trip_id],"Não encontrado")</f>
        <v/>
      </c>
      <c r="B638" s="25" t="n">
        <v>0.25</v>
      </c>
      <c r="C638" s="25" t="n">
        <v>0.2909722222222222</v>
      </c>
      <c r="D638" s="26" t="n">
        <v>240</v>
      </c>
    </row>
    <row r="639">
      <c r="A639" s="56">
        <f>_xlfn.XLOOKUP("CPTM L09-0",Trip[trip_id],Trip[trip_id],"Não encontrado")</f>
        <v/>
      </c>
      <c r="B639" s="28" t="n">
        <v>0.2916666666666667</v>
      </c>
      <c r="C639" s="28" t="n">
        <v>0.3326388888888889</v>
      </c>
      <c r="D639" s="29" t="n">
        <v>240</v>
      </c>
    </row>
    <row r="640">
      <c r="A640" s="55">
        <f>_xlfn.XLOOKUP("CPTM L09-0",Trip[trip_id],Trip[trip_id],"Não encontrado")</f>
        <v/>
      </c>
      <c r="B640" s="25" t="n">
        <v>0.3333333333333333</v>
      </c>
      <c r="C640" s="25" t="n">
        <v>0.3743055555555556</v>
      </c>
      <c r="D640" s="26" t="n">
        <v>240</v>
      </c>
    </row>
    <row r="641">
      <c r="A641" s="56">
        <f>_xlfn.XLOOKUP("CPTM L09-0",Trip[trip_id],Trip[trip_id],"Não encontrado")</f>
        <v/>
      </c>
      <c r="B641" s="28" t="n">
        <v>0.375</v>
      </c>
      <c r="C641" s="28" t="n">
        <v>0.4159722222222222</v>
      </c>
      <c r="D641" s="29" t="n">
        <v>420</v>
      </c>
    </row>
    <row r="642">
      <c r="A642" s="55">
        <f>_xlfn.XLOOKUP("CPTM L09-0",Trip[trip_id],Trip[trip_id],"Não encontrado")</f>
        <v/>
      </c>
      <c r="B642" s="25" t="n">
        <v>0.4166666666666667</v>
      </c>
      <c r="C642" s="25" t="n">
        <v>0.4576388888888889</v>
      </c>
      <c r="D642" s="26" t="n">
        <v>420</v>
      </c>
    </row>
    <row r="643">
      <c r="A643" s="56">
        <f>_xlfn.XLOOKUP("CPTM L09-0",Trip[trip_id],Trip[trip_id],"Não encontrado")</f>
        <v/>
      </c>
      <c r="B643" s="28" t="n">
        <v>0.4583333333333333</v>
      </c>
      <c r="C643" s="28" t="n">
        <v>0.4993055555555556</v>
      </c>
      <c r="D643" s="29" t="n">
        <v>420</v>
      </c>
    </row>
    <row r="644">
      <c r="A644" s="55">
        <f>_xlfn.XLOOKUP("CPTM L09-0",Trip[trip_id],Trip[trip_id],"Não encontrado")</f>
        <v/>
      </c>
      <c r="B644" s="25" t="n">
        <v>0.5</v>
      </c>
      <c r="C644" s="25" t="n">
        <v>0.5409722222222222</v>
      </c>
      <c r="D644" s="26" t="n">
        <v>420</v>
      </c>
    </row>
    <row r="645">
      <c r="A645" s="56">
        <f>_xlfn.XLOOKUP("CPTM L09-0",Trip[trip_id],Trip[trip_id],"Não encontrado")</f>
        <v/>
      </c>
      <c r="B645" s="28" t="n">
        <v>0.5416666666666666</v>
      </c>
      <c r="C645" s="28" t="n">
        <v>0.5826388888888889</v>
      </c>
      <c r="D645" s="29" t="n">
        <v>420</v>
      </c>
    </row>
    <row r="646">
      <c r="A646" s="55">
        <f>_xlfn.XLOOKUP("CPTM L09-0",Trip[trip_id],Trip[trip_id],"Não encontrado")</f>
        <v/>
      </c>
      <c r="B646" s="25" t="n">
        <v>0.5833333333333334</v>
      </c>
      <c r="C646" s="25" t="n">
        <v>0.6243055555555556</v>
      </c>
      <c r="D646" s="26" t="n">
        <v>420</v>
      </c>
    </row>
    <row r="647">
      <c r="A647" s="56">
        <f>_xlfn.XLOOKUP("CPTM L09-0",Trip[trip_id],Trip[trip_id],"Não encontrado")</f>
        <v/>
      </c>
      <c r="B647" s="28" t="n">
        <v>0.625</v>
      </c>
      <c r="C647" s="28" t="n">
        <v>0.6659722222222222</v>
      </c>
      <c r="D647" s="29" t="n">
        <v>420</v>
      </c>
    </row>
    <row r="648">
      <c r="A648" s="55">
        <f>_xlfn.XLOOKUP("CPTM L09-0",Trip[trip_id],Trip[trip_id],"Não encontrado")</f>
        <v/>
      </c>
      <c r="B648" s="25" t="n">
        <v>0.6666666666666666</v>
      </c>
      <c r="C648" s="25" t="n">
        <v>0.7076388888888889</v>
      </c>
      <c r="D648" s="26" t="n">
        <v>420</v>
      </c>
    </row>
    <row r="649">
      <c r="A649" s="56">
        <f>_xlfn.XLOOKUP("CPTM L09-0",Trip[trip_id],Trip[trip_id],"Não encontrado")</f>
        <v/>
      </c>
      <c r="B649" s="28" t="n">
        <v>0.7083333333333334</v>
      </c>
      <c r="C649" s="28" t="n">
        <v>0.7493055555555556</v>
      </c>
      <c r="D649" s="29" t="n">
        <v>240</v>
      </c>
    </row>
    <row r="650">
      <c r="A650" s="55">
        <f>_xlfn.XLOOKUP("CPTM L09-0",Trip[trip_id],Trip[trip_id],"Não encontrado")</f>
        <v/>
      </c>
      <c r="B650" s="25" t="n">
        <v>0.75</v>
      </c>
      <c r="C650" s="25" t="n">
        <v>0.7909722222222222</v>
      </c>
      <c r="D650" s="26" t="n">
        <v>240</v>
      </c>
    </row>
    <row r="651">
      <c r="A651" s="56">
        <f>_xlfn.XLOOKUP("CPTM L09-0",Trip[trip_id],Trip[trip_id],"Não encontrado")</f>
        <v/>
      </c>
      <c r="B651" s="28" t="n">
        <v>0.7916666666666666</v>
      </c>
      <c r="C651" s="28" t="n">
        <v>0.8326388888888889</v>
      </c>
      <c r="D651" s="29" t="n">
        <v>240</v>
      </c>
    </row>
    <row r="652">
      <c r="A652" s="55">
        <f>_xlfn.XLOOKUP("CPTM L09-0",Trip[trip_id],Trip[trip_id],"Não encontrado")</f>
        <v/>
      </c>
      <c r="B652" s="25" t="n">
        <v>0.8333333333333334</v>
      </c>
      <c r="C652" s="25" t="n">
        <v>0.8743055555555556</v>
      </c>
      <c r="D652" s="26" t="n">
        <v>420</v>
      </c>
    </row>
    <row r="653">
      <c r="A653" s="56">
        <f>_xlfn.XLOOKUP("CPTM L09-0",Trip[trip_id],Trip[trip_id],"Não encontrado")</f>
        <v/>
      </c>
      <c r="B653" s="28" t="n">
        <v>0.875</v>
      </c>
      <c r="C653" s="28" t="n">
        <v>0.9159722222222222</v>
      </c>
      <c r="D653" s="29" t="n">
        <v>420</v>
      </c>
    </row>
    <row r="654">
      <c r="A654" s="55">
        <f>_xlfn.XLOOKUP("CPTM L09-0",Trip[trip_id],Trip[trip_id],"Não encontrado")</f>
        <v/>
      </c>
      <c r="B654" s="25" t="n">
        <v>0.9166666666666666</v>
      </c>
      <c r="C654" s="25" t="n">
        <v>0.9576388888888889</v>
      </c>
      <c r="D654" s="26" t="n">
        <v>420</v>
      </c>
    </row>
    <row r="655">
      <c r="A655" s="56">
        <f>_xlfn.XLOOKUP("CPTM L09-0",Trip[trip_id],Trip[trip_id],"Não encontrado")</f>
        <v/>
      </c>
      <c r="B655" s="28" t="n">
        <v>0.9583333333333334</v>
      </c>
      <c r="C655" s="28" t="n">
        <v>0.9993055555555556</v>
      </c>
      <c r="D655" s="29" t="n">
        <v>420</v>
      </c>
    </row>
    <row r="656">
      <c r="A656" s="55">
        <f>_xlfn.XLOOKUP("CPTM L09-1",Trip[trip_id],Trip[trip_id],"Não encontrado")</f>
        <v/>
      </c>
      <c r="B656" s="25" t="n">
        <v>0.1666666666666667</v>
      </c>
      <c r="C656" s="25" t="n">
        <v>0.2076388888888889</v>
      </c>
      <c r="D656" s="26" t="n">
        <v>480</v>
      </c>
    </row>
    <row r="657">
      <c r="A657" s="56">
        <f>_xlfn.XLOOKUP("CPTM L09-1",Trip[trip_id],Trip[trip_id],"Não encontrado")</f>
        <v/>
      </c>
      <c r="B657" s="28" t="n">
        <v>0.2083333333333333</v>
      </c>
      <c r="C657" s="28" t="n">
        <v>0.2493055555555556</v>
      </c>
      <c r="D657" s="29" t="n">
        <v>480</v>
      </c>
    </row>
    <row r="658">
      <c r="A658" s="55">
        <f>_xlfn.XLOOKUP("CPTM L09-1",Trip[trip_id],Trip[trip_id],"Não encontrado")</f>
        <v/>
      </c>
      <c r="B658" s="25" t="n">
        <v>0.25</v>
      </c>
      <c r="C658" s="25" t="n">
        <v>0.2909722222222222</v>
      </c>
      <c r="D658" s="26" t="n">
        <v>240</v>
      </c>
    </row>
    <row r="659">
      <c r="A659" s="56">
        <f>_xlfn.XLOOKUP("CPTM L09-1",Trip[trip_id],Trip[trip_id],"Não encontrado")</f>
        <v/>
      </c>
      <c r="B659" s="28" t="n">
        <v>0.2916666666666667</v>
      </c>
      <c r="C659" s="28" t="n">
        <v>0.3326388888888889</v>
      </c>
      <c r="D659" s="29" t="n">
        <v>240</v>
      </c>
    </row>
    <row r="660">
      <c r="A660" s="55">
        <f>_xlfn.XLOOKUP("CPTM L09-1",Trip[trip_id],Trip[trip_id],"Não encontrado")</f>
        <v/>
      </c>
      <c r="B660" s="25" t="n">
        <v>0.3333333333333333</v>
      </c>
      <c r="C660" s="25" t="n">
        <v>0.3743055555555556</v>
      </c>
      <c r="D660" s="26" t="n">
        <v>240</v>
      </c>
    </row>
    <row r="661">
      <c r="A661" s="56">
        <f>_xlfn.XLOOKUP("CPTM L09-1",Trip[trip_id],Trip[trip_id],"Não encontrado")</f>
        <v/>
      </c>
      <c r="B661" s="28" t="n">
        <v>0.375</v>
      </c>
      <c r="C661" s="28" t="n">
        <v>0.4159722222222222</v>
      </c>
      <c r="D661" s="29" t="n">
        <v>420</v>
      </c>
    </row>
    <row r="662">
      <c r="A662" s="55">
        <f>_xlfn.XLOOKUP("CPTM L09-1",Trip[trip_id],Trip[trip_id],"Não encontrado")</f>
        <v/>
      </c>
      <c r="B662" s="25" t="n">
        <v>0.4166666666666667</v>
      </c>
      <c r="C662" s="25" t="n">
        <v>0.4576388888888889</v>
      </c>
      <c r="D662" s="26" t="n">
        <v>420</v>
      </c>
    </row>
    <row r="663">
      <c r="A663" s="56">
        <f>_xlfn.XLOOKUP("CPTM L09-1",Trip[trip_id],Trip[trip_id],"Não encontrado")</f>
        <v/>
      </c>
      <c r="B663" s="28" t="n">
        <v>0.4583333333333333</v>
      </c>
      <c r="C663" s="28" t="n">
        <v>0.4993055555555556</v>
      </c>
      <c r="D663" s="29" t="n">
        <v>420</v>
      </c>
    </row>
    <row r="664">
      <c r="A664" s="55">
        <f>_xlfn.XLOOKUP("CPTM L09-1",Trip[trip_id],Trip[trip_id],"Não encontrado")</f>
        <v/>
      </c>
      <c r="B664" s="25" t="n">
        <v>0.5</v>
      </c>
      <c r="C664" s="25" t="n">
        <v>0.5409722222222222</v>
      </c>
      <c r="D664" s="26" t="n">
        <v>420</v>
      </c>
    </row>
    <row r="665">
      <c r="A665" s="56">
        <f>_xlfn.XLOOKUP("CPTM L09-1",Trip[trip_id],Trip[trip_id],"Não encontrado")</f>
        <v/>
      </c>
      <c r="B665" s="28" t="n">
        <v>0.5416666666666666</v>
      </c>
      <c r="C665" s="28" t="n">
        <v>0.5826388888888889</v>
      </c>
      <c r="D665" s="29" t="n">
        <v>420</v>
      </c>
    </row>
    <row r="666">
      <c r="A666" s="55">
        <f>_xlfn.XLOOKUP("CPTM L09-1",Trip[trip_id],Trip[trip_id],"Não encontrado")</f>
        <v/>
      </c>
      <c r="B666" s="25" t="n">
        <v>0.5833333333333334</v>
      </c>
      <c r="C666" s="25" t="n">
        <v>0.6243055555555556</v>
      </c>
      <c r="D666" s="26" t="n">
        <v>420</v>
      </c>
    </row>
    <row r="667">
      <c r="A667" s="56">
        <f>_xlfn.XLOOKUP("CPTM L09-1",Trip[trip_id],Trip[trip_id],"Não encontrado")</f>
        <v/>
      </c>
      <c r="B667" s="28" t="n">
        <v>0.625</v>
      </c>
      <c r="C667" s="28" t="n">
        <v>0.6659722222222222</v>
      </c>
      <c r="D667" s="29" t="n">
        <v>420</v>
      </c>
    </row>
    <row r="668">
      <c r="A668" s="55">
        <f>_xlfn.XLOOKUP("CPTM L09-1",Trip[trip_id],Trip[trip_id],"Não encontrado")</f>
        <v/>
      </c>
      <c r="B668" s="25" t="n">
        <v>0.6666666666666666</v>
      </c>
      <c r="C668" s="25" t="n">
        <v>0.7076388888888889</v>
      </c>
      <c r="D668" s="26" t="n">
        <v>420</v>
      </c>
    </row>
    <row r="669">
      <c r="A669" s="56">
        <f>_xlfn.XLOOKUP("CPTM L09-1",Trip[trip_id],Trip[trip_id],"Não encontrado")</f>
        <v/>
      </c>
      <c r="B669" s="28" t="n">
        <v>0.7083333333333334</v>
      </c>
      <c r="C669" s="28" t="n">
        <v>0.7493055555555556</v>
      </c>
      <c r="D669" s="29" t="n">
        <v>240</v>
      </c>
    </row>
    <row r="670">
      <c r="A670" s="55">
        <f>_xlfn.XLOOKUP("CPTM L09-1",Trip[trip_id],Trip[trip_id],"Não encontrado")</f>
        <v/>
      </c>
      <c r="B670" s="25" t="n">
        <v>0.75</v>
      </c>
      <c r="C670" s="25" t="n">
        <v>0.7909722222222222</v>
      </c>
      <c r="D670" s="26" t="n">
        <v>240</v>
      </c>
    </row>
    <row r="671">
      <c r="A671" s="56">
        <f>_xlfn.XLOOKUP("CPTM L09-1",Trip[trip_id],Trip[trip_id],"Não encontrado")</f>
        <v/>
      </c>
      <c r="B671" s="28" t="n">
        <v>0.7916666666666666</v>
      </c>
      <c r="C671" s="28" t="n">
        <v>0.8326388888888889</v>
      </c>
      <c r="D671" s="29" t="n">
        <v>240</v>
      </c>
    </row>
    <row r="672">
      <c r="A672" s="55">
        <f>_xlfn.XLOOKUP("CPTM L09-1",Trip[trip_id],Trip[trip_id],"Não encontrado")</f>
        <v/>
      </c>
      <c r="B672" s="25" t="n">
        <v>0.8333333333333334</v>
      </c>
      <c r="C672" s="25" t="n">
        <v>0.8743055555555556</v>
      </c>
      <c r="D672" s="26" t="n">
        <v>420</v>
      </c>
    </row>
    <row r="673">
      <c r="A673" s="56">
        <f>_xlfn.XLOOKUP("CPTM L09-1",Trip[trip_id],Trip[trip_id],"Não encontrado")</f>
        <v/>
      </c>
      <c r="B673" s="28" t="n">
        <v>0.875</v>
      </c>
      <c r="C673" s="28" t="n">
        <v>0.9159722222222222</v>
      </c>
      <c r="D673" s="29" t="n">
        <v>420</v>
      </c>
    </row>
    <row r="674">
      <c r="A674" s="55">
        <f>_xlfn.XLOOKUP("CPTM L09-1",Trip[trip_id],Trip[trip_id],"Não encontrado")</f>
        <v/>
      </c>
      <c r="B674" s="25" t="n">
        <v>0.9166666666666666</v>
      </c>
      <c r="C674" s="25" t="n">
        <v>0.9576388888888889</v>
      </c>
      <c r="D674" s="26" t="n">
        <v>420</v>
      </c>
    </row>
    <row r="675">
      <c r="A675" s="56">
        <f>_xlfn.XLOOKUP("CPTM L09-1",Trip[trip_id],Trip[trip_id],"Não encontrado")</f>
        <v/>
      </c>
      <c r="B675" s="28" t="n">
        <v>0.9583333333333334</v>
      </c>
      <c r="C675" s="28" t="n">
        <v>0.9993055555555556</v>
      </c>
      <c r="D675" s="29" t="n">
        <v>420</v>
      </c>
    </row>
    <row r="676">
      <c r="A676" s="55">
        <f>_xlfn.XLOOKUP("CPTM L10-0",Trip[trip_id],Trip[trip_id],"Não encontrado")</f>
        <v/>
      </c>
      <c r="B676" s="25" t="n">
        <v>0.1666666666666667</v>
      </c>
      <c r="C676" s="25" t="n">
        <v>0.2076388888888889</v>
      </c>
      <c r="D676" s="26" t="n">
        <v>600</v>
      </c>
    </row>
    <row r="677">
      <c r="A677" s="56">
        <f>_xlfn.XLOOKUP("CPTM L10-0",Trip[trip_id],Trip[trip_id],"Não encontrado")</f>
        <v/>
      </c>
      <c r="B677" s="28" t="n">
        <v>0.2083333333333333</v>
      </c>
      <c r="C677" s="28" t="n">
        <v>0.2493055555555556</v>
      </c>
      <c r="D677" s="29" t="n">
        <v>300</v>
      </c>
    </row>
    <row r="678">
      <c r="A678" s="55">
        <f>_xlfn.XLOOKUP("CPTM L10-0",Trip[trip_id],Trip[trip_id],"Não encontrado")</f>
        <v/>
      </c>
      <c r="B678" s="25" t="n">
        <v>0.25</v>
      </c>
      <c r="C678" s="25" t="n">
        <v>0.2909722222222222</v>
      </c>
      <c r="D678" s="26" t="n">
        <v>300</v>
      </c>
    </row>
    <row r="679">
      <c r="A679" s="56">
        <f>_xlfn.XLOOKUP("CPTM L10-0",Trip[trip_id],Trip[trip_id],"Não encontrado")</f>
        <v/>
      </c>
      <c r="B679" s="28" t="n">
        <v>0.2916666666666667</v>
      </c>
      <c r="C679" s="28" t="n">
        <v>0.3326388888888889</v>
      </c>
      <c r="D679" s="29" t="n">
        <v>300</v>
      </c>
    </row>
    <row r="680">
      <c r="A680" s="55">
        <f>_xlfn.XLOOKUP("CPTM L10-0",Trip[trip_id],Trip[trip_id],"Não encontrado")</f>
        <v/>
      </c>
      <c r="B680" s="25" t="n">
        <v>0.3333333333333333</v>
      </c>
      <c r="C680" s="25" t="n">
        <v>0.3743055555555556</v>
      </c>
      <c r="D680" s="26" t="n">
        <v>300</v>
      </c>
    </row>
    <row r="681">
      <c r="A681" s="56">
        <f>_xlfn.XLOOKUP("CPTM L10-0",Trip[trip_id],Trip[trip_id],"Não encontrado")</f>
        <v/>
      </c>
      <c r="B681" s="28" t="n">
        <v>0.375</v>
      </c>
      <c r="C681" s="28" t="n">
        <v>0.4159722222222222</v>
      </c>
      <c r="D681" s="29" t="n">
        <v>480</v>
      </c>
    </row>
    <row r="682">
      <c r="A682" s="55">
        <f>_xlfn.XLOOKUP("CPTM L10-0",Trip[trip_id],Trip[trip_id],"Não encontrado")</f>
        <v/>
      </c>
      <c r="B682" s="25" t="n">
        <v>0.4166666666666667</v>
      </c>
      <c r="C682" s="25" t="n">
        <v>0.4576388888888889</v>
      </c>
      <c r="D682" s="26" t="n">
        <v>480</v>
      </c>
    </row>
    <row r="683">
      <c r="A683" s="56">
        <f>_xlfn.XLOOKUP("CPTM L10-0",Trip[trip_id],Trip[trip_id],"Não encontrado")</f>
        <v/>
      </c>
      <c r="B683" s="28" t="n">
        <v>0.4583333333333333</v>
      </c>
      <c r="C683" s="28" t="n">
        <v>0.4993055555555556</v>
      </c>
      <c r="D683" s="29" t="n">
        <v>480</v>
      </c>
    </row>
    <row r="684">
      <c r="A684" s="55">
        <f>_xlfn.XLOOKUP("CPTM L10-0",Trip[trip_id],Trip[trip_id],"Não encontrado")</f>
        <v/>
      </c>
      <c r="B684" s="25" t="n">
        <v>0.5</v>
      </c>
      <c r="C684" s="25" t="n">
        <v>0.5409722222222222</v>
      </c>
      <c r="D684" s="26" t="n">
        <v>480</v>
      </c>
    </row>
    <row r="685">
      <c r="A685" s="56">
        <f>_xlfn.XLOOKUP("CPTM L10-0",Trip[trip_id],Trip[trip_id],"Não encontrado")</f>
        <v/>
      </c>
      <c r="B685" s="28" t="n">
        <v>0.5416666666666666</v>
      </c>
      <c r="C685" s="28" t="n">
        <v>0.5826388888888889</v>
      </c>
      <c r="D685" s="29" t="n">
        <v>480</v>
      </c>
    </row>
    <row r="686">
      <c r="A686" s="55">
        <f>_xlfn.XLOOKUP("CPTM L10-0",Trip[trip_id],Trip[trip_id],"Não encontrado")</f>
        <v/>
      </c>
      <c r="B686" s="25" t="n">
        <v>0.5833333333333334</v>
      </c>
      <c r="C686" s="25" t="n">
        <v>0.6243055555555556</v>
      </c>
      <c r="D686" s="26" t="n">
        <v>480</v>
      </c>
    </row>
    <row r="687">
      <c r="A687" s="56">
        <f>_xlfn.XLOOKUP("CPTM L10-0",Trip[trip_id],Trip[trip_id],"Não encontrado")</f>
        <v/>
      </c>
      <c r="B687" s="28" t="n">
        <v>0.625</v>
      </c>
      <c r="C687" s="28" t="n">
        <v>0.6659722222222222</v>
      </c>
      <c r="D687" s="29" t="n">
        <v>480</v>
      </c>
    </row>
    <row r="688">
      <c r="A688" s="55">
        <f>_xlfn.XLOOKUP("CPTM L10-0",Trip[trip_id],Trip[trip_id],"Não encontrado")</f>
        <v/>
      </c>
      <c r="B688" s="25" t="n">
        <v>0.6666666666666666</v>
      </c>
      <c r="C688" s="25" t="n">
        <v>0.7076388888888889</v>
      </c>
      <c r="D688" s="26" t="n">
        <v>300</v>
      </c>
    </row>
    <row r="689">
      <c r="A689" s="56">
        <f>_xlfn.XLOOKUP("CPTM L10-0",Trip[trip_id],Trip[trip_id],"Não encontrado")</f>
        <v/>
      </c>
      <c r="B689" s="28" t="n">
        <v>0.7083333333333334</v>
      </c>
      <c r="C689" s="28" t="n">
        <v>0.7493055555555556</v>
      </c>
      <c r="D689" s="29" t="n">
        <v>300</v>
      </c>
    </row>
    <row r="690">
      <c r="A690" s="55">
        <f>_xlfn.XLOOKUP("CPTM L10-0",Trip[trip_id],Trip[trip_id],"Não encontrado")</f>
        <v/>
      </c>
      <c r="B690" s="25" t="n">
        <v>0.75</v>
      </c>
      <c r="C690" s="25" t="n">
        <v>0.7909722222222222</v>
      </c>
      <c r="D690" s="26" t="n">
        <v>300</v>
      </c>
    </row>
    <row r="691">
      <c r="A691" s="56">
        <f>_xlfn.XLOOKUP("CPTM L10-0",Trip[trip_id],Trip[trip_id],"Não encontrado")</f>
        <v/>
      </c>
      <c r="B691" s="28" t="n">
        <v>0.7916666666666666</v>
      </c>
      <c r="C691" s="28" t="n">
        <v>0.8326388888888889</v>
      </c>
      <c r="D691" s="29" t="n">
        <v>300</v>
      </c>
    </row>
    <row r="692">
      <c r="A692" s="55">
        <f>_xlfn.XLOOKUP("CPTM L10-0",Trip[trip_id],Trip[trip_id],"Não encontrado")</f>
        <v/>
      </c>
      <c r="B692" s="25" t="n">
        <v>0.8333333333333334</v>
      </c>
      <c r="C692" s="25" t="n">
        <v>0.8743055555555556</v>
      </c>
      <c r="D692" s="26" t="n">
        <v>600</v>
      </c>
    </row>
    <row r="693">
      <c r="A693" s="56">
        <f>_xlfn.XLOOKUP("CPTM L10-0",Trip[trip_id],Trip[trip_id],"Não encontrado")</f>
        <v/>
      </c>
      <c r="B693" s="28" t="n">
        <v>0.875</v>
      </c>
      <c r="C693" s="28" t="n">
        <v>0.9159722222222222</v>
      </c>
      <c r="D693" s="29" t="n">
        <v>600</v>
      </c>
    </row>
    <row r="694">
      <c r="A694" s="55">
        <f>_xlfn.XLOOKUP("CPTM L10-0",Trip[trip_id],Trip[trip_id],"Não encontrado")</f>
        <v/>
      </c>
      <c r="B694" s="25" t="n">
        <v>0.9166666666666666</v>
      </c>
      <c r="C694" s="25" t="n">
        <v>0.9576388888888889</v>
      </c>
      <c r="D694" s="26" t="n">
        <v>600</v>
      </c>
    </row>
    <row r="695">
      <c r="A695" s="56">
        <f>_xlfn.XLOOKUP("CPTM L10-0",Trip[trip_id],Trip[trip_id],"Não encontrado")</f>
        <v/>
      </c>
      <c r="B695" s="28" t="n">
        <v>0.9583333333333334</v>
      </c>
      <c r="C695" s="28" t="n">
        <v>0.9993055555555556</v>
      </c>
      <c r="D695" s="29" t="n">
        <v>600</v>
      </c>
    </row>
    <row r="696">
      <c r="A696" s="55">
        <f>_xlfn.XLOOKUP("CPTM L10-1",Trip[trip_id],Trip[trip_id],"Não encontrado")</f>
        <v/>
      </c>
      <c r="B696" s="25" t="n">
        <v>0.1666666666666667</v>
      </c>
      <c r="C696" s="25" t="n">
        <v>0.2076388888888889</v>
      </c>
      <c r="D696" s="26" t="n">
        <v>600</v>
      </c>
    </row>
    <row r="697">
      <c r="A697" s="56">
        <f>_xlfn.XLOOKUP("CPTM L10-1",Trip[trip_id],Trip[trip_id],"Não encontrado")</f>
        <v/>
      </c>
      <c r="B697" s="28" t="n">
        <v>0.2083333333333333</v>
      </c>
      <c r="C697" s="28" t="n">
        <v>0.2493055555555556</v>
      </c>
      <c r="D697" s="29" t="n">
        <v>300</v>
      </c>
    </row>
    <row r="698">
      <c r="A698" s="55">
        <f>_xlfn.XLOOKUP("CPTM L10-1",Trip[trip_id],Trip[trip_id],"Não encontrado")</f>
        <v/>
      </c>
      <c r="B698" s="25" t="n">
        <v>0.25</v>
      </c>
      <c r="C698" s="25" t="n">
        <v>0.2909722222222222</v>
      </c>
      <c r="D698" s="26" t="n">
        <v>300</v>
      </c>
    </row>
    <row r="699">
      <c r="A699" s="56">
        <f>_xlfn.XLOOKUP("CPTM L10-1",Trip[trip_id],Trip[trip_id],"Não encontrado")</f>
        <v/>
      </c>
      <c r="B699" s="28" t="n">
        <v>0.2916666666666667</v>
      </c>
      <c r="C699" s="28" t="n">
        <v>0.3326388888888889</v>
      </c>
      <c r="D699" s="29" t="n">
        <v>300</v>
      </c>
    </row>
    <row r="700">
      <c r="A700" s="55">
        <f>_xlfn.XLOOKUP("CPTM L10-1",Trip[trip_id],Trip[trip_id],"Não encontrado")</f>
        <v/>
      </c>
      <c r="B700" s="25" t="n">
        <v>0.3333333333333333</v>
      </c>
      <c r="C700" s="25" t="n">
        <v>0.3743055555555556</v>
      </c>
      <c r="D700" s="26" t="n">
        <v>300</v>
      </c>
    </row>
    <row r="701">
      <c r="A701" s="56">
        <f>_xlfn.XLOOKUP("CPTM L10-1",Trip[trip_id],Trip[trip_id],"Não encontrado")</f>
        <v/>
      </c>
      <c r="B701" s="28" t="n">
        <v>0.375</v>
      </c>
      <c r="C701" s="28" t="n">
        <v>0.4159722222222222</v>
      </c>
      <c r="D701" s="29" t="n">
        <v>480</v>
      </c>
    </row>
    <row r="702">
      <c r="A702" s="55">
        <f>_xlfn.XLOOKUP("CPTM L10-1",Trip[trip_id],Trip[trip_id],"Não encontrado")</f>
        <v/>
      </c>
      <c r="B702" s="25" t="n">
        <v>0.4166666666666667</v>
      </c>
      <c r="C702" s="25" t="n">
        <v>0.4576388888888889</v>
      </c>
      <c r="D702" s="26" t="n">
        <v>480</v>
      </c>
    </row>
    <row r="703">
      <c r="A703" s="56">
        <f>_xlfn.XLOOKUP("CPTM L10-1",Trip[trip_id],Trip[trip_id],"Não encontrado")</f>
        <v/>
      </c>
      <c r="B703" s="28" t="n">
        <v>0.4583333333333333</v>
      </c>
      <c r="C703" s="28" t="n">
        <v>0.4993055555555556</v>
      </c>
      <c r="D703" s="29" t="n">
        <v>480</v>
      </c>
    </row>
    <row r="704">
      <c r="A704" s="55">
        <f>_xlfn.XLOOKUP("CPTM L10-1",Trip[trip_id],Trip[trip_id],"Não encontrado")</f>
        <v/>
      </c>
      <c r="B704" s="25" t="n">
        <v>0.5</v>
      </c>
      <c r="C704" s="25" t="n">
        <v>0.5409722222222222</v>
      </c>
      <c r="D704" s="26" t="n">
        <v>480</v>
      </c>
    </row>
    <row r="705">
      <c r="A705" s="56">
        <f>_xlfn.XLOOKUP("CPTM L10-1",Trip[trip_id],Trip[trip_id],"Não encontrado")</f>
        <v/>
      </c>
      <c r="B705" s="28" t="n">
        <v>0.5416666666666666</v>
      </c>
      <c r="C705" s="28" t="n">
        <v>0.5826388888888889</v>
      </c>
      <c r="D705" s="29" t="n">
        <v>480</v>
      </c>
    </row>
    <row r="706">
      <c r="A706" s="55">
        <f>_xlfn.XLOOKUP("CPTM L10-1",Trip[trip_id],Trip[trip_id],"Não encontrado")</f>
        <v/>
      </c>
      <c r="B706" s="25" t="n">
        <v>0.5833333333333334</v>
      </c>
      <c r="C706" s="25" t="n">
        <v>0.6243055555555556</v>
      </c>
      <c r="D706" s="26" t="n">
        <v>480</v>
      </c>
    </row>
    <row r="707">
      <c r="A707" s="56">
        <f>_xlfn.XLOOKUP("CPTM L10-1",Trip[trip_id],Trip[trip_id],"Não encontrado")</f>
        <v/>
      </c>
      <c r="B707" s="28" t="n">
        <v>0.625</v>
      </c>
      <c r="C707" s="28" t="n">
        <v>0.6659722222222222</v>
      </c>
      <c r="D707" s="29" t="n">
        <v>480</v>
      </c>
    </row>
    <row r="708">
      <c r="A708" s="55">
        <f>_xlfn.XLOOKUP("CPTM L10-1",Trip[trip_id],Trip[trip_id],"Não encontrado")</f>
        <v/>
      </c>
      <c r="B708" s="25" t="n">
        <v>0.6666666666666666</v>
      </c>
      <c r="C708" s="25" t="n">
        <v>0.7076388888888889</v>
      </c>
      <c r="D708" s="26" t="n">
        <v>300</v>
      </c>
    </row>
    <row r="709">
      <c r="A709" s="56">
        <f>_xlfn.XLOOKUP("CPTM L10-1",Trip[trip_id],Trip[trip_id],"Não encontrado")</f>
        <v/>
      </c>
      <c r="B709" s="28" t="n">
        <v>0.7083333333333334</v>
      </c>
      <c r="C709" s="28" t="n">
        <v>0.7493055555555556</v>
      </c>
      <c r="D709" s="29" t="n">
        <v>300</v>
      </c>
    </row>
    <row r="710">
      <c r="A710" s="55">
        <f>_xlfn.XLOOKUP("CPTM L10-1",Trip[trip_id],Trip[trip_id],"Não encontrado")</f>
        <v/>
      </c>
      <c r="B710" s="25" t="n">
        <v>0.75</v>
      </c>
      <c r="C710" s="25" t="n">
        <v>0.7909722222222222</v>
      </c>
      <c r="D710" s="26" t="n">
        <v>300</v>
      </c>
    </row>
    <row r="711">
      <c r="A711" s="56">
        <f>_xlfn.XLOOKUP("CPTM L10-1",Trip[trip_id],Trip[trip_id],"Não encontrado")</f>
        <v/>
      </c>
      <c r="B711" s="28" t="n">
        <v>0.7916666666666666</v>
      </c>
      <c r="C711" s="28" t="n">
        <v>0.8326388888888889</v>
      </c>
      <c r="D711" s="29" t="n">
        <v>300</v>
      </c>
    </row>
    <row r="712">
      <c r="A712" s="55">
        <f>_xlfn.XLOOKUP("CPTM L10-1",Trip[trip_id],Trip[trip_id],"Não encontrado")</f>
        <v/>
      </c>
      <c r="B712" s="25" t="n">
        <v>0.8333333333333334</v>
      </c>
      <c r="C712" s="25" t="n">
        <v>0.8743055555555556</v>
      </c>
      <c r="D712" s="26" t="n">
        <v>600</v>
      </c>
    </row>
    <row r="713">
      <c r="A713" s="56">
        <f>_xlfn.XLOOKUP("CPTM L10-1",Trip[trip_id],Trip[trip_id],"Não encontrado")</f>
        <v/>
      </c>
      <c r="B713" s="28" t="n">
        <v>0.875</v>
      </c>
      <c r="C713" s="28" t="n">
        <v>0.9159722222222222</v>
      </c>
      <c r="D713" s="29" t="n">
        <v>600</v>
      </c>
    </row>
    <row r="714">
      <c r="A714" s="55">
        <f>_xlfn.XLOOKUP("CPTM L10-1",Trip[trip_id],Trip[trip_id],"Não encontrado")</f>
        <v/>
      </c>
      <c r="B714" s="25" t="n">
        <v>0.9166666666666666</v>
      </c>
      <c r="C714" s="25" t="n">
        <v>0.9576388888888889</v>
      </c>
      <c r="D714" s="26" t="n">
        <v>600</v>
      </c>
    </row>
    <row r="715">
      <c r="A715" s="56">
        <f>_xlfn.XLOOKUP("CPTM L10-1",Trip[trip_id],Trip[trip_id],"Não encontrado")</f>
        <v/>
      </c>
      <c r="B715" s="28" t="n">
        <v>0.9583333333333334</v>
      </c>
      <c r="C715" s="28" t="n">
        <v>0.9993055555555556</v>
      </c>
      <c r="D715" s="29" t="n">
        <v>600</v>
      </c>
    </row>
    <row r="716">
      <c r="A716" s="55">
        <f>_xlfn.XLOOKUP("CPTM L11-0",Trip[trip_id],Trip[trip_id],"Não encontrado")</f>
        <v/>
      </c>
      <c r="B716" s="25" t="n">
        <v>0.1666666666666667</v>
      </c>
      <c r="C716" s="25" t="n">
        <v>0.2076388888888889</v>
      </c>
      <c r="D716" s="26" t="n">
        <v>480</v>
      </c>
    </row>
    <row r="717">
      <c r="A717" s="56">
        <f>_xlfn.XLOOKUP("CPTM L11-0",Trip[trip_id],Trip[trip_id],"Não encontrado")</f>
        <v/>
      </c>
      <c r="B717" s="28" t="n">
        <v>0.2083333333333333</v>
      </c>
      <c r="C717" s="28" t="n">
        <v>0.2493055555555556</v>
      </c>
      <c r="D717" s="29" t="n">
        <v>240</v>
      </c>
    </row>
    <row r="718">
      <c r="A718" s="55">
        <f>_xlfn.XLOOKUP("CPTM L11-0",Trip[trip_id],Trip[trip_id],"Não encontrado")</f>
        <v/>
      </c>
      <c r="B718" s="25" t="n">
        <v>0.25</v>
      </c>
      <c r="C718" s="25" t="n">
        <v>0.2909722222222222</v>
      </c>
      <c r="D718" s="26" t="n">
        <v>240</v>
      </c>
    </row>
    <row r="719">
      <c r="A719" s="56">
        <f>_xlfn.XLOOKUP("CPTM L11-0",Trip[trip_id],Trip[trip_id],"Não encontrado")</f>
        <v/>
      </c>
      <c r="B719" s="28" t="n">
        <v>0.2916666666666667</v>
      </c>
      <c r="C719" s="28" t="n">
        <v>0.3326388888888889</v>
      </c>
      <c r="D719" s="29" t="n">
        <v>240</v>
      </c>
    </row>
    <row r="720">
      <c r="A720" s="55">
        <f>_xlfn.XLOOKUP("CPTM L11-0",Trip[trip_id],Trip[trip_id],"Não encontrado")</f>
        <v/>
      </c>
      <c r="B720" s="25" t="n">
        <v>0.3333333333333333</v>
      </c>
      <c r="C720" s="25" t="n">
        <v>0.3743055555555556</v>
      </c>
      <c r="D720" s="26" t="n">
        <v>240</v>
      </c>
    </row>
    <row r="721">
      <c r="A721" s="56">
        <f>_xlfn.XLOOKUP("CPTM L11-0",Trip[trip_id],Trip[trip_id],"Não encontrado")</f>
        <v/>
      </c>
      <c r="B721" s="28" t="n">
        <v>0.375</v>
      </c>
      <c r="C721" s="28" t="n">
        <v>0.4159722222222222</v>
      </c>
      <c r="D721" s="29" t="n">
        <v>420</v>
      </c>
    </row>
    <row r="722">
      <c r="A722" s="55">
        <f>_xlfn.XLOOKUP("CPTM L11-0",Trip[trip_id],Trip[trip_id],"Não encontrado")</f>
        <v/>
      </c>
      <c r="B722" s="25" t="n">
        <v>0.4166666666666667</v>
      </c>
      <c r="C722" s="25" t="n">
        <v>0.4576388888888889</v>
      </c>
      <c r="D722" s="26" t="n">
        <v>420</v>
      </c>
    </row>
    <row r="723">
      <c r="A723" s="56">
        <f>_xlfn.XLOOKUP("CPTM L11-0",Trip[trip_id],Trip[trip_id],"Não encontrado")</f>
        <v/>
      </c>
      <c r="B723" s="28" t="n">
        <v>0.4583333333333333</v>
      </c>
      <c r="C723" s="28" t="n">
        <v>0.4993055555555556</v>
      </c>
      <c r="D723" s="29" t="n">
        <v>420</v>
      </c>
    </row>
    <row r="724">
      <c r="A724" s="55">
        <f>_xlfn.XLOOKUP("CPTM L11-0",Trip[trip_id],Trip[trip_id],"Não encontrado")</f>
        <v/>
      </c>
      <c r="B724" s="25" t="n">
        <v>0.5</v>
      </c>
      <c r="C724" s="25" t="n">
        <v>0.5409722222222222</v>
      </c>
      <c r="D724" s="26" t="n">
        <v>420</v>
      </c>
    </row>
    <row r="725">
      <c r="A725" s="56">
        <f>_xlfn.XLOOKUP("CPTM L11-0",Trip[trip_id],Trip[trip_id],"Não encontrado")</f>
        <v/>
      </c>
      <c r="B725" s="28" t="n">
        <v>0.5416666666666666</v>
      </c>
      <c r="C725" s="28" t="n">
        <v>0.5826388888888889</v>
      </c>
      <c r="D725" s="29" t="n">
        <v>420</v>
      </c>
    </row>
    <row r="726">
      <c r="A726" s="55">
        <f>_xlfn.XLOOKUP("CPTM L11-0",Trip[trip_id],Trip[trip_id],"Não encontrado")</f>
        <v/>
      </c>
      <c r="B726" s="25" t="n">
        <v>0.5833333333333334</v>
      </c>
      <c r="C726" s="25" t="n">
        <v>0.6243055555555556</v>
      </c>
      <c r="D726" s="26" t="n">
        <v>420</v>
      </c>
    </row>
    <row r="727">
      <c r="A727" s="56">
        <f>_xlfn.XLOOKUP("CPTM L11-0",Trip[trip_id],Trip[trip_id],"Não encontrado")</f>
        <v/>
      </c>
      <c r="B727" s="28" t="n">
        <v>0.625</v>
      </c>
      <c r="C727" s="28" t="n">
        <v>0.6659722222222222</v>
      </c>
      <c r="D727" s="29" t="n">
        <v>420</v>
      </c>
    </row>
    <row r="728">
      <c r="A728" s="55">
        <f>_xlfn.XLOOKUP("CPTM L11-0",Trip[trip_id],Trip[trip_id],"Não encontrado")</f>
        <v/>
      </c>
      <c r="B728" s="25" t="n">
        <v>0.6666666666666666</v>
      </c>
      <c r="C728" s="25" t="n">
        <v>0.7076388888888889</v>
      </c>
      <c r="D728" s="26" t="n">
        <v>240</v>
      </c>
    </row>
    <row r="729">
      <c r="A729" s="56">
        <f>_xlfn.XLOOKUP("CPTM L11-0",Trip[trip_id],Trip[trip_id],"Não encontrado")</f>
        <v/>
      </c>
      <c r="B729" s="28" t="n">
        <v>0.7083333333333334</v>
      </c>
      <c r="C729" s="28" t="n">
        <v>0.7493055555555556</v>
      </c>
      <c r="D729" s="29" t="n">
        <v>240</v>
      </c>
    </row>
    <row r="730">
      <c r="A730" s="55">
        <f>_xlfn.XLOOKUP("CPTM L11-0",Trip[trip_id],Trip[trip_id],"Não encontrado")</f>
        <v/>
      </c>
      <c r="B730" s="25" t="n">
        <v>0.75</v>
      </c>
      <c r="C730" s="25" t="n">
        <v>0.7909722222222222</v>
      </c>
      <c r="D730" s="26" t="n">
        <v>240</v>
      </c>
    </row>
    <row r="731">
      <c r="A731" s="56">
        <f>_xlfn.XLOOKUP("CPTM L11-0",Trip[trip_id],Trip[trip_id],"Não encontrado")</f>
        <v/>
      </c>
      <c r="B731" s="28" t="n">
        <v>0.7916666666666666</v>
      </c>
      <c r="C731" s="28" t="n">
        <v>0.8326388888888889</v>
      </c>
      <c r="D731" s="29" t="n">
        <v>240</v>
      </c>
    </row>
    <row r="732">
      <c r="A732" s="55">
        <f>_xlfn.XLOOKUP("CPTM L11-0",Trip[trip_id],Trip[trip_id],"Não encontrado")</f>
        <v/>
      </c>
      <c r="B732" s="25" t="n">
        <v>0.8333333333333334</v>
      </c>
      <c r="C732" s="25" t="n">
        <v>0.8743055555555556</v>
      </c>
      <c r="D732" s="26" t="n">
        <v>480</v>
      </c>
    </row>
    <row r="733">
      <c r="A733" s="56">
        <f>_xlfn.XLOOKUP("CPTM L11-0",Trip[trip_id],Trip[trip_id],"Não encontrado")</f>
        <v/>
      </c>
      <c r="B733" s="28" t="n">
        <v>0.875</v>
      </c>
      <c r="C733" s="28" t="n">
        <v>0.9159722222222222</v>
      </c>
      <c r="D733" s="29" t="n">
        <v>480</v>
      </c>
    </row>
    <row r="734">
      <c r="A734" s="55">
        <f>_xlfn.XLOOKUP("CPTM L11-0",Trip[trip_id],Trip[trip_id],"Não encontrado")</f>
        <v/>
      </c>
      <c r="B734" s="25" t="n">
        <v>0.9166666666666666</v>
      </c>
      <c r="C734" s="25" t="n">
        <v>0.9576388888888889</v>
      </c>
      <c r="D734" s="26" t="n">
        <v>480</v>
      </c>
    </row>
    <row r="735">
      <c r="A735" s="56">
        <f>_xlfn.XLOOKUP("CPTM L11-0",Trip[trip_id],Trip[trip_id],"Não encontrado")</f>
        <v/>
      </c>
      <c r="B735" s="28" t="n">
        <v>0.9583333333333334</v>
      </c>
      <c r="C735" s="28" t="n">
        <v>0.9993055555555556</v>
      </c>
      <c r="D735" s="29" t="n">
        <v>480</v>
      </c>
    </row>
    <row r="736">
      <c r="A736" s="55">
        <f>_xlfn.XLOOKUP("CPTM L11-1",Trip[trip_id],Trip[trip_id],"Não encontrado")</f>
        <v/>
      </c>
      <c r="B736" s="25" t="n">
        <v>0.1666666666666667</v>
      </c>
      <c r="C736" s="25" t="n">
        <v>0.2076388888888889</v>
      </c>
      <c r="D736" s="26" t="n">
        <v>480</v>
      </c>
    </row>
    <row r="737">
      <c r="A737" s="56">
        <f>_xlfn.XLOOKUP("CPTM L11-1",Trip[trip_id],Trip[trip_id],"Não encontrado")</f>
        <v/>
      </c>
      <c r="B737" s="28" t="n">
        <v>0.2083333333333333</v>
      </c>
      <c r="C737" s="28" t="n">
        <v>0.2493055555555556</v>
      </c>
      <c r="D737" s="29" t="n">
        <v>240</v>
      </c>
    </row>
    <row r="738">
      <c r="A738" s="55">
        <f>_xlfn.XLOOKUP("CPTM L11-1",Trip[trip_id],Trip[trip_id],"Não encontrado")</f>
        <v/>
      </c>
      <c r="B738" s="25" t="n">
        <v>0.25</v>
      </c>
      <c r="C738" s="25" t="n">
        <v>0.2909722222222222</v>
      </c>
      <c r="D738" s="26" t="n">
        <v>240</v>
      </c>
    </row>
    <row r="739">
      <c r="A739" s="56">
        <f>_xlfn.XLOOKUP("CPTM L11-1",Trip[trip_id],Trip[trip_id],"Não encontrado")</f>
        <v/>
      </c>
      <c r="B739" s="28" t="n">
        <v>0.2916666666666667</v>
      </c>
      <c r="C739" s="28" t="n">
        <v>0.3326388888888889</v>
      </c>
      <c r="D739" s="29" t="n">
        <v>240</v>
      </c>
    </row>
    <row r="740">
      <c r="A740" s="55">
        <f>_xlfn.XLOOKUP("CPTM L11-1",Trip[trip_id],Trip[trip_id],"Não encontrado")</f>
        <v/>
      </c>
      <c r="B740" s="25" t="n">
        <v>0.3333333333333333</v>
      </c>
      <c r="C740" s="25" t="n">
        <v>0.3743055555555556</v>
      </c>
      <c r="D740" s="26" t="n">
        <v>240</v>
      </c>
    </row>
    <row r="741">
      <c r="A741" s="56">
        <f>_xlfn.XLOOKUP("CPTM L11-1",Trip[trip_id],Trip[trip_id],"Não encontrado")</f>
        <v/>
      </c>
      <c r="B741" s="28" t="n">
        <v>0.375</v>
      </c>
      <c r="C741" s="28" t="n">
        <v>0.4159722222222222</v>
      </c>
      <c r="D741" s="29" t="n">
        <v>420</v>
      </c>
    </row>
    <row r="742">
      <c r="A742" s="55">
        <f>_xlfn.XLOOKUP("CPTM L11-1",Trip[trip_id],Trip[trip_id],"Não encontrado")</f>
        <v/>
      </c>
      <c r="B742" s="25" t="n">
        <v>0.4166666666666667</v>
      </c>
      <c r="C742" s="25" t="n">
        <v>0.4576388888888889</v>
      </c>
      <c r="D742" s="26" t="n">
        <v>420</v>
      </c>
    </row>
    <row r="743">
      <c r="A743" s="56">
        <f>_xlfn.XLOOKUP("CPTM L11-1",Trip[trip_id],Trip[trip_id],"Não encontrado")</f>
        <v/>
      </c>
      <c r="B743" s="28" t="n">
        <v>0.4583333333333333</v>
      </c>
      <c r="C743" s="28" t="n">
        <v>0.4993055555555556</v>
      </c>
      <c r="D743" s="29" t="n">
        <v>420</v>
      </c>
    </row>
    <row r="744">
      <c r="A744" s="55">
        <f>_xlfn.XLOOKUP("CPTM L11-1",Trip[trip_id],Trip[trip_id],"Não encontrado")</f>
        <v/>
      </c>
      <c r="B744" s="25" t="n">
        <v>0.5</v>
      </c>
      <c r="C744" s="25" t="n">
        <v>0.5409722222222222</v>
      </c>
      <c r="D744" s="26" t="n">
        <v>420</v>
      </c>
    </row>
    <row r="745">
      <c r="A745" s="56">
        <f>_xlfn.XLOOKUP("CPTM L11-1",Trip[trip_id],Trip[trip_id],"Não encontrado")</f>
        <v/>
      </c>
      <c r="B745" s="28" t="n">
        <v>0.5416666666666666</v>
      </c>
      <c r="C745" s="28" t="n">
        <v>0.5826388888888889</v>
      </c>
      <c r="D745" s="29" t="n">
        <v>420</v>
      </c>
    </row>
    <row r="746">
      <c r="A746" s="55">
        <f>_xlfn.XLOOKUP("CPTM L11-1",Trip[trip_id],Trip[trip_id],"Não encontrado")</f>
        <v/>
      </c>
      <c r="B746" s="25" t="n">
        <v>0.5833333333333334</v>
      </c>
      <c r="C746" s="25" t="n">
        <v>0.6243055555555556</v>
      </c>
      <c r="D746" s="26" t="n">
        <v>420</v>
      </c>
    </row>
    <row r="747">
      <c r="A747" s="56">
        <f>_xlfn.XLOOKUP("CPTM L11-1",Trip[trip_id],Trip[trip_id],"Não encontrado")</f>
        <v/>
      </c>
      <c r="B747" s="28" t="n">
        <v>0.625</v>
      </c>
      <c r="C747" s="28" t="n">
        <v>0.6659722222222222</v>
      </c>
      <c r="D747" s="29" t="n">
        <v>420</v>
      </c>
    </row>
    <row r="748">
      <c r="A748" s="55">
        <f>_xlfn.XLOOKUP("CPTM L11-1",Trip[trip_id],Trip[trip_id],"Não encontrado")</f>
        <v/>
      </c>
      <c r="B748" s="25" t="n">
        <v>0.6666666666666666</v>
      </c>
      <c r="C748" s="25" t="n">
        <v>0.7076388888888889</v>
      </c>
      <c r="D748" s="26" t="n">
        <v>240</v>
      </c>
    </row>
    <row r="749">
      <c r="A749" s="56">
        <f>_xlfn.XLOOKUP("CPTM L11-1",Trip[trip_id],Trip[trip_id],"Não encontrado")</f>
        <v/>
      </c>
      <c r="B749" s="28" t="n">
        <v>0.7083333333333334</v>
      </c>
      <c r="C749" s="28" t="n">
        <v>0.7493055555555556</v>
      </c>
      <c r="D749" s="29" t="n">
        <v>240</v>
      </c>
    </row>
    <row r="750">
      <c r="A750" s="55">
        <f>_xlfn.XLOOKUP("CPTM L11-1",Trip[trip_id],Trip[trip_id],"Não encontrado")</f>
        <v/>
      </c>
      <c r="B750" s="25" t="n">
        <v>0.75</v>
      </c>
      <c r="C750" s="25" t="n">
        <v>0.7909722222222222</v>
      </c>
      <c r="D750" s="26" t="n">
        <v>240</v>
      </c>
    </row>
    <row r="751">
      <c r="A751" s="56">
        <f>_xlfn.XLOOKUP("CPTM L11-1",Trip[trip_id],Trip[trip_id],"Não encontrado")</f>
        <v/>
      </c>
      <c r="B751" s="28" t="n">
        <v>0.7916666666666666</v>
      </c>
      <c r="C751" s="28" t="n">
        <v>0.8326388888888889</v>
      </c>
      <c r="D751" s="29" t="n">
        <v>240</v>
      </c>
    </row>
    <row r="752">
      <c r="A752" s="55">
        <f>_xlfn.XLOOKUP("CPTM L11-1",Trip[trip_id],Trip[trip_id],"Não encontrado")</f>
        <v/>
      </c>
      <c r="B752" s="25" t="n">
        <v>0.8333333333333334</v>
      </c>
      <c r="C752" s="25" t="n">
        <v>0.8743055555555556</v>
      </c>
      <c r="D752" s="26" t="n">
        <v>480</v>
      </c>
    </row>
    <row r="753">
      <c r="A753" s="56">
        <f>_xlfn.XLOOKUP("CPTM L11-1",Trip[trip_id],Trip[trip_id],"Não encontrado")</f>
        <v/>
      </c>
      <c r="B753" s="28" t="n">
        <v>0.875</v>
      </c>
      <c r="C753" s="28" t="n">
        <v>0.9159722222222222</v>
      </c>
      <c r="D753" s="29" t="n">
        <v>480</v>
      </c>
    </row>
    <row r="754">
      <c r="A754" s="55">
        <f>_xlfn.XLOOKUP("CPTM L11-1",Trip[trip_id],Trip[trip_id],"Não encontrado")</f>
        <v/>
      </c>
      <c r="B754" s="25" t="n">
        <v>0.9166666666666666</v>
      </c>
      <c r="C754" s="25" t="n">
        <v>0.9576388888888889</v>
      </c>
      <c r="D754" s="26" t="n">
        <v>480</v>
      </c>
    </row>
    <row r="755">
      <c r="A755" s="56">
        <f>_xlfn.XLOOKUP("CPTM L11-1",Trip[trip_id],Trip[trip_id],"Não encontrado")</f>
        <v/>
      </c>
      <c r="B755" s="28" t="n">
        <v>0.9583333333333334</v>
      </c>
      <c r="C755" s="28" t="n">
        <v>0.9993055555555556</v>
      </c>
      <c r="D755" s="29" t="n">
        <v>480</v>
      </c>
    </row>
    <row r="756">
      <c r="A756" s="55">
        <f>_xlfn.XLOOKUP("CPTM L12-0",Trip[trip_id],Trip[trip_id],"Não encontrado")</f>
        <v/>
      </c>
      <c r="B756" s="25" t="n">
        <v>0.1666666666666667</v>
      </c>
      <c r="C756" s="25" t="n">
        <v>0.2076388888888889</v>
      </c>
      <c r="D756" s="26" t="n">
        <v>720</v>
      </c>
    </row>
    <row r="757">
      <c r="A757" s="56">
        <f>_xlfn.XLOOKUP("CPTM L12-0",Trip[trip_id],Trip[trip_id],"Não encontrado")</f>
        <v/>
      </c>
      <c r="B757" s="28" t="n">
        <v>0.2083333333333333</v>
      </c>
      <c r="C757" s="28" t="n">
        <v>0.2493055555555556</v>
      </c>
      <c r="D757" s="29" t="n">
        <v>360</v>
      </c>
    </row>
    <row r="758">
      <c r="A758" s="55">
        <f>_xlfn.XLOOKUP("CPTM L12-0",Trip[trip_id],Trip[trip_id],"Não encontrado")</f>
        <v/>
      </c>
      <c r="B758" s="25" t="n">
        <v>0.25</v>
      </c>
      <c r="C758" s="25" t="n">
        <v>0.2909722222222222</v>
      </c>
      <c r="D758" s="26" t="n">
        <v>360</v>
      </c>
    </row>
    <row r="759">
      <c r="A759" s="56">
        <f>_xlfn.XLOOKUP("CPTM L12-0",Trip[trip_id],Trip[trip_id],"Não encontrado")</f>
        <v/>
      </c>
      <c r="B759" s="28" t="n">
        <v>0.2916666666666667</v>
      </c>
      <c r="C759" s="28" t="n">
        <v>0.3326388888888889</v>
      </c>
      <c r="D759" s="29" t="n">
        <v>360</v>
      </c>
    </row>
    <row r="760">
      <c r="A760" s="55">
        <f>_xlfn.XLOOKUP("CPTM L12-0",Trip[trip_id],Trip[trip_id],"Não encontrado")</f>
        <v/>
      </c>
      <c r="B760" s="25" t="n">
        <v>0.3333333333333333</v>
      </c>
      <c r="C760" s="25" t="n">
        <v>0.3743055555555556</v>
      </c>
      <c r="D760" s="26" t="n">
        <v>360</v>
      </c>
    </row>
    <row r="761">
      <c r="A761" s="56">
        <f>_xlfn.XLOOKUP("CPTM L12-0",Trip[trip_id],Trip[trip_id],"Não encontrado")</f>
        <v/>
      </c>
      <c r="B761" s="28" t="n">
        <v>0.375</v>
      </c>
      <c r="C761" s="28" t="n">
        <v>0.4159722222222222</v>
      </c>
      <c r="D761" s="29" t="n">
        <v>480</v>
      </c>
    </row>
    <row r="762">
      <c r="A762" s="55">
        <f>_xlfn.XLOOKUP("CPTM L12-0",Trip[trip_id],Trip[trip_id],"Não encontrado")</f>
        <v/>
      </c>
      <c r="B762" s="25" t="n">
        <v>0.4166666666666667</v>
      </c>
      <c r="C762" s="25" t="n">
        <v>0.4576388888888889</v>
      </c>
      <c r="D762" s="26" t="n">
        <v>480</v>
      </c>
    </row>
    <row r="763">
      <c r="A763" s="56">
        <f>_xlfn.XLOOKUP("CPTM L12-0",Trip[trip_id],Trip[trip_id],"Não encontrado")</f>
        <v/>
      </c>
      <c r="B763" s="28" t="n">
        <v>0.4583333333333333</v>
      </c>
      <c r="C763" s="28" t="n">
        <v>0.4993055555555556</v>
      </c>
      <c r="D763" s="29" t="n">
        <v>480</v>
      </c>
    </row>
    <row r="764">
      <c r="A764" s="55">
        <f>_xlfn.XLOOKUP("CPTM L12-0",Trip[trip_id],Trip[trip_id],"Não encontrado")</f>
        <v/>
      </c>
      <c r="B764" s="25" t="n">
        <v>0.5</v>
      </c>
      <c r="C764" s="25" t="n">
        <v>0.5409722222222222</v>
      </c>
      <c r="D764" s="26" t="n">
        <v>480</v>
      </c>
    </row>
    <row r="765">
      <c r="A765" s="56">
        <f>_xlfn.XLOOKUP("CPTM L12-0",Trip[trip_id],Trip[trip_id],"Não encontrado")</f>
        <v/>
      </c>
      <c r="B765" s="28" t="n">
        <v>0.5416666666666666</v>
      </c>
      <c r="C765" s="28" t="n">
        <v>0.5826388888888889</v>
      </c>
      <c r="D765" s="29" t="n">
        <v>480</v>
      </c>
    </row>
    <row r="766">
      <c r="A766" s="55">
        <f>_xlfn.XLOOKUP("CPTM L12-0",Trip[trip_id],Trip[trip_id],"Não encontrado")</f>
        <v/>
      </c>
      <c r="B766" s="25" t="n">
        <v>0.5833333333333334</v>
      </c>
      <c r="C766" s="25" t="n">
        <v>0.6243055555555556</v>
      </c>
      <c r="D766" s="26" t="n">
        <v>480</v>
      </c>
    </row>
    <row r="767">
      <c r="A767" s="56">
        <f>_xlfn.XLOOKUP("CPTM L12-0",Trip[trip_id],Trip[trip_id],"Não encontrado")</f>
        <v/>
      </c>
      <c r="B767" s="28" t="n">
        <v>0.625</v>
      </c>
      <c r="C767" s="28" t="n">
        <v>0.6659722222222222</v>
      </c>
      <c r="D767" s="29" t="n">
        <v>480</v>
      </c>
    </row>
    <row r="768">
      <c r="A768" s="55">
        <f>_xlfn.XLOOKUP("CPTM L12-0",Trip[trip_id],Trip[trip_id],"Não encontrado")</f>
        <v/>
      </c>
      <c r="B768" s="25" t="n">
        <v>0.6666666666666666</v>
      </c>
      <c r="C768" s="25" t="n">
        <v>0.7076388888888889</v>
      </c>
      <c r="D768" s="26" t="n">
        <v>360</v>
      </c>
    </row>
    <row r="769">
      <c r="A769" s="56">
        <f>_xlfn.XLOOKUP("CPTM L12-0",Trip[trip_id],Trip[trip_id],"Não encontrado")</f>
        <v/>
      </c>
      <c r="B769" s="28" t="n">
        <v>0.7083333333333334</v>
      </c>
      <c r="C769" s="28" t="n">
        <v>0.7493055555555556</v>
      </c>
      <c r="D769" s="29" t="n">
        <v>360</v>
      </c>
    </row>
    <row r="770">
      <c r="A770" s="55">
        <f>_xlfn.XLOOKUP("CPTM L12-0",Trip[trip_id],Trip[trip_id],"Não encontrado")</f>
        <v/>
      </c>
      <c r="B770" s="25" t="n">
        <v>0.75</v>
      </c>
      <c r="C770" s="25" t="n">
        <v>0.7909722222222222</v>
      </c>
      <c r="D770" s="26" t="n">
        <v>360</v>
      </c>
    </row>
    <row r="771">
      <c r="A771" s="56">
        <f>_xlfn.XLOOKUP("CPTM L12-0",Trip[trip_id],Trip[trip_id],"Não encontrado")</f>
        <v/>
      </c>
      <c r="B771" s="28" t="n">
        <v>0.7916666666666666</v>
      </c>
      <c r="C771" s="28" t="n">
        <v>0.8326388888888889</v>
      </c>
      <c r="D771" s="29" t="n">
        <v>360</v>
      </c>
    </row>
    <row r="772">
      <c r="A772" s="55">
        <f>_xlfn.XLOOKUP("CPTM L12-0",Trip[trip_id],Trip[trip_id],"Não encontrado")</f>
        <v/>
      </c>
      <c r="B772" s="25" t="n">
        <v>0.8333333333333334</v>
      </c>
      <c r="C772" s="25" t="n">
        <v>0.8743055555555556</v>
      </c>
      <c r="D772" s="26" t="n">
        <v>600</v>
      </c>
    </row>
    <row r="773">
      <c r="A773" s="56">
        <f>_xlfn.XLOOKUP("CPTM L12-0",Trip[trip_id],Trip[trip_id],"Não encontrado")</f>
        <v/>
      </c>
      <c r="B773" s="28" t="n">
        <v>0.875</v>
      </c>
      <c r="C773" s="28" t="n">
        <v>0.9159722222222222</v>
      </c>
      <c r="D773" s="29" t="n">
        <v>600</v>
      </c>
    </row>
    <row r="774">
      <c r="A774" s="55">
        <f>_xlfn.XLOOKUP("CPTM L12-0",Trip[trip_id],Trip[trip_id],"Não encontrado")</f>
        <v/>
      </c>
      <c r="B774" s="25" t="n">
        <v>0.9166666666666666</v>
      </c>
      <c r="C774" s="25" t="n">
        <v>0.9576388888888889</v>
      </c>
      <c r="D774" s="26" t="n">
        <v>600</v>
      </c>
    </row>
    <row r="775">
      <c r="A775" s="56">
        <f>_xlfn.XLOOKUP("CPTM L12-0",Trip[trip_id],Trip[trip_id],"Não encontrado")</f>
        <v/>
      </c>
      <c r="B775" s="28" t="n">
        <v>0.9583333333333334</v>
      </c>
      <c r="C775" s="28" t="n">
        <v>0.9993055555555556</v>
      </c>
      <c r="D775" s="29" t="n">
        <v>600</v>
      </c>
    </row>
    <row r="776">
      <c r="A776" s="55">
        <f>_xlfn.XLOOKUP("CPTM L12-1",Trip[trip_id],Trip[trip_id],"Não encontrado")</f>
        <v/>
      </c>
      <c r="B776" s="25" t="n">
        <v>0.1666666666666667</v>
      </c>
      <c r="C776" s="25" t="n">
        <v>0.2076388888888889</v>
      </c>
      <c r="D776" s="26" t="n">
        <v>720</v>
      </c>
    </row>
    <row r="777">
      <c r="A777" s="56">
        <f>_xlfn.XLOOKUP("CPTM L12-1",Trip[trip_id],Trip[trip_id],"Não encontrado")</f>
        <v/>
      </c>
      <c r="B777" s="28" t="n">
        <v>0.2083333333333333</v>
      </c>
      <c r="C777" s="28" t="n">
        <v>0.2493055555555556</v>
      </c>
      <c r="D777" s="29" t="n">
        <v>360</v>
      </c>
    </row>
    <row r="778">
      <c r="A778" s="55">
        <f>_xlfn.XLOOKUP("CPTM L12-1",Trip[trip_id],Trip[trip_id],"Não encontrado")</f>
        <v/>
      </c>
      <c r="B778" s="25" t="n">
        <v>0.25</v>
      </c>
      <c r="C778" s="25" t="n">
        <v>0.2909722222222222</v>
      </c>
      <c r="D778" s="26" t="n">
        <v>360</v>
      </c>
    </row>
    <row r="779">
      <c r="A779" s="56">
        <f>_xlfn.XLOOKUP("CPTM L12-1",Trip[trip_id],Trip[trip_id],"Não encontrado")</f>
        <v/>
      </c>
      <c r="B779" s="28" t="n">
        <v>0.2916666666666667</v>
      </c>
      <c r="C779" s="28" t="n">
        <v>0.3326388888888889</v>
      </c>
      <c r="D779" s="29" t="n">
        <v>360</v>
      </c>
    </row>
    <row r="780">
      <c r="A780" s="55">
        <f>_xlfn.XLOOKUP("CPTM L12-1",Trip[trip_id],Trip[trip_id],"Não encontrado")</f>
        <v/>
      </c>
      <c r="B780" s="25" t="n">
        <v>0.3333333333333333</v>
      </c>
      <c r="C780" s="25" t="n">
        <v>0.3743055555555556</v>
      </c>
      <c r="D780" s="26" t="n">
        <v>360</v>
      </c>
    </row>
    <row r="781">
      <c r="A781" s="56">
        <f>_xlfn.XLOOKUP("CPTM L12-1",Trip[trip_id],Trip[trip_id],"Não encontrado")</f>
        <v/>
      </c>
      <c r="B781" s="28" t="n">
        <v>0.375</v>
      </c>
      <c r="C781" s="28" t="n">
        <v>0.4159722222222222</v>
      </c>
      <c r="D781" s="29" t="n">
        <v>480</v>
      </c>
    </row>
    <row r="782">
      <c r="A782" s="55">
        <f>_xlfn.XLOOKUP("CPTM L12-1",Trip[trip_id],Trip[trip_id],"Não encontrado")</f>
        <v/>
      </c>
      <c r="B782" s="25" t="n">
        <v>0.4166666666666667</v>
      </c>
      <c r="C782" s="25" t="n">
        <v>0.4576388888888889</v>
      </c>
      <c r="D782" s="26" t="n">
        <v>480</v>
      </c>
    </row>
    <row r="783">
      <c r="A783" s="56">
        <f>_xlfn.XLOOKUP("CPTM L12-1",Trip[trip_id],Trip[trip_id],"Não encontrado")</f>
        <v/>
      </c>
      <c r="B783" s="28" t="n">
        <v>0.4583333333333333</v>
      </c>
      <c r="C783" s="28" t="n">
        <v>0.4993055555555556</v>
      </c>
      <c r="D783" s="29" t="n">
        <v>480</v>
      </c>
    </row>
    <row r="784">
      <c r="A784" s="55">
        <f>_xlfn.XLOOKUP("CPTM L12-1",Trip[trip_id],Trip[trip_id],"Não encontrado")</f>
        <v/>
      </c>
      <c r="B784" s="25" t="n">
        <v>0.5</v>
      </c>
      <c r="C784" s="25" t="n">
        <v>0.5409722222222222</v>
      </c>
      <c r="D784" s="26" t="n">
        <v>480</v>
      </c>
    </row>
    <row r="785">
      <c r="A785" s="56">
        <f>_xlfn.XLOOKUP("CPTM L12-1",Trip[trip_id],Trip[trip_id],"Não encontrado")</f>
        <v/>
      </c>
      <c r="B785" s="28" t="n">
        <v>0.5416666666666666</v>
      </c>
      <c r="C785" s="28" t="n">
        <v>0.5826388888888889</v>
      </c>
      <c r="D785" s="29" t="n">
        <v>480</v>
      </c>
    </row>
    <row r="786">
      <c r="A786" s="55">
        <f>_xlfn.XLOOKUP("CPTM L12-1",Trip[trip_id],Trip[trip_id],"Não encontrado")</f>
        <v/>
      </c>
      <c r="B786" s="25" t="n">
        <v>0.5833333333333334</v>
      </c>
      <c r="C786" s="25" t="n">
        <v>0.6243055555555556</v>
      </c>
      <c r="D786" s="26" t="n">
        <v>480</v>
      </c>
    </row>
    <row r="787">
      <c r="A787" s="56">
        <f>_xlfn.XLOOKUP("CPTM L12-1",Trip[trip_id],Trip[trip_id],"Não encontrado")</f>
        <v/>
      </c>
      <c r="B787" s="28" t="n">
        <v>0.625</v>
      </c>
      <c r="C787" s="28" t="n">
        <v>0.6659722222222222</v>
      </c>
      <c r="D787" s="29" t="n">
        <v>480</v>
      </c>
    </row>
    <row r="788">
      <c r="A788" s="55">
        <f>_xlfn.XLOOKUP("CPTM L12-1",Trip[trip_id],Trip[trip_id],"Não encontrado")</f>
        <v/>
      </c>
      <c r="B788" s="25" t="n">
        <v>0.6666666666666666</v>
      </c>
      <c r="C788" s="25" t="n">
        <v>0.7076388888888889</v>
      </c>
      <c r="D788" s="26" t="n">
        <v>360</v>
      </c>
    </row>
    <row r="789">
      <c r="A789" s="56">
        <f>_xlfn.XLOOKUP("CPTM L12-1",Trip[trip_id],Trip[trip_id],"Não encontrado")</f>
        <v/>
      </c>
      <c r="B789" s="28" t="n">
        <v>0.7083333333333334</v>
      </c>
      <c r="C789" s="28" t="n">
        <v>0.7493055555555556</v>
      </c>
      <c r="D789" s="29" t="n">
        <v>360</v>
      </c>
    </row>
    <row r="790">
      <c r="A790" s="55">
        <f>_xlfn.XLOOKUP("CPTM L12-1",Trip[trip_id],Trip[trip_id],"Não encontrado")</f>
        <v/>
      </c>
      <c r="B790" s="25" t="n">
        <v>0.75</v>
      </c>
      <c r="C790" s="25" t="n">
        <v>0.7909722222222222</v>
      </c>
      <c r="D790" s="26" t="n">
        <v>360</v>
      </c>
    </row>
    <row r="791">
      <c r="A791" s="56">
        <f>_xlfn.XLOOKUP("CPTM L12-1",Trip[trip_id],Trip[trip_id],"Não encontrado")</f>
        <v/>
      </c>
      <c r="B791" s="28" t="n">
        <v>0.7916666666666666</v>
      </c>
      <c r="C791" s="28" t="n">
        <v>0.8326388888888889</v>
      </c>
      <c r="D791" s="29" t="n">
        <v>360</v>
      </c>
    </row>
    <row r="792">
      <c r="A792" s="55">
        <f>_xlfn.XLOOKUP("CPTM L12-1",Trip[trip_id],Trip[trip_id],"Não encontrado")</f>
        <v/>
      </c>
      <c r="B792" s="25" t="n">
        <v>0.8333333333333334</v>
      </c>
      <c r="C792" s="25" t="n">
        <v>0.8743055555555556</v>
      </c>
      <c r="D792" s="26" t="n">
        <v>600</v>
      </c>
    </row>
    <row r="793">
      <c r="A793" s="56">
        <f>_xlfn.XLOOKUP("CPTM L12-1",Trip[trip_id],Trip[trip_id],"Não encontrado")</f>
        <v/>
      </c>
      <c r="B793" s="28" t="n">
        <v>0.875</v>
      </c>
      <c r="C793" s="28" t="n">
        <v>0.9159722222222222</v>
      </c>
      <c r="D793" s="29" t="n">
        <v>600</v>
      </c>
    </row>
    <row r="794">
      <c r="A794" s="55">
        <f>_xlfn.XLOOKUP("CPTM L12-1",Trip[trip_id],Trip[trip_id],"Não encontrado")</f>
        <v/>
      </c>
      <c r="B794" s="25" t="n">
        <v>0.9166666666666666</v>
      </c>
      <c r="C794" s="25" t="n">
        <v>0.9576388888888889</v>
      </c>
      <c r="D794" s="26" t="n">
        <v>600</v>
      </c>
    </row>
    <row r="795">
      <c r="A795" s="56">
        <f>_xlfn.XLOOKUP("CPTM L12-1",Trip[trip_id],Trip[trip_id],"Não encontrado")</f>
        <v/>
      </c>
      <c r="B795" s="28" t="n">
        <v>0.9583333333333334</v>
      </c>
      <c r="C795" s="28" t="n">
        <v>0.9993055555555556</v>
      </c>
      <c r="D795" s="29" t="n">
        <v>600</v>
      </c>
    </row>
    <row r="796">
      <c r="A796" s="55">
        <f>_xlfn.XLOOKUP("CPTM L13-0",Trip[trip_id],Trip[trip_id],"Não encontrado")</f>
        <v/>
      </c>
      <c r="B796" s="25" t="n">
        <v>0.1666666666666667</v>
      </c>
      <c r="C796" s="25" t="n">
        <v>0.2076388888888889</v>
      </c>
      <c r="D796" s="26" t="n">
        <v>1200</v>
      </c>
    </row>
    <row r="797">
      <c r="A797" s="56">
        <f>_xlfn.XLOOKUP("CPTM L13-0",Trip[trip_id],Trip[trip_id],"Não encontrado")</f>
        <v/>
      </c>
      <c r="B797" s="28" t="n">
        <v>0.2083333333333333</v>
      </c>
      <c r="C797" s="28" t="n">
        <v>0.2493055555555556</v>
      </c>
      <c r="D797" s="29" t="n">
        <v>1200</v>
      </c>
    </row>
    <row r="798">
      <c r="A798" s="55">
        <f>_xlfn.XLOOKUP("CPTM L13-0",Trip[trip_id],Trip[trip_id],"Não encontrado")</f>
        <v/>
      </c>
      <c r="B798" s="25" t="n">
        <v>0.25</v>
      </c>
      <c r="C798" s="25" t="n">
        <v>0.2909722222222222</v>
      </c>
      <c r="D798" s="26" t="n">
        <v>1200</v>
      </c>
    </row>
    <row r="799">
      <c r="A799" s="56">
        <f>_xlfn.XLOOKUP("CPTM L13-0",Trip[trip_id],Trip[trip_id],"Não encontrado")</f>
        <v/>
      </c>
      <c r="B799" s="28" t="n">
        <v>0.2916666666666667</v>
      </c>
      <c r="C799" s="28" t="n">
        <v>0.3326388888888889</v>
      </c>
      <c r="D799" s="29" t="n">
        <v>1200</v>
      </c>
    </row>
    <row r="800">
      <c r="A800" s="55">
        <f>_xlfn.XLOOKUP("CPTM L13-0",Trip[trip_id],Trip[trip_id],"Não encontrado")</f>
        <v/>
      </c>
      <c r="B800" s="25" t="n">
        <v>0.3333333333333333</v>
      </c>
      <c r="C800" s="25" t="n">
        <v>0.3743055555555556</v>
      </c>
      <c r="D800" s="26" t="n">
        <v>1200</v>
      </c>
    </row>
    <row r="801">
      <c r="A801" s="56">
        <f>_xlfn.XLOOKUP("CPTM L13-0",Trip[trip_id],Trip[trip_id],"Não encontrado")</f>
        <v/>
      </c>
      <c r="B801" s="28" t="n">
        <v>0.375</v>
      </c>
      <c r="C801" s="28" t="n">
        <v>0.4159722222222222</v>
      </c>
      <c r="D801" s="29" t="n">
        <v>1800</v>
      </c>
    </row>
    <row r="802">
      <c r="A802" s="55">
        <f>_xlfn.XLOOKUP("CPTM L13-0",Trip[trip_id],Trip[trip_id],"Não encontrado")</f>
        <v/>
      </c>
      <c r="B802" s="25" t="n">
        <v>0.4166666666666667</v>
      </c>
      <c r="C802" s="25" t="n">
        <v>0.4576388888888889</v>
      </c>
      <c r="D802" s="26" t="n">
        <v>1800</v>
      </c>
    </row>
    <row r="803">
      <c r="A803" s="56">
        <f>_xlfn.XLOOKUP("CPTM L13-0",Trip[trip_id],Trip[trip_id],"Não encontrado")</f>
        <v/>
      </c>
      <c r="B803" s="28" t="n">
        <v>0.4583333333333333</v>
      </c>
      <c r="C803" s="28" t="n">
        <v>0.4993055555555556</v>
      </c>
      <c r="D803" s="29" t="n">
        <v>1800</v>
      </c>
    </row>
    <row r="804">
      <c r="A804" s="55">
        <f>_xlfn.XLOOKUP("CPTM L13-0",Trip[trip_id],Trip[trip_id],"Não encontrado")</f>
        <v/>
      </c>
      <c r="B804" s="25" t="n">
        <v>0.5</v>
      </c>
      <c r="C804" s="25" t="n">
        <v>0.5409722222222222</v>
      </c>
      <c r="D804" s="26" t="n">
        <v>1800</v>
      </c>
    </row>
    <row r="805">
      <c r="A805" s="56">
        <f>_xlfn.XLOOKUP("CPTM L13-0",Trip[trip_id],Trip[trip_id],"Não encontrado")</f>
        <v/>
      </c>
      <c r="B805" s="28" t="n">
        <v>0.5416666666666666</v>
      </c>
      <c r="C805" s="28" t="n">
        <v>0.5826388888888889</v>
      </c>
      <c r="D805" s="29" t="n">
        <v>1800</v>
      </c>
    </row>
    <row r="806">
      <c r="A806" s="55">
        <f>_xlfn.XLOOKUP("CPTM L13-0",Trip[trip_id],Trip[trip_id],"Não encontrado")</f>
        <v/>
      </c>
      <c r="B806" s="25" t="n">
        <v>0.5833333333333334</v>
      </c>
      <c r="C806" s="25" t="n">
        <v>0.6243055555555556</v>
      </c>
      <c r="D806" s="26" t="n">
        <v>1800</v>
      </c>
    </row>
    <row r="807">
      <c r="A807" s="56">
        <f>_xlfn.XLOOKUP("CPTM L13-0",Trip[trip_id],Trip[trip_id],"Não encontrado")</f>
        <v/>
      </c>
      <c r="B807" s="28" t="n">
        <v>0.625</v>
      </c>
      <c r="C807" s="28" t="n">
        <v>0.6659722222222222</v>
      </c>
      <c r="D807" s="29" t="n">
        <v>1800</v>
      </c>
    </row>
    <row r="808">
      <c r="A808" s="55">
        <f>_xlfn.XLOOKUP("CPTM L13-0",Trip[trip_id],Trip[trip_id],"Não encontrado")</f>
        <v/>
      </c>
      <c r="B808" s="25" t="n">
        <v>0.6666666666666666</v>
      </c>
      <c r="C808" s="25" t="n">
        <v>0.7076388888888889</v>
      </c>
      <c r="D808" s="26" t="n">
        <v>1800</v>
      </c>
    </row>
    <row r="809">
      <c r="A809" s="56">
        <f>_xlfn.XLOOKUP("CPTM L13-0",Trip[trip_id],Trip[trip_id],"Não encontrado")</f>
        <v/>
      </c>
      <c r="B809" s="28" t="n">
        <v>0.7083333333333334</v>
      </c>
      <c r="C809" s="28" t="n">
        <v>0.7493055555555556</v>
      </c>
      <c r="D809" s="29" t="n">
        <v>1200</v>
      </c>
    </row>
    <row r="810">
      <c r="A810" s="55">
        <f>_xlfn.XLOOKUP("CPTM L13-0",Trip[trip_id],Trip[trip_id],"Não encontrado")</f>
        <v/>
      </c>
      <c r="B810" s="25" t="n">
        <v>0.75</v>
      </c>
      <c r="C810" s="25" t="n">
        <v>0.7909722222222222</v>
      </c>
      <c r="D810" s="26" t="n">
        <v>1200</v>
      </c>
    </row>
    <row r="811">
      <c r="A811" s="56">
        <f>_xlfn.XLOOKUP("CPTM L13-0",Trip[trip_id],Trip[trip_id],"Não encontrado")</f>
        <v/>
      </c>
      <c r="B811" s="28" t="n">
        <v>0.7916666666666666</v>
      </c>
      <c r="C811" s="28" t="n">
        <v>0.8326388888888889</v>
      </c>
      <c r="D811" s="29" t="n">
        <v>1200</v>
      </c>
    </row>
    <row r="812">
      <c r="A812" s="55">
        <f>_xlfn.XLOOKUP("CPTM L13-0",Trip[trip_id],Trip[trip_id],"Não encontrado")</f>
        <v/>
      </c>
      <c r="B812" s="25" t="n">
        <v>0.8333333333333334</v>
      </c>
      <c r="C812" s="25" t="n">
        <v>0.8743055555555556</v>
      </c>
      <c r="D812" s="26" t="n">
        <v>1200</v>
      </c>
    </row>
    <row r="813">
      <c r="A813" s="56">
        <f>_xlfn.XLOOKUP("CPTM L13-0",Trip[trip_id],Trip[trip_id],"Não encontrado")</f>
        <v/>
      </c>
      <c r="B813" s="28" t="n">
        <v>0.875</v>
      </c>
      <c r="C813" s="28" t="n">
        <v>0.9159722222222222</v>
      </c>
      <c r="D813" s="29" t="n">
        <v>1800</v>
      </c>
    </row>
    <row r="814">
      <c r="A814" s="55" t="inlineStr">
        <is>
          <t>CPTM L13-0</t>
        </is>
      </c>
      <c r="B814" s="25" t="n">
        <v>0.9166666666666666</v>
      </c>
      <c r="C814" s="25" t="n">
        <v>0.9576388888888889</v>
      </c>
      <c r="D814" s="26" t="n">
        <v>1800</v>
      </c>
    </row>
    <row r="815">
      <c r="A815" s="56">
        <f>_xlfn.XLOOKUP("CPTM L13-0",Trip[trip_id],Trip[trip_id],"Não encontrado")</f>
        <v/>
      </c>
      <c r="B815" s="28" t="n">
        <v>0.9583333333333334</v>
      </c>
      <c r="C815" s="28" t="n">
        <v>0.9993055555555556</v>
      </c>
      <c r="D815" s="29" t="n">
        <v>1800</v>
      </c>
    </row>
    <row r="816">
      <c r="A816" s="55">
        <f>_xlfn.XLOOKUP("CPTM L13-1",Trip[trip_id],Trip[trip_id],"Não encontrado")</f>
        <v/>
      </c>
      <c r="B816" s="25" t="n">
        <v>0.1666666666666667</v>
      </c>
      <c r="C816" s="25" t="n">
        <v>0.2076388888888889</v>
      </c>
      <c r="D816" s="26" t="n">
        <v>1200</v>
      </c>
    </row>
    <row r="817">
      <c r="A817" s="56">
        <f>_xlfn.XLOOKUP("CPTM L13-1",Trip[trip_id],Trip[trip_id],"Não encontrado")</f>
        <v/>
      </c>
      <c r="B817" s="28" t="n">
        <v>0.2083333333333333</v>
      </c>
      <c r="C817" s="28" t="n">
        <v>0.2493055555555556</v>
      </c>
      <c r="D817" s="29" t="n">
        <v>1200</v>
      </c>
    </row>
    <row r="818">
      <c r="A818" s="55">
        <f>_xlfn.XLOOKUP("CPTM L13-1",Trip[trip_id],Trip[trip_id],"Não encontrado")</f>
        <v/>
      </c>
      <c r="B818" s="25" t="n">
        <v>0.25</v>
      </c>
      <c r="C818" s="25" t="n">
        <v>0.2909722222222222</v>
      </c>
      <c r="D818" s="26" t="n">
        <v>1200</v>
      </c>
    </row>
    <row r="819">
      <c r="A819" s="56">
        <f>_xlfn.XLOOKUP("CPTM L13-1",Trip[trip_id],Trip[trip_id],"Não encontrado")</f>
        <v/>
      </c>
      <c r="B819" s="28" t="n">
        <v>0.2916666666666667</v>
      </c>
      <c r="C819" s="28" t="n">
        <v>0.3326388888888889</v>
      </c>
      <c r="D819" s="29" t="n">
        <v>1200</v>
      </c>
    </row>
    <row r="820">
      <c r="A820" s="55">
        <f>_xlfn.XLOOKUP("CPTM L13-1",Trip[trip_id],Trip[trip_id],"Não encontrado")</f>
        <v/>
      </c>
      <c r="B820" s="25" t="n">
        <v>0.3333333333333333</v>
      </c>
      <c r="C820" s="25" t="n">
        <v>0.3743055555555556</v>
      </c>
      <c r="D820" s="26" t="n">
        <v>1200</v>
      </c>
    </row>
    <row r="821">
      <c r="A821" s="56">
        <f>_xlfn.XLOOKUP("CPTM L13-1",Trip[trip_id],Trip[trip_id],"Não encontrado")</f>
        <v/>
      </c>
      <c r="B821" s="28" t="n">
        <v>0.375</v>
      </c>
      <c r="C821" s="28" t="n">
        <v>0.4159722222222222</v>
      </c>
      <c r="D821" s="29" t="n">
        <v>1800</v>
      </c>
    </row>
    <row r="822">
      <c r="A822" s="55">
        <f>_xlfn.XLOOKUP("CPTM L13-1",Trip[trip_id],Trip[trip_id],"Não encontrado")</f>
        <v/>
      </c>
      <c r="B822" s="25" t="n">
        <v>0.4166666666666667</v>
      </c>
      <c r="C822" s="25" t="n">
        <v>0.4576388888888889</v>
      </c>
      <c r="D822" s="26" t="n">
        <v>1800</v>
      </c>
    </row>
    <row r="823">
      <c r="A823" s="56">
        <f>_xlfn.XLOOKUP("CPTM L13-1",Trip[trip_id],Trip[trip_id],"Não encontrado")</f>
        <v/>
      </c>
      <c r="B823" s="28" t="n">
        <v>0.4583333333333333</v>
      </c>
      <c r="C823" s="28" t="n">
        <v>0.4993055555555556</v>
      </c>
      <c r="D823" s="29" t="n">
        <v>1800</v>
      </c>
    </row>
    <row r="824">
      <c r="A824" s="55">
        <f>_xlfn.XLOOKUP("CPTM L13-1",Trip[trip_id],Trip[trip_id],"Não encontrado")</f>
        <v/>
      </c>
      <c r="B824" s="25" t="n">
        <v>0.5</v>
      </c>
      <c r="C824" s="25" t="n">
        <v>0.5409722222222222</v>
      </c>
      <c r="D824" s="26" t="n">
        <v>1800</v>
      </c>
    </row>
    <row r="825">
      <c r="A825" s="56">
        <f>_xlfn.XLOOKUP("CPTM L13-1",Trip[trip_id],Trip[trip_id],"Não encontrado")</f>
        <v/>
      </c>
      <c r="B825" s="28" t="n">
        <v>0.5416666666666666</v>
      </c>
      <c r="C825" s="28" t="n">
        <v>0.5826388888888889</v>
      </c>
      <c r="D825" s="29" t="n">
        <v>1800</v>
      </c>
    </row>
    <row r="826">
      <c r="A826" s="55">
        <f>_xlfn.XLOOKUP("CPTM L13-1",Trip[trip_id],Trip[trip_id],"Não encontrado")</f>
        <v/>
      </c>
      <c r="B826" s="25" t="n">
        <v>0.5833333333333334</v>
      </c>
      <c r="C826" s="25" t="n">
        <v>0.6243055555555556</v>
      </c>
      <c r="D826" s="26" t="n">
        <v>1800</v>
      </c>
    </row>
    <row r="827">
      <c r="A827" s="56">
        <f>_xlfn.XLOOKUP("CPTM L13-1",Trip[trip_id],Trip[trip_id],"Não encontrado")</f>
        <v/>
      </c>
      <c r="B827" s="28" t="n">
        <v>0.625</v>
      </c>
      <c r="C827" s="28" t="n">
        <v>0.6659722222222222</v>
      </c>
      <c r="D827" s="29" t="n">
        <v>1800</v>
      </c>
    </row>
    <row r="828">
      <c r="A828" s="55">
        <f>_xlfn.XLOOKUP("CPTM L13-1",Trip[trip_id],Trip[trip_id],"Não encontrado")</f>
        <v/>
      </c>
      <c r="B828" s="25" t="n">
        <v>0.6666666666666666</v>
      </c>
      <c r="C828" s="25" t="n">
        <v>0.7076388888888889</v>
      </c>
      <c r="D828" s="26" t="n">
        <v>1800</v>
      </c>
    </row>
    <row r="829">
      <c r="A829" s="56">
        <f>_xlfn.XLOOKUP("CPTM L13-1",Trip[trip_id],Trip[trip_id],"Não encontrado")</f>
        <v/>
      </c>
      <c r="B829" s="28" t="n">
        <v>0.7083333333333334</v>
      </c>
      <c r="C829" s="28" t="n">
        <v>0.7493055555555556</v>
      </c>
      <c r="D829" s="29" t="n">
        <v>1200</v>
      </c>
    </row>
    <row r="830">
      <c r="A830" s="55">
        <f>_xlfn.XLOOKUP("CPTM L13-1",Trip[trip_id],Trip[trip_id],"Não encontrado")</f>
        <v/>
      </c>
      <c r="B830" s="25" t="n">
        <v>0.75</v>
      </c>
      <c r="C830" s="25" t="n">
        <v>0.7909722222222222</v>
      </c>
      <c r="D830" s="26" t="n">
        <v>1200</v>
      </c>
    </row>
    <row r="831">
      <c r="A831" s="56">
        <f>_xlfn.XLOOKUP("CPTM L13-1",Trip[trip_id],Trip[trip_id],"Não encontrado")</f>
        <v/>
      </c>
      <c r="B831" s="28" t="n">
        <v>0.7916666666666666</v>
      </c>
      <c r="C831" s="28" t="n">
        <v>0.8326388888888889</v>
      </c>
      <c r="D831" s="29" t="n">
        <v>1200</v>
      </c>
    </row>
    <row r="832">
      <c r="A832" s="55">
        <f>_xlfn.XLOOKUP("CPTM L13-1",Trip[trip_id],Trip[trip_id],"Não encontrado")</f>
        <v/>
      </c>
      <c r="B832" s="25" t="n">
        <v>0.8333333333333334</v>
      </c>
      <c r="C832" s="25" t="n">
        <v>0.8743055555555556</v>
      </c>
      <c r="D832" s="26" t="n">
        <v>1200</v>
      </c>
    </row>
    <row r="833">
      <c r="A833" s="56">
        <f>_xlfn.XLOOKUP("CPTM L13-1",Trip[trip_id],Trip[trip_id],"Não encontrado")</f>
        <v/>
      </c>
      <c r="B833" s="28" t="n">
        <v>0.875</v>
      </c>
      <c r="C833" s="28" t="n">
        <v>0.9159722222222222</v>
      </c>
      <c r="D833" s="29" t="n">
        <v>1800</v>
      </c>
    </row>
    <row r="834">
      <c r="A834" s="55">
        <f>_xlfn.XLOOKUP("CPTM L13-1",Trip[trip_id],Trip[trip_id],"Não encontrado")</f>
        <v/>
      </c>
      <c r="B834" s="25" t="n">
        <v>0.9166666666666666</v>
      </c>
      <c r="C834" s="25" t="n">
        <v>0.9576388888888889</v>
      </c>
      <c r="D834" s="26" t="n">
        <v>1800</v>
      </c>
    </row>
    <row r="835">
      <c r="A835" s="56">
        <f>_xlfn.XLOOKUP("CPTM L13-1",Trip[trip_id],Trip[trip_id],"Não encontrado")</f>
        <v/>
      </c>
      <c r="B835" s="28" t="n">
        <v>0.9583333333333334</v>
      </c>
      <c r="C835" s="28" t="n">
        <v>0.9993055555555556</v>
      </c>
      <c r="D835" s="29" t="n">
        <v>1800</v>
      </c>
    </row>
    <row r="836">
      <c r="A836" s="55">
        <f>_xlfn.XLOOKUP("METRÔ 15-0",Trip[trip_id],Trip[trip_id],"Não encontrado")</f>
        <v/>
      </c>
      <c r="B836" s="25" t="n">
        <v>0.1666666666666667</v>
      </c>
      <c r="C836" s="25" t="n">
        <v>0.2076388888888889</v>
      </c>
      <c r="D836" s="26" t="n">
        <v>900</v>
      </c>
    </row>
    <row r="837">
      <c r="A837" s="56">
        <f>_xlfn.XLOOKUP("METRÔ 15-0",Trip[trip_id],Trip[trip_id],"Não encontrado")</f>
        <v/>
      </c>
      <c r="B837" s="28" t="n">
        <v>0.2083333333333333</v>
      </c>
      <c r="C837" s="28" t="n">
        <v>0.2493055555555556</v>
      </c>
      <c r="D837" s="29" t="n">
        <v>900</v>
      </c>
    </row>
    <row r="838">
      <c r="A838" s="55">
        <f>_xlfn.XLOOKUP("METRÔ 15-0",Trip[trip_id],Trip[trip_id],"Não encontrado")</f>
        <v/>
      </c>
      <c r="B838" s="25" t="n">
        <v>0.25</v>
      </c>
      <c r="C838" s="25" t="n">
        <v>0.2909722222222222</v>
      </c>
      <c r="D838" s="26" t="n">
        <v>900</v>
      </c>
    </row>
    <row r="839">
      <c r="A839" s="56">
        <f>_xlfn.XLOOKUP("METRÔ 15-0",Trip[trip_id],Trip[trip_id],"Não encontrado")</f>
        <v/>
      </c>
      <c r="B839" s="28" t="n">
        <v>0.2916666666666667</v>
      </c>
      <c r="C839" s="28" t="n">
        <v>0.3326388888888889</v>
      </c>
      <c r="D839" s="29" t="n">
        <v>900</v>
      </c>
    </row>
    <row r="840">
      <c r="A840" s="55">
        <f>_xlfn.XLOOKUP("METRÔ 15-0",Trip[trip_id],Trip[trip_id],"Não encontrado")</f>
        <v/>
      </c>
      <c r="B840" s="25" t="n">
        <v>0.3333333333333333</v>
      </c>
      <c r="C840" s="25" t="n">
        <v>0.3743055555555556</v>
      </c>
      <c r="D840" s="26" t="n">
        <v>900</v>
      </c>
    </row>
    <row r="841">
      <c r="A841" s="56">
        <f>_xlfn.XLOOKUP("METRÔ 15-0",Trip[trip_id],Trip[trip_id],"Não encontrado")</f>
        <v/>
      </c>
      <c r="B841" s="28" t="n">
        <v>0.375</v>
      </c>
      <c r="C841" s="28" t="n">
        <v>0.4159722222222222</v>
      </c>
      <c r="D841" s="29" t="n">
        <v>900</v>
      </c>
    </row>
    <row r="842">
      <c r="A842" s="55">
        <f>_xlfn.XLOOKUP("METRÔ 15-0",Trip[trip_id],Trip[trip_id],"Não encontrado")</f>
        <v/>
      </c>
      <c r="B842" s="25" t="n">
        <v>0.4166666666666667</v>
      </c>
      <c r="C842" s="25" t="n">
        <v>0.4576388888888889</v>
      </c>
      <c r="D842" s="26" t="n">
        <v>900</v>
      </c>
    </row>
    <row r="843">
      <c r="A843" s="56">
        <f>_xlfn.XLOOKUP("METRÔ 15-0",Trip[trip_id],Trip[trip_id],"Não encontrado")</f>
        <v/>
      </c>
      <c r="B843" s="28" t="n">
        <v>0.4583333333333333</v>
      </c>
      <c r="C843" s="28" t="n">
        <v>0.4993055555555556</v>
      </c>
      <c r="D843" s="29" t="n">
        <v>900</v>
      </c>
    </row>
    <row r="844">
      <c r="A844" s="55">
        <f>_xlfn.XLOOKUP("METRÔ 15-0",Trip[trip_id],Trip[trip_id],"Não encontrado")</f>
        <v/>
      </c>
      <c r="B844" s="25" t="n">
        <v>0.5</v>
      </c>
      <c r="C844" s="25" t="n">
        <v>0.5409722222222222</v>
      </c>
      <c r="D844" s="26" t="n">
        <v>900</v>
      </c>
    </row>
    <row r="845">
      <c r="A845" s="56">
        <f>_xlfn.XLOOKUP("METRÔ 15-0",Trip[trip_id],Trip[trip_id],"Não encontrado")</f>
        <v/>
      </c>
      <c r="B845" s="28" t="n">
        <v>0.5416666666666666</v>
      </c>
      <c r="C845" s="28" t="n">
        <v>0.5826388888888889</v>
      </c>
      <c r="D845" s="29" t="n">
        <v>900</v>
      </c>
    </row>
    <row r="846">
      <c r="A846" s="55">
        <f>_xlfn.XLOOKUP("METRÔ 15-0",Trip[trip_id],Trip[trip_id],"Não encontrado")</f>
        <v/>
      </c>
      <c r="B846" s="25" t="n">
        <v>0.5833333333333334</v>
      </c>
      <c r="C846" s="25" t="n">
        <v>0.6243055555555556</v>
      </c>
      <c r="D846" s="26" t="n">
        <v>900</v>
      </c>
    </row>
    <row r="847">
      <c r="A847" s="56">
        <f>_xlfn.XLOOKUP("METRÔ 15-0",Trip[trip_id],Trip[trip_id],"Não encontrado")</f>
        <v/>
      </c>
      <c r="B847" s="28" t="n">
        <v>0.625</v>
      </c>
      <c r="C847" s="28" t="n">
        <v>0.6659722222222222</v>
      </c>
      <c r="D847" s="29" t="n">
        <v>900</v>
      </c>
    </row>
    <row r="848">
      <c r="A848" s="55">
        <f>_xlfn.XLOOKUP("METRÔ 15-0",Trip[trip_id],Trip[trip_id],"Não encontrado")</f>
        <v/>
      </c>
      <c r="B848" s="25" t="n">
        <v>0.6666666666666666</v>
      </c>
      <c r="C848" s="25" t="n">
        <v>0.7076388888888889</v>
      </c>
      <c r="D848" s="26" t="n">
        <v>900</v>
      </c>
    </row>
    <row r="849">
      <c r="A849" s="56">
        <f>_xlfn.XLOOKUP("METRÔ 15-0",Trip[trip_id],Trip[trip_id],"Não encontrado")</f>
        <v/>
      </c>
      <c r="B849" s="28" t="n">
        <v>0.7083333333333334</v>
      </c>
      <c r="C849" s="28" t="n">
        <v>0.7493055555555556</v>
      </c>
      <c r="D849" s="29" t="n">
        <v>900</v>
      </c>
    </row>
    <row r="850">
      <c r="A850" s="55">
        <f>_xlfn.XLOOKUP("METRÔ 15-0",Trip[trip_id],Trip[trip_id],"Não encontrado")</f>
        <v/>
      </c>
      <c r="B850" s="25" t="n">
        <v>0.75</v>
      </c>
      <c r="C850" s="25" t="n">
        <v>0.7909722222222222</v>
      </c>
      <c r="D850" s="26" t="n">
        <v>900</v>
      </c>
    </row>
    <row r="851">
      <c r="A851" s="56">
        <f>_xlfn.XLOOKUP("METRÔ 15-0",Trip[trip_id],Trip[trip_id],"Não encontrado")</f>
        <v/>
      </c>
      <c r="B851" s="28" t="n">
        <v>0.7916666666666666</v>
      </c>
      <c r="C851" s="28" t="n">
        <v>0.8326388888888889</v>
      </c>
      <c r="D851" s="29" t="n">
        <v>900</v>
      </c>
    </row>
    <row r="852">
      <c r="A852" s="55">
        <f>_xlfn.XLOOKUP("METRÔ 15-0",Trip[trip_id],Trip[trip_id],"Não encontrado")</f>
        <v/>
      </c>
      <c r="B852" s="25" t="n">
        <v>0.8333333333333334</v>
      </c>
      <c r="C852" s="25" t="n">
        <v>0.8743055555555556</v>
      </c>
      <c r="D852" s="26" t="n">
        <v>900</v>
      </c>
    </row>
    <row r="853">
      <c r="A853" s="56">
        <f>_xlfn.XLOOKUP("METRÔ 15-0",Trip[trip_id],Trip[trip_id],"Não encontrado")</f>
        <v/>
      </c>
      <c r="B853" s="28" t="n">
        <v>0.875</v>
      </c>
      <c r="C853" s="28" t="n">
        <v>0.9159722222222222</v>
      </c>
      <c r="D853" s="29" t="n">
        <v>900</v>
      </c>
    </row>
    <row r="854">
      <c r="A854" s="55">
        <f>_xlfn.XLOOKUP("METRÔ 15-0",Trip[trip_id],Trip[trip_id],"Não encontrado")</f>
        <v/>
      </c>
      <c r="B854" s="25" t="n">
        <v>0.9166666666666666</v>
      </c>
      <c r="C854" s="25" t="n">
        <v>0.9576388888888889</v>
      </c>
      <c r="D854" s="26" t="n">
        <v>900</v>
      </c>
    </row>
    <row r="855">
      <c r="A855" s="56">
        <f>_xlfn.XLOOKUP("METRÔ 15-0",Trip[trip_id],Trip[trip_id],"Não encontrado")</f>
        <v/>
      </c>
      <c r="B855" s="28" t="n">
        <v>0.9583333333333334</v>
      </c>
      <c r="C855" s="28" t="n">
        <v>0.9993055555555556</v>
      </c>
      <c r="D855" s="29" t="n">
        <v>900</v>
      </c>
    </row>
    <row r="856">
      <c r="A856" s="55">
        <f>_xlfn.XLOOKUP("METRÔ 15-1",Trip[trip_id],Trip[trip_id],"Não encontrado")</f>
        <v/>
      </c>
      <c r="B856" s="25" t="n">
        <v>0.1666666666666667</v>
      </c>
      <c r="C856" s="25" t="n">
        <v>0.2076388888888889</v>
      </c>
      <c r="D856" s="26" t="n">
        <v>900</v>
      </c>
    </row>
    <row r="857">
      <c r="A857" s="56">
        <f>_xlfn.XLOOKUP("METRÔ 15-1",Trip[trip_id],Trip[trip_id],"Não encontrado")</f>
        <v/>
      </c>
      <c r="B857" s="28" t="n">
        <v>0.2083333333333333</v>
      </c>
      <c r="C857" s="28" t="n">
        <v>0.2493055555555556</v>
      </c>
      <c r="D857" s="29" t="n">
        <v>900</v>
      </c>
    </row>
    <row r="858">
      <c r="A858" s="55">
        <f>_xlfn.XLOOKUP("METRÔ 15-1",Trip[trip_id],Trip[trip_id],"Não encontrado")</f>
        <v/>
      </c>
      <c r="B858" s="25" t="n">
        <v>0.25</v>
      </c>
      <c r="C858" s="25" t="n">
        <v>0.2909722222222222</v>
      </c>
      <c r="D858" s="26" t="n">
        <v>900</v>
      </c>
    </row>
    <row r="859">
      <c r="A859" s="56">
        <f>_xlfn.XLOOKUP("METRÔ 15-1",Trip[trip_id],Trip[trip_id],"Não encontrado")</f>
        <v/>
      </c>
      <c r="B859" s="28" t="n">
        <v>0.2916666666666667</v>
      </c>
      <c r="C859" s="28" t="n">
        <v>0.3326388888888889</v>
      </c>
      <c r="D859" s="29" t="n">
        <v>900</v>
      </c>
    </row>
    <row r="860">
      <c r="A860" s="55">
        <f>_xlfn.XLOOKUP("METRÔ 15-1",Trip[trip_id],Trip[trip_id],"Não encontrado")</f>
        <v/>
      </c>
      <c r="B860" s="25" t="n">
        <v>0.3333333333333333</v>
      </c>
      <c r="C860" s="25" t="n">
        <v>0.3743055555555556</v>
      </c>
      <c r="D860" s="26" t="n">
        <v>900</v>
      </c>
    </row>
    <row r="861">
      <c r="A861" s="56">
        <f>_xlfn.XLOOKUP("METRÔ 15-1",Trip[trip_id],Trip[trip_id],"Não encontrado")</f>
        <v/>
      </c>
      <c r="B861" s="28" t="n">
        <v>0.375</v>
      </c>
      <c r="C861" s="28" t="n">
        <v>0.4159722222222222</v>
      </c>
      <c r="D861" s="29" t="n">
        <v>900</v>
      </c>
    </row>
    <row r="862">
      <c r="A862" s="55">
        <f>_xlfn.XLOOKUP("METRÔ 15-1",Trip[trip_id],Trip[trip_id],"Não encontrado")</f>
        <v/>
      </c>
      <c r="B862" s="25" t="n">
        <v>0.4166666666666667</v>
      </c>
      <c r="C862" s="25" t="n">
        <v>0.4576388888888889</v>
      </c>
      <c r="D862" s="26" t="n">
        <v>900</v>
      </c>
    </row>
    <row r="863">
      <c r="A863" s="56">
        <f>_xlfn.XLOOKUP("METRÔ 15-1",Trip[trip_id],Trip[trip_id],"Não encontrado")</f>
        <v/>
      </c>
      <c r="B863" s="28" t="n">
        <v>0.4583333333333333</v>
      </c>
      <c r="C863" s="28" t="n">
        <v>0.4993055555555556</v>
      </c>
      <c r="D863" s="29" t="n">
        <v>900</v>
      </c>
    </row>
    <row r="864">
      <c r="A864" s="55">
        <f>_xlfn.XLOOKUP("METRÔ 15-1",Trip[trip_id],Trip[trip_id],"Não encontrado")</f>
        <v/>
      </c>
      <c r="B864" s="25" t="n">
        <v>0.5</v>
      </c>
      <c r="C864" s="25" t="n">
        <v>0.5409722222222222</v>
      </c>
      <c r="D864" s="26" t="n">
        <v>900</v>
      </c>
    </row>
    <row r="865">
      <c r="A865" s="56">
        <f>_xlfn.XLOOKUP("METRÔ 15-1",Trip[trip_id],Trip[trip_id],"Não encontrado")</f>
        <v/>
      </c>
      <c r="B865" s="28" t="n">
        <v>0.5416666666666666</v>
      </c>
      <c r="C865" s="28" t="n">
        <v>0.5826388888888889</v>
      </c>
      <c r="D865" s="29" t="n">
        <v>900</v>
      </c>
    </row>
    <row r="866">
      <c r="A866" s="55">
        <f>_xlfn.XLOOKUP("METRÔ 15-1",Trip[trip_id],Trip[trip_id],"Não encontrado")</f>
        <v/>
      </c>
      <c r="B866" s="25" t="n">
        <v>0.5833333333333334</v>
      </c>
      <c r="C866" s="25" t="n">
        <v>0.6243055555555556</v>
      </c>
      <c r="D866" s="26" t="n">
        <v>900</v>
      </c>
    </row>
    <row r="867">
      <c r="A867" s="56">
        <f>_xlfn.XLOOKUP("METRÔ 15-1",Trip[trip_id],Trip[trip_id],"Não encontrado")</f>
        <v/>
      </c>
      <c r="B867" s="28" t="n">
        <v>0.625</v>
      </c>
      <c r="C867" s="28" t="n">
        <v>0.6659722222222222</v>
      </c>
      <c r="D867" s="29" t="n">
        <v>900</v>
      </c>
    </row>
    <row r="868">
      <c r="A868" s="55">
        <f>_xlfn.XLOOKUP("METRÔ 15-1",Trip[trip_id],Trip[trip_id],"Não encontrado")</f>
        <v/>
      </c>
      <c r="B868" s="25" t="n">
        <v>0.6666666666666666</v>
      </c>
      <c r="C868" s="25" t="n">
        <v>0.7076388888888889</v>
      </c>
      <c r="D868" s="26" t="n">
        <v>900</v>
      </c>
    </row>
    <row r="869">
      <c r="A869" s="56">
        <f>_xlfn.XLOOKUP("METRÔ 15-1",Trip[trip_id],Trip[trip_id],"Não encontrado")</f>
        <v/>
      </c>
      <c r="B869" s="28" t="n">
        <v>0.7083333333333334</v>
      </c>
      <c r="C869" s="28" t="n">
        <v>0.7493055555555556</v>
      </c>
      <c r="D869" s="29" t="n">
        <v>900</v>
      </c>
    </row>
    <row r="870">
      <c r="A870" s="55">
        <f>_xlfn.XLOOKUP("METRÔ 15-1",Trip[trip_id],Trip[trip_id],"Não encontrado")</f>
        <v/>
      </c>
      <c r="B870" s="25" t="n">
        <v>0.75</v>
      </c>
      <c r="C870" s="25" t="n">
        <v>0.7909722222222222</v>
      </c>
      <c r="D870" s="26" t="n">
        <v>900</v>
      </c>
    </row>
    <row r="871">
      <c r="A871" s="56">
        <f>_xlfn.XLOOKUP("METRÔ 15-1",Trip[trip_id],Trip[trip_id],"Não encontrado")</f>
        <v/>
      </c>
      <c r="B871" s="28" t="n">
        <v>0.7916666666666666</v>
      </c>
      <c r="C871" s="28" t="n">
        <v>0.8326388888888889</v>
      </c>
      <c r="D871" s="29" t="n">
        <v>900</v>
      </c>
    </row>
    <row r="872">
      <c r="A872" s="55">
        <f>_xlfn.XLOOKUP("METRÔ 15-1",Trip[trip_id],Trip[trip_id],"Não encontrado")</f>
        <v/>
      </c>
      <c r="B872" s="25" t="n">
        <v>0.8333333333333334</v>
      </c>
      <c r="C872" s="25" t="n">
        <v>0.8743055555555556</v>
      </c>
      <c r="D872" s="26" t="n">
        <v>900</v>
      </c>
    </row>
    <row r="873">
      <c r="A873" s="56">
        <f>_xlfn.XLOOKUP("METRÔ 15-1",Trip[trip_id],Trip[trip_id],"Não encontrado")</f>
        <v/>
      </c>
      <c r="B873" s="28" t="n">
        <v>0.875</v>
      </c>
      <c r="C873" s="28" t="n">
        <v>0.9159722222222222</v>
      </c>
      <c r="D873" s="29" t="n">
        <v>900</v>
      </c>
    </row>
    <row r="874">
      <c r="A874" s="55">
        <f>_xlfn.XLOOKUP("METRÔ 15-1",Trip[trip_id],Trip[trip_id],"Não encontrado")</f>
        <v/>
      </c>
      <c r="B874" s="25" t="n">
        <v>0.9166666666666666</v>
      </c>
      <c r="C874" s="25" t="n">
        <v>0.9576388888888889</v>
      </c>
      <c r="D874" s="26" t="n">
        <v>900</v>
      </c>
    </row>
    <row r="875">
      <c r="A875" s="56">
        <f>_xlfn.XLOOKUP("METRÔ 15-1",Trip[trip_id],Trip[trip_id],"Não encontrado")</f>
        <v/>
      </c>
      <c r="B875" s="28" t="n">
        <v>0.9583333333333334</v>
      </c>
      <c r="C875" s="28" t="n">
        <v>0.9993055555555556</v>
      </c>
      <c r="D875" s="29" t="n">
        <v>900</v>
      </c>
    </row>
    <row r="876">
      <c r="A876" s="55">
        <f>_xlfn.XLOOKUP("METRÔ L1-0",Trip[trip_id],Trip[trip_id],"Não encontrado")</f>
        <v/>
      </c>
      <c r="B876" s="25" t="n">
        <v>0.1666666666666667</v>
      </c>
      <c r="C876" s="25" t="n">
        <v>0.2076388888888889</v>
      </c>
      <c r="D876" s="26" t="n">
        <v>900</v>
      </c>
    </row>
    <row r="877">
      <c r="A877" s="56">
        <f>_xlfn.XLOOKUP("METRÔ L1-0",Trip[trip_id],Trip[trip_id],"Não encontrado")</f>
        <v/>
      </c>
      <c r="B877" s="28" t="n">
        <v>0.2083333333333333</v>
      </c>
      <c r="C877" s="28" t="n">
        <v>0.2493055555555556</v>
      </c>
      <c r="D877" s="29" t="n">
        <v>180</v>
      </c>
    </row>
    <row r="878">
      <c r="A878" s="55">
        <f>_xlfn.XLOOKUP("METRÔ L1-0",Trip[trip_id],Trip[trip_id],"Não encontrado")</f>
        <v/>
      </c>
      <c r="B878" s="25" t="n">
        <v>0.25</v>
      </c>
      <c r="C878" s="25" t="n">
        <v>0.2909722222222222</v>
      </c>
      <c r="D878" s="26" t="n">
        <v>120</v>
      </c>
    </row>
    <row r="879">
      <c r="A879" s="56">
        <f>_xlfn.XLOOKUP("METRÔ L1-0",Trip[trip_id],Trip[trip_id],"Não encontrado")</f>
        <v/>
      </c>
      <c r="B879" s="28" t="n">
        <v>0.2916666666666667</v>
      </c>
      <c r="C879" s="28" t="n">
        <v>0.3326388888888889</v>
      </c>
      <c r="D879" s="29" t="n">
        <v>60</v>
      </c>
    </row>
    <row r="880">
      <c r="A880" s="55">
        <f>_xlfn.XLOOKUP("METRÔ L1-0",Trip[trip_id],Trip[trip_id],"Não encontrado")</f>
        <v/>
      </c>
      <c r="B880" s="25" t="n">
        <v>0.3333333333333333</v>
      </c>
      <c r="C880" s="25" t="n">
        <v>0.3743055555555556</v>
      </c>
      <c r="D880" s="26" t="n">
        <v>60</v>
      </c>
    </row>
    <row r="881">
      <c r="A881" s="56">
        <f>_xlfn.XLOOKUP("METRÔ L1-0",Trip[trip_id],Trip[trip_id],"Não encontrado")</f>
        <v/>
      </c>
      <c r="B881" s="28" t="n">
        <v>0.375</v>
      </c>
      <c r="C881" s="28" t="n">
        <v>0.4159722222222222</v>
      </c>
      <c r="D881" s="29" t="n">
        <v>120</v>
      </c>
    </row>
    <row r="882">
      <c r="A882" s="55">
        <f>_xlfn.XLOOKUP("METRÔ L1-0",Trip[trip_id],Trip[trip_id],"Não encontrado")</f>
        <v/>
      </c>
      <c r="B882" s="25" t="n">
        <v>0.4166666666666667</v>
      </c>
      <c r="C882" s="25" t="n">
        <v>0.4576388888888889</v>
      </c>
      <c r="D882" s="26" t="n">
        <v>120</v>
      </c>
    </row>
    <row r="883">
      <c r="A883" s="56">
        <f>_xlfn.XLOOKUP("METRÔ L1-0",Trip[trip_id],Trip[trip_id],"Não encontrado")</f>
        <v/>
      </c>
      <c r="B883" s="28" t="n">
        <v>0.4583333333333333</v>
      </c>
      <c r="C883" s="28" t="n">
        <v>0.4993055555555556</v>
      </c>
      <c r="D883" s="29" t="n">
        <v>120</v>
      </c>
    </row>
    <row r="884">
      <c r="A884" s="55">
        <f>_xlfn.XLOOKUP("METRÔ L1-0",Trip[trip_id],Trip[trip_id],"Não encontrado")</f>
        <v/>
      </c>
      <c r="B884" s="25" t="n">
        <v>0.5</v>
      </c>
      <c r="C884" s="25" t="n">
        <v>0.5409722222222222</v>
      </c>
      <c r="D884" s="26" t="n">
        <v>120</v>
      </c>
    </row>
    <row r="885">
      <c r="A885" s="56">
        <f>_xlfn.XLOOKUP("METRÔ L1-0",Trip[trip_id],Trip[trip_id],"Não encontrado")</f>
        <v/>
      </c>
      <c r="B885" s="28" t="n">
        <v>0.5416666666666666</v>
      </c>
      <c r="C885" s="28" t="n">
        <v>0.5826388888888889</v>
      </c>
      <c r="D885" s="29" t="n">
        <v>120</v>
      </c>
    </row>
    <row r="886">
      <c r="A886" s="55">
        <f>_xlfn.XLOOKUP("METRÔ L1-0",Trip[trip_id],Trip[trip_id],"Não encontrado")</f>
        <v/>
      </c>
      <c r="B886" s="25" t="n">
        <v>0.5833333333333334</v>
      </c>
      <c r="C886" s="25" t="n">
        <v>0.6243055555555556</v>
      </c>
      <c r="D886" s="26" t="n">
        <v>120</v>
      </c>
    </row>
    <row r="887">
      <c r="A887" s="56">
        <f>_xlfn.XLOOKUP("METRÔ L1-0",Trip[trip_id],Trip[trip_id],"Não encontrado")</f>
        <v/>
      </c>
      <c r="B887" s="28" t="n">
        <v>0.625</v>
      </c>
      <c r="C887" s="28" t="n">
        <v>0.6659722222222222</v>
      </c>
      <c r="D887" s="29" t="n">
        <v>120</v>
      </c>
    </row>
    <row r="888">
      <c r="A888" s="55">
        <f>_xlfn.XLOOKUP("METRÔ L1-0",Trip[trip_id],Trip[trip_id],"Não encontrado")</f>
        <v/>
      </c>
      <c r="B888" s="25" t="n">
        <v>0.6666666666666666</v>
      </c>
      <c r="C888" s="25" t="n">
        <v>0.7076388888888889</v>
      </c>
      <c r="D888" s="26" t="n">
        <v>60</v>
      </c>
    </row>
    <row r="889">
      <c r="A889" s="56">
        <f>_xlfn.XLOOKUP("METRÔ L1-0",Trip[trip_id],Trip[trip_id],"Não encontrado")</f>
        <v/>
      </c>
      <c r="B889" s="28" t="n">
        <v>0.7083333333333334</v>
      </c>
      <c r="C889" s="28" t="n">
        <v>0.7493055555555556</v>
      </c>
      <c r="D889" s="29" t="n">
        <v>60</v>
      </c>
    </row>
    <row r="890">
      <c r="A890" s="55">
        <f>_xlfn.XLOOKUP("METRÔ L1-0",Trip[trip_id],Trip[trip_id],"Não encontrado")</f>
        <v/>
      </c>
      <c r="B890" s="25" t="n">
        <v>0.75</v>
      </c>
      <c r="C890" s="25" t="n">
        <v>0.7909722222222222</v>
      </c>
      <c r="D890" s="26" t="n">
        <v>60</v>
      </c>
    </row>
    <row r="891">
      <c r="A891" s="56">
        <f>_xlfn.XLOOKUP("METRÔ L1-0",Trip[trip_id],Trip[trip_id],"Não encontrado")</f>
        <v/>
      </c>
      <c r="B891" s="28" t="n">
        <v>0.7916666666666666</v>
      </c>
      <c r="C891" s="28" t="n">
        <v>0.8326388888888889</v>
      </c>
      <c r="D891" s="29" t="n">
        <v>60</v>
      </c>
    </row>
    <row r="892">
      <c r="A892" s="55">
        <f>_xlfn.XLOOKUP("METRÔ L1-0",Trip[trip_id],Trip[trip_id],"Não encontrado")</f>
        <v/>
      </c>
      <c r="B892" s="25" t="n">
        <v>0.8333333333333334</v>
      </c>
      <c r="C892" s="25" t="n">
        <v>0.8743055555555556</v>
      </c>
      <c r="D892" s="26" t="n">
        <v>120</v>
      </c>
    </row>
    <row r="893">
      <c r="A893" s="56">
        <f>_xlfn.XLOOKUP("METRÔ L1-0",Trip[trip_id],Trip[trip_id],"Não encontrado")</f>
        <v/>
      </c>
      <c r="B893" s="28" t="n">
        <v>0.875</v>
      </c>
      <c r="C893" s="28" t="n">
        <v>0.9159722222222222</v>
      </c>
      <c r="D893" s="29" t="n">
        <v>120</v>
      </c>
    </row>
    <row r="894">
      <c r="A894" s="55">
        <f>_xlfn.XLOOKUP("METRÔ L1-0",Trip[trip_id],Trip[trip_id],"Não encontrado")</f>
        <v/>
      </c>
      <c r="B894" s="25" t="n">
        <v>0.9166666666666666</v>
      </c>
      <c r="C894" s="25" t="n">
        <v>0.9576388888888889</v>
      </c>
      <c r="D894" s="26" t="n">
        <v>180</v>
      </c>
    </row>
    <row r="895">
      <c r="A895" s="56">
        <f>_xlfn.XLOOKUP("METRÔ L1-0",Trip[trip_id],Trip[trip_id],"Não encontrado")</f>
        <v/>
      </c>
      <c r="B895" s="28" t="n">
        <v>0.9583333333333334</v>
      </c>
      <c r="C895" s="28" t="n">
        <v>0.9993055555555556</v>
      </c>
      <c r="D895" s="29" t="n">
        <v>300</v>
      </c>
    </row>
    <row r="896">
      <c r="A896" s="55">
        <f>_xlfn.XLOOKUP("METRÔ L1-1",Trip[trip_id],Trip[trip_id],"Não encontrado")</f>
        <v/>
      </c>
      <c r="B896" s="25" t="n">
        <v>0.1666666666666667</v>
      </c>
      <c r="C896" s="25" t="n">
        <v>0.2076388888888889</v>
      </c>
      <c r="D896" s="26" t="n">
        <v>900</v>
      </c>
    </row>
    <row r="897">
      <c r="A897" s="56">
        <f>_xlfn.XLOOKUP("METRÔ L1-1",Trip[trip_id],Trip[trip_id],"Não encontrado")</f>
        <v/>
      </c>
      <c r="B897" s="28" t="n">
        <v>0.2083333333333333</v>
      </c>
      <c r="C897" s="28" t="n">
        <v>0.2493055555555556</v>
      </c>
      <c r="D897" s="29" t="n">
        <v>180</v>
      </c>
    </row>
    <row r="898">
      <c r="A898" s="55">
        <f>_xlfn.XLOOKUP("METRÔ L1-1",Trip[trip_id],Trip[trip_id],"Não encontrado")</f>
        <v/>
      </c>
      <c r="B898" s="25" t="n">
        <v>0.25</v>
      </c>
      <c r="C898" s="25" t="n">
        <v>0.2909722222222222</v>
      </c>
      <c r="D898" s="26" t="n">
        <v>120</v>
      </c>
    </row>
    <row r="899">
      <c r="A899" s="56">
        <f>_xlfn.XLOOKUP("METRÔ L1-1",Trip[trip_id],Trip[trip_id],"Não encontrado")</f>
        <v/>
      </c>
      <c r="B899" s="28" t="n">
        <v>0.2916666666666667</v>
      </c>
      <c r="C899" s="28" t="n">
        <v>0.3326388888888889</v>
      </c>
      <c r="D899" s="29" t="n">
        <v>60</v>
      </c>
    </row>
    <row r="900">
      <c r="A900" s="55">
        <f>_xlfn.XLOOKUP("METRÔ L1-1",Trip[trip_id],Trip[trip_id],"Não encontrado")</f>
        <v/>
      </c>
      <c r="B900" s="25" t="n">
        <v>0.3333333333333333</v>
      </c>
      <c r="C900" s="25" t="n">
        <v>0.3743055555555556</v>
      </c>
      <c r="D900" s="26" t="n">
        <v>60</v>
      </c>
    </row>
    <row r="901">
      <c r="A901" s="56">
        <f>_xlfn.XLOOKUP("METRÔ L1-1",Trip[trip_id],Trip[trip_id],"Não encontrado")</f>
        <v/>
      </c>
      <c r="B901" s="28" t="n">
        <v>0.375</v>
      </c>
      <c r="C901" s="28" t="n">
        <v>0.4159722222222222</v>
      </c>
      <c r="D901" s="29" t="n">
        <v>120</v>
      </c>
    </row>
    <row r="902">
      <c r="A902" s="55">
        <f>_xlfn.XLOOKUP("METRÔ L1-1",Trip[trip_id],Trip[trip_id],"Não encontrado")</f>
        <v/>
      </c>
      <c r="B902" s="25" t="n">
        <v>0.4166666666666667</v>
      </c>
      <c r="C902" s="25" t="n">
        <v>0.4576388888888889</v>
      </c>
      <c r="D902" s="26" t="n">
        <v>120</v>
      </c>
    </row>
    <row r="903">
      <c r="A903" s="56">
        <f>_xlfn.XLOOKUP("METRÔ L1-1",Trip[trip_id],Trip[trip_id],"Não encontrado")</f>
        <v/>
      </c>
      <c r="B903" s="28" t="n">
        <v>0.4583333333333333</v>
      </c>
      <c r="C903" s="28" t="n">
        <v>0.4993055555555556</v>
      </c>
      <c r="D903" s="29" t="n">
        <v>120</v>
      </c>
    </row>
    <row r="904">
      <c r="A904" s="55">
        <f>_xlfn.XLOOKUP("METRÔ L1-1",Trip[trip_id],Trip[trip_id],"Não encontrado")</f>
        <v/>
      </c>
      <c r="B904" s="25" t="n">
        <v>0.5</v>
      </c>
      <c r="C904" s="25" t="n">
        <v>0.5409722222222222</v>
      </c>
      <c r="D904" s="26" t="n">
        <v>120</v>
      </c>
    </row>
    <row r="905">
      <c r="A905" s="56">
        <f>_xlfn.XLOOKUP("METRÔ L1-1",Trip[trip_id],Trip[trip_id],"Não encontrado")</f>
        <v/>
      </c>
      <c r="B905" s="28" t="n">
        <v>0.5416666666666666</v>
      </c>
      <c r="C905" s="28" t="n">
        <v>0.5826388888888889</v>
      </c>
      <c r="D905" s="29" t="n">
        <v>120</v>
      </c>
    </row>
    <row r="906">
      <c r="A906" s="55">
        <f>_xlfn.XLOOKUP("METRÔ L1-1",Trip[trip_id],Trip[trip_id],"Não encontrado")</f>
        <v/>
      </c>
      <c r="B906" s="25" t="n">
        <v>0.5833333333333334</v>
      </c>
      <c r="C906" s="25" t="n">
        <v>0.6243055555555556</v>
      </c>
      <c r="D906" s="26" t="n">
        <v>120</v>
      </c>
    </row>
    <row r="907">
      <c r="A907" s="56">
        <f>_xlfn.XLOOKUP("METRÔ L1-1",Trip[trip_id],Trip[trip_id],"Não encontrado")</f>
        <v/>
      </c>
      <c r="B907" s="28" t="n">
        <v>0.625</v>
      </c>
      <c r="C907" s="28" t="n">
        <v>0.6659722222222222</v>
      </c>
      <c r="D907" s="29" t="n">
        <v>120</v>
      </c>
    </row>
    <row r="908">
      <c r="A908" s="55">
        <f>_xlfn.XLOOKUP("METRÔ L1-1",Trip[trip_id],Trip[trip_id],"Não encontrado")</f>
        <v/>
      </c>
      <c r="B908" s="25" t="n">
        <v>0.6666666666666666</v>
      </c>
      <c r="C908" s="25" t="n">
        <v>0.7076388888888889</v>
      </c>
      <c r="D908" s="26" t="n">
        <v>60</v>
      </c>
    </row>
    <row r="909">
      <c r="A909" s="56">
        <f>_xlfn.XLOOKUP("METRÔ L1-1",Trip[trip_id],Trip[trip_id],"Não encontrado")</f>
        <v/>
      </c>
      <c r="B909" s="28" t="n">
        <v>0.7083333333333334</v>
      </c>
      <c r="C909" s="28" t="n">
        <v>0.7493055555555556</v>
      </c>
      <c r="D909" s="29" t="n">
        <v>60</v>
      </c>
    </row>
    <row r="910">
      <c r="A910" s="55">
        <f>_xlfn.XLOOKUP("METRÔ L1-1",Trip[trip_id],Trip[trip_id],"Não encontrado")</f>
        <v/>
      </c>
      <c r="B910" s="25" t="n">
        <v>0.75</v>
      </c>
      <c r="C910" s="25" t="n">
        <v>0.7909722222222222</v>
      </c>
      <c r="D910" s="26" t="n">
        <v>60</v>
      </c>
    </row>
    <row r="911">
      <c r="A911" s="56">
        <f>_xlfn.XLOOKUP("METRÔ L1-1",Trip[trip_id],Trip[trip_id],"Não encontrado")</f>
        <v/>
      </c>
      <c r="B911" s="28" t="n">
        <v>0.7916666666666666</v>
      </c>
      <c r="C911" s="28" t="n">
        <v>0.8326388888888889</v>
      </c>
      <c r="D911" s="29" t="n">
        <v>60</v>
      </c>
    </row>
    <row r="912">
      <c r="A912" s="55">
        <f>_xlfn.XLOOKUP("METRÔ L1-1",Trip[trip_id],Trip[trip_id],"Não encontrado")</f>
        <v/>
      </c>
      <c r="B912" s="25" t="n">
        <v>0.8333333333333334</v>
      </c>
      <c r="C912" s="25" t="n">
        <v>0.8743055555555556</v>
      </c>
      <c r="D912" s="26" t="n">
        <v>120</v>
      </c>
    </row>
    <row r="913">
      <c r="A913" s="56">
        <f>_xlfn.XLOOKUP("METRÔ L1-1",Trip[trip_id],Trip[trip_id],"Não encontrado")</f>
        <v/>
      </c>
      <c r="B913" s="28" t="n">
        <v>0.875</v>
      </c>
      <c r="C913" s="28" t="n">
        <v>0.9159722222222222</v>
      </c>
      <c r="D913" s="29" t="n">
        <v>120</v>
      </c>
    </row>
    <row r="914">
      <c r="A914" s="55">
        <f>_xlfn.XLOOKUP("METRÔ L1-1",Trip[trip_id],Trip[trip_id],"Não encontrado")</f>
        <v/>
      </c>
      <c r="B914" s="25" t="n">
        <v>0.9166666666666666</v>
      </c>
      <c r="C914" s="25" t="n">
        <v>0.9576388888888889</v>
      </c>
      <c r="D914" s="26" t="n">
        <v>180</v>
      </c>
    </row>
    <row r="915">
      <c r="A915" s="56">
        <f>_xlfn.XLOOKUP("METRÔ L1-1",Trip[trip_id],Trip[trip_id],"Não encontrado")</f>
        <v/>
      </c>
      <c r="B915" s="28" t="n">
        <v>0.9583333333333334</v>
      </c>
      <c r="C915" s="28" t="n">
        <v>0.9993055555555556</v>
      </c>
      <c r="D915" s="29" t="n">
        <v>300</v>
      </c>
    </row>
    <row r="916">
      <c r="A916" s="55">
        <f>_xlfn.XLOOKUP("METRÔ L2-0",Trip[trip_id],Trip[trip_id],"Não encontrado")</f>
        <v/>
      </c>
      <c r="B916" s="25" t="n">
        <v>0.1666666666666667</v>
      </c>
      <c r="C916" s="25" t="n">
        <v>0.2076388888888889</v>
      </c>
      <c r="D916" s="26" t="n">
        <v>900</v>
      </c>
    </row>
    <row r="917">
      <c r="A917" s="56">
        <f>_xlfn.XLOOKUP("METRÔ L2-0",Trip[trip_id],Trip[trip_id],"Não encontrado")</f>
        <v/>
      </c>
      <c r="B917" s="28" t="n">
        <v>0.2083333333333333</v>
      </c>
      <c r="C917" s="28" t="n">
        <v>0.2493055555555556</v>
      </c>
      <c r="D917" s="29" t="n">
        <v>180</v>
      </c>
    </row>
    <row r="918">
      <c r="A918" s="55">
        <f>_xlfn.XLOOKUP("METRÔ L2-0",Trip[trip_id],Trip[trip_id],"Não encontrado")</f>
        <v/>
      </c>
      <c r="B918" s="25" t="n">
        <v>0.25</v>
      </c>
      <c r="C918" s="25" t="n">
        <v>0.2909722222222222</v>
      </c>
      <c r="D918" s="26" t="n">
        <v>120</v>
      </c>
    </row>
    <row r="919">
      <c r="A919" s="56">
        <f>_xlfn.XLOOKUP("METRÔ L2-0",Trip[trip_id],Trip[trip_id],"Não encontrado")</f>
        <v/>
      </c>
      <c r="B919" s="28" t="n">
        <v>0.2916666666666667</v>
      </c>
      <c r="C919" s="28" t="n">
        <v>0.3326388888888889</v>
      </c>
      <c r="D919" s="29" t="n">
        <v>60</v>
      </c>
    </row>
    <row r="920">
      <c r="A920" s="55">
        <f>_xlfn.XLOOKUP("METRÔ L2-0",Trip[trip_id],Trip[trip_id],"Não encontrado")</f>
        <v/>
      </c>
      <c r="B920" s="25" t="n">
        <v>0.3333333333333333</v>
      </c>
      <c r="C920" s="25" t="n">
        <v>0.3743055555555556</v>
      </c>
      <c r="D920" s="26" t="n">
        <v>60</v>
      </c>
    </row>
    <row r="921">
      <c r="A921" s="56">
        <f>_xlfn.XLOOKUP("METRÔ L2-0",Trip[trip_id],Trip[trip_id],"Não encontrado")</f>
        <v/>
      </c>
      <c r="B921" s="28" t="n">
        <v>0.375</v>
      </c>
      <c r="C921" s="28" t="n">
        <v>0.4159722222222222</v>
      </c>
      <c r="D921" s="29" t="n">
        <v>120</v>
      </c>
    </row>
    <row r="922">
      <c r="A922" s="55">
        <f>_xlfn.XLOOKUP("METRÔ L2-0",Trip[trip_id],Trip[trip_id],"Não encontrado")</f>
        <v/>
      </c>
      <c r="B922" s="25" t="n">
        <v>0.4166666666666667</v>
      </c>
      <c r="C922" s="25" t="n">
        <v>0.4576388888888889</v>
      </c>
      <c r="D922" s="26" t="n">
        <v>120</v>
      </c>
    </row>
    <row r="923">
      <c r="A923" s="56">
        <f>_xlfn.XLOOKUP("METRÔ L2-0",Trip[trip_id],Trip[trip_id],"Não encontrado")</f>
        <v/>
      </c>
      <c r="B923" s="28" t="n">
        <v>0.4583333333333333</v>
      </c>
      <c r="C923" s="28" t="n">
        <v>0.4993055555555556</v>
      </c>
      <c r="D923" s="29" t="n">
        <v>120</v>
      </c>
    </row>
    <row r="924">
      <c r="A924" s="55">
        <f>_xlfn.XLOOKUP("METRÔ L2-0",Trip[trip_id],Trip[trip_id],"Não encontrado")</f>
        <v/>
      </c>
      <c r="B924" s="25" t="n">
        <v>0.5</v>
      </c>
      <c r="C924" s="25" t="n">
        <v>0.5409722222222222</v>
      </c>
      <c r="D924" s="26" t="n">
        <v>120</v>
      </c>
    </row>
    <row r="925">
      <c r="A925" s="56">
        <f>_xlfn.XLOOKUP("METRÔ L2-0",Trip[trip_id],Trip[trip_id],"Não encontrado")</f>
        <v/>
      </c>
      <c r="B925" s="28" t="n">
        <v>0.5416666666666666</v>
      </c>
      <c r="C925" s="28" t="n">
        <v>0.5826388888888889</v>
      </c>
      <c r="D925" s="29" t="n">
        <v>120</v>
      </c>
    </row>
    <row r="926">
      <c r="A926" s="55">
        <f>_xlfn.XLOOKUP("METRÔ L2-0",Trip[trip_id],Trip[trip_id],"Não encontrado")</f>
        <v/>
      </c>
      <c r="B926" s="25" t="n">
        <v>0.5833333333333334</v>
      </c>
      <c r="C926" s="25" t="n">
        <v>0.6243055555555556</v>
      </c>
      <c r="D926" s="26" t="n">
        <v>120</v>
      </c>
    </row>
    <row r="927">
      <c r="A927" s="56">
        <f>_xlfn.XLOOKUP("METRÔ L2-0",Trip[trip_id],Trip[trip_id],"Não encontrado")</f>
        <v/>
      </c>
      <c r="B927" s="28" t="n">
        <v>0.625</v>
      </c>
      <c r="C927" s="28" t="n">
        <v>0.6659722222222222</v>
      </c>
      <c r="D927" s="29" t="n">
        <v>120</v>
      </c>
    </row>
    <row r="928">
      <c r="A928" s="55">
        <f>_xlfn.XLOOKUP("METRÔ L2-0",Trip[trip_id],Trip[trip_id],"Não encontrado")</f>
        <v/>
      </c>
      <c r="B928" s="25" t="n">
        <v>0.6666666666666666</v>
      </c>
      <c r="C928" s="25" t="n">
        <v>0.7076388888888889</v>
      </c>
      <c r="D928" s="26" t="n">
        <v>120</v>
      </c>
    </row>
    <row r="929">
      <c r="A929" s="56">
        <f>_xlfn.XLOOKUP("METRÔ L2-0",Trip[trip_id],Trip[trip_id],"Não encontrado")</f>
        <v/>
      </c>
      <c r="B929" s="28" t="n">
        <v>0.7083333333333334</v>
      </c>
      <c r="C929" s="28" t="n">
        <v>0.7493055555555556</v>
      </c>
      <c r="D929" s="29" t="n">
        <v>60</v>
      </c>
    </row>
    <row r="930">
      <c r="A930" s="55">
        <f>_xlfn.XLOOKUP("METRÔ L2-0",Trip[trip_id],Trip[trip_id],"Não encontrado")</f>
        <v/>
      </c>
      <c r="B930" s="25" t="n">
        <v>0.75</v>
      </c>
      <c r="C930" s="25" t="n">
        <v>0.7909722222222222</v>
      </c>
      <c r="D930" s="26" t="n">
        <v>60</v>
      </c>
    </row>
    <row r="931">
      <c r="A931" s="56">
        <f>_xlfn.XLOOKUP("METRÔ L2-0",Trip[trip_id],Trip[trip_id],"Não encontrado")</f>
        <v/>
      </c>
      <c r="B931" s="28" t="n">
        <v>0.7916666666666666</v>
      </c>
      <c r="C931" s="28" t="n">
        <v>0.8326388888888889</v>
      </c>
      <c r="D931" s="29" t="n">
        <v>60</v>
      </c>
    </row>
    <row r="932">
      <c r="A932" s="55">
        <f>_xlfn.XLOOKUP("METRÔ L2-0",Trip[trip_id],Trip[trip_id],"Não encontrado")</f>
        <v/>
      </c>
      <c r="B932" s="25" t="n">
        <v>0.8333333333333334</v>
      </c>
      <c r="C932" s="25" t="n">
        <v>0.8743055555555556</v>
      </c>
      <c r="D932" s="26" t="n">
        <v>120</v>
      </c>
    </row>
    <row r="933">
      <c r="A933" s="56">
        <f>_xlfn.XLOOKUP("METRÔ L2-0",Trip[trip_id],Trip[trip_id],"Não encontrado")</f>
        <v/>
      </c>
      <c r="B933" s="28" t="n">
        <v>0.875</v>
      </c>
      <c r="C933" s="28" t="n">
        <v>0.9159722222222222</v>
      </c>
      <c r="D933" s="29" t="n">
        <v>120</v>
      </c>
    </row>
    <row r="934">
      <c r="A934" s="55">
        <f>_xlfn.XLOOKUP("METRÔ L2-0",Trip[trip_id],Trip[trip_id],"Não encontrado")</f>
        <v/>
      </c>
      <c r="B934" s="25" t="n">
        <v>0.9166666666666666</v>
      </c>
      <c r="C934" s="25" t="n">
        <v>0.9576388888888889</v>
      </c>
      <c r="D934" s="26" t="n">
        <v>180</v>
      </c>
    </row>
    <row r="935">
      <c r="A935" s="56">
        <f>_xlfn.XLOOKUP("METRÔ L2-0",Trip[trip_id],Trip[trip_id],"Não encontrado")</f>
        <v/>
      </c>
      <c r="B935" s="28" t="n">
        <v>0.9583333333333334</v>
      </c>
      <c r="C935" s="28" t="n">
        <v>0.9993055555555556</v>
      </c>
      <c r="D935" s="29" t="n">
        <v>300</v>
      </c>
    </row>
    <row r="936">
      <c r="A936" s="55">
        <f>_xlfn.XLOOKUP("METRÔ L2-1",Trip[trip_id],Trip[trip_id],"Não encontrado")</f>
        <v/>
      </c>
      <c r="B936" s="25" t="n">
        <v>0.1666666666666667</v>
      </c>
      <c r="C936" s="25" t="n">
        <v>0.2076388888888889</v>
      </c>
      <c r="D936" s="26" t="n">
        <v>900</v>
      </c>
    </row>
    <row r="937">
      <c r="A937" s="56">
        <f>_xlfn.XLOOKUP("METRÔ L2-1",Trip[trip_id],Trip[trip_id],"Não encontrado")</f>
        <v/>
      </c>
      <c r="B937" s="28" t="n">
        <v>0.2083333333333333</v>
      </c>
      <c r="C937" s="28" t="n">
        <v>0.2493055555555556</v>
      </c>
      <c r="D937" s="29" t="n">
        <v>180</v>
      </c>
    </row>
    <row r="938">
      <c r="A938" s="55">
        <f>_xlfn.XLOOKUP("METRÔ L2-1",Trip[trip_id],Trip[trip_id],"Não encontrado")</f>
        <v/>
      </c>
      <c r="B938" s="25" t="n">
        <v>0.25</v>
      </c>
      <c r="C938" s="25" t="n">
        <v>0.2909722222222222</v>
      </c>
      <c r="D938" s="26" t="n">
        <v>120</v>
      </c>
    </row>
    <row r="939">
      <c r="A939" s="56">
        <f>_xlfn.XLOOKUP("METRÔ L2-1",Trip[trip_id],Trip[trip_id],"Não encontrado")</f>
        <v/>
      </c>
      <c r="B939" s="28" t="n">
        <v>0.2916666666666667</v>
      </c>
      <c r="C939" s="28" t="n">
        <v>0.3326388888888889</v>
      </c>
      <c r="D939" s="29" t="n">
        <v>60</v>
      </c>
    </row>
    <row r="940">
      <c r="A940" s="55">
        <f>_xlfn.XLOOKUP("METRÔ L2-1",Trip[trip_id],Trip[trip_id],"Não encontrado")</f>
        <v/>
      </c>
      <c r="B940" s="25" t="n">
        <v>0.3333333333333333</v>
      </c>
      <c r="C940" s="25" t="n">
        <v>0.3743055555555556</v>
      </c>
      <c r="D940" s="26" t="n">
        <v>60</v>
      </c>
    </row>
    <row r="941">
      <c r="A941" s="56">
        <f>_xlfn.XLOOKUP("METRÔ L2-1",Trip[trip_id],Trip[trip_id],"Não encontrado")</f>
        <v/>
      </c>
      <c r="B941" s="28" t="n">
        <v>0.375</v>
      </c>
      <c r="C941" s="28" t="n">
        <v>0.4159722222222222</v>
      </c>
      <c r="D941" s="29" t="n">
        <v>120</v>
      </c>
    </row>
    <row r="942">
      <c r="A942" s="55">
        <f>_xlfn.XLOOKUP("METRÔ L2-1",Trip[trip_id],Trip[trip_id],"Não encontrado")</f>
        <v/>
      </c>
      <c r="B942" s="25" t="n">
        <v>0.4166666666666667</v>
      </c>
      <c r="C942" s="25" t="n">
        <v>0.4576388888888889</v>
      </c>
      <c r="D942" s="26" t="n">
        <v>120</v>
      </c>
    </row>
    <row r="943">
      <c r="A943" s="56">
        <f>_xlfn.XLOOKUP("METRÔ L2-1",Trip[trip_id],Trip[trip_id],"Não encontrado")</f>
        <v/>
      </c>
      <c r="B943" s="28" t="n">
        <v>0.4583333333333333</v>
      </c>
      <c r="C943" s="28" t="n">
        <v>0.4993055555555556</v>
      </c>
      <c r="D943" s="29" t="n">
        <v>120</v>
      </c>
    </row>
    <row r="944">
      <c r="A944" s="55">
        <f>_xlfn.XLOOKUP("METRÔ L2-1",Trip[trip_id],Trip[trip_id],"Não encontrado")</f>
        <v/>
      </c>
      <c r="B944" s="25" t="n">
        <v>0.5</v>
      </c>
      <c r="C944" s="25" t="n">
        <v>0.5409722222222222</v>
      </c>
      <c r="D944" s="26" t="n">
        <v>120</v>
      </c>
    </row>
    <row r="945">
      <c r="A945" s="56">
        <f>_xlfn.XLOOKUP("METRÔ L2-1",Trip[trip_id],Trip[trip_id],"Não encontrado")</f>
        <v/>
      </c>
      <c r="B945" s="28" t="n">
        <v>0.5416666666666666</v>
      </c>
      <c r="C945" s="28" t="n">
        <v>0.5826388888888889</v>
      </c>
      <c r="D945" s="29" t="n">
        <v>120</v>
      </c>
    </row>
    <row r="946">
      <c r="A946" s="55">
        <f>_xlfn.XLOOKUP("METRÔ L2-1",Trip[trip_id],Trip[trip_id],"Não encontrado")</f>
        <v/>
      </c>
      <c r="B946" s="25" t="n">
        <v>0.5833333333333334</v>
      </c>
      <c r="C946" s="25" t="n">
        <v>0.6243055555555556</v>
      </c>
      <c r="D946" s="26" t="n">
        <v>120</v>
      </c>
    </row>
    <row r="947">
      <c r="A947" s="56">
        <f>_xlfn.XLOOKUP("METRÔ L2-1",Trip[trip_id],Trip[trip_id],"Não encontrado")</f>
        <v/>
      </c>
      <c r="B947" s="28" t="n">
        <v>0.625</v>
      </c>
      <c r="C947" s="28" t="n">
        <v>0.6659722222222222</v>
      </c>
      <c r="D947" s="29" t="n">
        <v>120</v>
      </c>
    </row>
    <row r="948">
      <c r="A948" s="55">
        <f>_xlfn.XLOOKUP("METRÔ L2-1",Trip[trip_id],Trip[trip_id],"Não encontrado")</f>
        <v/>
      </c>
      <c r="B948" s="25" t="n">
        <v>0.6666666666666666</v>
      </c>
      <c r="C948" s="25" t="n">
        <v>0.7076388888888889</v>
      </c>
      <c r="D948" s="26" t="n">
        <v>120</v>
      </c>
    </row>
    <row r="949">
      <c r="A949" s="56">
        <f>_xlfn.XLOOKUP("METRÔ L2-1",Trip[trip_id],Trip[trip_id],"Não encontrado")</f>
        <v/>
      </c>
      <c r="B949" s="28" t="n">
        <v>0.7083333333333334</v>
      </c>
      <c r="C949" s="28" t="n">
        <v>0.7493055555555556</v>
      </c>
      <c r="D949" s="29" t="n">
        <v>60</v>
      </c>
    </row>
    <row r="950">
      <c r="A950" s="55">
        <f>_xlfn.XLOOKUP("METRÔ L2-1",Trip[trip_id],Trip[trip_id],"Não encontrado")</f>
        <v/>
      </c>
      <c r="B950" s="25" t="n">
        <v>0.75</v>
      </c>
      <c r="C950" s="25" t="n">
        <v>0.7909722222222222</v>
      </c>
      <c r="D950" s="26" t="n">
        <v>60</v>
      </c>
    </row>
    <row r="951">
      <c r="A951" s="56">
        <f>_xlfn.XLOOKUP("METRÔ L2-1",Trip[trip_id],Trip[trip_id],"Não encontrado")</f>
        <v/>
      </c>
      <c r="B951" s="28" t="n">
        <v>0.7916666666666666</v>
      </c>
      <c r="C951" s="28" t="n">
        <v>0.8326388888888889</v>
      </c>
      <c r="D951" s="29" t="n">
        <v>60</v>
      </c>
    </row>
    <row r="952">
      <c r="A952" s="55">
        <f>_xlfn.XLOOKUP("METRÔ L2-1",Trip[trip_id],Trip[trip_id],"Não encontrado")</f>
        <v/>
      </c>
      <c r="B952" s="25" t="n">
        <v>0.8333333333333334</v>
      </c>
      <c r="C952" s="25" t="n">
        <v>0.8743055555555556</v>
      </c>
      <c r="D952" s="26" t="n">
        <v>120</v>
      </c>
    </row>
    <row r="953">
      <c r="A953" s="56">
        <f>_xlfn.XLOOKUP("METRÔ L2-1",Trip[trip_id],Trip[trip_id],"Não encontrado")</f>
        <v/>
      </c>
      <c r="B953" s="28" t="n">
        <v>0.875</v>
      </c>
      <c r="C953" s="28" t="n">
        <v>0.9159722222222222</v>
      </c>
      <c r="D953" s="29" t="n">
        <v>120</v>
      </c>
    </row>
    <row r="954">
      <c r="A954" s="55">
        <f>_xlfn.XLOOKUP("METRÔ L2-1",Trip[trip_id],Trip[trip_id],"Não encontrado")</f>
        <v/>
      </c>
      <c r="B954" s="25" t="n">
        <v>0.9166666666666666</v>
      </c>
      <c r="C954" s="25" t="n">
        <v>0.9576388888888889</v>
      </c>
      <c r="D954" s="26" t="n">
        <v>180</v>
      </c>
    </row>
    <row r="955">
      <c r="A955" s="56">
        <f>_xlfn.XLOOKUP("METRÔ L2-1",Trip[trip_id],Trip[trip_id],"Não encontrado")</f>
        <v/>
      </c>
      <c r="B955" s="28" t="n">
        <v>0.9583333333333334</v>
      </c>
      <c r="C955" s="28" t="n">
        <v>0.9993055555555556</v>
      </c>
      <c r="D955" s="29" t="n">
        <v>300</v>
      </c>
    </row>
    <row r="956">
      <c r="A956" s="55">
        <f>_xlfn.XLOOKUP("METRÔ L3-0",Trip[trip_id],Trip[trip_id],"Não encontrado")</f>
        <v/>
      </c>
      <c r="B956" s="25" t="n">
        <v>0.1666666666666667</v>
      </c>
      <c r="C956" s="25" t="n">
        <v>0.2076388888888889</v>
      </c>
      <c r="D956" s="26" t="n">
        <v>1200</v>
      </c>
    </row>
    <row r="957">
      <c r="A957" s="56">
        <f>_xlfn.XLOOKUP("METRÔ L3-0",Trip[trip_id],Trip[trip_id],"Não encontrado")</f>
        <v/>
      </c>
      <c r="B957" s="28" t="n">
        <v>0.2083333333333333</v>
      </c>
      <c r="C957" s="28" t="n">
        <v>0.2493055555555556</v>
      </c>
      <c r="D957" s="29" t="n">
        <v>240</v>
      </c>
    </row>
    <row r="958">
      <c r="A958" s="55">
        <f>_xlfn.XLOOKUP("METRÔ L3-0",Trip[trip_id],Trip[trip_id],"Não encontrado")</f>
        <v/>
      </c>
      <c r="B958" s="25" t="n">
        <v>0.25</v>
      </c>
      <c r="C958" s="25" t="n">
        <v>0.2909722222222222</v>
      </c>
      <c r="D958" s="26" t="n">
        <v>120</v>
      </c>
    </row>
    <row r="959">
      <c r="A959" s="56">
        <f>_xlfn.XLOOKUP("METRÔ L3-0",Trip[trip_id],Trip[trip_id],"Não encontrado")</f>
        <v/>
      </c>
      <c r="B959" s="28" t="n">
        <v>0.2916666666666667</v>
      </c>
      <c r="C959" s="28" t="n">
        <v>0.3326388888888889</v>
      </c>
      <c r="D959" s="29" t="n">
        <v>120</v>
      </c>
    </row>
    <row r="960">
      <c r="A960" s="55">
        <f>_xlfn.XLOOKUP("METRÔ L3-0",Trip[trip_id],Trip[trip_id],"Não encontrado")</f>
        <v/>
      </c>
      <c r="B960" s="25" t="n">
        <v>0.3333333333333333</v>
      </c>
      <c r="C960" s="25" t="n">
        <v>0.3743055555555556</v>
      </c>
      <c r="D960" s="26" t="n">
        <v>120</v>
      </c>
    </row>
    <row r="961">
      <c r="A961" s="56">
        <f>_xlfn.XLOOKUP("METRÔ L3-0",Trip[trip_id],Trip[trip_id],"Não encontrado")</f>
        <v/>
      </c>
      <c r="B961" s="28" t="n">
        <v>0.375</v>
      </c>
      <c r="C961" s="28" t="n">
        <v>0.4159722222222222</v>
      </c>
      <c r="D961" s="29" t="n">
        <v>180</v>
      </c>
    </row>
    <row r="962">
      <c r="A962" s="55">
        <f>_xlfn.XLOOKUP("METRÔ L3-0",Trip[trip_id],Trip[trip_id],"Não encontrado")</f>
        <v/>
      </c>
      <c r="B962" s="25" t="n">
        <v>0.4166666666666667</v>
      </c>
      <c r="C962" s="25" t="n">
        <v>0.4576388888888889</v>
      </c>
      <c r="D962" s="26" t="n">
        <v>180</v>
      </c>
    </row>
    <row r="963">
      <c r="A963" s="56">
        <f>_xlfn.XLOOKUP("METRÔ L3-0",Trip[trip_id],Trip[trip_id],"Não encontrado")</f>
        <v/>
      </c>
      <c r="B963" s="28" t="n">
        <v>0.4583333333333333</v>
      </c>
      <c r="C963" s="28" t="n">
        <v>0.4993055555555556</v>
      </c>
      <c r="D963" s="29" t="n">
        <v>180</v>
      </c>
    </row>
    <row r="964">
      <c r="A964" s="55">
        <f>_xlfn.XLOOKUP("METRÔ L3-0",Trip[trip_id],Trip[trip_id],"Não encontrado")</f>
        <v/>
      </c>
      <c r="B964" s="25" t="n">
        <v>0.5</v>
      </c>
      <c r="C964" s="25" t="n">
        <v>0.5409722222222222</v>
      </c>
      <c r="D964" s="26" t="n">
        <v>180</v>
      </c>
    </row>
    <row r="965">
      <c r="A965" s="56">
        <f>_xlfn.XLOOKUP("METRÔ L3-0",Trip[trip_id],Trip[trip_id],"Não encontrado")</f>
        <v/>
      </c>
      <c r="B965" s="28" t="n">
        <v>0.5416666666666666</v>
      </c>
      <c r="C965" s="28" t="n">
        <v>0.5826388888888889</v>
      </c>
      <c r="D965" s="29" t="n">
        <v>180</v>
      </c>
    </row>
    <row r="966">
      <c r="A966" s="55">
        <f>_xlfn.XLOOKUP("METRÔ L3-0",Trip[trip_id],Trip[trip_id],"Não encontrado")</f>
        <v/>
      </c>
      <c r="B966" s="25" t="n">
        <v>0.5833333333333334</v>
      </c>
      <c r="C966" s="25" t="n">
        <v>0.6243055555555556</v>
      </c>
      <c r="D966" s="26" t="n">
        <v>180</v>
      </c>
    </row>
    <row r="967">
      <c r="A967" s="56">
        <f>_xlfn.XLOOKUP("METRÔ L3-0",Trip[trip_id],Trip[trip_id],"Não encontrado")</f>
        <v/>
      </c>
      <c r="B967" s="28" t="n">
        <v>0.625</v>
      </c>
      <c r="C967" s="28" t="n">
        <v>0.6659722222222222</v>
      </c>
      <c r="D967" s="29" t="n">
        <v>180</v>
      </c>
    </row>
    <row r="968">
      <c r="A968" s="55">
        <f>_xlfn.XLOOKUP("METRÔ L3-0",Trip[trip_id],Trip[trip_id],"Não encontrado")</f>
        <v/>
      </c>
      <c r="B968" s="25" t="n">
        <v>0.6666666666666666</v>
      </c>
      <c r="C968" s="25" t="n">
        <v>0.7076388888888889</v>
      </c>
      <c r="D968" s="26" t="n">
        <v>180</v>
      </c>
    </row>
    <row r="969">
      <c r="A969" s="56">
        <f>_xlfn.XLOOKUP("METRÔ L3-0",Trip[trip_id],Trip[trip_id],"Não encontrado")</f>
        <v/>
      </c>
      <c r="B969" s="28" t="n">
        <v>0.7083333333333334</v>
      </c>
      <c r="C969" s="28" t="n">
        <v>0.7493055555555556</v>
      </c>
      <c r="D969" s="29" t="n">
        <v>120</v>
      </c>
    </row>
    <row r="970">
      <c r="A970" s="55">
        <f>_xlfn.XLOOKUP("METRÔ L3-0",Trip[trip_id],Trip[trip_id],"Não encontrado")</f>
        <v/>
      </c>
      <c r="B970" s="25" t="n">
        <v>0.75</v>
      </c>
      <c r="C970" s="25" t="n">
        <v>0.7909722222222222</v>
      </c>
      <c r="D970" s="26" t="n">
        <v>120</v>
      </c>
    </row>
    <row r="971">
      <c r="A971" s="56">
        <f>_xlfn.XLOOKUP("METRÔ L3-0",Trip[trip_id],Trip[trip_id],"Não encontrado")</f>
        <v/>
      </c>
      <c r="B971" s="28" t="n">
        <v>0.7916666666666666</v>
      </c>
      <c r="C971" s="28" t="n">
        <v>0.8326388888888889</v>
      </c>
      <c r="D971" s="29" t="n">
        <v>120</v>
      </c>
    </row>
    <row r="972">
      <c r="A972" s="55">
        <f>_xlfn.XLOOKUP("METRÔ L3-0",Trip[trip_id],Trip[trip_id],"Não encontrado")</f>
        <v/>
      </c>
      <c r="B972" s="25" t="n">
        <v>0.8333333333333334</v>
      </c>
      <c r="C972" s="25" t="n">
        <v>0.8743055555555556</v>
      </c>
      <c r="D972" s="26" t="n">
        <v>180</v>
      </c>
    </row>
    <row r="973">
      <c r="A973" s="56">
        <f>_xlfn.XLOOKUP("METRÔ L3-0",Trip[trip_id],Trip[trip_id],"Não encontrado")</f>
        <v/>
      </c>
      <c r="B973" s="28" t="n">
        <v>0.875</v>
      </c>
      <c r="C973" s="28" t="n">
        <v>0.9159722222222222</v>
      </c>
      <c r="D973" s="29" t="n">
        <v>180</v>
      </c>
    </row>
    <row r="974">
      <c r="A974" s="55">
        <f>_xlfn.XLOOKUP("METRÔ L3-0",Trip[trip_id],Trip[trip_id],"Não encontrado")</f>
        <v/>
      </c>
      <c r="B974" s="25" t="n">
        <v>0.9166666666666666</v>
      </c>
      <c r="C974" s="25" t="n">
        <v>0.9576388888888889</v>
      </c>
      <c r="D974" s="26" t="n">
        <v>360</v>
      </c>
    </row>
    <row r="975">
      <c r="A975" s="56">
        <f>_xlfn.XLOOKUP("METRÔ L3-0",Trip[trip_id],Trip[trip_id],"Não encontrado")</f>
        <v/>
      </c>
      <c r="B975" s="28" t="n">
        <v>0.9583333333333334</v>
      </c>
      <c r="C975" s="28" t="n">
        <v>0.9993055555555556</v>
      </c>
      <c r="D975" s="29" t="n">
        <v>600</v>
      </c>
    </row>
    <row r="976">
      <c r="A976" s="55">
        <f>_xlfn.XLOOKUP("METRÔ L3-1",Trip[trip_id],Trip[trip_id],"Não encontrado")</f>
        <v/>
      </c>
      <c r="B976" s="25" t="n">
        <v>0.1666666666666667</v>
      </c>
      <c r="C976" s="25" t="n">
        <v>0.2076388888888889</v>
      </c>
      <c r="D976" s="26" t="n">
        <v>1200</v>
      </c>
    </row>
    <row r="977">
      <c r="A977" s="56">
        <f>_xlfn.XLOOKUP("METRÔ L3-1",Trip[trip_id],Trip[trip_id],"Não encontrado")</f>
        <v/>
      </c>
      <c r="B977" s="28" t="n">
        <v>0.2083333333333333</v>
      </c>
      <c r="C977" s="28" t="n">
        <v>0.2493055555555556</v>
      </c>
      <c r="D977" s="29" t="n">
        <v>240</v>
      </c>
    </row>
    <row r="978">
      <c r="A978" s="55">
        <f>_xlfn.XLOOKUP("METRÔ L3-1",Trip[trip_id],Trip[trip_id],"Não encontrado")</f>
        <v/>
      </c>
      <c r="B978" s="25" t="n">
        <v>0.25</v>
      </c>
      <c r="C978" s="25" t="n">
        <v>0.2909722222222222</v>
      </c>
      <c r="D978" s="26" t="n">
        <v>120</v>
      </c>
    </row>
    <row r="979">
      <c r="A979" s="56">
        <f>_xlfn.XLOOKUP("METRÔ L3-1",Trip[trip_id],Trip[trip_id],"Não encontrado")</f>
        <v/>
      </c>
      <c r="B979" s="28" t="n">
        <v>0.2916666666666667</v>
      </c>
      <c r="C979" s="28" t="n">
        <v>0.3326388888888889</v>
      </c>
      <c r="D979" s="29" t="n">
        <v>120</v>
      </c>
    </row>
    <row r="980">
      <c r="A980" s="55">
        <f>_xlfn.XLOOKUP("METRÔ L3-1",Trip[trip_id],Trip[trip_id],"Não encontrado")</f>
        <v/>
      </c>
      <c r="B980" s="25" t="n">
        <v>0.3333333333333333</v>
      </c>
      <c r="C980" s="25" t="n">
        <v>0.3743055555555556</v>
      </c>
      <c r="D980" s="26" t="n">
        <v>120</v>
      </c>
    </row>
    <row r="981">
      <c r="A981" s="56">
        <f>_xlfn.XLOOKUP("METRÔ L3-1",Trip[trip_id],Trip[trip_id],"Não encontrado")</f>
        <v/>
      </c>
      <c r="B981" s="28" t="n">
        <v>0.375</v>
      </c>
      <c r="C981" s="28" t="n">
        <v>0.4159722222222222</v>
      </c>
      <c r="D981" s="29" t="n">
        <v>180</v>
      </c>
    </row>
    <row r="982">
      <c r="A982" s="55">
        <f>_xlfn.XLOOKUP("METRÔ L3-1",Trip[trip_id],Trip[trip_id],"Não encontrado")</f>
        <v/>
      </c>
      <c r="B982" s="25" t="n">
        <v>0.4166666666666667</v>
      </c>
      <c r="C982" s="25" t="n">
        <v>0.4576388888888889</v>
      </c>
      <c r="D982" s="26" t="n">
        <v>180</v>
      </c>
    </row>
    <row r="983">
      <c r="A983" s="56">
        <f>_xlfn.XLOOKUP("METRÔ L3-1",Trip[trip_id],Trip[trip_id],"Não encontrado")</f>
        <v/>
      </c>
      <c r="B983" s="28" t="n">
        <v>0.4583333333333333</v>
      </c>
      <c r="C983" s="28" t="n">
        <v>0.4993055555555556</v>
      </c>
      <c r="D983" s="29" t="n">
        <v>180</v>
      </c>
    </row>
    <row r="984">
      <c r="A984" s="55">
        <f>_xlfn.XLOOKUP("METRÔ L3-1",Trip[trip_id],Trip[trip_id],"Não encontrado")</f>
        <v/>
      </c>
      <c r="B984" s="25" t="n">
        <v>0.5</v>
      </c>
      <c r="C984" s="25" t="n">
        <v>0.5409722222222222</v>
      </c>
      <c r="D984" s="26" t="n">
        <v>180</v>
      </c>
    </row>
    <row r="985">
      <c r="A985" s="56">
        <f>_xlfn.XLOOKUP("METRÔ L3-1",Trip[trip_id],Trip[trip_id],"Não encontrado")</f>
        <v/>
      </c>
      <c r="B985" s="28" t="n">
        <v>0.5416666666666666</v>
      </c>
      <c r="C985" s="28" t="n">
        <v>0.5826388888888889</v>
      </c>
      <c r="D985" s="29" t="n">
        <v>180</v>
      </c>
    </row>
    <row r="986">
      <c r="A986" s="55">
        <f>_xlfn.XLOOKUP("METRÔ L3-1",Trip[trip_id],Trip[trip_id],"Não encontrado")</f>
        <v/>
      </c>
      <c r="B986" s="25" t="n">
        <v>0.5833333333333334</v>
      </c>
      <c r="C986" s="25" t="n">
        <v>0.6243055555555556</v>
      </c>
      <c r="D986" s="26" t="n">
        <v>180</v>
      </c>
    </row>
    <row r="987">
      <c r="A987" s="56">
        <f>_xlfn.XLOOKUP("METRÔ L3-1",Trip[trip_id],Trip[trip_id],"Não encontrado")</f>
        <v/>
      </c>
      <c r="B987" s="28" t="n">
        <v>0.625</v>
      </c>
      <c r="C987" s="28" t="n">
        <v>0.6659722222222222</v>
      </c>
      <c r="D987" s="29" t="n">
        <v>180</v>
      </c>
    </row>
    <row r="988">
      <c r="A988" s="55">
        <f>_xlfn.XLOOKUP("METRÔ L3-1",Trip[trip_id],Trip[trip_id],"Não encontrado")</f>
        <v/>
      </c>
      <c r="B988" s="25" t="n">
        <v>0.6666666666666666</v>
      </c>
      <c r="C988" s="25" t="n">
        <v>0.7076388888888889</v>
      </c>
      <c r="D988" s="26" t="n">
        <v>180</v>
      </c>
    </row>
    <row r="989">
      <c r="A989" s="56">
        <f>_xlfn.XLOOKUP("METRÔ L3-1",Trip[trip_id],Trip[trip_id],"Não encontrado")</f>
        <v/>
      </c>
      <c r="B989" s="28" t="n">
        <v>0.7083333333333334</v>
      </c>
      <c r="C989" s="28" t="n">
        <v>0.7493055555555556</v>
      </c>
      <c r="D989" s="29" t="n">
        <v>120</v>
      </c>
    </row>
    <row r="990">
      <c r="A990" s="55">
        <f>_xlfn.XLOOKUP("METRÔ L3-1",Trip[trip_id],Trip[trip_id],"Não encontrado")</f>
        <v/>
      </c>
      <c r="B990" s="25" t="n">
        <v>0.75</v>
      </c>
      <c r="C990" s="25" t="n">
        <v>0.7909722222222222</v>
      </c>
      <c r="D990" s="26" t="n">
        <v>120</v>
      </c>
    </row>
    <row r="991">
      <c r="A991" s="56">
        <f>_xlfn.XLOOKUP("METRÔ L3-1",Trip[trip_id],Trip[trip_id],"Não encontrado")</f>
        <v/>
      </c>
      <c r="B991" s="28" t="n">
        <v>0.7916666666666666</v>
      </c>
      <c r="C991" s="28" t="n">
        <v>0.8326388888888889</v>
      </c>
      <c r="D991" s="29" t="n">
        <v>120</v>
      </c>
    </row>
    <row r="992">
      <c r="A992" s="55">
        <f>_xlfn.XLOOKUP("METRÔ L3-1",Trip[trip_id],Trip[trip_id],"Não encontrado")</f>
        <v/>
      </c>
      <c r="B992" s="25" t="n">
        <v>0.8333333333333334</v>
      </c>
      <c r="C992" s="25" t="n">
        <v>0.8743055555555556</v>
      </c>
      <c r="D992" s="26" t="n">
        <v>180</v>
      </c>
    </row>
    <row r="993">
      <c r="A993" s="56">
        <f>_xlfn.XLOOKUP("METRÔ L3-1",Trip[trip_id],Trip[trip_id],"Não encontrado")</f>
        <v/>
      </c>
      <c r="B993" s="28" t="n">
        <v>0.875</v>
      </c>
      <c r="C993" s="28" t="n">
        <v>0.9159722222222222</v>
      </c>
      <c r="D993" s="29" t="n">
        <v>180</v>
      </c>
    </row>
    <row r="994">
      <c r="A994" s="55">
        <f>_xlfn.XLOOKUP("METRÔ L3-1",Trip[trip_id],Trip[trip_id],"Não encontrado")</f>
        <v/>
      </c>
      <c r="B994" s="25" t="n">
        <v>0.9166666666666666</v>
      </c>
      <c r="C994" s="25" t="n">
        <v>0.9576388888888889</v>
      </c>
      <c r="D994" s="26" t="n">
        <v>360</v>
      </c>
    </row>
    <row r="995">
      <c r="A995" s="56">
        <f>_xlfn.XLOOKUP("METRÔ L3-1",Trip[trip_id],Trip[trip_id],"Não encontrado")</f>
        <v/>
      </c>
      <c r="B995" s="28" t="n">
        <v>0.9583333333333334</v>
      </c>
      <c r="C995" s="28" t="n">
        <v>0.9993055555555556</v>
      </c>
      <c r="D995" s="29" t="n">
        <v>600</v>
      </c>
    </row>
    <row r="996">
      <c r="A996" s="55">
        <f>_xlfn.XLOOKUP("METRÔ L4-0",Trip[trip_id],Trip[trip_id],"Não encontrado")</f>
        <v/>
      </c>
      <c r="B996" s="25" t="n">
        <v>0.1666666666666667</v>
      </c>
      <c r="C996" s="25" t="n">
        <v>0.2076388888888889</v>
      </c>
      <c r="D996" s="26" t="n">
        <v>360</v>
      </c>
    </row>
    <row r="997">
      <c r="A997" s="56">
        <f>_xlfn.XLOOKUP("METRÔ L4-0",Trip[trip_id],Trip[trip_id],"Não encontrado")</f>
        <v/>
      </c>
      <c r="B997" s="28" t="n">
        <v>0.2083333333333333</v>
      </c>
      <c r="C997" s="28" t="n">
        <v>0.2493055555555556</v>
      </c>
      <c r="D997" s="29" t="n">
        <v>360</v>
      </c>
    </row>
    <row r="998">
      <c r="A998" s="55">
        <f>_xlfn.XLOOKUP("METRÔ L4-0",Trip[trip_id],Trip[trip_id],"Não encontrado")</f>
        <v/>
      </c>
      <c r="B998" s="25" t="n">
        <v>0.25</v>
      </c>
      <c r="C998" s="25" t="n">
        <v>0.2909722222222222</v>
      </c>
      <c r="D998" s="26" t="n">
        <v>180</v>
      </c>
    </row>
    <row r="999">
      <c r="A999" s="56">
        <f>_xlfn.XLOOKUP("METRÔ L4-0",Trip[trip_id],Trip[trip_id],"Não encontrado")</f>
        <v/>
      </c>
      <c r="B999" s="28" t="n">
        <v>0.2916666666666667</v>
      </c>
      <c r="C999" s="28" t="n">
        <v>0.3326388888888889</v>
      </c>
      <c r="D999" s="29" t="n">
        <v>180</v>
      </c>
    </row>
    <row r="1000">
      <c r="A1000" s="55">
        <f>_xlfn.XLOOKUP("METRÔ L4-0",Trip[trip_id],Trip[trip_id],"Não encontrado")</f>
        <v/>
      </c>
      <c r="B1000" s="25" t="n">
        <v>0.3333333333333333</v>
      </c>
      <c r="C1000" s="25" t="n">
        <v>0.3743055555555556</v>
      </c>
      <c r="D1000" s="26" t="n">
        <v>180</v>
      </c>
    </row>
    <row r="1001">
      <c r="A1001" s="56">
        <f>_xlfn.XLOOKUP("METRÔ L4-0",Trip[trip_id],Trip[trip_id],"Não encontrado")</f>
        <v/>
      </c>
      <c r="B1001" s="28" t="n">
        <v>0.375</v>
      </c>
      <c r="C1001" s="28" t="n">
        <v>0.4159722222222222</v>
      </c>
      <c r="D1001" s="29" t="n">
        <v>180</v>
      </c>
    </row>
    <row r="1002">
      <c r="A1002" s="55">
        <f>_xlfn.XLOOKUP("METRÔ L4-0",Trip[trip_id],Trip[trip_id],"Não encontrado")</f>
        <v/>
      </c>
      <c r="B1002" s="25" t="n">
        <v>0.4166666666666667</v>
      </c>
      <c r="C1002" s="25" t="n">
        <v>0.4576388888888889</v>
      </c>
      <c r="D1002" s="26" t="n">
        <v>180</v>
      </c>
    </row>
    <row r="1003">
      <c r="A1003" s="56">
        <f>_xlfn.XLOOKUP("METRÔ L4-0",Trip[trip_id],Trip[trip_id],"Não encontrado")</f>
        <v/>
      </c>
      <c r="B1003" s="28" t="n">
        <v>0.4583333333333333</v>
      </c>
      <c r="C1003" s="28" t="n">
        <v>0.4993055555555556</v>
      </c>
      <c r="D1003" s="29" t="n">
        <v>180</v>
      </c>
    </row>
    <row r="1004">
      <c r="A1004" s="55">
        <f>_xlfn.XLOOKUP("METRÔ L4-0",Trip[trip_id],Trip[trip_id],"Não encontrado")</f>
        <v/>
      </c>
      <c r="B1004" s="25" t="n">
        <v>0.5</v>
      </c>
      <c r="C1004" s="25" t="n">
        <v>0.5409722222222222</v>
      </c>
      <c r="D1004" s="26" t="n">
        <v>180</v>
      </c>
    </row>
    <row r="1005">
      <c r="A1005" s="56">
        <f>_xlfn.XLOOKUP("METRÔ L4-0",Trip[trip_id],Trip[trip_id],"Não encontrado")</f>
        <v/>
      </c>
      <c r="B1005" s="28" t="n">
        <v>0.5416666666666666</v>
      </c>
      <c r="C1005" s="28" t="n">
        <v>0.5826388888888889</v>
      </c>
      <c r="D1005" s="29" t="n">
        <v>180</v>
      </c>
    </row>
    <row r="1006">
      <c r="A1006" s="55">
        <f>_xlfn.XLOOKUP("METRÔ L4-0",Trip[trip_id],Trip[trip_id],"Não encontrado")</f>
        <v/>
      </c>
      <c r="B1006" s="25" t="n">
        <v>0.5833333333333334</v>
      </c>
      <c r="C1006" s="25" t="n">
        <v>0.6243055555555556</v>
      </c>
      <c r="D1006" s="26" t="n">
        <v>180</v>
      </c>
    </row>
    <row r="1007">
      <c r="A1007" s="56">
        <f>_xlfn.XLOOKUP("METRÔ L4-0",Trip[trip_id],Trip[trip_id],"Não encontrado")</f>
        <v/>
      </c>
      <c r="B1007" s="28" t="n">
        <v>0.625</v>
      </c>
      <c r="C1007" s="28" t="n">
        <v>0.6659722222222222</v>
      </c>
      <c r="D1007" s="29" t="n">
        <v>180</v>
      </c>
    </row>
    <row r="1008">
      <c r="A1008" s="55">
        <f>_xlfn.XLOOKUP("METRÔ L4-0",Trip[trip_id],Trip[trip_id],"Não encontrado")</f>
        <v/>
      </c>
      <c r="B1008" s="25" t="n">
        <v>0.6666666666666666</v>
      </c>
      <c r="C1008" s="25" t="n">
        <v>0.7076388888888889</v>
      </c>
      <c r="D1008" s="26" t="n">
        <v>180</v>
      </c>
    </row>
    <row r="1009">
      <c r="A1009" s="56">
        <f>_xlfn.XLOOKUP("METRÔ L4-0",Trip[trip_id],Trip[trip_id],"Não encontrado")</f>
        <v/>
      </c>
      <c r="B1009" s="28" t="n">
        <v>0.7083333333333334</v>
      </c>
      <c r="C1009" s="28" t="n">
        <v>0.7493055555555556</v>
      </c>
      <c r="D1009" s="29" t="n">
        <v>180</v>
      </c>
    </row>
    <row r="1010">
      <c r="A1010" s="55">
        <f>_xlfn.XLOOKUP("METRÔ L4-0",Trip[trip_id],Trip[trip_id],"Não encontrado")</f>
        <v/>
      </c>
      <c r="B1010" s="25" t="n">
        <v>0.75</v>
      </c>
      <c r="C1010" s="25" t="n">
        <v>0.7909722222222222</v>
      </c>
      <c r="D1010" s="26" t="n">
        <v>180</v>
      </c>
    </row>
    <row r="1011">
      <c r="A1011" s="56">
        <f>_xlfn.XLOOKUP("METRÔ L4-0",Trip[trip_id],Trip[trip_id],"Não encontrado")</f>
        <v/>
      </c>
      <c r="B1011" s="28" t="n">
        <v>0.7916666666666666</v>
      </c>
      <c r="C1011" s="28" t="n">
        <v>0.8326388888888889</v>
      </c>
      <c r="D1011" s="29" t="n">
        <v>120</v>
      </c>
    </row>
    <row r="1012">
      <c r="A1012" s="55">
        <f>_xlfn.XLOOKUP("METRÔ L4-0",Trip[trip_id],Trip[trip_id],"Não encontrado")</f>
        <v/>
      </c>
      <c r="B1012" s="25" t="n">
        <v>0.8333333333333334</v>
      </c>
      <c r="C1012" s="25" t="n">
        <v>0.8743055555555556</v>
      </c>
      <c r="D1012" s="26" t="n">
        <v>120</v>
      </c>
    </row>
    <row r="1013">
      <c r="A1013" s="56">
        <f>_xlfn.XLOOKUP("METRÔ L4-0",Trip[trip_id],Trip[trip_id],"Não encontrado")</f>
        <v/>
      </c>
      <c r="B1013" s="28" t="n">
        <v>0.875</v>
      </c>
      <c r="C1013" s="28" t="n">
        <v>0.9159722222222222</v>
      </c>
      <c r="D1013" s="29" t="n">
        <v>300</v>
      </c>
    </row>
    <row r="1014">
      <c r="A1014" s="55">
        <f>_xlfn.XLOOKUP("METRÔ L4-0",Trip[trip_id],Trip[trip_id],"Não encontrado")</f>
        <v/>
      </c>
      <c r="B1014" s="25" t="n">
        <v>0.9166666666666666</v>
      </c>
      <c r="C1014" s="25" t="n">
        <v>0.9576388888888889</v>
      </c>
      <c r="D1014" s="26" t="n">
        <v>300</v>
      </c>
    </row>
    <row r="1015">
      <c r="A1015" s="56">
        <f>_xlfn.XLOOKUP("METRÔ L4-0",Trip[trip_id],Trip[trip_id],"Não encontrado")</f>
        <v/>
      </c>
      <c r="B1015" s="28" t="n">
        <v>0.9583333333333334</v>
      </c>
      <c r="C1015" s="28" t="n">
        <v>0.9993055555555556</v>
      </c>
      <c r="D1015" s="29" t="n">
        <v>360</v>
      </c>
    </row>
    <row r="1016">
      <c r="A1016" s="55">
        <f>_xlfn.XLOOKUP("METRÔ L4-1",Trip[trip_id],Trip[trip_id],"Não encontrado")</f>
        <v/>
      </c>
      <c r="B1016" s="25" t="n">
        <v>0.1666666666666667</v>
      </c>
      <c r="C1016" s="25" t="n">
        <v>0.2076388888888889</v>
      </c>
      <c r="D1016" s="26" t="n">
        <v>360</v>
      </c>
    </row>
    <row r="1017">
      <c r="A1017" s="56">
        <f>_xlfn.XLOOKUP("METRÔ L4-1",Trip[trip_id],Trip[trip_id],"Não encontrado")</f>
        <v/>
      </c>
      <c r="B1017" s="28" t="n">
        <v>0.2083333333333333</v>
      </c>
      <c r="C1017" s="28" t="n">
        <v>0.2493055555555556</v>
      </c>
      <c r="D1017" s="29" t="n">
        <v>360</v>
      </c>
    </row>
    <row r="1018">
      <c r="A1018" s="55">
        <f>_xlfn.XLOOKUP("METRÔ L4-1",Trip[trip_id],Trip[trip_id],"Não encontrado")</f>
        <v/>
      </c>
      <c r="B1018" s="25" t="n">
        <v>0.25</v>
      </c>
      <c r="C1018" s="25" t="n">
        <v>0.2909722222222222</v>
      </c>
      <c r="D1018" s="26" t="n">
        <v>180</v>
      </c>
    </row>
    <row r="1019">
      <c r="A1019" s="56">
        <f>_xlfn.XLOOKUP("METRÔ L4-1",Trip[trip_id],Trip[trip_id],"Não encontrado")</f>
        <v/>
      </c>
      <c r="B1019" s="28" t="n">
        <v>0.2916666666666667</v>
      </c>
      <c r="C1019" s="28" t="n">
        <v>0.3326388888888889</v>
      </c>
      <c r="D1019" s="29" t="n">
        <v>180</v>
      </c>
    </row>
    <row r="1020">
      <c r="A1020" s="55">
        <f>_xlfn.XLOOKUP("METRÔ L4-1",Trip[trip_id],Trip[trip_id],"Não encontrado")</f>
        <v/>
      </c>
      <c r="B1020" s="25" t="n">
        <v>0.3333333333333333</v>
      </c>
      <c r="C1020" s="25" t="n">
        <v>0.3743055555555556</v>
      </c>
      <c r="D1020" s="26" t="n">
        <v>180</v>
      </c>
    </row>
    <row r="1021">
      <c r="A1021" s="56">
        <f>_xlfn.XLOOKUP("METRÔ L4-1",Trip[trip_id],Trip[trip_id],"Não encontrado")</f>
        <v/>
      </c>
      <c r="B1021" s="28" t="n">
        <v>0.375</v>
      </c>
      <c r="C1021" s="28" t="n">
        <v>0.4159722222222222</v>
      </c>
      <c r="D1021" s="29" t="n">
        <v>180</v>
      </c>
    </row>
    <row r="1022">
      <c r="A1022" s="55">
        <f>_xlfn.XLOOKUP("METRÔ L4-1",Trip[trip_id],Trip[trip_id],"Não encontrado")</f>
        <v/>
      </c>
      <c r="B1022" s="25" t="n">
        <v>0.4166666666666667</v>
      </c>
      <c r="C1022" s="25" t="n">
        <v>0.4576388888888889</v>
      </c>
      <c r="D1022" s="26" t="n">
        <v>180</v>
      </c>
    </row>
    <row r="1023">
      <c r="A1023" s="56">
        <f>_xlfn.XLOOKUP("METRÔ L4-1",Trip[trip_id],Trip[trip_id],"Não encontrado")</f>
        <v/>
      </c>
      <c r="B1023" s="28" t="n">
        <v>0.4583333333333333</v>
      </c>
      <c r="C1023" s="28" t="n">
        <v>0.4993055555555556</v>
      </c>
      <c r="D1023" s="29" t="n">
        <v>180</v>
      </c>
    </row>
    <row r="1024">
      <c r="A1024" s="55">
        <f>_xlfn.XLOOKUP("METRÔ L4-1",Trip[trip_id],Trip[trip_id],"Não encontrado")</f>
        <v/>
      </c>
      <c r="B1024" s="25" t="n">
        <v>0.5</v>
      </c>
      <c r="C1024" s="25" t="n">
        <v>0.5409722222222222</v>
      </c>
      <c r="D1024" s="26" t="n">
        <v>180</v>
      </c>
    </row>
    <row r="1025">
      <c r="A1025" s="56">
        <f>_xlfn.XLOOKUP("METRÔ L4-1",Trip[trip_id],Trip[trip_id],"Não encontrado")</f>
        <v/>
      </c>
      <c r="B1025" s="28" t="n">
        <v>0.5416666666666666</v>
      </c>
      <c r="C1025" s="28" t="n">
        <v>0.5826388888888889</v>
      </c>
      <c r="D1025" s="29" t="n">
        <v>180</v>
      </c>
    </row>
    <row r="1026">
      <c r="A1026" s="55">
        <f>_xlfn.XLOOKUP("METRÔ L4-1",Trip[trip_id],Trip[trip_id],"Não encontrado")</f>
        <v/>
      </c>
      <c r="B1026" s="25" t="n">
        <v>0.5833333333333334</v>
      </c>
      <c r="C1026" s="25" t="n">
        <v>0.6243055555555556</v>
      </c>
      <c r="D1026" s="26" t="n">
        <v>180</v>
      </c>
    </row>
    <row r="1027">
      <c r="A1027" s="56">
        <f>_xlfn.XLOOKUP("METRÔ L4-1",Trip[trip_id],Trip[trip_id],"Não encontrado")</f>
        <v/>
      </c>
      <c r="B1027" s="28" t="n">
        <v>0.625</v>
      </c>
      <c r="C1027" s="28" t="n">
        <v>0.6659722222222222</v>
      </c>
      <c r="D1027" s="29" t="n">
        <v>180</v>
      </c>
    </row>
    <row r="1028">
      <c r="A1028" s="55">
        <f>_xlfn.XLOOKUP("METRÔ L4-1",Trip[trip_id],Trip[trip_id],"Não encontrado")</f>
        <v/>
      </c>
      <c r="B1028" s="25" t="n">
        <v>0.6666666666666666</v>
      </c>
      <c r="C1028" s="25" t="n">
        <v>0.7076388888888889</v>
      </c>
      <c r="D1028" s="26" t="n">
        <v>180</v>
      </c>
    </row>
    <row r="1029">
      <c r="A1029" s="56">
        <f>_xlfn.XLOOKUP("METRÔ L4-1",Trip[trip_id],Trip[trip_id],"Não encontrado")</f>
        <v/>
      </c>
      <c r="B1029" s="28" t="n">
        <v>0.7083333333333334</v>
      </c>
      <c r="C1029" s="28" t="n">
        <v>0.7493055555555556</v>
      </c>
      <c r="D1029" s="29" t="n">
        <v>180</v>
      </c>
    </row>
    <row r="1030">
      <c r="A1030" s="55">
        <f>_xlfn.XLOOKUP("METRÔ L4-1",Trip[trip_id],Trip[trip_id],"Não encontrado")</f>
        <v/>
      </c>
      <c r="B1030" s="25" t="n">
        <v>0.75</v>
      </c>
      <c r="C1030" s="25" t="n">
        <v>0.7909722222222222</v>
      </c>
      <c r="D1030" s="26" t="n">
        <v>180</v>
      </c>
    </row>
    <row r="1031">
      <c r="A1031" s="56">
        <f>_xlfn.XLOOKUP("METRÔ L4-1",Trip[trip_id],Trip[trip_id],"Não encontrado")</f>
        <v/>
      </c>
      <c r="B1031" s="28" t="n">
        <v>0.7916666666666666</v>
      </c>
      <c r="C1031" s="28" t="n">
        <v>0.8326388888888889</v>
      </c>
      <c r="D1031" s="29" t="n">
        <v>120</v>
      </c>
    </row>
    <row r="1032">
      <c r="A1032" s="55">
        <f>_xlfn.XLOOKUP("METRÔ L4-1",Trip[trip_id],Trip[trip_id],"Não encontrado")</f>
        <v/>
      </c>
      <c r="B1032" s="25" t="n">
        <v>0.8333333333333334</v>
      </c>
      <c r="C1032" s="25" t="n">
        <v>0.8743055555555556</v>
      </c>
      <c r="D1032" s="26" t="n">
        <v>120</v>
      </c>
    </row>
    <row r="1033">
      <c r="A1033" s="56">
        <f>_xlfn.XLOOKUP("METRÔ L4-1",Trip[trip_id],Trip[trip_id],"Não encontrado")</f>
        <v/>
      </c>
      <c r="B1033" s="28" t="n">
        <v>0.875</v>
      </c>
      <c r="C1033" s="28" t="n">
        <v>0.9159722222222222</v>
      </c>
      <c r="D1033" s="29" t="n">
        <v>300</v>
      </c>
    </row>
    <row r="1034">
      <c r="A1034" s="55">
        <f>_xlfn.XLOOKUP("METRÔ L4-1",Trip[trip_id],Trip[trip_id],"Não encontrado")</f>
        <v/>
      </c>
      <c r="B1034" s="25" t="n">
        <v>0.9166666666666666</v>
      </c>
      <c r="C1034" s="25" t="n">
        <v>0.9576388888888889</v>
      </c>
      <c r="D1034" s="26" t="n">
        <v>300</v>
      </c>
    </row>
    <row r="1035">
      <c r="A1035" s="56">
        <f>_xlfn.XLOOKUP("METRÔ L4-1",Trip[trip_id],Trip[trip_id],"Não encontrado")</f>
        <v/>
      </c>
      <c r="B1035" s="28" t="n">
        <v>0.9583333333333334</v>
      </c>
      <c r="C1035" s="28" t="n">
        <v>0.9993055555555556</v>
      </c>
      <c r="D1035" s="29" t="n">
        <v>360</v>
      </c>
    </row>
    <row r="1036">
      <c r="A1036" s="55">
        <f>_xlfn.XLOOKUP("METRÔ L5-0",Trip[trip_id],Trip[trip_id],"Não encontrado")</f>
        <v/>
      </c>
      <c r="B1036" s="25" t="n">
        <v>0</v>
      </c>
      <c r="C1036" s="25" t="n">
        <v>0.04097222222222222</v>
      </c>
      <c r="D1036" s="26" t="n">
        <v>480</v>
      </c>
    </row>
    <row r="1037">
      <c r="A1037" s="56">
        <f>_xlfn.XLOOKUP("METRÔ L5-0",Trip[trip_id],Trip[trip_id],"Não encontrado")</f>
        <v/>
      </c>
      <c r="B1037" s="28" t="n">
        <v>0.1666666666666667</v>
      </c>
      <c r="C1037" s="28" t="n">
        <v>0.2076388888888889</v>
      </c>
      <c r="D1037" s="29" t="n">
        <v>480</v>
      </c>
    </row>
    <row r="1038">
      <c r="A1038" s="55">
        <f>_xlfn.XLOOKUP("METRÔ L5-0",Trip[trip_id],Trip[trip_id],"Não encontrado")</f>
        <v/>
      </c>
      <c r="B1038" s="25" t="n">
        <v>0.2083333333333333</v>
      </c>
      <c r="C1038" s="25" t="n">
        <v>0.2493055555555556</v>
      </c>
      <c r="D1038" s="26" t="n">
        <v>480</v>
      </c>
    </row>
    <row r="1039">
      <c r="A1039" s="56">
        <f>_xlfn.XLOOKUP("METRÔ L5-0",Trip[trip_id],Trip[trip_id],"Não encontrado")</f>
        <v/>
      </c>
      <c r="B1039" s="28" t="n">
        <v>0.25</v>
      </c>
      <c r="C1039" s="28" t="n">
        <v>0.2909722222222222</v>
      </c>
      <c r="D1039" s="29" t="n">
        <v>480</v>
      </c>
    </row>
    <row r="1040">
      <c r="A1040" s="55">
        <f>_xlfn.XLOOKUP("METRÔ L5-0",Trip[trip_id],Trip[trip_id],"Não encontrado")</f>
        <v/>
      </c>
      <c r="B1040" s="25" t="n">
        <v>0.2916666666666667</v>
      </c>
      <c r="C1040" s="25" t="n">
        <v>0.3326388888888889</v>
      </c>
      <c r="D1040" s="26" t="n">
        <v>420</v>
      </c>
    </row>
    <row r="1041">
      <c r="A1041" s="56">
        <f>_xlfn.XLOOKUP("METRÔ L5-0",Trip[trip_id],Trip[trip_id],"Não encontrado")</f>
        <v/>
      </c>
      <c r="B1041" s="28" t="n">
        <v>0.3333333333333333</v>
      </c>
      <c r="C1041" s="28" t="n">
        <v>0.3743055555555556</v>
      </c>
      <c r="D1041" s="29" t="n">
        <v>480</v>
      </c>
    </row>
    <row r="1042">
      <c r="A1042" s="55">
        <f>_xlfn.XLOOKUP("METRÔ L5-0",Trip[trip_id],Trip[trip_id],"Não encontrado")</f>
        <v/>
      </c>
      <c r="B1042" s="25" t="n">
        <v>0.375</v>
      </c>
      <c r="C1042" s="25" t="n">
        <v>0.4159722222222222</v>
      </c>
      <c r="D1042" s="26" t="n">
        <v>420</v>
      </c>
    </row>
    <row r="1043">
      <c r="A1043" s="56">
        <f>_xlfn.XLOOKUP("METRÔ L5-0",Trip[trip_id],Trip[trip_id],"Não encontrado")</f>
        <v/>
      </c>
      <c r="B1043" s="28" t="n">
        <v>0.4166666666666667</v>
      </c>
      <c r="C1043" s="28" t="n">
        <v>0.4576388888888889</v>
      </c>
      <c r="D1043" s="29" t="n">
        <v>480</v>
      </c>
    </row>
    <row r="1044">
      <c r="A1044" s="55">
        <f>_xlfn.XLOOKUP("METRÔ L5-0",Trip[trip_id],Trip[trip_id],"Não encontrado")</f>
        <v/>
      </c>
      <c r="B1044" s="25" t="n">
        <v>0.4583333333333333</v>
      </c>
      <c r="C1044" s="25" t="n">
        <v>0.4993055555555556</v>
      </c>
      <c r="D1044" s="26" t="n">
        <v>420</v>
      </c>
    </row>
    <row r="1045">
      <c r="A1045" s="56">
        <f>_xlfn.XLOOKUP("METRÔ L5-0",Trip[trip_id],Trip[trip_id],"Não encontrado")</f>
        <v/>
      </c>
      <c r="B1045" s="28" t="n">
        <v>0.5</v>
      </c>
      <c r="C1045" s="28" t="n">
        <v>0.5409722222222222</v>
      </c>
      <c r="D1045" s="29" t="n">
        <v>480</v>
      </c>
    </row>
    <row r="1046">
      <c r="A1046" s="55">
        <f>_xlfn.XLOOKUP("METRÔ L5-0",Trip[trip_id],Trip[trip_id],"Não encontrado")</f>
        <v/>
      </c>
      <c r="B1046" s="25" t="n">
        <v>0.5416666666666666</v>
      </c>
      <c r="C1046" s="25" t="n">
        <v>0.5826388888888889</v>
      </c>
      <c r="D1046" s="26" t="n">
        <v>420</v>
      </c>
    </row>
    <row r="1047">
      <c r="A1047" s="56">
        <f>_xlfn.XLOOKUP("METRÔ L5-0",Trip[trip_id],Trip[trip_id],"Não encontrado")</f>
        <v/>
      </c>
      <c r="B1047" s="28" t="n">
        <v>0.5833333333333334</v>
      </c>
      <c r="C1047" s="28" t="n">
        <v>0.6243055555555556</v>
      </c>
      <c r="D1047" s="29" t="n">
        <v>480</v>
      </c>
    </row>
    <row r="1048">
      <c r="A1048" s="55">
        <f>_xlfn.XLOOKUP("METRÔ L5-0",Trip[trip_id],Trip[trip_id],"Não encontrado")</f>
        <v/>
      </c>
      <c r="B1048" s="25" t="n">
        <v>0.625</v>
      </c>
      <c r="C1048" s="25" t="n">
        <v>0.6659722222222222</v>
      </c>
      <c r="D1048" s="26" t="n">
        <v>420</v>
      </c>
    </row>
    <row r="1049">
      <c r="A1049" s="56">
        <f>_xlfn.XLOOKUP("METRÔ L5-0",Trip[trip_id],Trip[trip_id],"Não encontrado")</f>
        <v/>
      </c>
      <c r="B1049" s="28" t="n">
        <v>0.6666666666666666</v>
      </c>
      <c r="C1049" s="28" t="n">
        <v>0.7076388888888889</v>
      </c>
      <c r="D1049" s="29" t="n">
        <v>480</v>
      </c>
    </row>
    <row r="1050">
      <c r="A1050" s="55">
        <f>_xlfn.XLOOKUP("METRÔ L5-0",Trip[trip_id],Trip[trip_id],"Não encontrado")</f>
        <v/>
      </c>
      <c r="B1050" s="25" t="n">
        <v>0.7083333333333334</v>
      </c>
      <c r="C1050" s="25" t="n">
        <v>0.7493055555555556</v>
      </c>
      <c r="D1050" s="26" t="n">
        <v>420</v>
      </c>
    </row>
    <row r="1051">
      <c r="A1051" s="56">
        <f>_xlfn.XLOOKUP("METRÔ L5-0",Trip[trip_id],Trip[trip_id],"Não encontrado")</f>
        <v/>
      </c>
      <c r="B1051" s="28" t="n">
        <v>0.75</v>
      </c>
      <c r="C1051" s="28" t="n">
        <v>0.7909722222222222</v>
      </c>
      <c r="D1051" s="29" t="n">
        <v>480</v>
      </c>
    </row>
    <row r="1052">
      <c r="A1052" s="55">
        <f>_xlfn.XLOOKUP("METRÔ L5-0",Trip[trip_id],Trip[trip_id],"Não encontrado")</f>
        <v/>
      </c>
      <c r="B1052" s="25" t="n">
        <v>0.7916666666666666</v>
      </c>
      <c r="C1052" s="25" t="n">
        <v>0.8326388888888889</v>
      </c>
      <c r="D1052" s="26" t="n">
        <v>420</v>
      </c>
    </row>
    <row r="1053">
      <c r="A1053" s="56">
        <f>_xlfn.XLOOKUP("METRÔ L5-0",Trip[trip_id],Trip[trip_id],"Não encontrado")</f>
        <v/>
      </c>
      <c r="B1053" s="28" t="n">
        <v>0.8333333333333334</v>
      </c>
      <c r="C1053" s="28" t="n">
        <v>0.8743055555555556</v>
      </c>
      <c r="D1053" s="29" t="n">
        <v>480</v>
      </c>
    </row>
    <row r="1054">
      <c r="A1054" s="55">
        <f>_xlfn.XLOOKUP("METRÔ L5-0",Trip[trip_id],Trip[trip_id],"Não encontrado")</f>
        <v/>
      </c>
      <c r="B1054" s="25" t="n">
        <v>0.875</v>
      </c>
      <c r="C1054" s="25" t="n">
        <v>0.9159722222222222</v>
      </c>
      <c r="D1054" s="26" t="n">
        <v>480</v>
      </c>
    </row>
    <row r="1055">
      <c r="A1055" s="56">
        <f>_xlfn.XLOOKUP("METRÔ L5-0",Trip[trip_id],Trip[trip_id],"Não encontrado")</f>
        <v/>
      </c>
      <c r="B1055" s="28" t="n">
        <v>0.9166666666666666</v>
      </c>
      <c r="C1055" s="28" t="n">
        <v>0.9576388888888889</v>
      </c>
      <c r="D1055" s="29" t="n">
        <v>480</v>
      </c>
    </row>
    <row r="1056">
      <c r="A1056" s="55">
        <f>_xlfn.XLOOKUP("METRÔ L5-0",Trip[trip_id],Trip[trip_id],"Não encontrado")</f>
        <v/>
      </c>
      <c r="B1056" s="25" t="n">
        <v>0.9583333333333334</v>
      </c>
      <c r="C1056" s="25" t="n">
        <v>0.9993055555555556</v>
      </c>
      <c r="D1056" s="26" t="n">
        <v>480</v>
      </c>
    </row>
    <row r="1057">
      <c r="A1057" s="56">
        <f>_xlfn.XLOOKUP("METRÔ L5-1",Trip[trip_id],Trip[trip_id],"Não encontrado")</f>
        <v/>
      </c>
      <c r="B1057" s="28" t="n">
        <v>0</v>
      </c>
      <c r="C1057" s="28" t="n">
        <v>0.04097222222222222</v>
      </c>
      <c r="D1057" s="29" t="n">
        <v>480</v>
      </c>
    </row>
    <row r="1058">
      <c r="A1058" s="55">
        <f>_xlfn.XLOOKUP("METRÔ L5-1",Trip[trip_id],Trip[trip_id],"Não encontrado")</f>
        <v/>
      </c>
      <c r="B1058" s="25" t="n">
        <v>0.1666666666666667</v>
      </c>
      <c r="C1058" s="25" t="n">
        <v>0.2076388888888889</v>
      </c>
      <c r="D1058" s="26" t="n">
        <v>480</v>
      </c>
    </row>
    <row r="1059">
      <c r="A1059" s="56">
        <f>_xlfn.XLOOKUP("METRÔ L5-1",Trip[trip_id],Trip[trip_id],"Não encontrado")</f>
        <v/>
      </c>
      <c r="B1059" s="28" t="n">
        <v>0.2083333333333333</v>
      </c>
      <c r="C1059" s="28" t="n">
        <v>0.2493055555555556</v>
      </c>
      <c r="D1059" s="29" t="n">
        <v>480</v>
      </c>
    </row>
    <row r="1060">
      <c r="A1060" s="55">
        <f>_xlfn.XLOOKUP("METRÔ L5-1",Trip[trip_id],Trip[trip_id],"Não encontrado")</f>
        <v/>
      </c>
      <c r="B1060" s="25" t="n">
        <v>0.25</v>
      </c>
      <c r="C1060" s="25" t="n">
        <v>0.2909722222222222</v>
      </c>
      <c r="D1060" s="26" t="n">
        <v>480</v>
      </c>
    </row>
    <row r="1061">
      <c r="A1061" s="56">
        <f>_xlfn.XLOOKUP("METRÔ L5-1",Trip[trip_id],Trip[trip_id],"Não encontrado")</f>
        <v/>
      </c>
      <c r="B1061" s="28" t="n">
        <v>0.2916666666666667</v>
      </c>
      <c r="C1061" s="28" t="n">
        <v>0.3326388888888889</v>
      </c>
      <c r="D1061" s="29" t="n">
        <v>420</v>
      </c>
    </row>
    <row r="1062">
      <c r="A1062" s="55">
        <f>_xlfn.XLOOKUP("METRÔ L5-1",Trip[trip_id],Trip[trip_id],"Não encontrado")</f>
        <v/>
      </c>
      <c r="B1062" s="25" t="n">
        <v>0.3333333333333333</v>
      </c>
      <c r="C1062" s="25" t="n">
        <v>0.3743055555555556</v>
      </c>
      <c r="D1062" s="26" t="n">
        <v>480</v>
      </c>
    </row>
    <row r="1063">
      <c r="A1063" s="56">
        <f>_xlfn.XLOOKUP("METRÔ L5-1",Trip[trip_id],Trip[trip_id],"Não encontrado")</f>
        <v/>
      </c>
      <c r="B1063" s="28" t="n">
        <v>0.375</v>
      </c>
      <c r="C1063" s="28" t="n">
        <v>0.4159722222222222</v>
      </c>
      <c r="D1063" s="29" t="n">
        <v>420</v>
      </c>
    </row>
    <row r="1064">
      <c r="A1064" s="55">
        <f>_xlfn.XLOOKUP("METRÔ L5-1",Trip[trip_id],Trip[trip_id],"Não encontrado")</f>
        <v/>
      </c>
      <c r="B1064" s="25" t="n">
        <v>0.4166666666666667</v>
      </c>
      <c r="C1064" s="25" t="n">
        <v>0.4576388888888889</v>
      </c>
      <c r="D1064" s="26" t="n">
        <v>480</v>
      </c>
    </row>
    <row r="1065">
      <c r="A1065" s="56">
        <f>_xlfn.XLOOKUP("METRÔ L5-1",Trip[trip_id],Trip[trip_id],"Não encontrado")</f>
        <v/>
      </c>
      <c r="B1065" s="28" t="n">
        <v>0.4583333333333333</v>
      </c>
      <c r="C1065" s="28" t="n">
        <v>0.4993055555555556</v>
      </c>
      <c r="D1065" s="29" t="n">
        <v>420</v>
      </c>
    </row>
    <row r="1066">
      <c r="A1066" s="55">
        <f>_xlfn.XLOOKUP("METRÔ L5-1",Trip[trip_id],Trip[trip_id],"Não encontrado")</f>
        <v/>
      </c>
      <c r="B1066" s="25" t="n">
        <v>0.5</v>
      </c>
      <c r="C1066" s="25" t="n">
        <v>0.5409722222222222</v>
      </c>
      <c r="D1066" s="26" t="n">
        <v>480</v>
      </c>
    </row>
    <row r="1067">
      <c r="A1067" s="56">
        <f>_xlfn.XLOOKUP("METRÔ L5-1",Trip[trip_id],Trip[trip_id],"Não encontrado")</f>
        <v/>
      </c>
      <c r="B1067" s="28" t="n">
        <v>0.5416666666666666</v>
      </c>
      <c r="C1067" s="28" t="n">
        <v>0.5826388888888889</v>
      </c>
      <c r="D1067" s="29" t="n">
        <v>420</v>
      </c>
    </row>
    <row r="1068">
      <c r="A1068" s="55">
        <f>_xlfn.XLOOKUP("METRÔ L5-1",Trip[trip_id],Trip[trip_id],"Não encontrado")</f>
        <v/>
      </c>
      <c r="B1068" s="25" t="n">
        <v>0.5833333333333334</v>
      </c>
      <c r="C1068" s="25" t="n">
        <v>0.6243055555555556</v>
      </c>
      <c r="D1068" s="26" t="n">
        <v>480</v>
      </c>
    </row>
    <row r="1069">
      <c r="A1069" s="56">
        <f>_xlfn.XLOOKUP("METRÔ L5-1",Trip[trip_id],Trip[trip_id],"Não encontrado")</f>
        <v/>
      </c>
      <c r="B1069" s="28" t="n">
        <v>0.625</v>
      </c>
      <c r="C1069" s="28" t="n">
        <v>0.6659722222222222</v>
      </c>
      <c r="D1069" s="29" t="n">
        <v>420</v>
      </c>
    </row>
    <row r="1070">
      <c r="A1070" s="55">
        <f>_xlfn.XLOOKUP("METRÔ L5-1",Trip[trip_id],Trip[trip_id],"Não encontrado")</f>
        <v/>
      </c>
      <c r="B1070" s="25" t="n">
        <v>0.6666666666666666</v>
      </c>
      <c r="C1070" s="25" t="n">
        <v>0.7076388888888889</v>
      </c>
      <c r="D1070" s="26" t="n">
        <v>480</v>
      </c>
    </row>
    <row r="1071">
      <c r="A1071" s="56">
        <f>_xlfn.XLOOKUP("METRÔ L5-1",Trip[trip_id],Trip[trip_id],"Não encontrado")</f>
        <v/>
      </c>
      <c r="B1071" s="28" t="n">
        <v>0.7083333333333334</v>
      </c>
      <c r="C1071" s="28" t="n">
        <v>0.7493055555555556</v>
      </c>
      <c r="D1071" s="29" t="n">
        <v>420</v>
      </c>
    </row>
    <row r="1072">
      <c r="A1072" s="55">
        <f>_xlfn.XLOOKUP("METRÔ L5-1",Trip[trip_id],Trip[trip_id],"Não encontrado")</f>
        <v/>
      </c>
      <c r="B1072" s="25" t="n">
        <v>0.75</v>
      </c>
      <c r="C1072" s="25" t="n">
        <v>0.7909722222222222</v>
      </c>
      <c r="D1072" s="26" t="n">
        <v>480</v>
      </c>
    </row>
    <row r="1073">
      <c r="A1073" s="56">
        <f>_xlfn.XLOOKUP("METRÔ L5-1",Trip[trip_id],Trip[trip_id],"Não encontrado")</f>
        <v/>
      </c>
      <c r="B1073" s="28" t="n">
        <v>0.7916666666666666</v>
      </c>
      <c r="C1073" s="28" t="n">
        <v>0.8326388888888889</v>
      </c>
      <c r="D1073" s="29" t="n">
        <v>420</v>
      </c>
    </row>
    <row r="1074">
      <c r="A1074" s="55">
        <f>_xlfn.XLOOKUP("METRÔ L5-1",Trip[trip_id],Trip[trip_id],"Não encontrado")</f>
        <v/>
      </c>
      <c r="B1074" s="25" t="n">
        <v>0.8333333333333334</v>
      </c>
      <c r="C1074" s="25" t="n">
        <v>0.8743055555555556</v>
      </c>
      <c r="D1074" s="26" t="n">
        <v>480</v>
      </c>
    </row>
    <row r="1075">
      <c r="A1075" s="56">
        <f>_xlfn.XLOOKUP("METRÔ L5-1",Trip[trip_id],Trip[trip_id],"Não encontrado")</f>
        <v/>
      </c>
      <c r="B1075" s="28" t="n">
        <v>0.875</v>
      </c>
      <c r="C1075" s="28" t="n">
        <v>0.9159722222222222</v>
      </c>
      <c r="D1075" s="29" t="n">
        <v>480</v>
      </c>
    </row>
    <row r="1076">
      <c r="A1076" s="55">
        <f>_xlfn.XLOOKUP("METRÔ L5-1",Trip[trip_id],Trip[trip_id],"Não encontrado")</f>
        <v/>
      </c>
      <c r="B1076" s="25" t="n">
        <v>0.9166666666666666</v>
      </c>
      <c r="C1076" s="25" t="n">
        <v>0.9576388888888889</v>
      </c>
      <c r="D1076" s="26" t="n">
        <v>480</v>
      </c>
    </row>
    <row r="1077">
      <c r="A1077" s="56">
        <f>_xlfn.XLOOKUP("METRÔ L5-1",Trip[trip_id],Trip[trip_id],"Não encontrado")</f>
        <v/>
      </c>
      <c r="B1077" s="28" t="n">
        <v>0.9583333333333334</v>
      </c>
      <c r="C1077" s="28" t="n">
        <v>0.9993055555555556</v>
      </c>
      <c r="D1077" s="29" t="n">
        <v>480</v>
      </c>
    </row>
    <row r="1078">
      <c r="A1078" s="55">
        <f>_xlfn.XLOOKUP("METRÔ L6-0",Trip[trip_id],Trip[trip_id],"Não encontrado")</f>
        <v/>
      </c>
      <c r="B1078" s="25" t="n">
        <v>0.4166666666666667</v>
      </c>
      <c r="C1078" s="25" t="n">
        <v>0.4576388888888889</v>
      </c>
      <c r="D1078" s="26" t="n">
        <v>900</v>
      </c>
    </row>
    <row r="1079">
      <c r="A1079" s="56">
        <f>_xlfn.XLOOKUP("METRÔ L6-0",Trip[trip_id],Trip[trip_id],"Não encontrado")</f>
        <v/>
      </c>
      <c r="B1079" s="28" t="n">
        <v>0.4583333333333333</v>
      </c>
      <c r="C1079" s="28" t="n">
        <v>0.4993055555555556</v>
      </c>
      <c r="D1079" s="29" t="n">
        <v>900</v>
      </c>
    </row>
    <row r="1080">
      <c r="A1080" s="55">
        <f>_xlfn.XLOOKUP("METRÔ L6-0",Trip[trip_id],Trip[trip_id],"Não encontrado")</f>
        <v/>
      </c>
      <c r="B1080" s="25" t="n">
        <v>0.5</v>
      </c>
      <c r="C1080" s="25" t="n">
        <v>0.5409722222222222</v>
      </c>
      <c r="D1080" s="26" t="n">
        <v>900</v>
      </c>
    </row>
    <row r="1081">
      <c r="A1081" s="56">
        <f>_xlfn.XLOOKUP("METRÔ L6-0",Trip[trip_id],Trip[trip_id],"Não encontrado")</f>
        <v/>
      </c>
      <c r="B1081" s="28" t="n">
        <v>0.5416666666666666</v>
      </c>
      <c r="C1081" s="28" t="n">
        <v>0.5826388888888889</v>
      </c>
      <c r="D1081" s="29" t="n">
        <v>900</v>
      </c>
    </row>
    <row r="1082">
      <c r="A1082" s="55">
        <f>_xlfn.XLOOKUP("METRÔ L6-0",Trip[trip_id],Trip[trip_id],"Não encontrado")</f>
        <v/>
      </c>
      <c r="B1082" s="25" t="n">
        <v>0.5833333333333334</v>
      </c>
      <c r="C1082" s="25" t="n">
        <v>0.6243055555555556</v>
      </c>
      <c r="D1082" s="26" t="n">
        <v>900</v>
      </c>
    </row>
    <row r="1083">
      <c r="A1083" s="56">
        <f>_xlfn.XLOOKUP("METRÔ L6-1",Trip[trip_id],Trip[trip_id],"Não encontrado")</f>
        <v/>
      </c>
      <c r="B1083" s="28" t="n">
        <v>0.4166666666666667</v>
      </c>
      <c r="C1083" s="28" t="n">
        <v>0.4576388888888889</v>
      </c>
      <c r="D1083" s="29" t="n">
        <v>900</v>
      </c>
    </row>
    <row r="1084">
      <c r="A1084" s="55">
        <f>_xlfn.XLOOKUP("METRÔ L6-1",Trip[trip_id],Trip[trip_id],"Não encontrado")</f>
        <v/>
      </c>
      <c r="B1084" s="25" t="n">
        <v>0.4583333333333333</v>
      </c>
      <c r="C1084" s="25" t="n">
        <v>0.4993055555555556</v>
      </c>
      <c r="D1084" s="26" t="n">
        <v>900</v>
      </c>
    </row>
    <row r="1085">
      <c r="A1085" s="56">
        <f>_xlfn.XLOOKUP("METRÔ L6-1",Trip[trip_id],Trip[trip_id],"Não encontrado")</f>
        <v/>
      </c>
      <c r="B1085" s="28" t="n">
        <v>0.5</v>
      </c>
      <c r="C1085" s="28" t="n">
        <v>0.5409722222222222</v>
      </c>
      <c r="D1085" s="29" t="n">
        <v>900</v>
      </c>
    </row>
    <row r="1086">
      <c r="A1086" s="55">
        <f>_xlfn.XLOOKUP("METRÔ L6-1",Trip[trip_id],Trip[trip_id],"Não encontrado")</f>
        <v/>
      </c>
      <c r="B1086" s="25" t="n">
        <v>0.5416666666666666</v>
      </c>
      <c r="C1086" s="25" t="n">
        <v>0.5826388888888889</v>
      </c>
      <c r="D1086" s="26" t="n">
        <v>900</v>
      </c>
    </row>
    <row r="1087">
      <c r="A1087" s="56">
        <f>_xlfn.XLOOKUP("METRÔ L6-1",Trip[trip_id],Trip[trip_id],"Não encontrado")</f>
        <v/>
      </c>
      <c r="B1087" s="28" t="n">
        <v>0.5833333333333334</v>
      </c>
      <c r="C1087" s="28" t="n">
        <v>0.6243055555555556</v>
      </c>
      <c r="D1087" s="29" t="n">
        <v>900</v>
      </c>
    </row>
    <row r="1088">
      <c r="A1088" s="55">
        <f>_xlfn.XLOOKUP("METRÔ17A-0",Trip[trip_id],Trip[trip_id],"Não encontrado")</f>
        <v/>
      </c>
      <c r="B1088" s="25" t="n">
        <v>0.375</v>
      </c>
      <c r="C1088" s="25" t="n">
        <v>0.4159722222222222</v>
      </c>
      <c r="D1088" s="26" t="n">
        <v>900</v>
      </c>
    </row>
    <row r="1089">
      <c r="A1089" s="56">
        <f>_xlfn.XLOOKUP("METRÔ17A-0",Trip[trip_id],Trip[trip_id],"Não encontrado")</f>
        <v/>
      </c>
      <c r="B1089" s="28" t="n">
        <v>0.4166666666666667</v>
      </c>
      <c r="C1089" s="28" t="n">
        <v>0.4576388888888889</v>
      </c>
      <c r="D1089" s="29" t="n">
        <v>900</v>
      </c>
    </row>
    <row r="1090">
      <c r="A1090" s="55">
        <f>_xlfn.XLOOKUP("METRÔ17A-0",Trip[trip_id],Trip[trip_id],"Não encontrado")</f>
        <v/>
      </c>
      <c r="B1090" s="25" t="n">
        <v>0.4583333333333333</v>
      </c>
      <c r="C1090" s="25" t="n">
        <v>0.4993055555555556</v>
      </c>
      <c r="D1090" s="26" t="n">
        <v>900</v>
      </c>
    </row>
    <row r="1091">
      <c r="A1091" s="56">
        <f>_xlfn.XLOOKUP("METRÔ17A-0",Trip[trip_id],Trip[trip_id],"Não encontrado")</f>
        <v/>
      </c>
      <c r="B1091" s="28" t="n">
        <v>0.5</v>
      </c>
      <c r="C1091" s="28" t="n">
        <v>0.5409722222222222</v>
      </c>
      <c r="D1091" s="29" t="n">
        <v>900</v>
      </c>
    </row>
    <row r="1092">
      <c r="A1092" s="55">
        <f>_xlfn.XLOOKUP("METRÔ17A-0",Trip[trip_id],Trip[trip_id],"Não encontrado")</f>
        <v/>
      </c>
      <c r="B1092" s="25" t="n">
        <v>0.5416666666666666</v>
      </c>
      <c r="C1092" s="25" t="n">
        <v>0.5826388888888889</v>
      </c>
      <c r="D1092" s="26" t="n">
        <v>900</v>
      </c>
    </row>
    <row r="1093">
      <c r="A1093" s="56">
        <f>_xlfn.XLOOKUP("METRÔ17A-0",Trip[trip_id],Trip[trip_id],"Não encontrado")</f>
        <v/>
      </c>
      <c r="B1093" s="28" t="n">
        <v>0.5833333333333334</v>
      </c>
      <c r="C1093" s="28" t="n">
        <v>0.6243055555555556</v>
      </c>
      <c r="D1093" s="29" t="n">
        <v>900</v>
      </c>
    </row>
    <row r="1094">
      <c r="A1094" s="55">
        <f>_xlfn.XLOOKUP("METRÔ17A-0",Trip[trip_id],Trip[trip_id],"Não encontrado")</f>
        <v/>
      </c>
      <c r="B1094" s="25" t="n">
        <v>0.625</v>
      </c>
      <c r="C1094" s="25" t="n">
        <v>0.6659722222222222</v>
      </c>
      <c r="D1094" s="26" t="n">
        <v>900</v>
      </c>
    </row>
    <row r="1095">
      <c r="A1095" s="56">
        <f>_xlfn.XLOOKUP("METRÔ17A-1",Trip[trip_id],Trip[trip_id],"Não encontrado")</f>
        <v/>
      </c>
      <c r="B1095" s="28" t="n">
        <v>0.375</v>
      </c>
      <c r="C1095" s="28" t="n">
        <v>0.4159722222222222</v>
      </c>
      <c r="D1095" s="29" t="n">
        <v>900</v>
      </c>
    </row>
    <row r="1096">
      <c r="A1096" s="55">
        <f>_xlfn.XLOOKUP("METRÔ17A-1",Trip[trip_id],Trip[trip_id],"Não encontrado")</f>
        <v/>
      </c>
      <c r="B1096" s="25" t="n">
        <v>0.4166666666666667</v>
      </c>
      <c r="C1096" s="25" t="n">
        <v>0.4576388888888889</v>
      </c>
      <c r="D1096" s="26" t="n">
        <v>900</v>
      </c>
    </row>
    <row r="1097">
      <c r="A1097" s="56">
        <f>_xlfn.XLOOKUP("METRÔ17A-1",Trip[trip_id],Trip[trip_id],"Não encontrado")</f>
        <v/>
      </c>
      <c r="B1097" s="28" t="n">
        <v>0.4583333333333333</v>
      </c>
      <c r="C1097" s="28" t="n">
        <v>0.4993055555555556</v>
      </c>
      <c r="D1097" s="29" t="n">
        <v>900</v>
      </c>
    </row>
    <row r="1098">
      <c r="A1098" s="55">
        <f>_xlfn.XLOOKUP("METRÔ17A-1",Trip[trip_id],Trip[trip_id],"Não encontrado")</f>
        <v/>
      </c>
      <c r="B1098" s="25" t="n">
        <v>0.5</v>
      </c>
      <c r="C1098" s="25" t="n">
        <v>0.5409722222222222</v>
      </c>
      <c r="D1098" s="26" t="n">
        <v>900</v>
      </c>
    </row>
    <row r="1099">
      <c r="A1099" s="56">
        <f>_xlfn.XLOOKUP("METRÔ17A-1",Trip[trip_id],Trip[trip_id],"Não encontrado")</f>
        <v/>
      </c>
      <c r="B1099" s="28" t="n">
        <v>0.5416666666666666</v>
      </c>
      <c r="C1099" s="28" t="n">
        <v>0.5826388888888889</v>
      </c>
      <c r="D1099" s="29" t="n">
        <v>900</v>
      </c>
    </row>
    <row r="1100">
      <c r="A1100" s="55">
        <f>_xlfn.XLOOKUP("METRÔ17A-1",Trip[trip_id],Trip[trip_id],"Não encontrado")</f>
        <v/>
      </c>
      <c r="B1100" s="25" t="n">
        <v>0.5833333333333334</v>
      </c>
      <c r="C1100" s="25" t="n">
        <v>0.6243055555555556</v>
      </c>
      <c r="D1100" s="26" t="n">
        <v>900</v>
      </c>
    </row>
    <row r="1101">
      <c r="A1101" s="56">
        <f>_xlfn.XLOOKUP("METRÔ17A-1",Trip[trip_id],Trip[trip_id],"Não encontrado")</f>
        <v/>
      </c>
      <c r="B1101" s="28" t="n">
        <v>0.625</v>
      </c>
      <c r="C1101" s="28" t="n">
        <v>0.6659722222222222</v>
      </c>
      <c r="D1101" s="29" t="n">
        <v>900</v>
      </c>
    </row>
    <row r="1102">
      <c r="A1102" s="55">
        <f>_xlfn.XLOOKUP("METRÔ17W-0",Trip[trip_id],Trip[trip_id],"Não encontrado")</f>
        <v/>
      </c>
      <c r="B1102" s="25" t="n">
        <v>0.375</v>
      </c>
      <c r="C1102" s="25" t="n">
        <v>0.4159722222222222</v>
      </c>
      <c r="D1102" s="26" t="n">
        <v>1800</v>
      </c>
    </row>
    <row r="1103">
      <c r="A1103" s="56">
        <f>_xlfn.XLOOKUP("METRÔ17W-0",Trip[trip_id],Trip[trip_id],"Não encontrado")</f>
        <v/>
      </c>
      <c r="B1103" s="28" t="n">
        <v>0.4166666666666667</v>
      </c>
      <c r="C1103" s="28" t="n">
        <v>0.4576388888888889</v>
      </c>
      <c r="D1103" s="29" t="n">
        <v>1800</v>
      </c>
    </row>
    <row r="1104">
      <c r="A1104" s="55">
        <f>_xlfn.XLOOKUP("METRÔ17W-0",Trip[trip_id],Trip[trip_id],"Não encontrado")</f>
        <v/>
      </c>
      <c r="B1104" s="25" t="n">
        <v>0.4583333333333333</v>
      </c>
      <c r="C1104" s="25" t="n">
        <v>0.4993055555555556</v>
      </c>
      <c r="D1104" s="26" t="n">
        <v>1800</v>
      </c>
    </row>
    <row r="1105">
      <c r="A1105" s="56">
        <f>_xlfn.XLOOKUP("METRÔ17W-0",Trip[trip_id],Trip[trip_id],"Não encontrado")</f>
        <v/>
      </c>
      <c r="B1105" s="28" t="n">
        <v>0.5</v>
      </c>
      <c r="C1105" s="28" t="n">
        <v>0.5409722222222222</v>
      </c>
      <c r="D1105" s="29" t="n">
        <v>1800</v>
      </c>
    </row>
    <row r="1106">
      <c r="A1106" s="55">
        <f>_xlfn.XLOOKUP("METRÔ17W-0",Trip[trip_id],Trip[trip_id],"Não encontrado")</f>
        <v/>
      </c>
      <c r="B1106" s="25" t="n">
        <v>0.5416666666666666</v>
      </c>
      <c r="C1106" s="25" t="n">
        <v>0.5826388888888889</v>
      </c>
      <c r="D1106" s="26" t="n">
        <v>1800</v>
      </c>
    </row>
    <row r="1107">
      <c r="A1107" s="56">
        <f>_xlfn.XLOOKUP("METRÔ17W-0",Trip[trip_id],Trip[trip_id],"Não encontrado")</f>
        <v/>
      </c>
      <c r="B1107" s="28" t="n">
        <v>0.5833333333333334</v>
      </c>
      <c r="C1107" s="28" t="n">
        <v>0.6243055555555556</v>
      </c>
      <c r="D1107" s="29" t="n">
        <v>1800</v>
      </c>
    </row>
    <row r="1108">
      <c r="A1108" s="55">
        <f>_xlfn.XLOOKUP("METRÔ17W-0",Trip[trip_id],Trip[trip_id],"Não encontrado")</f>
        <v/>
      </c>
      <c r="B1108" s="25" t="n">
        <v>0.625</v>
      </c>
      <c r="C1108" s="25" t="n">
        <v>0.6659722222222222</v>
      </c>
      <c r="D1108" s="26" t="n">
        <v>1800</v>
      </c>
    </row>
    <row r="1109">
      <c r="A1109" s="56">
        <f>_xlfn.XLOOKUP("METRÔ17W-1",Trip[trip_id],Trip[trip_id],"Não encontrado")</f>
        <v/>
      </c>
      <c r="B1109" s="28" t="n">
        <v>0.375</v>
      </c>
      <c r="C1109" s="28" t="n">
        <v>0.4159722222222222</v>
      </c>
      <c r="D1109" s="29" t="n">
        <v>1800</v>
      </c>
    </row>
    <row r="1110">
      <c r="A1110" s="55">
        <f>_xlfn.XLOOKUP("METRÔ17W-1",Trip[trip_id],Trip[trip_id],"Não encontrado")</f>
        <v/>
      </c>
      <c r="B1110" s="25" t="n">
        <v>0.4166666666666667</v>
      </c>
      <c r="C1110" s="25" t="n">
        <v>0.4576388888888889</v>
      </c>
      <c r="D1110" s="26" t="n">
        <v>1800</v>
      </c>
    </row>
    <row r="1111">
      <c r="A1111" s="56">
        <f>_xlfn.XLOOKUP("METRÔ17W-1",Trip[trip_id],Trip[trip_id],"Não encontrado")</f>
        <v/>
      </c>
      <c r="B1111" s="28" t="n">
        <v>0.4583333333333333</v>
      </c>
      <c r="C1111" s="28" t="n">
        <v>0.4993055555555556</v>
      </c>
      <c r="D1111" s="29" t="n">
        <v>1800</v>
      </c>
    </row>
    <row r="1112">
      <c r="A1112" s="55">
        <f>_xlfn.XLOOKUP("METRÔ17W-1",Trip[trip_id],Trip[trip_id],"Não encontrado")</f>
        <v/>
      </c>
      <c r="B1112" s="25" t="n">
        <v>0.5</v>
      </c>
      <c r="C1112" s="25" t="n">
        <v>0.5409722222222222</v>
      </c>
      <c r="D1112" s="26" t="n">
        <v>1800</v>
      </c>
    </row>
    <row r="1113">
      <c r="A1113" s="56">
        <f>_xlfn.XLOOKUP("METRÔ17W-1",Trip[trip_id],Trip[trip_id],"Não encontrado")</f>
        <v/>
      </c>
      <c r="B1113" s="28" t="n">
        <v>0.5416666666666666</v>
      </c>
      <c r="C1113" s="28" t="n">
        <v>0.5826388888888889</v>
      </c>
      <c r="D1113" s="29" t="n">
        <v>1800</v>
      </c>
    </row>
    <row r="1114">
      <c r="A1114" s="55">
        <f>_xlfn.XLOOKUP("METRÔ17W-1",Trip[trip_id],Trip[trip_id],"Não encontrado")</f>
        <v/>
      </c>
      <c r="B1114" s="25" t="n">
        <v>0.5833333333333334</v>
      </c>
      <c r="C1114" s="25" t="n">
        <v>0.6243055555555556</v>
      </c>
      <c r="D1114" s="26" t="n">
        <v>1800</v>
      </c>
    </row>
    <row r="1115">
      <c r="A1115" s="57">
        <f>_xlfn.XLOOKUP("METRÔ17W-1",Trip[trip_id],Trip[trip_id],"Não encontrado")</f>
        <v/>
      </c>
      <c r="B1115" s="30" t="n">
        <v>0.625</v>
      </c>
      <c r="C1115" s="30" t="n">
        <v>0.6659722222222222</v>
      </c>
      <c r="D1115" s="31" t="n">
        <v>1800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2" sqref="A2"/>
    </sheetView>
  </sheetViews>
  <sheetFormatPr baseColWidth="8" defaultRowHeight="15"/>
  <cols>
    <col width="10.85546875" bestFit="1" customWidth="1" min="1" max="1"/>
    <col width="12.140625" bestFit="1" customWidth="1" min="2" max="2"/>
    <col width="19.85546875" bestFit="1" customWidth="1" min="3" max="3"/>
    <col width="49.7109375" bestFit="1" customWidth="1" min="4" max="4"/>
    <col width="13" bestFit="1" customWidth="1" min="5" max="5"/>
    <col width="13.5703125" bestFit="1" customWidth="1" min="6" max="6"/>
    <col width="18.140625" bestFit="1" customWidth="1" min="7" max="7"/>
  </cols>
  <sheetData>
    <row r="1">
      <c r="A1" t="inlineStr">
        <is>
          <t>route_id</t>
        </is>
      </c>
      <c r="B1" t="inlineStr">
        <is>
          <t>agency_id</t>
        </is>
      </c>
      <c r="C1" t="inlineStr">
        <is>
          <t>route_short_name</t>
        </is>
      </c>
      <c r="D1" t="inlineStr">
        <is>
          <t>route_long_name</t>
        </is>
      </c>
      <c r="E1" t="inlineStr">
        <is>
          <t>route_type</t>
        </is>
      </c>
      <c r="F1" t="inlineStr">
        <is>
          <t>route_color</t>
        </is>
      </c>
      <c r="G1" t="inlineStr">
        <is>
          <t>route_text_color</t>
        </is>
      </c>
    </row>
    <row r="2">
      <c r="A2" t="inlineStr">
        <is>
          <t>118C-10</t>
        </is>
      </c>
      <c r="B2" t="n">
        <v>1</v>
      </c>
      <c r="C2" t="inlineStr">
        <is>
          <t>118C-10</t>
        </is>
      </c>
      <c r="D2" t="inlineStr">
        <is>
          <t>Jd. Pery Alto - Term. Amaral Gurgel</t>
        </is>
      </c>
      <c r="E2" t="n">
        <v>3</v>
      </c>
      <c r="F2" t="inlineStr">
        <is>
          <t>002F6C</t>
        </is>
      </c>
      <c r="G2" t="inlineStr">
        <is>
          <t>FFFFFF</t>
        </is>
      </c>
    </row>
    <row r="3">
      <c r="A3" t="inlineStr">
        <is>
          <t>175T-10</t>
        </is>
      </c>
      <c r="B3" t="n">
        <v>1</v>
      </c>
      <c r="C3" t="inlineStr">
        <is>
          <t>175T-10</t>
        </is>
      </c>
      <c r="D3" t="inlineStr">
        <is>
          <t>Metrô Santana - Metrô Jabaquara</t>
        </is>
      </c>
      <c r="E3" t="n">
        <v>3</v>
      </c>
      <c r="F3" t="inlineStr">
        <is>
          <t>002F6C</t>
        </is>
      </c>
      <c r="G3" t="inlineStr">
        <is>
          <t>FFFFFF</t>
        </is>
      </c>
    </row>
    <row r="4">
      <c r="A4" t="inlineStr">
        <is>
          <t>272N-10</t>
        </is>
      </c>
      <c r="B4" t="n">
        <v>1</v>
      </c>
      <c r="C4" t="inlineStr">
        <is>
          <t>272N-10</t>
        </is>
      </c>
      <c r="D4" t="inlineStr">
        <is>
          <t>Pq. Novo Mundo - Pq. D. Pedro Ii</t>
        </is>
      </c>
      <c r="E4" t="n">
        <v>3</v>
      </c>
      <c r="F4" t="inlineStr">
        <is>
          <t>002F6C</t>
        </is>
      </c>
      <c r="G4" t="inlineStr">
        <is>
          <t>FFFFFF</t>
        </is>
      </c>
    </row>
    <row r="5">
      <c r="A5" t="inlineStr">
        <is>
          <t>3029-10</t>
        </is>
      </c>
      <c r="B5" t="n">
        <v>1</v>
      </c>
      <c r="C5" t="inlineStr">
        <is>
          <t>3029-10</t>
        </is>
      </c>
      <c r="D5" t="inlineStr">
        <is>
          <t>Jd. Das Rosas - Metrô Tatuapé</t>
        </is>
      </c>
      <c r="E5" t="n">
        <v>3</v>
      </c>
      <c r="F5" t="inlineStr">
        <is>
          <t>DA291C</t>
        </is>
      </c>
      <c r="G5" t="inlineStr">
        <is>
          <t>FFFFFF</t>
        </is>
      </c>
    </row>
    <row r="6">
      <c r="A6" t="inlineStr">
        <is>
          <t>311C-10</t>
        </is>
      </c>
      <c r="B6" t="n">
        <v>1</v>
      </c>
      <c r="C6" t="inlineStr">
        <is>
          <t>311C-10</t>
        </is>
      </c>
      <c r="D6" t="inlineStr">
        <is>
          <t>Pq. São Lucas - Bom Retiro</t>
        </is>
      </c>
      <c r="E6" t="n">
        <v>3</v>
      </c>
      <c r="F6" t="inlineStr">
        <is>
          <t>006341</t>
        </is>
      </c>
      <c r="G6" t="inlineStr">
        <is>
          <t>FFFFFF</t>
        </is>
      </c>
    </row>
    <row r="7">
      <c r="A7" t="inlineStr">
        <is>
          <t>351F-10</t>
        </is>
      </c>
      <c r="B7" t="n">
        <v>1</v>
      </c>
      <c r="C7" t="inlineStr">
        <is>
          <t>351F-10</t>
        </is>
      </c>
      <c r="D7" t="inlineStr">
        <is>
          <t>Jaçanã - Term. Vl. Carrão</t>
        </is>
      </c>
      <c r="E7" t="n">
        <v>3</v>
      </c>
      <c r="F7" t="inlineStr">
        <is>
          <t>002F6C</t>
        </is>
      </c>
      <c r="G7" t="inlineStr">
        <is>
          <t>FFFFFF</t>
        </is>
      </c>
    </row>
    <row r="8">
      <c r="A8" t="inlineStr">
        <is>
          <t>372U-10</t>
        </is>
      </c>
      <c r="B8" t="n">
        <v>1</v>
      </c>
      <c r="C8" t="inlineStr">
        <is>
          <t>372U-10</t>
        </is>
      </c>
      <c r="D8" t="inlineStr">
        <is>
          <t>Vl. Sta. Isabel - Metrô Tatuapé</t>
        </is>
      </c>
      <c r="E8" t="n">
        <v>3</v>
      </c>
      <c r="F8" t="inlineStr">
        <is>
          <t>DA291C</t>
        </is>
      </c>
      <c r="G8" t="inlineStr">
        <is>
          <t>FFFFFF</t>
        </is>
      </c>
    </row>
    <row r="9">
      <c r="A9" t="inlineStr">
        <is>
          <t>373M-10</t>
        </is>
      </c>
      <c r="B9" t="n">
        <v>1</v>
      </c>
      <c r="C9" t="inlineStr">
        <is>
          <t>373M-10</t>
        </is>
      </c>
      <c r="D9" t="inlineStr">
        <is>
          <t>Jd. Guairacá - Shop. Metrô Tatuapé</t>
        </is>
      </c>
      <c r="E9" t="n">
        <v>3</v>
      </c>
      <c r="F9" t="inlineStr">
        <is>
          <t>006341</t>
        </is>
      </c>
      <c r="G9" t="inlineStr">
        <is>
          <t>FFFFFF</t>
        </is>
      </c>
    </row>
    <row r="10">
      <c r="A10" t="inlineStr">
        <is>
          <t>373T-10</t>
        </is>
      </c>
      <c r="B10" t="n">
        <v>1</v>
      </c>
      <c r="C10" t="inlineStr">
        <is>
          <t>373T-10</t>
        </is>
      </c>
      <c r="D10" t="inlineStr">
        <is>
          <t>Jd. Itápolis - Metrô Bresser</t>
        </is>
      </c>
      <c r="E10" t="n">
        <v>3</v>
      </c>
      <c r="F10" t="inlineStr">
        <is>
          <t>006341</t>
        </is>
      </c>
      <c r="G10" t="inlineStr">
        <is>
          <t>FFFFFF</t>
        </is>
      </c>
    </row>
    <row r="11">
      <c r="A11" t="inlineStr">
        <is>
          <t>3762-10</t>
        </is>
      </c>
      <c r="B11" t="n">
        <v>1</v>
      </c>
      <c r="C11" t="inlineStr">
        <is>
          <t>3762-10</t>
        </is>
      </c>
      <c r="D11" t="inlineStr">
        <is>
          <t>Jd. Iva - Metrô Tatuapé</t>
        </is>
      </c>
      <c r="E11" t="n">
        <v>3</v>
      </c>
      <c r="F11" t="inlineStr">
        <is>
          <t>DA291C</t>
        </is>
      </c>
      <c r="G11" t="inlineStr">
        <is>
          <t>FFFFFF</t>
        </is>
      </c>
    </row>
    <row r="12">
      <c r="A12" t="inlineStr">
        <is>
          <t>3763-10</t>
        </is>
      </c>
      <c r="B12" t="n">
        <v>1</v>
      </c>
      <c r="C12" t="inlineStr">
        <is>
          <t>3763-10</t>
        </is>
      </c>
      <c r="D12" t="inlineStr">
        <is>
          <t>Term. Vl. Carrão - Metrô Tatuapé</t>
        </is>
      </c>
      <c r="E12" t="n">
        <v>3</v>
      </c>
      <c r="F12" t="inlineStr">
        <is>
          <t>DA291C</t>
        </is>
      </c>
      <c r="G12" t="inlineStr">
        <is>
          <t>FFFFFF</t>
        </is>
      </c>
    </row>
    <row r="13">
      <c r="A13" t="inlineStr">
        <is>
          <t>407F-10</t>
        </is>
      </c>
      <c r="B13" t="n">
        <v>1</v>
      </c>
      <c r="C13" t="inlineStr">
        <is>
          <t>407F-10</t>
        </is>
      </c>
      <c r="D13" t="inlineStr">
        <is>
          <t>Term. São Mateus - Metrô Belém</t>
        </is>
      </c>
      <c r="E13" t="n">
        <v>3</v>
      </c>
      <c r="F13" t="inlineStr">
        <is>
          <t>FFD100</t>
        </is>
      </c>
      <c r="G13" t="inlineStr">
        <is>
          <t>000000</t>
        </is>
      </c>
    </row>
    <row r="14">
      <c r="A14" t="inlineStr">
        <is>
          <t>4313-10</t>
        </is>
      </c>
      <c r="B14" t="n">
        <v>1</v>
      </c>
      <c r="C14" t="inlineStr">
        <is>
          <t>4313-10</t>
        </is>
      </c>
      <c r="D14" t="inlineStr">
        <is>
          <t>Term. Cid. Tiradentes - Term. Pq. D. Pedro Ii</t>
        </is>
      </c>
      <c r="E14" t="n">
        <v>3</v>
      </c>
      <c r="F14" t="inlineStr">
        <is>
          <t>FFD100</t>
        </is>
      </c>
      <c r="G14" t="inlineStr">
        <is>
          <t>000000</t>
        </is>
      </c>
    </row>
    <row r="15">
      <c r="A15" t="inlineStr">
        <is>
          <t>574W-10</t>
        </is>
      </c>
      <c r="B15" t="n">
        <v>1</v>
      </c>
      <c r="C15" t="inlineStr">
        <is>
          <t>574W-10</t>
        </is>
      </c>
      <c r="D15" t="inlineStr">
        <is>
          <t>Jd. Walkiria - Metrô Belém</t>
        </is>
      </c>
      <c r="E15" t="n">
        <v>3</v>
      </c>
      <c r="F15" t="inlineStr">
        <is>
          <t>006341</t>
        </is>
      </c>
      <c r="G15" t="inlineStr">
        <is>
          <t>FFFFFF</t>
        </is>
      </c>
    </row>
    <row r="16">
      <c r="A16" t="inlineStr">
        <is>
          <t>CPTM L07</t>
        </is>
      </c>
      <c r="B16" t="n">
        <v>1</v>
      </c>
      <c r="C16" t="inlineStr">
        <is>
          <t>CPTM L07</t>
        </is>
      </c>
      <c r="D16" t="inlineStr">
        <is>
          <t>JUNDIAI - BARRA FUNDA</t>
        </is>
      </c>
      <c r="E16" t="n">
        <v>2</v>
      </c>
      <c r="F16" t="inlineStr">
        <is>
          <t>CA016B</t>
        </is>
      </c>
      <c r="G16" t="inlineStr">
        <is>
          <t>FFFFFF</t>
        </is>
      </c>
    </row>
    <row r="17">
      <c r="A17" t="inlineStr">
        <is>
          <t>CPTM L08</t>
        </is>
      </c>
      <c r="B17" t="n">
        <v>1</v>
      </c>
      <c r="C17" t="inlineStr">
        <is>
          <t>CPTM L08</t>
        </is>
      </c>
      <c r="D17" t="inlineStr">
        <is>
          <t>AMADOR BUENO - JULIO PRESTES</t>
        </is>
      </c>
      <c r="E17" t="n">
        <v>2</v>
      </c>
      <c r="F17" t="inlineStr">
        <is>
          <t>97A098</t>
        </is>
      </c>
      <c r="G17" t="inlineStr">
        <is>
          <t>FFFFFF</t>
        </is>
      </c>
    </row>
    <row r="18">
      <c r="A18" t="inlineStr">
        <is>
          <t>CPTM L09</t>
        </is>
      </c>
      <c r="B18" t="n">
        <v>1</v>
      </c>
      <c r="C18" t="inlineStr">
        <is>
          <t>CPTM L09</t>
        </is>
      </c>
      <c r="D18" t="inlineStr">
        <is>
          <t>VARGINHA - OSASCO</t>
        </is>
      </c>
      <c r="E18" t="n">
        <v>2</v>
      </c>
      <c r="F18" t="inlineStr">
        <is>
          <t>01A9A7</t>
        </is>
      </c>
      <c r="G18" t="inlineStr">
        <is>
          <t>FFFFFF</t>
        </is>
      </c>
    </row>
    <row r="19">
      <c r="A19" t="inlineStr">
        <is>
          <t>CPTM L10</t>
        </is>
      </c>
      <c r="B19" t="n">
        <v>1</v>
      </c>
      <c r="C19" t="inlineStr">
        <is>
          <t>CPTM L10</t>
        </is>
      </c>
      <c r="D19" t="inlineStr">
        <is>
          <t>RIO GRANDE DA SERRA - BARRA FUNDA</t>
        </is>
      </c>
      <c r="E19" t="n">
        <v>2</v>
      </c>
      <c r="F19" t="inlineStr">
        <is>
          <t>049FC3</t>
        </is>
      </c>
      <c r="G19" t="inlineStr">
        <is>
          <t>FFFFFF</t>
        </is>
      </c>
    </row>
    <row r="20">
      <c r="A20" t="inlineStr">
        <is>
          <t>CPTM L11</t>
        </is>
      </c>
      <c r="B20" t="n">
        <v>1</v>
      </c>
      <c r="C20" t="inlineStr">
        <is>
          <t>CPTM L11</t>
        </is>
      </c>
      <c r="D20" t="inlineStr">
        <is>
          <t>ESTUDANTES - BARRA FUNDA</t>
        </is>
      </c>
      <c r="E20" t="n">
        <v>2</v>
      </c>
      <c r="F20" t="inlineStr">
        <is>
          <t>F68368</t>
        </is>
      </c>
      <c r="G20" t="inlineStr">
        <is>
          <t>FFFFFF</t>
        </is>
      </c>
    </row>
    <row r="21">
      <c r="A21" t="inlineStr">
        <is>
          <t>CPTM L12</t>
        </is>
      </c>
      <c r="B21" t="n">
        <v>1</v>
      </c>
      <c r="C21" t="inlineStr">
        <is>
          <t>CPTM L12</t>
        </is>
      </c>
      <c r="D21" t="inlineStr">
        <is>
          <t>CALMON VIANA - BRAS</t>
        </is>
      </c>
      <c r="E21" t="n">
        <v>2</v>
      </c>
      <c r="F21" t="inlineStr">
        <is>
          <t>133C8D</t>
        </is>
      </c>
      <c r="G21" t="inlineStr">
        <is>
          <t>FFFFFF</t>
        </is>
      </c>
    </row>
    <row r="22">
      <c r="A22" t="inlineStr">
        <is>
          <t>CPTM L13</t>
        </is>
      </c>
      <c r="B22" t="n">
        <v>1</v>
      </c>
      <c r="C22" t="inlineStr">
        <is>
          <t>CPTM L13</t>
        </is>
      </c>
      <c r="D22" t="inlineStr">
        <is>
          <t>AEROPORTO DE GUARULHOS - ENGENHEIRO GOULART</t>
        </is>
      </c>
      <c r="E22" t="n">
        <v>2</v>
      </c>
      <c r="F22" t="inlineStr">
        <is>
          <t>00B352</t>
        </is>
      </c>
      <c r="G22" t="inlineStr">
        <is>
          <t>FFFFFF</t>
        </is>
      </c>
    </row>
    <row r="23">
      <c r="A23" t="inlineStr">
        <is>
          <t>METRÔ 15</t>
        </is>
      </c>
      <c r="B23" t="n">
        <v>1</v>
      </c>
      <c r="C23" t="inlineStr">
        <is>
          <t>METRÔ 15</t>
        </is>
      </c>
      <c r="D23" t="inlineStr">
        <is>
          <t>JARDIM COLONIAL - VILA PRUDENTE</t>
        </is>
      </c>
      <c r="E23" t="n">
        <v>1</v>
      </c>
      <c r="F23" t="inlineStr">
        <is>
          <t>C0C0C0</t>
        </is>
      </c>
      <c r="G23" t="inlineStr">
        <is>
          <t>FFFFFF</t>
        </is>
      </c>
    </row>
    <row r="24">
      <c r="A24" t="inlineStr">
        <is>
          <t>METRÔ L1</t>
        </is>
      </c>
      <c r="B24" t="n">
        <v>1</v>
      </c>
      <c r="C24" t="inlineStr">
        <is>
          <t>METRÔ L1</t>
        </is>
      </c>
      <c r="D24" t="inlineStr">
        <is>
          <t>TUCURUVI - JABAQUARA</t>
        </is>
      </c>
      <c r="E24" t="n">
        <v>1</v>
      </c>
      <c r="F24" t="inlineStr">
        <is>
          <t>0455A1</t>
        </is>
      </c>
      <c r="G24" t="inlineStr">
        <is>
          <t>FFFFFF</t>
        </is>
      </c>
    </row>
    <row r="25">
      <c r="A25" t="inlineStr">
        <is>
          <t>METRÔ L2</t>
        </is>
      </c>
      <c r="B25" t="n">
        <v>1</v>
      </c>
      <c r="C25" t="inlineStr">
        <is>
          <t>METRÔ L2</t>
        </is>
      </c>
      <c r="D25" t="inlineStr">
        <is>
          <t>VILA MADALENA - VILA PRUDENTE</t>
        </is>
      </c>
      <c r="E25" t="n">
        <v>1</v>
      </c>
      <c r="F25" t="inlineStr">
        <is>
          <t>007E5E</t>
        </is>
      </c>
      <c r="G25" t="inlineStr">
        <is>
          <t>FFFFFF</t>
        </is>
      </c>
    </row>
    <row r="26">
      <c r="A26" t="inlineStr">
        <is>
          <t>METRÔ L3</t>
        </is>
      </c>
      <c r="B26" t="n">
        <v>1</v>
      </c>
      <c r="C26" t="inlineStr">
        <is>
          <t>METRÔ L3</t>
        </is>
      </c>
      <c r="D26" t="inlineStr">
        <is>
          <t>CORINTHIANS - ITAQUERA - PALMEIRAS - BARRA FUNDA</t>
        </is>
      </c>
      <c r="E26" t="n">
        <v>1</v>
      </c>
      <c r="F26" t="inlineStr">
        <is>
          <t>EE372F</t>
        </is>
      </c>
      <c r="G26" t="inlineStr">
        <is>
          <t>FFFFFF</t>
        </is>
      </c>
    </row>
    <row r="27">
      <c r="A27" t="inlineStr">
        <is>
          <t>METRÔ L4</t>
        </is>
      </c>
      <c r="B27" t="n">
        <v>1</v>
      </c>
      <c r="C27" t="inlineStr">
        <is>
          <t>METRÔ L4</t>
        </is>
      </c>
      <c r="D27" t="inlineStr">
        <is>
          <t>VILA SÔNIA - LUZ</t>
        </is>
      </c>
      <c r="E27" t="n">
        <v>1</v>
      </c>
      <c r="F27" t="inlineStr">
        <is>
          <t>FFFF00</t>
        </is>
      </c>
    </row>
    <row r="28">
      <c r="A28" t="inlineStr">
        <is>
          <t>METRÔ L5</t>
        </is>
      </c>
      <c r="B28" t="n">
        <v>1</v>
      </c>
      <c r="C28" t="inlineStr">
        <is>
          <t>METRÔ L5</t>
        </is>
      </c>
      <c r="D28" t="inlineStr">
        <is>
          <t>CAPAO REDONDO - CHÁCARA KLABIN</t>
        </is>
      </c>
      <c r="E28" t="n">
        <v>1</v>
      </c>
      <c r="F28" t="inlineStr">
        <is>
          <t>9B3894</t>
        </is>
      </c>
      <c r="G28" t="inlineStr">
        <is>
          <t>FFFFFF</t>
        </is>
      </c>
    </row>
    <row r="29">
      <c r="A29" t="inlineStr">
        <is>
          <t>METRÔ L6</t>
        </is>
      </c>
      <c r="B29" t="n">
        <v>1</v>
      </c>
      <c r="C29" t="inlineStr">
        <is>
          <t>METRÔ L6</t>
        </is>
      </c>
      <c r="D29" t="inlineStr">
        <is>
          <t>PERDIZES - JOÃO PAULO I</t>
        </is>
      </c>
      <c r="E29" t="n">
        <v>1</v>
      </c>
      <c r="F29" t="inlineStr">
        <is>
          <t>FF6600</t>
        </is>
      </c>
      <c r="G29" t="inlineStr">
        <is>
          <t>FFFFFF</t>
        </is>
      </c>
    </row>
    <row r="30">
      <c r="A30" t="inlineStr">
        <is>
          <t>METRÔ17A</t>
        </is>
      </c>
      <c r="B30" t="n">
        <v>1</v>
      </c>
      <c r="C30" t="inlineStr">
        <is>
          <t>METRÔ17A</t>
        </is>
      </c>
      <c r="D30" t="inlineStr">
        <is>
          <t>AEROPORTO DE CONGONHAS - MORUMBI</t>
        </is>
      </c>
      <c r="E30" t="n">
        <v>1</v>
      </c>
      <c r="F30" t="inlineStr">
        <is>
          <t>D48500</t>
        </is>
      </c>
      <c r="G30" t="inlineStr">
        <is>
          <t>FFFFFF</t>
        </is>
      </c>
    </row>
    <row r="31">
      <c r="A31" t="inlineStr">
        <is>
          <t>METRÔ17W</t>
        </is>
      </c>
      <c r="B31" t="n">
        <v>1</v>
      </c>
      <c r="C31" t="inlineStr">
        <is>
          <t>METRÔ17W</t>
        </is>
      </c>
      <c r="D31" t="inlineStr">
        <is>
          <t>WASHINGTON LUÍS - BROOKLIN PAULISTA</t>
        </is>
      </c>
      <c r="E31" t="n">
        <v>1</v>
      </c>
      <c r="F31" t="inlineStr">
        <is>
          <t>D48500</t>
        </is>
      </c>
      <c r="G31" t="inlineStr">
        <is>
          <t>FFFFFF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413"/>
  <sheetViews>
    <sheetView workbookViewId="0">
      <selection activeCell="A5" sqref="A5"/>
    </sheetView>
  </sheetViews>
  <sheetFormatPr baseColWidth="8" defaultRowHeight="15"/>
  <cols>
    <col width="11.28515625" bestFit="1" customWidth="1" min="1" max="1"/>
    <col width="14.5703125" bestFit="1" customWidth="1" min="2" max="2"/>
    <col width="15.140625" bestFit="1" customWidth="1" min="3" max="3"/>
    <col width="21.42578125" bestFit="1" customWidth="1" min="4" max="4"/>
    <col width="21.5703125" bestFit="1" customWidth="1" min="5" max="5"/>
  </cols>
  <sheetData>
    <row r="1" ht="15.75" customHeight="1" thickBot="1">
      <c r="A1" s="36" t="inlineStr">
        <is>
          <t>shape_id</t>
        </is>
      </c>
      <c r="B1" s="37" t="inlineStr">
        <is>
          <t>shape_pt_lat</t>
        </is>
      </c>
      <c r="C1" s="37" t="inlineStr">
        <is>
          <t>shape_pt_lon</t>
        </is>
      </c>
      <c r="D1" s="37" t="inlineStr">
        <is>
          <t>shape_pt_sequence</t>
        </is>
      </c>
      <c r="E1" s="38" t="inlineStr">
        <is>
          <t>shape_dist_traveled</t>
        </is>
      </c>
    </row>
    <row r="2" ht="15.75" customHeight="1" thickTop="1">
      <c r="A2" s="39">
        <f>_xlfn.XLOOKUP(17838,Trip[shape_id],Trip[shape_id],"Não encontrado")</f>
        <v/>
      </c>
      <c r="B2" s="40" t="n">
        <v>-23.646351</v>
      </c>
      <c r="C2" s="40" t="n">
        <v>-46.64105</v>
      </c>
      <c r="D2" s="40" t="n">
        <v>1</v>
      </c>
      <c r="E2" s="41" t="n">
        <v>0</v>
      </c>
    </row>
    <row r="3">
      <c r="A3" s="42">
        <f>_xlfn.XLOOKUP(17838,Trip[shape_id],Trip[shape_id],"Não encontrado")</f>
        <v/>
      </c>
      <c r="B3" s="43" t="n">
        <v>-23.645939</v>
      </c>
      <c r="C3" s="43" t="n">
        <v>-46.641175</v>
      </c>
      <c r="D3" s="43" t="n">
        <v>2</v>
      </c>
      <c r="E3" s="44" t="n">
        <v>47.37904</v>
      </c>
    </row>
    <row r="4">
      <c r="A4" s="39">
        <f>_xlfn.XLOOKUP(17838,Trip[shape_id],Trip[shape_id],"Não encontrado")</f>
        <v/>
      </c>
      <c r="B4" s="40" t="n">
        <v>-23.645421</v>
      </c>
      <c r="C4" s="40" t="n">
        <v>-46.641148</v>
      </c>
      <c r="D4" s="40" t="n">
        <v>3</v>
      </c>
      <c r="E4" s="41" t="n">
        <v>104.81529</v>
      </c>
    </row>
    <row r="5">
      <c r="A5" s="42">
        <f>_xlfn.XLOOKUP(17838,Trip[shape_id],Trip[shape_id],"Não encontrado")</f>
        <v/>
      </c>
      <c r="B5" s="43" t="n">
        <v>-23.64485</v>
      </c>
      <c r="C5" s="43" t="n">
        <v>-46.64121</v>
      </c>
      <c r="D5" s="43" t="n">
        <v>4</v>
      </c>
      <c r="E5" s="44" t="n">
        <v>168.37094</v>
      </c>
    </row>
    <row r="6">
      <c r="A6" s="39">
        <f>_xlfn.XLOOKUP(17838,Trip[shape_id],Trip[shape_id],"Não encontrado")</f>
        <v/>
      </c>
      <c r="B6" s="40" t="n">
        <v>-23.644041</v>
      </c>
      <c r="C6" s="40" t="n">
        <v>-46.641274</v>
      </c>
      <c r="D6" s="40" t="n">
        <v>5</v>
      </c>
      <c r="E6" s="41" t="n">
        <v>258.20786</v>
      </c>
    </row>
    <row r="7">
      <c r="A7" s="42">
        <f>_xlfn.XLOOKUP(17838,Trip[shape_id],Trip[shape_id],"Não encontrado")</f>
        <v/>
      </c>
      <c r="B7" s="43" t="n">
        <v>-23.643516</v>
      </c>
      <c r="C7" s="43" t="n">
        <v>-46.641313</v>
      </c>
      <c r="D7" s="43" t="n">
        <v>6</v>
      </c>
      <c r="E7" s="44" t="n">
        <v>316.48917</v>
      </c>
    </row>
    <row r="8">
      <c r="A8" s="39">
        <f>_xlfn.XLOOKUP(17838,Trip[shape_id],Trip[shape_id],"Não encontrado")</f>
        <v/>
      </c>
      <c r="B8" s="40" t="n">
        <v>-23.642917</v>
      </c>
      <c r="C8" s="40" t="n">
        <v>-46.641355</v>
      </c>
      <c r="D8" s="40" t="n">
        <v>7</v>
      </c>
      <c r="E8" s="41" t="n">
        <v>382.96851</v>
      </c>
    </row>
    <row r="9">
      <c r="A9" s="42">
        <f>_xlfn.XLOOKUP(17838,Trip[shape_id],Trip[shape_id],"Não encontrado")</f>
        <v/>
      </c>
      <c r="B9" s="43" t="n">
        <v>-23.642365</v>
      </c>
      <c r="C9" s="43" t="n">
        <v>-46.641388</v>
      </c>
      <c r="D9" s="43" t="n">
        <v>8</v>
      </c>
      <c r="E9" s="44" t="n">
        <v>444.19687</v>
      </c>
    </row>
    <row r="10">
      <c r="A10" s="39">
        <f>_xlfn.XLOOKUP(17838,Trip[shape_id],Trip[shape_id],"Não encontrado")</f>
        <v/>
      </c>
      <c r="B10" s="40" t="n">
        <v>-23.641629</v>
      </c>
      <c r="C10" s="40" t="n">
        <v>-46.641444</v>
      </c>
      <c r="D10" s="40" t="n">
        <v>9</v>
      </c>
      <c r="E10" s="41" t="n">
        <v>525.91113</v>
      </c>
    </row>
    <row r="11">
      <c r="A11" s="42">
        <f>_xlfn.XLOOKUP(17838,Trip[shape_id],Trip[shape_id],"Não encontrado")</f>
        <v/>
      </c>
      <c r="B11" s="43" t="n">
        <v>-23.641343</v>
      </c>
      <c r="C11" s="43" t="n">
        <v>-46.641444</v>
      </c>
      <c r="D11" s="43" t="n">
        <v>10</v>
      </c>
      <c r="E11" s="44" t="n">
        <v>557.58667</v>
      </c>
    </row>
    <row r="12">
      <c r="A12" s="39">
        <f>_xlfn.XLOOKUP(17838,Trip[shape_id],Trip[shape_id],"Não encontrado")</f>
        <v/>
      </c>
      <c r="B12" s="40" t="n">
        <v>-23.641165</v>
      </c>
      <c r="C12" s="40" t="n">
        <v>-46.641436</v>
      </c>
      <c r="D12" s="40" t="n">
        <v>11</v>
      </c>
      <c r="E12" s="41" t="n">
        <v>577.3175</v>
      </c>
    </row>
    <row r="13">
      <c r="A13" s="42">
        <f>_xlfn.XLOOKUP(17838,Trip[shape_id],Trip[shape_id],"Não encontrado")</f>
        <v/>
      </c>
      <c r="B13" s="43" t="n">
        <v>-23.640775</v>
      </c>
      <c r="C13" s="43" t="n">
        <v>-46.641424</v>
      </c>
      <c r="D13" s="43" t="n">
        <v>12</v>
      </c>
      <c r="E13" s="44" t="n">
        <v>620.5285</v>
      </c>
    </row>
    <row r="14">
      <c r="A14" s="39">
        <f>_xlfn.XLOOKUP(17838,Trip[shape_id],Trip[shape_id],"Não encontrado")</f>
        <v/>
      </c>
      <c r="B14" s="40" t="n">
        <v>-23.640108</v>
      </c>
      <c r="C14" s="40" t="n">
        <v>-46.641374</v>
      </c>
      <c r="D14" s="40" t="n">
        <v>13</v>
      </c>
      <c r="E14" s="41" t="n">
        <v>694.5766599999999</v>
      </c>
    </row>
    <row r="15">
      <c r="A15" s="42">
        <f>_xlfn.XLOOKUP(17838,Trip[shape_id],Trip[shape_id],"Não encontrado")</f>
        <v/>
      </c>
      <c r="B15" s="43" t="n">
        <v>-23.639471</v>
      </c>
      <c r="C15" s="43" t="n">
        <v>-46.641324</v>
      </c>
      <c r="D15" s="43" t="n">
        <v>14</v>
      </c>
      <c r="E15" s="44" t="n">
        <v>765.31061</v>
      </c>
    </row>
    <row r="16">
      <c r="A16" s="39">
        <f>_xlfn.XLOOKUP(17838,Trip[shape_id],Trip[shape_id],"Não encontrado")</f>
        <v/>
      </c>
      <c r="B16" s="40" t="n">
        <v>-23.638861</v>
      </c>
      <c r="C16" s="40" t="n">
        <v>-46.64129</v>
      </c>
      <c r="D16" s="40" t="n">
        <v>15</v>
      </c>
      <c r="E16" s="41" t="n">
        <v>832.95892</v>
      </c>
    </row>
    <row r="17">
      <c r="A17" s="42">
        <f>_xlfn.XLOOKUP(17838,Trip[shape_id],Trip[shape_id],"Não encontrado")</f>
        <v/>
      </c>
      <c r="B17" s="43" t="n">
        <v>-23.637793</v>
      </c>
      <c r="C17" s="43" t="n">
        <v>-46.641277</v>
      </c>
      <c r="D17" s="43" t="n">
        <v>16</v>
      </c>
      <c r="E17" s="44" t="n">
        <v>951.2506100000001</v>
      </c>
    </row>
    <row r="18">
      <c r="A18" s="39">
        <f>_xlfn.XLOOKUP(17838,Trip[shape_id],Trip[shape_id],"Não encontrado")</f>
        <v/>
      </c>
      <c r="B18" s="40" t="n">
        <v>-23.63758</v>
      </c>
      <c r="C18" s="40" t="n">
        <v>-46.641271</v>
      </c>
      <c r="D18" s="40" t="n">
        <v>17</v>
      </c>
      <c r="E18" s="41" t="n">
        <v>974.84882</v>
      </c>
    </row>
    <row r="19">
      <c r="A19" s="42">
        <f>_xlfn.XLOOKUP(17838,Trip[shape_id],Trip[shape_id],"Não encontrado")</f>
        <v/>
      </c>
      <c r="B19" s="43" t="n">
        <v>-23.63681</v>
      </c>
      <c r="C19" s="43" t="n">
        <v>-46.641243</v>
      </c>
      <c r="D19" s="43" t="n">
        <v>18</v>
      </c>
      <c r="E19" s="44" t="n">
        <v>1060.1764</v>
      </c>
    </row>
    <row r="20">
      <c r="A20" s="39">
        <f>_xlfn.XLOOKUP(17838,Trip[shape_id],Trip[shape_id],"Não encontrado")</f>
        <v/>
      </c>
      <c r="B20" s="40" t="n">
        <v>-23.636389</v>
      </c>
      <c r="C20" s="40" t="n">
        <v>-46.641235</v>
      </c>
      <c r="D20" s="40" t="n">
        <v>19</v>
      </c>
      <c r="E20" s="41" t="n">
        <v>1106.8107</v>
      </c>
    </row>
    <row r="21">
      <c r="A21" s="42">
        <f>_xlfn.XLOOKUP(17838,Trip[shape_id],Trip[shape_id],"Não encontrado")</f>
        <v/>
      </c>
      <c r="B21" s="43" t="n">
        <v>-23.636146</v>
      </c>
      <c r="C21" s="43" t="n">
        <v>-46.641235</v>
      </c>
      <c r="D21" s="43" t="n">
        <v>20</v>
      </c>
      <c r="E21" s="44" t="n">
        <v>1133.7235</v>
      </c>
    </row>
    <row r="22">
      <c r="A22" s="39">
        <f>_xlfn.XLOOKUP(17838,Trip[shape_id],Trip[shape_id],"Não encontrado")</f>
        <v/>
      </c>
      <c r="B22" s="40" t="n">
        <v>-23.63504</v>
      </c>
      <c r="C22" s="40" t="n">
        <v>-46.641239</v>
      </c>
      <c r="D22" s="40" t="n">
        <v>21</v>
      </c>
      <c r="E22" s="41" t="n">
        <v>1256.217</v>
      </c>
    </row>
    <row r="23">
      <c r="A23" s="42">
        <f>_xlfn.XLOOKUP(17838,Trip[shape_id],Trip[shape_id],"Não encontrado")</f>
        <v/>
      </c>
      <c r="B23" s="43" t="n">
        <v>-23.634974</v>
      </c>
      <c r="C23" s="43" t="n">
        <v>-46.64128</v>
      </c>
      <c r="D23" s="43" t="n">
        <v>22</v>
      </c>
      <c r="E23" s="44" t="n">
        <v>1264.6392</v>
      </c>
    </row>
    <row r="24">
      <c r="A24" s="39">
        <f>_xlfn.XLOOKUP(17838,Trip[shape_id],Trip[shape_id],"Não encontrado")</f>
        <v/>
      </c>
      <c r="B24" s="40" t="n">
        <v>-23.634435</v>
      </c>
      <c r="C24" s="40" t="n">
        <v>-46.64136</v>
      </c>
      <c r="D24" s="40" t="n">
        <v>23</v>
      </c>
      <c r="E24" s="41" t="n">
        <v>1324.8905</v>
      </c>
    </row>
    <row r="25">
      <c r="A25" s="42">
        <f>_xlfn.XLOOKUP(17838,Trip[shape_id],Trip[shape_id],"Não encontrado")</f>
        <v/>
      </c>
      <c r="B25" s="43" t="n">
        <v>-23.633909</v>
      </c>
      <c r="C25" s="43" t="n">
        <v>-46.64146</v>
      </c>
      <c r="D25" s="43" t="n">
        <v>24</v>
      </c>
      <c r="E25" s="44" t="n">
        <v>1384.0333</v>
      </c>
    </row>
    <row r="26">
      <c r="A26" s="39">
        <f>_xlfn.XLOOKUP(17838,Trip[shape_id],Trip[shape_id],"Não encontrado")</f>
        <v/>
      </c>
      <c r="B26" s="40" t="n">
        <v>-23.633608</v>
      </c>
      <c r="C26" s="40" t="n">
        <v>-46.641504</v>
      </c>
      <c r="D26" s="40" t="n">
        <v>25</v>
      </c>
      <c r="E26" s="41" t="n">
        <v>1417.6708</v>
      </c>
    </row>
    <row r="27">
      <c r="A27" s="42">
        <f>_xlfn.XLOOKUP(17838,Trip[shape_id],Trip[shape_id],"Não encontrado")</f>
        <v/>
      </c>
      <c r="B27" s="43" t="n">
        <v>-23.633344</v>
      </c>
      <c r="C27" s="43" t="n">
        <v>-46.641551</v>
      </c>
      <c r="D27" s="43" t="n">
        <v>26</v>
      </c>
      <c r="E27" s="44" t="n">
        <v>1447.3</v>
      </c>
    </row>
    <row r="28">
      <c r="A28" s="39">
        <f>_xlfn.XLOOKUP(17838,Trip[shape_id],Trip[shape_id],"Não encontrado")</f>
        <v/>
      </c>
      <c r="B28" s="40" t="n">
        <v>-23.633222</v>
      </c>
      <c r="C28" s="40" t="n">
        <v>-46.641568</v>
      </c>
      <c r="D28" s="40" t="n">
        <v>27</v>
      </c>
      <c r="E28" s="41" t="n">
        <v>1460.9231</v>
      </c>
    </row>
    <row r="29">
      <c r="A29" s="42">
        <f>_xlfn.XLOOKUP(17838,Trip[shape_id],Trip[shape_id],"Não encontrado")</f>
        <v/>
      </c>
      <c r="B29" s="43" t="n">
        <v>-23.633083</v>
      </c>
      <c r="C29" s="43" t="n">
        <v>-46.641562</v>
      </c>
      <c r="D29" s="43" t="n">
        <v>28</v>
      </c>
      <c r="E29" s="44" t="n">
        <v>1476.3297</v>
      </c>
    </row>
    <row r="30">
      <c r="A30" s="39">
        <f>_xlfn.XLOOKUP(17838,Trip[shape_id],Trip[shape_id],"Não encontrado")</f>
        <v/>
      </c>
      <c r="B30" s="40" t="n">
        <v>-23.632706</v>
      </c>
      <c r="C30" s="40" t="n">
        <v>-46.641552</v>
      </c>
      <c r="D30" s="40" t="n">
        <v>29</v>
      </c>
      <c r="E30" s="41" t="n">
        <v>1518.0959</v>
      </c>
    </row>
    <row r="31">
      <c r="A31" s="42">
        <f>_xlfn.XLOOKUP(17838,Trip[shape_id],Trip[shape_id],"Não encontrado")</f>
        <v/>
      </c>
      <c r="B31" s="43" t="n">
        <v>-23.632522</v>
      </c>
      <c r="C31" s="43" t="n">
        <v>-46.641557</v>
      </c>
      <c r="D31" s="43" t="n">
        <v>30</v>
      </c>
      <c r="E31" s="44" t="n">
        <v>1538.481</v>
      </c>
    </row>
    <row r="32">
      <c r="A32" s="39">
        <f>_xlfn.XLOOKUP(17838,Trip[shape_id],Trip[shape_id],"Não encontrado")</f>
        <v/>
      </c>
      <c r="B32" s="40" t="n">
        <v>-23.632296</v>
      </c>
      <c r="C32" s="40" t="n">
        <v>-46.641578</v>
      </c>
      <c r="D32" s="40" t="n">
        <v>31</v>
      </c>
      <c r="E32" s="41" t="n">
        <v>1563.6028</v>
      </c>
    </row>
    <row r="33">
      <c r="A33" s="42">
        <f>_xlfn.XLOOKUP(17838,Trip[shape_id],Trip[shape_id],"Não encontrado")</f>
        <v/>
      </c>
      <c r="B33" s="43" t="n">
        <v>-23.631936</v>
      </c>
      <c r="C33" s="43" t="n">
        <v>-46.641541</v>
      </c>
      <c r="D33" s="43" t="n">
        <v>32</v>
      </c>
      <c r="E33" s="44" t="n">
        <v>1603.6522</v>
      </c>
    </row>
    <row r="34">
      <c r="A34" s="39">
        <f>_xlfn.XLOOKUP(17838,Trip[shape_id],Trip[shape_id],"Não encontrado")</f>
        <v/>
      </c>
      <c r="B34" s="40" t="n">
        <v>-23.631425</v>
      </c>
      <c r="C34" s="40" t="n">
        <v>-46.641506</v>
      </c>
      <c r="D34" s="40" t="n">
        <v>33</v>
      </c>
      <c r="E34" s="41" t="n">
        <v>1660.3595</v>
      </c>
    </row>
    <row r="35">
      <c r="A35" s="42">
        <f>_xlfn.XLOOKUP(17838,Trip[shape_id],Trip[shape_id],"Não encontrado")</f>
        <v/>
      </c>
      <c r="B35" s="43" t="n">
        <v>-23.631113</v>
      </c>
      <c r="C35" s="43" t="n">
        <v>-46.641493</v>
      </c>
      <c r="D35" s="43" t="n">
        <v>34</v>
      </c>
      <c r="E35" s="44" t="n">
        <v>1694.9398</v>
      </c>
    </row>
    <row r="36">
      <c r="A36" s="39">
        <f>_xlfn.XLOOKUP(17838,Trip[shape_id],Trip[shape_id],"Não encontrado")</f>
        <v/>
      </c>
      <c r="B36" s="40" t="n">
        <v>-23.630575</v>
      </c>
      <c r="C36" s="40" t="n">
        <v>-46.641462</v>
      </c>
      <c r="D36" s="40" t="n">
        <v>35</v>
      </c>
      <c r="E36" s="41" t="n">
        <v>1754.6088</v>
      </c>
    </row>
    <row r="37">
      <c r="A37" s="42">
        <f>_xlfn.XLOOKUP(17838,Trip[shape_id],Trip[shape_id],"Não encontrado")</f>
        <v/>
      </c>
      <c r="B37" s="43" t="n">
        <v>-23.630298</v>
      </c>
      <c r="C37" s="43" t="n">
        <v>-46.641453</v>
      </c>
      <c r="D37" s="43" t="n">
        <v>36</v>
      </c>
      <c r="E37" s="44" t="n">
        <v>1785.301</v>
      </c>
    </row>
    <row r="38">
      <c r="A38" s="39">
        <f>_xlfn.XLOOKUP(17838,Trip[shape_id],Trip[shape_id],"Não encontrado")</f>
        <v/>
      </c>
      <c r="B38" s="40" t="n">
        <v>-23.629019</v>
      </c>
      <c r="C38" s="40" t="n">
        <v>-46.641369</v>
      </c>
      <c r="D38" s="40" t="n">
        <v>37</v>
      </c>
      <c r="E38" s="41" t="n">
        <v>1927.2131</v>
      </c>
    </row>
    <row r="39">
      <c r="A39" s="42">
        <f>_xlfn.XLOOKUP(17838,Trip[shape_id],Trip[shape_id],"Não encontrado")</f>
        <v/>
      </c>
      <c r="B39" s="43" t="n">
        <v>-23.628707</v>
      </c>
      <c r="C39" s="43" t="n">
        <v>-46.641331</v>
      </c>
      <c r="D39" s="43" t="n">
        <v>38</v>
      </c>
      <c r="E39" s="44" t="n">
        <v>1961.9849</v>
      </c>
    </row>
    <row r="40">
      <c r="A40" s="39">
        <f>_xlfn.XLOOKUP(17838,Trip[shape_id],Trip[shape_id],"Não encontrado")</f>
        <v/>
      </c>
      <c r="B40" s="40" t="n">
        <v>-23.628316</v>
      </c>
      <c r="C40" s="40" t="n">
        <v>-46.641287</v>
      </c>
      <c r="D40" s="40" t="n">
        <v>39</v>
      </c>
      <c r="E40" s="41" t="n">
        <v>2005.5214</v>
      </c>
    </row>
    <row r="41">
      <c r="A41" s="42">
        <f>_xlfn.XLOOKUP(17838,Trip[shape_id],Trip[shape_id],"Não encontrado")</f>
        <v/>
      </c>
      <c r="B41" s="43" t="n">
        <v>-23.627696</v>
      </c>
      <c r="C41" s="43" t="n">
        <v>-46.641265</v>
      </c>
      <c r="D41" s="43" t="n">
        <v>40</v>
      </c>
      <c r="E41" s="44" t="n">
        <v>2074.2249</v>
      </c>
    </row>
    <row r="42">
      <c r="A42" s="39">
        <f>_xlfn.XLOOKUP(17838,Trip[shape_id],Trip[shape_id],"Não encontrado")</f>
        <v/>
      </c>
      <c r="B42" s="40" t="n">
        <v>-23.627352</v>
      </c>
      <c r="C42" s="40" t="n">
        <v>-46.641239</v>
      </c>
      <c r="D42" s="40" t="n">
        <v>41</v>
      </c>
      <c r="E42" s="41" t="n">
        <v>2112.416</v>
      </c>
    </row>
    <row r="43">
      <c r="A43" s="42">
        <f>_xlfn.XLOOKUP(17838,Trip[shape_id],Trip[shape_id],"Não encontrado")</f>
        <v/>
      </c>
      <c r="B43" s="43" t="n">
        <v>-23.627097</v>
      </c>
      <c r="C43" s="43" t="n">
        <v>-46.641201</v>
      </c>
      <c r="D43" s="43" t="n">
        <v>42</v>
      </c>
      <c r="E43" s="44" t="n">
        <v>2140.9229</v>
      </c>
    </row>
    <row r="44">
      <c r="A44" s="39">
        <f>_xlfn.XLOOKUP(17838,Trip[shape_id],Trip[shape_id],"Não encontrado")</f>
        <v/>
      </c>
      <c r="B44" s="40" t="n">
        <v>-23.627028</v>
      </c>
      <c r="C44" s="40" t="n">
        <v>-46.641192</v>
      </c>
      <c r="D44" s="40" t="n">
        <v>43</v>
      </c>
      <c r="E44" s="41" t="n">
        <v>2148.6204</v>
      </c>
    </row>
    <row r="45">
      <c r="A45" s="42">
        <f>_xlfn.XLOOKUP(17838,Trip[shape_id],Trip[shape_id],"Não encontrado")</f>
        <v/>
      </c>
      <c r="B45" s="43" t="n">
        <v>-23.626922</v>
      </c>
      <c r="C45" s="43" t="n">
        <v>-46.641176</v>
      </c>
      <c r="D45" s="43" t="n">
        <v>44</v>
      </c>
      <c r="E45" s="44" t="n">
        <v>2160.4734</v>
      </c>
    </row>
    <row r="46">
      <c r="A46" s="39">
        <f>_xlfn.XLOOKUP(17838,Trip[shape_id],Trip[shape_id],"Não encontrado")</f>
        <v/>
      </c>
      <c r="B46" s="40" t="n">
        <v>-23.626358</v>
      </c>
      <c r="C46" s="40" t="n">
        <v>-46.641099</v>
      </c>
      <c r="D46" s="40" t="n">
        <v>45</v>
      </c>
      <c r="E46" s="41" t="n">
        <v>2223.4302</v>
      </c>
    </row>
    <row r="47">
      <c r="A47" s="42">
        <f>_xlfn.XLOOKUP(17838,Trip[shape_id],Trip[shape_id],"Não encontrado")</f>
        <v/>
      </c>
      <c r="B47" s="43" t="n">
        <v>-23.625824</v>
      </c>
      <c r="C47" s="43" t="n">
        <v>-46.640922</v>
      </c>
      <c r="D47" s="43" t="n">
        <v>46</v>
      </c>
      <c r="E47" s="44" t="n">
        <v>2285.2688</v>
      </c>
    </row>
    <row r="48">
      <c r="A48" s="39">
        <f>_xlfn.XLOOKUP(17838,Trip[shape_id],Trip[shape_id],"Não encontrado")</f>
        <v/>
      </c>
      <c r="B48" s="40" t="n">
        <v>-23.625355</v>
      </c>
      <c r="C48" s="40" t="n">
        <v>-46.640731</v>
      </c>
      <c r="D48" s="40" t="n">
        <v>47</v>
      </c>
      <c r="E48" s="41" t="n">
        <v>2340.7483</v>
      </c>
    </row>
    <row r="49">
      <c r="A49" s="42">
        <f>_xlfn.XLOOKUP(17838,Trip[shape_id],Trip[shape_id],"Não encontrado")</f>
        <v/>
      </c>
      <c r="B49" s="43" t="n">
        <v>-23.625281</v>
      </c>
      <c r="C49" s="43" t="n">
        <v>-46.640715</v>
      </c>
      <c r="D49" s="43" t="n">
        <v>48</v>
      </c>
      <c r="E49" s="44" t="n">
        <v>2349.1055</v>
      </c>
    </row>
    <row r="50">
      <c r="A50" s="39">
        <f>_xlfn.XLOOKUP(17838,Trip[shape_id],Trip[shape_id],"Não encontrado")</f>
        <v/>
      </c>
      <c r="B50" s="40" t="n">
        <v>-23.624541</v>
      </c>
      <c r="C50" s="40" t="n">
        <v>-46.640546</v>
      </c>
      <c r="D50" s="40" t="n">
        <v>49</v>
      </c>
      <c r="E50" s="41" t="n">
        <v>2432.8574</v>
      </c>
    </row>
    <row r="51">
      <c r="A51" s="42">
        <f>_xlfn.XLOOKUP(17838,Trip[shape_id],Trip[shape_id],"Não encontrado")</f>
        <v/>
      </c>
      <c r="B51" s="43" t="n">
        <v>-23.623932</v>
      </c>
      <c r="C51" s="43" t="n">
        <v>-46.640406</v>
      </c>
      <c r="D51" s="43" t="n">
        <v>50</v>
      </c>
      <c r="E51" s="44" t="n">
        <v>2501.8022</v>
      </c>
    </row>
    <row r="52">
      <c r="A52" s="39">
        <f>_xlfn.XLOOKUP(17838,Trip[shape_id],Trip[shape_id],"Não encontrado")</f>
        <v/>
      </c>
      <c r="B52" s="40" t="n">
        <v>-23.623313</v>
      </c>
      <c r="C52" s="40" t="n">
        <v>-46.640262</v>
      </c>
      <c r="D52" s="40" t="n">
        <v>51</v>
      </c>
      <c r="E52" s="41" t="n">
        <v>2571.9155</v>
      </c>
    </row>
    <row r="53">
      <c r="A53" s="42">
        <f>_xlfn.XLOOKUP(17838,Trip[shape_id],Trip[shape_id],"Não encontrado")</f>
        <v/>
      </c>
      <c r="B53" s="43" t="n">
        <v>-23.622948</v>
      </c>
      <c r="C53" s="43" t="n">
        <v>-46.640177</v>
      </c>
      <c r="D53" s="43" t="n">
        <v>52</v>
      </c>
      <c r="E53" s="44" t="n">
        <v>2613.2603</v>
      </c>
    </row>
    <row r="54">
      <c r="A54" s="39">
        <f>_xlfn.XLOOKUP(17838,Trip[shape_id],Trip[shape_id],"Não encontrado")</f>
        <v/>
      </c>
      <c r="B54" s="40" t="n">
        <v>-23.621882</v>
      </c>
      <c r="C54" s="40" t="n">
        <v>-46.639941</v>
      </c>
      <c r="D54" s="40" t="n">
        <v>53</v>
      </c>
      <c r="E54" s="41" t="n">
        <v>2733.7539</v>
      </c>
    </row>
    <row r="55">
      <c r="A55" s="42">
        <f>_xlfn.XLOOKUP(17838,Trip[shape_id],Trip[shape_id],"Não encontrado")</f>
        <v/>
      </c>
      <c r="B55" s="43" t="n">
        <v>-23.62051</v>
      </c>
      <c r="C55" s="43" t="n">
        <v>-46.639639</v>
      </c>
      <c r="D55" s="43" t="n">
        <v>54</v>
      </c>
      <c r="E55" s="44" t="n">
        <v>2888.8005</v>
      </c>
    </row>
    <row r="56">
      <c r="A56" s="39">
        <f>_xlfn.XLOOKUP(17838,Trip[shape_id],Trip[shape_id],"Não encontrado")</f>
        <v/>
      </c>
      <c r="B56" s="40" t="n">
        <v>-23.61994</v>
      </c>
      <c r="C56" s="40" t="n">
        <v>-46.639515</v>
      </c>
      <c r="D56" s="40" t="n">
        <v>55</v>
      </c>
      <c r="E56" s="41" t="n">
        <v>2953.1853</v>
      </c>
    </row>
    <row r="57">
      <c r="A57" s="42">
        <f>_xlfn.XLOOKUP(17838,Trip[shape_id],Trip[shape_id],"Não encontrado")</f>
        <v/>
      </c>
      <c r="B57" s="43" t="n">
        <v>-23.619732</v>
      </c>
      <c r="C57" s="43" t="n">
        <v>-46.639467</v>
      </c>
      <c r="D57" s="43" t="n">
        <v>56</v>
      </c>
      <c r="E57" s="44" t="n">
        <v>2976.7368</v>
      </c>
    </row>
    <row r="58">
      <c r="A58" s="39">
        <f>_xlfn.XLOOKUP(17838,Trip[shape_id],Trip[shape_id],"Não encontrado")</f>
        <v/>
      </c>
      <c r="B58" s="40" t="n">
        <v>-23.619099</v>
      </c>
      <c r="C58" s="40" t="n">
        <v>-46.639329</v>
      </c>
      <c r="D58" s="40" t="n">
        <v>57</v>
      </c>
      <c r="E58" s="41" t="n">
        <v>3048.2437</v>
      </c>
    </row>
    <row r="59">
      <c r="A59" s="42">
        <f>_xlfn.XLOOKUP(17838,Trip[shape_id],Trip[shape_id],"Não encontrado")</f>
        <v/>
      </c>
      <c r="B59" s="43" t="n">
        <v>-23.61831</v>
      </c>
      <c r="C59" s="43" t="n">
        <v>-46.639154</v>
      </c>
      <c r="D59" s="43" t="n">
        <v>58</v>
      </c>
      <c r="E59" s="44" t="n">
        <v>3137.4338</v>
      </c>
    </row>
    <row r="60">
      <c r="A60" s="39">
        <f>_xlfn.XLOOKUP(17838,Trip[shape_id],Trip[shape_id],"Não encontrado")</f>
        <v/>
      </c>
      <c r="B60" s="40" t="n">
        <v>-23.617618</v>
      </c>
      <c r="C60" s="40" t="n">
        <v>-46.638997</v>
      </c>
      <c r="D60" s="40" t="n">
        <v>59</v>
      </c>
      <c r="E60" s="41" t="n">
        <v>3215.7314</v>
      </c>
    </row>
    <row r="61">
      <c r="A61" s="42">
        <f>_xlfn.XLOOKUP(17838,Trip[shape_id],Trip[shape_id],"Não encontrado")</f>
        <v/>
      </c>
      <c r="B61" s="43" t="n">
        <v>-23.616967</v>
      </c>
      <c r="C61" s="43" t="n">
        <v>-46.63885</v>
      </c>
      <c r="D61" s="43" t="n">
        <v>60</v>
      </c>
      <c r="E61" s="44" t="n">
        <v>3289.3755</v>
      </c>
    </row>
    <row r="62">
      <c r="A62" s="39">
        <f>_xlfn.XLOOKUP(17838,Trip[shape_id],Trip[shape_id],"Não encontrado")</f>
        <v/>
      </c>
      <c r="B62" s="40" t="n">
        <v>-23.616259</v>
      </c>
      <c r="C62" s="40" t="n">
        <v>-46.638691</v>
      </c>
      <c r="D62" s="40" t="n">
        <v>61</v>
      </c>
      <c r="E62" s="41" t="n">
        <v>3369.4497</v>
      </c>
    </row>
    <row r="63">
      <c r="A63" s="42">
        <f>_xlfn.XLOOKUP(17838,Trip[shape_id],Trip[shape_id],"Não encontrado")</f>
        <v/>
      </c>
      <c r="B63" s="43" t="n">
        <v>-23.61559</v>
      </c>
      <c r="C63" s="43" t="n">
        <v>-46.638541</v>
      </c>
      <c r="D63" s="43" t="n">
        <v>62</v>
      </c>
      <c r="E63" s="44" t="n">
        <v>3445.1082</v>
      </c>
    </row>
    <row r="64">
      <c r="A64" s="39">
        <f>_xlfn.XLOOKUP(17838,Trip[shape_id],Trip[shape_id],"Não encontrado")</f>
        <v/>
      </c>
      <c r="B64" s="40" t="n">
        <v>-23.614603</v>
      </c>
      <c r="C64" s="40" t="n">
        <v>-46.638335</v>
      </c>
      <c r="D64" s="40" t="n">
        <v>63</v>
      </c>
      <c r="E64" s="41" t="n">
        <v>3556.4243</v>
      </c>
    </row>
    <row r="65">
      <c r="A65" s="42">
        <f>_xlfn.XLOOKUP(17838,Trip[shape_id],Trip[shape_id],"Não encontrado")</f>
        <v/>
      </c>
      <c r="B65" s="43" t="n">
        <v>-23.614015</v>
      </c>
      <c r="C65" s="43" t="n">
        <v>-46.638212</v>
      </c>
      <c r="D65" s="43" t="n">
        <v>64</v>
      </c>
      <c r="E65" s="44" t="n">
        <v>3622.7456</v>
      </c>
    </row>
    <row r="66">
      <c r="A66" s="39">
        <f>_xlfn.XLOOKUP(17838,Trip[shape_id],Trip[shape_id],"Não encontrado")</f>
        <v/>
      </c>
      <c r="B66" s="40" t="n">
        <v>-23.613668</v>
      </c>
      <c r="C66" s="40" t="n">
        <v>-46.63814</v>
      </c>
      <c r="D66" s="40" t="n">
        <v>65</v>
      </c>
      <c r="E66" s="41" t="n">
        <v>3661.8728</v>
      </c>
    </row>
    <row r="67">
      <c r="A67" s="42">
        <f>_xlfn.XLOOKUP(17838,Trip[shape_id],Trip[shape_id],"Não encontrado")</f>
        <v/>
      </c>
      <c r="B67" s="43" t="n">
        <v>-23.613119</v>
      </c>
      <c r="C67" s="43" t="n">
        <v>-46.638021</v>
      </c>
      <c r="D67" s="43" t="n">
        <v>66</v>
      </c>
      <c r="E67" s="44" t="n">
        <v>3723.877</v>
      </c>
    </row>
    <row r="68">
      <c r="A68" s="39">
        <f>_xlfn.XLOOKUP(17838,Trip[shape_id],Trip[shape_id],"Não encontrado")</f>
        <v/>
      </c>
      <c r="B68" s="40" t="n">
        <v>-23.612557</v>
      </c>
      <c r="C68" s="40" t="n">
        <v>-46.637933</v>
      </c>
      <c r="D68" s="40" t="n">
        <v>67</v>
      </c>
      <c r="E68" s="41" t="n">
        <v>3786.7644</v>
      </c>
    </row>
    <row r="69">
      <c r="A69" s="42">
        <f>_xlfn.XLOOKUP(17838,Trip[shape_id],Trip[shape_id],"Não encontrado")</f>
        <v/>
      </c>
      <c r="B69" s="43" t="n">
        <v>-23.611877</v>
      </c>
      <c r="C69" s="43" t="n">
        <v>-46.637883</v>
      </c>
      <c r="D69" s="43" t="n">
        <v>68</v>
      </c>
      <c r="E69" s="44" t="n">
        <v>3862.2488</v>
      </c>
    </row>
    <row r="70">
      <c r="A70" s="39">
        <f>_xlfn.XLOOKUP(17838,Trip[shape_id],Trip[shape_id],"Não encontrado")</f>
        <v/>
      </c>
      <c r="B70" s="40" t="n">
        <v>-23.611291</v>
      </c>
      <c r="C70" s="40" t="n">
        <v>-46.637903</v>
      </c>
      <c r="D70" s="40" t="n">
        <v>69</v>
      </c>
      <c r="E70" s="41" t="n">
        <v>3927.1819</v>
      </c>
    </row>
    <row r="71">
      <c r="A71" s="42">
        <f>_xlfn.XLOOKUP(17838,Trip[shape_id],Trip[shape_id],"Não encontrado")</f>
        <v/>
      </c>
      <c r="B71" s="43" t="n">
        <v>-23.610574</v>
      </c>
      <c r="C71" s="43" t="n">
        <v>-46.637927</v>
      </c>
      <c r="D71" s="43" t="n">
        <v>70</v>
      </c>
      <c r="E71" s="44" t="n">
        <v>4006.6294</v>
      </c>
    </row>
    <row r="72">
      <c r="A72" s="39">
        <f>_xlfn.XLOOKUP(17838,Trip[shape_id],Trip[shape_id],"Não encontrado")</f>
        <v/>
      </c>
      <c r="B72" s="40" t="n">
        <v>-23.610511</v>
      </c>
      <c r="C72" s="40" t="n">
        <v>-46.637929</v>
      </c>
      <c r="D72" s="40" t="n">
        <v>71</v>
      </c>
      <c r="E72" s="41" t="n">
        <v>4013.6094</v>
      </c>
    </row>
    <row r="73">
      <c r="A73" s="42">
        <f>_xlfn.XLOOKUP(17838,Trip[shape_id],Trip[shape_id],"Não encontrado")</f>
        <v/>
      </c>
      <c r="B73" s="43" t="n">
        <v>-23.610411</v>
      </c>
      <c r="C73" s="43" t="n">
        <v>-46.637923</v>
      </c>
      <c r="D73" s="43" t="n">
        <v>72</v>
      </c>
      <c r="E73" s="44" t="n">
        <v>4024.7017</v>
      </c>
    </row>
    <row r="74">
      <c r="A74" s="39">
        <f>_xlfn.XLOOKUP(17838,Trip[shape_id],Trip[shape_id],"Não encontrado")</f>
        <v/>
      </c>
      <c r="B74" s="40" t="n">
        <v>-23.609644</v>
      </c>
      <c r="C74" s="40" t="n">
        <v>-46.63788</v>
      </c>
      <c r="D74" s="40" t="n">
        <v>73</v>
      </c>
      <c r="E74" s="41" t="n">
        <v>4109.7622</v>
      </c>
    </row>
    <row r="75">
      <c r="A75" s="42">
        <f>_xlfn.XLOOKUP(17838,Trip[shape_id],Trip[shape_id],"Não encontrado")</f>
        <v/>
      </c>
      <c r="B75" s="43" t="n">
        <v>-23.608997</v>
      </c>
      <c r="C75" s="43" t="n">
        <v>-46.637879</v>
      </c>
      <c r="D75" s="43" t="n">
        <v>74</v>
      </c>
      <c r="E75" s="44" t="n">
        <v>4181.4189</v>
      </c>
    </row>
    <row r="76">
      <c r="A76" s="39">
        <f>_xlfn.XLOOKUP(17838,Trip[shape_id],Trip[shape_id],"Não encontrado")</f>
        <v/>
      </c>
      <c r="B76" s="40" t="n">
        <v>-23.608673</v>
      </c>
      <c r="C76" s="40" t="n">
        <v>-46.637872</v>
      </c>
      <c r="D76" s="40" t="n">
        <v>75</v>
      </c>
      <c r="E76" s="41" t="n">
        <v>4217.3101</v>
      </c>
    </row>
    <row r="77">
      <c r="A77" s="42">
        <f>_xlfn.XLOOKUP(17838,Trip[shape_id],Trip[shape_id],"Não encontrado")</f>
        <v/>
      </c>
      <c r="B77" s="43" t="n">
        <v>-23.608298</v>
      </c>
      <c r="C77" s="43" t="n">
        <v>-46.637846</v>
      </c>
      <c r="D77" s="43" t="n">
        <v>76</v>
      </c>
      <c r="E77" s="44" t="n">
        <v>4258.9268</v>
      </c>
    </row>
    <row r="78">
      <c r="A78" s="39">
        <f>_xlfn.XLOOKUP(17838,Trip[shape_id],Trip[shape_id],"Não encontrado")</f>
        <v/>
      </c>
      <c r="B78" s="40" t="n">
        <v>-23.607741</v>
      </c>
      <c r="C78" s="40" t="n">
        <v>-46.637769</v>
      </c>
      <c r="D78" s="40" t="n">
        <v>77</v>
      </c>
      <c r="E78" s="41" t="n">
        <v>4321.1147</v>
      </c>
    </row>
    <row r="79">
      <c r="A79" s="42">
        <f>_xlfn.XLOOKUP(17838,Trip[shape_id],Trip[shape_id],"Não encontrado")</f>
        <v/>
      </c>
      <c r="B79" s="43" t="n">
        <v>-23.607383</v>
      </c>
      <c r="C79" s="43" t="n">
        <v>-46.63769</v>
      </c>
      <c r="D79" s="43" t="n">
        <v>78</v>
      </c>
      <c r="E79" s="44" t="n">
        <v>4361.5757</v>
      </c>
    </row>
    <row r="80">
      <c r="A80" s="39">
        <f>_xlfn.XLOOKUP(17838,Trip[shape_id],Trip[shape_id],"Não encontrado")</f>
        <v/>
      </c>
      <c r="B80" s="40" t="n">
        <v>-23.607117</v>
      </c>
      <c r="C80" s="40" t="n">
        <v>-46.637629</v>
      </c>
      <c r="D80" s="40" t="n">
        <v>79</v>
      </c>
      <c r="E80" s="41" t="n">
        <v>4391.6865</v>
      </c>
    </row>
    <row r="81">
      <c r="A81" s="42">
        <f>_xlfn.XLOOKUP(17838,Trip[shape_id],Trip[shape_id],"Não encontrado")</f>
        <v/>
      </c>
      <c r="B81" s="43" t="n">
        <v>-23.606362</v>
      </c>
      <c r="C81" s="43" t="n">
        <v>-46.637388</v>
      </c>
      <c r="D81" s="43" t="n">
        <v>80</v>
      </c>
      <c r="E81" s="44" t="n">
        <v>4478.8472</v>
      </c>
    </row>
    <row r="82">
      <c r="A82" s="39">
        <f>_xlfn.XLOOKUP(17838,Trip[shape_id],Trip[shape_id],"Não encontrado")</f>
        <v/>
      </c>
      <c r="B82" s="40" t="n">
        <v>-23.605659</v>
      </c>
      <c r="C82" s="40" t="n">
        <v>-46.63715</v>
      </c>
      <c r="D82" s="40" t="n">
        <v>81</v>
      </c>
      <c r="E82" s="41" t="n">
        <v>4560.4072</v>
      </c>
    </row>
    <row r="83">
      <c r="A83" s="42">
        <f>_xlfn.XLOOKUP(17838,Trip[shape_id],Trip[shape_id],"Não encontrado")</f>
        <v/>
      </c>
      <c r="B83" s="43" t="n">
        <v>-23.605293</v>
      </c>
      <c r="C83" s="43" t="n">
        <v>-46.637038</v>
      </c>
      <c r="D83" s="43" t="n">
        <v>82</v>
      </c>
      <c r="E83" s="44" t="n">
        <v>4602.5234</v>
      </c>
    </row>
    <row r="84">
      <c r="A84" s="39">
        <f>_xlfn.XLOOKUP(17838,Trip[shape_id],Trip[shape_id],"Não encontrado")</f>
        <v/>
      </c>
      <c r="B84" s="40" t="n">
        <v>-23.604826</v>
      </c>
      <c r="C84" s="40" t="n">
        <v>-46.636883</v>
      </c>
      <c r="D84" s="40" t="n">
        <v>83</v>
      </c>
      <c r="E84" s="41" t="n">
        <v>4656.6099</v>
      </c>
    </row>
    <row r="85">
      <c r="A85" s="42">
        <f>_xlfn.XLOOKUP(17838,Trip[shape_id],Trip[shape_id],"Não encontrado")</f>
        <v/>
      </c>
      <c r="B85" s="43" t="n">
        <v>-23.604452</v>
      </c>
      <c r="C85" s="43" t="n">
        <v>-46.636785</v>
      </c>
      <c r="D85" s="43" t="n">
        <v>84</v>
      </c>
      <c r="E85" s="44" t="n">
        <v>4699.2217</v>
      </c>
    </row>
    <row r="86">
      <c r="A86" s="39">
        <f>_xlfn.XLOOKUP(17838,Trip[shape_id],Trip[shape_id],"Não encontrado")</f>
        <v/>
      </c>
      <c r="B86" s="40" t="n">
        <v>-23.604266</v>
      </c>
      <c r="C86" s="40" t="n">
        <v>-46.636759</v>
      </c>
      <c r="D86" s="40" t="n">
        <v>85</v>
      </c>
      <c r="E86" s="41" t="n">
        <v>4719.9917</v>
      </c>
    </row>
    <row r="87">
      <c r="A87" s="42">
        <f>_xlfn.XLOOKUP(17838,Trip[shape_id],Trip[shape_id],"Não encontrado")</f>
        <v/>
      </c>
      <c r="B87" s="43" t="n">
        <v>-23.603993</v>
      </c>
      <c r="C87" s="43" t="n">
        <v>-46.636739</v>
      </c>
      <c r="D87" s="43" t="n">
        <v>86</v>
      </c>
      <c r="E87" s="44" t="n">
        <v>4750.2959</v>
      </c>
    </row>
    <row r="88">
      <c r="A88" s="39">
        <f>_xlfn.XLOOKUP(17838,Trip[shape_id],Trip[shape_id],"Não encontrado")</f>
        <v/>
      </c>
      <c r="B88" s="40" t="n">
        <v>-23.603418</v>
      </c>
      <c r="C88" s="40" t="n">
        <v>-46.636736</v>
      </c>
      <c r="D88" s="40" t="n">
        <v>87</v>
      </c>
      <c r="E88" s="41" t="n">
        <v>4813.9795</v>
      </c>
    </row>
    <row r="89">
      <c r="A89" s="42">
        <f>_xlfn.XLOOKUP(17838,Trip[shape_id],Trip[shape_id],"Não encontrado")</f>
        <v/>
      </c>
      <c r="B89" s="43" t="n">
        <v>-23.60218</v>
      </c>
      <c r="C89" s="43" t="n">
        <v>-46.636706</v>
      </c>
      <c r="D89" s="43" t="n">
        <v>88</v>
      </c>
      <c r="E89" s="44" t="n">
        <v>4951.1255</v>
      </c>
    </row>
    <row r="90">
      <c r="A90" s="39">
        <f>_xlfn.XLOOKUP(17838,Trip[shape_id],Trip[shape_id],"Não encontrado")</f>
        <v/>
      </c>
      <c r="B90" s="40" t="n">
        <v>-23.60173</v>
      </c>
      <c r="C90" s="40" t="n">
        <v>-46.636697</v>
      </c>
      <c r="D90" s="40" t="n">
        <v>89</v>
      </c>
      <c r="E90" s="41" t="n">
        <v>5000.9727</v>
      </c>
    </row>
    <row r="91">
      <c r="A91" s="42">
        <f>_xlfn.XLOOKUP(17838,Trip[shape_id],Trip[shape_id],"Não encontrado")</f>
        <v/>
      </c>
      <c r="B91" s="43" t="n">
        <v>-23.600803</v>
      </c>
      <c r="C91" s="43" t="n">
        <v>-46.636696</v>
      </c>
      <c r="D91" s="43" t="n">
        <v>90</v>
      </c>
      <c r="E91" s="44" t="n">
        <v>5103.6401</v>
      </c>
    </row>
    <row r="92">
      <c r="A92" s="39">
        <f>_xlfn.XLOOKUP(17838,Trip[shape_id],Trip[shape_id],"Não encontrado")</f>
        <v/>
      </c>
      <c r="B92" s="40" t="n">
        <v>-23.599929</v>
      </c>
      <c r="C92" s="40" t="n">
        <v>-46.636687</v>
      </c>
      <c r="D92" s="40" t="n">
        <v>91</v>
      </c>
      <c r="E92" s="41" t="n">
        <v>5200.4424</v>
      </c>
    </row>
    <row r="93">
      <c r="A93" s="42">
        <f>_xlfn.XLOOKUP(17838,Trip[shape_id],Trip[shape_id],"Não encontrado")</f>
        <v/>
      </c>
      <c r="B93" s="43" t="n">
        <v>-23.599132</v>
      </c>
      <c r="C93" s="43" t="n">
        <v>-46.636678</v>
      </c>
      <c r="D93" s="43" t="n">
        <v>92</v>
      </c>
      <c r="E93" s="44" t="n">
        <v>5288.7168</v>
      </c>
    </row>
    <row r="94">
      <c r="A94" s="39">
        <f>_xlfn.XLOOKUP(17838,Trip[shape_id],Trip[shape_id],"Não encontrado")</f>
        <v/>
      </c>
      <c r="B94" s="40" t="n">
        <v>-23.598996</v>
      </c>
      <c r="C94" s="40" t="n">
        <v>-46.636676</v>
      </c>
      <c r="D94" s="40" t="n">
        <v>93</v>
      </c>
      <c r="E94" s="41" t="n">
        <v>5303.7808</v>
      </c>
    </row>
    <row r="95">
      <c r="A95" s="42">
        <f>_xlfn.XLOOKUP(17838,Trip[shape_id],Trip[shape_id],"Não encontrado")</f>
        <v/>
      </c>
      <c r="B95" s="43" t="n">
        <v>-23.598453</v>
      </c>
      <c r="C95" s="43" t="n">
        <v>-46.636627</v>
      </c>
      <c r="D95" s="43" t="n">
        <v>94</v>
      </c>
      <c r="E95" s="44" t="n">
        <v>5364.127</v>
      </c>
    </row>
    <row r="96">
      <c r="A96" s="39">
        <f>_xlfn.XLOOKUP(17838,Trip[shape_id],Trip[shape_id],"Não encontrado")</f>
        <v/>
      </c>
      <c r="B96" s="40" t="n">
        <v>-23.598239</v>
      </c>
      <c r="C96" s="40" t="n">
        <v>-46.636628</v>
      </c>
      <c r="D96" s="40" t="n">
        <v>95</v>
      </c>
      <c r="E96" s="41" t="n">
        <v>5387.8286</v>
      </c>
    </row>
    <row r="97">
      <c r="A97" s="42">
        <f>_xlfn.XLOOKUP(17838,Trip[shape_id],Trip[shape_id],"Não encontrado")</f>
        <v/>
      </c>
      <c r="B97" s="43" t="n">
        <v>-23.597923</v>
      </c>
      <c r="C97" s="43" t="n">
        <v>-46.636631</v>
      </c>
      <c r="D97" s="43" t="n">
        <v>96</v>
      </c>
      <c r="E97" s="44" t="n">
        <v>5422.8276</v>
      </c>
    </row>
    <row r="98">
      <c r="A98" s="39">
        <f>_xlfn.XLOOKUP(17838,Trip[shape_id],Trip[shape_id],"Não encontrado")</f>
        <v/>
      </c>
      <c r="B98" s="40" t="n">
        <v>-23.597418</v>
      </c>
      <c r="C98" s="40" t="n">
        <v>-46.636636</v>
      </c>
      <c r="D98" s="40" t="n">
        <v>97</v>
      </c>
      <c r="E98" s="41" t="n">
        <v>5478.7598</v>
      </c>
    </row>
    <row r="99">
      <c r="A99" s="42">
        <f>_xlfn.XLOOKUP(17838,Trip[shape_id],Trip[shape_id],"Não encontrado")</f>
        <v/>
      </c>
      <c r="B99" s="43" t="n">
        <v>-23.596969</v>
      </c>
      <c r="C99" s="43" t="n">
        <v>-46.636641</v>
      </c>
      <c r="D99" s="43" t="n">
        <v>98</v>
      </c>
      <c r="E99" s="44" t="n">
        <v>5528.4902</v>
      </c>
    </row>
    <row r="100">
      <c r="A100" s="39">
        <f>_xlfn.XLOOKUP(17838,Trip[shape_id],Trip[shape_id],"Não encontrado")</f>
        <v/>
      </c>
      <c r="B100" s="40" t="n">
        <v>-23.596499</v>
      </c>
      <c r="C100" s="40" t="n">
        <v>-46.636647</v>
      </c>
      <c r="D100" s="40" t="n">
        <v>99</v>
      </c>
      <c r="E100" s="41" t="n">
        <v>5580.5474</v>
      </c>
    </row>
    <row r="101">
      <c r="A101" s="42">
        <f>_xlfn.XLOOKUP(17838,Trip[shape_id],Trip[shape_id],"Não encontrado")</f>
        <v/>
      </c>
      <c r="B101" s="43" t="n">
        <v>-23.595954</v>
      </c>
      <c r="C101" s="43" t="n">
        <v>-46.636653</v>
      </c>
      <c r="D101" s="43" t="n">
        <v>100</v>
      </c>
      <c r="E101" s="44" t="n">
        <v>5640.9106</v>
      </c>
    </row>
    <row r="102">
      <c r="A102" s="39">
        <f>_xlfn.XLOOKUP(17838,Trip[shape_id],Trip[shape_id],"Não encontrado")</f>
        <v/>
      </c>
      <c r="B102" s="40" t="n">
        <v>-23.59556</v>
      </c>
      <c r="C102" s="40" t="n">
        <v>-46.636645</v>
      </c>
      <c r="D102" s="40" t="n">
        <v>101</v>
      </c>
      <c r="E102" s="41" t="n">
        <v>5684.5547</v>
      </c>
    </row>
    <row r="103">
      <c r="A103" s="42">
        <f>_xlfn.XLOOKUP(17838,Trip[shape_id],Trip[shape_id],"Não encontrado")</f>
        <v/>
      </c>
      <c r="B103" s="43" t="n">
        <v>-23.594676</v>
      </c>
      <c r="C103" s="43" t="n">
        <v>-46.636626</v>
      </c>
      <c r="D103" s="43" t="n">
        <v>102</v>
      </c>
      <c r="E103" s="44" t="n">
        <v>5782.479</v>
      </c>
    </row>
    <row r="104">
      <c r="A104" s="39">
        <f>_xlfn.XLOOKUP(17838,Trip[shape_id],Trip[shape_id],"Não encontrado")</f>
        <v/>
      </c>
      <c r="B104" s="40" t="n">
        <v>-23.594022</v>
      </c>
      <c r="C104" s="40" t="n">
        <v>-46.636613</v>
      </c>
      <c r="D104" s="40" t="n">
        <v>103</v>
      </c>
      <c r="E104" s="41" t="n">
        <v>5854.9233</v>
      </c>
    </row>
    <row r="105">
      <c r="A105" s="42">
        <f>_xlfn.XLOOKUP(17838,Trip[shape_id],Trip[shape_id],"Não encontrado")</f>
        <v/>
      </c>
      <c r="B105" s="43" t="n">
        <v>-23.593456</v>
      </c>
      <c r="C105" s="43" t="n">
        <v>-46.636601</v>
      </c>
      <c r="D105" s="43" t="n">
        <v>104</v>
      </c>
      <c r="E105" s="44" t="n">
        <v>5917.6211</v>
      </c>
    </row>
    <row r="106">
      <c r="A106" s="39">
        <f>_xlfn.XLOOKUP(17838,Trip[shape_id],Trip[shape_id],"Não encontrado")</f>
        <v/>
      </c>
      <c r="B106" s="40" t="n">
        <v>-23.592963</v>
      </c>
      <c r="C106" s="40" t="n">
        <v>-46.636591</v>
      </c>
      <c r="D106" s="40" t="n">
        <v>105</v>
      </c>
      <c r="E106" s="41" t="n">
        <v>5972.2314</v>
      </c>
    </row>
    <row r="107">
      <c r="A107" s="42">
        <f>_xlfn.XLOOKUP(17838,Trip[shape_id],Trip[shape_id],"Não encontrado")</f>
        <v/>
      </c>
      <c r="B107" s="43" t="n">
        <v>-23.592689</v>
      </c>
      <c r="C107" s="43" t="n">
        <v>-46.63656</v>
      </c>
      <c r="D107" s="43" t="n">
        <v>106</v>
      </c>
      <c r="E107" s="44" t="n">
        <v>6002.7422</v>
      </c>
    </row>
    <row r="108">
      <c r="A108" s="39">
        <f>_xlfn.XLOOKUP(17838,Trip[shape_id],Trip[shape_id],"Não encontrado")</f>
        <v/>
      </c>
      <c r="B108" s="40" t="n">
        <v>-23.592513</v>
      </c>
      <c r="C108" s="40" t="n">
        <v>-46.636532</v>
      </c>
      <c r="D108" s="40" t="n">
        <v>107</v>
      </c>
      <c r="E108" s="41" t="n">
        <v>6022.4429</v>
      </c>
    </row>
    <row r="109">
      <c r="A109" s="42">
        <f>_xlfn.XLOOKUP(17838,Trip[shape_id],Trip[shape_id],"Não encontrado")</f>
        <v/>
      </c>
      <c r="B109" s="43" t="n">
        <v>-23.59224</v>
      </c>
      <c r="C109" s="43" t="n">
        <v>-46.636437</v>
      </c>
      <c r="D109" s="43" t="n">
        <v>108</v>
      </c>
      <c r="E109" s="44" t="n">
        <v>6054.1953</v>
      </c>
    </row>
    <row r="110">
      <c r="A110" s="39">
        <f>_xlfn.XLOOKUP(17838,Trip[shape_id],Trip[shape_id],"Não encontrado")</f>
        <v/>
      </c>
      <c r="B110" s="40" t="n">
        <v>-23.591971</v>
      </c>
      <c r="C110" s="40" t="n">
        <v>-46.636283</v>
      </c>
      <c r="D110" s="40" t="n">
        <v>109</v>
      </c>
      <c r="E110" s="41" t="n">
        <v>6087.8799</v>
      </c>
    </row>
    <row r="111">
      <c r="A111" s="42">
        <f>_xlfn.XLOOKUP(17838,Trip[shape_id],Trip[shape_id],"Não encontrado")</f>
        <v/>
      </c>
      <c r="B111" s="43" t="n">
        <v>-23.591769</v>
      </c>
      <c r="C111" s="43" t="n">
        <v>-46.636106</v>
      </c>
      <c r="D111" s="43" t="n">
        <v>110</v>
      </c>
      <c r="E111" s="44" t="n">
        <v>6116.6357</v>
      </c>
    </row>
    <row r="112">
      <c r="A112" s="39">
        <f>_xlfn.XLOOKUP(17838,Trip[shape_id],Trip[shape_id],"Não encontrado")</f>
        <v/>
      </c>
      <c r="B112" s="40" t="n">
        <v>-23.591513</v>
      </c>
      <c r="C112" s="40" t="n">
        <v>-46.635882</v>
      </c>
      <c r="D112" s="40" t="n">
        <v>111</v>
      </c>
      <c r="E112" s="41" t="n">
        <v>6153.0586</v>
      </c>
    </row>
    <row r="113">
      <c r="A113" s="42">
        <f>_xlfn.XLOOKUP(17838,Trip[shape_id],Trip[shape_id],"Não encontrado")</f>
        <v/>
      </c>
      <c r="B113" s="43" t="n">
        <v>-23.591192</v>
      </c>
      <c r="C113" s="43" t="n">
        <v>-46.635592</v>
      </c>
      <c r="D113" s="43" t="n">
        <v>112</v>
      </c>
      <c r="E113" s="44" t="n">
        <v>6199.3198</v>
      </c>
    </row>
    <row r="114">
      <c r="A114" s="39">
        <f>_xlfn.XLOOKUP(17838,Trip[shape_id],Trip[shape_id],"Não encontrado")</f>
        <v/>
      </c>
      <c r="B114" s="40" t="n">
        <v>-23.590971</v>
      </c>
      <c r="C114" s="40" t="n">
        <v>-46.635434</v>
      </c>
      <c r="D114" s="40" t="n">
        <v>113</v>
      </c>
      <c r="E114" s="41" t="n">
        <v>6228.6318</v>
      </c>
    </row>
    <row r="115">
      <c r="A115" s="42">
        <f>_xlfn.XLOOKUP(17838,Trip[shape_id],Trip[shape_id],"Não encontrado")</f>
        <v/>
      </c>
      <c r="B115" s="43" t="n">
        <v>-23.590786</v>
      </c>
      <c r="C115" s="43" t="n">
        <v>-46.635315</v>
      </c>
      <c r="D115" s="43" t="n">
        <v>114</v>
      </c>
      <c r="E115" s="44" t="n">
        <v>6252.4507</v>
      </c>
    </row>
    <row r="116">
      <c r="A116" s="39">
        <f>_xlfn.XLOOKUP(17838,Trip[shape_id],Trip[shape_id],"Não encontrado")</f>
        <v/>
      </c>
      <c r="B116" s="40" t="n">
        <v>-23.59069</v>
      </c>
      <c r="C116" s="40" t="n">
        <v>-46.635266</v>
      </c>
      <c r="D116" s="40" t="n">
        <v>115</v>
      </c>
      <c r="E116" s="41" t="n">
        <v>6264.2002</v>
      </c>
    </row>
    <row r="117">
      <c r="A117" s="42">
        <f>_xlfn.XLOOKUP(17838,Trip[shape_id],Trip[shape_id],"Não encontrado")</f>
        <v/>
      </c>
      <c r="B117" s="43" t="n">
        <v>-23.590258</v>
      </c>
      <c r="C117" s="43" t="n">
        <v>-46.635075</v>
      </c>
      <c r="D117" s="43" t="n">
        <v>116</v>
      </c>
      <c r="E117" s="44" t="n">
        <v>6315.8647</v>
      </c>
    </row>
    <row r="118">
      <c r="A118" s="39">
        <f>_xlfn.XLOOKUP(17838,Trip[shape_id],Trip[shape_id],"Não encontrado")</f>
        <v/>
      </c>
      <c r="B118" s="40" t="n">
        <v>-23.589878</v>
      </c>
      <c r="C118" s="40" t="n">
        <v>-46.634899</v>
      </c>
      <c r="D118" s="40" t="n">
        <v>117</v>
      </c>
      <c r="E118" s="41" t="n">
        <v>6361.6245</v>
      </c>
    </row>
    <row r="119">
      <c r="A119" s="42">
        <f>_xlfn.XLOOKUP(17838,Trip[shape_id],Trip[shape_id],"Não encontrado")</f>
        <v/>
      </c>
      <c r="B119" s="43" t="n">
        <v>-23.589589</v>
      </c>
      <c r="C119" s="43" t="n">
        <v>-46.63478</v>
      </c>
      <c r="D119" s="43" t="n">
        <v>118</v>
      </c>
      <c r="E119" s="44" t="n">
        <v>6395.8594</v>
      </c>
    </row>
    <row r="120">
      <c r="A120" s="39">
        <f>_xlfn.XLOOKUP(17838,Trip[shape_id],Trip[shape_id],"Não encontrado")</f>
        <v/>
      </c>
      <c r="B120" s="40" t="n">
        <v>-23.58943</v>
      </c>
      <c r="C120" s="40" t="n">
        <v>-46.634683</v>
      </c>
      <c r="D120" s="40" t="n">
        <v>119</v>
      </c>
      <c r="E120" s="41" t="n">
        <v>6416.0615</v>
      </c>
    </row>
    <row r="121">
      <c r="A121" s="42">
        <f>_xlfn.XLOOKUP(17838,Trip[shape_id],Trip[shape_id],"Não encontrado")</f>
        <v/>
      </c>
      <c r="B121" s="43" t="n">
        <v>-23.589239</v>
      </c>
      <c r="C121" s="43" t="n">
        <v>-46.634651</v>
      </c>
      <c r="D121" s="43" t="n">
        <v>120</v>
      </c>
      <c r="E121" s="44" t="n">
        <v>6437.4658</v>
      </c>
    </row>
    <row r="122">
      <c r="A122" s="39">
        <f>_xlfn.XLOOKUP(17838,Trip[shape_id],Trip[shape_id],"Não encontrado")</f>
        <v/>
      </c>
      <c r="B122" s="40" t="n">
        <v>-23.588963</v>
      </c>
      <c r="C122" s="40" t="n">
        <v>-46.634619</v>
      </c>
      <c r="D122" s="40" t="n">
        <v>121</v>
      </c>
      <c r="E122" s="41" t="n">
        <v>6536.0063</v>
      </c>
    </row>
    <row r="123">
      <c r="A123" s="42">
        <f>_xlfn.XLOOKUP(17838,Trip[shape_id],Trip[shape_id],"Não encontrado")</f>
        <v/>
      </c>
      <c r="B123" s="43" t="n">
        <v>-23.588352</v>
      </c>
      <c r="C123" s="43" t="n">
        <v>-46.634578</v>
      </c>
      <c r="D123" s="43" t="n">
        <v>122</v>
      </c>
      <c r="E123" s="44" t="n">
        <v>6574.0767</v>
      </c>
    </row>
    <row r="124">
      <c r="A124" s="39">
        <f>_xlfn.XLOOKUP(17838,Trip[shape_id],Trip[shape_id],"Não encontrado")</f>
        <v/>
      </c>
      <c r="B124" s="40" t="n">
        <v>-23.588011</v>
      </c>
      <c r="C124" s="40" t="n">
        <v>-46.634625</v>
      </c>
      <c r="D124" s="40" t="n">
        <v>123</v>
      </c>
      <c r="E124" s="41" t="n">
        <v>6597.1929</v>
      </c>
    </row>
    <row r="125">
      <c r="A125" s="42">
        <f>_xlfn.XLOOKUP(17838,Trip[shape_id],Trip[shape_id],"Não encontrado")</f>
        <v/>
      </c>
      <c r="B125" s="43" t="n">
        <v>-23.587804</v>
      </c>
      <c r="C125" s="43" t="n">
        <v>-46.634654</v>
      </c>
      <c r="D125" s="43" t="n">
        <v>124</v>
      </c>
      <c r="E125" s="44" t="n">
        <v>6620.522</v>
      </c>
    </row>
    <row r="126">
      <c r="A126" s="39">
        <f>_xlfn.XLOOKUP(17838,Trip[shape_id],Trip[shape_id],"Não encontrado")</f>
        <v/>
      </c>
      <c r="B126" s="40" t="n">
        <v>-23.587601</v>
      </c>
      <c r="C126" s="40" t="n">
        <v>-46.634715</v>
      </c>
      <c r="D126" s="40" t="n">
        <v>125</v>
      </c>
      <c r="E126" s="41" t="n">
        <v>6641.98</v>
      </c>
    </row>
    <row r="127">
      <c r="A127" s="42">
        <f>_xlfn.XLOOKUP(17838,Trip[shape_id],Trip[shape_id],"Não encontrado")</f>
        <v/>
      </c>
      <c r="B127" s="43" t="n">
        <v>-23.587414</v>
      </c>
      <c r="C127" s="43" t="n">
        <v>-46.63477</v>
      </c>
      <c r="D127" s="43" t="n">
        <v>126</v>
      </c>
      <c r="E127" s="44" t="n">
        <v>6656.5708</v>
      </c>
    </row>
    <row r="128">
      <c r="A128" s="39">
        <f>_xlfn.XLOOKUP(17838,Trip[shape_id],Trip[shape_id],"Não encontrado")</f>
        <v/>
      </c>
      <c r="B128" s="40" t="n">
        <v>-23.587287</v>
      </c>
      <c r="C128" s="40" t="n">
        <v>-46.634808</v>
      </c>
      <c r="D128" s="40" t="n">
        <v>127</v>
      </c>
      <c r="E128" s="41" t="n">
        <v>6701.2734</v>
      </c>
    </row>
    <row r="129">
      <c r="A129" s="42">
        <f>_xlfn.XLOOKUP(17838,Trip[shape_id],Trip[shape_id],"Não encontrado")</f>
        <v/>
      </c>
      <c r="B129" s="43" t="n">
        <v>-23.586917</v>
      </c>
      <c r="C129" s="43" t="n">
        <v>-46.634983</v>
      </c>
      <c r="D129" s="43" t="n">
        <v>128</v>
      </c>
      <c r="E129" s="44" t="n">
        <v>6737.8813</v>
      </c>
    </row>
    <row r="130">
      <c r="A130" s="39">
        <f>_xlfn.XLOOKUP(17838,Trip[shape_id],Trip[shape_id],"Não encontrado")</f>
        <v/>
      </c>
      <c r="B130" s="40" t="n">
        <v>-23.586629</v>
      </c>
      <c r="C130" s="40" t="n">
        <v>-46.635159</v>
      </c>
      <c r="D130" s="40" t="n">
        <v>129</v>
      </c>
      <c r="E130" s="41" t="n">
        <v>6807.8779</v>
      </c>
    </row>
    <row r="131">
      <c r="A131" s="42">
        <f>_xlfn.XLOOKUP(17838,Trip[shape_id],Trip[shape_id],"Não encontrado")</f>
        <v/>
      </c>
      <c r="B131" s="43" t="n">
        <v>-23.586076</v>
      </c>
      <c r="C131" s="43" t="n">
        <v>-46.635491</v>
      </c>
      <c r="D131" s="43" t="n">
        <v>130</v>
      </c>
      <c r="E131" s="44" t="n">
        <v>6879.9248</v>
      </c>
    </row>
    <row r="132">
      <c r="A132" s="39">
        <f>_xlfn.XLOOKUP(17838,Trip[shape_id],Trip[shape_id],"Não encontrado")</f>
        <v/>
      </c>
      <c r="B132" s="40" t="n">
        <v>-23.585517</v>
      </c>
      <c r="C132" s="40" t="n">
        <v>-46.635852</v>
      </c>
      <c r="D132" s="40" t="n">
        <v>131</v>
      </c>
      <c r="E132" s="41" t="n">
        <v>6923.8633</v>
      </c>
    </row>
    <row r="133">
      <c r="A133" s="42">
        <f>_xlfn.XLOOKUP(17838,Trip[shape_id],Trip[shape_id],"Não encontrado")</f>
        <v/>
      </c>
      <c r="B133" s="43" t="n">
        <v>-23.585176</v>
      </c>
      <c r="C133" s="43" t="n">
        <v>-46.636072</v>
      </c>
      <c r="D133" s="43" t="n">
        <v>132</v>
      </c>
      <c r="E133" s="44" t="n">
        <v>6970.8931</v>
      </c>
    </row>
    <row r="134">
      <c r="A134" s="39">
        <f>_xlfn.XLOOKUP(17838,Trip[shape_id],Trip[shape_id],"Não encontrado")</f>
        <v/>
      </c>
      <c r="B134" s="40" t="n">
        <v>-23.584807</v>
      </c>
      <c r="C134" s="40" t="n">
        <v>-46.6363</v>
      </c>
      <c r="D134" s="40" t="n">
        <v>133</v>
      </c>
      <c r="E134" s="41" t="n">
        <v>6978.6328</v>
      </c>
    </row>
    <row r="135">
      <c r="A135" s="42">
        <f>_xlfn.XLOOKUP(17838,Trip[shape_id],Trip[shape_id],"Não encontrado")</f>
        <v/>
      </c>
      <c r="B135" s="43" t="n">
        <v>-23.584746</v>
      </c>
      <c r="C135" s="43" t="n">
        <v>-46.636337</v>
      </c>
      <c r="D135" s="43" t="n">
        <v>134</v>
      </c>
      <c r="E135" s="44" t="n">
        <v>7016.0703</v>
      </c>
    </row>
    <row r="136">
      <c r="A136" s="39">
        <f>_xlfn.XLOOKUP(17838,Trip[shape_id],Trip[shape_id],"Não encontrado")</f>
        <v/>
      </c>
      <c r="B136" s="40" t="n">
        <v>-23.584452</v>
      </c>
      <c r="C136" s="40" t="n">
        <v>-46.636518</v>
      </c>
      <c r="D136" s="40" t="n">
        <v>135</v>
      </c>
      <c r="E136" s="41" t="n">
        <v>7072.8345</v>
      </c>
    </row>
    <row r="137">
      <c r="A137" s="42">
        <f>_xlfn.XLOOKUP(17838,Trip[shape_id],Trip[shape_id],"Não encontrado")</f>
        <v/>
      </c>
      <c r="B137" s="43" t="n">
        <v>-23.584006</v>
      </c>
      <c r="C137" s="43" t="n">
        <v>-46.636792</v>
      </c>
      <c r="D137" s="43" t="n">
        <v>136</v>
      </c>
      <c r="E137" s="44" t="n">
        <v>7099.6118</v>
      </c>
    </row>
    <row r="138">
      <c r="A138" s="39">
        <f>_xlfn.XLOOKUP(17838,Trip[shape_id],Trip[shape_id],"Não encontrado")</f>
        <v/>
      </c>
      <c r="B138" s="40" t="n">
        <v>-23.583796</v>
      </c>
      <c r="C138" s="40" t="n">
        <v>-46.636922</v>
      </c>
      <c r="D138" s="40" t="n">
        <v>137</v>
      </c>
      <c r="E138" s="41" t="n">
        <v>7166.5156</v>
      </c>
    </row>
    <row r="139">
      <c r="A139" s="42">
        <f>_xlfn.XLOOKUP(17838,Trip[shape_id],Trip[shape_id],"Não encontrado")</f>
        <v/>
      </c>
      <c r="B139" s="43" t="n">
        <v>-23.583273</v>
      </c>
      <c r="C139" s="43" t="n">
        <v>-46.63725</v>
      </c>
      <c r="D139" s="43" t="n">
        <v>138</v>
      </c>
      <c r="E139" s="44" t="n">
        <v>7223.5845</v>
      </c>
    </row>
    <row r="140">
      <c r="A140" s="39">
        <f>_xlfn.XLOOKUP(17838,Trip[shape_id],Trip[shape_id],"Não encontrado")</f>
        <v/>
      </c>
      <c r="B140" s="40" t="n">
        <v>-23.582827</v>
      </c>
      <c r="C140" s="40" t="n">
        <v>-46.63753</v>
      </c>
      <c r="D140" s="40" t="n">
        <v>139</v>
      </c>
      <c r="E140" s="41" t="n">
        <v>7255.1421</v>
      </c>
    </row>
    <row r="141">
      <c r="A141" s="42">
        <f>_xlfn.XLOOKUP(17838,Trip[shape_id],Trip[shape_id],"Não encontrado")</f>
        <v/>
      </c>
      <c r="B141" s="43" t="n">
        <v>-23.582581</v>
      </c>
      <c r="C141" s="43" t="n">
        <v>-46.637686</v>
      </c>
      <c r="D141" s="43" t="n">
        <v>140</v>
      </c>
      <c r="E141" s="44" t="n">
        <v>7283.4751</v>
      </c>
    </row>
    <row r="142">
      <c r="A142" s="39">
        <f>_xlfn.XLOOKUP(17838,Trip[shape_id],Trip[shape_id],"Não encontrado")</f>
        <v/>
      </c>
      <c r="B142" s="40" t="n">
        <v>-23.582364</v>
      </c>
      <c r="C142" s="40" t="n">
        <v>-46.637833</v>
      </c>
      <c r="D142" s="40" t="n">
        <v>141</v>
      </c>
      <c r="E142" s="41" t="n">
        <v>7297.7031</v>
      </c>
    </row>
    <row r="143">
      <c r="A143" s="42">
        <f>_xlfn.XLOOKUP(17838,Trip[shape_id],Trip[shape_id],"Não encontrado")</f>
        <v/>
      </c>
      <c r="B143" s="43" t="n">
        <v>-23.582254</v>
      </c>
      <c r="C143" s="43" t="n">
        <v>-46.637905</v>
      </c>
      <c r="D143" s="43" t="n">
        <v>142</v>
      </c>
      <c r="E143" s="44" t="n">
        <v>7299.7461</v>
      </c>
    </row>
    <row r="144">
      <c r="A144" s="39">
        <f>_xlfn.XLOOKUP(17838,Trip[shape_id],Trip[shape_id],"Não encontrado")</f>
        <v/>
      </c>
      <c r="B144" s="40" t="n">
        <v>-23.582238</v>
      </c>
      <c r="C144" s="40" t="n">
        <v>-46.637915</v>
      </c>
      <c r="D144" s="40" t="n">
        <v>143</v>
      </c>
      <c r="E144" s="41" t="n">
        <v>7299.7461</v>
      </c>
    </row>
    <row r="145">
      <c r="A145" s="42">
        <f>_xlfn.XLOOKUP(17838,Trip[shape_id],Trip[shape_id],"Não encontrado")</f>
        <v/>
      </c>
      <c r="B145" s="43" t="n">
        <v>-23.582165</v>
      </c>
      <c r="C145" s="43" t="n">
        <v>-46.637961</v>
      </c>
      <c r="D145" s="43" t="n">
        <v>144</v>
      </c>
      <c r="E145" s="44" t="n">
        <v>7351.6064</v>
      </c>
    </row>
    <row r="146">
      <c r="A146" s="39">
        <f>_xlfn.XLOOKUP(17838,Trip[shape_id],Trip[shape_id],"Não encontrado")</f>
        <v/>
      </c>
      <c r="B146" s="40" t="n">
        <v>-23.581833</v>
      </c>
      <c r="C146" s="40" t="n">
        <v>-46.63817</v>
      </c>
      <c r="D146" s="40" t="n">
        <v>145</v>
      </c>
      <c r="E146" s="41" t="n">
        <v>7378.1914</v>
      </c>
    </row>
    <row r="147">
      <c r="A147" s="42">
        <f>_xlfn.XLOOKUP(17838,Trip[shape_id],Trip[shape_id],"Não encontrado")</f>
        <v/>
      </c>
      <c r="B147" s="43" t="n">
        <v>-23.581625</v>
      </c>
      <c r="C147" s="43" t="n">
        <v>-46.6383</v>
      </c>
      <c r="D147" s="43" t="n">
        <v>146</v>
      </c>
      <c r="E147" s="44" t="n">
        <v>7412.8677</v>
      </c>
    </row>
    <row r="148">
      <c r="A148" s="39">
        <f>_xlfn.XLOOKUP(17838,Trip[shape_id],Trip[shape_id],"Não encontrado")</f>
        <v/>
      </c>
      <c r="B148" s="40" t="n">
        <v>-23.581355</v>
      </c>
      <c r="C148" s="40" t="n">
        <v>-46.638472</v>
      </c>
      <c r="D148" s="40" t="n">
        <v>147</v>
      </c>
      <c r="E148" s="41" t="n">
        <v>7417.0571</v>
      </c>
    </row>
    <row r="149">
      <c r="A149" s="42">
        <f>_xlfn.XLOOKUP(17838,Trip[shape_id],Trip[shape_id],"Não encontrado")</f>
        <v/>
      </c>
      <c r="B149" s="43" t="n">
        <v>-23.581321</v>
      </c>
      <c r="C149" s="43" t="n">
        <v>-46.63849</v>
      </c>
      <c r="D149" s="43" t="n">
        <v>148</v>
      </c>
      <c r="E149" s="44" t="n">
        <v>7424.4883</v>
      </c>
    </row>
    <row r="150">
      <c r="A150" s="39">
        <f>_xlfn.XLOOKUP(17838,Trip[shape_id],Trip[shape_id],"Não encontrado")</f>
        <v/>
      </c>
      <c r="B150" s="40" t="n">
        <v>-23.581254</v>
      </c>
      <c r="C150" s="40" t="n">
        <v>-46.638494</v>
      </c>
      <c r="D150" s="40" t="n">
        <v>149</v>
      </c>
      <c r="E150" s="41" t="n">
        <v>7424.4883</v>
      </c>
    </row>
    <row r="151">
      <c r="A151" s="42">
        <f>_xlfn.XLOOKUP(17838,Trip[shape_id],Trip[shape_id],"Não encontrado")</f>
        <v/>
      </c>
      <c r="B151" s="43" t="n">
        <v>-23.581256</v>
      </c>
      <c r="C151" s="43" t="n">
        <v>-46.638542</v>
      </c>
      <c r="D151" s="43" t="n">
        <v>150</v>
      </c>
      <c r="E151" s="44" t="n">
        <v>7437.2329</v>
      </c>
    </row>
    <row r="152">
      <c r="A152" s="39">
        <f>_xlfn.XLOOKUP(17838,Trip[shape_id],Trip[shape_id],"Não encontrado")</f>
        <v/>
      </c>
      <c r="B152" s="40" t="n">
        <v>-23.581193</v>
      </c>
      <c r="C152" s="40" t="n">
        <v>-46.638577</v>
      </c>
      <c r="D152" s="40" t="n">
        <v>151</v>
      </c>
      <c r="E152" s="41" t="n">
        <v>7437.2329</v>
      </c>
    </row>
    <row r="153">
      <c r="A153" s="42">
        <f>_xlfn.XLOOKUP(17838,Trip[shape_id],Trip[shape_id],"Não encontrado")</f>
        <v/>
      </c>
      <c r="B153" s="43" t="n">
        <v>-23.581043</v>
      </c>
      <c r="C153" s="43" t="n">
        <v>-46.638667</v>
      </c>
      <c r="D153" s="43" t="n">
        <v>152</v>
      </c>
      <c r="E153" s="44" t="n">
        <v>7514.2886</v>
      </c>
    </row>
    <row r="154">
      <c r="A154" s="39">
        <f>_xlfn.XLOOKUP(17838,Trip[shape_id],Trip[shape_id],"Não encontrado")</f>
        <v/>
      </c>
      <c r="B154" s="40" t="n">
        <v>-23.580593</v>
      </c>
      <c r="C154" s="40" t="n">
        <v>-46.638959</v>
      </c>
      <c r="D154" s="40" t="n">
        <v>153</v>
      </c>
      <c r="E154" s="41" t="n">
        <v>7537.3208</v>
      </c>
    </row>
    <row r="155">
      <c r="A155" s="42">
        <f>_xlfn.XLOOKUP(17838,Trip[shape_id],Trip[shape_id],"Não encontrado")</f>
        <v/>
      </c>
      <c r="B155" s="43" t="n">
        <v>-23.580413</v>
      </c>
      <c r="C155" s="43" t="n">
        <v>-46.639072</v>
      </c>
      <c r="D155" s="43" t="n">
        <v>154</v>
      </c>
      <c r="E155" s="44" t="n">
        <v>7583.8945</v>
      </c>
    </row>
    <row r="156">
      <c r="A156" s="39">
        <f>_xlfn.XLOOKUP(17838,Trip[shape_id],Trip[shape_id],"Não encontrado")</f>
        <v/>
      </c>
      <c r="B156" s="40" t="n">
        <v>-23.580052</v>
      </c>
      <c r="C156" s="40" t="n">
        <v>-46.639306</v>
      </c>
      <c r="D156" s="40" t="n">
        <v>155</v>
      </c>
      <c r="E156" s="41" t="n">
        <v>7608.9717</v>
      </c>
    </row>
    <row r="157">
      <c r="A157" s="42">
        <f>_xlfn.XLOOKUP(17838,Trip[shape_id],Trip[shape_id],"Não encontrado")</f>
        <v/>
      </c>
      <c r="B157" s="43" t="n">
        <v>-23.579856</v>
      </c>
      <c r="C157" s="43" t="n">
        <v>-46.639429</v>
      </c>
      <c r="D157" s="43" t="n">
        <v>156</v>
      </c>
      <c r="E157" s="44" t="n">
        <v>7618.1982</v>
      </c>
    </row>
    <row r="158">
      <c r="A158" s="39">
        <f>_xlfn.XLOOKUP(17838,Trip[shape_id],Trip[shape_id],"Não encontrado")</f>
        <v/>
      </c>
      <c r="B158" s="40" t="n">
        <v>-23.579786</v>
      </c>
      <c r="C158" s="40" t="n">
        <v>-46.639478</v>
      </c>
      <c r="D158" s="40" t="n">
        <v>157</v>
      </c>
      <c r="E158" s="41" t="n">
        <v>7642.1509</v>
      </c>
    </row>
    <row r="159">
      <c r="A159" s="42">
        <f>_xlfn.XLOOKUP(17838,Trip[shape_id],Trip[shape_id],"Não encontrado")</f>
        <v/>
      </c>
      <c r="B159" s="43" t="n">
        <v>-23.579598</v>
      </c>
      <c r="C159" s="43" t="n">
        <v>-46.639594</v>
      </c>
      <c r="D159" s="43" t="n">
        <v>158</v>
      </c>
      <c r="E159" s="44" t="n">
        <v>7671.1631</v>
      </c>
    </row>
    <row r="160">
      <c r="A160" s="39">
        <f>_xlfn.XLOOKUP(17838,Trip[shape_id],Trip[shape_id],"Não encontrado")</f>
        <v/>
      </c>
      <c r="B160" s="40" t="n">
        <v>-23.579369</v>
      </c>
      <c r="C160" s="40" t="n">
        <v>-46.639732</v>
      </c>
      <c r="D160" s="40" t="n">
        <v>159</v>
      </c>
      <c r="E160" s="41" t="n">
        <v>7706.5103</v>
      </c>
    </row>
    <row r="161">
      <c r="A161" s="42">
        <f>_xlfn.XLOOKUP(17838,Trip[shape_id],Trip[shape_id],"Não encontrado")</f>
        <v/>
      </c>
      <c r="B161" s="43" t="n">
        <v>-23.579092</v>
      </c>
      <c r="C161" s="43" t="n">
        <v>-46.639904</v>
      </c>
      <c r="D161" s="43" t="n">
        <v>160</v>
      </c>
      <c r="E161" s="44" t="n">
        <v>7728.3286</v>
      </c>
    </row>
    <row r="162">
      <c r="A162" s="39">
        <f>_xlfn.XLOOKUP(17838,Trip[shape_id],Trip[shape_id],"Não encontrado")</f>
        <v/>
      </c>
      <c r="B162" s="40" t="n">
        <v>-23.578922</v>
      </c>
      <c r="C162" s="40" t="n">
        <v>-46.640012</v>
      </c>
      <c r="D162" s="40" t="n">
        <v>161</v>
      </c>
      <c r="E162" s="41" t="n">
        <v>7771.1782</v>
      </c>
    </row>
    <row r="163">
      <c r="A163" s="42">
        <f>_xlfn.XLOOKUP(17838,Trip[shape_id],Trip[shape_id],"Não encontrado")</f>
        <v/>
      </c>
      <c r="B163" s="43" t="n">
        <v>-23.578587</v>
      </c>
      <c r="C163" s="43" t="n">
        <v>-46.640222</v>
      </c>
      <c r="D163" s="43" t="n">
        <v>162</v>
      </c>
      <c r="E163" s="44" t="n">
        <v>7821.9722</v>
      </c>
    </row>
    <row r="164">
      <c r="A164" s="39">
        <f>_xlfn.XLOOKUP(17838,Trip[shape_id],Trip[shape_id],"Não encontrado")</f>
        <v/>
      </c>
      <c r="B164" s="40" t="n">
        <v>-23.578191</v>
      </c>
      <c r="C164" s="40" t="n">
        <v>-46.640473</v>
      </c>
      <c r="D164" s="40" t="n">
        <v>163</v>
      </c>
      <c r="E164" s="41" t="n">
        <v>7841.2085</v>
      </c>
    </row>
    <row r="165">
      <c r="A165" s="42">
        <f>_xlfn.XLOOKUP(17838,Trip[shape_id],Trip[shape_id],"Não encontrado")</f>
        <v/>
      </c>
      <c r="B165" s="43" t="n">
        <v>-23.578041</v>
      </c>
      <c r="C165" s="43" t="n">
        <v>-46.640568</v>
      </c>
      <c r="D165" s="43" t="n">
        <v>164</v>
      </c>
      <c r="E165" s="44" t="n">
        <v>7872.6133</v>
      </c>
    </row>
    <row r="166">
      <c r="A166" s="39">
        <f>_xlfn.XLOOKUP(17838,Trip[shape_id],Trip[shape_id],"Não encontrado")</f>
        <v/>
      </c>
      <c r="B166" s="40" t="n">
        <v>-23.577784</v>
      </c>
      <c r="C166" s="40" t="n">
        <v>-46.640698</v>
      </c>
      <c r="D166" s="40" t="n">
        <v>165</v>
      </c>
      <c r="E166" s="41" t="n">
        <v>7907.314</v>
      </c>
    </row>
    <row r="167">
      <c r="A167" s="42">
        <f>_xlfn.XLOOKUP(17838,Trip[shape_id],Trip[shape_id],"Não encontrado")</f>
        <v/>
      </c>
      <c r="B167" s="43" t="n">
        <v>-23.577486</v>
      </c>
      <c r="C167" s="43" t="n">
        <v>-46.640803</v>
      </c>
      <c r="D167" s="43" t="n">
        <v>166</v>
      </c>
      <c r="E167" s="44" t="n">
        <v>7932.1738</v>
      </c>
    </row>
    <row r="168">
      <c r="A168" s="39">
        <f>_xlfn.XLOOKUP(17838,Trip[shape_id],Trip[shape_id],"Não encontrado")</f>
        <v/>
      </c>
      <c r="B168" s="40" t="n">
        <v>-23.577264</v>
      </c>
      <c r="C168" s="40" t="n">
        <v>-46.640839</v>
      </c>
      <c r="D168" s="40" t="n">
        <v>167</v>
      </c>
      <c r="E168" s="41" t="n">
        <v>7956.2373</v>
      </c>
    </row>
    <row r="169">
      <c r="A169" s="42">
        <f>_xlfn.XLOOKUP(17838,Trip[shape_id],Trip[shape_id],"Não encontrado")</f>
        <v/>
      </c>
      <c r="B169" s="43" t="n">
        <v>-23.577049</v>
      </c>
      <c r="C169" s="43" t="n">
        <v>-46.640873</v>
      </c>
      <c r="D169" s="43" t="n">
        <v>168</v>
      </c>
      <c r="E169" s="44" t="n">
        <v>7964.1064</v>
      </c>
    </row>
    <row r="170">
      <c r="A170" s="39">
        <f>_xlfn.XLOOKUP(17838,Trip[shape_id],Trip[shape_id],"Não encontrado")</f>
        <v/>
      </c>
      <c r="B170" s="40" t="n">
        <v>-23.576978</v>
      </c>
      <c r="C170" s="40" t="n">
        <v>-46.640876</v>
      </c>
      <c r="D170" s="40" t="n">
        <v>169</v>
      </c>
      <c r="E170" s="41" t="n">
        <v>7994.9063</v>
      </c>
    </row>
    <row r="171">
      <c r="A171" s="42">
        <f>_xlfn.XLOOKUP(17838,Trip[shape_id],Trip[shape_id],"Não encontrado")</f>
        <v/>
      </c>
      <c r="B171" s="43" t="n">
        <v>-23.5767</v>
      </c>
      <c r="C171" s="43" t="n">
        <v>-46.640884</v>
      </c>
      <c r="D171" s="43" t="n">
        <v>170</v>
      </c>
      <c r="E171" s="44" t="n">
        <v>8017.501</v>
      </c>
    </row>
    <row r="172">
      <c r="A172" s="39">
        <f>_xlfn.XLOOKUP(17838,Trip[shape_id],Trip[shape_id],"Não encontrado")</f>
        <v/>
      </c>
      <c r="B172" s="40" t="n">
        <v>-23.576497</v>
      </c>
      <c r="C172" s="40" t="n">
        <v>-46.640862</v>
      </c>
      <c r="D172" s="40" t="n">
        <v>171</v>
      </c>
      <c r="E172" s="41" t="n">
        <v>8063.1021</v>
      </c>
    </row>
    <row r="173">
      <c r="A173" s="42">
        <f>_xlfn.XLOOKUP(17838,Trip[shape_id],Trip[shape_id],"Não encontrado")</f>
        <v/>
      </c>
      <c r="B173" s="43" t="n">
        <v>-23.576087</v>
      </c>
      <c r="C173" s="43" t="n">
        <v>-46.640821</v>
      </c>
      <c r="D173" s="43" t="n">
        <v>172</v>
      </c>
      <c r="E173" s="44" t="n">
        <v>8084.0591</v>
      </c>
    </row>
    <row r="174">
      <c r="A174" s="39">
        <f>_xlfn.XLOOKUP(17838,Trip[shape_id],Trip[shape_id],"Não encontrado")</f>
        <v/>
      </c>
      <c r="B174" s="40" t="n">
        <v>-23.575898</v>
      </c>
      <c r="C174" s="40" t="n">
        <v>-46.640811</v>
      </c>
      <c r="D174" s="40" t="n">
        <v>173</v>
      </c>
      <c r="E174" s="41" t="n">
        <v>8134.2334</v>
      </c>
    </row>
    <row r="175">
      <c r="A175" s="42">
        <f>_xlfn.XLOOKUP(17838,Trip[shape_id],Trip[shape_id],"Não encontrado")</f>
        <v/>
      </c>
      <c r="B175" s="43" t="n">
        <v>-23.575445</v>
      </c>
      <c r="C175" s="43" t="n">
        <v>-46.640805</v>
      </c>
      <c r="D175" s="43" t="n">
        <v>174</v>
      </c>
      <c r="E175" s="44" t="n">
        <v>8134.2334</v>
      </c>
    </row>
    <row r="176">
      <c r="A176" s="39">
        <f>_xlfn.XLOOKUP(17838,Trip[shape_id],Trip[shape_id],"Não encontrado")</f>
        <v/>
      </c>
      <c r="B176" s="40" t="n">
        <v>-23.575377</v>
      </c>
      <c r="C176" s="40" t="n">
        <v>-46.640805</v>
      </c>
      <c r="D176" s="40" t="n">
        <v>175</v>
      </c>
      <c r="E176" s="41" t="n">
        <v>8141.7642</v>
      </c>
    </row>
    <row r="177">
      <c r="A177" s="42">
        <f>_xlfn.XLOOKUP(17838,Trip[shape_id],Trip[shape_id],"Não encontrado")</f>
        <v/>
      </c>
      <c r="B177" s="43" t="n">
        <v>-23.574657</v>
      </c>
      <c r="C177" s="43" t="n">
        <v>-46.640664</v>
      </c>
      <c r="D177" s="43" t="n">
        <v>176</v>
      </c>
      <c r="E177" s="44" t="n">
        <v>8284.7695</v>
      </c>
    </row>
    <row r="178">
      <c r="A178" s="39">
        <f>_xlfn.XLOOKUP(17838,Trip[shape_id],Trip[shape_id],"Não encontrado")</f>
        <v/>
      </c>
      <c r="B178" s="40" t="n">
        <v>-23.574111</v>
      </c>
      <c r="C178" s="40" t="n">
        <v>-46.640531</v>
      </c>
      <c r="D178" s="40" t="n">
        <v>177</v>
      </c>
      <c r="E178" s="41" t="n">
        <v>8284.7695</v>
      </c>
    </row>
    <row r="179">
      <c r="A179" s="42">
        <f>_xlfn.XLOOKUP(17838,Trip[shape_id],Trip[shape_id],"Não encontrado")</f>
        <v/>
      </c>
      <c r="B179" s="43" t="n">
        <v>-23.573812</v>
      </c>
      <c r="C179" s="43" t="n">
        <v>-46.64045</v>
      </c>
      <c r="D179" s="43" t="n">
        <v>178</v>
      </c>
      <c r="E179" s="44" t="n">
        <v>8356.6875</v>
      </c>
    </row>
    <row r="180">
      <c r="A180" s="39">
        <f>_xlfn.XLOOKUP(17838,Trip[shape_id],Trip[shape_id],"Não encontrado")</f>
        <v/>
      </c>
      <c r="B180" s="40" t="n">
        <v>-23.573483</v>
      </c>
      <c r="C180" s="40" t="n">
        <v>-46.640352</v>
      </c>
      <c r="D180" s="40" t="n">
        <v>179</v>
      </c>
      <c r="E180" s="41" t="n">
        <v>8454.093800000001</v>
      </c>
    </row>
    <row r="181">
      <c r="A181" s="42">
        <f>_xlfn.XLOOKUP(17838,Trip[shape_id],Trip[shape_id],"Não encontrado")</f>
        <v/>
      </c>
      <c r="B181" s="43" t="n">
        <v>-23.572636</v>
      </c>
      <c r="C181" s="43" t="n">
        <v>-46.640095</v>
      </c>
      <c r="D181" s="43" t="n">
        <v>180</v>
      </c>
      <c r="E181" s="44" t="n">
        <v>8537.5488</v>
      </c>
    </row>
    <row r="182">
      <c r="A182" s="39">
        <f>_xlfn.XLOOKUP(17838,Trip[shape_id],Trip[shape_id],"Não encontrado")</f>
        <v/>
      </c>
      <c r="B182" s="40" t="n">
        <v>-23.571908</v>
      </c>
      <c r="C182" s="40" t="n">
        <v>-46.639884</v>
      </c>
      <c r="D182" s="40" t="n">
        <v>181</v>
      </c>
      <c r="E182" s="41" t="n">
        <v>8592.857400000001</v>
      </c>
    </row>
    <row r="183">
      <c r="A183" s="42">
        <f>_xlfn.XLOOKUP(17838,Trip[shape_id],Trip[shape_id],"Não encontrado")</f>
        <v/>
      </c>
      <c r="B183" s="43" t="n">
        <v>-23.571412</v>
      </c>
      <c r="C183" s="43" t="n">
        <v>-46.639821</v>
      </c>
      <c r="D183" s="43" t="n">
        <v>182</v>
      </c>
      <c r="E183" s="44" t="n">
        <v>8624.059600000001</v>
      </c>
    </row>
    <row r="184">
      <c r="A184" s="39">
        <f>_xlfn.XLOOKUP(17838,Trip[shape_id],Trip[shape_id],"Não encontrado")</f>
        <v/>
      </c>
      <c r="B184" s="40" t="n">
        <v>-23.571131</v>
      </c>
      <c r="C184" s="40" t="n">
        <v>-46.639799</v>
      </c>
      <c r="D184" s="40" t="n">
        <v>183</v>
      </c>
      <c r="E184" s="41" t="n">
        <v>8645.2256</v>
      </c>
    </row>
    <row r="185">
      <c r="A185" s="42">
        <f>_xlfn.XLOOKUP(17838,Trip[shape_id],Trip[shape_id],"Não encontrado")</f>
        <v/>
      </c>
      <c r="B185" s="43" t="n">
        <v>-23.57094</v>
      </c>
      <c r="C185" s="43" t="n">
        <v>-46.639792</v>
      </c>
      <c r="D185" s="43" t="n">
        <v>184</v>
      </c>
      <c r="E185" s="44" t="n">
        <v>8674.6152</v>
      </c>
    </row>
    <row r="186">
      <c r="A186" s="39">
        <f>_xlfn.XLOOKUP(17838,Trip[shape_id],Trip[shape_id],"Não encontrado")</f>
        <v/>
      </c>
      <c r="B186" s="40" t="n">
        <v>-23.570675</v>
      </c>
      <c r="C186" s="40" t="n">
        <v>-46.639807</v>
      </c>
      <c r="D186" s="40" t="n">
        <v>185</v>
      </c>
      <c r="E186" s="41" t="n">
        <v>8747.734399999999</v>
      </c>
    </row>
    <row r="187">
      <c r="A187" s="42">
        <f>_xlfn.XLOOKUP(17838,Trip[shape_id],Trip[shape_id],"Não encontrado")</f>
        <v/>
      </c>
      <c r="B187" s="43" t="n">
        <v>-23.570015</v>
      </c>
      <c r="C187" s="43" t="n">
        <v>-46.639825</v>
      </c>
      <c r="D187" s="43" t="n">
        <v>186</v>
      </c>
      <c r="E187" s="44" t="n">
        <v>8803.419900000001</v>
      </c>
    </row>
    <row r="188">
      <c r="A188" s="39">
        <f>_xlfn.XLOOKUP(17838,Trip[shape_id],Trip[shape_id],"Não encontrado")</f>
        <v/>
      </c>
      <c r="B188" s="40" t="n">
        <v>-23.569514</v>
      </c>
      <c r="C188" s="40" t="n">
        <v>-46.639871</v>
      </c>
      <c r="D188" s="40" t="n">
        <v>187</v>
      </c>
      <c r="E188" s="41" t="n">
        <v>8912.804700000001</v>
      </c>
    </row>
    <row r="189">
      <c r="A189" s="42">
        <f>_xlfn.XLOOKUP(17838,Trip[shape_id],Trip[shape_id],"Não encontrado")</f>
        <v/>
      </c>
      <c r="B189" s="43" t="n">
        <v>-23.568528</v>
      </c>
      <c r="C189" s="43" t="n">
        <v>-46.639933</v>
      </c>
      <c r="D189" s="43" t="n">
        <v>188</v>
      </c>
      <c r="E189" s="44" t="n">
        <v>8912.804700000001</v>
      </c>
    </row>
    <row r="190">
      <c r="A190" s="39">
        <f>_xlfn.XLOOKUP(17838,Trip[shape_id],Trip[shape_id],"Não encontrado")</f>
        <v/>
      </c>
      <c r="B190" s="40" t="n">
        <v>-23.568478</v>
      </c>
      <c r="C190" s="40" t="n">
        <v>-46.639938</v>
      </c>
      <c r="D190" s="40" t="n">
        <v>189</v>
      </c>
      <c r="E190" s="41" t="n">
        <v>8928.1162</v>
      </c>
    </row>
    <row r="191">
      <c r="A191" s="42">
        <f>_xlfn.XLOOKUP(17838,Trip[shape_id],Trip[shape_id],"Não encontrado")</f>
        <v/>
      </c>
      <c r="B191" s="43" t="n">
        <v>-23.56839</v>
      </c>
      <c r="C191" s="43" t="n">
        <v>-46.639941</v>
      </c>
      <c r="D191" s="43" t="n">
        <v>190</v>
      </c>
      <c r="E191" s="44" t="n">
        <v>8948.0537</v>
      </c>
    </row>
    <row r="192">
      <c r="A192" s="39">
        <f>_xlfn.XLOOKUP(17838,Trip[shape_id],Trip[shape_id],"Não encontrado")</f>
        <v/>
      </c>
      <c r="B192" s="40" t="n">
        <v>-23.56821</v>
      </c>
      <c r="C192" s="40" t="n">
        <v>-46.639938</v>
      </c>
      <c r="D192" s="40" t="n">
        <v>191</v>
      </c>
      <c r="E192" s="41" t="n">
        <v>8967.598599999999</v>
      </c>
    </row>
    <row r="193">
      <c r="A193" s="42">
        <f>_xlfn.XLOOKUP(17838,Trip[shape_id],Trip[shape_id],"Não encontrado")</f>
        <v/>
      </c>
      <c r="B193" s="43" t="n">
        <v>-23.568034</v>
      </c>
      <c r="C193" s="43" t="n">
        <v>-46.639924</v>
      </c>
      <c r="D193" s="43" t="n">
        <v>192</v>
      </c>
      <c r="E193" s="44" t="n">
        <v>9004.3115</v>
      </c>
    </row>
    <row r="194">
      <c r="A194" s="39">
        <f>_xlfn.XLOOKUP(17838,Trip[shape_id],Trip[shape_id],"Não encontrado")</f>
        <v/>
      </c>
      <c r="B194" s="40" t="n">
        <v>-23.567706</v>
      </c>
      <c r="C194" s="40" t="n">
        <v>-46.639872</v>
      </c>
      <c r="D194" s="40" t="n">
        <v>193</v>
      </c>
      <c r="E194" s="41" t="n">
        <v>9169.9961</v>
      </c>
    </row>
    <row r="195">
      <c r="A195" s="42">
        <f>_xlfn.XLOOKUP(17838,Trip[shape_id],Trip[shape_id],"Não encontrado")</f>
        <v/>
      </c>
      <c r="B195" s="43" t="n">
        <v>-23.566228</v>
      </c>
      <c r="C195" s="43" t="n">
        <v>-46.639621</v>
      </c>
      <c r="D195" s="43" t="n">
        <v>194</v>
      </c>
      <c r="E195" s="44" t="n">
        <v>9323.135700000001</v>
      </c>
    </row>
    <row r="196">
      <c r="A196" s="39">
        <f>_xlfn.XLOOKUP(17838,Trip[shape_id],Trip[shape_id],"Não encontrado")</f>
        <v/>
      </c>
      <c r="B196" s="40" t="n">
        <v>-23.564871</v>
      </c>
      <c r="C196" s="40" t="n">
        <v>-46.639333</v>
      </c>
      <c r="D196" s="40" t="n">
        <v>195</v>
      </c>
      <c r="E196" s="41" t="n">
        <v>9457.9424</v>
      </c>
    </row>
    <row r="197">
      <c r="A197" s="42">
        <f>_xlfn.XLOOKUP(17838,Trip[shape_id],Trip[shape_id],"Não encontrado")</f>
        <v/>
      </c>
      <c r="B197" s="43" t="n">
        <v>-23.563676</v>
      </c>
      <c r="C197" s="43" t="n">
        <v>-46.639082</v>
      </c>
      <c r="D197" s="43" t="n">
        <v>196</v>
      </c>
      <c r="E197" s="44" t="n">
        <v>9505.6299</v>
      </c>
    </row>
    <row r="198">
      <c r="A198" s="39">
        <f>_xlfn.XLOOKUP(17838,Trip[shape_id],Trip[shape_id],"Não encontrado")</f>
        <v/>
      </c>
      <c r="B198" s="40" t="n">
        <v>-23.563255</v>
      </c>
      <c r="C198" s="40" t="n">
        <v>-46.638984</v>
      </c>
      <c r="D198" s="40" t="n">
        <v>197</v>
      </c>
      <c r="E198" s="41" t="n">
        <v>9555.9355</v>
      </c>
    </row>
    <row r="199">
      <c r="A199" s="42">
        <f>_xlfn.XLOOKUP(17838,Trip[shape_id],Trip[shape_id],"Não encontrado")</f>
        <v/>
      </c>
      <c r="B199" s="43" t="n">
        <v>-23.562814</v>
      </c>
      <c r="C199" s="43" t="n">
        <v>-46.638866</v>
      </c>
      <c r="D199" s="43" t="n">
        <v>198</v>
      </c>
      <c r="E199" s="44" t="n">
        <v>9630.4102</v>
      </c>
    </row>
    <row r="200">
      <c r="A200" s="39">
        <f>_xlfn.XLOOKUP(17838,Trip[shape_id],Trip[shape_id],"Não encontrado")</f>
        <v/>
      </c>
      <c r="B200" s="40" t="n">
        <v>-23.562153</v>
      </c>
      <c r="C200" s="40" t="n">
        <v>-46.638732</v>
      </c>
      <c r="D200" s="40" t="n">
        <v>199</v>
      </c>
      <c r="E200" s="41" t="n">
        <v>9659.0381</v>
      </c>
    </row>
    <row r="201">
      <c r="A201" s="42">
        <f>_xlfn.XLOOKUP(17838,Trip[shape_id],Trip[shape_id],"Não encontrado")</f>
        <v/>
      </c>
      <c r="B201" s="43" t="n">
        <v>-23.561899</v>
      </c>
      <c r="C201" s="43" t="n">
        <v>-46.63868</v>
      </c>
      <c r="D201" s="43" t="n">
        <v>200</v>
      </c>
      <c r="E201" s="44" t="n">
        <v>9710.838900000001</v>
      </c>
    </row>
    <row r="202">
      <c r="A202" s="39">
        <f>_xlfn.XLOOKUP(17838,Trip[shape_id],Trip[shape_id],"Não encontrado")</f>
        <v/>
      </c>
      <c r="B202" s="40" t="n">
        <v>-23.561442</v>
      </c>
      <c r="C202" s="40" t="n">
        <v>-46.638572</v>
      </c>
      <c r="D202" s="40" t="n">
        <v>201</v>
      </c>
      <c r="E202" s="41" t="n">
        <v>9710.838900000001</v>
      </c>
    </row>
    <row r="203">
      <c r="A203" s="42">
        <f>_xlfn.XLOOKUP(17838,Trip[shape_id],Trip[shape_id],"Não encontrado")</f>
        <v/>
      </c>
      <c r="B203" s="43" t="n">
        <v>-23.561329</v>
      </c>
      <c r="C203" s="43" t="n">
        <v>-46.638542</v>
      </c>
      <c r="D203" s="43" t="n">
        <v>202</v>
      </c>
      <c r="E203" s="44" t="n">
        <v>9743.6602</v>
      </c>
    </row>
    <row r="204">
      <c r="A204" s="39">
        <f>_xlfn.XLOOKUP(17838,Trip[shape_id],Trip[shape_id],"Não encontrado")</f>
        <v/>
      </c>
      <c r="B204" s="40" t="n">
        <v>-23.561153</v>
      </c>
      <c r="C204" s="40" t="n">
        <v>-46.638501</v>
      </c>
      <c r="D204" s="40" t="n">
        <v>203</v>
      </c>
      <c r="E204" s="41" t="n">
        <v>9778.5762</v>
      </c>
    </row>
    <row r="205">
      <c r="A205" s="42">
        <f>_xlfn.XLOOKUP(17838,Trip[shape_id],Trip[shape_id],"Não encontrado")</f>
        <v/>
      </c>
      <c r="B205" s="43" t="n">
        <v>-23.560845</v>
      </c>
      <c r="C205" s="43" t="n">
        <v>-46.638428</v>
      </c>
      <c r="D205" s="43" t="n">
        <v>204</v>
      </c>
      <c r="E205" s="44" t="n">
        <v>9796.137699999999</v>
      </c>
    </row>
    <row r="206">
      <c r="A206" s="39">
        <f>_xlfn.XLOOKUP(17838,Trip[shape_id],Trip[shape_id],"Não encontrado")</f>
        <v/>
      </c>
      <c r="B206" s="40" t="n">
        <v>-23.560693</v>
      </c>
      <c r="C206" s="40" t="n">
        <v>-46.638379</v>
      </c>
      <c r="D206" s="40" t="n">
        <v>205</v>
      </c>
      <c r="E206" s="41" t="n">
        <v>9831.829100000001</v>
      </c>
    </row>
    <row r="207">
      <c r="A207" s="42">
        <f>_xlfn.XLOOKUP(17838,Trip[shape_id],Trip[shape_id],"Não encontrado")</f>
        <v/>
      </c>
      <c r="B207" s="43" t="n">
        <v>-23.560406</v>
      </c>
      <c r="C207" s="43" t="n">
        <v>-46.63822</v>
      </c>
      <c r="D207" s="43" t="n">
        <v>206</v>
      </c>
      <c r="E207" s="44" t="n">
        <v>9966.958000000001</v>
      </c>
    </row>
    <row r="208">
      <c r="A208" s="39">
        <f>_xlfn.XLOOKUP(17838,Trip[shape_id],Trip[shape_id],"Não encontrado")</f>
        <v/>
      </c>
      <c r="B208" s="40" t="n">
        <v>-23.559312</v>
      </c>
      <c r="C208" s="40" t="n">
        <v>-46.637634</v>
      </c>
      <c r="D208" s="40" t="n">
        <v>207</v>
      </c>
      <c r="E208" s="41" t="n">
        <v>10036.357</v>
      </c>
    </row>
    <row r="209">
      <c r="A209" s="42">
        <f>_xlfn.XLOOKUP(17838,Trip[shape_id],Trip[shape_id],"Não encontrado")</f>
        <v/>
      </c>
      <c r="B209" s="43" t="n">
        <v>-23.558752</v>
      </c>
      <c r="C209" s="43" t="n">
        <v>-46.637329</v>
      </c>
      <c r="D209" s="43" t="n">
        <v>208</v>
      </c>
      <c r="E209" s="44" t="n">
        <v>10103.888</v>
      </c>
    </row>
    <row r="210">
      <c r="A210" s="39">
        <f>_xlfn.XLOOKUP(17838,Trip[shape_id],Trip[shape_id],"Não encontrado")</f>
        <v/>
      </c>
      <c r="B210" s="40" t="n">
        <v>-23.55821</v>
      </c>
      <c r="C210" s="40" t="n">
        <v>-46.637026</v>
      </c>
      <c r="D210" s="40" t="n">
        <v>209</v>
      </c>
      <c r="E210" s="41" t="n">
        <v>10179.725</v>
      </c>
    </row>
    <row r="211">
      <c r="A211" s="42">
        <f>_xlfn.XLOOKUP(17838,Trip[shape_id],Trip[shape_id],"Não encontrado")</f>
        <v/>
      </c>
      <c r="B211" s="43" t="n">
        <v>-23.557597</v>
      </c>
      <c r="C211" s="43" t="n">
        <v>-46.636695</v>
      </c>
      <c r="D211" s="43" t="n">
        <v>210</v>
      </c>
      <c r="E211" s="44" t="n">
        <v>10243.429</v>
      </c>
    </row>
    <row r="212">
      <c r="A212" s="39">
        <f>_xlfn.XLOOKUP(17838,Trip[shape_id],Trip[shape_id],"Não encontrado")</f>
        <v/>
      </c>
      <c r="B212" s="40" t="n">
        <v>-23.557078</v>
      </c>
      <c r="C212" s="40" t="n">
        <v>-46.636426</v>
      </c>
      <c r="D212" s="40" t="n">
        <v>211</v>
      </c>
      <c r="E212" s="41" t="n">
        <v>10275.042</v>
      </c>
    </row>
    <row r="213">
      <c r="A213" s="42">
        <f>_xlfn.XLOOKUP(17838,Trip[shape_id],Trip[shape_id],"Não encontrado")</f>
        <v/>
      </c>
      <c r="B213" s="43" t="n">
        <v>-23.556803</v>
      </c>
      <c r="C213" s="43" t="n">
        <v>-46.636343</v>
      </c>
      <c r="D213" s="43" t="n">
        <v>212</v>
      </c>
      <c r="E213" s="44" t="n">
        <v>10336.212</v>
      </c>
    </row>
    <row r="214">
      <c r="A214" s="39">
        <f>_xlfn.XLOOKUP(17838,Trip[shape_id],Trip[shape_id],"Não encontrado")</f>
        <v/>
      </c>
      <c r="B214" s="40" t="n">
        <v>-23.556293</v>
      </c>
      <c r="C214" s="40" t="n">
        <v>-46.636113</v>
      </c>
      <c r="D214" s="40" t="n">
        <v>213</v>
      </c>
      <c r="E214" s="41" t="n">
        <v>10458.367</v>
      </c>
    </row>
    <row r="215">
      <c r="A215" s="42">
        <f>_xlfn.XLOOKUP(17838,Trip[shape_id],Trip[shape_id],"Não encontrado")</f>
        <v/>
      </c>
      <c r="B215" s="43" t="n">
        <v>-23.555297</v>
      </c>
      <c r="C215" s="43" t="n">
        <v>-46.635599</v>
      </c>
      <c r="D215" s="43" t="n">
        <v>214</v>
      </c>
      <c r="E215" s="44" t="n">
        <v>10476.384</v>
      </c>
    </row>
    <row r="216">
      <c r="A216" s="39">
        <f>_xlfn.XLOOKUP(17838,Trip[shape_id],Trip[shape_id],"Não encontrado")</f>
        <v/>
      </c>
      <c r="B216" s="40" t="n">
        <v>-23.555152</v>
      </c>
      <c r="C216" s="40" t="n">
        <v>-46.635519</v>
      </c>
      <c r="D216" s="40" t="n">
        <v>215</v>
      </c>
      <c r="E216" s="41" t="n">
        <v>10476.384</v>
      </c>
    </row>
    <row r="217">
      <c r="A217" s="42">
        <f>_xlfn.XLOOKUP(17838,Trip[shape_id],Trip[shape_id],"Não encontrado")</f>
        <v/>
      </c>
      <c r="B217" s="43" t="n">
        <v>-23.554292</v>
      </c>
      <c r="C217" s="43" t="n">
        <v>-46.635395</v>
      </c>
      <c r="D217" s="43" t="n">
        <v>216</v>
      </c>
      <c r="E217" s="44" t="n">
        <v>10630.933</v>
      </c>
    </row>
    <row r="218">
      <c r="A218" s="39">
        <f>_xlfn.XLOOKUP(17838,Trip[shape_id],Trip[shape_id],"Não encontrado")</f>
        <v/>
      </c>
      <c r="B218" s="40" t="n">
        <v>-23.553814</v>
      </c>
      <c r="C218" s="40" t="n">
        <v>-46.635152</v>
      </c>
      <c r="D218" s="40" t="n">
        <v>217</v>
      </c>
      <c r="E218" s="41" t="n">
        <v>10761.607</v>
      </c>
    </row>
    <row r="219">
      <c r="A219" s="42">
        <f>_xlfn.XLOOKUP(17838,Trip[shape_id],Trip[shape_id],"Não encontrado")</f>
        <v/>
      </c>
      <c r="B219" s="43" t="n">
        <v>-23.552788</v>
      </c>
      <c r="C219" s="43" t="n">
        <v>-46.63452</v>
      </c>
      <c r="D219" s="43" t="n">
        <v>218</v>
      </c>
      <c r="E219" s="44" t="n">
        <v>10802.647</v>
      </c>
    </row>
    <row r="220">
      <c r="A220" s="39">
        <f>_xlfn.XLOOKUP(17838,Trip[shape_id],Trip[shape_id],"Não encontrado")</f>
        <v/>
      </c>
      <c r="B220" s="40" t="n">
        <v>-23.552511</v>
      </c>
      <c r="C220" s="40" t="n">
        <v>-46.634253</v>
      </c>
      <c r="D220" s="40" t="n">
        <v>219</v>
      </c>
      <c r="E220" s="41" t="n">
        <v>10839.891</v>
      </c>
    </row>
    <row r="221">
      <c r="A221" s="42">
        <f>_xlfn.XLOOKUP(17838,Trip[shape_id],Trip[shape_id],"Não encontrado")</f>
        <v/>
      </c>
      <c r="B221" s="43" t="n">
        <v>-23.552267</v>
      </c>
      <c r="C221" s="43" t="n">
        <v>-46.634002</v>
      </c>
      <c r="D221" s="43" t="n">
        <v>220</v>
      </c>
      <c r="E221" s="44" t="n">
        <v>10936.189</v>
      </c>
    </row>
    <row r="222">
      <c r="A222" s="39">
        <f>_xlfn.XLOOKUP(17838,Trip[shape_id],Trip[shape_id],"Não encontrado")</f>
        <v/>
      </c>
      <c r="B222" s="40" t="n">
        <v>-23.551477</v>
      </c>
      <c r="C222" s="40" t="n">
        <v>-46.633608</v>
      </c>
      <c r="D222" s="40" t="n">
        <v>221</v>
      </c>
      <c r="E222" s="41" t="n">
        <v>10976.015</v>
      </c>
    </row>
    <row r="223">
      <c r="A223" s="42">
        <f>_xlfn.XLOOKUP(17838,Trip[shape_id],Trip[shape_id],"Não encontrado")</f>
        <v/>
      </c>
      <c r="B223" s="43" t="n">
        <v>-23.551121</v>
      </c>
      <c r="C223" s="43" t="n">
        <v>-46.633553</v>
      </c>
      <c r="D223" s="43" t="n">
        <v>222</v>
      </c>
      <c r="E223" s="44" t="n">
        <v>11050.178</v>
      </c>
    </row>
    <row r="224">
      <c r="A224" s="39">
        <f>_xlfn.XLOOKUP(17838,Trip[shape_id],Trip[shape_id],"Não encontrado")</f>
        <v/>
      </c>
      <c r="B224" s="40" t="n">
        <v>-23.550458</v>
      </c>
      <c r="C224" s="40" t="n">
        <v>-46.633451</v>
      </c>
      <c r="D224" s="40" t="n">
        <v>223</v>
      </c>
      <c r="E224" s="41" t="n">
        <v>11050.178</v>
      </c>
    </row>
    <row r="225">
      <c r="A225" s="42">
        <f>_xlfn.XLOOKUP(17838,Trip[shape_id],Trip[shape_id],"Não encontrado")</f>
        <v/>
      </c>
      <c r="B225" s="43" t="n">
        <v>-23.550228</v>
      </c>
      <c r="C225" s="43" t="n">
        <v>-46.633438</v>
      </c>
      <c r="D225" s="43" t="n">
        <v>224</v>
      </c>
      <c r="E225" s="44" t="n">
        <v>11219.626</v>
      </c>
    </row>
    <row r="226">
      <c r="A226" s="39">
        <f>_xlfn.XLOOKUP(17838,Trip[shape_id],Trip[shape_id],"Não encontrado")</f>
        <v/>
      </c>
      <c r="B226" s="40" t="n">
        <v>-23.549088</v>
      </c>
      <c r="C226" s="40" t="n">
        <v>-46.632761</v>
      </c>
      <c r="D226" s="40" t="n">
        <v>225</v>
      </c>
      <c r="E226" s="41" t="n">
        <v>11262.454</v>
      </c>
    </row>
    <row r="227">
      <c r="A227" s="42">
        <f>_xlfn.XLOOKUP(17838,Trip[shape_id],Trip[shape_id],"Não encontrado")</f>
        <v/>
      </c>
      <c r="B227" s="43" t="n">
        <v>-23.548712</v>
      </c>
      <c r="C227" s="43" t="n">
        <v>-46.632859</v>
      </c>
      <c r="D227" s="43" t="n">
        <v>226</v>
      </c>
      <c r="E227" s="44" t="n">
        <v>11365.164</v>
      </c>
    </row>
    <row r="228">
      <c r="A228" s="39">
        <f>_xlfn.XLOOKUP(17838,Trip[shape_id],Trip[shape_id],"Não encontrado")</f>
        <v/>
      </c>
      <c r="B228" s="40" t="n">
        <v>-23.547813</v>
      </c>
      <c r="C228" s="40" t="n">
        <v>-46.633106</v>
      </c>
      <c r="D228" s="40" t="n">
        <v>227</v>
      </c>
      <c r="E228" s="41" t="n">
        <v>11496.454</v>
      </c>
    </row>
    <row r="229">
      <c r="A229" s="42">
        <f>_xlfn.XLOOKUP(17838,Trip[shape_id],Trip[shape_id],"Não encontrado")</f>
        <v/>
      </c>
      <c r="B229" s="43" t="n">
        <v>-23.546653</v>
      </c>
      <c r="C229" s="43" t="n">
        <v>-46.633371</v>
      </c>
      <c r="D229" s="43" t="n">
        <v>228</v>
      </c>
      <c r="E229" s="44" t="n">
        <v>11672.367</v>
      </c>
    </row>
    <row r="230">
      <c r="A230" s="39">
        <f>_xlfn.XLOOKUP(17838,Trip[shape_id],Trip[shape_id],"Não encontrado")</f>
        <v/>
      </c>
      <c r="B230" s="40" t="n">
        <v>-23.545082</v>
      </c>
      <c r="C230" s="40" t="n">
        <v>-46.633625</v>
      </c>
      <c r="D230" s="40" t="n">
        <v>229</v>
      </c>
      <c r="E230" s="41" t="n">
        <v>11689.764</v>
      </c>
    </row>
    <row r="231">
      <c r="A231" s="42">
        <f>_xlfn.XLOOKUP(17838,Trip[shape_id],Trip[shape_id],"Não encontrado")</f>
        <v/>
      </c>
      <c r="B231" s="43" t="n">
        <v>-23.544951</v>
      </c>
      <c r="C231" s="43" t="n">
        <v>-46.633719</v>
      </c>
      <c r="D231" s="43" t="n">
        <v>230</v>
      </c>
      <c r="E231" s="44" t="n">
        <v>11802.562</v>
      </c>
    </row>
    <row r="232">
      <c r="A232" s="39">
        <f>_xlfn.XLOOKUP(17838,Trip[shape_id],Trip[shape_id],"Não encontrado")</f>
        <v/>
      </c>
      <c r="B232" s="40" t="n">
        <v>-23.544028</v>
      </c>
      <c r="C232" s="40" t="n">
        <v>-46.634186</v>
      </c>
      <c r="D232" s="40" t="n">
        <v>231</v>
      </c>
      <c r="E232" s="41" t="n">
        <v>11802.562</v>
      </c>
    </row>
    <row r="233">
      <c r="A233" s="42">
        <f>_xlfn.XLOOKUP(17838,Trip[shape_id],Trip[shape_id],"Não encontrado")</f>
        <v/>
      </c>
      <c r="B233" s="43" t="n">
        <v>-23.543858</v>
      </c>
      <c r="C233" s="43" t="n">
        <v>-46.634244</v>
      </c>
      <c r="D233" s="43" t="n">
        <v>232</v>
      </c>
      <c r="E233" s="44" t="n">
        <v>11840.391</v>
      </c>
    </row>
    <row r="234">
      <c r="A234" s="39">
        <f>_xlfn.XLOOKUP(17838,Trip[shape_id],Trip[shape_id],"Não encontrado")</f>
        <v/>
      </c>
      <c r="B234" s="40" t="n">
        <v>-23.543697</v>
      </c>
      <c r="C234" s="40" t="n">
        <v>-46.634274</v>
      </c>
      <c r="D234" s="40" t="n">
        <v>233</v>
      </c>
      <c r="E234" s="41" t="n">
        <v>11881.001</v>
      </c>
    </row>
    <row r="235">
      <c r="A235" s="42">
        <f>_xlfn.XLOOKUP(17838,Trip[shape_id],Trip[shape_id],"Não encontrado")</f>
        <v/>
      </c>
      <c r="B235" s="43" t="n">
        <v>-23.543333</v>
      </c>
      <c r="C235" s="43" t="n">
        <v>-46.634322</v>
      </c>
      <c r="D235" s="43" t="n">
        <v>234</v>
      </c>
      <c r="E235" s="44" t="n">
        <v>11972.183</v>
      </c>
    </row>
    <row r="236">
      <c r="A236" s="39">
        <f>_xlfn.XLOOKUP(17838,Trip[shape_id],Trip[shape_id],"Não encontrado")</f>
        <v/>
      </c>
      <c r="B236" s="40" t="n">
        <v>-23.54251</v>
      </c>
      <c r="C236" s="40" t="n">
        <v>-46.634346</v>
      </c>
      <c r="D236" s="40" t="n">
        <v>235</v>
      </c>
      <c r="E236" s="41" t="n">
        <v>12016.121</v>
      </c>
    </row>
    <row r="237">
      <c r="A237" s="42">
        <f>_xlfn.XLOOKUP(17838,Trip[shape_id],Trip[shape_id],"Não encontrado")</f>
        <v/>
      </c>
      <c r="B237" s="43" t="n">
        <v>-23.542114</v>
      </c>
      <c r="C237" s="43" t="n">
        <v>-46.63432</v>
      </c>
      <c r="D237" s="43" t="n">
        <v>236</v>
      </c>
      <c r="E237" s="44" t="n">
        <v>12056.061</v>
      </c>
    </row>
    <row r="238">
      <c r="A238" s="39">
        <f>_xlfn.XLOOKUP(17838,Trip[shape_id],Trip[shape_id],"Não encontrado")</f>
        <v/>
      </c>
      <c r="B238" s="40" t="n">
        <v>-23.541754</v>
      </c>
      <c r="C238" s="40" t="n">
        <v>-46.634297</v>
      </c>
      <c r="D238" s="40" t="n">
        <v>237</v>
      </c>
      <c r="E238" s="41" t="n">
        <v>12116.508</v>
      </c>
    </row>
    <row r="239">
      <c r="A239" s="42">
        <f>_xlfn.XLOOKUP(17838,Trip[shape_id],Trip[shape_id],"Não encontrado")</f>
        <v/>
      </c>
      <c r="B239" s="43" t="n">
        <v>-23.541227</v>
      </c>
      <c r="C239" s="43" t="n">
        <v>-46.634143</v>
      </c>
      <c r="D239" s="43" t="n">
        <v>238</v>
      </c>
      <c r="E239" s="44" t="n">
        <v>12156.577</v>
      </c>
    </row>
    <row r="240">
      <c r="A240" s="39">
        <f>_xlfn.XLOOKUP(17838,Trip[shape_id],Trip[shape_id],"Não encontrado")</f>
        <v/>
      </c>
      <c r="B240" s="40" t="n">
        <v>-23.540873</v>
      </c>
      <c r="C240" s="40" t="n">
        <v>-46.634062</v>
      </c>
      <c r="D240" s="40" t="n">
        <v>239</v>
      </c>
      <c r="E240" s="41" t="n">
        <v>12267.993</v>
      </c>
    </row>
    <row r="241">
      <c r="A241" s="42">
        <f>_xlfn.XLOOKUP(17838,Trip[shape_id],Trip[shape_id],"Não encontrado")</f>
        <v/>
      </c>
      <c r="B241" s="43" t="n">
        <v>-23.539873</v>
      </c>
      <c r="C241" s="43" t="n">
        <v>-46.633943</v>
      </c>
      <c r="D241" s="43" t="n">
        <v>240</v>
      </c>
      <c r="E241" s="44" t="n">
        <v>12316.82</v>
      </c>
    </row>
    <row r="242">
      <c r="A242" s="39">
        <f>_xlfn.XLOOKUP(17838,Trip[shape_id],Trip[shape_id],"Não encontrado")</f>
        <v/>
      </c>
      <c r="B242" s="40" t="n">
        <v>-23.539434</v>
      </c>
      <c r="C242" s="40" t="n">
        <v>-46.633899</v>
      </c>
      <c r="D242" s="40" t="n">
        <v>241</v>
      </c>
      <c r="E242" s="41" t="n">
        <v>12376.779</v>
      </c>
    </row>
    <row r="243">
      <c r="A243" s="42">
        <f>_xlfn.XLOOKUP(17838,Trip[shape_id],Trip[shape_id],"Não encontrado")</f>
        <v/>
      </c>
      <c r="B243" s="43" t="n">
        <v>-23.538895</v>
      </c>
      <c r="C243" s="43" t="n">
        <v>-46.633844</v>
      </c>
      <c r="D243" s="43" t="n">
        <v>242</v>
      </c>
      <c r="E243" s="44" t="n">
        <v>12476.833</v>
      </c>
    </row>
    <row r="244">
      <c r="A244" s="39">
        <f>_xlfn.XLOOKUP(17838,Trip[shape_id],Trip[shape_id],"Não encontrado")</f>
        <v/>
      </c>
      <c r="B244" s="40" t="n">
        <v>-23.537995</v>
      </c>
      <c r="C244" s="40" t="n">
        <v>-46.633759</v>
      </c>
      <c r="D244" s="40" t="n">
        <v>243</v>
      </c>
      <c r="E244" s="41" t="n">
        <v>12636.292</v>
      </c>
    </row>
    <row r="245">
      <c r="A245" s="42">
        <f>_xlfn.XLOOKUP(17838,Trip[shape_id],Trip[shape_id],"Não encontrado")</f>
        <v/>
      </c>
      <c r="B245" s="43" t="n">
        <v>-23.536641</v>
      </c>
      <c r="C245" s="43" t="n">
        <v>-46.63429</v>
      </c>
      <c r="D245" s="43" t="n">
        <v>244</v>
      </c>
      <c r="E245" s="44" t="n">
        <v>12705.915</v>
      </c>
    </row>
    <row r="246">
      <c r="A246" s="39">
        <f>_xlfn.XLOOKUP(17838,Trip[shape_id],Trip[shape_id],"Não encontrado")</f>
        <v/>
      </c>
      <c r="B246" s="40" t="n">
        <v>-23.53602</v>
      </c>
      <c r="C246" s="40" t="n">
        <v>-46.634184</v>
      </c>
      <c r="D246" s="40" t="n">
        <v>245</v>
      </c>
      <c r="E246" s="41" t="n">
        <v>12705.915</v>
      </c>
    </row>
    <row r="247">
      <c r="A247" s="42">
        <f>_xlfn.XLOOKUP(17838,Trip[shape_id],Trip[shape_id],"Não encontrado")</f>
        <v/>
      </c>
      <c r="B247" s="43" t="n">
        <v>-23.535936</v>
      </c>
      <c r="C247" s="43" t="n">
        <v>-46.634297</v>
      </c>
      <c r="D247" s="43" t="n">
        <v>246</v>
      </c>
      <c r="E247" s="44" t="n">
        <v>12857.826</v>
      </c>
    </row>
    <row r="248">
      <c r="A248" s="39">
        <f>_xlfn.XLOOKUP(17838,Trip[shape_id],Trip[shape_id],"Não encontrado")</f>
        <v/>
      </c>
      <c r="B248" s="40" t="n">
        <v>-23.535167</v>
      </c>
      <c r="C248" s="40" t="n">
        <v>-46.635349</v>
      </c>
      <c r="D248" s="40" t="n">
        <v>247</v>
      </c>
      <c r="E248" s="41" t="n">
        <v>12857.826</v>
      </c>
    </row>
    <row r="249">
      <c r="A249" s="42">
        <f>_xlfn.XLOOKUP(17838,Trip[shape_id],Trip[shape_id],"Não encontrado")</f>
        <v/>
      </c>
      <c r="B249" s="43" t="n">
        <v>-23.535876</v>
      </c>
      <c r="C249" s="43" t="n">
        <v>-46.634123</v>
      </c>
      <c r="D249" s="43" t="n">
        <v>248</v>
      </c>
      <c r="E249" s="44" t="n">
        <v>13138.179</v>
      </c>
    </row>
    <row r="250">
      <c r="A250" s="39">
        <f>_xlfn.XLOOKUP(17838,Trip[shape_id],Trip[shape_id],"Não encontrado")</f>
        <v/>
      </c>
      <c r="B250" s="40" t="n">
        <v>-23.534834</v>
      </c>
      <c r="C250" s="40" t="n">
        <v>-46.633484</v>
      </c>
      <c r="D250" s="40" t="n">
        <v>249</v>
      </c>
      <c r="E250" s="41" t="n">
        <v>13263.843</v>
      </c>
    </row>
    <row r="251">
      <c r="A251" s="42">
        <f>_xlfn.XLOOKUP(17838,Trip[shape_id],Trip[shape_id],"Não encontrado")</f>
        <v/>
      </c>
      <c r="B251" s="43" t="n">
        <v>-23.533727</v>
      </c>
      <c r="C251" s="43" t="n">
        <v>-46.633214</v>
      </c>
      <c r="D251" s="43" t="n">
        <v>250</v>
      </c>
      <c r="E251" s="44" t="n">
        <v>13386.769</v>
      </c>
    </row>
    <row r="252">
      <c r="A252" s="39">
        <f>_xlfn.XLOOKUP(17838,Trip[shape_id],Trip[shape_id],"Não encontrado")</f>
        <v/>
      </c>
      <c r="B252" s="40" t="n">
        <v>-23.532656</v>
      </c>
      <c r="C252" s="40" t="n">
        <v>-46.632898</v>
      </c>
      <c r="D252" s="40" t="n">
        <v>251</v>
      </c>
      <c r="E252" s="41" t="n">
        <v>13579.224</v>
      </c>
    </row>
    <row r="253">
      <c r="A253" s="42">
        <f>_xlfn.XLOOKUP(17838,Trip[shape_id],Trip[shape_id],"Não encontrado")</f>
        <v/>
      </c>
      <c r="B253" s="43" t="n">
        <v>-23.530986</v>
      </c>
      <c r="C253" s="43" t="n">
        <v>-46.632377</v>
      </c>
      <c r="D253" s="43" t="n">
        <v>252</v>
      </c>
      <c r="E253" s="44" t="n">
        <v>13579.224</v>
      </c>
    </row>
    <row r="254">
      <c r="A254" s="39">
        <f>_xlfn.XLOOKUP(17838,Trip[shape_id],Trip[shape_id],"Não encontrado")</f>
        <v/>
      </c>
      <c r="B254" s="40" t="n">
        <v>-23.529484</v>
      </c>
      <c r="C254" s="40" t="n">
        <v>-46.631758</v>
      </c>
      <c r="D254" s="40" t="n">
        <v>253</v>
      </c>
      <c r="E254" s="41" t="n">
        <v>13843.109</v>
      </c>
    </row>
    <row r="255">
      <c r="A255" s="42">
        <f>_xlfn.XLOOKUP(17838,Trip[shape_id],Trip[shape_id],"Não encontrado")</f>
        <v/>
      </c>
      <c r="B255" s="43" t="n">
        <v>-23.528742</v>
      </c>
      <c r="C255" s="43" t="n">
        <v>-46.631512</v>
      </c>
      <c r="D255" s="43" t="n">
        <v>254</v>
      </c>
      <c r="E255" s="44" t="n">
        <v>13912.815</v>
      </c>
    </row>
    <row r="256">
      <c r="A256" s="39">
        <f>_xlfn.XLOOKUP(17838,Trip[shape_id],Trip[shape_id],"Não encontrado")</f>
        <v/>
      </c>
      <c r="B256" s="40" t="n">
        <v>-23.528168</v>
      </c>
      <c r="C256" s="40" t="n">
        <v>-46.631232</v>
      </c>
      <c r="D256" s="40" t="n">
        <v>255</v>
      </c>
      <c r="E256" s="41" t="n">
        <v>13981.646</v>
      </c>
    </row>
    <row r="257">
      <c r="A257" s="42">
        <f>_xlfn.XLOOKUP(17838,Trip[shape_id],Trip[shape_id],"Não encontrado")</f>
        <v/>
      </c>
      <c r="B257" s="43" t="n">
        <v>-23.527601</v>
      </c>
      <c r="C257" s="43" t="n">
        <v>-46.630956</v>
      </c>
      <c r="D257" s="43" t="n">
        <v>256</v>
      </c>
      <c r="E257" s="44" t="n">
        <v>14014.894</v>
      </c>
    </row>
    <row r="258">
      <c r="A258" s="39">
        <f>_xlfn.XLOOKUP(17838,Trip[shape_id],Trip[shape_id],"Não encontrado")</f>
        <v/>
      </c>
      <c r="B258" s="40" t="n">
        <v>-23.527327</v>
      </c>
      <c r="C258" s="40" t="n">
        <v>-46.630823</v>
      </c>
      <c r="D258" s="40" t="n">
        <v>257</v>
      </c>
      <c r="E258" s="41" t="n">
        <v>14085.298</v>
      </c>
    </row>
    <row r="259">
      <c r="A259" s="42">
        <f>_xlfn.XLOOKUP(17838,Trip[shape_id],Trip[shape_id],"Não encontrado")</f>
        <v/>
      </c>
      <c r="B259" s="43" t="n">
        <v>-23.526752</v>
      </c>
      <c r="C259" s="43" t="n">
        <v>-46.630529</v>
      </c>
      <c r="D259" s="43" t="n">
        <v>258</v>
      </c>
      <c r="E259" s="44" t="n">
        <v>14111.304</v>
      </c>
    </row>
    <row r="260">
      <c r="A260" s="39">
        <f>_xlfn.XLOOKUP(17838,Trip[shape_id],Trip[shape_id],"Não encontrado")</f>
        <v/>
      </c>
      <c r="B260" s="40" t="n">
        <v>-23.526549</v>
      </c>
      <c r="C260" s="40" t="n">
        <v>-46.630401</v>
      </c>
      <c r="D260" s="40" t="n">
        <v>259</v>
      </c>
      <c r="E260" s="41" t="n">
        <v>14123.65</v>
      </c>
    </row>
    <row r="261">
      <c r="A261" s="42">
        <f>_xlfn.XLOOKUP(17838,Trip[shape_id],Trip[shape_id],"Não encontrado")</f>
        <v/>
      </c>
      <c r="B261" s="43" t="n">
        <v>-23.526455</v>
      </c>
      <c r="C261" s="43" t="n">
        <v>-46.630336</v>
      </c>
      <c r="D261" s="43" t="n">
        <v>260</v>
      </c>
      <c r="E261" s="44" t="n">
        <v>14134.308</v>
      </c>
    </row>
    <row r="262">
      <c r="A262" s="39">
        <f>_xlfn.XLOOKUP(17838,Trip[shape_id],Trip[shape_id],"Não encontrado")</f>
        <v/>
      </c>
      <c r="B262" s="40" t="n">
        <v>-23.526375</v>
      </c>
      <c r="C262" s="40" t="n">
        <v>-46.630278</v>
      </c>
      <c r="D262" s="40" t="n">
        <v>261</v>
      </c>
      <c r="E262" s="41" t="n">
        <v>14160.587</v>
      </c>
    </row>
    <row r="263">
      <c r="A263" s="42">
        <f>_xlfn.XLOOKUP(17838,Trip[shape_id],Trip[shape_id],"Não encontrado")</f>
        <v/>
      </c>
      <c r="B263" s="43" t="n">
        <v>-23.526187</v>
      </c>
      <c r="C263" s="43" t="n">
        <v>-46.630121</v>
      </c>
      <c r="D263" s="43" t="n">
        <v>262</v>
      </c>
      <c r="E263" s="44" t="n">
        <v>14186.192</v>
      </c>
    </row>
    <row r="264">
      <c r="A264" s="39">
        <f>_xlfn.XLOOKUP(17838,Trip[shape_id],Trip[shape_id],"Não encontrado")</f>
        <v/>
      </c>
      <c r="B264" s="40" t="n">
        <v>-23.526006</v>
      </c>
      <c r="C264" s="40" t="n">
        <v>-46.629965</v>
      </c>
      <c r="D264" s="40" t="n">
        <v>263</v>
      </c>
      <c r="E264" s="41" t="n">
        <v>14208.918</v>
      </c>
    </row>
    <row r="265">
      <c r="A265" s="42">
        <f>_xlfn.XLOOKUP(17838,Trip[shape_id],Trip[shape_id],"Não encontrado")</f>
        <v/>
      </c>
      <c r="B265" s="43" t="n">
        <v>-23.525857</v>
      </c>
      <c r="C265" s="43" t="n">
        <v>-46.629812</v>
      </c>
      <c r="D265" s="43" t="n">
        <v>264</v>
      </c>
      <c r="E265" s="44" t="n">
        <v>14276.489</v>
      </c>
    </row>
    <row r="266">
      <c r="A266" s="39">
        <f>_xlfn.XLOOKUP(17838,Trip[shape_id],Trip[shape_id],"Não encontrado")</f>
        <v/>
      </c>
      <c r="B266" s="40" t="n">
        <v>-23.525447</v>
      </c>
      <c r="C266" s="40" t="n">
        <v>-46.629322</v>
      </c>
      <c r="D266" s="40" t="n">
        <v>265</v>
      </c>
      <c r="E266" s="41" t="n">
        <v>14276.489</v>
      </c>
    </row>
    <row r="267">
      <c r="A267" s="42">
        <f>_xlfn.XLOOKUP(17838,Trip[shape_id],Trip[shape_id],"Não encontrado")</f>
        <v/>
      </c>
      <c r="B267" s="43" t="n">
        <v>-23.525324</v>
      </c>
      <c r="C267" s="43" t="n">
        <v>-46.629143</v>
      </c>
      <c r="D267" s="43" t="n">
        <v>266</v>
      </c>
      <c r="E267" s="44" t="n">
        <v>14327.28</v>
      </c>
    </row>
    <row r="268">
      <c r="A268" s="39">
        <f>_xlfn.XLOOKUP(17838,Trip[shape_id],Trip[shape_id],"Não encontrado")</f>
        <v/>
      </c>
      <c r="B268" s="40" t="n">
        <v>-23.525177</v>
      </c>
      <c r="C268" s="40" t="n">
        <v>-46.62892</v>
      </c>
      <c r="D268" s="40" t="n">
        <v>267</v>
      </c>
      <c r="E268" s="41" t="n">
        <v>14361.645</v>
      </c>
    </row>
    <row r="269">
      <c r="A269" s="42">
        <f>_xlfn.XLOOKUP(17838,Trip[shape_id],Trip[shape_id],"Não encontrado")</f>
        <v/>
      </c>
      <c r="B269" s="43" t="n">
        <v>-23.525015</v>
      </c>
      <c r="C269" s="43" t="n">
        <v>-46.628633</v>
      </c>
      <c r="D269" s="43" t="n">
        <v>268</v>
      </c>
      <c r="E269" s="44" t="n">
        <v>14369.919</v>
      </c>
    </row>
    <row r="270">
      <c r="A270" s="39">
        <f>_xlfn.XLOOKUP(17838,Trip[shape_id],Trip[shape_id],"Não encontrado")</f>
        <v/>
      </c>
      <c r="B270" s="40" t="n">
        <v>-23.524979</v>
      </c>
      <c r="C270" s="40" t="n">
        <v>-46.628562</v>
      </c>
      <c r="D270" s="40" t="n">
        <v>269</v>
      </c>
      <c r="E270" s="41" t="n">
        <v>14421.213</v>
      </c>
    </row>
    <row r="271">
      <c r="A271" s="42">
        <f>_xlfn.XLOOKUP(17838,Trip[shape_id],Trip[shape_id],"Não encontrado")</f>
        <v/>
      </c>
      <c r="B271" s="43" t="n">
        <v>-23.524793</v>
      </c>
      <c r="C271" s="43" t="n">
        <v>-46.628102</v>
      </c>
      <c r="D271" s="43" t="n">
        <v>270</v>
      </c>
      <c r="E271" s="44" t="n">
        <v>14437.311</v>
      </c>
    </row>
    <row r="272">
      <c r="A272" s="39">
        <f>_xlfn.XLOOKUP(17838,Trip[shape_id],Trip[shape_id],"Não encontrado")</f>
        <v/>
      </c>
      <c r="B272" s="40" t="n">
        <v>-23.524736</v>
      </c>
      <c r="C272" s="40" t="n">
        <v>-46.627957</v>
      </c>
      <c r="D272" s="40" t="n">
        <v>271</v>
      </c>
      <c r="E272" s="41" t="n">
        <v>14505.834</v>
      </c>
    </row>
    <row r="273">
      <c r="A273" s="42">
        <f>_xlfn.XLOOKUP(17838,Trip[shape_id],Trip[shape_id],"Não encontrado")</f>
        <v/>
      </c>
      <c r="B273" s="43" t="n">
        <v>-23.524495</v>
      </c>
      <c r="C273" s="43" t="n">
        <v>-46.627339</v>
      </c>
      <c r="D273" s="43" t="n">
        <v>272</v>
      </c>
      <c r="E273" s="44" t="n">
        <v>14524.661</v>
      </c>
    </row>
    <row r="274">
      <c r="A274" s="39">
        <f>_xlfn.XLOOKUP(17838,Trip[shape_id],Trip[shape_id],"Não encontrado")</f>
        <v/>
      </c>
      <c r="B274" s="40" t="n">
        <v>-23.524425</v>
      </c>
      <c r="C274" s="40" t="n">
        <v>-46.627171</v>
      </c>
      <c r="D274" s="40" t="n">
        <v>273</v>
      </c>
      <c r="E274" s="41" t="n">
        <v>14540.846</v>
      </c>
    </row>
    <row r="275">
      <c r="A275" s="42">
        <f>_xlfn.XLOOKUP(17838,Trip[shape_id],Trip[shape_id],"Não encontrado")</f>
        <v/>
      </c>
      <c r="B275" s="43" t="n">
        <v>-23.524362</v>
      </c>
      <c r="C275" s="43" t="n">
        <v>-46.627028</v>
      </c>
      <c r="D275" s="43" t="n">
        <v>274</v>
      </c>
      <c r="E275" s="44" t="n">
        <v>14562.566</v>
      </c>
    </row>
    <row r="276">
      <c r="A276" s="39">
        <f>_xlfn.XLOOKUP(17838,Trip[shape_id],Trip[shape_id],"Não encontrado")</f>
        <v/>
      </c>
      <c r="B276" s="40" t="n">
        <v>-23.524259</v>
      </c>
      <c r="C276" s="40" t="n">
        <v>-46.626847</v>
      </c>
      <c r="D276" s="40" t="n">
        <v>275</v>
      </c>
      <c r="E276" s="41" t="n">
        <v>14588.261</v>
      </c>
    </row>
    <row r="277">
      <c r="A277" s="42">
        <f>_xlfn.XLOOKUP(17838,Trip[shape_id],Trip[shape_id],"Não encontrado")</f>
        <v/>
      </c>
      <c r="B277" s="43" t="n">
        <v>-23.524137</v>
      </c>
      <c r="C277" s="43" t="n">
        <v>-46.626633</v>
      </c>
      <c r="D277" s="43" t="n">
        <v>276</v>
      </c>
      <c r="E277" s="44" t="n">
        <v>14607.231</v>
      </c>
    </row>
    <row r="278">
      <c r="A278" s="39">
        <f>_xlfn.XLOOKUP(17838,Trip[shape_id],Trip[shape_id],"Não encontrado")</f>
        <v/>
      </c>
      <c r="B278" s="40" t="n">
        <v>-23.524044</v>
      </c>
      <c r="C278" s="40" t="n">
        <v>-46.626477</v>
      </c>
      <c r="D278" s="40" t="n">
        <v>277</v>
      </c>
      <c r="E278" s="41" t="n">
        <v>14625.433</v>
      </c>
    </row>
    <row r="279">
      <c r="A279" s="42">
        <f>_xlfn.XLOOKUP(17838,Trip[shape_id],Trip[shape_id],"Não encontrado")</f>
        <v/>
      </c>
      <c r="B279" s="43" t="n">
        <v>-23.52394</v>
      </c>
      <c r="C279" s="43" t="n">
        <v>-46.626339</v>
      </c>
      <c r="D279" s="43" t="n">
        <v>278</v>
      </c>
      <c r="E279" s="44" t="n">
        <v>14637.432</v>
      </c>
    </row>
    <row r="280">
      <c r="A280" s="39">
        <f>_xlfn.XLOOKUP(17838,Trip[shape_id],Trip[shape_id],"Não encontrado")</f>
        <v/>
      </c>
      <c r="B280" s="40" t="n">
        <v>-23.523875</v>
      </c>
      <c r="C280" s="40" t="n">
        <v>-46.626245</v>
      </c>
      <c r="D280" s="40" t="n">
        <v>279</v>
      </c>
      <c r="E280" s="41" t="n">
        <v>14662.98</v>
      </c>
    </row>
    <row r="281">
      <c r="A281" s="42">
        <f>_xlfn.XLOOKUP(17838,Trip[shape_id],Trip[shape_id],"Não encontrado")</f>
        <v/>
      </c>
      <c r="B281" s="43" t="n">
        <v>-23.5237</v>
      </c>
      <c r="C281" s="43" t="n">
        <v>-46.626082</v>
      </c>
      <c r="D281" s="43" t="n">
        <v>280</v>
      </c>
      <c r="E281" s="44" t="n">
        <v>14676.433</v>
      </c>
    </row>
    <row r="282">
      <c r="A282" s="39">
        <f>_xlfn.XLOOKUP(17838,Trip[shape_id],Trip[shape_id],"Não encontrado")</f>
        <v/>
      </c>
      <c r="B282" s="40" t="n">
        <v>-23.523608</v>
      </c>
      <c r="C282" s="40" t="n">
        <v>-46.625996</v>
      </c>
      <c r="D282" s="40" t="n">
        <v>281</v>
      </c>
      <c r="E282" s="41" t="n">
        <v>14698.367</v>
      </c>
    </row>
    <row r="283">
      <c r="A283" s="42">
        <f>_xlfn.XLOOKUP(17838,Trip[shape_id],Trip[shape_id],"Não encontrado")</f>
        <v/>
      </c>
      <c r="B283" s="43" t="n">
        <v>-23.523445</v>
      </c>
      <c r="C283" s="43" t="n">
        <v>-46.625874</v>
      </c>
      <c r="D283" s="43" t="n">
        <v>282</v>
      </c>
      <c r="E283" s="44" t="n">
        <v>14749.331</v>
      </c>
    </row>
    <row r="284">
      <c r="A284" s="39">
        <f>_xlfn.XLOOKUP(17838,Trip[shape_id],Trip[shape_id],"Não encontrado")</f>
        <v/>
      </c>
      <c r="B284" s="40" t="n">
        <v>-23.52305</v>
      </c>
      <c r="C284" s="40" t="n">
        <v>-46.625618</v>
      </c>
      <c r="D284" s="40" t="n">
        <v>283</v>
      </c>
      <c r="E284" s="41" t="n">
        <v>14786.214</v>
      </c>
    </row>
    <row r="285">
      <c r="A285" s="42">
        <f>_xlfn.XLOOKUP(17838,Trip[shape_id],Trip[shape_id],"Não encontrado")</f>
        <v/>
      </c>
      <c r="B285" s="43" t="n">
        <v>-23.522734</v>
      </c>
      <c r="C285" s="43" t="n">
        <v>-46.625504</v>
      </c>
      <c r="D285" s="43" t="n">
        <v>284</v>
      </c>
      <c r="E285" s="44" t="n">
        <v>14821.02</v>
      </c>
    </row>
    <row r="286">
      <c r="A286" s="39">
        <f>_xlfn.XLOOKUP(17838,Trip[shape_id],Trip[shape_id],"Não encontrado")</f>
        <v/>
      </c>
      <c r="B286" s="40" t="n">
        <v>-23.522433</v>
      </c>
      <c r="C286" s="40" t="n">
        <v>-46.625406</v>
      </c>
      <c r="D286" s="40" t="n">
        <v>285</v>
      </c>
      <c r="E286" s="41" t="n">
        <v>14840.543</v>
      </c>
    </row>
    <row r="287">
      <c r="A287" s="42">
        <f>_xlfn.XLOOKUP(17838,Trip[shape_id],Trip[shape_id],"Não encontrado")</f>
        <v/>
      </c>
      <c r="B287" s="43" t="n">
        <v>-23.522258</v>
      </c>
      <c r="C287" s="43" t="n">
        <v>-46.625383</v>
      </c>
      <c r="D287" s="43" t="n">
        <v>286</v>
      </c>
      <c r="E287" s="44" t="n">
        <v>14870.184</v>
      </c>
    </row>
    <row r="288">
      <c r="A288" s="39">
        <f>_xlfn.XLOOKUP(17838,Trip[shape_id],Trip[shape_id],"Não encontrado")</f>
        <v/>
      </c>
      <c r="B288" s="40" t="n">
        <v>-23.521991</v>
      </c>
      <c r="C288" s="40" t="n">
        <v>-46.625363</v>
      </c>
      <c r="D288" s="40" t="n">
        <v>287</v>
      </c>
      <c r="E288" s="41" t="n">
        <v>14882.45</v>
      </c>
    </row>
    <row r="289">
      <c r="A289" s="42">
        <f>_xlfn.XLOOKUP(17838,Trip[shape_id],Trip[shape_id],"Não encontrado")</f>
        <v/>
      </c>
      <c r="B289" s="43" t="n">
        <v>-23.521881</v>
      </c>
      <c r="C289" s="43" t="n">
        <v>-46.625349</v>
      </c>
      <c r="D289" s="43" t="n">
        <v>288</v>
      </c>
      <c r="E289" s="44" t="n">
        <v>14893.88</v>
      </c>
    </row>
    <row r="290">
      <c r="A290" s="39">
        <f>_xlfn.XLOOKUP(17838,Trip[shape_id],Trip[shape_id],"Não encontrado")</f>
        <v/>
      </c>
      <c r="B290" s="40" t="n">
        <v>-23.521778</v>
      </c>
      <c r="C290" s="40" t="n">
        <v>-46.625342</v>
      </c>
      <c r="D290" s="40" t="n">
        <v>289</v>
      </c>
      <c r="E290" s="41" t="n">
        <v>14920.83</v>
      </c>
    </row>
    <row r="291">
      <c r="A291" s="42">
        <f>_xlfn.XLOOKUP(17838,Trip[shape_id],Trip[shape_id],"Não encontrado")</f>
        <v/>
      </c>
      <c r="B291" s="43" t="n">
        <v>-23.521535</v>
      </c>
      <c r="C291" s="43" t="n">
        <v>-46.625328</v>
      </c>
      <c r="D291" s="43" t="n">
        <v>290</v>
      </c>
      <c r="E291" s="44" t="n">
        <v>14985.994</v>
      </c>
    </row>
    <row r="292">
      <c r="A292" s="39">
        <f>_xlfn.XLOOKUP(17838,Trip[shape_id],Trip[shape_id],"Não encontrado")</f>
        <v/>
      </c>
      <c r="B292" s="40" t="n">
        <v>-23.520947</v>
      </c>
      <c r="C292" s="40" t="n">
        <v>-46.625305</v>
      </c>
      <c r="D292" s="40" t="n">
        <v>291</v>
      </c>
      <c r="E292" s="41" t="n">
        <v>15065.359</v>
      </c>
    </row>
    <row r="293">
      <c r="A293" s="42">
        <f>_xlfn.XLOOKUP(17838,Trip[shape_id],Trip[shape_id],"Não encontrado")</f>
        <v/>
      </c>
      <c r="B293" s="43" t="n">
        <v>-23.520231</v>
      </c>
      <c r="C293" s="43" t="n">
        <v>-46.625273</v>
      </c>
      <c r="D293" s="43" t="n">
        <v>292</v>
      </c>
      <c r="E293" s="44" t="n">
        <v>15172.165</v>
      </c>
    </row>
    <row r="294">
      <c r="A294" s="39">
        <f>_xlfn.XLOOKUP(17838,Trip[shape_id],Trip[shape_id],"Não encontrado")</f>
        <v/>
      </c>
      <c r="B294" s="40" t="n">
        <v>-23.519267</v>
      </c>
      <c r="C294" s="40" t="n">
        <v>-46.625244</v>
      </c>
      <c r="D294" s="40" t="n">
        <v>293</v>
      </c>
      <c r="E294" s="41" t="n">
        <v>15284.053</v>
      </c>
    </row>
    <row r="295">
      <c r="A295" s="42">
        <f>_xlfn.XLOOKUP(17838,Trip[shape_id],Trip[shape_id],"Não encontrado")</f>
        <v/>
      </c>
      <c r="B295" s="43" t="n">
        <v>-23.518257</v>
      </c>
      <c r="C295" s="43" t="n">
        <v>-46.625219</v>
      </c>
      <c r="D295" s="43" t="n">
        <v>294</v>
      </c>
      <c r="E295" s="44" t="n">
        <v>15428.625</v>
      </c>
    </row>
    <row r="296">
      <c r="A296" s="39">
        <f>_xlfn.XLOOKUP(17838,Trip[shape_id],Trip[shape_id],"Não encontrado")</f>
        <v/>
      </c>
      <c r="B296" s="40" t="n">
        <v>-23.516952</v>
      </c>
      <c r="C296" s="40" t="n">
        <v>-46.625185</v>
      </c>
      <c r="D296" s="40" t="n">
        <v>295</v>
      </c>
      <c r="E296" s="41" t="n">
        <v>15481.014</v>
      </c>
    </row>
    <row r="297">
      <c r="A297" s="42">
        <f>_xlfn.XLOOKUP(17838,Trip[shape_id],Trip[shape_id],"Não encontrado")</f>
        <v/>
      </c>
      <c r="B297" s="43" t="n">
        <v>-23.516479</v>
      </c>
      <c r="C297" s="43" t="n">
        <v>-46.625179</v>
      </c>
      <c r="D297" s="43" t="n">
        <v>296</v>
      </c>
      <c r="E297" s="44" t="n">
        <v>15506.526</v>
      </c>
    </row>
    <row r="298">
      <c r="A298" s="39">
        <f>_xlfn.XLOOKUP(17838,Trip[shape_id],Trip[shape_id],"Não encontrado")</f>
        <v/>
      </c>
      <c r="B298" s="40" t="n">
        <v>-23.516249</v>
      </c>
      <c r="C298" s="40" t="n">
        <v>-46.625165</v>
      </c>
      <c r="D298" s="40" t="n">
        <v>297</v>
      </c>
      <c r="E298" s="41" t="n">
        <v>15506.526</v>
      </c>
    </row>
    <row r="299">
      <c r="A299" s="42">
        <f>_xlfn.XLOOKUP(17838,Trip[shape_id],Trip[shape_id],"Não encontrado")</f>
        <v/>
      </c>
      <c r="B299" s="43" t="n">
        <v>-23.51598</v>
      </c>
      <c r="C299" s="43" t="n">
        <v>-46.625162</v>
      </c>
      <c r="D299" s="43" t="n">
        <v>298</v>
      </c>
      <c r="E299" s="44" t="n">
        <v>15536.32</v>
      </c>
    </row>
    <row r="300">
      <c r="A300" s="39">
        <f>_xlfn.XLOOKUP(17838,Trip[shape_id],Trip[shape_id],"Não encontrado")</f>
        <v/>
      </c>
      <c r="B300" s="40" t="n">
        <v>-23.515052</v>
      </c>
      <c r="C300" s="40" t="n">
        <v>-46.625123</v>
      </c>
      <c r="D300" s="40" t="n">
        <v>299</v>
      </c>
      <c r="E300" s="41" t="n">
        <v>15639.175</v>
      </c>
    </row>
    <row r="301">
      <c r="A301" s="42">
        <f>_xlfn.XLOOKUP(17838,Trip[shape_id],Trip[shape_id],"Não encontrado")</f>
        <v/>
      </c>
      <c r="B301" s="43" t="n">
        <v>-23.514496</v>
      </c>
      <c r="C301" s="43" t="n">
        <v>-46.625109</v>
      </c>
      <c r="D301" s="43" t="n">
        <v>300</v>
      </c>
      <c r="E301" s="44" t="n">
        <v>15700.77</v>
      </c>
    </row>
    <row r="302">
      <c r="A302" s="39">
        <f>_xlfn.XLOOKUP(17838,Trip[shape_id],Trip[shape_id],"Não encontrado")</f>
        <v/>
      </c>
      <c r="B302" s="40" t="n">
        <v>-23.513188</v>
      </c>
      <c r="C302" s="40" t="n">
        <v>-46.625074</v>
      </c>
      <c r="D302" s="40" t="n">
        <v>301</v>
      </c>
      <c r="E302" s="41" t="n">
        <v>15845.676</v>
      </c>
    </row>
    <row r="303">
      <c r="A303" s="42">
        <f>_xlfn.XLOOKUP(17838,Trip[shape_id],Trip[shape_id],"Não encontrado")</f>
        <v/>
      </c>
      <c r="B303" s="43" t="n">
        <v>-23.512959</v>
      </c>
      <c r="C303" s="43" t="n">
        <v>-46.625067</v>
      </c>
      <c r="D303" s="43" t="n">
        <v>302</v>
      </c>
      <c r="E303" s="44" t="n">
        <v>15871.048</v>
      </c>
    </row>
    <row r="304">
      <c r="A304" s="39">
        <f>_xlfn.XLOOKUP(17838,Trip[shape_id],Trip[shape_id],"Não encontrado")</f>
        <v/>
      </c>
      <c r="B304" s="40" t="n">
        <v>-23.51167</v>
      </c>
      <c r="C304" s="40" t="n">
        <v>-46.625024</v>
      </c>
      <c r="D304" s="40" t="n">
        <v>303</v>
      </c>
      <c r="E304" s="41" t="n">
        <v>16013.874</v>
      </c>
    </row>
    <row r="305">
      <c r="A305" s="42">
        <f>_xlfn.XLOOKUP(17838,Trip[shape_id],Trip[shape_id],"Não encontrado")</f>
        <v/>
      </c>
      <c r="B305" s="43" t="n">
        <v>-23.511256</v>
      </c>
      <c r="C305" s="43" t="n">
        <v>-46.625006</v>
      </c>
      <c r="D305" s="43" t="n">
        <v>304</v>
      </c>
      <c r="E305" s="44" t="n">
        <v>16059.762</v>
      </c>
    </row>
    <row r="306">
      <c r="A306" s="39">
        <f>_xlfn.XLOOKUP(17838,Trip[shape_id],Trip[shape_id],"Não encontrado")</f>
        <v/>
      </c>
      <c r="B306" s="40" t="n">
        <v>-23.510939</v>
      </c>
      <c r="C306" s="40" t="n">
        <v>-46.62499</v>
      </c>
      <c r="D306" s="40" t="n">
        <v>305</v>
      </c>
      <c r="E306" s="41" t="n">
        <v>16094.908</v>
      </c>
    </row>
    <row r="307">
      <c r="A307" s="42">
        <f>_xlfn.XLOOKUP(17838,Trip[shape_id],Trip[shape_id],"Não encontrado")</f>
        <v/>
      </c>
      <c r="B307" s="43" t="n">
        <v>-23.509536</v>
      </c>
      <c r="C307" s="43" t="n">
        <v>-46.624969</v>
      </c>
      <c r="D307" s="43" t="n">
        <v>306</v>
      </c>
      <c r="E307" s="44" t="n">
        <v>16250.307</v>
      </c>
    </row>
    <row r="308">
      <c r="A308" s="39">
        <f>_xlfn.XLOOKUP(17838,Trip[shape_id],Trip[shape_id],"Não encontrado")</f>
        <v/>
      </c>
      <c r="B308" s="40" t="n">
        <v>-23.508296</v>
      </c>
      <c r="C308" s="40" t="n">
        <v>-46.624933</v>
      </c>
      <c r="D308" s="40" t="n">
        <v>307</v>
      </c>
      <c r="E308" s="41" t="n">
        <v>16387.688</v>
      </c>
    </row>
    <row r="309">
      <c r="A309" s="42">
        <f>_xlfn.XLOOKUP(17838,Trip[shape_id],Trip[shape_id],"Não encontrado")</f>
        <v/>
      </c>
      <c r="B309" s="43" t="n">
        <v>-23.506958</v>
      </c>
      <c r="C309" s="43" t="n">
        <v>-46.624888</v>
      </c>
      <c r="D309" s="43" t="n">
        <v>308</v>
      </c>
      <c r="E309" s="44" t="n">
        <v>16535.943</v>
      </c>
    </row>
    <row r="310">
      <c r="A310" s="39">
        <f>_xlfn.XLOOKUP(17838,Trip[shape_id],Trip[shape_id],"Não encontrado")</f>
        <v/>
      </c>
      <c r="B310" s="40" t="n">
        <v>-23.506391</v>
      </c>
      <c r="C310" s="40" t="n">
        <v>-46.624872</v>
      </c>
      <c r="D310" s="40" t="n">
        <v>309</v>
      </c>
      <c r="E310" s="41" t="n">
        <v>16598.76</v>
      </c>
    </row>
    <row r="311">
      <c r="A311" s="42">
        <f>_xlfn.XLOOKUP(17838,Trip[shape_id],Trip[shape_id],"Não encontrado")</f>
        <v/>
      </c>
      <c r="B311" s="43" t="n">
        <v>-23.505576</v>
      </c>
      <c r="C311" s="43" t="n">
        <v>-46.624848</v>
      </c>
      <c r="D311" s="43" t="n">
        <v>310</v>
      </c>
      <c r="E311" s="44" t="n">
        <v>16689.055</v>
      </c>
    </row>
    <row r="312">
      <c r="A312" s="39">
        <f>_xlfn.XLOOKUP(17838,Trip[shape_id],Trip[shape_id],"Não encontrado")</f>
        <v/>
      </c>
      <c r="B312" s="40" t="n">
        <v>-23.503832</v>
      </c>
      <c r="C312" s="40" t="n">
        <v>-46.624788</v>
      </c>
      <c r="D312" s="40" t="n">
        <v>311</v>
      </c>
      <c r="E312" s="41" t="n">
        <v>16882.303</v>
      </c>
    </row>
    <row r="313">
      <c r="A313" s="42">
        <f>_xlfn.XLOOKUP(17838,Trip[shape_id],Trip[shape_id],"Não encontrado")</f>
        <v/>
      </c>
      <c r="B313" s="43" t="n">
        <v>-23.502553</v>
      </c>
      <c r="C313" s="43" t="n">
        <v>-46.624758</v>
      </c>
      <c r="D313" s="43" t="n">
        <v>312</v>
      </c>
      <c r="E313" s="44" t="n">
        <v>17023.986</v>
      </c>
    </row>
    <row r="314">
      <c r="A314" s="39">
        <f>_xlfn.XLOOKUP(17838,Trip[shape_id],Trip[shape_id],"Não encontrado")</f>
        <v/>
      </c>
      <c r="B314" s="40" t="n">
        <v>-23.500933</v>
      </c>
      <c r="C314" s="40" t="n">
        <v>-46.624715</v>
      </c>
      <c r="D314" s="40" t="n">
        <v>313</v>
      </c>
      <c r="E314" s="41" t="n">
        <v>17276.48</v>
      </c>
    </row>
    <row r="315">
      <c r="A315" s="42">
        <f>_xlfn.XLOOKUP(17838,Trip[shape_id],Trip[shape_id],"Não encontrado")</f>
        <v/>
      </c>
      <c r="B315" s="43" t="n">
        <v>-23.500274</v>
      </c>
      <c r="C315" s="43" t="n">
        <v>-46.624692</v>
      </c>
      <c r="D315" s="43" t="n">
        <v>314</v>
      </c>
      <c r="E315" s="44" t="n">
        <v>17313.959</v>
      </c>
    </row>
    <row r="316">
      <c r="A316" s="39">
        <f>_xlfn.XLOOKUP(17838,Trip[shape_id],Trip[shape_id],"Não encontrado")</f>
        <v/>
      </c>
      <c r="B316" s="40" t="n">
        <v>-23.499936</v>
      </c>
      <c r="C316" s="40" t="n">
        <v>-46.624674</v>
      </c>
      <c r="D316" s="40" t="n">
        <v>315</v>
      </c>
      <c r="E316" s="41" t="n">
        <v>17338.859</v>
      </c>
    </row>
    <row r="317">
      <c r="A317" s="42">
        <f>_xlfn.XLOOKUP(17838,Trip[shape_id],Trip[shape_id],"Não encontrado")</f>
        <v/>
      </c>
      <c r="B317" s="43" t="n">
        <v>-23.499712</v>
      </c>
      <c r="C317" s="43" t="n">
        <v>-46.624653</v>
      </c>
      <c r="D317" s="43" t="n">
        <v>316</v>
      </c>
      <c r="E317" s="44" t="n">
        <v>17355.309</v>
      </c>
    </row>
    <row r="318">
      <c r="A318" s="39">
        <f>_xlfn.XLOOKUP(17838,Trip[shape_id],Trip[shape_id],"Não encontrado")</f>
        <v/>
      </c>
      <c r="B318" s="40" t="n">
        <v>-23.499565</v>
      </c>
      <c r="C318" s="40" t="n">
        <v>-46.62463</v>
      </c>
      <c r="D318" s="40" t="n">
        <v>317</v>
      </c>
      <c r="E318" s="41" t="n">
        <v>17373.348</v>
      </c>
    </row>
    <row r="319">
      <c r="A319" s="42">
        <f>_xlfn.XLOOKUP(17838,Trip[shape_id],Trip[shape_id],"Não encontrado")</f>
        <v/>
      </c>
      <c r="B319" s="43" t="n">
        <v>-23.499405</v>
      </c>
      <c r="C319" s="43" t="n">
        <v>-46.624597</v>
      </c>
      <c r="D319" s="43" t="n">
        <v>318</v>
      </c>
      <c r="E319" s="44" t="n">
        <v>17388.111</v>
      </c>
    </row>
    <row r="320">
      <c r="A320" s="39">
        <f>_xlfn.XLOOKUP(17838,Trip[shape_id],Trip[shape_id],"Não encontrado")</f>
        <v/>
      </c>
      <c r="B320" s="40" t="n">
        <v>-23.499275</v>
      </c>
      <c r="C320" s="40" t="n">
        <v>-46.624565</v>
      </c>
      <c r="D320" s="40" t="n">
        <v>319</v>
      </c>
      <c r="E320" s="41" t="n">
        <v>17399.848</v>
      </c>
    </row>
    <row r="321">
      <c r="A321" s="42">
        <f>_xlfn.XLOOKUP(17838,Trip[shape_id],Trip[shape_id],"Não encontrado")</f>
        <v/>
      </c>
      <c r="B321" s="43" t="n">
        <v>-23.499172</v>
      </c>
      <c r="C321" s="43" t="n">
        <v>-46.624538</v>
      </c>
      <c r="D321" s="43" t="n">
        <v>320</v>
      </c>
      <c r="E321" s="44" t="n">
        <v>17428.664</v>
      </c>
    </row>
    <row r="322">
      <c r="A322" s="39">
        <f>_xlfn.XLOOKUP(17838,Trip[shape_id],Trip[shape_id],"Não encontrado")</f>
        <v/>
      </c>
      <c r="B322" s="40" t="n">
        <v>-23.498927</v>
      </c>
      <c r="C322" s="40" t="n">
        <v>-46.624443</v>
      </c>
      <c r="D322" s="40" t="n">
        <v>321</v>
      </c>
      <c r="E322" s="41" t="n">
        <v>17441.336</v>
      </c>
    </row>
    <row r="323">
      <c r="A323" s="42">
        <f>_xlfn.XLOOKUP(17838,Trip[shape_id],Trip[shape_id],"Não encontrado")</f>
        <v/>
      </c>
      <c r="B323" s="43" t="n">
        <v>-23.498824</v>
      </c>
      <c r="C323" s="43" t="n">
        <v>-46.624389</v>
      </c>
      <c r="D323" s="43" t="n">
        <v>322</v>
      </c>
      <c r="E323" s="44" t="n">
        <v>17453.633</v>
      </c>
    </row>
    <row r="324">
      <c r="A324" s="39">
        <f>_xlfn.XLOOKUP(17838,Trip[shape_id],Trip[shape_id],"Não encontrado")</f>
        <v/>
      </c>
      <c r="B324" s="40" t="n">
        <v>-23.498723</v>
      </c>
      <c r="C324" s="40" t="n">
        <v>-46.624339</v>
      </c>
      <c r="D324" s="40" t="n">
        <v>323</v>
      </c>
      <c r="E324" s="41" t="n">
        <v>17474.229</v>
      </c>
    </row>
    <row r="325">
      <c r="A325" s="42">
        <f>_xlfn.XLOOKUP(17838,Trip[shape_id],Trip[shape_id],"Não encontrado")</f>
        <v/>
      </c>
      <c r="B325" s="43" t="n">
        <v>-23.498561</v>
      </c>
      <c r="C325" s="43" t="n">
        <v>-46.62424</v>
      </c>
      <c r="D325" s="43" t="n">
        <v>324</v>
      </c>
      <c r="E325" s="44" t="n">
        <v>17493.299</v>
      </c>
    </row>
    <row r="326">
      <c r="A326" s="39">
        <f>_xlfn.XLOOKUP(17838,Trip[shape_id],Trip[shape_id],"Não encontrado")</f>
        <v/>
      </c>
      <c r="B326" s="40" t="n">
        <v>-23.498418</v>
      </c>
      <c r="C326" s="40" t="n">
        <v>-46.624136</v>
      </c>
      <c r="D326" s="40" t="n">
        <v>325</v>
      </c>
      <c r="E326" s="41" t="n">
        <v>17512.807</v>
      </c>
    </row>
    <row r="327">
      <c r="A327" s="42">
        <f>_xlfn.XLOOKUP(17838,Trip[shape_id],Trip[shape_id],"Não encontrado")</f>
        <v/>
      </c>
      <c r="B327" s="43" t="n">
        <v>-23.498276</v>
      </c>
      <c r="C327" s="43" t="n">
        <v>-46.624023</v>
      </c>
      <c r="D327" s="43" t="n">
        <v>326</v>
      </c>
      <c r="E327" s="44" t="n">
        <v>17575.824</v>
      </c>
    </row>
    <row r="328">
      <c r="A328" s="39">
        <f>_xlfn.XLOOKUP(17838,Trip[shape_id],Trip[shape_id],"Não encontrado")</f>
        <v/>
      </c>
      <c r="B328" s="40" t="n">
        <v>-23.49785</v>
      </c>
      <c r="C328" s="40" t="n">
        <v>-46.623614</v>
      </c>
      <c r="D328" s="40" t="n">
        <v>327</v>
      </c>
      <c r="E328" s="41" t="n">
        <v>17701.596</v>
      </c>
    </row>
    <row r="329">
      <c r="A329" s="42">
        <f>_xlfn.XLOOKUP(17838,Trip[shape_id],Trip[shape_id],"Não encontrado")</f>
        <v/>
      </c>
      <c r="B329" s="43" t="n">
        <v>-23.497002</v>
      </c>
      <c r="C329" s="43" t="n">
        <v>-46.622795</v>
      </c>
      <c r="D329" s="43" t="n">
        <v>328</v>
      </c>
      <c r="E329" s="44" t="n">
        <v>17814.541</v>
      </c>
    </row>
    <row r="330">
      <c r="A330" s="39">
        <f>_xlfn.XLOOKUP(17838,Trip[shape_id],Trip[shape_id],"Não encontrado")</f>
        <v/>
      </c>
      <c r="B330" s="40" t="n">
        <v>-23.496228</v>
      </c>
      <c r="C330" s="40" t="n">
        <v>-46.622075</v>
      </c>
      <c r="D330" s="40" t="n">
        <v>329</v>
      </c>
      <c r="E330" s="41" t="n">
        <v>17911.887</v>
      </c>
    </row>
    <row r="331">
      <c r="A331" s="42">
        <f>_xlfn.XLOOKUP(17838,Trip[shape_id],Trip[shape_id],"Não encontrado")</f>
        <v/>
      </c>
      <c r="B331" s="43" t="n">
        <v>-23.495555</v>
      </c>
      <c r="C331" s="43" t="n">
        <v>-46.621462</v>
      </c>
      <c r="D331" s="43" t="n">
        <v>330</v>
      </c>
      <c r="E331" s="44" t="n">
        <v>17987.438</v>
      </c>
    </row>
    <row r="332">
      <c r="A332" s="39">
        <f>_xlfn.XLOOKUP(17838,Trip[shape_id],Trip[shape_id],"Não encontrado")</f>
        <v/>
      </c>
      <c r="B332" s="40" t="n">
        <v>-23.495044</v>
      </c>
      <c r="C332" s="40" t="n">
        <v>-46.620972</v>
      </c>
      <c r="D332" s="40" t="n">
        <v>331</v>
      </c>
      <c r="E332" s="41" t="n">
        <v>18043.527</v>
      </c>
    </row>
    <row r="333">
      <c r="A333" s="42">
        <f>_xlfn.XLOOKUP(17838,Trip[shape_id],Trip[shape_id],"Não encontrado")</f>
        <v/>
      </c>
      <c r="B333" s="43" t="n">
        <v>-23.494703</v>
      </c>
      <c r="C333" s="43" t="n">
        <v>-46.620566</v>
      </c>
      <c r="D333" s="43" t="n">
        <v>332</v>
      </c>
      <c r="E333" s="44" t="n">
        <v>18097.412</v>
      </c>
    </row>
    <row r="334">
      <c r="A334" s="39">
        <f>_xlfn.XLOOKUP(17838,Trip[shape_id],Trip[shape_id],"Não encontrado")</f>
        <v/>
      </c>
      <c r="B334" s="40" t="n">
        <v>-23.494405</v>
      </c>
      <c r="C334" s="40" t="n">
        <v>-46.620149</v>
      </c>
      <c r="D334" s="40" t="n">
        <v>333</v>
      </c>
      <c r="E334" s="41" t="n">
        <v>18309.195</v>
      </c>
    </row>
    <row r="335">
      <c r="A335" s="42">
        <f>_xlfn.XLOOKUP(17838,Trip[shape_id],Trip[shape_id],"Não encontrado")</f>
        <v/>
      </c>
      <c r="B335" s="43" t="n">
        <v>-23.493309</v>
      </c>
      <c r="C335" s="43" t="n">
        <v>-46.61845</v>
      </c>
      <c r="D335" s="43" t="n">
        <v>334</v>
      </c>
      <c r="E335" s="44" t="n">
        <v>18395.154</v>
      </c>
    </row>
    <row r="336">
      <c r="A336" s="39">
        <f>_xlfn.XLOOKUP(17838,Trip[shape_id],Trip[shape_id],"Não encontrado")</f>
        <v/>
      </c>
      <c r="B336" s="40" t="n">
        <v>-23.492848</v>
      </c>
      <c r="C336" s="40" t="n">
        <v>-46.617773</v>
      </c>
      <c r="D336" s="40" t="n">
        <v>335</v>
      </c>
      <c r="E336" s="41" t="n">
        <v>18436.477</v>
      </c>
    </row>
    <row r="337">
      <c r="A337" s="42">
        <f>_xlfn.XLOOKUP(17838,Trip[shape_id],Trip[shape_id],"Não encontrado")</f>
        <v/>
      </c>
      <c r="B337" s="43" t="n">
        <v>-23.492643</v>
      </c>
      <c r="C337" s="43" t="n">
        <v>-46.617435</v>
      </c>
      <c r="D337" s="43" t="n">
        <v>336</v>
      </c>
      <c r="E337" s="44" t="n">
        <v>18489.514</v>
      </c>
    </row>
    <row r="338">
      <c r="A338" s="39">
        <f>_xlfn.XLOOKUP(17838,Trip[shape_id],Trip[shape_id],"Não encontrado")</f>
        <v/>
      </c>
      <c r="B338" s="40" t="n">
        <v>-23.492364</v>
      </c>
      <c r="C338" s="40" t="n">
        <v>-46.617013</v>
      </c>
      <c r="D338" s="40" t="n">
        <v>337</v>
      </c>
      <c r="E338" s="41" t="n">
        <v>18489.514</v>
      </c>
    </row>
    <row r="339">
      <c r="A339" s="42">
        <f>_xlfn.XLOOKUP(17838,Trip[shape_id],Trip[shape_id],"Não encontrado")</f>
        <v/>
      </c>
      <c r="B339" s="43" t="n">
        <v>-23.492031</v>
      </c>
      <c r="C339" s="43" t="n">
        <v>-46.616434</v>
      </c>
      <c r="D339" s="43" t="n">
        <v>338</v>
      </c>
      <c r="E339" s="44" t="n">
        <v>18596.836</v>
      </c>
    </row>
    <row r="340">
      <c r="A340" s="39">
        <f>_xlfn.XLOOKUP(17838,Trip[shape_id],Trip[shape_id],"Não encontrado")</f>
        <v/>
      </c>
      <c r="B340" s="40" t="n">
        <v>-23.491805</v>
      </c>
      <c r="C340" s="40" t="n">
        <v>-46.616159</v>
      </c>
      <c r="D340" s="40" t="n">
        <v>339</v>
      </c>
      <c r="E340" s="41" t="n">
        <v>18755.236</v>
      </c>
    </row>
    <row r="341">
      <c r="A341" s="42">
        <f>_xlfn.XLOOKUP(17838,Trip[shape_id],Trip[shape_id],"Não encontrado")</f>
        <v/>
      </c>
      <c r="B341" s="43" t="n">
        <v>-23.490983</v>
      </c>
      <c r="C341" s="43" t="n">
        <v>-46.61489</v>
      </c>
      <c r="D341" s="43" t="n">
        <v>340</v>
      </c>
      <c r="E341" s="44" t="n">
        <v>18853.127</v>
      </c>
    </row>
    <row r="342">
      <c r="A342" s="39">
        <f>_xlfn.XLOOKUP(17838,Trip[shape_id],Trip[shape_id],"Não encontrado")</f>
        <v/>
      </c>
      <c r="B342" s="40" t="n">
        <v>-23.490476</v>
      </c>
      <c r="C342" s="40" t="n">
        <v>-46.614105</v>
      </c>
      <c r="D342" s="40" t="n">
        <v>341</v>
      </c>
      <c r="E342" s="41" t="n">
        <v>18887.063</v>
      </c>
    </row>
    <row r="343">
      <c r="A343" s="42">
        <f>_xlfn.XLOOKUP(17838,Trip[shape_id],Trip[shape_id],"Não encontrado")</f>
        <v/>
      </c>
      <c r="B343" s="43" t="n">
        <v>-23.490314</v>
      </c>
      <c r="C343" s="43" t="n">
        <v>-46.613823</v>
      </c>
      <c r="D343" s="43" t="n">
        <v>342</v>
      </c>
      <c r="E343" s="44" t="n">
        <v>18922.92</v>
      </c>
    </row>
    <row r="344">
      <c r="A344" s="39">
        <f>_xlfn.XLOOKUP(17838,Trip[shape_id],Trip[shape_id],"Não encontrado")</f>
        <v/>
      </c>
      <c r="B344" s="40" t="n">
        <v>-23.490157</v>
      </c>
      <c r="C344" s="40" t="n">
        <v>-46.613516</v>
      </c>
      <c r="D344" s="40" t="n">
        <v>343</v>
      </c>
      <c r="E344" s="41" t="n">
        <v>18975.66</v>
      </c>
    </row>
    <row r="345">
      <c r="A345" s="42">
        <f>_xlfn.XLOOKUP(17838,Trip[shape_id],Trip[shape_id],"Não encontrado")</f>
        <v/>
      </c>
      <c r="B345" s="43" t="n">
        <v>-23.489977</v>
      </c>
      <c r="C345" s="43" t="n">
        <v>-46.613038</v>
      </c>
      <c r="D345" s="43" t="n">
        <v>344</v>
      </c>
      <c r="E345" s="44" t="n">
        <v>19025.336</v>
      </c>
    </row>
    <row r="346">
      <c r="A346" s="39">
        <f>_xlfn.XLOOKUP(17838,Trip[shape_id],Trip[shape_id],"Não encontrado")</f>
        <v/>
      </c>
      <c r="B346" s="40" t="n">
        <v>-23.489869</v>
      </c>
      <c r="C346" s="40" t="n">
        <v>-46.612566</v>
      </c>
      <c r="D346" s="40" t="n">
        <v>345</v>
      </c>
      <c r="E346" s="41" t="n">
        <v>19061.869</v>
      </c>
    </row>
    <row r="347">
      <c r="A347" s="42">
        <f>_xlfn.XLOOKUP(17838,Trip[shape_id],Trip[shape_id],"Não encontrado")</f>
        <v/>
      </c>
      <c r="B347" s="43" t="n">
        <v>-23.489816</v>
      </c>
      <c r="C347" s="43" t="n">
        <v>-46.612213</v>
      </c>
      <c r="D347" s="43" t="n">
        <v>346</v>
      </c>
      <c r="E347" s="44" t="n">
        <v>19096.686</v>
      </c>
    </row>
    <row r="348">
      <c r="A348" s="39">
        <f>_xlfn.XLOOKUP(17838,Trip[shape_id],Trip[shape_id],"Não encontrado")</f>
        <v/>
      </c>
      <c r="B348" s="40" t="n">
        <v>-23.489741</v>
      </c>
      <c r="C348" s="40" t="n">
        <v>-46.611882</v>
      </c>
      <c r="D348" s="40" t="n">
        <v>347</v>
      </c>
      <c r="E348" s="41" t="n">
        <v>19119.361</v>
      </c>
    </row>
    <row r="349">
      <c r="A349" s="42">
        <f>_xlfn.XLOOKUP(17838,Trip[shape_id],Trip[shape_id],"Não encontrado")</f>
        <v/>
      </c>
      <c r="B349" s="43" t="n">
        <v>-23.48969</v>
      </c>
      <c r="C349" s="43" t="n">
        <v>-46.611667</v>
      </c>
      <c r="D349" s="43" t="n">
        <v>348</v>
      </c>
      <c r="E349" s="44" t="n">
        <v>19160.439</v>
      </c>
    </row>
    <row r="350">
      <c r="A350" s="39">
        <f>_xlfn.XLOOKUP(17838,Trip[shape_id],Trip[shape_id],"Não encontrado")</f>
        <v/>
      </c>
      <c r="B350" s="40" t="n">
        <v>-23.489586</v>
      </c>
      <c r="C350" s="40" t="n">
        <v>-46.611281</v>
      </c>
      <c r="D350" s="40" t="n">
        <v>349</v>
      </c>
      <c r="E350" s="41" t="n">
        <v>19198.9</v>
      </c>
    </row>
    <row r="351">
      <c r="A351" s="42">
        <f>_xlfn.XLOOKUP(17838,Trip[shape_id],Trip[shape_id],"Não encontrado")</f>
        <v/>
      </c>
      <c r="B351" s="43" t="n">
        <v>-23.489458</v>
      </c>
      <c r="C351" s="43" t="n">
        <v>-46.610931</v>
      </c>
      <c r="D351" s="43" t="n">
        <v>350</v>
      </c>
      <c r="E351" s="44" t="n">
        <v>19240.639</v>
      </c>
    </row>
    <row r="352">
      <c r="A352" s="39">
        <f>_xlfn.XLOOKUP(17838,Trip[shape_id],Trip[shape_id],"Não encontrado")</f>
        <v/>
      </c>
      <c r="B352" s="40" t="n">
        <v>-23.489285</v>
      </c>
      <c r="C352" s="40" t="n">
        <v>-46.610568</v>
      </c>
      <c r="D352" s="40" t="n">
        <v>351</v>
      </c>
      <c r="E352" s="41" t="n">
        <v>19265.236</v>
      </c>
    </row>
    <row r="353">
      <c r="A353" s="42">
        <f>_xlfn.XLOOKUP(17838,Trip[shape_id],Trip[shape_id],"Não encontrado")</f>
        <v/>
      </c>
      <c r="B353" s="43" t="n">
        <v>-23.489167</v>
      </c>
      <c r="C353" s="43" t="n">
        <v>-46.610364</v>
      </c>
      <c r="D353" s="43" t="n">
        <v>352</v>
      </c>
      <c r="E353" s="44" t="n">
        <v>19277.709</v>
      </c>
    </row>
    <row r="354">
      <c r="A354" s="39">
        <f>_xlfn.XLOOKUP(17838,Trip[shape_id],Trip[shape_id],"Não encontrado")</f>
        <v/>
      </c>
      <c r="B354" s="40" t="n">
        <v>-23.489108</v>
      </c>
      <c r="C354" s="40" t="n">
        <v>-46.61026</v>
      </c>
      <c r="D354" s="40" t="n">
        <v>353</v>
      </c>
      <c r="E354" s="41" t="n">
        <v>19299.334</v>
      </c>
    </row>
    <row r="355">
      <c r="A355" s="42">
        <f>_xlfn.XLOOKUP(17838,Trip[shape_id],Trip[shape_id],"Não encontrado")</f>
        <v/>
      </c>
      <c r="B355" s="43" t="n">
        <v>-23.488988</v>
      </c>
      <c r="C355" s="43" t="n">
        <v>-46.610093</v>
      </c>
      <c r="D355" s="43" t="n">
        <v>354</v>
      </c>
      <c r="E355" s="44" t="n">
        <v>19314.053</v>
      </c>
    </row>
    <row r="356">
      <c r="A356" s="39">
        <f>_xlfn.XLOOKUP(17838,Trip[shape_id],Trip[shape_id],"Não encontrado")</f>
        <v/>
      </c>
      <c r="B356" s="40" t="n">
        <v>-23.488899</v>
      </c>
      <c r="C356" s="40" t="n">
        <v>-46.609986</v>
      </c>
      <c r="D356" s="40" t="n">
        <v>355</v>
      </c>
      <c r="E356" s="41" t="n">
        <v>19329.666</v>
      </c>
    </row>
    <row r="357">
      <c r="A357" s="42">
        <f>_xlfn.XLOOKUP(17838,Trip[shape_id],Trip[shape_id],"Não encontrado")</f>
        <v/>
      </c>
      <c r="B357" s="43" t="n">
        <v>-23.488794</v>
      </c>
      <c r="C357" s="43" t="n">
        <v>-46.609884</v>
      </c>
      <c r="D357" s="43" t="n">
        <v>356</v>
      </c>
      <c r="E357" s="44" t="n">
        <v>19351.57</v>
      </c>
    </row>
    <row r="358">
      <c r="A358" s="39">
        <f>_xlfn.XLOOKUP(17838,Trip[shape_id],Trip[shape_id],"Não encontrado")</f>
        <v/>
      </c>
      <c r="B358" s="40" t="n">
        <v>-23.48865</v>
      </c>
      <c r="C358" s="40" t="n">
        <v>-46.609737</v>
      </c>
      <c r="D358" s="40" t="n">
        <v>357</v>
      </c>
      <c r="E358" s="41" t="n">
        <v>19377.961</v>
      </c>
    </row>
    <row r="359">
      <c r="A359" s="42">
        <f>_xlfn.XLOOKUP(17838,Trip[shape_id],Trip[shape_id],"Não encontrado")</f>
        <v/>
      </c>
      <c r="B359" s="43" t="n">
        <v>-23.488458</v>
      </c>
      <c r="C359" s="43" t="n">
        <v>-46.609584</v>
      </c>
      <c r="D359" s="43" t="n">
        <v>358</v>
      </c>
      <c r="E359" s="44" t="n">
        <v>19399.342</v>
      </c>
    </row>
    <row r="360">
      <c r="A360" s="39">
        <f>_xlfn.XLOOKUP(17838,Trip[shape_id],Trip[shape_id],"Não encontrado")</f>
        <v/>
      </c>
      <c r="B360" s="40" t="n">
        <v>-23.488291</v>
      </c>
      <c r="C360" s="40" t="n">
        <v>-46.609479</v>
      </c>
      <c r="D360" s="40" t="n">
        <v>359</v>
      </c>
      <c r="E360" s="41" t="n">
        <v>19423.393</v>
      </c>
    </row>
    <row r="361">
      <c r="A361" s="42">
        <f>_xlfn.XLOOKUP(17838,Trip[shape_id],Trip[shape_id],"Não encontrado")</f>
        <v/>
      </c>
      <c r="B361" s="43" t="n">
        <v>-23.488099</v>
      </c>
      <c r="C361" s="43" t="n">
        <v>-46.609369</v>
      </c>
      <c r="D361" s="43" t="n">
        <v>360</v>
      </c>
      <c r="E361" s="44" t="n">
        <v>19452.953</v>
      </c>
    </row>
    <row r="362">
      <c r="A362" s="39">
        <f>_xlfn.XLOOKUP(17838,Trip[shape_id],Trip[shape_id],"Não encontrado")</f>
        <v/>
      </c>
      <c r="B362" s="40" t="n">
        <v>-23.487861</v>
      </c>
      <c r="C362" s="40" t="n">
        <v>-46.609238</v>
      </c>
      <c r="D362" s="40" t="n">
        <v>361</v>
      </c>
      <c r="E362" s="41" t="n">
        <v>19544.502</v>
      </c>
    </row>
    <row r="363">
      <c r="A363" s="42">
        <f>_xlfn.XLOOKUP(17838,Trip[shape_id],Trip[shape_id],"Não encontrado")</f>
        <v/>
      </c>
      <c r="B363" s="43" t="n">
        <v>-23.487102</v>
      </c>
      <c r="C363" s="43" t="n">
        <v>-46.608883</v>
      </c>
      <c r="D363" s="43" t="n">
        <v>362</v>
      </c>
      <c r="E363" s="44" t="n">
        <v>19544.502</v>
      </c>
    </row>
    <row r="364">
      <c r="A364" s="39">
        <f>_xlfn.XLOOKUP(17838,Trip[shape_id],Trip[shape_id],"Não encontrado")</f>
        <v/>
      </c>
      <c r="B364" s="40" t="n">
        <v>-23.486482</v>
      </c>
      <c r="C364" s="40" t="n">
        <v>-46.608609</v>
      </c>
      <c r="D364" s="40" t="n">
        <v>363</v>
      </c>
      <c r="E364" s="41" t="n">
        <v>19687.57</v>
      </c>
    </row>
    <row r="365">
      <c r="A365" s="42">
        <f>_xlfn.XLOOKUP(17838,Trip[shape_id],Trip[shape_id],"Não encontrado")</f>
        <v/>
      </c>
      <c r="B365" s="43" t="n">
        <v>-23.485915</v>
      </c>
      <c r="C365" s="43" t="n">
        <v>-46.608331</v>
      </c>
      <c r="D365" s="43" t="n">
        <v>364</v>
      </c>
      <c r="E365" s="44" t="n">
        <v>19715.873</v>
      </c>
    </row>
    <row r="366">
      <c r="A366" s="39">
        <f>_xlfn.XLOOKUP(17838,Trip[shape_id],Trip[shape_id],"Não encontrado")</f>
        <v/>
      </c>
      <c r="B366" s="40" t="n">
        <v>-23.485686</v>
      </c>
      <c r="C366" s="40" t="n">
        <v>-46.608208</v>
      </c>
      <c r="D366" s="40" t="n">
        <v>365</v>
      </c>
      <c r="E366" s="41" t="n">
        <v>19800.029</v>
      </c>
    </row>
    <row r="367">
      <c r="A367" s="42">
        <f>_xlfn.XLOOKUP(17838,Trip[shape_id],Trip[shape_id],"Não encontrado")</f>
        <v/>
      </c>
      <c r="B367" s="43" t="n">
        <v>-23.485008</v>
      </c>
      <c r="C367" s="43" t="n">
        <v>-46.607836</v>
      </c>
      <c r="D367" s="43" t="n">
        <v>366</v>
      </c>
      <c r="E367" s="44" t="n">
        <v>19857.387</v>
      </c>
    </row>
    <row r="368">
      <c r="A368" s="39">
        <f>_xlfn.XLOOKUP(17838,Trip[shape_id],Trip[shape_id],"Não encontrado")</f>
        <v/>
      </c>
      <c r="B368" s="40" t="n">
        <v>-23.484557</v>
      </c>
      <c r="C368" s="40" t="n">
        <v>-46.60756</v>
      </c>
      <c r="D368" s="40" t="n">
        <v>367</v>
      </c>
      <c r="E368" s="41" t="n">
        <v>19913.207</v>
      </c>
    </row>
    <row r="369">
      <c r="A369" s="42">
        <f>_xlfn.XLOOKUP(17838,Trip[shape_id],Trip[shape_id],"Não encontrado")</f>
        <v/>
      </c>
      <c r="B369" s="43" t="n">
        <v>-23.484122</v>
      </c>
      <c r="C369" s="43" t="n">
        <v>-46.607284</v>
      </c>
      <c r="D369" s="43" t="n">
        <v>368</v>
      </c>
      <c r="E369" s="44" t="n">
        <v>19983.229</v>
      </c>
    </row>
    <row r="370">
      <c r="A370" s="39">
        <f>_xlfn.XLOOKUP(17838,Trip[shape_id],Trip[shape_id],"Não encontrado")</f>
        <v/>
      </c>
      <c r="B370" s="40" t="n">
        <v>-23.483604</v>
      </c>
      <c r="C370" s="40" t="n">
        <v>-46.606891</v>
      </c>
      <c r="D370" s="40" t="n">
        <v>369</v>
      </c>
      <c r="E370" s="41" t="n">
        <v>20042.115</v>
      </c>
    </row>
    <row r="371">
      <c r="A371" s="42">
        <f>_xlfn.XLOOKUP(17838,Trip[shape_id],Trip[shape_id],"Não encontrado")</f>
        <v/>
      </c>
      <c r="B371" s="43" t="n">
        <v>-23.483205</v>
      </c>
      <c r="C371" s="43" t="n">
        <v>-46.60651</v>
      </c>
      <c r="D371" s="43" t="n">
        <v>370</v>
      </c>
      <c r="E371" s="44" t="n">
        <v>20156.023</v>
      </c>
    </row>
    <row r="372">
      <c r="A372" s="39">
        <f>_xlfn.XLOOKUP(17838,Trip[shape_id],Trip[shape_id],"Não encontrado")</f>
        <v/>
      </c>
      <c r="B372" s="40" t="n">
        <v>-23.482434</v>
      </c>
      <c r="C372" s="40" t="n">
        <v>-46.605772</v>
      </c>
      <c r="D372" s="40" t="n">
        <v>371</v>
      </c>
      <c r="E372" s="41" t="n">
        <v>20214.08</v>
      </c>
    </row>
    <row r="373">
      <c r="A373" s="42">
        <f>_xlfn.XLOOKUP(17838,Trip[shape_id],Trip[shape_id],"Não encontrado")</f>
        <v/>
      </c>
      <c r="B373" s="43" t="n">
        <v>-23.482058</v>
      </c>
      <c r="C373" s="43" t="n">
        <v>-46.605376</v>
      </c>
      <c r="D373" s="43" t="n">
        <v>372</v>
      </c>
      <c r="E373" s="44" t="n">
        <v>20268.242</v>
      </c>
    </row>
    <row r="374">
      <c r="A374" s="39">
        <f>_xlfn.XLOOKUP(17838,Trip[shape_id],Trip[shape_id],"Não encontrado")</f>
        <v/>
      </c>
      <c r="B374" s="40" t="n">
        <v>-23.481716</v>
      </c>
      <c r="C374" s="40" t="n">
        <v>-46.604997</v>
      </c>
      <c r="D374" s="40" t="n">
        <v>373</v>
      </c>
      <c r="E374" s="41" t="n">
        <v>20328.418</v>
      </c>
    </row>
    <row r="375">
      <c r="A375" s="42">
        <f>_xlfn.XLOOKUP(17838,Trip[shape_id],Trip[shape_id],"Não encontrado")</f>
        <v/>
      </c>
      <c r="B375" s="43" t="n">
        <v>-23.481318</v>
      </c>
      <c r="C375" s="43" t="n">
        <v>-46.604596</v>
      </c>
      <c r="D375" s="43" t="n">
        <v>374</v>
      </c>
      <c r="E375" s="44" t="n">
        <v>20366.654</v>
      </c>
    </row>
    <row r="376">
      <c r="A376" s="39">
        <f>_xlfn.XLOOKUP(17838,Trip[shape_id],Trip[shape_id],"Não encontrado")</f>
        <v/>
      </c>
      <c r="B376" s="40" t="n">
        <v>-23.481077</v>
      </c>
      <c r="C376" s="40" t="n">
        <v>-46.604328</v>
      </c>
      <c r="D376" s="40" t="n">
        <v>375</v>
      </c>
      <c r="E376" s="41" t="n">
        <v>20436.455</v>
      </c>
    </row>
    <row r="377">
      <c r="A377" s="42">
        <f>_xlfn.XLOOKUP(17838,Trip[shape_id],Trip[shape_id],"Não encontrado")</f>
        <v/>
      </c>
      <c r="B377" s="43" t="n">
        <v>-23.480634</v>
      </c>
      <c r="C377" s="43" t="n">
        <v>-46.603842</v>
      </c>
      <c r="D377" s="43" t="n">
        <v>376</v>
      </c>
      <c r="E377" s="44" t="n">
        <v>20455.986</v>
      </c>
    </row>
    <row r="378">
      <c r="A378" s="39">
        <f>_xlfn.XLOOKUP(17838,Trip[shape_id],Trip[shape_id],"Não encontrado")</f>
        <v/>
      </c>
      <c r="B378" s="40" t="n">
        <v>-23.480511</v>
      </c>
      <c r="C378" s="40" t="n">
        <v>-46.603705</v>
      </c>
      <c r="D378" s="40" t="n">
        <v>377</v>
      </c>
      <c r="E378" s="41" t="n">
        <v>20499.113</v>
      </c>
    </row>
    <row r="379">
      <c r="A379" s="42">
        <f>_xlfn.XLOOKUP(17838,Trip[shape_id],Trip[shape_id],"Não encontrado")</f>
        <v/>
      </c>
      <c r="B379" s="43" t="n">
        <v>-23.480228</v>
      </c>
      <c r="C379" s="43" t="n">
        <v>-46.603415</v>
      </c>
      <c r="D379" s="43" t="n">
        <v>378</v>
      </c>
      <c r="E379" s="44" t="n">
        <v>20530.305</v>
      </c>
    </row>
    <row r="380">
      <c r="A380" s="39">
        <f>_xlfn.XLOOKUP(17838,Trip[shape_id],Trip[shape_id],"Não encontrado")</f>
        <v/>
      </c>
      <c r="B380" s="40" t="n">
        <v>-23.480016</v>
      </c>
      <c r="C380" s="40" t="n">
        <v>-46.603214</v>
      </c>
      <c r="D380" s="40" t="n">
        <v>379</v>
      </c>
      <c r="E380" s="41" t="n">
        <v>20530.305</v>
      </c>
    </row>
    <row r="381">
      <c r="A381" s="42">
        <f>_xlfn.XLOOKUP(17839,Trip[shape_id],Trip[shape_id],"Não encontrado")</f>
        <v/>
      </c>
      <c r="B381" s="43" t="n">
        <v>-23.480016</v>
      </c>
      <c r="C381" s="43" t="n">
        <v>-46.603214</v>
      </c>
      <c r="D381" s="43" t="n">
        <v>1</v>
      </c>
      <c r="E381" s="44" t="n">
        <v>0</v>
      </c>
    </row>
    <row r="382">
      <c r="A382" s="39">
        <f>_xlfn.XLOOKUP(17839,Trip[shape_id],Trip[shape_id],"Não encontrado")</f>
        <v/>
      </c>
      <c r="B382" s="40" t="n">
        <v>-23.480228</v>
      </c>
      <c r="C382" s="40" t="n">
        <v>-46.603415</v>
      </c>
      <c r="D382" s="40" t="n">
        <v>2</v>
      </c>
      <c r="E382" s="41" t="n">
        <v>31.191328</v>
      </c>
    </row>
    <row r="383">
      <c r="A383" s="42">
        <f>_xlfn.XLOOKUP(17839,Trip[shape_id],Trip[shape_id],"Não encontrado")</f>
        <v/>
      </c>
      <c r="B383" s="43" t="n">
        <v>-23.480511</v>
      </c>
      <c r="C383" s="43" t="n">
        <v>-46.603705</v>
      </c>
      <c r="D383" s="43" t="n">
        <v>3</v>
      </c>
      <c r="E383" s="44" t="n">
        <v>74.319237</v>
      </c>
    </row>
    <row r="384">
      <c r="A384" s="39">
        <f>_xlfn.XLOOKUP(17839,Trip[shape_id],Trip[shape_id],"Não encontrado")</f>
        <v/>
      </c>
      <c r="B384" s="40" t="n">
        <v>-23.480634</v>
      </c>
      <c r="C384" s="40" t="n">
        <v>-46.603842</v>
      </c>
      <c r="D384" s="40" t="n">
        <v>4</v>
      </c>
      <c r="E384" s="41" t="n">
        <v>93.84967</v>
      </c>
    </row>
    <row r="385">
      <c r="A385" s="42">
        <f>_xlfn.XLOOKUP(17839,Trip[shape_id],Trip[shape_id],"Não encontrado")</f>
        <v/>
      </c>
      <c r="B385" s="43" t="n">
        <v>-23.481077</v>
      </c>
      <c r="C385" s="43" t="n">
        <v>-46.604328</v>
      </c>
      <c r="D385" s="43" t="n">
        <v>5</v>
      </c>
      <c r="E385" s="44" t="n">
        <v>163.64966</v>
      </c>
    </row>
    <row r="386">
      <c r="A386" s="39">
        <f>_xlfn.XLOOKUP(17839,Trip[shape_id],Trip[shape_id],"Não encontrado")</f>
        <v/>
      </c>
      <c r="B386" s="40" t="n">
        <v>-23.481318</v>
      </c>
      <c r="C386" s="40" t="n">
        <v>-46.604596</v>
      </c>
      <c r="D386" s="40" t="n">
        <v>6</v>
      </c>
      <c r="E386" s="41" t="n">
        <v>201.8851</v>
      </c>
    </row>
    <row r="387">
      <c r="A387" s="42">
        <f>_xlfn.XLOOKUP(17839,Trip[shape_id],Trip[shape_id],"Não encontrado")</f>
        <v/>
      </c>
      <c r="B387" s="43" t="n">
        <v>-23.481716</v>
      </c>
      <c r="C387" s="43" t="n">
        <v>-46.604997</v>
      </c>
      <c r="D387" s="43" t="n">
        <v>7</v>
      </c>
      <c r="E387" s="44" t="n">
        <v>262.05994</v>
      </c>
    </row>
    <row r="388">
      <c r="A388" s="39">
        <f>_xlfn.XLOOKUP(17839,Trip[shape_id],Trip[shape_id],"Não encontrado")</f>
        <v/>
      </c>
      <c r="B388" s="40" t="n">
        <v>-23.482058</v>
      </c>
      <c r="C388" s="40" t="n">
        <v>-46.605376</v>
      </c>
      <c r="D388" s="40" t="n">
        <v>8</v>
      </c>
      <c r="E388" s="41" t="n">
        <v>316.22296</v>
      </c>
    </row>
    <row r="389">
      <c r="A389" s="42">
        <f>_xlfn.XLOOKUP(17839,Trip[shape_id],Trip[shape_id],"Não encontrado")</f>
        <v/>
      </c>
      <c r="B389" s="43" t="n">
        <v>-23.482434</v>
      </c>
      <c r="C389" s="43" t="n">
        <v>-46.605772</v>
      </c>
      <c r="D389" s="43" t="n">
        <v>9</v>
      </c>
      <c r="E389" s="44" t="n">
        <v>374.27945</v>
      </c>
    </row>
    <row r="390">
      <c r="A390" s="39">
        <f>_xlfn.XLOOKUP(17839,Trip[shape_id],Trip[shape_id],"Não encontrado")</f>
        <v/>
      </c>
      <c r="B390" s="40" t="n">
        <v>-23.483205</v>
      </c>
      <c r="C390" s="40" t="n">
        <v>-46.60651</v>
      </c>
      <c r="D390" s="40" t="n">
        <v>10</v>
      </c>
      <c r="E390" s="41" t="n">
        <v>488.18683</v>
      </c>
    </row>
    <row r="391">
      <c r="A391" s="42">
        <f>_xlfn.XLOOKUP(17839,Trip[shape_id],Trip[shape_id],"Não encontrado")</f>
        <v/>
      </c>
      <c r="B391" s="43" t="n">
        <v>-23.483604</v>
      </c>
      <c r="C391" s="43" t="n">
        <v>-46.606891</v>
      </c>
      <c r="D391" s="43" t="n">
        <v>11</v>
      </c>
      <c r="E391" s="44" t="n">
        <v>547.07263</v>
      </c>
    </row>
    <row r="392">
      <c r="A392" s="39">
        <f>_xlfn.XLOOKUP(17839,Trip[shape_id],Trip[shape_id],"Não encontrado")</f>
        <v/>
      </c>
      <c r="B392" s="40" t="n">
        <v>-23.484122</v>
      </c>
      <c r="C392" s="40" t="n">
        <v>-46.607284</v>
      </c>
      <c r="D392" s="40" t="n">
        <v>12</v>
      </c>
      <c r="E392" s="41" t="n">
        <v>617.09351</v>
      </c>
    </row>
    <row r="393">
      <c r="A393" s="42">
        <f>_xlfn.XLOOKUP(17839,Trip[shape_id],Trip[shape_id],"Não encontrado")</f>
        <v/>
      </c>
      <c r="B393" s="43" t="n">
        <v>-23.484557</v>
      </c>
      <c r="C393" s="43" t="n">
        <v>-46.60756</v>
      </c>
      <c r="D393" s="43" t="n">
        <v>13</v>
      </c>
      <c r="E393" s="44" t="n">
        <v>672.91376</v>
      </c>
    </row>
    <row r="394">
      <c r="A394" s="39">
        <f>_xlfn.XLOOKUP(17839,Trip[shape_id],Trip[shape_id],"Não encontrado")</f>
        <v/>
      </c>
      <c r="B394" s="40" t="n">
        <v>-23.485008</v>
      </c>
      <c r="C394" s="40" t="n">
        <v>-46.607836</v>
      </c>
      <c r="D394" s="40" t="n">
        <v>14</v>
      </c>
      <c r="E394" s="41" t="n">
        <v>730.27026</v>
      </c>
    </row>
    <row r="395">
      <c r="A395" s="42">
        <f>_xlfn.XLOOKUP(17839,Trip[shape_id],Trip[shape_id],"Não encontrado")</f>
        <v/>
      </c>
      <c r="B395" s="43" t="n">
        <v>-23.485686</v>
      </c>
      <c r="C395" s="43" t="n">
        <v>-46.608208</v>
      </c>
      <c r="D395" s="43" t="n">
        <v>15</v>
      </c>
      <c r="E395" s="44" t="n">
        <v>814.42737</v>
      </c>
    </row>
    <row r="396">
      <c r="A396" s="39">
        <f>_xlfn.XLOOKUP(17839,Trip[shape_id],Trip[shape_id],"Não encontrado")</f>
        <v/>
      </c>
      <c r="B396" s="40" t="n">
        <v>-23.485915</v>
      </c>
      <c r="C396" s="40" t="n">
        <v>-46.608331</v>
      </c>
      <c r="D396" s="40" t="n">
        <v>16</v>
      </c>
      <c r="E396" s="41" t="n">
        <v>842.7310199999999</v>
      </c>
    </row>
    <row r="397">
      <c r="A397" s="42">
        <f>_xlfn.XLOOKUP(17839,Trip[shape_id],Trip[shape_id],"Não encontrado")</f>
        <v/>
      </c>
      <c r="B397" s="43" t="n">
        <v>-23.486482</v>
      </c>
      <c r="C397" s="43" t="n">
        <v>-46.608609</v>
      </c>
      <c r="D397" s="43" t="n">
        <v>17</v>
      </c>
      <c r="E397" s="44" t="n">
        <v>911.64948</v>
      </c>
    </row>
    <row r="398">
      <c r="A398" s="39">
        <f>_xlfn.XLOOKUP(17839,Trip[shape_id],Trip[shape_id],"Não encontrado")</f>
        <v/>
      </c>
      <c r="B398" s="40" t="n">
        <v>-23.487102</v>
      </c>
      <c r="C398" s="40" t="n">
        <v>-46.608883</v>
      </c>
      <c r="D398" s="40" t="n">
        <v>18</v>
      </c>
      <c r="E398" s="41" t="n">
        <v>985.80042</v>
      </c>
    </row>
    <row r="399">
      <c r="A399" s="42">
        <f>_xlfn.XLOOKUP(17839,Trip[shape_id],Trip[shape_id],"Não encontrado")</f>
        <v/>
      </c>
      <c r="B399" s="43" t="n">
        <v>-23.487861</v>
      </c>
      <c r="C399" s="43" t="n">
        <v>-46.609238</v>
      </c>
      <c r="D399" s="43" t="n">
        <v>19</v>
      </c>
      <c r="E399" s="44" t="n">
        <v>1077.3489</v>
      </c>
    </row>
    <row r="400">
      <c r="A400" s="39">
        <f>_xlfn.XLOOKUP(17839,Trip[shape_id],Trip[shape_id],"Não encontrado")</f>
        <v/>
      </c>
      <c r="B400" s="40" t="n">
        <v>-23.488099</v>
      </c>
      <c r="C400" s="40" t="n">
        <v>-46.609369</v>
      </c>
      <c r="D400" s="40" t="n">
        <v>20</v>
      </c>
      <c r="E400" s="41" t="n">
        <v>1106.9097</v>
      </c>
    </row>
    <row r="401">
      <c r="A401" s="42">
        <f>_xlfn.XLOOKUP(17839,Trip[shape_id],Trip[shape_id],"Não encontrado")</f>
        <v/>
      </c>
      <c r="B401" s="43" t="n">
        <v>-23.488291</v>
      </c>
      <c r="C401" s="43" t="n">
        <v>-46.609479</v>
      </c>
      <c r="D401" s="43" t="n">
        <v>21</v>
      </c>
      <c r="E401" s="44" t="n">
        <v>1130.96</v>
      </c>
    </row>
    <row r="402">
      <c r="A402" s="39">
        <f>_xlfn.XLOOKUP(17839,Trip[shape_id],Trip[shape_id],"Não encontrado")</f>
        <v/>
      </c>
      <c r="B402" s="40" t="n">
        <v>-23.488458</v>
      </c>
      <c r="C402" s="40" t="n">
        <v>-46.609584</v>
      </c>
      <c r="D402" s="40" t="n">
        <v>22</v>
      </c>
      <c r="E402" s="41" t="n">
        <v>1152.3402</v>
      </c>
    </row>
    <row r="403">
      <c r="A403" s="42">
        <f>_xlfn.XLOOKUP(17839,Trip[shape_id],Trip[shape_id],"Não encontrado")</f>
        <v/>
      </c>
      <c r="B403" s="43" t="n">
        <v>-23.48865</v>
      </c>
      <c r="C403" s="43" t="n">
        <v>-46.609737</v>
      </c>
      <c r="D403" s="43" t="n">
        <v>23</v>
      </c>
      <c r="E403" s="44" t="n">
        <v>1178.73</v>
      </c>
    </row>
    <row r="404">
      <c r="A404" s="39">
        <f>_xlfn.XLOOKUP(17839,Trip[shape_id],Trip[shape_id],"Não encontrado")</f>
        <v/>
      </c>
      <c r="B404" s="40" t="n">
        <v>-23.488794</v>
      </c>
      <c r="C404" s="40" t="n">
        <v>-46.609884</v>
      </c>
      <c r="D404" s="40" t="n">
        <v>24</v>
      </c>
      <c r="E404" s="41" t="n">
        <v>1200.635</v>
      </c>
    </row>
    <row r="405">
      <c r="A405" s="42">
        <f>_xlfn.XLOOKUP(17839,Trip[shape_id],Trip[shape_id],"Não encontrado")</f>
        <v/>
      </c>
      <c r="B405" s="43" t="n">
        <v>-23.488899</v>
      </c>
      <c r="C405" s="43" t="n">
        <v>-46.609986</v>
      </c>
      <c r="D405" s="43" t="n">
        <v>25</v>
      </c>
      <c r="E405" s="44" t="n">
        <v>1216.2488</v>
      </c>
    </row>
    <row r="406">
      <c r="A406" s="39">
        <f>_xlfn.XLOOKUP(17839,Trip[shape_id],Trip[shape_id],"Não encontrado")</f>
        <v/>
      </c>
      <c r="B406" s="40" t="n">
        <v>-23.488988</v>
      </c>
      <c r="C406" s="40" t="n">
        <v>-46.610093</v>
      </c>
      <c r="D406" s="40" t="n">
        <v>26</v>
      </c>
      <c r="E406" s="41" t="n">
        <v>1230.9668</v>
      </c>
    </row>
    <row r="407">
      <c r="A407" s="42">
        <f>_xlfn.XLOOKUP(17839,Trip[shape_id],Trip[shape_id],"Não encontrado")</f>
        <v/>
      </c>
      <c r="B407" s="43" t="n">
        <v>-23.489108</v>
      </c>
      <c r="C407" s="43" t="n">
        <v>-46.61026</v>
      </c>
      <c r="D407" s="43" t="n">
        <v>27</v>
      </c>
      <c r="E407" s="44" t="n">
        <v>1252.5914</v>
      </c>
    </row>
    <row r="408">
      <c r="A408" s="39">
        <f>_xlfn.XLOOKUP(17839,Trip[shape_id],Trip[shape_id],"Não encontrado")</f>
        <v/>
      </c>
      <c r="B408" s="40" t="n">
        <v>-23.489167</v>
      </c>
      <c r="C408" s="40" t="n">
        <v>-46.610364</v>
      </c>
      <c r="D408" s="40" t="n">
        <v>28</v>
      </c>
      <c r="E408" s="41" t="n">
        <v>1265.0637</v>
      </c>
    </row>
    <row r="409">
      <c r="A409" s="42">
        <f>_xlfn.XLOOKUP(17839,Trip[shape_id],Trip[shape_id],"Não encontrado")</f>
        <v/>
      </c>
      <c r="B409" s="43" t="n">
        <v>-23.489285</v>
      </c>
      <c r="C409" s="43" t="n">
        <v>-46.610568</v>
      </c>
      <c r="D409" s="43" t="n">
        <v>29</v>
      </c>
      <c r="E409" s="44" t="n">
        <v>1289.6611</v>
      </c>
    </row>
    <row r="410">
      <c r="A410" s="39">
        <f>_xlfn.XLOOKUP(17839,Trip[shape_id],Trip[shape_id],"Não encontrado")</f>
        <v/>
      </c>
      <c r="B410" s="40" t="n">
        <v>-23.489458</v>
      </c>
      <c r="C410" s="40" t="n">
        <v>-46.610931</v>
      </c>
      <c r="D410" s="40" t="n">
        <v>30</v>
      </c>
      <c r="E410" s="41" t="n">
        <v>1331.3989</v>
      </c>
    </row>
    <row r="411">
      <c r="A411" s="42">
        <f>_xlfn.XLOOKUP(17839,Trip[shape_id],Trip[shape_id],"Não encontrado")</f>
        <v/>
      </c>
      <c r="B411" s="43" t="n">
        <v>-23.489586</v>
      </c>
      <c r="C411" s="43" t="n">
        <v>-46.611281</v>
      </c>
      <c r="D411" s="43" t="n">
        <v>31</v>
      </c>
      <c r="E411" s="44" t="n">
        <v>1369.859</v>
      </c>
    </row>
    <row r="412">
      <c r="A412" s="39">
        <f>_xlfn.XLOOKUP(17839,Trip[shape_id],Trip[shape_id],"Não encontrado")</f>
        <v/>
      </c>
      <c r="B412" s="40" t="n">
        <v>-23.48969</v>
      </c>
      <c r="C412" s="40" t="n">
        <v>-46.611667</v>
      </c>
      <c r="D412" s="40" t="n">
        <v>32</v>
      </c>
      <c r="E412" s="41" t="n">
        <v>1410.9364</v>
      </c>
    </row>
    <row r="413">
      <c r="A413" s="42">
        <f>_xlfn.XLOOKUP(17839,Trip[shape_id],Trip[shape_id],"Não encontrado")</f>
        <v/>
      </c>
      <c r="B413" s="43" t="n">
        <v>-23.489741</v>
      </c>
      <c r="C413" s="43" t="n">
        <v>-46.611882</v>
      </c>
      <c r="D413" s="43" t="n">
        <v>33</v>
      </c>
      <c r="E413" s="44" t="n">
        <v>1433.6129</v>
      </c>
    </row>
    <row r="414">
      <c r="A414" s="39">
        <f>_xlfn.XLOOKUP(17839,Trip[shape_id],Trip[shape_id],"Não encontrado")</f>
        <v/>
      </c>
      <c r="B414" s="40" t="n">
        <v>-23.489816</v>
      </c>
      <c r="C414" s="40" t="n">
        <v>-46.612213</v>
      </c>
      <c r="D414" s="40" t="n">
        <v>34</v>
      </c>
      <c r="E414" s="41" t="n">
        <v>1468.4297</v>
      </c>
    </row>
    <row r="415">
      <c r="A415" s="42">
        <f>_xlfn.XLOOKUP(17839,Trip[shape_id],Trip[shape_id],"Não encontrado")</f>
        <v/>
      </c>
      <c r="B415" s="43" t="n">
        <v>-23.489869</v>
      </c>
      <c r="C415" s="43" t="n">
        <v>-46.612566</v>
      </c>
      <c r="D415" s="43" t="n">
        <v>35</v>
      </c>
      <c r="E415" s="44" t="n">
        <v>1504.9629</v>
      </c>
    </row>
    <row r="416">
      <c r="A416" s="39">
        <f>_xlfn.XLOOKUP(17839,Trip[shape_id],Trip[shape_id],"Não encontrado")</f>
        <v/>
      </c>
      <c r="B416" s="40" t="n">
        <v>-23.489977</v>
      </c>
      <c r="C416" s="40" t="n">
        <v>-46.613038</v>
      </c>
      <c r="D416" s="40" t="n">
        <v>36</v>
      </c>
      <c r="E416" s="41" t="n">
        <v>1554.6387</v>
      </c>
    </row>
    <row r="417">
      <c r="A417" s="42">
        <f>_xlfn.XLOOKUP(17839,Trip[shape_id],Trip[shape_id],"Não encontrado")</f>
        <v/>
      </c>
      <c r="B417" s="43" t="n">
        <v>-23.490157</v>
      </c>
      <c r="C417" s="43" t="n">
        <v>-46.613516</v>
      </c>
      <c r="D417" s="43" t="n">
        <v>37</v>
      </c>
      <c r="E417" s="44" t="n">
        <v>1607.3785</v>
      </c>
    </row>
    <row r="418">
      <c r="A418" s="39">
        <f>_xlfn.XLOOKUP(17839,Trip[shape_id],Trip[shape_id],"Não encontrado")</f>
        <v/>
      </c>
      <c r="B418" s="40" t="n">
        <v>-23.490314</v>
      </c>
      <c r="C418" s="40" t="n">
        <v>-46.613823</v>
      </c>
      <c r="D418" s="40" t="n">
        <v>38</v>
      </c>
      <c r="E418" s="41" t="n">
        <v>1643.2361</v>
      </c>
    </row>
    <row r="419">
      <c r="A419" s="42">
        <f>_xlfn.XLOOKUP(17839,Trip[shape_id],Trip[shape_id],"Não encontrado")</f>
        <v/>
      </c>
      <c r="B419" s="43" t="n">
        <v>-23.490476</v>
      </c>
      <c r="C419" s="43" t="n">
        <v>-46.614105</v>
      </c>
      <c r="D419" s="43" t="n">
        <v>39</v>
      </c>
      <c r="E419" s="44" t="n">
        <v>1677.1725</v>
      </c>
    </row>
    <row r="420">
      <c r="A420" s="39">
        <f>_xlfn.XLOOKUP(17839,Trip[shape_id],Trip[shape_id],"Não encontrado")</f>
        <v/>
      </c>
      <c r="B420" s="40" t="n">
        <v>-23.490983</v>
      </c>
      <c r="C420" s="40" t="n">
        <v>-46.61489</v>
      </c>
      <c r="D420" s="40" t="n">
        <v>40</v>
      </c>
      <c r="E420" s="41" t="n">
        <v>1775.064</v>
      </c>
    </row>
    <row r="421">
      <c r="A421" s="42">
        <f>_xlfn.XLOOKUP(17839,Trip[shape_id],Trip[shape_id],"Não encontrado")</f>
        <v/>
      </c>
      <c r="B421" s="43" t="n">
        <v>-23.491805</v>
      </c>
      <c r="C421" s="43" t="n">
        <v>-46.616159</v>
      </c>
      <c r="D421" s="43" t="n">
        <v>41</v>
      </c>
      <c r="E421" s="44" t="n">
        <v>1933.4639</v>
      </c>
    </row>
    <row r="422">
      <c r="A422" s="39">
        <f>_xlfn.XLOOKUP(17839,Trip[shape_id],Trip[shape_id],"Não encontrado")</f>
        <v/>
      </c>
      <c r="B422" s="40" t="n">
        <v>-23.492031</v>
      </c>
      <c r="C422" s="40" t="n">
        <v>-46.616434</v>
      </c>
      <c r="D422" s="40" t="n">
        <v>42</v>
      </c>
      <c r="E422" s="41" t="n">
        <v>1971.0878</v>
      </c>
    </row>
    <row r="423">
      <c r="A423" s="42">
        <f>_xlfn.XLOOKUP(17839,Trip[shape_id],Trip[shape_id],"Não encontrado")</f>
        <v/>
      </c>
      <c r="B423" s="43" t="n">
        <v>-23.492364</v>
      </c>
      <c r="C423" s="43" t="n">
        <v>-46.617013</v>
      </c>
      <c r="D423" s="43" t="n">
        <v>43</v>
      </c>
      <c r="E423" s="44" t="n">
        <v>2040.7875</v>
      </c>
    </row>
    <row r="424">
      <c r="A424" s="39">
        <f>_xlfn.XLOOKUP(17839,Trip[shape_id],Trip[shape_id],"Não encontrado")</f>
        <v/>
      </c>
      <c r="B424" s="40" t="n">
        <v>-23.492643</v>
      </c>
      <c r="C424" s="40" t="n">
        <v>-46.617435</v>
      </c>
      <c r="D424" s="40" t="n">
        <v>44</v>
      </c>
      <c r="E424" s="41" t="n">
        <v>2093.8245</v>
      </c>
    </row>
    <row r="425">
      <c r="A425" s="42">
        <f>_xlfn.XLOOKUP(17839,Trip[shape_id],Trip[shape_id],"Não encontrado")</f>
        <v/>
      </c>
      <c r="B425" s="43" t="n">
        <v>-23.492848</v>
      </c>
      <c r="C425" s="43" t="n">
        <v>-46.617773</v>
      </c>
      <c r="D425" s="43" t="n">
        <v>45</v>
      </c>
      <c r="E425" s="44" t="n">
        <v>2135.146</v>
      </c>
    </row>
    <row r="426">
      <c r="A426" s="39">
        <f>_xlfn.XLOOKUP(17839,Trip[shape_id],Trip[shape_id],"Não encontrado")</f>
        <v/>
      </c>
      <c r="B426" s="40" t="n">
        <v>-23.493309</v>
      </c>
      <c r="C426" s="40" t="n">
        <v>-46.61845</v>
      </c>
      <c r="D426" s="40" t="n">
        <v>46</v>
      </c>
      <c r="E426" s="41" t="n">
        <v>2221.1047</v>
      </c>
    </row>
    <row r="427">
      <c r="A427" s="42">
        <f>_xlfn.XLOOKUP(17839,Trip[shape_id],Trip[shape_id],"Não encontrado")</f>
        <v/>
      </c>
      <c r="B427" s="43" t="n">
        <v>-23.494405</v>
      </c>
      <c r="C427" s="43" t="n">
        <v>-46.620149</v>
      </c>
      <c r="D427" s="43" t="n">
        <v>47</v>
      </c>
      <c r="E427" s="44" t="n">
        <v>2432.8875</v>
      </c>
    </row>
    <row r="428">
      <c r="A428" s="39">
        <f>_xlfn.XLOOKUP(17839,Trip[shape_id],Trip[shape_id],"Não encontrado")</f>
        <v/>
      </c>
      <c r="B428" s="40" t="n">
        <v>-23.494703</v>
      </c>
      <c r="C428" s="40" t="n">
        <v>-46.620566</v>
      </c>
      <c r="D428" s="40" t="n">
        <v>48</v>
      </c>
      <c r="E428" s="41" t="n">
        <v>2486.772</v>
      </c>
    </row>
    <row r="429">
      <c r="A429" s="42">
        <f>_xlfn.XLOOKUP(17839,Trip[shape_id],Trip[shape_id],"Não encontrado")</f>
        <v/>
      </c>
      <c r="B429" s="43" t="n">
        <v>-23.495044</v>
      </c>
      <c r="C429" s="43" t="n">
        <v>-46.620972</v>
      </c>
      <c r="D429" s="43" t="n">
        <v>49</v>
      </c>
      <c r="E429" s="44" t="n">
        <v>2542.8621</v>
      </c>
    </row>
    <row r="430">
      <c r="A430" s="39">
        <f>_xlfn.XLOOKUP(17839,Trip[shape_id],Trip[shape_id],"Não encontrado")</f>
        <v/>
      </c>
      <c r="B430" s="40" t="n">
        <v>-23.495555</v>
      </c>
      <c r="C430" s="40" t="n">
        <v>-46.621462</v>
      </c>
      <c r="D430" s="40" t="n">
        <v>50</v>
      </c>
      <c r="E430" s="41" t="n">
        <v>2618.4128</v>
      </c>
    </row>
    <row r="431">
      <c r="A431" s="42">
        <f>_xlfn.XLOOKUP(17839,Trip[shape_id],Trip[shape_id],"Não encontrado")</f>
        <v/>
      </c>
      <c r="B431" s="43" t="n">
        <v>-23.496228</v>
      </c>
      <c r="C431" s="43" t="n">
        <v>-46.622075</v>
      </c>
      <c r="D431" s="43" t="n">
        <v>51</v>
      </c>
      <c r="E431" s="44" t="n">
        <v>2715.7581</v>
      </c>
    </row>
    <row r="432">
      <c r="A432" s="39">
        <f>_xlfn.XLOOKUP(17839,Trip[shape_id],Trip[shape_id],"Não encontrado")</f>
        <v/>
      </c>
      <c r="B432" s="40" t="n">
        <v>-23.497002</v>
      </c>
      <c r="C432" s="40" t="n">
        <v>-46.622795</v>
      </c>
      <c r="D432" s="40" t="n">
        <v>52</v>
      </c>
      <c r="E432" s="41" t="n">
        <v>2828.7039</v>
      </c>
    </row>
    <row r="433">
      <c r="A433" s="42">
        <f>_xlfn.XLOOKUP(17839,Trip[shape_id],Trip[shape_id],"Não encontrado")</f>
        <v/>
      </c>
      <c r="B433" s="43" t="n">
        <v>-23.49785</v>
      </c>
      <c r="C433" s="43" t="n">
        <v>-46.623614</v>
      </c>
      <c r="D433" s="43" t="n">
        <v>53</v>
      </c>
      <c r="E433" s="44" t="n">
        <v>2954.4758</v>
      </c>
    </row>
    <row r="434">
      <c r="A434" s="39">
        <f>_xlfn.XLOOKUP(17839,Trip[shape_id],Trip[shape_id],"Não encontrado")</f>
        <v/>
      </c>
      <c r="B434" s="40" t="n">
        <v>-23.498276</v>
      </c>
      <c r="C434" s="40" t="n">
        <v>-46.624023</v>
      </c>
      <c r="D434" s="40" t="n">
        <v>54</v>
      </c>
      <c r="E434" s="41" t="n">
        <v>3017.4934</v>
      </c>
    </row>
    <row r="435">
      <c r="A435" s="42">
        <f>_xlfn.XLOOKUP(17839,Trip[shape_id],Trip[shape_id],"Não encontrado")</f>
        <v/>
      </c>
      <c r="B435" s="43" t="n">
        <v>-23.498418</v>
      </c>
      <c r="C435" s="43" t="n">
        <v>-46.624136</v>
      </c>
      <c r="D435" s="43" t="n">
        <v>55</v>
      </c>
      <c r="E435" s="44" t="n">
        <v>3037.001</v>
      </c>
    </row>
    <row r="436">
      <c r="A436" s="39">
        <f>_xlfn.XLOOKUP(17839,Trip[shape_id],Trip[shape_id],"Não encontrado")</f>
        <v/>
      </c>
      <c r="B436" s="40" t="n">
        <v>-23.498561</v>
      </c>
      <c r="C436" s="40" t="n">
        <v>-46.62424</v>
      </c>
      <c r="D436" s="40" t="n">
        <v>56</v>
      </c>
      <c r="E436" s="41" t="n">
        <v>3056.071</v>
      </c>
    </row>
    <row r="437">
      <c r="A437" s="42">
        <f>_xlfn.XLOOKUP(17839,Trip[shape_id],Trip[shape_id],"Não encontrado")</f>
        <v/>
      </c>
      <c r="B437" s="43" t="n">
        <v>-23.498723</v>
      </c>
      <c r="C437" s="43" t="n">
        <v>-46.624339</v>
      </c>
      <c r="D437" s="43" t="n">
        <v>57</v>
      </c>
      <c r="E437" s="44" t="n">
        <v>3076.666</v>
      </c>
    </row>
    <row r="438">
      <c r="A438" s="39">
        <f>_xlfn.XLOOKUP(17839,Trip[shape_id],Trip[shape_id],"Não encontrado")</f>
        <v/>
      </c>
      <c r="B438" s="40" t="n">
        <v>-23.498824</v>
      </c>
      <c r="C438" s="40" t="n">
        <v>-46.624389</v>
      </c>
      <c r="D438" s="40" t="n">
        <v>58</v>
      </c>
      <c r="E438" s="41" t="n">
        <v>3088.9626</v>
      </c>
    </row>
    <row r="439">
      <c r="A439" s="42">
        <f>_xlfn.XLOOKUP(17839,Trip[shape_id],Trip[shape_id],"Não encontrado")</f>
        <v/>
      </c>
      <c r="B439" s="43" t="n">
        <v>-23.498927</v>
      </c>
      <c r="C439" s="43" t="n">
        <v>-46.624443</v>
      </c>
      <c r="D439" s="43" t="n">
        <v>59</v>
      </c>
      <c r="E439" s="44" t="n">
        <v>3101.6335</v>
      </c>
    </row>
    <row r="440">
      <c r="A440" s="39">
        <f>_xlfn.XLOOKUP(17839,Trip[shape_id],Trip[shape_id],"Não encontrado")</f>
        <v/>
      </c>
      <c r="B440" s="40" t="n">
        <v>-23.499172</v>
      </c>
      <c r="C440" s="40" t="n">
        <v>-46.624538</v>
      </c>
      <c r="D440" s="40" t="n">
        <v>60</v>
      </c>
      <c r="E440" s="41" t="n">
        <v>3130.4504</v>
      </c>
    </row>
    <row r="441">
      <c r="A441" s="42">
        <f>_xlfn.XLOOKUP(17839,Trip[shape_id],Trip[shape_id],"Não encontrado")</f>
        <v/>
      </c>
      <c r="B441" s="43" t="n">
        <v>-23.499275</v>
      </c>
      <c r="C441" s="43" t="n">
        <v>-46.624565</v>
      </c>
      <c r="D441" s="43" t="n">
        <v>61</v>
      </c>
      <c r="E441" s="44" t="n">
        <v>3142.1865</v>
      </c>
    </row>
    <row r="442">
      <c r="A442" s="39">
        <f>_xlfn.XLOOKUP(17839,Trip[shape_id],Trip[shape_id],"Não encontrado")</f>
        <v/>
      </c>
      <c r="B442" s="40" t="n">
        <v>-23.499405</v>
      </c>
      <c r="C442" s="40" t="n">
        <v>-46.624597</v>
      </c>
      <c r="D442" s="40" t="n">
        <v>62</v>
      </c>
      <c r="E442" s="41" t="n">
        <v>3156.9507</v>
      </c>
    </row>
    <row r="443">
      <c r="A443" s="42">
        <f>_xlfn.XLOOKUP(17839,Trip[shape_id],Trip[shape_id],"Não encontrado")</f>
        <v/>
      </c>
      <c r="B443" s="43" t="n">
        <v>-23.499565</v>
      </c>
      <c r="C443" s="43" t="n">
        <v>-46.62463</v>
      </c>
      <c r="D443" s="43" t="n">
        <v>63</v>
      </c>
      <c r="E443" s="44" t="n">
        <v>3174.9888</v>
      </c>
    </row>
    <row r="444">
      <c r="A444" s="39">
        <f>_xlfn.XLOOKUP(17839,Trip[shape_id],Trip[shape_id],"Não encontrado")</f>
        <v/>
      </c>
      <c r="B444" s="40" t="n">
        <v>-23.499712</v>
      </c>
      <c r="C444" s="40" t="n">
        <v>-46.624653</v>
      </c>
      <c r="D444" s="40" t="n">
        <v>64</v>
      </c>
      <c r="E444" s="41" t="n">
        <v>3191.4377</v>
      </c>
    </row>
    <row r="445">
      <c r="A445" s="42">
        <f>_xlfn.XLOOKUP(17839,Trip[shape_id],Trip[shape_id],"Não encontrado")</f>
        <v/>
      </c>
      <c r="B445" s="43" t="n">
        <v>-23.499936</v>
      </c>
      <c r="C445" s="43" t="n">
        <v>-46.624674</v>
      </c>
      <c r="D445" s="43" t="n">
        <v>65</v>
      </c>
      <c r="E445" s="44" t="n">
        <v>3216.3386</v>
      </c>
    </row>
    <row r="446">
      <c r="A446" s="39">
        <f>_xlfn.XLOOKUP(17839,Trip[shape_id],Trip[shape_id],"Não encontrado")</f>
        <v/>
      </c>
      <c r="B446" s="40" t="n">
        <v>-23.500274</v>
      </c>
      <c r="C446" s="40" t="n">
        <v>-46.624692</v>
      </c>
      <c r="D446" s="40" t="n">
        <v>66</v>
      </c>
      <c r="E446" s="41" t="n">
        <v>3253.8176</v>
      </c>
    </row>
    <row r="447">
      <c r="A447" s="42">
        <f>_xlfn.XLOOKUP(17839,Trip[shape_id],Trip[shape_id],"Não encontrado")</f>
        <v/>
      </c>
      <c r="B447" s="43" t="n">
        <v>-23.500933</v>
      </c>
      <c r="C447" s="43" t="n">
        <v>-46.624715</v>
      </c>
      <c r="D447" s="43" t="n">
        <v>67</v>
      </c>
      <c r="E447" s="44" t="n">
        <v>3326.8403</v>
      </c>
    </row>
    <row r="448">
      <c r="A448" s="39">
        <f>_xlfn.XLOOKUP(17839,Trip[shape_id],Trip[shape_id],"Não encontrado")</f>
        <v/>
      </c>
      <c r="B448" s="40" t="n">
        <v>-23.502553</v>
      </c>
      <c r="C448" s="40" t="n">
        <v>-46.624758</v>
      </c>
      <c r="D448" s="40" t="n">
        <v>68</v>
      </c>
      <c r="E448" s="41" t="n">
        <v>3506.3108</v>
      </c>
    </row>
    <row r="449">
      <c r="A449" s="42">
        <f>_xlfn.XLOOKUP(17839,Trip[shape_id],Trip[shape_id],"Não encontrado")</f>
        <v/>
      </c>
      <c r="B449" s="43" t="n">
        <v>-23.503832</v>
      </c>
      <c r="C449" s="43" t="n">
        <v>-46.624788</v>
      </c>
      <c r="D449" s="43" t="n">
        <v>69</v>
      </c>
      <c r="E449" s="44" t="n">
        <v>3841.2417</v>
      </c>
    </row>
    <row r="450">
      <c r="A450" s="39">
        <f>_xlfn.XLOOKUP(17839,Trip[shape_id],Trip[shape_id],"Não encontrado")</f>
        <v/>
      </c>
      <c r="B450" s="40" t="n">
        <v>-23.505576</v>
      </c>
      <c r="C450" s="40" t="n">
        <v>-46.624848</v>
      </c>
      <c r="D450" s="40" t="n">
        <v>70</v>
      </c>
      <c r="E450" s="41" t="n">
        <v>3931.5371</v>
      </c>
    </row>
    <row r="451">
      <c r="A451" s="42">
        <f>_xlfn.XLOOKUP(17839,Trip[shape_id],Trip[shape_id],"Não encontrado")</f>
        <v/>
      </c>
      <c r="B451" s="43" t="n">
        <v>-23.506391</v>
      </c>
      <c r="C451" s="43" t="n">
        <v>-46.624872</v>
      </c>
      <c r="D451" s="43" t="n">
        <v>71</v>
      </c>
      <c r="E451" s="44" t="n">
        <v>3994.3542</v>
      </c>
    </row>
    <row r="452">
      <c r="A452" s="39">
        <f>_xlfn.XLOOKUP(17839,Trip[shape_id],Trip[shape_id],"Não encontrado")</f>
        <v/>
      </c>
      <c r="B452" s="40" t="n">
        <v>-23.506958</v>
      </c>
      <c r="C452" s="40" t="n">
        <v>-46.624888</v>
      </c>
      <c r="D452" s="40" t="n">
        <v>72</v>
      </c>
      <c r="E452" s="41" t="n">
        <v>4142.6104</v>
      </c>
    </row>
    <row r="453">
      <c r="A453" s="42">
        <f>_xlfn.XLOOKUP(17839,Trip[shape_id],Trip[shape_id],"Não encontrado")</f>
        <v/>
      </c>
      <c r="B453" s="43" t="n">
        <v>-23.508296</v>
      </c>
      <c r="C453" s="43" t="n">
        <v>-46.624933</v>
      </c>
      <c r="D453" s="43" t="n">
        <v>73</v>
      </c>
      <c r="E453" s="44" t="n">
        <v>4279.9912</v>
      </c>
    </row>
    <row r="454">
      <c r="A454" s="39">
        <f>_xlfn.XLOOKUP(17839,Trip[shape_id],Trip[shape_id],"Não encontrado")</f>
        <v/>
      </c>
      <c r="B454" s="40" t="n">
        <v>-23.509536</v>
      </c>
      <c r="C454" s="40" t="n">
        <v>-46.624969</v>
      </c>
      <c r="D454" s="40" t="n">
        <v>74</v>
      </c>
      <c r="E454" s="41" t="n">
        <v>4279.9912</v>
      </c>
    </row>
    <row r="455">
      <c r="A455" s="42">
        <f>_xlfn.XLOOKUP(17839,Trip[shape_id],Trip[shape_id],"Não encontrado")</f>
        <v/>
      </c>
      <c r="B455" s="43" t="n">
        <v>-23.510939</v>
      </c>
      <c r="C455" s="43" t="n">
        <v>-46.62499</v>
      </c>
      <c r="D455" s="43" t="n">
        <v>75</v>
      </c>
      <c r="E455" s="44" t="n">
        <v>4470.5361</v>
      </c>
    </row>
    <row r="456">
      <c r="A456" s="39">
        <f>_xlfn.XLOOKUP(17839,Trip[shape_id],Trip[shape_id],"Não encontrado")</f>
        <v/>
      </c>
      <c r="B456" s="40" t="n">
        <v>-23.511256</v>
      </c>
      <c r="C456" s="40" t="n">
        <v>-46.625006</v>
      </c>
      <c r="D456" s="40" t="n">
        <v>76</v>
      </c>
      <c r="E456" s="41" t="n">
        <v>4516.4238</v>
      </c>
    </row>
    <row r="457">
      <c r="A457" s="42">
        <f>_xlfn.XLOOKUP(17839,Trip[shape_id],Trip[shape_id],"Não encontrado")</f>
        <v/>
      </c>
      <c r="B457" s="43" t="n">
        <v>-23.51167</v>
      </c>
      <c r="C457" s="43" t="n">
        <v>-46.625024</v>
      </c>
      <c r="D457" s="43" t="n">
        <v>77</v>
      </c>
      <c r="E457" s="44" t="n">
        <v>4659.2495</v>
      </c>
    </row>
    <row r="458">
      <c r="A458" s="39">
        <f>_xlfn.XLOOKUP(17839,Trip[shape_id],Trip[shape_id],"Não encontrado")</f>
        <v/>
      </c>
      <c r="B458" s="40" t="n">
        <v>-23.512959</v>
      </c>
      <c r="C458" s="40" t="n">
        <v>-46.625067</v>
      </c>
      <c r="D458" s="40" t="n">
        <v>78</v>
      </c>
      <c r="E458" s="41" t="n">
        <v>4684.6216</v>
      </c>
    </row>
    <row r="459">
      <c r="A459" s="42">
        <f>_xlfn.XLOOKUP(17839,Trip[shape_id],Trip[shape_id],"Não encontrado")</f>
        <v/>
      </c>
      <c r="B459" s="43" t="n">
        <v>-23.513188</v>
      </c>
      <c r="C459" s="43" t="n">
        <v>-46.625074</v>
      </c>
      <c r="D459" s="43" t="n">
        <v>79</v>
      </c>
      <c r="E459" s="44" t="n">
        <v>4829.5283</v>
      </c>
    </row>
    <row r="460">
      <c r="A460" s="39">
        <f>_xlfn.XLOOKUP(17839,Trip[shape_id],Trip[shape_id],"Não encontrado")</f>
        <v/>
      </c>
      <c r="B460" s="40" t="n">
        <v>-23.514496</v>
      </c>
      <c r="C460" s="40" t="n">
        <v>-46.625109</v>
      </c>
      <c r="D460" s="40" t="n">
        <v>80</v>
      </c>
      <c r="E460" s="41" t="n">
        <v>4891.1226</v>
      </c>
    </row>
    <row r="461">
      <c r="A461" s="42">
        <f>_xlfn.XLOOKUP(17839,Trip[shape_id],Trip[shape_id],"Não encontrado")</f>
        <v/>
      </c>
      <c r="B461" s="43" t="n">
        <v>-23.515052</v>
      </c>
      <c r="C461" s="43" t="n">
        <v>-46.625123</v>
      </c>
      <c r="D461" s="43" t="n">
        <v>81</v>
      </c>
      <c r="E461" s="44" t="n">
        <v>4993.9771</v>
      </c>
    </row>
    <row r="462">
      <c r="A462" s="39">
        <f>_xlfn.XLOOKUP(17839,Trip[shape_id],Trip[shape_id],"Não encontrado")</f>
        <v/>
      </c>
      <c r="B462" s="40" t="n">
        <v>-23.51598</v>
      </c>
      <c r="C462" s="40" t="n">
        <v>-46.625162</v>
      </c>
      <c r="D462" s="40" t="n">
        <v>82</v>
      </c>
      <c r="E462" s="41" t="n">
        <v>5023.7705</v>
      </c>
    </row>
    <row r="463">
      <c r="A463" s="42">
        <f>_xlfn.XLOOKUP(17839,Trip[shape_id],Trip[shape_id],"Não encontrado")</f>
        <v/>
      </c>
      <c r="B463" s="43" t="n">
        <v>-23.516249</v>
      </c>
      <c r="C463" s="43" t="n">
        <v>-46.625165</v>
      </c>
      <c r="D463" s="43" t="n">
        <v>83</v>
      </c>
      <c r="E463" s="44" t="n">
        <v>5023.7705</v>
      </c>
    </row>
    <row r="464">
      <c r="A464" s="39">
        <f>_xlfn.XLOOKUP(17839,Trip[shape_id],Trip[shape_id],"Não encontrado")</f>
        <v/>
      </c>
      <c r="B464" s="40" t="n">
        <v>-23.516479</v>
      </c>
      <c r="C464" s="40" t="n">
        <v>-46.625179</v>
      </c>
      <c r="D464" s="40" t="n">
        <v>84</v>
      </c>
      <c r="E464" s="41" t="n">
        <v>5049.2832</v>
      </c>
    </row>
    <row r="465">
      <c r="A465" s="42">
        <f>_xlfn.XLOOKUP(17839,Trip[shape_id],Trip[shape_id],"Não encontrado")</f>
        <v/>
      </c>
      <c r="B465" s="43" t="n">
        <v>-23.516952</v>
      </c>
      <c r="C465" s="43" t="n">
        <v>-46.625185</v>
      </c>
      <c r="D465" s="43" t="n">
        <v>85</v>
      </c>
      <c r="E465" s="44" t="n">
        <v>5101.6724</v>
      </c>
    </row>
    <row r="466">
      <c r="A466" s="39">
        <f>_xlfn.XLOOKUP(17839,Trip[shape_id],Trip[shape_id],"Não encontrado")</f>
        <v/>
      </c>
      <c r="B466" s="40" t="n">
        <v>-23.518257</v>
      </c>
      <c r="C466" s="40" t="n">
        <v>-46.625219</v>
      </c>
      <c r="D466" s="40" t="n">
        <v>86</v>
      </c>
      <c r="E466" s="41" t="n">
        <v>5246.2446</v>
      </c>
    </row>
    <row r="467">
      <c r="A467" s="42">
        <f>_xlfn.XLOOKUP(17839,Trip[shape_id],Trip[shape_id],"Não encontrado")</f>
        <v/>
      </c>
      <c r="B467" s="43" t="n">
        <v>-23.519267</v>
      </c>
      <c r="C467" s="43" t="n">
        <v>-46.625244</v>
      </c>
      <c r="D467" s="43" t="n">
        <v>87</v>
      </c>
      <c r="E467" s="44" t="n">
        <v>5358.1328</v>
      </c>
    </row>
    <row r="468">
      <c r="A468" s="39">
        <f>_xlfn.XLOOKUP(17839,Trip[shape_id],Trip[shape_id],"Não encontrado")</f>
        <v/>
      </c>
      <c r="B468" s="40" t="n">
        <v>-23.520231</v>
      </c>
      <c r="C468" s="40" t="n">
        <v>-46.625273</v>
      </c>
      <c r="D468" s="40" t="n">
        <v>88</v>
      </c>
      <c r="E468" s="41" t="n">
        <v>5464.938</v>
      </c>
    </row>
    <row r="469">
      <c r="A469" s="42">
        <f>_xlfn.XLOOKUP(17839,Trip[shape_id],Trip[shape_id],"Não encontrado")</f>
        <v/>
      </c>
      <c r="B469" s="43" t="n">
        <v>-23.520947</v>
      </c>
      <c r="C469" s="43" t="n">
        <v>-46.625305</v>
      </c>
      <c r="D469" s="43" t="n">
        <v>89</v>
      </c>
      <c r="E469" s="44" t="n">
        <v>5544.3032</v>
      </c>
    </row>
    <row r="470">
      <c r="A470" s="39">
        <f>_xlfn.XLOOKUP(17839,Trip[shape_id],Trip[shape_id],"Não encontrado")</f>
        <v/>
      </c>
      <c r="B470" s="40" t="n">
        <v>-23.521535</v>
      </c>
      <c r="C470" s="40" t="n">
        <v>-46.625328</v>
      </c>
      <c r="D470" s="40" t="n">
        <v>90</v>
      </c>
      <c r="E470" s="41" t="n">
        <v>5609.4673</v>
      </c>
    </row>
    <row r="471">
      <c r="A471" s="42">
        <f>_xlfn.XLOOKUP(17839,Trip[shape_id],Trip[shape_id],"Não encontrado")</f>
        <v/>
      </c>
      <c r="B471" s="43" t="n">
        <v>-23.521778</v>
      </c>
      <c r="C471" s="43" t="n">
        <v>-46.625342</v>
      </c>
      <c r="D471" s="43" t="n">
        <v>91</v>
      </c>
      <c r="E471" s="44" t="n">
        <v>5636.418</v>
      </c>
    </row>
    <row r="472">
      <c r="A472" s="39">
        <f>_xlfn.XLOOKUP(17839,Trip[shape_id],Trip[shape_id],"Não encontrado")</f>
        <v/>
      </c>
      <c r="B472" s="40" t="n">
        <v>-23.521881</v>
      </c>
      <c r="C472" s="40" t="n">
        <v>-46.625349</v>
      </c>
      <c r="D472" s="40" t="n">
        <v>92</v>
      </c>
      <c r="E472" s="41" t="n">
        <v>5647.8477</v>
      </c>
    </row>
    <row r="473">
      <c r="A473" s="42">
        <f>_xlfn.XLOOKUP(17839,Trip[shape_id],Trip[shape_id],"Não encontrado")</f>
        <v/>
      </c>
      <c r="B473" s="43" t="n">
        <v>-23.521991</v>
      </c>
      <c r="C473" s="43" t="n">
        <v>-46.625363</v>
      </c>
      <c r="D473" s="43" t="n">
        <v>93</v>
      </c>
      <c r="E473" s="44" t="n">
        <v>5660.1138</v>
      </c>
    </row>
    <row r="474">
      <c r="A474" s="39">
        <f>_xlfn.XLOOKUP(17839,Trip[shape_id],Trip[shape_id],"Não encontrado")</f>
        <v/>
      </c>
      <c r="B474" s="40" t="n">
        <v>-23.522258</v>
      </c>
      <c r="C474" s="40" t="n">
        <v>-46.625383</v>
      </c>
      <c r="D474" s="40" t="n">
        <v>94</v>
      </c>
      <c r="E474" s="41" t="n">
        <v>5689.7549</v>
      </c>
    </row>
    <row r="475">
      <c r="A475" s="42">
        <f>_xlfn.XLOOKUP(17839,Trip[shape_id],Trip[shape_id],"Não encontrado")</f>
        <v/>
      </c>
      <c r="B475" s="43" t="n">
        <v>-23.522433</v>
      </c>
      <c r="C475" s="43" t="n">
        <v>-46.625406</v>
      </c>
      <c r="D475" s="43" t="n">
        <v>95</v>
      </c>
      <c r="E475" s="44" t="n">
        <v>5709.2783</v>
      </c>
    </row>
    <row r="476">
      <c r="A476" s="39">
        <f>_xlfn.XLOOKUP(17839,Trip[shape_id],Trip[shape_id],"Não encontrado")</f>
        <v/>
      </c>
      <c r="B476" s="40" t="n">
        <v>-23.522734</v>
      </c>
      <c r="C476" s="40" t="n">
        <v>-46.625504</v>
      </c>
      <c r="D476" s="40" t="n">
        <v>96</v>
      </c>
      <c r="E476" s="41" t="n">
        <v>5744.0845</v>
      </c>
    </row>
    <row r="477">
      <c r="A477" s="42">
        <f>_xlfn.XLOOKUP(17839,Trip[shape_id],Trip[shape_id],"Não encontrado")</f>
        <v/>
      </c>
      <c r="B477" s="43" t="n">
        <v>-23.52305</v>
      </c>
      <c r="C477" s="43" t="n">
        <v>-46.625618</v>
      </c>
      <c r="D477" s="43" t="n">
        <v>97</v>
      </c>
      <c r="E477" s="44" t="n">
        <v>5780.9673</v>
      </c>
    </row>
    <row r="478">
      <c r="A478" s="39">
        <f>_xlfn.XLOOKUP(17839,Trip[shape_id],Trip[shape_id],"Não encontrado")</f>
        <v/>
      </c>
      <c r="B478" s="40" t="n">
        <v>-23.523445</v>
      </c>
      <c r="C478" s="40" t="n">
        <v>-46.625874</v>
      </c>
      <c r="D478" s="40" t="n">
        <v>98</v>
      </c>
      <c r="E478" s="41" t="n">
        <v>5831.9307</v>
      </c>
    </row>
    <row r="479">
      <c r="A479" s="42">
        <f>_xlfn.XLOOKUP(17839,Trip[shape_id],Trip[shape_id],"Não encontrado")</f>
        <v/>
      </c>
      <c r="B479" s="43" t="n">
        <v>-23.523608</v>
      </c>
      <c r="C479" s="43" t="n">
        <v>-46.625996</v>
      </c>
      <c r="D479" s="43" t="n">
        <v>99</v>
      </c>
      <c r="E479" s="44" t="n">
        <v>5853.8652</v>
      </c>
    </row>
    <row r="480">
      <c r="A480" s="39">
        <f>_xlfn.XLOOKUP(17839,Trip[shape_id],Trip[shape_id],"Não encontrado")</f>
        <v/>
      </c>
      <c r="B480" s="40" t="n">
        <v>-23.5237</v>
      </c>
      <c r="C480" s="40" t="n">
        <v>-46.626082</v>
      </c>
      <c r="D480" s="40" t="n">
        <v>100</v>
      </c>
      <c r="E480" s="41" t="n">
        <v>5867.3174</v>
      </c>
    </row>
    <row r="481">
      <c r="A481" s="42">
        <f>_xlfn.XLOOKUP(17839,Trip[shape_id],Trip[shape_id],"Não encontrado")</f>
        <v/>
      </c>
      <c r="B481" s="43" t="n">
        <v>-23.523875</v>
      </c>
      <c r="C481" s="43" t="n">
        <v>-46.626245</v>
      </c>
      <c r="D481" s="43" t="n">
        <v>101</v>
      </c>
      <c r="E481" s="44" t="n">
        <v>5892.8662</v>
      </c>
    </row>
    <row r="482">
      <c r="A482" s="39">
        <f>_xlfn.XLOOKUP(17839,Trip[shape_id],Trip[shape_id],"Não encontrado")</f>
        <v/>
      </c>
      <c r="B482" s="40" t="n">
        <v>-23.52394</v>
      </c>
      <c r="C482" s="40" t="n">
        <v>-46.626339</v>
      </c>
      <c r="D482" s="40" t="n">
        <v>102</v>
      </c>
      <c r="E482" s="41" t="n">
        <v>5904.8652</v>
      </c>
    </row>
    <row r="483">
      <c r="A483" s="42">
        <f>_xlfn.XLOOKUP(17839,Trip[shape_id],Trip[shape_id],"Não encontrado")</f>
        <v/>
      </c>
      <c r="B483" s="43" t="n">
        <v>-23.524044</v>
      </c>
      <c r="C483" s="43" t="n">
        <v>-46.626477</v>
      </c>
      <c r="D483" s="43" t="n">
        <v>103</v>
      </c>
      <c r="E483" s="44" t="n">
        <v>5923.0664</v>
      </c>
    </row>
    <row r="484">
      <c r="A484" s="39">
        <f>_xlfn.XLOOKUP(17839,Trip[shape_id],Trip[shape_id],"Não encontrado")</f>
        <v/>
      </c>
      <c r="B484" s="40" t="n">
        <v>-23.524137</v>
      </c>
      <c r="C484" s="40" t="n">
        <v>-46.626633</v>
      </c>
      <c r="D484" s="40" t="n">
        <v>104</v>
      </c>
      <c r="E484" s="41" t="n">
        <v>5942.0371</v>
      </c>
    </row>
    <row r="485">
      <c r="A485" s="42">
        <f>_xlfn.XLOOKUP(17839,Trip[shape_id],Trip[shape_id],"Não encontrado")</f>
        <v/>
      </c>
      <c r="B485" s="43" t="n">
        <v>-23.524259</v>
      </c>
      <c r="C485" s="43" t="n">
        <v>-46.626847</v>
      </c>
      <c r="D485" s="43" t="n">
        <v>105</v>
      </c>
      <c r="E485" s="44" t="n">
        <v>5967.731</v>
      </c>
    </row>
    <row r="486">
      <c r="A486" s="39">
        <f>_xlfn.XLOOKUP(17839,Trip[shape_id],Trip[shape_id],"Não encontrado")</f>
        <v/>
      </c>
      <c r="B486" s="40" t="n">
        <v>-23.524362</v>
      </c>
      <c r="C486" s="40" t="n">
        <v>-46.627028</v>
      </c>
      <c r="D486" s="40" t="n">
        <v>106</v>
      </c>
      <c r="E486" s="41" t="n">
        <v>5989.4517</v>
      </c>
    </row>
    <row r="487">
      <c r="A487" s="42">
        <f>_xlfn.XLOOKUP(17839,Trip[shape_id],Trip[shape_id],"Não encontrado")</f>
        <v/>
      </c>
      <c r="B487" s="43" t="n">
        <v>-23.524425</v>
      </c>
      <c r="C487" s="43" t="n">
        <v>-46.627171</v>
      </c>
      <c r="D487" s="43" t="n">
        <v>107</v>
      </c>
      <c r="E487" s="44" t="n">
        <v>6005.6367</v>
      </c>
    </row>
    <row r="488">
      <c r="A488" s="39">
        <f>_xlfn.XLOOKUP(17839,Trip[shape_id],Trip[shape_id],"Não encontrado")</f>
        <v/>
      </c>
      <c r="B488" s="40" t="n">
        <v>-23.524495</v>
      </c>
      <c r="C488" s="40" t="n">
        <v>-46.627339</v>
      </c>
      <c r="D488" s="40" t="n">
        <v>108</v>
      </c>
      <c r="E488" s="41" t="n">
        <v>6024.4639</v>
      </c>
    </row>
    <row r="489">
      <c r="A489" s="42">
        <f>_xlfn.XLOOKUP(17839,Trip[shape_id],Trip[shape_id],"Não encontrado")</f>
        <v/>
      </c>
      <c r="B489" s="43" t="n">
        <v>-23.524736</v>
      </c>
      <c r="C489" s="43" t="n">
        <v>-46.627957</v>
      </c>
      <c r="D489" s="43" t="n">
        <v>109</v>
      </c>
      <c r="E489" s="44" t="n">
        <v>6092.9873</v>
      </c>
    </row>
    <row r="490">
      <c r="A490" s="39">
        <f>_xlfn.XLOOKUP(17839,Trip[shape_id],Trip[shape_id],"Não encontrado")</f>
        <v/>
      </c>
      <c r="B490" s="40" t="n">
        <v>-23.524793</v>
      </c>
      <c r="C490" s="40" t="n">
        <v>-46.628102</v>
      </c>
      <c r="D490" s="40" t="n">
        <v>110</v>
      </c>
      <c r="E490" s="41" t="n">
        <v>6109.085</v>
      </c>
    </row>
    <row r="491">
      <c r="A491" s="42">
        <f>_xlfn.XLOOKUP(17839,Trip[shape_id],Trip[shape_id],"Não encontrado")</f>
        <v/>
      </c>
      <c r="B491" s="43" t="n">
        <v>-23.524979</v>
      </c>
      <c r="C491" s="43" t="n">
        <v>-46.628562</v>
      </c>
      <c r="D491" s="43" t="n">
        <v>111</v>
      </c>
      <c r="E491" s="44" t="n">
        <v>6160.3794</v>
      </c>
    </row>
    <row r="492">
      <c r="A492" s="39">
        <f>_xlfn.XLOOKUP(17839,Trip[shape_id],Trip[shape_id],"Não encontrado")</f>
        <v/>
      </c>
      <c r="B492" s="40" t="n">
        <v>-23.525015</v>
      </c>
      <c r="C492" s="40" t="n">
        <v>-46.628633</v>
      </c>
      <c r="D492" s="40" t="n">
        <v>112</v>
      </c>
      <c r="E492" s="41" t="n">
        <v>6168.6538</v>
      </c>
    </row>
    <row r="493">
      <c r="A493" s="42">
        <f>_xlfn.XLOOKUP(17839,Trip[shape_id],Trip[shape_id],"Não encontrado")</f>
        <v/>
      </c>
      <c r="B493" s="43" t="n">
        <v>-23.525177</v>
      </c>
      <c r="C493" s="43" t="n">
        <v>-46.62892</v>
      </c>
      <c r="D493" s="43" t="n">
        <v>113</v>
      </c>
      <c r="E493" s="44" t="n">
        <v>6203.0181</v>
      </c>
    </row>
    <row r="494">
      <c r="A494" s="39">
        <f>_xlfn.XLOOKUP(17839,Trip[shape_id],Trip[shape_id],"Não encontrado")</f>
        <v/>
      </c>
      <c r="B494" s="40" t="n">
        <v>-23.525324</v>
      </c>
      <c r="C494" s="40" t="n">
        <v>-46.629143</v>
      </c>
      <c r="D494" s="40" t="n">
        <v>114</v>
      </c>
      <c r="E494" s="41" t="n">
        <v>6231.0122</v>
      </c>
    </row>
    <row r="495">
      <c r="A495" s="42">
        <f>_xlfn.XLOOKUP(17839,Trip[shape_id],Trip[shape_id],"Não encontrado")</f>
        <v/>
      </c>
      <c r="B495" s="43" t="n">
        <v>-23.525447</v>
      </c>
      <c r="C495" s="43" t="n">
        <v>-46.629322</v>
      </c>
      <c r="D495" s="43" t="n">
        <v>115</v>
      </c>
      <c r="E495" s="44" t="n">
        <v>6253.8096</v>
      </c>
    </row>
    <row r="496">
      <c r="A496" s="39">
        <f>_xlfn.XLOOKUP(17839,Trip[shape_id],Trip[shape_id],"Não encontrado")</f>
        <v/>
      </c>
      <c r="B496" s="40" t="n">
        <v>-23.525857</v>
      </c>
      <c r="C496" s="40" t="n">
        <v>-46.629812</v>
      </c>
      <c r="D496" s="40" t="n">
        <v>116</v>
      </c>
      <c r="E496" s="41" t="n">
        <v>6321.3804</v>
      </c>
    </row>
    <row r="497">
      <c r="A497" s="42">
        <f>_xlfn.XLOOKUP(17839,Trip[shape_id],Trip[shape_id],"Não encontrado")</f>
        <v/>
      </c>
      <c r="B497" s="43" t="n">
        <v>-23.526006</v>
      </c>
      <c r="C497" s="43" t="n">
        <v>-46.629965</v>
      </c>
      <c r="D497" s="43" t="n">
        <v>117</v>
      </c>
      <c r="E497" s="44" t="n">
        <v>6344.1055</v>
      </c>
    </row>
    <row r="498">
      <c r="A498" s="39">
        <f>_xlfn.XLOOKUP(17839,Trip[shape_id],Trip[shape_id],"Não encontrado")</f>
        <v/>
      </c>
      <c r="B498" s="40" t="n">
        <v>-23.526187</v>
      </c>
      <c r="C498" s="40" t="n">
        <v>-46.630121</v>
      </c>
      <c r="D498" s="40" t="n">
        <v>118</v>
      </c>
      <c r="E498" s="41" t="n">
        <v>6369.7104</v>
      </c>
    </row>
    <row r="499">
      <c r="A499" s="42">
        <f>_xlfn.XLOOKUP(17839,Trip[shape_id],Trip[shape_id],"Não encontrado")</f>
        <v/>
      </c>
      <c r="B499" s="43" t="n">
        <v>-23.526375</v>
      </c>
      <c r="C499" s="43" t="n">
        <v>-46.630278</v>
      </c>
      <c r="D499" s="43" t="n">
        <v>119</v>
      </c>
      <c r="E499" s="44" t="n">
        <v>6395.9893</v>
      </c>
    </row>
    <row r="500">
      <c r="A500" s="39">
        <f>_xlfn.XLOOKUP(17839,Trip[shape_id],Trip[shape_id],"Não encontrado")</f>
        <v/>
      </c>
      <c r="B500" s="40" t="n">
        <v>-23.526455</v>
      </c>
      <c r="C500" s="40" t="n">
        <v>-46.630336</v>
      </c>
      <c r="D500" s="40" t="n">
        <v>120</v>
      </c>
      <c r="E500" s="41" t="n">
        <v>6406.647</v>
      </c>
    </row>
    <row r="501">
      <c r="A501" s="42">
        <f>_xlfn.XLOOKUP(17839,Trip[shape_id],Trip[shape_id],"Não encontrado")</f>
        <v/>
      </c>
      <c r="B501" s="43" t="n">
        <v>-23.526549</v>
      </c>
      <c r="C501" s="43" t="n">
        <v>-46.630401</v>
      </c>
      <c r="D501" s="43" t="n">
        <v>121</v>
      </c>
      <c r="E501" s="44" t="n">
        <v>6418.9937</v>
      </c>
    </row>
    <row r="502">
      <c r="A502" s="39">
        <f>_xlfn.XLOOKUP(17839,Trip[shape_id],Trip[shape_id],"Não encontrado")</f>
        <v/>
      </c>
      <c r="B502" s="40" t="n">
        <v>-23.526752</v>
      </c>
      <c r="C502" s="40" t="n">
        <v>-46.630529</v>
      </c>
      <c r="D502" s="40" t="n">
        <v>122</v>
      </c>
      <c r="E502" s="41" t="n">
        <v>6445</v>
      </c>
    </row>
    <row r="503">
      <c r="A503" s="42">
        <f>_xlfn.XLOOKUP(17839,Trip[shape_id],Trip[shape_id],"Não encontrado")</f>
        <v/>
      </c>
      <c r="B503" s="43" t="n">
        <v>-23.527327</v>
      </c>
      <c r="C503" s="43" t="n">
        <v>-46.630823</v>
      </c>
      <c r="D503" s="43" t="n">
        <v>123</v>
      </c>
      <c r="E503" s="44" t="n">
        <v>6515.4048</v>
      </c>
    </row>
    <row r="504">
      <c r="A504" s="39">
        <f>_xlfn.XLOOKUP(17839,Trip[shape_id],Trip[shape_id],"Não encontrado")</f>
        <v/>
      </c>
      <c r="B504" s="40" t="n">
        <v>-23.527601</v>
      </c>
      <c r="C504" s="40" t="n">
        <v>-46.630956</v>
      </c>
      <c r="D504" s="40" t="n">
        <v>124</v>
      </c>
      <c r="E504" s="41" t="n">
        <v>6548.6514</v>
      </c>
    </row>
    <row r="505">
      <c r="A505" s="42">
        <f>_xlfn.XLOOKUP(17839,Trip[shape_id],Trip[shape_id],"Não encontrado")</f>
        <v/>
      </c>
      <c r="B505" s="43" t="n">
        <v>-23.528168</v>
      </c>
      <c r="C505" s="43" t="n">
        <v>-46.631232</v>
      </c>
      <c r="D505" s="43" t="n">
        <v>125</v>
      </c>
      <c r="E505" s="44" t="n">
        <v>6617.4824</v>
      </c>
    </row>
    <row r="506">
      <c r="A506" s="39">
        <f>_xlfn.XLOOKUP(17839,Trip[shape_id],Trip[shape_id],"Não encontrado")</f>
        <v/>
      </c>
      <c r="B506" s="40" t="n">
        <v>-23.528742</v>
      </c>
      <c r="C506" s="40" t="n">
        <v>-46.631512</v>
      </c>
      <c r="D506" s="40" t="n">
        <v>126</v>
      </c>
      <c r="E506" s="41" t="n">
        <v>6687.188</v>
      </c>
    </row>
    <row r="507">
      <c r="A507" s="42">
        <f>_xlfn.XLOOKUP(17839,Trip[shape_id],Trip[shape_id],"Não encontrado")</f>
        <v/>
      </c>
      <c r="B507" s="43" t="n">
        <v>-23.529484</v>
      </c>
      <c r="C507" s="43" t="n">
        <v>-46.631758</v>
      </c>
      <c r="D507" s="43" t="n">
        <v>127</v>
      </c>
      <c r="E507" s="44" t="n">
        <v>6773.1196</v>
      </c>
    </row>
    <row r="508">
      <c r="A508" s="39">
        <f>_xlfn.XLOOKUP(17839,Trip[shape_id],Trip[shape_id],"Não encontrado")</f>
        <v/>
      </c>
      <c r="B508" s="40" t="n">
        <v>-23.530986</v>
      </c>
      <c r="C508" s="40" t="n">
        <v>-46.632377</v>
      </c>
      <c r="D508" s="40" t="n">
        <v>128</v>
      </c>
      <c r="E508" s="41" t="n">
        <v>6951.0732</v>
      </c>
    </row>
    <row r="509">
      <c r="A509" s="42">
        <f>_xlfn.XLOOKUP(17839,Trip[shape_id],Trip[shape_id],"Não encontrado")</f>
        <v/>
      </c>
      <c r="B509" s="43" t="n">
        <v>-23.532656</v>
      </c>
      <c r="C509" s="43" t="n">
        <v>-46.632898</v>
      </c>
      <c r="D509" s="43" t="n">
        <v>129</v>
      </c>
      <c r="E509" s="44" t="n">
        <v>7143.5283</v>
      </c>
    </row>
    <row r="510">
      <c r="A510" s="39">
        <f>_xlfn.XLOOKUP(17839,Trip[shape_id],Trip[shape_id],"Não encontrado")</f>
        <v/>
      </c>
      <c r="B510" s="40" t="n">
        <v>-23.533727</v>
      </c>
      <c r="C510" s="40" t="n">
        <v>-46.633214</v>
      </c>
      <c r="D510" s="40" t="n">
        <v>130</v>
      </c>
      <c r="E510" s="41" t="n">
        <v>7266.4541</v>
      </c>
    </row>
    <row r="511">
      <c r="A511" s="42">
        <f>_xlfn.XLOOKUP(17839,Trip[shape_id],Trip[shape_id],"Não encontrado")</f>
        <v/>
      </c>
      <c r="B511" s="43" t="n">
        <v>-23.534834</v>
      </c>
      <c r="C511" s="43" t="n">
        <v>-46.633484</v>
      </c>
      <c r="D511" s="43" t="n">
        <v>131</v>
      </c>
      <c r="E511" s="44" t="n">
        <v>7392.1177</v>
      </c>
    </row>
    <row r="512">
      <c r="A512" s="39">
        <f>_xlfn.XLOOKUP(17839,Trip[shape_id],Trip[shape_id],"Não encontrado")</f>
        <v/>
      </c>
      <c r="B512" s="40" t="n">
        <v>-23.535876</v>
      </c>
      <c r="C512" s="40" t="n">
        <v>-46.634123</v>
      </c>
      <c r="D512" s="40" t="n">
        <v>132</v>
      </c>
      <c r="E512" s="41" t="n">
        <v>7524.6904</v>
      </c>
    </row>
    <row r="513">
      <c r="A513" s="42">
        <f>_xlfn.XLOOKUP(17839,Trip[shape_id],Trip[shape_id],"Não encontrado")</f>
        <v/>
      </c>
      <c r="B513" s="43" t="n">
        <v>-23.535167</v>
      </c>
      <c r="C513" s="43" t="n">
        <v>-46.635349</v>
      </c>
      <c r="D513" s="43" t="n">
        <v>133</v>
      </c>
      <c r="E513" s="44" t="n">
        <v>7672.4697</v>
      </c>
    </row>
    <row r="514">
      <c r="A514" s="39">
        <f>_xlfn.XLOOKUP(17839,Trip[shape_id],Trip[shape_id],"Não encontrado")</f>
        <v/>
      </c>
      <c r="B514" s="40" t="n">
        <v>-23.535936</v>
      </c>
      <c r="C514" s="40" t="n">
        <v>-46.634297</v>
      </c>
      <c r="D514" s="40" t="n">
        <v>134</v>
      </c>
      <c r="E514" s="41" t="n">
        <v>7809.5586</v>
      </c>
    </row>
    <row r="515">
      <c r="A515" s="42">
        <f>_xlfn.XLOOKUP(17839,Trip[shape_id],Trip[shape_id],"Não encontrado")</f>
        <v/>
      </c>
      <c r="B515" s="43" t="n">
        <v>-23.53602</v>
      </c>
      <c r="C515" s="43" t="n">
        <v>-46.634184</v>
      </c>
      <c r="D515" s="43" t="n">
        <v>135</v>
      </c>
      <c r="E515" s="44" t="n">
        <v>7824.3809</v>
      </c>
    </row>
    <row r="516">
      <c r="A516" s="39">
        <f>_xlfn.XLOOKUP(17839,Trip[shape_id],Trip[shape_id],"Não encontrado")</f>
        <v/>
      </c>
      <c r="B516" s="40" t="n">
        <v>-23.536641</v>
      </c>
      <c r="C516" s="40" t="n">
        <v>-46.63429</v>
      </c>
      <c r="D516" s="40" t="n">
        <v>136</v>
      </c>
      <c r="E516" s="41" t="n">
        <v>7894.0039</v>
      </c>
    </row>
    <row r="517">
      <c r="A517" s="42">
        <f>_xlfn.XLOOKUP(17839,Trip[shape_id],Trip[shape_id],"Não encontrado")</f>
        <v/>
      </c>
      <c r="B517" s="43" t="n">
        <v>-23.537995</v>
      </c>
      <c r="C517" s="43" t="n">
        <v>-46.633759</v>
      </c>
      <c r="D517" s="43" t="n">
        <v>137</v>
      </c>
      <c r="E517" s="44" t="n">
        <v>8053.4634</v>
      </c>
    </row>
    <row r="518">
      <c r="A518" s="39">
        <f>_xlfn.XLOOKUP(17839,Trip[shape_id],Trip[shape_id],"Não encontrado")</f>
        <v/>
      </c>
      <c r="B518" s="40" t="n">
        <v>-23.538895</v>
      </c>
      <c r="C518" s="40" t="n">
        <v>-46.633844</v>
      </c>
      <c r="D518" s="40" t="n">
        <v>138</v>
      </c>
      <c r="E518" s="41" t="n">
        <v>8153.5171</v>
      </c>
    </row>
    <row r="519">
      <c r="A519" s="42">
        <f>_xlfn.XLOOKUP(17839,Trip[shape_id],Trip[shape_id],"Não encontrado")</f>
        <v/>
      </c>
      <c r="B519" s="43" t="n">
        <v>-23.539434</v>
      </c>
      <c r="C519" s="43" t="n">
        <v>-46.633899</v>
      </c>
      <c r="D519" s="43" t="n">
        <v>139</v>
      </c>
      <c r="E519" s="44" t="n">
        <v>8213.4756</v>
      </c>
    </row>
    <row r="520">
      <c r="A520" s="39">
        <f>_xlfn.XLOOKUP(17839,Trip[shape_id],Trip[shape_id],"Não encontrado")</f>
        <v/>
      </c>
      <c r="B520" s="40" t="n">
        <v>-23.539873</v>
      </c>
      <c r="C520" s="40" t="n">
        <v>-46.633943</v>
      </c>
      <c r="D520" s="40" t="n">
        <v>140</v>
      </c>
      <c r="E520" s="41" t="n">
        <v>8262.3027</v>
      </c>
    </row>
    <row r="521">
      <c r="A521" s="42">
        <f>_xlfn.XLOOKUP(17839,Trip[shape_id],Trip[shape_id],"Não encontrado")</f>
        <v/>
      </c>
      <c r="B521" s="43" t="n">
        <v>-23.540873</v>
      </c>
      <c r="C521" s="43" t="n">
        <v>-46.634062</v>
      </c>
      <c r="D521" s="43" t="n">
        <v>141</v>
      </c>
      <c r="E521" s="44" t="n">
        <v>8373.718800000001</v>
      </c>
    </row>
    <row r="522">
      <c r="A522" s="39">
        <f>_xlfn.XLOOKUP(17839,Trip[shape_id],Trip[shape_id],"Não encontrado")</f>
        <v/>
      </c>
      <c r="B522" s="40" t="n">
        <v>-23.541227</v>
      </c>
      <c r="C522" s="40" t="n">
        <v>-46.634143</v>
      </c>
      <c r="D522" s="40" t="n">
        <v>142</v>
      </c>
      <c r="E522" s="41" t="n">
        <v>8413.7881</v>
      </c>
    </row>
    <row r="523">
      <c r="A523" s="42">
        <f>_xlfn.XLOOKUP(17839,Trip[shape_id],Trip[shape_id],"Não encontrado")</f>
        <v/>
      </c>
      <c r="B523" s="43" t="n">
        <v>-23.541754</v>
      </c>
      <c r="C523" s="43" t="n">
        <v>-46.634297</v>
      </c>
      <c r="D523" s="43" t="n">
        <v>143</v>
      </c>
      <c r="E523" s="44" t="n">
        <v>8474.2354</v>
      </c>
    </row>
    <row r="524">
      <c r="A524" s="39">
        <f>_xlfn.XLOOKUP(17839,Trip[shape_id],Trip[shape_id],"Não encontrado")</f>
        <v/>
      </c>
      <c r="B524" s="40" t="n">
        <v>-23.542114</v>
      </c>
      <c r="C524" s="40" t="n">
        <v>-46.63432</v>
      </c>
      <c r="D524" s="40" t="n">
        <v>144</v>
      </c>
      <c r="E524" s="41" t="n">
        <v>8514.174800000001</v>
      </c>
    </row>
    <row r="525">
      <c r="A525" s="42">
        <f>_xlfn.XLOOKUP(17839,Trip[shape_id],Trip[shape_id],"Não encontrado")</f>
        <v/>
      </c>
      <c r="B525" s="43" t="n">
        <v>-23.54251</v>
      </c>
      <c r="C525" s="43" t="n">
        <v>-46.634346</v>
      </c>
      <c r="D525" s="43" t="n">
        <v>145</v>
      </c>
      <c r="E525" s="44" t="n">
        <v>8558.113300000001</v>
      </c>
    </row>
    <row r="526">
      <c r="A526" s="39">
        <f>_xlfn.XLOOKUP(17839,Trip[shape_id],Trip[shape_id],"Não encontrado")</f>
        <v/>
      </c>
      <c r="B526" s="40" t="n">
        <v>-23.543333</v>
      </c>
      <c r="C526" s="40" t="n">
        <v>-46.634322</v>
      </c>
      <c r="D526" s="40" t="n">
        <v>146</v>
      </c>
      <c r="E526" s="41" t="n">
        <v>8649.294900000001</v>
      </c>
    </row>
    <row r="527">
      <c r="A527" s="42">
        <f>_xlfn.XLOOKUP(17839,Trip[shape_id],Trip[shape_id],"Não encontrado")</f>
        <v/>
      </c>
      <c r="B527" s="43" t="n">
        <v>-23.543697</v>
      </c>
      <c r="C527" s="43" t="n">
        <v>-46.634274</v>
      </c>
      <c r="D527" s="43" t="n">
        <v>147</v>
      </c>
      <c r="E527" s="44" t="n">
        <v>8689.9053</v>
      </c>
    </row>
    <row r="528">
      <c r="A528" s="39">
        <f>_xlfn.XLOOKUP(17839,Trip[shape_id],Trip[shape_id],"Não encontrado")</f>
        <v/>
      </c>
      <c r="B528" s="40" t="n">
        <v>-23.543858</v>
      </c>
      <c r="C528" s="40" t="n">
        <v>-46.634244</v>
      </c>
      <c r="D528" s="40" t="n">
        <v>148</v>
      </c>
      <c r="E528" s="41" t="n">
        <v>8707.997100000001</v>
      </c>
    </row>
    <row r="529">
      <c r="A529" s="42">
        <f>_xlfn.XLOOKUP(17839,Trip[shape_id],Trip[shape_id],"Não encontrado")</f>
        <v/>
      </c>
      <c r="B529" s="43" t="n">
        <v>-23.544028</v>
      </c>
      <c r="C529" s="43" t="n">
        <v>-46.634186</v>
      </c>
      <c r="D529" s="43" t="n">
        <v>149</v>
      </c>
      <c r="E529" s="44" t="n">
        <v>8727.734399999999</v>
      </c>
    </row>
    <row r="530">
      <c r="A530" s="39">
        <f>_xlfn.XLOOKUP(17839,Trip[shape_id],Trip[shape_id],"Não encontrado")</f>
        <v/>
      </c>
      <c r="B530" s="40" t="n">
        <v>-23.544951</v>
      </c>
      <c r="C530" s="40" t="n">
        <v>-46.633719</v>
      </c>
      <c r="D530" s="40" t="n">
        <v>150</v>
      </c>
      <c r="E530" s="41" t="n">
        <v>8840.5322</v>
      </c>
    </row>
    <row r="531">
      <c r="A531" s="42">
        <f>_xlfn.XLOOKUP(17839,Trip[shape_id],Trip[shape_id],"Não encontrado")</f>
        <v/>
      </c>
      <c r="B531" s="43" t="n">
        <v>-23.545082</v>
      </c>
      <c r="C531" s="43" t="n">
        <v>-46.633625</v>
      </c>
      <c r="D531" s="43" t="n">
        <v>151</v>
      </c>
      <c r="E531" s="44" t="n">
        <v>8857.9287</v>
      </c>
    </row>
    <row r="532">
      <c r="A532" s="39">
        <f>_xlfn.XLOOKUP(17839,Trip[shape_id],Trip[shape_id],"Não encontrado")</f>
        <v/>
      </c>
      <c r="B532" s="40" t="n">
        <v>-23.546653</v>
      </c>
      <c r="C532" s="40" t="n">
        <v>-46.633371</v>
      </c>
      <c r="D532" s="40" t="n">
        <v>152</v>
      </c>
      <c r="E532" s="41" t="n">
        <v>9033.8418</v>
      </c>
    </row>
    <row r="533">
      <c r="A533" s="42">
        <f>_xlfn.XLOOKUP(17839,Trip[shape_id],Trip[shape_id],"Não encontrado")</f>
        <v/>
      </c>
      <c r="B533" s="43" t="n">
        <v>-23.547813</v>
      </c>
      <c r="C533" s="43" t="n">
        <v>-46.633106</v>
      </c>
      <c r="D533" s="43" t="n">
        <v>153</v>
      </c>
      <c r="E533" s="44" t="n">
        <v>9165.131799999999</v>
      </c>
    </row>
    <row r="534">
      <c r="A534" s="39">
        <f>_xlfn.XLOOKUP(17839,Trip[shape_id],Trip[shape_id],"Não encontrado")</f>
        <v/>
      </c>
      <c r="B534" s="40" t="n">
        <v>-23.548712</v>
      </c>
      <c r="C534" s="40" t="n">
        <v>-46.632859</v>
      </c>
      <c r="D534" s="40" t="n">
        <v>154</v>
      </c>
      <c r="E534" s="41" t="n">
        <v>9267.8418</v>
      </c>
    </row>
    <row r="535">
      <c r="A535" s="42">
        <f>_xlfn.XLOOKUP(17839,Trip[shape_id],Trip[shape_id],"Não encontrado")</f>
        <v/>
      </c>
      <c r="B535" s="43" t="n">
        <v>-23.549088</v>
      </c>
      <c r="C535" s="43" t="n">
        <v>-46.632761</v>
      </c>
      <c r="D535" s="43" t="n">
        <v>155</v>
      </c>
      <c r="E535" s="44" t="n">
        <v>9310.669900000001</v>
      </c>
    </row>
    <row r="536">
      <c r="A536" s="39">
        <f>_xlfn.XLOOKUP(17839,Trip[shape_id],Trip[shape_id],"Não encontrado")</f>
        <v/>
      </c>
      <c r="B536" s="40" t="n">
        <v>-23.550228</v>
      </c>
      <c r="C536" s="40" t="n">
        <v>-46.633438</v>
      </c>
      <c r="D536" s="40" t="n">
        <v>156</v>
      </c>
      <c r="E536" s="41" t="n">
        <v>9454.6104</v>
      </c>
    </row>
    <row r="537">
      <c r="A537" s="42">
        <f>_xlfn.XLOOKUP(17839,Trip[shape_id],Trip[shape_id],"Não encontrado")</f>
        <v/>
      </c>
      <c r="B537" s="43" t="n">
        <v>-23.550458</v>
      </c>
      <c r="C537" s="43" t="n">
        <v>-46.633451</v>
      </c>
      <c r="D537" s="43" t="n">
        <v>157</v>
      </c>
      <c r="E537" s="44" t="n">
        <v>9480.118200000001</v>
      </c>
    </row>
    <row r="538">
      <c r="A538" s="39">
        <f>_xlfn.XLOOKUP(17839,Trip[shape_id],Trip[shape_id],"Não encontrado")</f>
        <v/>
      </c>
      <c r="B538" s="40" t="n">
        <v>-23.551121</v>
      </c>
      <c r="C538" s="40" t="n">
        <v>-46.633553</v>
      </c>
      <c r="D538" s="40" t="n">
        <v>158</v>
      </c>
      <c r="E538" s="41" t="n">
        <v>9554.281300000001</v>
      </c>
    </row>
    <row r="539">
      <c r="A539" s="42">
        <f>_xlfn.XLOOKUP(17839,Trip[shape_id],Trip[shape_id],"Não encontrado")</f>
        <v/>
      </c>
      <c r="B539" s="43" t="n">
        <v>-23.551477</v>
      </c>
      <c r="C539" s="43" t="n">
        <v>-46.633608</v>
      </c>
      <c r="D539" s="43" t="n">
        <v>159</v>
      </c>
      <c r="E539" s="44" t="n">
        <v>9594.106400000001</v>
      </c>
    </row>
    <row r="540">
      <c r="A540" s="39">
        <f>_xlfn.XLOOKUP(17839,Trip[shape_id],Trip[shape_id],"Não encontrado")</f>
        <v/>
      </c>
      <c r="B540" s="40" t="n">
        <v>-23.552267</v>
      </c>
      <c r="C540" s="40" t="n">
        <v>-46.634002</v>
      </c>
      <c r="D540" s="40" t="n">
        <v>160</v>
      </c>
      <c r="E540" s="41" t="n">
        <v>9690.4053</v>
      </c>
    </row>
    <row r="541">
      <c r="A541" s="42">
        <f>_xlfn.XLOOKUP(17839,Trip[shape_id],Trip[shape_id],"Não encontrado")</f>
        <v/>
      </c>
      <c r="B541" s="43" t="n">
        <v>-23.552511</v>
      </c>
      <c r="C541" s="43" t="n">
        <v>-46.634253</v>
      </c>
      <c r="D541" s="43" t="n">
        <v>161</v>
      </c>
      <c r="E541" s="44" t="n">
        <v>9727.6484</v>
      </c>
    </row>
    <row r="542">
      <c r="A542" s="39">
        <f>_xlfn.XLOOKUP(17839,Trip[shape_id],Trip[shape_id],"Não encontrado")</f>
        <v/>
      </c>
      <c r="B542" s="40" t="n">
        <v>-23.552788</v>
      </c>
      <c r="C542" s="40" t="n">
        <v>-46.63452</v>
      </c>
      <c r="D542" s="40" t="n">
        <v>162</v>
      </c>
      <c r="E542" s="41" t="n">
        <v>9768.6885</v>
      </c>
    </row>
    <row r="543">
      <c r="A543" s="42">
        <f>_xlfn.XLOOKUP(17839,Trip[shape_id],Trip[shape_id],"Não encontrado")</f>
        <v/>
      </c>
      <c r="B543" s="43" t="n">
        <v>-23.553814</v>
      </c>
      <c r="C543" s="43" t="n">
        <v>-46.635152</v>
      </c>
      <c r="D543" s="43" t="n">
        <v>163</v>
      </c>
      <c r="E543" s="44" t="n">
        <v>9899.363300000001</v>
      </c>
    </row>
    <row r="544">
      <c r="A544" s="39">
        <f>_xlfn.XLOOKUP(17839,Trip[shape_id],Trip[shape_id],"Não encontrado")</f>
        <v/>
      </c>
      <c r="B544" s="40" t="n">
        <v>-23.554292</v>
      </c>
      <c r="C544" s="40" t="n">
        <v>-46.635395</v>
      </c>
      <c r="D544" s="40" t="n">
        <v>164</v>
      </c>
      <c r="E544" s="41" t="n">
        <v>9957.828100000001</v>
      </c>
    </row>
    <row r="545">
      <c r="A545" s="42">
        <f>_xlfn.XLOOKUP(17839,Trip[shape_id],Trip[shape_id],"Não encontrado")</f>
        <v/>
      </c>
      <c r="B545" s="43" t="n">
        <v>-23.555152</v>
      </c>
      <c r="C545" s="43" t="n">
        <v>-46.635519</v>
      </c>
      <c r="D545" s="43" t="n">
        <v>165</v>
      </c>
      <c r="E545" s="44" t="n">
        <v>10053.912</v>
      </c>
    </row>
    <row r="546">
      <c r="A546" s="39">
        <f>_xlfn.XLOOKUP(17839,Trip[shape_id],Trip[shape_id],"Não encontrado")</f>
        <v/>
      </c>
      <c r="B546" s="40" t="n">
        <v>-23.555297</v>
      </c>
      <c r="C546" s="40" t="n">
        <v>-46.635599</v>
      </c>
      <c r="D546" s="40" t="n">
        <v>166</v>
      </c>
      <c r="E546" s="41" t="n">
        <v>10071.929</v>
      </c>
    </row>
    <row r="547">
      <c r="A547" s="42">
        <f>_xlfn.XLOOKUP(17839,Trip[shape_id],Trip[shape_id],"Não encontrado")</f>
        <v/>
      </c>
      <c r="B547" s="43" t="n">
        <v>-23.556293</v>
      </c>
      <c r="C547" s="43" t="n">
        <v>-46.636113</v>
      </c>
      <c r="D547" s="43" t="n">
        <v>167</v>
      </c>
      <c r="E547" s="44" t="n">
        <v>10194.084</v>
      </c>
    </row>
    <row r="548">
      <c r="A548" s="39">
        <f>_xlfn.XLOOKUP(17839,Trip[shape_id],Trip[shape_id],"Não encontrado")</f>
        <v/>
      </c>
      <c r="B548" s="40" t="n">
        <v>-23.556803</v>
      </c>
      <c r="C548" s="40" t="n">
        <v>-46.636343</v>
      </c>
      <c r="D548" s="40" t="n">
        <v>168</v>
      </c>
      <c r="E548" s="41" t="n">
        <v>10255.254</v>
      </c>
    </row>
    <row r="549">
      <c r="A549" s="42">
        <f>_xlfn.XLOOKUP(17839,Trip[shape_id],Trip[shape_id],"Não encontrado")</f>
        <v/>
      </c>
      <c r="B549" s="43" t="n">
        <v>-23.557078</v>
      </c>
      <c r="C549" s="43" t="n">
        <v>-46.636426</v>
      </c>
      <c r="D549" s="43" t="n">
        <v>169</v>
      </c>
      <c r="E549" s="44" t="n">
        <v>10286.867</v>
      </c>
    </row>
    <row r="550">
      <c r="A550" s="39">
        <f>_xlfn.XLOOKUP(17839,Trip[shape_id],Trip[shape_id],"Não encontrado")</f>
        <v/>
      </c>
      <c r="B550" s="40" t="n">
        <v>-23.557597</v>
      </c>
      <c r="C550" s="40" t="n">
        <v>-46.636695</v>
      </c>
      <c r="D550" s="40" t="n">
        <v>170</v>
      </c>
      <c r="E550" s="41" t="n">
        <v>10350.571</v>
      </c>
    </row>
    <row r="551">
      <c r="A551" s="42">
        <f>_xlfn.XLOOKUP(17839,Trip[shape_id],Trip[shape_id],"Não encontrado")</f>
        <v/>
      </c>
      <c r="B551" s="43" t="n">
        <v>-23.55821</v>
      </c>
      <c r="C551" s="43" t="n">
        <v>-46.637026</v>
      </c>
      <c r="D551" s="43" t="n">
        <v>171</v>
      </c>
      <c r="E551" s="44" t="n">
        <v>10426.408</v>
      </c>
    </row>
    <row r="552">
      <c r="A552" s="39">
        <f>_xlfn.XLOOKUP(17839,Trip[shape_id],Trip[shape_id],"Não encontrado")</f>
        <v/>
      </c>
      <c r="B552" s="40" t="n">
        <v>-23.558752</v>
      </c>
      <c r="C552" s="40" t="n">
        <v>-46.637329</v>
      </c>
      <c r="D552" s="40" t="n">
        <v>172</v>
      </c>
      <c r="E552" s="41" t="n">
        <v>10493.938</v>
      </c>
    </row>
    <row r="553">
      <c r="A553" s="42">
        <f>_xlfn.XLOOKUP(17839,Trip[shape_id],Trip[shape_id],"Não encontrado")</f>
        <v/>
      </c>
      <c r="B553" s="43" t="n">
        <v>-23.559312</v>
      </c>
      <c r="C553" s="43" t="n">
        <v>-46.637634</v>
      </c>
      <c r="D553" s="43" t="n">
        <v>173</v>
      </c>
      <c r="E553" s="44" t="n">
        <v>10563.338</v>
      </c>
    </row>
    <row r="554">
      <c r="A554" s="39">
        <f>_xlfn.XLOOKUP(17839,Trip[shape_id],Trip[shape_id],"Não encontrado")</f>
        <v/>
      </c>
      <c r="B554" s="40" t="n">
        <v>-23.560406</v>
      </c>
      <c r="C554" s="40" t="n">
        <v>-46.63822</v>
      </c>
      <c r="D554" s="40" t="n">
        <v>174</v>
      </c>
      <c r="E554" s="41" t="n">
        <v>10698.467</v>
      </c>
    </row>
    <row r="555">
      <c r="A555" s="42">
        <f>_xlfn.XLOOKUP(17839,Trip[shape_id],Trip[shape_id],"Não encontrado")</f>
        <v/>
      </c>
      <c r="B555" s="43" t="n">
        <v>-23.560693</v>
      </c>
      <c r="C555" s="43" t="n">
        <v>-46.638379</v>
      </c>
      <c r="D555" s="43" t="n">
        <v>175</v>
      </c>
      <c r="E555" s="44" t="n">
        <v>10734.158</v>
      </c>
    </row>
    <row r="556">
      <c r="A556" s="39">
        <f>_xlfn.XLOOKUP(17839,Trip[shape_id],Trip[shape_id],"Não encontrado")</f>
        <v/>
      </c>
      <c r="B556" s="40" t="n">
        <v>-23.560845</v>
      </c>
      <c r="C556" s="40" t="n">
        <v>-46.638428</v>
      </c>
      <c r="D556" s="40" t="n">
        <v>176</v>
      </c>
      <c r="E556" s="41" t="n">
        <v>10751.72</v>
      </c>
    </row>
    <row r="557">
      <c r="A557" s="42">
        <f>_xlfn.XLOOKUP(17839,Trip[shape_id],Trip[shape_id],"Não encontrado")</f>
        <v/>
      </c>
      <c r="B557" s="43" t="n">
        <v>-23.561153</v>
      </c>
      <c r="C557" s="43" t="n">
        <v>-46.638501</v>
      </c>
      <c r="D557" s="43" t="n">
        <v>177</v>
      </c>
      <c r="E557" s="44" t="n">
        <v>10786.636</v>
      </c>
    </row>
    <row r="558">
      <c r="A558" s="39">
        <f>_xlfn.XLOOKUP(17839,Trip[shape_id],Trip[shape_id],"Não encontrado")</f>
        <v/>
      </c>
      <c r="B558" s="40" t="n">
        <v>-23.561329</v>
      </c>
      <c r="C558" s="40" t="n">
        <v>-46.638542</v>
      </c>
      <c r="D558" s="40" t="n">
        <v>178</v>
      </c>
      <c r="E558" s="41" t="n">
        <v>10806.572</v>
      </c>
    </row>
    <row r="559">
      <c r="A559" s="42">
        <f>_xlfn.XLOOKUP(17839,Trip[shape_id],Trip[shape_id],"Não encontrado")</f>
        <v/>
      </c>
      <c r="B559" s="43" t="n">
        <v>-23.561442</v>
      </c>
      <c r="C559" s="43" t="n">
        <v>-46.638572</v>
      </c>
      <c r="D559" s="43" t="n">
        <v>179</v>
      </c>
      <c r="E559" s="44" t="n">
        <v>10819.457</v>
      </c>
    </row>
    <row r="560">
      <c r="A560" s="39">
        <f>_xlfn.XLOOKUP(17839,Trip[shape_id],Trip[shape_id],"Não encontrado")</f>
        <v/>
      </c>
      <c r="B560" s="40" t="n">
        <v>-23.561899</v>
      </c>
      <c r="C560" s="40" t="n">
        <v>-46.63868</v>
      </c>
      <c r="D560" s="40" t="n">
        <v>180</v>
      </c>
      <c r="E560" s="41" t="n">
        <v>10871.258</v>
      </c>
    </row>
    <row r="561">
      <c r="A561" s="42">
        <f>_xlfn.XLOOKUP(17839,Trip[shape_id],Trip[shape_id],"Não encontrado")</f>
        <v/>
      </c>
      <c r="B561" s="43" t="n">
        <v>-23.562153</v>
      </c>
      <c r="C561" s="43" t="n">
        <v>-46.638732</v>
      </c>
      <c r="D561" s="43" t="n">
        <v>181</v>
      </c>
      <c r="E561" s="44" t="n">
        <v>10899.886</v>
      </c>
    </row>
    <row r="562">
      <c r="A562" s="39">
        <f>_xlfn.XLOOKUP(17839,Trip[shape_id],Trip[shape_id],"Não encontrado")</f>
        <v/>
      </c>
      <c r="B562" s="40" t="n">
        <v>-23.562814</v>
      </c>
      <c r="C562" s="40" t="n">
        <v>-46.638866</v>
      </c>
      <c r="D562" s="40" t="n">
        <v>182</v>
      </c>
      <c r="E562" s="41" t="n">
        <v>10974.36</v>
      </c>
    </row>
    <row r="563">
      <c r="A563" s="42">
        <f>_xlfn.XLOOKUP(17839,Trip[shape_id],Trip[shape_id],"Não encontrado")</f>
        <v/>
      </c>
      <c r="B563" s="43" t="n">
        <v>-23.563255</v>
      </c>
      <c r="C563" s="43" t="n">
        <v>-46.638984</v>
      </c>
      <c r="D563" s="43" t="n">
        <v>183</v>
      </c>
      <c r="E563" s="44" t="n">
        <v>11024.666</v>
      </c>
    </row>
    <row r="564">
      <c r="A564" s="39">
        <f>_xlfn.XLOOKUP(17839,Trip[shape_id],Trip[shape_id],"Não encontrado")</f>
        <v/>
      </c>
      <c r="B564" s="40" t="n">
        <v>-23.563676</v>
      </c>
      <c r="C564" s="40" t="n">
        <v>-46.639082</v>
      </c>
      <c r="D564" s="40" t="n">
        <v>184</v>
      </c>
      <c r="E564" s="41" t="n">
        <v>11072.354</v>
      </c>
    </row>
    <row r="565">
      <c r="A565" s="42">
        <f>_xlfn.XLOOKUP(17839,Trip[shape_id],Trip[shape_id],"Não encontrado")</f>
        <v/>
      </c>
      <c r="B565" s="43" t="n">
        <v>-23.564871</v>
      </c>
      <c r="C565" s="43" t="n">
        <v>-46.639333</v>
      </c>
      <c r="D565" s="43" t="n">
        <v>185</v>
      </c>
      <c r="E565" s="44" t="n">
        <v>11207.16</v>
      </c>
    </row>
    <row r="566">
      <c r="A566" s="39">
        <f>_xlfn.XLOOKUP(17839,Trip[shape_id],Trip[shape_id],"Não encontrado")</f>
        <v/>
      </c>
      <c r="B566" s="40" t="n">
        <v>-23.566228</v>
      </c>
      <c r="C566" s="40" t="n">
        <v>-46.639621</v>
      </c>
      <c r="D566" s="40" t="n">
        <v>186</v>
      </c>
      <c r="E566" s="41" t="n">
        <v>11360.3</v>
      </c>
    </row>
    <row r="567">
      <c r="A567" s="42">
        <f>_xlfn.XLOOKUP(17839,Trip[shape_id],Trip[shape_id],"Não encontrado")</f>
        <v/>
      </c>
      <c r="B567" s="43" t="n">
        <v>-23.567706</v>
      </c>
      <c r="C567" s="43" t="n">
        <v>-46.639872</v>
      </c>
      <c r="D567" s="43" t="n">
        <v>187</v>
      </c>
      <c r="E567" s="44" t="n">
        <v>11525.984</v>
      </c>
    </row>
    <row r="568">
      <c r="A568" s="39">
        <f>_xlfn.XLOOKUP(17839,Trip[shape_id],Trip[shape_id],"Não encontrado")</f>
        <v/>
      </c>
      <c r="B568" s="40" t="n">
        <v>-23.568034</v>
      </c>
      <c r="C568" s="40" t="n">
        <v>-46.639924</v>
      </c>
      <c r="D568" s="40" t="n">
        <v>188</v>
      </c>
      <c r="E568" s="41" t="n">
        <v>11562.697</v>
      </c>
    </row>
    <row r="569">
      <c r="A569" s="42">
        <f>_xlfn.XLOOKUP(17839,Trip[shape_id],Trip[shape_id],"Não encontrado")</f>
        <v/>
      </c>
      <c r="B569" s="43" t="n">
        <v>-23.56821</v>
      </c>
      <c r="C569" s="43" t="n">
        <v>-46.639938</v>
      </c>
      <c r="D569" s="43" t="n">
        <v>189</v>
      </c>
      <c r="E569" s="44" t="n">
        <v>11582.242</v>
      </c>
    </row>
    <row r="570">
      <c r="A570" s="39">
        <f>_xlfn.XLOOKUP(17839,Trip[shape_id],Trip[shape_id],"Não encontrado")</f>
        <v/>
      </c>
      <c r="B570" s="40" t="n">
        <v>-23.56839</v>
      </c>
      <c r="C570" s="40" t="n">
        <v>-46.639941</v>
      </c>
      <c r="D570" s="40" t="n">
        <v>190</v>
      </c>
      <c r="E570" s="41" t="n">
        <v>11602.18</v>
      </c>
    </row>
    <row r="571">
      <c r="A571" s="42">
        <f>_xlfn.XLOOKUP(17839,Trip[shape_id],Trip[shape_id],"Não encontrado")</f>
        <v/>
      </c>
      <c r="B571" s="43" t="n">
        <v>-23.568478</v>
      </c>
      <c r="C571" s="43" t="n">
        <v>-46.639938</v>
      </c>
      <c r="D571" s="43" t="n">
        <v>191</v>
      </c>
      <c r="E571" s="44" t="n">
        <v>11611.931</v>
      </c>
    </row>
    <row r="572">
      <c r="A572" s="39">
        <f>_xlfn.XLOOKUP(17839,Trip[shape_id],Trip[shape_id],"Não encontrado")</f>
        <v/>
      </c>
      <c r="B572" s="40" t="n">
        <v>-23.568528</v>
      </c>
      <c r="C572" s="40" t="n">
        <v>-46.639933</v>
      </c>
      <c r="D572" s="40" t="n">
        <v>192</v>
      </c>
      <c r="E572" s="41" t="n">
        <v>11617.491</v>
      </c>
    </row>
    <row r="573">
      <c r="A573" s="42">
        <f>_xlfn.XLOOKUP(17839,Trip[shape_id],Trip[shape_id],"Não encontrado")</f>
        <v/>
      </c>
      <c r="B573" s="43" t="n">
        <v>-23.569514</v>
      </c>
      <c r="C573" s="43" t="n">
        <v>-46.639871</v>
      </c>
      <c r="D573" s="43" t="n">
        <v>193</v>
      </c>
      <c r="E573" s="44" t="n">
        <v>11726.876</v>
      </c>
    </row>
    <row r="574">
      <c r="A574" s="39">
        <f>_xlfn.XLOOKUP(17839,Trip[shape_id],Trip[shape_id],"Não encontrado")</f>
        <v/>
      </c>
      <c r="B574" s="40" t="n">
        <v>-23.570015</v>
      </c>
      <c r="C574" s="40" t="n">
        <v>-46.639825</v>
      </c>
      <c r="D574" s="40" t="n">
        <v>194</v>
      </c>
      <c r="E574" s="41" t="n">
        <v>11782.562</v>
      </c>
    </row>
    <row r="575">
      <c r="A575" s="42">
        <f>_xlfn.XLOOKUP(17839,Trip[shape_id],Trip[shape_id],"Não encontrado")</f>
        <v/>
      </c>
      <c r="B575" s="43" t="n">
        <v>-23.570675</v>
      </c>
      <c r="C575" s="43" t="n">
        <v>-46.639807</v>
      </c>
      <c r="D575" s="43" t="n">
        <v>195</v>
      </c>
      <c r="E575" s="44" t="n">
        <v>11855.681</v>
      </c>
    </row>
    <row r="576">
      <c r="A576" s="39">
        <f>_xlfn.XLOOKUP(17839,Trip[shape_id],Trip[shape_id],"Não encontrado")</f>
        <v/>
      </c>
      <c r="B576" s="40" t="n">
        <v>-23.57094</v>
      </c>
      <c r="C576" s="40" t="n">
        <v>-46.639792</v>
      </c>
      <c r="D576" s="40" t="n">
        <v>196</v>
      </c>
      <c r="E576" s="41" t="n">
        <v>11885.07</v>
      </c>
    </row>
    <row r="577">
      <c r="A577" s="42">
        <f>_xlfn.XLOOKUP(17839,Trip[shape_id],Trip[shape_id],"Não encontrado")</f>
        <v/>
      </c>
      <c r="B577" s="43" t="n">
        <v>-23.571131</v>
      </c>
      <c r="C577" s="43" t="n">
        <v>-46.639799</v>
      </c>
      <c r="D577" s="43" t="n">
        <v>197</v>
      </c>
      <c r="E577" s="44" t="n">
        <v>11906.236</v>
      </c>
    </row>
    <row r="578">
      <c r="A578" s="39">
        <f>_xlfn.XLOOKUP(17839,Trip[shape_id],Trip[shape_id],"Não encontrado")</f>
        <v/>
      </c>
      <c r="B578" s="40" t="n">
        <v>-23.571412</v>
      </c>
      <c r="C578" s="40" t="n">
        <v>-46.639821</v>
      </c>
      <c r="D578" s="40" t="n">
        <v>198</v>
      </c>
      <c r="E578" s="41" t="n">
        <v>11937.438</v>
      </c>
    </row>
    <row r="579">
      <c r="A579" s="42">
        <f>_xlfn.XLOOKUP(17839,Trip[shape_id],Trip[shape_id],"Não encontrado")</f>
        <v/>
      </c>
      <c r="B579" s="43" t="n">
        <v>-23.571908</v>
      </c>
      <c r="C579" s="43" t="n">
        <v>-46.639884</v>
      </c>
      <c r="D579" s="43" t="n">
        <v>199</v>
      </c>
      <c r="E579" s="44" t="n">
        <v>11992.747</v>
      </c>
    </row>
    <row r="580">
      <c r="A580" s="39">
        <f>_xlfn.XLOOKUP(17839,Trip[shape_id],Trip[shape_id],"Não encontrado")</f>
        <v/>
      </c>
      <c r="B580" s="40" t="n">
        <v>-23.572636</v>
      </c>
      <c r="C580" s="40" t="n">
        <v>-46.640095</v>
      </c>
      <c r="D580" s="40" t="n">
        <v>200</v>
      </c>
      <c r="E580" s="41" t="n">
        <v>12076.202</v>
      </c>
    </row>
    <row r="581">
      <c r="A581" s="42">
        <f>_xlfn.XLOOKUP(17839,Trip[shape_id],Trip[shape_id],"Não encontrado")</f>
        <v/>
      </c>
      <c r="B581" s="43" t="n">
        <v>-23.573483</v>
      </c>
      <c r="C581" s="43" t="n">
        <v>-46.640352</v>
      </c>
      <c r="D581" s="43" t="n">
        <v>201</v>
      </c>
      <c r="E581" s="44" t="n">
        <v>12173.608</v>
      </c>
    </row>
    <row r="582">
      <c r="A582" s="39">
        <f>_xlfn.XLOOKUP(17839,Trip[shape_id],Trip[shape_id],"Não encontrado")</f>
        <v/>
      </c>
      <c r="B582" s="40" t="n">
        <v>-23.573812</v>
      </c>
      <c r="C582" s="40" t="n">
        <v>-46.64045</v>
      </c>
      <c r="D582" s="40" t="n">
        <v>202</v>
      </c>
      <c r="E582" s="41" t="n">
        <v>12211.395</v>
      </c>
    </row>
    <row r="583">
      <c r="A583" s="42">
        <f>_xlfn.XLOOKUP(17839,Trip[shape_id],Trip[shape_id],"Não encontrado")</f>
        <v/>
      </c>
      <c r="B583" s="43" t="n">
        <v>-23.574111</v>
      </c>
      <c r="C583" s="43" t="n">
        <v>-46.640531</v>
      </c>
      <c r="D583" s="43" t="n">
        <v>203</v>
      </c>
      <c r="E583" s="44" t="n">
        <v>12245.526</v>
      </c>
    </row>
    <row r="584">
      <c r="A584" s="39">
        <f>_xlfn.XLOOKUP(17839,Trip[shape_id],Trip[shape_id],"Não encontrado")</f>
        <v/>
      </c>
      <c r="B584" s="40" t="n">
        <v>-23.574657</v>
      </c>
      <c r="C584" s="40" t="n">
        <v>-46.640664</v>
      </c>
      <c r="D584" s="40" t="n">
        <v>204</v>
      </c>
      <c r="E584" s="41" t="n">
        <v>12307.502</v>
      </c>
    </row>
    <row r="585">
      <c r="A585" s="42">
        <f>_xlfn.XLOOKUP(17839,Trip[shape_id],Trip[shape_id],"Não encontrado")</f>
        <v/>
      </c>
      <c r="B585" s="43" t="n">
        <v>-23.575377</v>
      </c>
      <c r="C585" s="43" t="n">
        <v>-46.640805</v>
      </c>
      <c r="D585" s="43" t="n">
        <v>205</v>
      </c>
      <c r="E585" s="44" t="n">
        <v>12388.532</v>
      </c>
    </row>
    <row r="586">
      <c r="A586" s="39">
        <f>_xlfn.XLOOKUP(17839,Trip[shape_id],Trip[shape_id],"Não encontrado")</f>
        <v/>
      </c>
      <c r="B586" s="40" t="n">
        <v>-23.575445</v>
      </c>
      <c r="C586" s="40" t="n">
        <v>-46.640805</v>
      </c>
      <c r="D586" s="40" t="n">
        <v>206</v>
      </c>
      <c r="E586" s="41" t="n">
        <v>12396.063</v>
      </c>
    </row>
    <row r="587">
      <c r="A587" s="42">
        <f>_xlfn.XLOOKUP(17839,Trip[shape_id],Trip[shape_id],"Não encontrado")</f>
        <v/>
      </c>
      <c r="B587" s="43" t="n">
        <v>-23.575898</v>
      </c>
      <c r="C587" s="43" t="n">
        <v>-46.640811</v>
      </c>
      <c r="D587" s="43" t="n">
        <v>207</v>
      </c>
      <c r="E587" s="44" t="n">
        <v>12446.238</v>
      </c>
    </row>
    <row r="588">
      <c r="A588" s="39">
        <f>_xlfn.XLOOKUP(17839,Trip[shape_id],Trip[shape_id],"Não encontrado")</f>
        <v/>
      </c>
      <c r="B588" s="40" t="n">
        <v>-23.576087</v>
      </c>
      <c r="C588" s="40" t="n">
        <v>-46.640821</v>
      </c>
      <c r="D588" s="40" t="n">
        <v>208</v>
      </c>
      <c r="E588" s="41" t="n">
        <v>12467.195</v>
      </c>
    </row>
    <row r="589">
      <c r="A589" s="42">
        <f>_xlfn.XLOOKUP(17839,Trip[shape_id],Trip[shape_id],"Não encontrado")</f>
        <v/>
      </c>
      <c r="B589" s="43" t="n">
        <v>-23.576497</v>
      </c>
      <c r="C589" s="43" t="n">
        <v>-46.640862</v>
      </c>
      <c r="D589" s="43" t="n">
        <v>209</v>
      </c>
      <c r="E589" s="44" t="n">
        <v>12512.796</v>
      </c>
    </row>
    <row r="590">
      <c r="A590" s="39">
        <f>_xlfn.XLOOKUP(17839,Trip[shape_id],Trip[shape_id],"Não encontrado")</f>
        <v/>
      </c>
      <c r="B590" s="40" t="n">
        <v>-23.5767</v>
      </c>
      <c r="C590" s="40" t="n">
        <v>-46.640884</v>
      </c>
      <c r="D590" s="40" t="n">
        <v>210</v>
      </c>
      <c r="E590" s="41" t="n">
        <v>12535.391</v>
      </c>
    </row>
    <row r="591">
      <c r="A591" s="42">
        <f>_xlfn.XLOOKUP(17839,Trip[shape_id],Trip[shape_id],"Não encontrado")</f>
        <v/>
      </c>
      <c r="B591" s="43" t="n">
        <v>-23.576978</v>
      </c>
      <c r="C591" s="43" t="n">
        <v>-46.640876</v>
      </c>
      <c r="D591" s="43" t="n">
        <v>211</v>
      </c>
      <c r="E591" s="44" t="n">
        <v>12566.19</v>
      </c>
    </row>
    <row r="592">
      <c r="A592" s="39">
        <f>_xlfn.XLOOKUP(17839,Trip[shape_id],Trip[shape_id],"Não encontrado")</f>
        <v/>
      </c>
      <c r="B592" s="40" t="n">
        <v>-23.577049</v>
      </c>
      <c r="C592" s="40" t="n">
        <v>-46.640873</v>
      </c>
      <c r="D592" s="40" t="n">
        <v>212</v>
      </c>
      <c r="E592" s="41" t="n">
        <v>12574.06</v>
      </c>
    </row>
    <row r="593">
      <c r="A593" s="42">
        <f>_xlfn.XLOOKUP(17839,Trip[shape_id],Trip[shape_id],"Não encontrado")</f>
        <v/>
      </c>
      <c r="B593" s="43" t="n">
        <v>-23.577264</v>
      </c>
      <c r="C593" s="43" t="n">
        <v>-46.640839</v>
      </c>
      <c r="D593" s="43" t="n">
        <v>213</v>
      </c>
      <c r="E593" s="44" t="n">
        <v>12598.123</v>
      </c>
    </row>
    <row r="594">
      <c r="A594" s="39">
        <f>_xlfn.XLOOKUP(17839,Trip[shape_id],Trip[shape_id],"Não encontrado")</f>
        <v/>
      </c>
      <c r="B594" s="40" t="n">
        <v>-23.577486</v>
      </c>
      <c r="C594" s="40" t="n">
        <v>-46.640803</v>
      </c>
      <c r="D594" s="40" t="n">
        <v>214</v>
      </c>
      <c r="E594" s="41" t="n">
        <v>12622.983</v>
      </c>
    </row>
    <row r="595">
      <c r="A595" s="42">
        <f>_xlfn.XLOOKUP(17839,Trip[shape_id],Trip[shape_id],"Não encontrado")</f>
        <v/>
      </c>
      <c r="B595" s="43" t="n">
        <v>-23.577784</v>
      </c>
      <c r="C595" s="43" t="n">
        <v>-46.640698</v>
      </c>
      <c r="D595" s="43" t="n">
        <v>215</v>
      </c>
      <c r="E595" s="44" t="n">
        <v>12657.685</v>
      </c>
    </row>
    <row r="596">
      <c r="A596" s="39">
        <f>_xlfn.XLOOKUP(17839,Trip[shape_id],Trip[shape_id],"Não encontrado")</f>
        <v/>
      </c>
      <c r="B596" s="40" t="n">
        <v>-23.578041</v>
      </c>
      <c r="C596" s="40" t="n">
        <v>-46.640568</v>
      </c>
      <c r="D596" s="40" t="n">
        <v>216</v>
      </c>
      <c r="E596" s="41" t="n">
        <v>12689.09</v>
      </c>
    </row>
    <row r="597">
      <c r="A597" s="42">
        <f>_xlfn.XLOOKUP(17839,Trip[shape_id],Trip[shape_id],"Não encontrado")</f>
        <v/>
      </c>
      <c r="B597" s="43" t="n">
        <v>-23.578191</v>
      </c>
      <c r="C597" s="43" t="n">
        <v>-46.640473</v>
      </c>
      <c r="D597" s="43" t="n">
        <v>217</v>
      </c>
      <c r="E597" s="44" t="n">
        <v>12708.326</v>
      </c>
    </row>
    <row r="598">
      <c r="A598" s="39">
        <f>_xlfn.XLOOKUP(17839,Trip[shape_id],Trip[shape_id],"Não encontrado")</f>
        <v/>
      </c>
      <c r="B598" s="40" t="n">
        <v>-23.578587</v>
      </c>
      <c r="C598" s="40" t="n">
        <v>-46.640222</v>
      </c>
      <c r="D598" s="40" t="n">
        <v>218</v>
      </c>
      <c r="E598" s="41" t="n">
        <v>12759.12</v>
      </c>
    </row>
    <row r="599">
      <c r="A599" s="42">
        <f>_xlfn.XLOOKUP(17839,Trip[shape_id],Trip[shape_id],"Não encontrado")</f>
        <v/>
      </c>
      <c r="B599" s="43" t="n">
        <v>-23.578922</v>
      </c>
      <c r="C599" s="43" t="n">
        <v>-46.640012</v>
      </c>
      <c r="D599" s="43" t="n">
        <v>219</v>
      </c>
      <c r="E599" s="44" t="n">
        <v>12801.97</v>
      </c>
    </row>
    <row r="600">
      <c r="A600" s="39">
        <f>_xlfn.XLOOKUP(17839,Trip[shape_id],Trip[shape_id],"Não encontrado")</f>
        <v/>
      </c>
      <c r="B600" s="40" t="n">
        <v>-23.579092</v>
      </c>
      <c r="C600" s="40" t="n">
        <v>-46.639904</v>
      </c>
      <c r="D600" s="40" t="n">
        <v>220</v>
      </c>
      <c r="E600" s="41" t="n">
        <v>12823.788</v>
      </c>
    </row>
    <row r="601">
      <c r="A601" s="42">
        <f>_xlfn.XLOOKUP(17839,Trip[shape_id],Trip[shape_id],"Não encontrado")</f>
        <v/>
      </c>
      <c r="B601" s="43" t="n">
        <v>-23.579369</v>
      </c>
      <c r="C601" s="43" t="n">
        <v>-46.639732</v>
      </c>
      <c r="D601" s="43" t="n">
        <v>221</v>
      </c>
      <c r="E601" s="44" t="n">
        <v>12859.136</v>
      </c>
    </row>
    <row r="602">
      <c r="A602" s="39">
        <f>_xlfn.XLOOKUP(17839,Trip[shape_id],Trip[shape_id],"Não encontrado")</f>
        <v/>
      </c>
      <c r="B602" s="40" t="n">
        <v>-23.579598</v>
      </c>
      <c r="C602" s="40" t="n">
        <v>-46.639594</v>
      </c>
      <c r="D602" s="40" t="n">
        <v>222</v>
      </c>
      <c r="E602" s="41" t="n">
        <v>12888.147</v>
      </c>
    </row>
    <row r="603">
      <c r="A603" s="42">
        <f>_xlfn.XLOOKUP(17839,Trip[shape_id],Trip[shape_id],"Não encontrado")</f>
        <v/>
      </c>
      <c r="B603" s="43" t="n">
        <v>-23.579786</v>
      </c>
      <c r="C603" s="43" t="n">
        <v>-46.639478</v>
      </c>
      <c r="D603" s="43" t="n">
        <v>223</v>
      </c>
      <c r="E603" s="44" t="n">
        <v>12912.101</v>
      </c>
    </row>
    <row r="604">
      <c r="A604" s="39">
        <f>_xlfn.XLOOKUP(17839,Trip[shape_id],Trip[shape_id],"Não encontrado")</f>
        <v/>
      </c>
      <c r="B604" s="40" t="n">
        <v>-23.579856</v>
      </c>
      <c r="C604" s="40" t="n">
        <v>-46.639429</v>
      </c>
      <c r="D604" s="40" t="n">
        <v>224</v>
      </c>
      <c r="E604" s="41" t="n">
        <v>12921.327</v>
      </c>
    </row>
    <row r="605">
      <c r="A605" s="42">
        <f>_xlfn.XLOOKUP(17839,Trip[shape_id],Trip[shape_id],"Não encontrado")</f>
        <v/>
      </c>
      <c r="B605" s="43" t="n">
        <v>-23.580052</v>
      </c>
      <c r="C605" s="43" t="n">
        <v>-46.639306</v>
      </c>
      <c r="D605" s="43" t="n">
        <v>225</v>
      </c>
      <c r="E605" s="44" t="n">
        <v>12946.404</v>
      </c>
    </row>
    <row r="606">
      <c r="A606" s="39">
        <f>_xlfn.XLOOKUP(17839,Trip[shape_id],Trip[shape_id],"Não encontrado")</f>
        <v/>
      </c>
      <c r="B606" s="40" t="n">
        <v>-23.580413</v>
      </c>
      <c r="C606" s="40" t="n">
        <v>-46.639072</v>
      </c>
      <c r="D606" s="40" t="n">
        <v>226</v>
      </c>
      <c r="E606" s="41" t="n">
        <v>12992.978</v>
      </c>
    </row>
    <row r="607">
      <c r="A607" s="42">
        <f>_xlfn.XLOOKUP(17839,Trip[shape_id],Trip[shape_id],"Não encontrado")</f>
        <v/>
      </c>
      <c r="B607" s="43" t="n">
        <v>-23.580593</v>
      </c>
      <c r="C607" s="43" t="n">
        <v>-46.638959</v>
      </c>
      <c r="D607" s="43" t="n">
        <v>227</v>
      </c>
      <c r="E607" s="44" t="n">
        <v>13016.01</v>
      </c>
    </row>
    <row r="608">
      <c r="A608" s="39">
        <f>_xlfn.XLOOKUP(17839,Trip[shape_id],Trip[shape_id],"Não encontrado")</f>
        <v/>
      </c>
      <c r="B608" s="40" t="n">
        <v>-23.581043</v>
      </c>
      <c r="C608" s="40" t="n">
        <v>-46.638667</v>
      </c>
      <c r="D608" s="40" t="n">
        <v>228</v>
      </c>
      <c r="E608" s="41" t="n">
        <v>13074.081</v>
      </c>
    </row>
    <row r="609">
      <c r="A609" s="42">
        <f>_xlfn.XLOOKUP(17839,Trip[shape_id],Trip[shape_id],"Não encontrado")</f>
        <v/>
      </c>
      <c r="B609" s="43" t="n">
        <v>-23.581193</v>
      </c>
      <c r="C609" s="43" t="n">
        <v>-46.638577</v>
      </c>
      <c r="D609" s="43" t="n">
        <v>229</v>
      </c>
      <c r="E609" s="44" t="n">
        <v>13093.064</v>
      </c>
    </row>
    <row r="610">
      <c r="A610" s="39">
        <f>_xlfn.XLOOKUP(17839,Trip[shape_id],Trip[shape_id],"Não encontrado")</f>
        <v/>
      </c>
      <c r="B610" s="40" t="n">
        <v>-23.581256</v>
      </c>
      <c r="C610" s="40" t="n">
        <v>-46.638542</v>
      </c>
      <c r="D610" s="40" t="n">
        <v>230</v>
      </c>
      <c r="E610" s="41" t="n">
        <v>13100.903</v>
      </c>
    </row>
    <row r="611">
      <c r="A611" s="42">
        <f>_xlfn.XLOOKUP(17839,Trip[shape_id],Trip[shape_id],"Não encontrado")</f>
        <v/>
      </c>
      <c r="B611" s="43" t="n">
        <v>-23.581254</v>
      </c>
      <c r="C611" s="43" t="n">
        <v>-46.638494</v>
      </c>
      <c r="D611" s="43" t="n">
        <v>231</v>
      </c>
      <c r="E611" s="44" t="n">
        <v>13105.809</v>
      </c>
    </row>
    <row r="612">
      <c r="A612" s="39">
        <f>_xlfn.XLOOKUP(17839,Trip[shape_id],Trip[shape_id],"Não encontrado")</f>
        <v/>
      </c>
      <c r="B612" s="40" t="n">
        <v>-23.581321</v>
      </c>
      <c r="C612" s="40" t="n">
        <v>-46.63849</v>
      </c>
      <c r="D612" s="40" t="n">
        <v>232</v>
      </c>
      <c r="E612" s="41" t="n">
        <v>13113.24</v>
      </c>
    </row>
    <row r="613">
      <c r="A613" s="42">
        <f>_xlfn.XLOOKUP(17839,Trip[shape_id],Trip[shape_id],"Não encontrado")</f>
        <v/>
      </c>
      <c r="B613" s="43" t="n">
        <v>-23.581355</v>
      </c>
      <c r="C613" s="43" t="n">
        <v>-46.638472</v>
      </c>
      <c r="D613" s="43" t="n">
        <v>233</v>
      </c>
      <c r="E613" s="44" t="n">
        <v>13117.43</v>
      </c>
    </row>
    <row r="614">
      <c r="A614" s="39">
        <f>_xlfn.XLOOKUP(17839,Trip[shape_id],Trip[shape_id],"Não encontrado")</f>
        <v/>
      </c>
      <c r="B614" s="40" t="n">
        <v>-23.581625</v>
      </c>
      <c r="C614" s="40" t="n">
        <v>-46.6383</v>
      </c>
      <c r="D614" s="40" t="n">
        <v>234</v>
      </c>
      <c r="E614" s="41" t="n">
        <v>13152.106</v>
      </c>
    </row>
    <row r="615">
      <c r="A615" s="42">
        <f>_xlfn.XLOOKUP(17839,Trip[shape_id],Trip[shape_id],"Não encontrado")</f>
        <v/>
      </c>
      <c r="B615" s="43" t="n">
        <v>-23.581833</v>
      </c>
      <c r="C615" s="43" t="n">
        <v>-46.63817</v>
      </c>
      <c r="D615" s="43" t="n">
        <v>235</v>
      </c>
      <c r="E615" s="44" t="n">
        <v>13178.691</v>
      </c>
    </row>
    <row r="616">
      <c r="A616" s="39">
        <f>_xlfn.XLOOKUP(17839,Trip[shape_id],Trip[shape_id],"Não encontrado")</f>
        <v/>
      </c>
      <c r="B616" s="40" t="n">
        <v>-23.582165</v>
      </c>
      <c r="C616" s="40" t="n">
        <v>-46.637961</v>
      </c>
      <c r="D616" s="40" t="n">
        <v>236</v>
      </c>
      <c r="E616" s="41" t="n">
        <v>13221.202</v>
      </c>
    </row>
    <row r="617">
      <c r="A617" s="42">
        <f>_xlfn.XLOOKUP(17839,Trip[shape_id],Trip[shape_id],"Não encontrado")</f>
        <v/>
      </c>
      <c r="B617" s="43" t="n">
        <v>-23.582238</v>
      </c>
      <c r="C617" s="43" t="n">
        <v>-46.637915</v>
      </c>
      <c r="D617" s="43" t="n">
        <v>237</v>
      </c>
      <c r="E617" s="44" t="n">
        <v>13230.552</v>
      </c>
    </row>
    <row r="618">
      <c r="A618" s="39">
        <f>_xlfn.XLOOKUP(17839,Trip[shape_id],Trip[shape_id],"Não encontrado")</f>
        <v/>
      </c>
      <c r="B618" s="40" t="n">
        <v>-23.582254</v>
      </c>
      <c r="C618" s="40" t="n">
        <v>-46.637905</v>
      </c>
      <c r="D618" s="40" t="n">
        <v>238</v>
      </c>
      <c r="E618" s="41" t="n">
        <v>13232.595</v>
      </c>
    </row>
    <row r="619">
      <c r="A619" s="42">
        <f>_xlfn.XLOOKUP(17839,Trip[shape_id],Trip[shape_id],"Não encontrado")</f>
        <v/>
      </c>
      <c r="B619" s="43" t="n">
        <v>-23.582364</v>
      </c>
      <c r="C619" s="43" t="n">
        <v>-46.637833</v>
      </c>
      <c r="D619" s="43" t="n">
        <v>239</v>
      </c>
      <c r="E619" s="44" t="n">
        <v>13246.822</v>
      </c>
    </row>
    <row r="620">
      <c r="A620" s="39">
        <f>_xlfn.XLOOKUP(17839,Trip[shape_id],Trip[shape_id],"Não encontrado")</f>
        <v/>
      </c>
      <c r="B620" s="40" t="n">
        <v>-23.582581</v>
      </c>
      <c r="C620" s="40" t="n">
        <v>-46.637686</v>
      </c>
      <c r="D620" s="40" t="n">
        <v>240</v>
      </c>
      <c r="E620" s="41" t="n">
        <v>13275.155</v>
      </c>
    </row>
    <row r="621">
      <c r="A621" s="42">
        <f>_xlfn.XLOOKUP(17839,Trip[shape_id],Trip[shape_id],"Não encontrado")</f>
        <v/>
      </c>
      <c r="B621" s="43" t="n">
        <v>-23.582827</v>
      </c>
      <c r="C621" s="43" t="n">
        <v>-46.63753</v>
      </c>
      <c r="D621" s="43" t="n">
        <v>241</v>
      </c>
      <c r="E621" s="44" t="n">
        <v>13306.713</v>
      </c>
    </row>
    <row r="622">
      <c r="A622" s="39">
        <f>_xlfn.XLOOKUP(17839,Trip[shape_id],Trip[shape_id],"Não encontrado")</f>
        <v/>
      </c>
      <c r="B622" s="40" t="n">
        <v>-23.583273</v>
      </c>
      <c r="C622" s="40" t="n">
        <v>-46.63725</v>
      </c>
      <c r="D622" s="40" t="n">
        <v>242</v>
      </c>
      <c r="E622" s="41" t="n">
        <v>13363.781</v>
      </c>
    </row>
    <row r="623">
      <c r="A623" s="42">
        <f>_xlfn.XLOOKUP(17839,Trip[shape_id],Trip[shape_id],"Não encontrado")</f>
        <v/>
      </c>
      <c r="B623" s="43" t="n">
        <v>-23.583796</v>
      </c>
      <c r="C623" s="43" t="n">
        <v>-46.636922</v>
      </c>
      <c r="D623" s="43" t="n">
        <v>243</v>
      </c>
      <c r="E623" s="44" t="n">
        <v>13430.685</v>
      </c>
    </row>
    <row r="624">
      <c r="A624" s="39">
        <f>_xlfn.XLOOKUP(17839,Trip[shape_id],Trip[shape_id],"Não encontrado")</f>
        <v/>
      </c>
      <c r="B624" s="40" t="n">
        <v>-23.584006</v>
      </c>
      <c r="C624" s="40" t="n">
        <v>-46.636792</v>
      </c>
      <c r="D624" s="40" t="n">
        <v>244</v>
      </c>
      <c r="E624" s="41" t="n">
        <v>13457.462</v>
      </c>
    </row>
    <row r="625">
      <c r="A625" s="42">
        <f>_xlfn.XLOOKUP(17839,Trip[shape_id],Trip[shape_id],"Não encontrado")</f>
        <v/>
      </c>
      <c r="B625" s="43" t="n">
        <v>-23.584452</v>
      </c>
      <c r="C625" s="43" t="n">
        <v>-46.636518</v>
      </c>
      <c r="D625" s="43" t="n">
        <v>245</v>
      </c>
      <c r="E625" s="44" t="n">
        <v>13514.227</v>
      </c>
    </row>
    <row r="626">
      <c r="A626" s="39">
        <f>_xlfn.XLOOKUP(17839,Trip[shape_id],Trip[shape_id],"Não encontrado")</f>
        <v/>
      </c>
      <c r="B626" s="40" t="n">
        <v>-23.584746</v>
      </c>
      <c r="C626" s="40" t="n">
        <v>-46.636337</v>
      </c>
      <c r="D626" s="40" t="n">
        <v>246</v>
      </c>
      <c r="E626" s="41" t="n">
        <v>13551.664</v>
      </c>
    </row>
    <row r="627">
      <c r="A627" s="42">
        <f>_xlfn.XLOOKUP(17839,Trip[shape_id],Trip[shape_id],"Não encontrado")</f>
        <v/>
      </c>
      <c r="B627" s="43" t="n">
        <v>-23.584807</v>
      </c>
      <c r="C627" s="43" t="n">
        <v>-46.6363</v>
      </c>
      <c r="D627" s="43" t="n">
        <v>247</v>
      </c>
      <c r="E627" s="44" t="n">
        <v>13559.403</v>
      </c>
    </row>
    <row r="628">
      <c r="A628" s="39">
        <f>_xlfn.XLOOKUP(17839,Trip[shape_id],Trip[shape_id],"Não encontrado")</f>
        <v/>
      </c>
      <c r="B628" s="40" t="n">
        <v>-23.585176</v>
      </c>
      <c r="C628" s="40" t="n">
        <v>-46.636072</v>
      </c>
      <c r="D628" s="40" t="n">
        <v>248</v>
      </c>
      <c r="E628" s="41" t="n">
        <v>13606.433</v>
      </c>
    </row>
    <row r="629">
      <c r="A629" s="42">
        <f>_xlfn.XLOOKUP(17839,Trip[shape_id],Trip[shape_id],"Não encontrado")</f>
        <v/>
      </c>
      <c r="B629" s="43" t="n">
        <v>-23.585517</v>
      </c>
      <c r="C629" s="43" t="n">
        <v>-46.635852</v>
      </c>
      <c r="D629" s="43" t="n">
        <v>249</v>
      </c>
      <c r="E629" s="44" t="n">
        <v>13650.371</v>
      </c>
    </row>
    <row r="630">
      <c r="A630" s="39">
        <f>_xlfn.XLOOKUP(17839,Trip[shape_id],Trip[shape_id],"Não encontrado")</f>
        <v/>
      </c>
      <c r="B630" s="40" t="n">
        <v>-23.586076</v>
      </c>
      <c r="C630" s="40" t="n">
        <v>-46.635491</v>
      </c>
      <c r="D630" s="40" t="n">
        <v>250</v>
      </c>
      <c r="E630" s="41" t="n">
        <v>13722.418</v>
      </c>
    </row>
    <row r="631">
      <c r="A631" s="42">
        <f>_xlfn.XLOOKUP(17839,Trip[shape_id],Trip[shape_id],"Não encontrado")</f>
        <v/>
      </c>
      <c r="B631" s="43" t="n">
        <v>-23.586629</v>
      </c>
      <c r="C631" s="43" t="n">
        <v>-46.635159</v>
      </c>
      <c r="D631" s="43" t="n">
        <v>251</v>
      </c>
      <c r="E631" s="44" t="n">
        <v>13792.414</v>
      </c>
    </row>
    <row r="632">
      <c r="A632" s="39">
        <f>_xlfn.XLOOKUP(17839,Trip[shape_id],Trip[shape_id],"Não encontrado")</f>
        <v/>
      </c>
      <c r="B632" s="40" t="n">
        <v>-23.586917</v>
      </c>
      <c r="C632" s="40" t="n">
        <v>-46.634983</v>
      </c>
      <c r="D632" s="40" t="n">
        <v>252</v>
      </c>
      <c r="E632" s="41" t="n">
        <v>13829.022</v>
      </c>
    </row>
    <row r="633">
      <c r="A633" s="42">
        <f>_xlfn.XLOOKUP(17839,Trip[shape_id],Trip[shape_id],"Não encontrado")</f>
        <v/>
      </c>
      <c r="B633" s="43" t="n">
        <v>-23.587287</v>
      </c>
      <c r="C633" s="43" t="n">
        <v>-46.634808</v>
      </c>
      <c r="D633" s="43" t="n">
        <v>253</v>
      </c>
      <c r="E633" s="44" t="n">
        <v>13873.725</v>
      </c>
    </row>
    <row r="634">
      <c r="A634" s="39">
        <f>_xlfn.XLOOKUP(17839,Trip[shape_id],Trip[shape_id],"Não encontrado")</f>
        <v/>
      </c>
      <c r="B634" s="40" t="n">
        <v>-23.587414</v>
      </c>
      <c r="C634" s="40" t="n">
        <v>-46.63477</v>
      </c>
      <c r="D634" s="40" t="n">
        <v>254</v>
      </c>
      <c r="E634" s="41" t="n">
        <v>13888.315</v>
      </c>
    </row>
    <row r="635">
      <c r="A635" s="42">
        <f>_xlfn.XLOOKUP(17839,Trip[shape_id],Trip[shape_id],"Não encontrado")</f>
        <v/>
      </c>
      <c r="B635" s="43" t="n">
        <v>-23.587601</v>
      </c>
      <c r="C635" s="43" t="n">
        <v>-46.634715</v>
      </c>
      <c r="D635" s="43" t="n">
        <v>255</v>
      </c>
      <c r="E635" s="44" t="n">
        <v>13909.773</v>
      </c>
    </row>
    <row r="636">
      <c r="A636" s="39">
        <f>_xlfn.XLOOKUP(17839,Trip[shape_id],Trip[shape_id],"Não encontrado")</f>
        <v/>
      </c>
      <c r="B636" s="40" t="n">
        <v>-23.587804</v>
      </c>
      <c r="C636" s="40" t="n">
        <v>-46.634654</v>
      </c>
      <c r="D636" s="40" t="n">
        <v>256</v>
      </c>
      <c r="E636" s="41" t="n">
        <v>13933.103</v>
      </c>
    </row>
    <row r="637">
      <c r="A637" s="42">
        <f>_xlfn.XLOOKUP(17839,Trip[shape_id],Trip[shape_id],"Não encontrado")</f>
        <v/>
      </c>
      <c r="B637" s="43" t="n">
        <v>-23.588011</v>
      </c>
      <c r="C637" s="43" t="n">
        <v>-46.634625</v>
      </c>
      <c r="D637" s="43" t="n">
        <v>257</v>
      </c>
      <c r="E637" s="44" t="n">
        <v>13956.219</v>
      </c>
    </row>
    <row r="638">
      <c r="A638" s="39">
        <f>_xlfn.XLOOKUP(17839,Trip[shape_id],Trip[shape_id],"Não encontrado")</f>
        <v/>
      </c>
      <c r="B638" s="40" t="n">
        <v>-23.588352</v>
      </c>
      <c r="C638" s="40" t="n">
        <v>-46.634578</v>
      </c>
      <c r="D638" s="40" t="n">
        <v>258</v>
      </c>
      <c r="E638" s="41" t="n">
        <v>13994.289</v>
      </c>
    </row>
    <row r="639">
      <c r="A639" s="42">
        <f>_xlfn.XLOOKUP(17839,Trip[shape_id],Trip[shape_id],"Não encontrado")</f>
        <v/>
      </c>
      <c r="B639" s="43" t="n">
        <v>-23.588963</v>
      </c>
      <c r="C639" s="43" t="n">
        <v>-46.634619</v>
      </c>
      <c r="D639" s="43" t="n">
        <v>259</v>
      </c>
      <c r="E639" s="44" t="n">
        <v>14062.088</v>
      </c>
    </row>
    <row r="640">
      <c r="A640" s="39">
        <f>_xlfn.XLOOKUP(17839,Trip[shape_id],Trip[shape_id],"Não encontrado")</f>
        <v/>
      </c>
      <c r="B640" s="40" t="n">
        <v>-23.589239</v>
      </c>
      <c r="C640" s="40" t="n">
        <v>-46.634651</v>
      </c>
      <c r="D640" s="40" t="n">
        <v>260</v>
      </c>
      <c r="E640" s="41" t="n">
        <v>14092.829</v>
      </c>
    </row>
    <row r="641">
      <c r="A641" s="42">
        <f>_xlfn.XLOOKUP(17839,Trip[shape_id],Trip[shape_id],"Não encontrado")</f>
        <v/>
      </c>
      <c r="B641" s="43" t="n">
        <v>-23.58943</v>
      </c>
      <c r="C641" s="43" t="n">
        <v>-46.634683</v>
      </c>
      <c r="D641" s="43" t="n">
        <v>261</v>
      </c>
      <c r="E641" s="44" t="n">
        <v>14134.436</v>
      </c>
    </row>
    <row r="642">
      <c r="A642" s="39">
        <f>_xlfn.XLOOKUP(17839,Trip[shape_id],Trip[shape_id],"Não encontrado")</f>
        <v/>
      </c>
      <c r="B642" s="40" t="n">
        <v>-23.589589</v>
      </c>
      <c r="C642" s="40" t="n">
        <v>-46.63478</v>
      </c>
      <c r="D642" s="40" t="n">
        <v>262</v>
      </c>
      <c r="E642" s="41" t="n">
        <v>14168.67</v>
      </c>
    </row>
    <row r="643">
      <c r="A643" s="42">
        <f>_xlfn.XLOOKUP(17839,Trip[shape_id],Trip[shape_id],"Não encontrado")</f>
        <v/>
      </c>
      <c r="B643" s="43" t="n">
        <v>-23.589878</v>
      </c>
      <c r="C643" s="43" t="n">
        <v>-46.634899</v>
      </c>
      <c r="D643" s="43" t="n">
        <v>263</v>
      </c>
      <c r="E643" s="44" t="n">
        <v>14214.43</v>
      </c>
    </row>
    <row r="644">
      <c r="A644" s="39">
        <f>_xlfn.XLOOKUP(17839,Trip[shape_id],Trip[shape_id],"Não encontrado")</f>
        <v/>
      </c>
      <c r="B644" s="40" t="n">
        <v>-23.590258</v>
      </c>
      <c r="C644" s="40" t="n">
        <v>-46.635075</v>
      </c>
      <c r="D644" s="40" t="n">
        <v>264</v>
      </c>
      <c r="E644" s="41" t="n">
        <v>14266.094</v>
      </c>
    </row>
    <row r="645">
      <c r="A645" s="42">
        <f>_xlfn.XLOOKUP(17839,Trip[shape_id],Trip[shape_id],"Não encontrado")</f>
        <v/>
      </c>
      <c r="B645" s="43" t="n">
        <v>-23.59069</v>
      </c>
      <c r="C645" s="43" t="n">
        <v>-46.635266</v>
      </c>
      <c r="D645" s="43" t="n">
        <v>265</v>
      </c>
      <c r="E645" s="44" t="n">
        <v>14277.844</v>
      </c>
    </row>
    <row r="646">
      <c r="A646" s="39">
        <f>_xlfn.XLOOKUP(17839,Trip[shape_id],Trip[shape_id],"Não encontrado")</f>
        <v/>
      </c>
      <c r="B646" s="40" t="n">
        <v>-23.590786</v>
      </c>
      <c r="C646" s="40" t="n">
        <v>-46.635315</v>
      </c>
      <c r="D646" s="40" t="n">
        <v>266</v>
      </c>
      <c r="E646" s="41" t="n">
        <v>14301.663</v>
      </c>
    </row>
    <row r="647">
      <c r="A647" s="42">
        <f>_xlfn.XLOOKUP(17839,Trip[shape_id],Trip[shape_id],"Não encontrado")</f>
        <v/>
      </c>
      <c r="B647" s="43" t="n">
        <v>-23.590971</v>
      </c>
      <c r="C647" s="43" t="n">
        <v>-46.635434</v>
      </c>
      <c r="D647" s="43" t="n">
        <v>267</v>
      </c>
      <c r="E647" s="44" t="n">
        <v>14330.975</v>
      </c>
    </row>
    <row r="648">
      <c r="A648" s="39">
        <f>_xlfn.XLOOKUP(17839,Trip[shape_id],Trip[shape_id],"Não encontrado")</f>
        <v/>
      </c>
      <c r="B648" s="40" t="n">
        <v>-23.591192</v>
      </c>
      <c r="C648" s="40" t="n">
        <v>-46.635592</v>
      </c>
      <c r="D648" s="40" t="n">
        <v>268</v>
      </c>
      <c r="E648" s="41" t="n">
        <v>14377.235</v>
      </c>
    </row>
    <row r="649">
      <c r="A649" s="42">
        <f>_xlfn.XLOOKUP(17839,Trip[shape_id],Trip[shape_id],"Não encontrado")</f>
        <v/>
      </c>
      <c r="B649" s="43" t="n">
        <v>-23.591513</v>
      </c>
      <c r="C649" s="43" t="n">
        <v>-46.635882</v>
      </c>
      <c r="D649" s="43" t="n">
        <v>269</v>
      </c>
      <c r="E649" s="44" t="n">
        <v>14413.658</v>
      </c>
    </row>
    <row r="650">
      <c r="A650" s="39">
        <f>_xlfn.XLOOKUP(17839,Trip[shape_id],Trip[shape_id],"Não encontrado")</f>
        <v/>
      </c>
      <c r="B650" s="40" t="n">
        <v>-23.591769</v>
      </c>
      <c r="C650" s="40" t="n">
        <v>-46.636106</v>
      </c>
      <c r="D650" s="40" t="n">
        <v>270</v>
      </c>
      <c r="E650" s="41" t="n">
        <v>14442.414</v>
      </c>
    </row>
    <row r="651">
      <c r="A651" s="42">
        <f>_xlfn.XLOOKUP(17839,Trip[shape_id],Trip[shape_id],"Não encontrado")</f>
        <v/>
      </c>
      <c r="B651" s="43" t="n">
        <v>-23.591971</v>
      </c>
      <c r="C651" s="43" t="n">
        <v>-46.636283</v>
      </c>
      <c r="D651" s="43" t="n">
        <v>271</v>
      </c>
      <c r="E651" s="44" t="n">
        <v>14476.099</v>
      </c>
    </row>
    <row r="652">
      <c r="A652" s="39">
        <f>_xlfn.XLOOKUP(17839,Trip[shape_id],Trip[shape_id],"Não encontrado")</f>
        <v/>
      </c>
      <c r="B652" s="40" t="n">
        <v>-23.59224</v>
      </c>
      <c r="C652" s="40" t="n">
        <v>-46.636437</v>
      </c>
      <c r="D652" s="40" t="n">
        <v>272</v>
      </c>
      <c r="E652" s="41" t="n">
        <v>14507.851</v>
      </c>
    </row>
    <row r="653">
      <c r="A653" s="42">
        <f>_xlfn.XLOOKUP(17839,Trip[shape_id],Trip[shape_id],"Não encontrado")</f>
        <v/>
      </c>
      <c r="B653" s="43" t="n">
        <v>-23.592513</v>
      </c>
      <c r="C653" s="43" t="n">
        <v>-46.636532</v>
      </c>
      <c r="D653" s="43" t="n">
        <v>273</v>
      </c>
      <c r="E653" s="44" t="n">
        <v>14527.552</v>
      </c>
    </row>
    <row r="654">
      <c r="A654" s="39">
        <f>_xlfn.XLOOKUP(17839,Trip[shape_id],Trip[shape_id],"Não encontrado")</f>
        <v/>
      </c>
      <c r="B654" s="40" t="n">
        <v>-23.592689</v>
      </c>
      <c r="C654" s="40" t="n">
        <v>-46.63656</v>
      </c>
      <c r="D654" s="40" t="n">
        <v>274</v>
      </c>
      <c r="E654" s="41" t="n">
        <v>14558.063</v>
      </c>
    </row>
    <row r="655">
      <c r="A655" s="42">
        <f>_xlfn.XLOOKUP(17839,Trip[shape_id],Trip[shape_id],"Não encontrado")</f>
        <v/>
      </c>
      <c r="B655" s="43" t="n">
        <v>-23.592963</v>
      </c>
      <c r="C655" s="43" t="n">
        <v>-46.636591</v>
      </c>
      <c r="D655" s="43" t="n">
        <v>275</v>
      </c>
      <c r="E655" s="44" t="n">
        <v>14612.673</v>
      </c>
    </row>
    <row r="656">
      <c r="A656" s="39">
        <f>_xlfn.XLOOKUP(17839,Trip[shape_id],Trip[shape_id],"Não encontrado")</f>
        <v/>
      </c>
      <c r="B656" s="40" t="n">
        <v>-23.593456</v>
      </c>
      <c r="C656" s="40" t="n">
        <v>-46.636601</v>
      </c>
      <c r="D656" s="40" t="n">
        <v>276</v>
      </c>
      <c r="E656" s="41" t="n">
        <v>14675.371</v>
      </c>
    </row>
    <row r="657">
      <c r="A657" s="42">
        <f>_xlfn.XLOOKUP(17839,Trip[shape_id],Trip[shape_id],"Não encontrado")</f>
        <v/>
      </c>
      <c r="B657" s="43" t="n">
        <v>-23.594022</v>
      </c>
      <c r="C657" s="43" t="n">
        <v>-46.636613</v>
      </c>
      <c r="D657" s="43" t="n">
        <v>277</v>
      </c>
      <c r="E657" s="44" t="n">
        <v>14747.815</v>
      </c>
    </row>
    <row r="658">
      <c r="A658" s="39">
        <f>_xlfn.XLOOKUP(17839,Trip[shape_id],Trip[shape_id],"Não encontrado")</f>
        <v/>
      </c>
      <c r="B658" s="40" t="n">
        <v>-23.594676</v>
      </c>
      <c r="C658" s="40" t="n">
        <v>-46.636626</v>
      </c>
      <c r="D658" s="40" t="n">
        <v>278</v>
      </c>
      <c r="E658" s="41" t="n">
        <v>14845.74</v>
      </c>
    </row>
    <row r="659">
      <c r="A659" s="42">
        <f>_xlfn.XLOOKUP(17839,Trip[shape_id],Trip[shape_id],"Não encontrado")</f>
        <v/>
      </c>
      <c r="B659" s="43" t="n">
        <v>-23.59556</v>
      </c>
      <c r="C659" s="43" t="n">
        <v>-46.636645</v>
      </c>
      <c r="D659" s="43" t="n">
        <v>279</v>
      </c>
      <c r="E659" s="44" t="n">
        <v>14889.385</v>
      </c>
    </row>
    <row r="660">
      <c r="A660" s="39">
        <f>_xlfn.XLOOKUP(17839,Trip[shape_id],Trip[shape_id],"Não encontrado")</f>
        <v/>
      </c>
      <c r="B660" s="40" t="n">
        <v>-23.595954</v>
      </c>
      <c r="C660" s="40" t="n">
        <v>-46.636653</v>
      </c>
      <c r="D660" s="40" t="n">
        <v>280</v>
      </c>
      <c r="E660" s="41" t="n">
        <v>14949.748</v>
      </c>
    </row>
    <row r="661">
      <c r="A661" s="42">
        <f>_xlfn.XLOOKUP(17839,Trip[shape_id],Trip[shape_id],"Não encontrado")</f>
        <v/>
      </c>
      <c r="B661" s="43" t="n">
        <v>-23.596499</v>
      </c>
      <c r="C661" s="43" t="n">
        <v>-46.636647</v>
      </c>
      <c r="D661" s="43" t="n">
        <v>281</v>
      </c>
      <c r="E661" s="44" t="n">
        <v>15001.806</v>
      </c>
    </row>
    <row r="662">
      <c r="A662" s="39">
        <f>_xlfn.XLOOKUP(17839,Trip[shape_id],Trip[shape_id],"Não encontrado")</f>
        <v/>
      </c>
      <c r="B662" s="40" t="n">
        <v>-23.596969</v>
      </c>
      <c r="C662" s="40" t="n">
        <v>-46.636641</v>
      </c>
      <c r="D662" s="40" t="n">
        <v>282</v>
      </c>
      <c r="E662" s="41" t="n">
        <v>15051.536</v>
      </c>
    </row>
    <row r="663">
      <c r="A663" s="42">
        <f>_xlfn.XLOOKUP(17839,Trip[shape_id],Trip[shape_id],"Não encontrado")</f>
        <v/>
      </c>
      <c r="B663" s="43" t="n">
        <v>-23.597418</v>
      </c>
      <c r="C663" s="43" t="n">
        <v>-46.636636</v>
      </c>
      <c r="D663" s="43" t="n">
        <v>283</v>
      </c>
      <c r="E663" s="44" t="n">
        <v>15107.469</v>
      </c>
    </row>
    <row r="664">
      <c r="A664" s="39">
        <f>_xlfn.XLOOKUP(17839,Trip[shape_id],Trip[shape_id],"Não encontrado")</f>
        <v/>
      </c>
      <c r="B664" s="40" t="n">
        <v>-23.597923</v>
      </c>
      <c r="C664" s="40" t="n">
        <v>-46.636631</v>
      </c>
      <c r="D664" s="40" t="n">
        <v>284</v>
      </c>
      <c r="E664" s="41" t="n">
        <v>15142.468</v>
      </c>
    </row>
    <row r="665">
      <c r="A665" s="42">
        <f>_xlfn.XLOOKUP(17839,Trip[shape_id],Trip[shape_id],"Não encontrado")</f>
        <v/>
      </c>
      <c r="B665" s="43" t="n">
        <v>-23.598239</v>
      </c>
      <c r="C665" s="43" t="n">
        <v>-46.636628</v>
      </c>
      <c r="D665" s="43" t="n">
        <v>285</v>
      </c>
      <c r="E665" s="44" t="n">
        <v>15166.169</v>
      </c>
    </row>
    <row r="666">
      <c r="A666" s="39">
        <f>_xlfn.XLOOKUP(17839,Trip[shape_id],Trip[shape_id],"Não encontrado")</f>
        <v/>
      </c>
      <c r="B666" s="40" t="n">
        <v>-23.598453</v>
      </c>
      <c r="C666" s="40" t="n">
        <v>-46.636627</v>
      </c>
      <c r="D666" s="40" t="n">
        <v>286</v>
      </c>
      <c r="E666" s="41" t="n">
        <v>15166.169</v>
      </c>
    </row>
    <row r="667">
      <c r="A667" s="42">
        <f>_xlfn.XLOOKUP(17839,Trip[shape_id],Trip[shape_id],"Não encontrado")</f>
        <v/>
      </c>
      <c r="B667" s="43" t="n">
        <v>-23.598996</v>
      </c>
      <c r="C667" s="43" t="n">
        <v>-46.636676</v>
      </c>
      <c r="D667" s="43" t="n">
        <v>287</v>
      </c>
      <c r="E667" s="44" t="n">
        <v>15241.579</v>
      </c>
    </row>
    <row r="668">
      <c r="A668" s="39">
        <f>_xlfn.XLOOKUP(17839,Trip[shape_id],Trip[shape_id],"Não encontrado")</f>
        <v/>
      </c>
      <c r="B668" s="40" t="n">
        <v>-23.599132</v>
      </c>
      <c r="C668" s="40" t="n">
        <v>-46.636678</v>
      </c>
      <c r="D668" s="40" t="n">
        <v>288</v>
      </c>
      <c r="E668" s="41" t="n">
        <v>15241.579</v>
      </c>
    </row>
    <row r="669">
      <c r="A669" s="42">
        <f>_xlfn.XLOOKUP(17839,Trip[shape_id],Trip[shape_id],"Não encontrado")</f>
        <v/>
      </c>
      <c r="B669" s="43" t="n">
        <v>-23.599929</v>
      </c>
      <c r="C669" s="43" t="n">
        <v>-46.636687</v>
      </c>
      <c r="D669" s="43" t="n">
        <v>289</v>
      </c>
      <c r="E669" s="44" t="n">
        <v>15426.655</v>
      </c>
    </row>
    <row r="670">
      <c r="A670" s="39">
        <f>_xlfn.XLOOKUP(17839,Trip[shape_id],Trip[shape_id],"Não encontrado")</f>
        <v/>
      </c>
      <c r="B670" s="40" t="n">
        <v>-23.600803</v>
      </c>
      <c r="C670" s="40" t="n">
        <v>-46.636696</v>
      </c>
      <c r="D670" s="40" t="n">
        <v>290</v>
      </c>
      <c r="E670" s="41" t="n">
        <v>15529.323</v>
      </c>
    </row>
    <row r="671">
      <c r="A671" s="42">
        <f>_xlfn.XLOOKUP(17839,Trip[shape_id],Trip[shape_id],"Não encontrado")</f>
        <v/>
      </c>
      <c r="B671" s="43" t="n">
        <v>-23.60173</v>
      </c>
      <c r="C671" s="43" t="n">
        <v>-46.636697</v>
      </c>
      <c r="D671" s="43" t="n">
        <v>291</v>
      </c>
      <c r="E671" s="44" t="n">
        <v>15579.17</v>
      </c>
    </row>
    <row r="672">
      <c r="A672" s="39">
        <f>_xlfn.XLOOKUP(17839,Trip[shape_id],Trip[shape_id],"Não encontrado")</f>
        <v/>
      </c>
      <c r="B672" s="40" t="n">
        <v>-23.60218</v>
      </c>
      <c r="C672" s="40" t="n">
        <v>-46.636706</v>
      </c>
      <c r="D672" s="40" t="n">
        <v>292</v>
      </c>
      <c r="E672" s="41" t="n">
        <v>15716.315</v>
      </c>
    </row>
    <row r="673">
      <c r="A673" s="42">
        <f>_xlfn.XLOOKUP(17839,Trip[shape_id],Trip[shape_id],"Não encontrado")</f>
        <v/>
      </c>
      <c r="B673" s="43" t="n">
        <v>-23.603418</v>
      </c>
      <c r="C673" s="43" t="n">
        <v>-46.636736</v>
      </c>
      <c r="D673" s="43" t="n">
        <v>293</v>
      </c>
      <c r="E673" s="44" t="n">
        <v>15779.999</v>
      </c>
    </row>
    <row r="674">
      <c r="A674" s="39">
        <f>_xlfn.XLOOKUP(17839,Trip[shape_id],Trip[shape_id],"Não encontrado")</f>
        <v/>
      </c>
      <c r="B674" s="40" t="n">
        <v>-23.603993</v>
      </c>
      <c r="C674" s="40" t="n">
        <v>-46.636739</v>
      </c>
      <c r="D674" s="40" t="n">
        <v>294</v>
      </c>
      <c r="E674" s="41" t="n">
        <v>15810.304</v>
      </c>
    </row>
    <row r="675">
      <c r="A675" s="42">
        <f>_xlfn.XLOOKUP(17839,Trip[shape_id],Trip[shape_id],"Não encontrado")</f>
        <v/>
      </c>
      <c r="B675" s="43" t="n">
        <v>-23.604266</v>
      </c>
      <c r="C675" s="43" t="n">
        <v>-46.636759</v>
      </c>
      <c r="D675" s="43" t="n">
        <v>295</v>
      </c>
      <c r="E675" s="44" t="n">
        <v>15831.074</v>
      </c>
    </row>
    <row r="676">
      <c r="A676" s="39">
        <f>_xlfn.XLOOKUP(17839,Trip[shape_id],Trip[shape_id],"Não encontrado")</f>
        <v/>
      </c>
      <c r="B676" s="40" t="n">
        <v>-23.604452</v>
      </c>
      <c r="C676" s="40" t="n">
        <v>-46.636785</v>
      </c>
      <c r="D676" s="40" t="n">
        <v>296</v>
      </c>
      <c r="E676" s="41" t="n">
        <v>15873.687</v>
      </c>
    </row>
    <row r="677">
      <c r="A677" s="42">
        <f>_xlfn.XLOOKUP(17839,Trip[shape_id],Trip[shape_id],"Não encontrado")</f>
        <v/>
      </c>
      <c r="B677" s="43" t="n">
        <v>-23.604826</v>
      </c>
      <c r="C677" s="43" t="n">
        <v>-46.636883</v>
      </c>
      <c r="D677" s="43" t="n">
        <v>297</v>
      </c>
      <c r="E677" s="44" t="n">
        <v>15927.773</v>
      </c>
    </row>
    <row r="678">
      <c r="A678" s="39">
        <f>_xlfn.XLOOKUP(17839,Trip[shape_id],Trip[shape_id],"Não encontrado")</f>
        <v/>
      </c>
      <c r="B678" s="40" t="n">
        <v>-23.605293</v>
      </c>
      <c r="C678" s="40" t="n">
        <v>-46.637038</v>
      </c>
      <c r="D678" s="40" t="n">
        <v>298</v>
      </c>
      <c r="E678" s="41" t="n">
        <v>15969.89</v>
      </c>
    </row>
    <row r="679">
      <c r="A679" s="42">
        <f>_xlfn.XLOOKUP(17839,Trip[shape_id],Trip[shape_id],"Não encontrado")</f>
        <v/>
      </c>
      <c r="B679" s="43" t="n">
        <v>-23.605659</v>
      </c>
      <c r="C679" s="43" t="n">
        <v>-46.63715</v>
      </c>
      <c r="D679" s="43" t="n">
        <v>299</v>
      </c>
      <c r="E679" s="44" t="n">
        <v>16051.449</v>
      </c>
    </row>
    <row r="680">
      <c r="A680" s="39">
        <f>_xlfn.XLOOKUP(17839,Trip[shape_id],Trip[shape_id],"Não encontrado")</f>
        <v/>
      </c>
      <c r="B680" s="40" t="n">
        <v>-23.606362</v>
      </c>
      <c r="C680" s="40" t="n">
        <v>-46.637388</v>
      </c>
      <c r="D680" s="40" t="n">
        <v>300</v>
      </c>
      <c r="E680" s="41" t="n">
        <v>16138.609</v>
      </c>
    </row>
    <row r="681">
      <c r="A681" s="42">
        <f>_xlfn.XLOOKUP(17839,Trip[shape_id],Trip[shape_id],"Não encontrado")</f>
        <v/>
      </c>
      <c r="B681" s="43" t="n">
        <v>-23.607117</v>
      </c>
      <c r="C681" s="43" t="n">
        <v>-46.637629</v>
      </c>
      <c r="D681" s="43" t="n">
        <v>301</v>
      </c>
      <c r="E681" s="44" t="n">
        <v>16168.72</v>
      </c>
    </row>
    <row r="682">
      <c r="A682" s="39">
        <f>_xlfn.XLOOKUP(17839,Trip[shape_id],Trip[shape_id],"Não encontrado")</f>
        <v/>
      </c>
      <c r="B682" s="40" t="n">
        <v>-23.607383</v>
      </c>
      <c r="C682" s="40" t="n">
        <v>-46.63769</v>
      </c>
      <c r="D682" s="40" t="n">
        <v>302</v>
      </c>
      <c r="E682" s="41" t="n">
        <v>16209.181</v>
      </c>
    </row>
    <row r="683">
      <c r="A683" s="42">
        <f>_xlfn.XLOOKUP(17839,Trip[shape_id],Trip[shape_id],"Não encontrado")</f>
        <v/>
      </c>
      <c r="B683" s="43" t="n">
        <v>-23.607741</v>
      </c>
      <c r="C683" s="43" t="n">
        <v>-46.637769</v>
      </c>
      <c r="D683" s="43" t="n">
        <v>303</v>
      </c>
      <c r="E683" s="44" t="n">
        <v>16271.368</v>
      </c>
    </row>
    <row r="684">
      <c r="A684" s="39">
        <f>_xlfn.XLOOKUP(17839,Trip[shape_id],Trip[shape_id],"Não encontrado")</f>
        <v/>
      </c>
      <c r="B684" s="40" t="n">
        <v>-23.608298</v>
      </c>
      <c r="C684" s="40" t="n">
        <v>-46.637846</v>
      </c>
      <c r="D684" s="40" t="n">
        <v>304</v>
      </c>
      <c r="E684" s="41" t="n">
        <v>16312.985</v>
      </c>
    </row>
    <row r="685">
      <c r="A685" s="42">
        <f>_xlfn.XLOOKUP(17839,Trip[shape_id],Trip[shape_id],"Não encontrado")</f>
        <v/>
      </c>
      <c r="B685" s="43" t="n">
        <v>-23.608673</v>
      </c>
      <c r="C685" s="43" t="n">
        <v>-46.637872</v>
      </c>
      <c r="D685" s="43" t="n">
        <v>305</v>
      </c>
      <c r="E685" s="44" t="n">
        <v>16348.876</v>
      </c>
    </row>
    <row r="686">
      <c r="A686" s="39">
        <f>_xlfn.XLOOKUP(17839,Trip[shape_id],Trip[shape_id],"Não encontrado")</f>
        <v/>
      </c>
      <c r="B686" s="40" t="n">
        <v>-23.608997</v>
      </c>
      <c r="C686" s="40" t="n">
        <v>-46.637879</v>
      </c>
      <c r="D686" s="40" t="n">
        <v>306</v>
      </c>
      <c r="E686" s="41" t="n">
        <v>16420.533</v>
      </c>
    </row>
    <row r="687">
      <c r="A687" s="42">
        <f>_xlfn.XLOOKUP(17839,Trip[shape_id],Trip[shape_id],"Não encontrado")</f>
        <v/>
      </c>
      <c r="B687" s="43" t="n">
        <v>-23.609644</v>
      </c>
      <c r="C687" s="43" t="n">
        <v>-46.63788</v>
      </c>
      <c r="D687" s="43" t="n">
        <v>307</v>
      </c>
      <c r="E687" s="44" t="n">
        <v>16505.594</v>
      </c>
    </row>
    <row r="688">
      <c r="A688" s="39">
        <f>_xlfn.XLOOKUP(17839,Trip[shape_id],Trip[shape_id],"Não encontrado")</f>
        <v/>
      </c>
      <c r="B688" s="40" t="n">
        <v>-23.610411</v>
      </c>
      <c r="C688" s="40" t="n">
        <v>-46.637923</v>
      </c>
      <c r="D688" s="40" t="n">
        <v>308</v>
      </c>
      <c r="E688" s="41" t="n">
        <v>16516.686</v>
      </c>
    </row>
    <row r="689">
      <c r="A689" s="42">
        <f>_xlfn.XLOOKUP(17839,Trip[shape_id],Trip[shape_id],"Não encontrado")</f>
        <v/>
      </c>
      <c r="B689" s="43" t="n">
        <v>-23.610511</v>
      </c>
      <c r="C689" s="43" t="n">
        <v>-46.637929</v>
      </c>
      <c r="D689" s="43" t="n">
        <v>309</v>
      </c>
      <c r="E689" s="44" t="n">
        <v>16523.666</v>
      </c>
    </row>
    <row r="690">
      <c r="A690" s="39">
        <f>_xlfn.XLOOKUP(17839,Trip[shape_id],Trip[shape_id],"Não encontrado")</f>
        <v/>
      </c>
      <c r="B690" s="40" t="n">
        <v>-23.610574</v>
      </c>
      <c r="C690" s="40" t="n">
        <v>-46.637927</v>
      </c>
      <c r="D690" s="40" t="n">
        <v>310</v>
      </c>
      <c r="E690" s="41" t="n">
        <v>16523.666</v>
      </c>
    </row>
    <row r="691">
      <c r="A691" s="42">
        <f>_xlfn.XLOOKUP(17839,Trip[shape_id],Trip[shape_id],"Não encontrado")</f>
        <v/>
      </c>
      <c r="B691" s="43" t="n">
        <v>-23.611291</v>
      </c>
      <c r="C691" s="43" t="n">
        <v>-46.637903</v>
      </c>
      <c r="D691" s="43" t="n">
        <v>311</v>
      </c>
      <c r="E691" s="44" t="n">
        <v>16668.047</v>
      </c>
    </row>
    <row r="692">
      <c r="A692" s="39">
        <f>_xlfn.XLOOKUP(17839,Trip[shape_id],Trip[shape_id],"Não encontrado")</f>
        <v/>
      </c>
      <c r="B692" s="40" t="n">
        <v>-23.611877</v>
      </c>
      <c r="C692" s="40" t="n">
        <v>-46.637883</v>
      </c>
      <c r="D692" s="40" t="n">
        <v>312</v>
      </c>
      <c r="E692" s="41" t="n">
        <v>16743.531</v>
      </c>
    </row>
    <row r="693">
      <c r="A693" s="42">
        <f>_xlfn.XLOOKUP(17839,Trip[shape_id],Trip[shape_id],"Não encontrado")</f>
        <v/>
      </c>
      <c r="B693" s="43" t="n">
        <v>-23.612557</v>
      </c>
      <c r="C693" s="43" t="n">
        <v>-46.637933</v>
      </c>
      <c r="D693" s="43" t="n">
        <v>313</v>
      </c>
      <c r="E693" s="44" t="n">
        <v>16806.418</v>
      </c>
    </row>
    <row r="694">
      <c r="A694" s="39">
        <f>_xlfn.XLOOKUP(17839,Trip[shape_id],Trip[shape_id],"Não encontrado")</f>
        <v/>
      </c>
      <c r="B694" s="40" t="n">
        <v>-23.613119</v>
      </c>
      <c r="C694" s="40" t="n">
        <v>-46.638021</v>
      </c>
      <c r="D694" s="40" t="n">
        <v>314</v>
      </c>
      <c r="E694" s="41" t="n">
        <v>16868.422</v>
      </c>
    </row>
    <row r="695">
      <c r="A695" s="42">
        <f>_xlfn.XLOOKUP(17839,Trip[shape_id],Trip[shape_id],"Não encontrado")</f>
        <v/>
      </c>
      <c r="B695" s="43" t="n">
        <v>-23.613668</v>
      </c>
      <c r="C695" s="43" t="n">
        <v>-46.63814</v>
      </c>
      <c r="D695" s="43" t="n">
        <v>315</v>
      </c>
      <c r="E695" s="44" t="n">
        <v>16907.549</v>
      </c>
    </row>
    <row r="696">
      <c r="A696" s="39">
        <f>_xlfn.XLOOKUP(17839,Trip[shape_id],Trip[shape_id],"Não encontrado")</f>
        <v/>
      </c>
      <c r="B696" s="40" t="n">
        <v>-23.614015</v>
      </c>
      <c r="C696" s="40" t="n">
        <v>-46.638212</v>
      </c>
      <c r="D696" s="40" t="n">
        <v>316</v>
      </c>
      <c r="E696" s="41" t="n">
        <v>16973.871</v>
      </c>
    </row>
    <row r="697">
      <c r="A697" s="42">
        <f>_xlfn.XLOOKUP(17839,Trip[shape_id],Trip[shape_id],"Não encontrado")</f>
        <v/>
      </c>
      <c r="B697" s="43" t="n">
        <v>-23.614603</v>
      </c>
      <c r="C697" s="43" t="n">
        <v>-46.638335</v>
      </c>
      <c r="D697" s="43" t="n">
        <v>317</v>
      </c>
      <c r="E697" s="44" t="n">
        <v>17085.188</v>
      </c>
    </row>
    <row r="698">
      <c r="A698" s="39">
        <f>_xlfn.XLOOKUP(17839,Trip[shape_id],Trip[shape_id],"Não encontrado")</f>
        <v/>
      </c>
      <c r="B698" s="40" t="n">
        <v>-23.61559</v>
      </c>
      <c r="C698" s="40" t="n">
        <v>-46.638541</v>
      </c>
      <c r="D698" s="40" t="n">
        <v>318</v>
      </c>
      <c r="E698" s="41" t="n">
        <v>17160.846</v>
      </c>
    </row>
    <row r="699">
      <c r="A699" s="42">
        <f>_xlfn.XLOOKUP(17839,Trip[shape_id],Trip[shape_id],"Não encontrado")</f>
        <v/>
      </c>
      <c r="B699" s="43" t="n">
        <v>-23.616259</v>
      </c>
      <c r="C699" s="43" t="n">
        <v>-46.638691</v>
      </c>
      <c r="D699" s="43" t="n">
        <v>319</v>
      </c>
      <c r="E699" s="44" t="n">
        <v>17240.92</v>
      </c>
    </row>
    <row r="700">
      <c r="A700" s="39">
        <f>_xlfn.XLOOKUP(17839,Trip[shape_id],Trip[shape_id],"Não encontrado")</f>
        <v/>
      </c>
      <c r="B700" s="40" t="n">
        <v>-23.616967</v>
      </c>
      <c r="C700" s="40" t="n">
        <v>-46.63885</v>
      </c>
      <c r="D700" s="40" t="n">
        <v>320</v>
      </c>
      <c r="E700" s="41" t="n">
        <v>17314.564</v>
      </c>
    </row>
    <row r="701">
      <c r="A701" s="42">
        <f>_xlfn.XLOOKUP(17839,Trip[shape_id],Trip[shape_id],"Não encontrado")</f>
        <v/>
      </c>
      <c r="B701" s="43" t="n">
        <v>-23.617618</v>
      </c>
      <c r="C701" s="43" t="n">
        <v>-46.638997</v>
      </c>
      <c r="D701" s="43" t="n">
        <v>321</v>
      </c>
      <c r="E701" s="44" t="n">
        <v>17392.861</v>
      </c>
    </row>
    <row r="702">
      <c r="A702" s="39">
        <f>_xlfn.XLOOKUP(17839,Trip[shape_id],Trip[shape_id],"Não encontrado")</f>
        <v/>
      </c>
      <c r="B702" s="40" t="n">
        <v>-23.61831</v>
      </c>
      <c r="C702" s="40" t="n">
        <v>-46.639154</v>
      </c>
      <c r="D702" s="40" t="n">
        <v>322</v>
      </c>
      <c r="E702" s="41" t="n">
        <v>17392.861</v>
      </c>
    </row>
    <row r="703">
      <c r="A703" s="42">
        <f>_xlfn.XLOOKUP(17839,Trip[shape_id],Trip[shape_id],"Não encontrado")</f>
        <v/>
      </c>
      <c r="B703" s="43" t="n">
        <v>-23.619099</v>
      </c>
      <c r="C703" s="43" t="n">
        <v>-46.639329</v>
      </c>
      <c r="D703" s="43" t="n">
        <v>323</v>
      </c>
      <c r="E703" s="44" t="n">
        <v>17553.559</v>
      </c>
    </row>
    <row r="704">
      <c r="A704" s="39">
        <f>_xlfn.XLOOKUP(17839,Trip[shape_id],Trip[shape_id],"Não encontrado")</f>
        <v/>
      </c>
      <c r="B704" s="40" t="n">
        <v>-23.619732</v>
      </c>
      <c r="C704" s="40" t="n">
        <v>-46.639467</v>
      </c>
      <c r="D704" s="40" t="n">
        <v>324</v>
      </c>
      <c r="E704" s="41" t="n">
        <v>17577.109</v>
      </c>
    </row>
    <row r="705">
      <c r="A705" s="42">
        <f>_xlfn.XLOOKUP(17839,Trip[shape_id],Trip[shape_id],"Não encontrado")</f>
        <v/>
      </c>
      <c r="B705" s="43" t="n">
        <v>-23.61994</v>
      </c>
      <c r="C705" s="43" t="n">
        <v>-46.639515</v>
      </c>
      <c r="D705" s="43" t="n">
        <v>325</v>
      </c>
      <c r="E705" s="44" t="n">
        <v>17641.494</v>
      </c>
    </row>
    <row r="706">
      <c r="A706" s="39">
        <f>_xlfn.XLOOKUP(17839,Trip[shape_id],Trip[shape_id],"Não encontrado")</f>
        <v/>
      </c>
      <c r="B706" s="40" t="n">
        <v>-23.62051</v>
      </c>
      <c r="C706" s="40" t="n">
        <v>-46.639639</v>
      </c>
      <c r="D706" s="40" t="n">
        <v>326</v>
      </c>
      <c r="E706" s="41" t="n">
        <v>17796.541</v>
      </c>
    </row>
    <row r="707">
      <c r="A707" s="42">
        <f>_xlfn.XLOOKUP(17839,Trip[shape_id],Trip[shape_id],"Não encontrado")</f>
        <v/>
      </c>
      <c r="B707" s="43" t="n">
        <v>-23.621882</v>
      </c>
      <c r="C707" s="43" t="n">
        <v>-46.639941</v>
      </c>
      <c r="D707" s="43" t="n">
        <v>327</v>
      </c>
      <c r="E707" s="44" t="n">
        <v>17917.035</v>
      </c>
    </row>
    <row r="708">
      <c r="A708" s="39">
        <f>_xlfn.XLOOKUP(17839,Trip[shape_id],Trip[shape_id],"Não encontrado")</f>
        <v/>
      </c>
      <c r="B708" s="40" t="n">
        <v>-23.622948</v>
      </c>
      <c r="C708" s="40" t="n">
        <v>-46.640177</v>
      </c>
      <c r="D708" s="40" t="n">
        <v>328</v>
      </c>
      <c r="E708" s="41" t="n">
        <v>17958.381</v>
      </c>
    </row>
    <row r="709">
      <c r="A709" s="42">
        <f>_xlfn.XLOOKUP(17839,Trip[shape_id],Trip[shape_id],"Não encontrado")</f>
        <v/>
      </c>
      <c r="B709" s="43" t="n">
        <v>-23.623313</v>
      </c>
      <c r="C709" s="43" t="n">
        <v>-46.640262</v>
      </c>
      <c r="D709" s="43" t="n">
        <v>329</v>
      </c>
      <c r="E709" s="44" t="n">
        <v>18028.494</v>
      </c>
    </row>
    <row r="710">
      <c r="A710" s="39">
        <f>_xlfn.XLOOKUP(17839,Trip[shape_id],Trip[shape_id],"Não encontrado")</f>
        <v/>
      </c>
      <c r="B710" s="40" t="n">
        <v>-23.623932</v>
      </c>
      <c r="C710" s="40" t="n">
        <v>-46.640406</v>
      </c>
      <c r="D710" s="40" t="n">
        <v>330</v>
      </c>
      <c r="E710" s="41" t="n">
        <v>18097.439</v>
      </c>
    </row>
    <row r="711">
      <c r="A711" s="42">
        <f>_xlfn.XLOOKUP(17839,Trip[shape_id],Trip[shape_id],"Não encontrado")</f>
        <v/>
      </c>
      <c r="B711" s="43" t="n">
        <v>-23.624541</v>
      </c>
      <c r="C711" s="43" t="n">
        <v>-46.640546</v>
      </c>
      <c r="D711" s="43" t="n">
        <v>331</v>
      </c>
      <c r="E711" s="44" t="n">
        <v>18181.191</v>
      </c>
    </row>
    <row r="712">
      <c r="A712" s="39">
        <f>_xlfn.XLOOKUP(17839,Trip[shape_id],Trip[shape_id],"Não encontrado")</f>
        <v/>
      </c>
      <c r="B712" s="40" t="n">
        <v>-23.625281</v>
      </c>
      <c r="C712" s="40" t="n">
        <v>-46.640715</v>
      </c>
      <c r="D712" s="40" t="n">
        <v>332</v>
      </c>
      <c r="E712" s="41" t="n">
        <v>18189.549</v>
      </c>
    </row>
    <row r="713">
      <c r="A713" s="42">
        <f>_xlfn.XLOOKUP(17839,Trip[shape_id],Trip[shape_id],"Não encontrado")</f>
        <v/>
      </c>
      <c r="B713" s="43" t="n">
        <v>-23.625355</v>
      </c>
      <c r="C713" s="43" t="n">
        <v>-46.640731</v>
      </c>
      <c r="D713" s="43" t="n">
        <v>333</v>
      </c>
      <c r="E713" s="44" t="n">
        <v>18245.027</v>
      </c>
    </row>
    <row r="714">
      <c r="A714" s="39">
        <f>_xlfn.XLOOKUP(17839,Trip[shape_id],Trip[shape_id],"Não encontrado")</f>
        <v/>
      </c>
      <c r="B714" s="40" t="n">
        <v>-23.625824</v>
      </c>
      <c r="C714" s="40" t="n">
        <v>-46.640922</v>
      </c>
      <c r="D714" s="40" t="n">
        <v>334</v>
      </c>
      <c r="E714" s="41" t="n">
        <v>18245.027</v>
      </c>
    </row>
    <row r="715">
      <c r="A715" s="42">
        <f>_xlfn.XLOOKUP(17839,Trip[shape_id],Trip[shape_id],"Não encontrado")</f>
        <v/>
      </c>
      <c r="B715" s="43" t="n">
        <v>-23.626358</v>
      </c>
      <c r="C715" s="43" t="n">
        <v>-46.641099</v>
      </c>
      <c r="D715" s="43" t="n">
        <v>335</v>
      </c>
      <c r="E715" s="44" t="n">
        <v>18369.822</v>
      </c>
    </row>
    <row r="716">
      <c r="A716" s="39">
        <f>_xlfn.XLOOKUP(17839,Trip[shape_id],Trip[shape_id],"Não encontrado")</f>
        <v/>
      </c>
      <c r="B716" s="40" t="n">
        <v>-23.626922</v>
      </c>
      <c r="C716" s="40" t="n">
        <v>-46.641176</v>
      </c>
      <c r="D716" s="40" t="n">
        <v>336</v>
      </c>
      <c r="E716" s="41" t="n">
        <v>18381.676</v>
      </c>
    </row>
    <row r="717">
      <c r="A717" s="42">
        <f>_xlfn.XLOOKUP(17839,Trip[shape_id],Trip[shape_id],"Não encontrado")</f>
        <v/>
      </c>
      <c r="B717" s="43" t="n">
        <v>-23.627028</v>
      </c>
      <c r="C717" s="43" t="n">
        <v>-46.641192</v>
      </c>
      <c r="D717" s="43" t="n">
        <v>337</v>
      </c>
      <c r="E717" s="44" t="n">
        <v>18389.373</v>
      </c>
    </row>
    <row r="718">
      <c r="A718" s="39">
        <f>_xlfn.XLOOKUP(17839,Trip[shape_id],Trip[shape_id],"Não encontrado")</f>
        <v/>
      </c>
      <c r="B718" s="40" t="n">
        <v>-23.627097</v>
      </c>
      <c r="C718" s="40" t="n">
        <v>-46.641201</v>
      </c>
      <c r="D718" s="40" t="n">
        <v>338</v>
      </c>
      <c r="E718" s="41" t="n">
        <v>18389.373</v>
      </c>
    </row>
    <row r="719">
      <c r="A719" s="42">
        <f>_xlfn.XLOOKUP(17839,Trip[shape_id],Trip[shape_id],"Não encontrado")</f>
        <v/>
      </c>
      <c r="B719" s="43" t="n">
        <v>-23.627352</v>
      </c>
      <c r="C719" s="43" t="n">
        <v>-46.641239</v>
      </c>
      <c r="D719" s="43" t="n">
        <v>339</v>
      </c>
      <c r="E719" s="44" t="n">
        <v>18456.072</v>
      </c>
    </row>
    <row r="720">
      <c r="A720" s="39">
        <f>_xlfn.XLOOKUP(17839,Trip[shape_id],Trip[shape_id],"Não encontrado")</f>
        <v/>
      </c>
      <c r="B720" s="40" t="n">
        <v>-23.627696</v>
      </c>
      <c r="C720" s="40" t="n">
        <v>-46.641265</v>
      </c>
      <c r="D720" s="40" t="n">
        <v>340</v>
      </c>
      <c r="E720" s="41" t="n">
        <v>18524.775</v>
      </c>
    </row>
    <row r="721">
      <c r="A721" s="42">
        <f>_xlfn.XLOOKUP(17839,Trip[shape_id],Trip[shape_id],"Não encontrado")</f>
        <v/>
      </c>
      <c r="B721" s="43" t="n">
        <v>-23.628316</v>
      </c>
      <c r="C721" s="43" t="n">
        <v>-46.641287</v>
      </c>
      <c r="D721" s="43" t="n">
        <v>341</v>
      </c>
      <c r="E721" s="44" t="n">
        <v>18568.313</v>
      </c>
    </row>
    <row r="722">
      <c r="A722" s="39">
        <f>_xlfn.XLOOKUP(17839,Trip[shape_id],Trip[shape_id],"Não encontrado")</f>
        <v/>
      </c>
      <c r="B722" s="40" t="n">
        <v>-23.628707</v>
      </c>
      <c r="C722" s="40" t="n">
        <v>-46.641331</v>
      </c>
      <c r="D722" s="40" t="n">
        <v>342</v>
      </c>
      <c r="E722" s="41" t="n">
        <v>18603.084</v>
      </c>
    </row>
    <row r="723">
      <c r="A723" s="42">
        <f>_xlfn.XLOOKUP(17839,Trip[shape_id],Trip[shape_id],"Não encontrado")</f>
        <v/>
      </c>
      <c r="B723" s="43" t="n">
        <v>-23.629019</v>
      </c>
      <c r="C723" s="43" t="n">
        <v>-46.641369</v>
      </c>
      <c r="D723" s="43" t="n">
        <v>343</v>
      </c>
      <c r="E723" s="44" t="n">
        <v>18744.996</v>
      </c>
    </row>
    <row r="724">
      <c r="A724" s="39">
        <f>_xlfn.XLOOKUP(17839,Trip[shape_id],Trip[shape_id],"Não encontrado")</f>
        <v/>
      </c>
      <c r="B724" s="40" t="n">
        <v>-23.630298</v>
      </c>
      <c r="C724" s="40" t="n">
        <v>-46.641453</v>
      </c>
      <c r="D724" s="40" t="n">
        <v>344</v>
      </c>
      <c r="E724" s="41" t="n">
        <v>18775.688</v>
      </c>
    </row>
    <row r="725">
      <c r="A725" s="42">
        <f>_xlfn.XLOOKUP(17839,Trip[shape_id],Trip[shape_id],"Não encontrado")</f>
        <v/>
      </c>
      <c r="B725" s="43" t="n">
        <v>-23.630575</v>
      </c>
      <c r="C725" s="43" t="n">
        <v>-46.641462</v>
      </c>
      <c r="D725" s="43" t="n">
        <v>345</v>
      </c>
      <c r="E725" s="44" t="n">
        <v>18835.357</v>
      </c>
    </row>
    <row r="726">
      <c r="A726" s="39">
        <f>_xlfn.XLOOKUP(17839,Trip[shape_id],Trip[shape_id],"Não encontrado")</f>
        <v/>
      </c>
      <c r="B726" s="40" t="n">
        <v>-23.631113</v>
      </c>
      <c r="C726" s="40" t="n">
        <v>-46.641493</v>
      </c>
      <c r="D726" s="40" t="n">
        <v>346</v>
      </c>
      <c r="E726" s="41" t="n">
        <v>18869.938</v>
      </c>
    </row>
    <row r="727">
      <c r="A727" s="42">
        <f>_xlfn.XLOOKUP(17839,Trip[shape_id],Trip[shape_id],"Não encontrado")</f>
        <v/>
      </c>
      <c r="B727" s="43" t="n">
        <v>-23.631425</v>
      </c>
      <c r="C727" s="43" t="n">
        <v>-46.641506</v>
      </c>
      <c r="D727" s="43" t="n">
        <v>347</v>
      </c>
      <c r="E727" s="44" t="n">
        <v>18926.645</v>
      </c>
    </row>
    <row r="728">
      <c r="A728" s="39">
        <f>_xlfn.XLOOKUP(17839,Trip[shape_id],Trip[shape_id],"Não encontrado")</f>
        <v/>
      </c>
      <c r="B728" s="40" t="n">
        <v>-23.631936</v>
      </c>
      <c r="C728" s="40" t="n">
        <v>-46.641541</v>
      </c>
      <c r="D728" s="40" t="n">
        <v>348</v>
      </c>
      <c r="E728" s="41" t="n">
        <v>18966.693</v>
      </c>
    </row>
    <row r="729">
      <c r="A729" s="42">
        <f>_xlfn.XLOOKUP(17839,Trip[shape_id],Trip[shape_id],"Não encontrado")</f>
        <v/>
      </c>
      <c r="B729" s="43" t="n">
        <v>-23.632296</v>
      </c>
      <c r="C729" s="43" t="n">
        <v>-46.641578</v>
      </c>
      <c r="D729" s="43" t="n">
        <v>349</v>
      </c>
      <c r="E729" s="44" t="n">
        <v>18991.814</v>
      </c>
    </row>
    <row r="730">
      <c r="A730" s="39">
        <f>_xlfn.XLOOKUP(17839,Trip[shape_id],Trip[shape_id],"Não encontrado")</f>
        <v/>
      </c>
      <c r="B730" s="40" t="n">
        <v>-23.632522</v>
      </c>
      <c r="C730" s="40" t="n">
        <v>-46.641557</v>
      </c>
      <c r="D730" s="40" t="n">
        <v>350</v>
      </c>
      <c r="E730" s="41" t="n">
        <v>19012.199</v>
      </c>
    </row>
    <row r="731">
      <c r="A731" s="42">
        <f>_xlfn.XLOOKUP(17839,Trip[shape_id],Trip[shape_id],"Não encontrado")</f>
        <v/>
      </c>
      <c r="B731" s="43" t="n">
        <v>-23.632706</v>
      </c>
      <c r="C731" s="43" t="n">
        <v>-46.641552</v>
      </c>
      <c r="D731" s="43" t="n">
        <v>351</v>
      </c>
      <c r="E731" s="44" t="n">
        <v>19053.965</v>
      </c>
    </row>
    <row r="732">
      <c r="A732" s="39">
        <f>_xlfn.XLOOKUP(17839,Trip[shape_id],Trip[shape_id],"Não encontrado")</f>
        <v/>
      </c>
      <c r="B732" s="40" t="n">
        <v>-23.633083</v>
      </c>
      <c r="C732" s="40" t="n">
        <v>-46.641562</v>
      </c>
      <c r="D732" s="40" t="n">
        <v>352</v>
      </c>
      <c r="E732" s="41" t="n">
        <v>19069.371</v>
      </c>
    </row>
    <row r="733">
      <c r="A733" s="42">
        <f>_xlfn.XLOOKUP(17839,Trip[shape_id],Trip[shape_id],"Não encontrado")</f>
        <v/>
      </c>
      <c r="B733" s="43" t="n">
        <v>-23.633222</v>
      </c>
      <c r="C733" s="43" t="n">
        <v>-46.641568</v>
      </c>
      <c r="D733" s="43" t="n">
        <v>353</v>
      </c>
      <c r="E733" s="44" t="n">
        <v>19082.994</v>
      </c>
    </row>
    <row r="734">
      <c r="A734" s="39">
        <f>_xlfn.XLOOKUP(17839,Trip[shape_id],Trip[shape_id],"Não encontrado")</f>
        <v/>
      </c>
      <c r="B734" s="40" t="n">
        <v>-23.633344</v>
      </c>
      <c r="C734" s="40" t="n">
        <v>-46.641551</v>
      </c>
      <c r="D734" s="40" t="n">
        <v>354</v>
      </c>
      <c r="E734" s="41" t="n">
        <v>19112.623</v>
      </c>
    </row>
    <row r="735">
      <c r="A735" s="42">
        <f>_xlfn.XLOOKUP(17839,Trip[shape_id],Trip[shape_id],"Não encontrado")</f>
        <v/>
      </c>
      <c r="B735" s="43" t="n">
        <v>-23.633608</v>
      </c>
      <c r="C735" s="43" t="n">
        <v>-46.641504</v>
      </c>
      <c r="D735" s="43" t="n">
        <v>355</v>
      </c>
      <c r="E735" s="44" t="n">
        <v>19146.26</v>
      </c>
    </row>
    <row r="736">
      <c r="A736" s="39">
        <f>_xlfn.XLOOKUP(17839,Trip[shape_id],Trip[shape_id],"Não encontrado")</f>
        <v/>
      </c>
      <c r="B736" s="40" t="n">
        <v>-23.633909</v>
      </c>
      <c r="C736" s="40" t="n">
        <v>-46.64146</v>
      </c>
      <c r="D736" s="40" t="n">
        <v>356</v>
      </c>
      <c r="E736" s="41" t="n">
        <v>19205.402</v>
      </c>
    </row>
    <row r="737">
      <c r="A737" s="42">
        <f>_xlfn.XLOOKUP(17839,Trip[shape_id],Trip[shape_id],"Não encontrado")</f>
        <v/>
      </c>
      <c r="B737" s="43" t="n">
        <v>-23.634435</v>
      </c>
      <c r="C737" s="43" t="n">
        <v>-46.64136</v>
      </c>
      <c r="D737" s="43" t="n">
        <v>357</v>
      </c>
      <c r="E737" s="44" t="n">
        <v>19265.654</v>
      </c>
    </row>
    <row r="738">
      <c r="A738" s="39">
        <f>_xlfn.XLOOKUP(17839,Trip[shape_id],Trip[shape_id],"Não encontrado")</f>
        <v/>
      </c>
      <c r="B738" s="40" t="n">
        <v>-23.634974</v>
      </c>
      <c r="C738" s="40" t="n">
        <v>-46.64128</v>
      </c>
      <c r="D738" s="40" t="n">
        <v>358</v>
      </c>
      <c r="E738" s="41" t="n">
        <v>19274.076</v>
      </c>
    </row>
    <row r="739">
      <c r="A739" s="42">
        <f>_xlfn.XLOOKUP(17839,Trip[shape_id],Trip[shape_id],"Não encontrado")</f>
        <v/>
      </c>
      <c r="B739" s="43" t="n">
        <v>-23.63504</v>
      </c>
      <c r="C739" s="43" t="n">
        <v>-46.641239</v>
      </c>
      <c r="D739" s="43" t="n">
        <v>359</v>
      </c>
      <c r="E739" s="44" t="n">
        <v>19274.076</v>
      </c>
    </row>
    <row r="740">
      <c r="A740" s="39">
        <f>_xlfn.XLOOKUP(17839,Trip[shape_id],Trip[shape_id],"Não encontrado")</f>
        <v/>
      </c>
      <c r="B740" s="40" t="n">
        <v>-23.636146</v>
      </c>
      <c r="C740" s="40" t="n">
        <v>-46.641235</v>
      </c>
      <c r="D740" s="40" t="n">
        <v>360</v>
      </c>
      <c r="E740" s="41" t="n">
        <v>19423.482</v>
      </c>
    </row>
    <row r="741">
      <c r="A741" s="42">
        <f>_xlfn.XLOOKUP(17839,Trip[shape_id],Trip[shape_id],"Não encontrado")</f>
        <v/>
      </c>
      <c r="B741" s="43" t="n">
        <v>-23.636389</v>
      </c>
      <c r="C741" s="43" t="n">
        <v>-46.641235</v>
      </c>
      <c r="D741" s="43" t="n">
        <v>361</v>
      </c>
      <c r="E741" s="44" t="n">
        <v>19470.117</v>
      </c>
    </row>
    <row r="742">
      <c r="A742" s="39">
        <f>_xlfn.XLOOKUP(17839,Trip[shape_id],Trip[shape_id],"Não encontrado")</f>
        <v/>
      </c>
      <c r="B742" s="40" t="n">
        <v>-23.63681</v>
      </c>
      <c r="C742" s="40" t="n">
        <v>-46.641243</v>
      </c>
      <c r="D742" s="40" t="n">
        <v>362</v>
      </c>
      <c r="E742" s="41" t="n">
        <v>19555.445</v>
      </c>
    </row>
    <row r="743">
      <c r="A743" s="42">
        <f>_xlfn.XLOOKUP(17839,Trip[shape_id],Trip[shape_id],"Não encontrado")</f>
        <v/>
      </c>
      <c r="B743" s="43" t="n">
        <v>-23.63758</v>
      </c>
      <c r="C743" s="43" t="n">
        <v>-46.641271</v>
      </c>
      <c r="D743" s="43" t="n">
        <v>363</v>
      </c>
      <c r="E743" s="44" t="n">
        <v>19555.445</v>
      </c>
    </row>
    <row r="744">
      <c r="A744" s="39">
        <f>_xlfn.XLOOKUP(17839,Trip[shape_id],Trip[shape_id],"Não encontrado")</f>
        <v/>
      </c>
      <c r="B744" s="40" t="n">
        <v>-23.637793</v>
      </c>
      <c r="C744" s="40" t="n">
        <v>-46.641277</v>
      </c>
      <c r="D744" s="40" t="n">
        <v>364</v>
      </c>
      <c r="E744" s="41" t="n">
        <v>19697.334</v>
      </c>
    </row>
    <row r="745">
      <c r="A745" s="42">
        <f>_xlfn.XLOOKUP(17839,Trip[shape_id],Trip[shape_id],"Não encontrado")</f>
        <v/>
      </c>
      <c r="B745" s="43" t="n">
        <v>-23.638861</v>
      </c>
      <c r="C745" s="43" t="n">
        <v>-46.64129</v>
      </c>
      <c r="D745" s="43" t="n">
        <v>365</v>
      </c>
      <c r="E745" s="44" t="n">
        <v>19764.982</v>
      </c>
    </row>
    <row r="746">
      <c r="A746" s="39">
        <f>_xlfn.XLOOKUP(17839,Trip[shape_id],Trip[shape_id],"Não encontrado")</f>
        <v/>
      </c>
      <c r="B746" s="40" t="n">
        <v>-23.639471</v>
      </c>
      <c r="C746" s="40" t="n">
        <v>-46.641324</v>
      </c>
      <c r="D746" s="40" t="n">
        <v>366</v>
      </c>
      <c r="E746" s="41" t="n">
        <v>19835.717</v>
      </c>
    </row>
    <row r="747">
      <c r="A747" s="42">
        <f>_xlfn.XLOOKUP(17839,Trip[shape_id],Trip[shape_id],"Não encontrado")</f>
        <v/>
      </c>
      <c r="B747" s="43" t="n">
        <v>-23.640108</v>
      </c>
      <c r="C747" s="43" t="n">
        <v>-46.641374</v>
      </c>
      <c r="D747" s="43" t="n">
        <v>367</v>
      </c>
      <c r="E747" s="44" t="n">
        <v>19909.766</v>
      </c>
    </row>
    <row r="748">
      <c r="A748" s="39">
        <f>_xlfn.XLOOKUP(17839,Trip[shape_id],Trip[shape_id],"Não encontrado")</f>
        <v/>
      </c>
      <c r="B748" s="40" t="n">
        <v>-23.640775</v>
      </c>
      <c r="C748" s="40" t="n">
        <v>-46.641424</v>
      </c>
      <c r="D748" s="40" t="n">
        <v>368</v>
      </c>
      <c r="E748" s="41" t="n">
        <v>19952.977</v>
      </c>
    </row>
    <row r="749">
      <c r="A749" s="42">
        <f>_xlfn.XLOOKUP(17839,Trip[shape_id],Trip[shape_id],"Não encontrado")</f>
        <v/>
      </c>
      <c r="B749" s="43" t="n">
        <v>-23.641165</v>
      </c>
      <c r="C749" s="43" t="n">
        <v>-46.641436</v>
      </c>
      <c r="D749" s="43" t="n">
        <v>369</v>
      </c>
      <c r="E749" s="44" t="n">
        <v>19972.707</v>
      </c>
    </row>
    <row r="750">
      <c r="A750" s="39">
        <f>_xlfn.XLOOKUP(17839,Trip[shape_id],Trip[shape_id],"Não encontrado")</f>
        <v/>
      </c>
      <c r="B750" s="40" t="n">
        <v>-23.641343</v>
      </c>
      <c r="C750" s="40" t="n">
        <v>-46.641444</v>
      </c>
      <c r="D750" s="40" t="n">
        <v>370</v>
      </c>
      <c r="E750" s="41" t="n">
        <v>20004.383</v>
      </c>
    </row>
    <row r="751">
      <c r="A751" s="42">
        <f>_xlfn.XLOOKUP(17839,Trip[shape_id],Trip[shape_id],"Não encontrado")</f>
        <v/>
      </c>
      <c r="B751" s="43" t="n">
        <v>-23.641629</v>
      </c>
      <c r="C751" s="43" t="n">
        <v>-46.641444</v>
      </c>
      <c r="D751" s="43" t="n">
        <v>371</v>
      </c>
      <c r="E751" s="44" t="n">
        <v>20086.098</v>
      </c>
    </row>
    <row r="752">
      <c r="A752" s="39">
        <f>_xlfn.XLOOKUP(17839,Trip[shape_id],Trip[shape_id],"Não encontrado")</f>
        <v/>
      </c>
      <c r="B752" s="40" t="n">
        <v>-23.642365</v>
      </c>
      <c r="C752" s="40" t="n">
        <v>-46.641388</v>
      </c>
      <c r="D752" s="40" t="n">
        <v>372</v>
      </c>
      <c r="E752" s="41" t="n">
        <v>20147.326</v>
      </c>
    </row>
    <row r="753">
      <c r="A753" s="42">
        <f>_xlfn.XLOOKUP(17839,Trip[shape_id],Trip[shape_id],"Não encontrado")</f>
        <v/>
      </c>
      <c r="B753" s="43" t="n">
        <v>-23.642917</v>
      </c>
      <c r="C753" s="43" t="n">
        <v>-46.641355</v>
      </c>
      <c r="D753" s="43" t="n">
        <v>373</v>
      </c>
      <c r="E753" s="44" t="n">
        <v>20213.805</v>
      </c>
    </row>
    <row r="754">
      <c r="A754" s="39">
        <f>_xlfn.XLOOKUP(17839,Trip[shape_id],Trip[shape_id],"Não encontrado")</f>
        <v/>
      </c>
      <c r="B754" s="40" t="n">
        <v>-23.643516</v>
      </c>
      <c r="C754" s="40" t="n">
        <v>-46.641313</v>
      </c>
      <c r="D754" s="40" t="n">
        <v>374</v>
      </c>
      <c r="E754" s="41" t="n">
        <v>20272.086</v>
      </c>
    </row>
    <row r="755">
      <c r="A755" s="42">
        <f>_xlfn.XLOOKUP(17839,Trip[shape_id],Trip[shape_id],"Não encontrado")</f>
        <v/>
      </c>
      <c r="B755" s="43" t="n">
        <v>-23.644041</v>
      </c>
      <c r="C755" s="43" t="n">
        <v>-46.641274</v>
      </c>
      <c r="D755" s="43" t="n">
        <v>375</v>
      </c>
      <c r="E755" s="44" t="n">
        <v>20361.922</v>
      </c>
    </row>
    <row r="756">
      <c r="A756" s="39">
        <f>_xlfn.XLOOKUP(17839,Trip[shape_id],Trip[shape_id],"Não encontrado")</f>
        <v/>
      </c>
      <c r="B756" s="40" t="n">
        <v>-23.64485</v>
      </c>
      <c r="C756" s="40" t="n">
        <v>-46.64121</v>
      </c>
      <c r="D756" s="40" t="n">
        <v>376</v>
      </c>
      <c r="E756" s="41" t="n">
        <v>20425.477</v>
      </c>
    </row>
    <row r="757">
      <c r="A757" s="42">
        <f>_xlfn.XLOOKUP(17839,Trip[shape_id],Trip[shape_id],"Não encontrado")</f>
        <v/>
      </c>
      <c r="B757" s="43" t="n">
        <v>-23.645421</v>
      </c>
      <c r="C757" s="43" t="n">
        <v>-46.641148</v>
      </c>
      <c r="D757" s="43" t="n">
        <v>377</v>
      </c>
      <c r="E757" s="44" t="n">
        <v>20482.912</v>
      </c>
    </row>
    <row r="758">
      <c r="A758" s="39">
        <f>_xlfn.XLOOKUP(17839,Trip[shape_id],Trip[shape_id],"Não encontrado")</f>
        <v/>
      </c>
      <c r="B758" s="40" t="n">
        <v>-23.645939</v>
      </c>
      <c r="C758" s="40" t="n">
        <v>-46.641175</v>
      </c>
      <c r="D758" s="40" t="n">
        <v>378</v>
      </c>
      <c r="E758" s="41" t="n">
        <v>20530.291</v>
      </c>
    </row>
    <row r="759">
      <c r="A759" s="42">
        <f>_xlfn.XLOOKUP(17839,Trip[shape_id],Trip[shape_id],"Não encontrado")</f>
        <v/>
      </c>
      <c r="B759" s="43" t="n">
        <v>-23.646351</v>
      </c>
      <c r="C759" s="43" t="n">
        <v>-46.64105</v>
      </c>
      <c r="D759" s="43" t="n">
        <v>379</v>
      </c>
      <c r="E759" s="44" t="n">
        <v>20530.291</v>
      </c>
    </row>
    <row r="760">
      <c r="A760" s="39">
        <f>_xlfn.XLOOKUP(17840,Trip[shape_id],Trip[shape_id],"Não encontrado")</f>
        <v/>
      </c>
      <c r="B760" s="40" t="n">
        <v>-23.584433</v>
      </c>
      <c r="C760" s="40" t="n">
        <v>-46.581931</v>
      </c>
      <c r="D760" s="40" t="n">
        <v>1</v>
      </c>
      <c r="E760" s="41" t="n">
        <v>0</v>
      </c>
    </row>
    <row r="761">
      <c r="A761" s="42">
        <f>_xlfn.XLOOKUP(17840,Trip[shape_id],Trip[shape_id],"Não encontrado")</f>
        <v/>
      </c>
      <c r="B761" s="43" t="n">
        <v>-23.584631</v>
      </c>
      <c r="C761" s="43" t="n">
        <v>-46.582043</v>
      </c>
      <c r="D761" s="43" t="n">
        <v>2</v>
      </c>
      <c r="E761" s="44" t="n">
        <v>24.730312</v>
      </c>
    </row>
    <row r="762">
      <c r="A762" s="39">
        <f>_xlfn.XLOOKUP(17840,Trip[shape_id],Trip[shape_id],"Não encontrado")</f>
        <v/>
      </c>
      <c r="B762" s="40" t="n">
        <v>-23.584539</v>
      </c>
      <c r="C762" s="40" t="n">
        <v>-46.582616</v>
      </c>
      <c r="D762" s="40" t="n">
        <v>3</v>
      </c>
      <c r="E762" s="41" t="n">
        <v>84.100616</v>
      </c>
    </row>
    <row r="763">
      <c r="A763" s="42">
        <f>_xlfn.XLOOKUP(17840,Trip[shape_id],Trip[shape_id],"Não encontrado")</f>
        <v/>
      </c>
      <c r="B763" s="43" t="n">
        <v>-23.584804</v>
      </c>
      <c r="C763" s="43" t="n">
        <v>-46.5828</v>
      </c>
      <c r="D763" s="43" t="n">
        <v>4</v>
      </c>
      <c r="E763" s="44" t="n">
        <v>118.9453</v>
      </c>
    </row>
    <row r="764">
      <c r="A764" s="39">
        <f>_xlfn.XLOOKUP(17840,Trip[shape_id],Trip[shape_id],"Não encontrado")</f>
        <v/>
      </c>
      <c r="B764" s="40" t="n">
        <v>-23.584824</v>
      </c>
      <c r="C764" s="40" t="n">
        <v>-46.583015</v>
      </c>
      <c r="D764" s="40" t="n">
        <v>5</v>
      </c>
      <c r="E764" s="41" t="n">
        <v>141.00293</v>
      </c>
    </row>
    <row r="765">
      <c r="A765" s="42">
        <f>_xlfn.XLOOKUP(17840,Trip[shape_id],Trip[shape_id],"Não encontrado")</f>
        <v/>
      </c>
      <c r="B765" s="43" t="n">
        <v>-23.584601</v>
      </c>
      <c r="C765" s="43" t="n">
        <v>-46.583426</v>
      </c>
      <c r="D765" s="43" t="n">
        <v>6</v>
      </c>
      <c r="E765" s="44" t="n">
        <v>189.68594</v>
      </c>
    </row>
    <row r="766">
      <c r="A766" s="39">
        <f>_xlfn.XLOOKUP(17840,Trip[shape_id],Trip[shape_id],"Não encontrado")</f>
        <v/>
      </c>
      <c r="B766" s="40" t="n">
        <v>-23.584871</v>
      </c>
      <c r="C766" s="40" t="n">
        <v>-46.583053</v>
      </c>
      <c r="D766" s="40" t="n">
        <v>7</v>
      </c>
      <c r="E766" s="41" t="n">
        <v>238.09915</v>
      </c>
    </row>
    <row r="767">
      <c r="A767" s="42">
        <f>_xlfn.XLOOKUP(17840,Trip[shape_id],Trip[shape_id],"Não encontrado")</f>
        <v/>
      </c>
      <c r="B767" s="43" t="n">
        <v>-23.585087</v>
      </c>
      <c r="C767" s="43" t="n">
        <v>-46.583131</v>
      </c>
      <c r="D767" s="43" t="n">
        <v>8</v>
      </c>
      <c r="E767" s="44" t="n">
        <v>263.31177</v>
      </c>
    </row>
    <row r="768">
      <c r="A768" s="39">
        <f>_xlfn.XLOOKUP(17840,Trip[shape_id],Trip[shape_id],"Não encontrado")</f>
        <v/>
      </c>
      <c r="B768" s="40" t="n">
        <v>-23.58535</v>
      </c>
      <c r="C768" s="40" t="n">
        <v>-46.582448</v>
      </c>
      <c r="D768" s="40" t="n">
        <v>9</v>
      </c>
      <c r="E768" s="41" t="n">
        <v>338.86935</v>
      </c>
    </row>
    <row r="769">
      <c r="A769" s="42">
        <f>_xlfn.XLOOKUP(17840,Trip[shape_id],Trip[shape_id],"Não encontrado")</f>
        <v/>
      </c>
      <c r="B769" s="43" t="n">
        <v>-23.58597</v>
      </c>
      <c r="C769" s="43" t="n">
        <v>-46.582771</v>
      </c>
      <c r="D769" s="43" t="n">
        <v>10</v>
      </c>
      <c r="E769" s="44" t="n">
        <v>415.04089</v>
      </c>
    </row>
    <row r="770">
      <c r="A770" s="39">
        <f>_xlfn.XLOOKUP(17840,Trip[shape_id],Trip[shape_id],"Não encontrado")</f>
        <v/>
      </c>
      <c r="B770" s="40" t="n">
        <v>-23.587245</v>
      </c>
      <c r="C770" s="40" t="n">
        <v>-46.583439</v>
      </c>
      <c r="D770" s="40" t="n">
        <v>11</v>
      </c>
      <c r="E770" s="41" t="n">
        <v>571.85065</v>
      </c>
    </row>
    <row r="771">
      <c r="A771" s="42">
        <f>_xlfn.XLOOKUP(17840,Trip[shape_id],Trip[shape_id],"Não encontrado")</f>
        <v/>
      </c>
      <c r="B771" s="43" t="n">
        <v>-23.587917</v>
      </c>
      <c r="C771" s="43" t="n">
        <v>-46.583792</v>
      </c>
      <c r="D771" s="43" t="n">
        <v>12</v>
      </c>
      <c r="E771" s="44" t="n">
        <v>654.53955</v>
      </c>
    </row>
    <row r="772">
      <c r="A772" s="39">
        <f>_xlfn.XLOOKUP(17840,Trip[shape_id],Trip[shape_id],"Não encontrado")</f>
        <v/>
      </c>
      <c r="B772" s="40" t="n">
        <v>-23.5886</v>
      </c>
      <c r="C772" s="40" t="n">
        <v>-46.584481</v>
      </c>
      <c r="D772" s="40" t="n">
        <v>13</v>
      </c>
      <c r="E772" s="41" t="n">
        <v>757.82574</v>
      </c>
    </row>
    <row r="773">
      <c r="A773" s="42">
        <f>_xlfn.XLOOKUP(17840,Trip[shape_id],Trip[shape_id],"Não encontrado")</f>
        <v/>
      </c>
      <c r="B773" s="43" t="n">
        <v>-23.589653</v>
      </c>
      <c r="C773" s="43" t="n">
        <v>-46.585546</v>
      </c>
      <c r="D773" s="43" t="n">
        <v>14</v>
      </c>
      <c r="E773" s="44" t="n">
        <v>917.2557399999999</v>
      </c>
    </row>
    <row r="774">
      <c r="A774" s="39">
        <f>_xlfn.XLOOKUP(17840,Trip[shape_id],Trip[shape_id],"Não encontrado")</f>
        <v/>
      </c>
      <c r="B774" s="40" t="n">
        <v>-23.59124</v>
      </c>
      <c r="C774" s="40" t="n">
        <v>-46.587597</v>
      </c>
      <c r="D774" s="40" t="n">
        <v>15</v>
      </c>
      <c r="E774" s="41" t="n">
        <v>1190.6045</v>
      </c>
    </row>
    <row r="775">
      <c r="A775" s="42">
        <f>_xlfn.XLOOKUP(17840,Trip[shape_id],Trip[shape_id],"Não encontrado")</f>
        <v/>
      </c>
      <c r="B775" s="43" t="n">
        <v>-23.592595</v>
      </c>
      <c r="C775" s="43" t="n">
        <v>-46.589347</v>
      </c>
      <c r="D775" s="43" t="n">
        <v>16</v>
      </c>
      <c r="E775" s="44" t="n">
        <v>1423.9001</v>
      </c>
    </row>
    <row r="776">
      <c r="A776" s="39">
        <f>_xlfn.XLOOKUP(17840,Trip[shape_id],Trip[shape_id],"Não encontrado")</f>
        <v/>
      </c>
      <c r="B776" s="40" t="n">
        <v>-23.592697</v>
      </c>
      <c r="C776" s="40" t="n">
        <v>-46.589477</v>
      </c>
      <c r="D776" s="40" t="n">
        <v>17</v>
      </c>
      <c r="E776" s="41" t="n">
        <v>1441.3268</v>
      </c>
    </row>
    <row r="777">
      <c r="A777" s="42">
        <f>_xlfn.XLOOKUP(17840,Trip[shape_id],Trip[shape_id],"Não encontrado")</f>
        <v/>
      </c>
      <c r="B777" s="43" t="n">
        <v>-23.593924</v>
      </c>
      <c r="C777" s="43" t="n">
        <v>-46.590638</v>
      </c>
      <c r="D777" s="43" t="n">
        <v>18</v>
      </c>
      <c r="E777" s="44" t="n">
        <v>1681.6118</v>
      </c>
    </row>
    <row r="778">
      <c r="A778" s="39">
        <f>_xlfn.XLOOKUP(17840,Trip[shape_id],Trip[shape_id],"Não encontrado")</f>
        <v/>
      </c>
      <c r="B778" s="40" t="n">
        <v>-23.594344</v>
      </c>
      <c r="C778" s="40" t="n">
        <v>-46.591009</v>
      </c>
      <c r="D778" s="40" t="n">
        <v>19</v>
      </c>
      <c r="E778" s="41" t="n">
        <v>1740.944</v>
      </c>
    </row>
    <row r="779">
      <c r="A779" s="42">
        <f>_xlfn.XLOOKUP(17840,Trip[shape_id],Trip[shape_id],"Não encontrado")</f>
        <v/>
      </c>
      <c r="B779" s="43" t="n">
        <v>-23.594747</v>
      </c>
      <c r="C779" s="43" t="n">
        <v>-46.591392</v>
      </c>
      <c r="D779" s="43" t="n">
        <v>20</v>
      </c>
      <c r="E779" s="44" t="n">
        <v>1775.1974</v>
      </c>
    </row>
    <row r="780">
      <c r="A780" s="39">
        <f>_xlfn.XLOOKUP(17840,Trip[shape_id],Trip[shape_id],"Não encontrado")</f>
        <v/>
      </c>
      <c r="B780" s="40" t="n">
        <v>-23.594986</v>
      </c>
      <c r="C780" s="40" t="n">
        <v>-46.591605</v>
      </c>
      <c r="D780" s="40" t="n">
        <v>21</v>
      </c>
      <c r="E780" s="41" t="n">
        <v>1796.2451</v>
      </c>
    </row>
    <row r="781">
      <c r="A781" s="42">
        <f>_xlfn.XLOOKUP(17840,Trip[shape_id],Trip[shape_id],"Não encontrado")</f>
        <v/>
      </c>
      <c r="B781" s="43" t="n">
        <v>-23.595135</v>
      </c>
      <c r="C781" s="43" t="n">
        <v>-46.591733</v>
      </c>
      <c r="D781" s="43" t="n">
        <v>22</v>
      </c>
      <c r="E781" s="44" t="n">
        <v>1871.28</v>
      </c>
    </row>
    <row r="782">
      <c r="A782" s="39">
        <f>_xlfn.XLOOKUP(17840,Trip[shape_id],Trip[shape_id],"Não encontrado")</f>
        <v/>
      </c>
      <c r="B782" s="40" t="n">
        <v>-23.595662</v>
      </c>
      <c r="C782" s="40" t="n">
        <v>-46.592195</v>
      </c>
      <c r="D782" s="40" t="n">
        <v>23</v>
      </c>
      <c r="E782" s="41" t="n">
        <v>1961.382</v>
      </c>
    </row>
    <row r="783">
      <c r="A783" s="42">
        <f>_xlfn.XLOOKUP(17840,Trip[shape_id],Trip[shape_id],"Não encontrado")</f>
        <v/>
      </c>
      <c r="B783" s="43" t="n">
        <v>-23.596183</v>
      </c>
      <c r="C783" s="43" t="n">
        <v>-46.592873</v>
      </c>
      <c r="D783" s="43" t="n">
        <v>24</v>
      </c>
      <c r="E783" s="44" t="n">
        <v>2060.4392</v>
      </c>
    </row>
    <row r="784">
      <c r="A784" s="39">
        <f>_xlfn.XLOOKUP(17840,Trip[shape_id],Trip[shape_id],"Não encontrado")</f>
        <v/>
      </c>
      <c r="B784" s="40" t="n">
        <v>-23.596754</v>
      </c>
      <c r="C784" s="40" t="n">
        <v>-46.59362</v>
      </c>
      <c r="D784" s="40" t="n">
        <v>25</v>
      </c>
      <c r="E784" s="41" t="n">
        <v>2219.3047</v>
      </c>
    </row>
    <row r="785">
      <c r="A785" s="42">
        <f>_xlfn.XLOOKUP(17840,Trip[shape_id],Trip[shape_id],"Não encontrado")</f>
        <v/>
      </c>
      <c r="B785" s="43" t="n">
        <v>-23.597672</v>
      </c>
      <c r="C785" s="43" t="n">
        <v>-46.594816</v>
      </c>
      <c r="D785" s="43" t="n">
        <v>26</v>
      </c>
      <c r="E785" s="44" t="n">
        <v>2256.7388</v>
      </c>
    </row>
    <row r="786">
      <c r="A786" s="39">
        <f>_xlfn.XLOOKUP(17840,Trip[shape_id],Trip[shape_id],"Não encontrado")</f>
        <v/>
      </c>
      <c r="B786" s="40" t="n">
        <v>-23.597887</v>
      </c>
      <c r="C786" s="40" t="n">
        <v>-46.595099</v>
      </c>
      <c r="D786" s="40" t="n">
        <v>27</v>
      </c>
      <c r="E786" s="41" t="n">
        <v>2350.2332</v>
      </c>
    </row>
    <row r="787">
      <c r="A787" s="42">
        <f>_xlfn.XLOOKUP(17840,Trip[shape_id],Trip[shape_id],"Não encontrado")</f>
        <v/>
      </c>
      <c r="B787" s="43" t="n">
        <v>-23.598426</v>
      </c>
      <c r="C787" s="43" t="n">
        <v>-46.595804</v>
      </c>
      <c r="D787" s="43" t="n">
        <v>28</v>
      </c>
      <c r="E787" s="44" t="n">
        <v>2497.8235</v>
      </c>
    </row>
    <row r="788">
      <c r="A788" s="39">
        <f>_xlfn.XLOOKUP(17840,Trip[shape_id],Trip[shape_id],"Não encontrado")</f>
        <v/>
      </c>
      <c r="B788" s="40" t="n">
        <v>-23.599308</v>
      </c>
      <c r="C788" s="40" t="n">
        <v>-46.596888</v>
      </c>
      <c r="D788" s="40" t="n">
        <v>29</v>
      </c>
      <c r="E788" s="41" t="n">
        <v>2504.9329</v>
      </c>
    </row>
    <row r="789">
      <c r="A789" s="42">
        <f>_xlfn.XLOOKUP(17840,Trip[shape_id],Trip[shape_id],"Não encontrado")</f>
        <v/>
      </c>
      <c r="B789" s="43" t="n">
        <v>-23.599357</v>
      </c>
      <c r="C789" s="43" t="n">
        <v>-46.596933</v>
      </c>
      <c r="D789" s="43" t="n">
        <v>30</v>
      </c>
      <c r="E789" s="44" t="n">
        <v>2533.3706</v>
      </c>
    </row>
    <row r="790">
      <c r="A790" s="39">
        <f>_xlfn.XLOOKUP(17840,Trip[shape_id],Trip[shape_id],"Não encontrado")</f>
        <v/>
      </c>
      <c r="B790" s="40" t="n">
        <v>-23.599549</v>
      </c>
      <c r="C790" s="40" t="n">
        <v>-46.597118</v>
      </c>
      <c r="D790" s="40" t="n">
        <v>31</v>
      </c>
      <c r="E790" s="41" t="n">
        <v>2580.6592</v>
      </c>
    </row>
    <row r="791">
      <c r="A791" s="42">
        <f>_xlfn.XLOOKUP(17840,Trip[shape_id],Trip[shape_id],"Não encontrado")</f>
        <v/>
      </c>
      <c r="B791" s="43" t="n">
        <v>-23.599834</v>
      </c>
      <c r="C791" s="43" t="n">
        <v>-46.597463</v>
      </c>
      <c r="D791" s="43" t="n">
        <v>32</v>
      </c>
      <c r="E791" s="44" t="n">
        <v>2647.8408</v>
      </c>
    </row>
    <row r="792">
      <c r="A792" s="39">
        <f>_xlfn.XLOOKUP(17840,Trip[shape_id],Trip[shape_id],"Não encontrado")</f>
        <v/>
      </c>
      <c r="B792" s="40" t="n">
        <v>-23.600238</v>
      </c>
      <c r="C792" s="40" t="n">
        <v>-46.597954</v>
      </c>
      <c r="D792" s="40" t="n">
        <v>33</v>
      </c>
      <c r="E792" s="41" t="n">
        <v>2658.2822</v>
      </c>
    </row>
    <row r="793">
      <c r="A793" s="42">
        <f>_xlfn.XLOOKUP(17840,Trip[shape_id],Trip[shape_id],"Não encontrado")</f>
        <v/>
      </c>
      <c r="B793" s="43" t="n">
        <v>-23.600299</v>
      </c>
      <c r="C793" s="43" t="n">
        <v>-46.598032</v>
      </c>
      <c r="D793" s="43" t="n">
        <v>34</v>
      </c>
      <c r="E793" s="44" t="n">
        <v>2745.6973</v>
      </c>
    </row>
    <row r="794">
      <c r="A794" s="39">
        <f>_xlfn.XLOOKUP(17840,Trip[shape_id],Trip[shape_id],"Não encontrado")</f>
        <v/>
      </c>
      <c r="B794" s="40" t="n">
        <v>-23.60069</v>
      </c>
      <c r="C794" s="40" t="n">
        <v>-46.598776</v>
      </c>
      <c r="D794" s="40" t="n">
        <v>35</v>
      </c>
      <c r="E794" s="41" t="n">
        <v>2829.5896</v>
      </c>
    </row>
    <row r="795">
      <c r="A795" s="42">
        <f>_xlfn.XLOOKUP(17840,Trip[shape_id],Trip[shape_id],"Não encontrado")</f>
        <v/>
      </c>
      <c r="B795" s="43" t="n">
        <v>-23.600824</v>
      </c>
      <c r="C795" s="43" t="n">
        <v>-46.599585</v>
      </c>
      <c r="D795" s="43" t="n">
        <v>36</v>
      </c>
      <c r="E795" s="44" t="n">
        <v>2906.4746</v>
      </c>
    </row>
    <row r="796">
      <c r="A796" s="39">
        <f>_xlfn.XLOOKUP(17840,Trip[shape_id],Trip[shape_id],"Não encontrado")</f>
        <v/>
      </c>
      <c r="B796" s="40" t="n">
        <v>-23.600889</v>
      </c>
      <c r="C796" s="40" t="n">
        <v>-46.600335</v>
      </c>
      <c r="D796" s="40" t="n">
        <v>37</v>
      </c>
      <c r="E796" s="41" t="n">
        <v>3045.5166</v>
      </c>
    </row>
    <row r="797">
      <c r="A797" s="42">
        <f>_xlfn.XLOOKUP(17840,Trip[shape_id],Trip[shape_id],"Não encontrado")</f>
        <v/>
      </c>
      <c r="B797" s="43" t="n">
        <v>-23.601169</v>
      </c>
      <c r="C797" s="43" t="n">
        <v>-46.601663</v>
      </c>
      <c r="D797" s="43" t="n">
        <v>38</v>
      </c>
      <c r="E797" s="44" t="n">
        <v>3118.3076</v>
      </c>
    </row>
    <row r="798">
      <c r="A798" s="39">
        <f>_xlfn.XLOOKUP(17840,Trip[shape_id],Trip[shape_id],"Não encontrado")</f>
        <v/>
      </c>
      <c r="B798" s="40" t="n">
        <v>-23.601285</v>
      </c>
      <c r="C798" s="40" t="n">
        <v>-46.602365</v>
      </c>
      <c r="D798" s="40" t="n">
        <v>39</v>
      </c>
      <c r="E798" s="41" t="n">
        <v>3141.6152</v>
      </c>
    </row>
    <row r="799">
      <c r="A799" s="42">
        <f>_xlfn.XLOOKUP(17840,Trip[shape_id],Trip[shape_id],"Não encontrado")</f>
        <v/>
      </c>
      <c r="B799" s="43" t="n">
        <v>-23.601321</v>
      </c>
      <c r="C799" s="43" t="n">
        <v>-46.60259</v>
      </c>
      <c r="D799" s="43" t="n">
        <v>40</v>
      </c>
      <c r="E799" s="44" t="n">
        <v>3141.6152</v>
      </c>
    </row>
    <row r="800">
      <c r="A800" s="39">
        <f>_xlfn.XLOOKUP(17840,Trip[shape_id],Trip[shape_id],"Não encontrado")</f>
        <v/>
      </c>
      <c r="B800" s="40" t="n">
        <v>-23.60151</v>
      </c>
      <c r="C800" s="40" t="n">
        <v>-46.603732</v>
      </c>
      <c r="D800" s="40" t="n">
        <v>41</v>
      </c>
      <c r="E800" s="41" t="n">
        <v>3260.0354</v>
      </c>
    </row>
    <row r="801">
      <c r="A801" s="42">
        <f>_xlfn.XLOOKUP(17840,Trip[shape_id],Trip[shape_id],"Não encontrado")</f>
        <v/>
      </c>
      <c r="B801" s="43" t="n">
        <v>-23.601761</v>
      </c>
      <c r="C801" s="43" t="n">
        <v>-46.604433</v>
      </c>
      <c r="D801" s="43" t="n">
        <v>42</v>
      </c>
      <c r="E801" s="44" t="n">
        <v>3336.792</v>
      </c>
    </row>
    <row r="802">
      <c r="A802" s="39">
        <f>_xlfn.XLOOKUP(17840,Trip[shape_id],Trip[shape_id],"Não encontrado")</f>
        <v/>
      </c>
      <c r="B802" s="40" t="n">
        <v>-23.601917</v>
      </c>
      <c r="C802" s="40" t="n">
        <v>-46.605091</v>
      </c>
      <c r="D802" s="40" t="n">
        <v>43</v>
      </c>
      <c r="E802" s="41" t="n">
        <v>3406.1357</v>
      </c>
    </row>
    <row r="803">
      <c r="A803" s="42">
        <f>_xlfn.XLOOKUP(17840,Trip[shape_id],Trip[shape_id],"Não encontrado")</f>
        <v/>
      </c>
      <c r="B803" s="43" t="n">
        <v>-23.601981</v>
      </c>
      <c r="C803" s="43" t="n">
        <v>-46.605579</v>
      </c>
      <c r="D803" s="43" t="n">
        <v>44</v>
      </c>
      <c r="E803" s="44" t="n">
        <v>3456.4441</v>
      </c>
    </row>
    <row r="804">
      <c r="A804" s="39">
        <f>_xlfn.XLOOKUP(17840,Trip[shape_id],Trip[shape_id],"Não encontrado")</f>
        <v/>
      </c>
      <c r="B804" s="40" t="n">
        <v>-23.602016</v>
      </c>
      <c r="C804" s="40" t="n">
        <v>-46.605856</v>
      </c>
      <c r="D804" s="40" t="n">
        <v>45</v>
      </c>
      <c r="E804" s="41" t="n">
        <v>3484.9797</v>
      </c>
    </row>
    <row r="805">
      <c r="A805" s="42">
        <f>_xlfn.XLOOKUP(17840,Trip[shape_id],Trip[shape_id],"Não encontrado")</f>
        <v/>
      </c>
      <c r="B805" s="43" t="n">
        <v>-23.602178</v>
      </c>
      <c r="C805" s="43" t="n">
        <v>-46.607156</v>
      </c>
      <c r="D805" s="43" t="n">
        <v>46</v>
      </c>
      <c r="E805" s="44" t="n">
        <v>3618.8682</v>
      </c>
    </row>
    <row r="806">
      <c r="A806" s="39">
        <f>_xlfn.XLOOKUP(17840,Trip[shape_id],Trip[shape_id],"Não encontrado")</f>
        <v/>
      </c>
      <c r="B806" s="40" t="n">
        <v>-23.602274</v>
      </c>
      <c r="C806" s="40" t="n">
        <v>-46.607957</v>
      </c>
      <c r="D806" s="40" t="n">
        <v>47</v>
      </c>
      <c r="E806" s="41" t="n">
        <v>3701.3083</v>
      </c>
    </row>
    <row r="807">
      <c r="A807" s="42">
        <f>_xlfn.XLOOKUP(17840,Trip[shape_id],Trip[shape_id],"Não encontrado")</f>
        <v/>
      </c>
      <c r="B807" s="43" t="n">
        <v>-23.602387</v>
      </c>
      <c r="C807" s="43" t="n">
        <v>-46.608864</v>
      </c>
      <c r="D807" s="43" t="n">
        <v>48</v>
      </c>
      <c r="E807" s="44" t="n">
        <v>3794.7207</v>
      </c>
    </row>
    <row r="808">
      <c r="A808" s="39">
        <f>_xlfn.XLOOKUP(17840,Trip[shape_id],Trip[shape_id],"Não encontrado")</f>
        <v/>
      </c>
      <c r="B808" s="40" t="n">
        <v>-23.602425</v>
      </c>
      <c r="C808" s="40" t="n">
        <v>-46.610037</v>
      </c>
      <c r="D808" s="40" t="n">
        <v>49</v>
      </c>
      <c r="E808" s="41" t="n">
        <v>3914.5134</v>
      </c>
    </row>
    <row r="809">
      <c r="A809" s="42">
        <f>_xlfn.XLOOKUP(17840,Trip[shape_id],Trip[shape_id],"Não encontrado")</f>
        <v/>
      </c>
      <c r="B809" s="43" t="n">
        <v>-23.602284</v>
      </c>
      <c r="C809" s="43" t="n">
        <v>-46.611744</v>
      </c>
      <c r="D809" s="43" t="n">
        <v>50</v>
      </c>
      <c r="E809" s="44" t="n">
        <v>4089.4316</v>
      </c>
    </row>
    <row r="810">
      <c r="A810" s="39">
        <f>_xlfn.XLOOKUP(17840,Trip[shape_id],Trip[shape_id],"Não encontrado")</f>
        <v/>
      </c>
      <c r="B810" s="40" t="n">
        <v>-23.60222</v>
      </c>
      <c r="C810" s="40" t="n">
        <v>-46.612548</v>
      </c>
      <c r="D810" s="40" t="n">
        <v>51</v>
      </c>
      <c r="E810" s="41" t="n">
        <v>4171.7949</v>
      </c>
    </row>
    <row r="811">
      <c r="A811" s="42">
        <f>_xlfn.XLOOKUP(17840,Trip[shape_id],Trip[shape_id],"Não encontrado")</f>
        <v/>
      </c>
      <c r="B811" s="43" t="n">
        <v>-23.602214</v>
      </c>
      <c r="C811" s="43" t="n">
        <v>-46.612598</v>
      </c>
      <c r="D811" s="43" t="n">
        <v>52</v>
      </c>
      <c r="E811" s="44" t="n">
        <v>4176.9409</v>
      </c>
    </row>
    <row r="812">
      <c r="A812" s="39">
        <f>_xlfn.XLOOKUP(17840,Trip[shape_id],Trip[shape_id],"Não encontrado")</f>
        <v/>
      </c>
      <c r="B812" s="40" t="n">
        <v>-23.601694</v>
      </c>
      <c r="C812" s="40" t="n">
        <v>-46.613671</v>
      </c>
      <c r="D812" s="40" t="n">
        <v>53</v>
      </c>
      <c r="E812" s="41" t="n">
        <v>4300.6738</v>
      </c>
    </row>
    <row r="813">
      <c r="A813" s="42">
        <f>_xlfn.XLOOKUP(17840,Trip[shape_id],Trip[shape_id],"Não encontrado")</f>
        <v/>
      </c>
      <c r="B813" s="43" t="n">
        <v>-23.601465</v>
      </c>
      <c r="C813" s="43" t="n">
        <v>-46.614104</v>
      </c>
      <c r="D813" s="43" t="n">
        <v>54</v>
      </c>
      <c r="E813" s="44" t="n">
        <v>4351.6274</v>
      </c>
    </row>
    <row r="814">
      <c r="A814" s="39">
        <f>_xlfn.XLOOKUP(17840,Trip[shape_id],Trip[shape_id],"Não encontrado")</f>
        <v/>
      </c>
      <c r="B814" s="40" t="n">
        <v>-23.600886</v>
      </c>
      <c r="C814" s="40" t="n">
        <v>-46.614833</v>
      </c>
      <c r="D814" s="40" t="n">
        <v>55</v>
      </c>
      <c r="E814" s="41" t="n">
        <v>4449.8521</v>
      </c>
    </row>
    <row r="815">
      <c r="A815" s="42">
        <f>_xlfn.XLOOKUP(17840,Trip[shape_id],Trip[shape_id],"Não encontrado")</f>
        <v/>
      </c>
      <c r="B815" s="43" t="n">
        <v>-23.600643</v>
      </c>
      <c r="C815" s="43" t="n">
        <v>-46.61504</v>
      </c>
      <c r="D815" s="43" t="n">
        <v>56</v>
      </c>
      <c r="E815" s="44" t="n">
        <v>4484.0669</v>
      </c>
    </row>
    <row r="816">
      <c r="A816" s="39">
        <f>_xlfn.XLOOKUP(17840,Trip[shape_id],Trip[shape_id],"Não encontrado")</f>
        <v/>
      </c>
      <c r="B816" s="40" t="n">
        <v>-23.600295</v>
      </c>
      <c r="C816" s="40" t="n">
        <v>-46.615338</v>
      </c>
      <c r="D816" s="40" t="n">
        <v>57</v>
      </c>
      <c r="E816" s="41" t="n">
        <v>4533.1641</v>
      </c>
    </row>
    <row r="817">
      <c r="A817" s="42">
        <f>_xlfn.XLOOKUP(17840,Trip[shape_id],Trip[shape_id],"Não encontrado")</f>
        <v/>
      </c>
      <c r="B817" s="43" t="n">
        <v>-23.59973</v>
      </c>
      <c r="C817" s="43" t="n">
        <v>-46.615609</v>
      </c>
      <c r="D817" s="43" t="n">
        <v>58</v>
      </c>
      <c r="E817" s="44" t="n">
        <v>4601.5796</v>
      </c>
    </row>
    <row r="818">
      <c r="A818" s="39">
        <f>_xlfn.XLOOKUP(17840,Trip[shape_id],Trip[shape_id],"Não encontrado")</f>
        <v/>
      </c>
      <c r="B818" s="40" t="n">
        <v>-23.599461</v>
      </c>
      <c r="C818" s="40" t="n">
        <v>-46.615796</v>
      </c>
      <c r="D818" s="40" t="n">
        <v>59</v>
      </c>
      <c r="E818" s="41" t="n">
        <v>4636.9614</v>
      </c>
    </row>
    <row r="819">
      <c r="A819" s="42">
        <f>_xlfn.XLOOKUP(17840,Trip[shape_id],Trip[shape_id],"Não encontrado")</f>
        <v/>
      </c>
      <c r="B819" s="43" t="n">
        <v>-23.599286</v>
      </c>
      <c r="C819" s="43" t="n">
        <v>-46.616151</v>
      </c>
      <c r="D819" s="43" t="n">
        <v>60</v>
      </c>
      <c r="E819" s="44" t="n">
        <v>4678.0522</v>
      </c>
    </row>
    <row r="820">
      <c r="A820" s="39">
        <f>_xlfn.XLOOKUP(17840,Trip[shape_id],Trip[shape_id],"Não encontrado")</f>
        <v/>
      </c>
      <c r="B820" s="40" t="n">
        <v>-23.599257</v>
      </c>
      <c r="C820" s="40" t="n">
        <v>-46.616182</v>
      </c>
      <c r="D820" s="40" t="n">
        <v>61</v>
      </c>
      <c r="E820" s="41" t="n">
        <v>4682.5601</v>
      </c>
    </row>
    <row r="821">
      <c r="A821" s="42">
        <f>_xlfn.XLOOKUP(17840,Trip[shape_id],Trip[shape_id],"Não encontrado")</f>
        <v/>
      </c>
      <c r="B821" s="43" t="n">
        <v>-23.598796</v>
      </c>
      <c r="C821" s="43" t="n">
        <v>-46.616649</v>
      </c>
      <c r="D821" s="43" t="n">
        <v>62</v>
      </c>
      <c r="E821" s="44" t="n">
        <v>4752.4077</v>
      </c>
    </row>
    <row r="822">
      <c r="A822" s="39">
        <f>_xlfn.XLOOKUP(17840,Trip[shape_id],Trip[shape_id],"Não encontrado")</f>
        <v/>
      </c>
      <c r="B822" s="40" t="n">
        <v>-23.598632</v>
      </c>
      <c r="C822" s="40" t="n">
        <v>-46.616796</v>
      </c>
      <c r="D822" s="40" t="n">
        <v>63</v>
      </c>
      <c r="E822" s="41" t="n">
        <v>4775.9663</v>
      </c>
    </row>
    <row r="823">
      <c r="A823" s="42">
        <f>_xlfn.XLOOKUP(17840,Trip[shape_id],Trip[shape_id],"Não encontrado")</f>
        <v/>
      </c>
      <c r="B823" s="43" t="n">
        <v>-23.598354</v>
      </c>
      <c r="C823" s="43" t="n">
        <v>-46.61705</v>
      </c>
      <c r="D823" s="43" t="n">
        <v>64</v>
      </c>
      <c r="E823" s="44" t="n">
        <v>4816.2163</v>
      </c>
    </row>
    <row r="824">
      <c r="A824" s="39">
        <f>_xlfn.XLOOKUP(17840,Trip[shape_id],Trip[shape_id],"Não encontrado")</f>
        <v/>
      </c>
      <c r="B824" s="40" t="n">
        <v>-23.59781</v>
      </c>
      <c r="C824" s="40" t="n">
        <v>-46.617543</v>
      </c>
      <c r="D824" s="40" t="n">
        <v>65</v>
      </c>
      <c r="E824" s="41" t="n">
        <v>4894.7144</v>
      </c>
    </row>
    <row r="825">
      <c r="A825" s="42">
        <f>_xlfn.XLOOKUP(17840,Trip[shape_id],Trip[shape_id],"Não encontrado")</f>
        <v/>
      </c>
      <c r="B825" s="43" t="n">
        <v>-23.597589</v>
      </c>
      <c r="C825" s="43" t="n">
        <v>-46.61786</v>
      </c>
      <c r="D825" s="43" t="n">
        <v>66</v>
      </c>
      <c r="E825" s="44" t="n">
        <v>4935.2842</v>
      </c>
    </row>
    <row r="826">
      <c r="A826" s="39">
        <f>_xlfn.XLOOKUP(17840,Trip[shape_id],Trip[shape_id],"Não encontrado")</f>
        <v/>
      </c>
      <c r="B826" s="40" t="n">
        <v>-23.597136</v>
      </c>
      <c r="C826" s="40" t="n">
        <v>-46.618515</v>
      </c>
      <c r="D826" s="40" t="n">
        <v>67</v>
      </c>
      <c r="E826" s="41" t="n">
        <v>5018.8691</v>
      </c>
    </row>
    <row r="827">
      <c r="A827" s="42">
        <f>_xlfn.XLOOKUP(17840,Trip[shape_id],Trip[shape_id],"Não encontrado")</f>
        <v/>
      </c>
      <c r="B827" s="43" t="n">
        <v>-23.596791</v>
      </c>
      <c r="C827" s="43" t="n">
        <v>-46.619009</v>
      </c>
      <c r="D827" s="43" t="n">
        <v>68</v>
      </c>
      <c r="E827" s="44" t="n">
        <v>5082.1323</v>
      </c>
    </row>
    <row r="828">
      <c r="A828" s="39">
        <f>_xlfn.XLOOKUP(17840,Trip[shape_id],Trip[shape_id],"Não encontrado")</f>
        <v/>
      </c>
      <c r="B828" s="40" t="n">
        <v>-23.596616</v>
      </c>
      <c r="C828" s="40" t="n">
        <v>-46.619254</v>
      </c>
      <c r="D828" s="40" t="n">
        <v>69</v>
      </c>
      <c r="E828" s="41" t="n">
        <v>5113.7705</v>
      </c>
    </row>
    <row r="829">
      <c r="A829" s="42">
        <f>_xlfn.XLOOKUP(17840,Trip[shape_id],Trip[shape_id],"Não encontrado")</f>
        <v/>
      </c>
      <c r="B829" s="43" t="n">
        <v>-23.59631</v>
      </c>
      <c r="C829" s="43" t="n">
        <v>-46.619847</v>
      </c>
      <c r="D829" s="43" t="n">
        <v>70</v>
      </c>
      <c r="E829" s="44" t="n">
        <v>5183.1382</v>
      </c>
    </row>
    <row r="830">
      <c r="A830" s="39">
        <f>_xlfn.XLOOKUP(17840,Trip[shape_id],Trip[shape_id],"Não encontrado")</f>
        <v/>
      </c>
      <c r="B830" s="40" t="n">
        <v>-23.596226</v>
      </c>
      <c r="C830" s="40" t="n">
        <v>-46.620031</v>
      </c>
      <c r="D830" s="40" t="n">
        <v>71</v>
      </c>
      <c r="E830" s="41" t="n">
        <v>5204.0967</v>
      </c>
    </row>
    <row r="831">
      <c r="A831" s="42">
        <f>_xlfn.XLOOKUP(17840,Trip[shape_id],Trip[shape_id],"Não encontrado")</f>
        <v/>
      </c>
      <c r="B831" s="43" t="n">
        <v>-23.595987</v>
      </c>
      <c r="C831" s="43" t="n">
        <v>-46.620548</v>
      </c>
      <c r="D831" s="43" t="n">
        <v>72</v>
      </c>
      <c r="E831" s="44" t="n">
        <v>5263.1318</v>
      </c>
    </row>
    <row r="832">
      <c r="A832" s="39">
        <f>_xlfn.XLOOKUP(17840,Trip[shape_id],Trip[shape_id],"Não encontrado")</f>
        <v/>
      </c>
      <c r="B832" s="40" t="n">
        <v>-23.595863</v>
      </c>
      <c r="C832" s="40" t="n">
        <v>-46.620813</v>
      </c>
      <c r="D832" s="40" t="n">
        <v>73</v>
      </c>
      <c r="E832" s="41" t="n">
        <v>5293.4663</v>
      </c>
    </row>
    <row r="833">
      <c r="A833" s="42">
        <f>_xlfn.XLOOKUP(17840,Trip[shape_id],Trip[shape_id],"Não encontrado")</f>
        <v/>
      </c>
      <c r="B833" s="43" t="n">
        <v>-23.595503</v>
      </c>
      <c r="C833" s="43" t="n">
        <v>-46.621561</v>
      </c>
      <c r="D833" s="43" t="n">
        <v>74</v>
      </c>
      <c r="E833" s="44" t="n">
        <v>5379.5967</v>
      </c>
    </row>
    <row r="834">
      <c r="A834" s="39">
        <f>_xlfn.XLOOKUP(17840,Trip[shape_id],Trip[shape_id],"Não encontrado")</f>
        <v/>
      </c>
      <c r="B834" s="40" t="n">
        <v>-23.595353</v>
      </c>
      <c r="C834" s="40" t="n">
        <v>-46.622006</v>
      </c>
      <c r="D834" s="40" t="n">
        <v>75</v>
      </c>
      <c r="E834" s="41" t="n">
        <v>5427.9595</v>
      </c>
    </row>
    <row r="835">
      <c r="A835" s="42">
        <f>_xlfn.XLOOKUP(17840,Trip[shape_id],Trip[shape_id],"Não encontrado")</f>
        <v/>
      </c>
      <c r="B835" s="43" t="n">
        <v>-23.595299</v>
      </c>
      <c r="C835" s="43" t="n">
        <v>-46.622263</v>
      </c>
      <c r="D835" s="43" t="n">
        <v>76</v>
      </c>
      <c r="E835" s="44" t="n">
        <v>5454.8643</v>
      </c>
    </row>
    <row r="836">
      <c r="A836" s="39">
        <f>_xlfn.XLOOKUP(17840,Trip[shape_id],Trip[shape_id],"Não encontrado")</f>
        <v/>
      </c>
      <c r="B836" s="40" t="n">
        <v>-23.595231</v>
      </c>
      <c r="C836" s="40" t="n">
        <v>-46.62259</v>
      </c>
      <c r="D836" s="40" t="n">
        <v>77</v>
      </c>
      <c r="E836" s="41" t="n">
        <v>5489.0796</v>
      </c>
    </row>
    <row r="837">
      <c r="A837" s="42">
        <f>_xlfn.XLOOKUP(17840,Trip[shape_id],Trip[shape_id],"Não encontrado")</f>
        <v/>
      </c>
      <c r="B837" s="43" t="n">
        <v>-23.595194</v>
      </c>
      <c r="C837" s="43" t="n">
        <v>-46.623327</v>
      </c>
      <c r="D837" s="43" t="n">
        <v>78</v>
      </c>
      <c r="E837" s="44" t="n">
        <v>5564.415</v>
      </c>
    </row>
    <row r="838">
      <c r="A838" s="39">
        <f>_xlfn.XLOOKUP(17840,Trip[shape_id],Trip[shape_id],"Não encontrado")</f>
        <v/>
      </c>
      <c r="B838" s="40" t="n">
        <v>-23.595268</v>
      </c>
      <c r="C838" s="40" t="n">
        <v>-46.623714</v>
      </c>
      <c r="D838" s="40" t="n">
        <v>79</v>
      </c>
      <c r="E838" s="41" t="n">
        <v>5604.7563</v>
      </c>
    </row>
    <row r="839">
      <c r="A839" s="42">
        <f>_xlfn.XLOOKUP(17840,Trip[shape_id],Trip[shape_id],"Não encontrado")</f>
        <v/>
      </c>
      <c r="B839" s="43" t="n">
        <v>-23.595448</v>
      </c>
      <c r="C839" s="43" t="n">
        <v>-46.624082</v>
      </c>
      <c r="D839" s="43" t="n">
        <v>80</v>
      </c>
      <c r="E839" s="44" t="n">
        <v>5647.2798</v>
      </c>
    </row>
    <row r="840">
      <c r="A840" s="39">
        <f>_xlfn.XLOOKUP(17840,Trip[shape_id],Trip[shape_id],"Não encontrado")</f>
        <v/>
      </c>
      <c r="B840" s="40" t="n">
        <v>-23.595563</v>
      </c>
      <c r="C840" s="40" t="n">
        <v>-46.624509</v>
      </c>
      <c r="D840" s="40" t="n">
        <v>81</v>
      </c>
      <c r="E840" s="41" t="n">
        <v>5692.6855</v>
      </c>
    </row>
    <row r="841">
      <c r="A841" s="42">
        <f>_xlfn.XLOOKUP(17840,Trip[shape_id],Trip[shape_id],"Não encontrado")</f>
        <v/>
      </c>
      <c r="B841" s="43" t="n">
        <v>-23.59561</v>
      </c>
      <c r="C841" s="43" t="n">
        <v>-46.624879</v>
      </c>
      <c r="D841" s="43" t="n">
        <v>82</v>
      </c>
      <c r="E841" s="44" t="n">
        <v>5730.8076</v>
      </c>
    </row>
    <row r="842">
      <c r="A842" s="39">
        <f>_xlfn.XLOOKUP(17840,Trip[shape_id],Trip[shape_id],"Não encontrado")</f>
        <v/>
      </c>
      <c r="B842" s="40" t="n">
        <v>-23.595514</v>
      </c>
      <c r="C842" s="40" t="n">
        <v>-46.625328</v>
      </c>
      <c r="D842" s="40" t="n">
        <v>83</v>
      </c>
      <c r="E842" s="41" t="n">
        <v>5777.853</v>
      </c>
    </row>
    <row r="843">
      <c r="A843" s="42">
        <f>_xlfn.XLOOKUP(17840,Trip[shape_id],Trip[shape_id],"Não encontrado")</f>
        <v/>
      </c>
      <c r="B843" s="43" t="n">
        <v>-23.595292</v>
      </c>
      <c r="C843" s="43" t="n">
        <v>-46.626264</v>
      </c>
      <c r="D843" s="43" t="n">
        <v>84</v>
      </c>
      <c r="E843" s="44" t="n">
        <v>5876.501</v>
      </c>
    </row>
    <row r="844">
      <c r="A844" s="39">
        <f>_xlfn.XLOOKUP(17840,Trip[shape_id],Trip[shape_id],"Não encontrado")</f>
        <v/>
      </c>
      <c r="B844" s="40" t="n">
        <v>-23.595122</v>
      </c>
      <c r="C844" s="40" t="n">
        <v>-46.627123</v>
      </c>
      <c r="D844" s="40" t="n">
        <v>85</v>
      </c>
      <c r="E844" s="41" t="n">
        <v>5966.1758</v>
      </c>
    </row>
    <row r="845">
      <c r="A845" s="42">
        <f>_xlfn.XLOOKUP(17840,Trip[shape_id],Trip[shape_id],"Não encontrado")</f>
        <v/>
      </c>
      <c r="B845" s="43" t="n">
        <v>-23.594958</v>
      </c>
      <c r="C845" s="43" t="n">
        <v>-46.627682</v>
      </c>
      <c r="D845" s="43" t="n">
        <v>86</v>
      </c>
      <c r="E845" s="44" t="n">
        <v>6026.0527</v>
      </c>
    </row>
    <row r="846">
      <c r="A846" s="39">
        <f>_xlfn.XLOOKUP(17840,Trip[shape_id],Trip[shape_id],"Não encontrado")</f>
        <v/>
      </c>
      <c r="B846" s="40" t="n">
        <v>-23.594814</v>
      </c>
      <c r="C846" s="40" t="n">
        <v>-46.628187</v>
      </c>
      <c r="D846" s="40" t="n">
        <v>87</v>
      </c>
      <c r="E846" s="41" t="n">
        <v>6080.0078</v>
      </c>
    </row>
    <row r="847">
      <c r="A847" s="42">
        <f>_xlfn.XLOOKUP(17840,Trip[shape_id],Trip[shape_id],"Não encontrado")</f>
        <v/>
      </c>
      <c r="B847" s="43" t="n">
        <v>-23.594583</v>
      </c>
      <c r="C847" s="43" t="n">
        <v>-46.62861</v>
      </c>
      <c r="D847" s="43" t="n">
        <v>88</v>
      </c>
      <c r="E847" s="44" t="n">
        <v>6130.1934</v>
      </c>
    </row>
    <row r="848">
      <c r="A848" s="39">
        <f>_xlfn.XLOOKUP(17840,Trip[shape_id],Trip[shape_id],"Não encontrado")</f>
        <v/>
      </c>
      <c r="B848" s="40" t="n">
        <v>-23.594424</v>
      </c>
      <c r="C848" s="40" t="n">
        <v>-46.628769</v>
      </c>
      <c r="D848" s="40" t="n">
        <v>89</v>
      </c>
      <c r="E848" s="41" t="n">
        <v>6154.1406</v>
      </c>
    </row>
    <row r="849">
      <c r="A849" s="42">
        <f>_xlfn.XLOOKUP(17840,Trip[shape_id],Trip[shape_id],"Não encontrado")</f>
        <v/>
      </c>
      <c r="B849" s="43" t="n">
        <v>-23.594251</v>
      </c>
      <c r="C849" s="43" t="n">
        <v>-46.628941</v>
      </c>
      <c r="D849" s="43" t="n">
        <v>90</v>
      </c>
      <c r="E849" s="44" t="n">
        <v>6180.1274</v>
      </c>
    </row>
    <row r="850">
      <c r="A850" s="39">
        <f>_xlfn.XLOOKUP(17840,Trip[shape_id],Trip[shape_id],"Não encontrado")</f>
        <v/>
      </c>
      <c r="B850" s="40" t="n">
        <v>-23.594004</v>
      </c>
      <c r="C850" s="40" t="n">
        <v>-46.62918</v>
      </c>
      <c r="D850" s="40" t="n">
        <v>91</v>
      </c>
      <c r="E850" s="41" t="n">
        <v>6216.7803</v>
      </c>
    </row>
    <row r="851">
      <c r="A851" s="42">
        <f>_xlfn.XLOOKUP(17840,Trip[shape_id],Trip[shape_id],"Não encontrado")</f>
        <v/>
      </c>
      <c r="B851" s="43" t="n">
        <v>-23.593667</v>
      </c>
      <c r="C851" s="43" t="n">
        <v>-46.629489</v>
      </c>
      <c r="D851" s="43" t="n">
        <v>92</v>
      </c>
      <c r="E851" s="44" t="n">
        <v>6265.645</v>
      </c>
    </row>
    <row r="852">
      <c r="A852" s="39">
        <f>_xlfn.XLOOKUP(17840,Trip[shape_id],Trip[shape_id],"Não encontrado")</f>
        <v/>
      </c>
      <c r="B852" s="40" t="n">
        <v>-23.593336</v>
      </c>
      <c r="C852" s="40" t="n">
        <v>-46.629793</v>
      </c>
      <c r="D852" s="40" t="n">
        <v>93</v>
      </c>
      <c r="E852" s="41" t="n">
        <v>6313.6729</v>
      </c>
    </row>
    <row r="853">
      <c r="A853" s="42">
        <f>_xlfn.XLOOKUP(17840,Trip[shape_id],Trip[shape_id],"Não encontrado")</f>
        <v/>
      </c>
      <c r="B853" s="43" t="n">
        <v>-23.59316</v>
      </c>
      <c r="C853" s="43" t="n">
        <v>-46.630013</v>
      </c>
      <c r="D853" s="43" t="n">
        <v>94</v>
      </c>
      <c r="E853" s="44" t="n">
        <v>6343.4082</v>
      </c>
    </row>
    <row r="854">
      <c r="A854" s="39">
        <f>_xlfn.XLOOKUP(17840,Trip[shape_id],Trip[shape_id],"Não encontrado")</f>
        <v/>
      </c>
      <c r="B854" s="40" t="n">
        <v>-23.592947</v>
      </c>
      <c r="C854" s="40" t="n">
        <v>-46.630283</v>
      </c>
      <c r="D854" s="40" t="n">
        <v>95</v>
      </c>
      <c r="E854" s="41" t="n">
        <v>6379.6846</v>
      </c>
    </row>
    <row r="855">
      <c r="A855" s="42">
        <f>_xlfn.XLOOKUP(17840,Trip[shape_id],Trip[shape_id],"Não encontrado")</f>
        <v/>
      </c>
      <c r="B855" s="43" t="n">
        <v>-23.592569</v>
      </c>
      <c r="C855" s="43" t="n">
        <v>-46.63073</v>
      </c>
      <c r="D855" s="43" t="n">
        <v>96</v>
      </c>
      <c r="E855" s="44" t="n">
        <v>6441.606</v>
      </c>
    </row>
    <row r="856">
      <c r="A856" s="39">
        <f>_xlfn.XLOOKUP(17840,Trip[shape_id],Trip[shape_id],"Não encontrado")</f>
        <v/>
      </c>
      <c r="B856" s="40" t="n">
        <v>-23.591845</v>
      </c>
      <c r="C856" s="40" t="n">
        <v>-46.631429</v>
      </c>
      <c r="D856" s="40" t="n">
        <v>97</v>
      </c>
      <c r="E856" s="41" t="n">
        <v>6548.937</v>
      </c>
    </row>
    <row r="857">
      <c r="A857" s="42">
        <f>_xlfn.XLOOKUP(17840,Trip[shape_id],Trip[shape_id],"Não encontrado")</f>
        <v/>
      </c>
      <c r="B857" s="43" t="n">
        <v>-23.591471</v>
      </c>
      <c r="C857" s="43" t="n">
        <v>-46.631791</v>
      </c>
      <c r="D857" s="43" t="n">
        <v>98</v>
      </c>
      <c r="E857" s="44" t="n">
        <v>6604.4438</v>
      </c>
    </row>
    <row r="858">
      <c r="A858" s="39">
        <f>_xlfn.XLOOKUP(17840,Trip[shape_id],Trip[shape_id],"Não encontrado")</f>
        <v/>
      </c>
      <c r="B858" s="40" t="n">
        <v>-23.591274</v>
      </c>
      <c r="C858" s="40" t="n">
        <v>-46.63198</v>
      </c>
      <c r="D858" s="40" t="n">
        <v>99</v>
      </c>
      <c r="E858" s="41" t="n">
        <v>6633.5674</v>
      </c>
    </row>
    <row r="859">
      <c r="A859" s="42">
        <f>_xlfn.XLOOKUP(17840,Trip[shape_id],Trip[shape_id],"Não encontrado")</f>
        <v/>
      </c>
      <c r="B859" s="43" t="n">
        <v>-23.590974</v>
      </c>
      <c r="C859" s="43" t="n">
        <v>-46.632372</v>
      </c>
      <c r="D859" s="43" t="n">
        <v>100</v>
      </c>
      <c r="E859" s="44" t="n">
        <v>6685.5762</v>
      </c>
    </row>
    <row r="860">
      <c r="A860" s="39">
        <f>_xlfn.XLOOKUP(17840,Trip[shape_id],Trip[shape_id],"Não encontrado")</f>
        <v/>
      </c>
      <c r="B860" s="40" t="n">
        <v>-23.590787</v>
      </c>
      <c r="C860" s="40" t="n">
        <v>-46.632604</v>
      </c>
      <c r="D860" s="40" t="n">
        <v>101</v>
      </c>
      <c r="E860" s="41" t="n">
        <v>6717.0356</v>
      </c>
    </row>
    <row r="861">
      <c r="A861" s="42">
        <f>_xlfn.XLOOKUP(17840,Trip[shape_id],Trip[shape_id],"Não encontrado")</f>
        <v/>
      </c>
      <c r="B861" s="43" t="n">
        <v>-23.590448</v>
      </c>
      <c r="C861" s="43" t="n">
        <v>-46.633147</v>
      </c>
      <c r="D861" s="43" t="n">
        <v>102</v>
      </c>
      <c r="E861" s="44" t="n">
        <v>6783.9795</v>
      </c>
    </row>
    <row r="862">
      <c r="A862" s="39">
        <f>_xlfn.XLOOKUP(17840,Trip[shape_id],Trip[shape_id],"Não encontrado")</f>
        <v/>
      </c>
      <c r="B862" s="40" t="n">
        <v>-23.590194</v>
      </c>
      <c r="C862" s="40" t="n">
        <v>-46.633532</v>
      </c>
      <c r="D862" s="40" t="n">
        <v>103</v>
      </c>
      <c r="E862" s="41" t="n">
        <v>6832.3081</v>
      </c>
    </row>
    <row r="863">
      <c r="A863" s="42">
        <f>_xlfn.XLOOKUP(17840,Trip[shape_id],Trip[shape_id],"Não encontrado")</f>
        <v/>
      </c>
      <c r="B863" s="43" t="n">
        <v>-23.589883</v>
      </c>
      <c r="C863" s="43" t="n">
        <v>-46.633857</v>
      </c>
      <c r="D863" s="43" t="n">
        <v>104</v>
      </c>
      <c r="E863" s="44" t="n">
        <v>6880.1289</v>
      </c>
    </row>
    <row r="864">
      <c r="A864" s="39">
        <f>_xlfn.XLOOKUP(17840,Trip[shape_id],Trip[shape_id],"Não encontrado")</f>
        <v/>
      </c>
      <c r="B864" s="40" t="n">
        <v>-23.58973</v>
      </c>
      <c r="C864" s="40" t="n">
        <v>-46.634012</v>
      </c>
      <c r="D864" s="40" t="n">
        <v>105</v>
      </c>
      <c r="E864" s="41" t="n">
        <v>6903.3115</v>
      </c>
    </row>
    <row r="865">
      <c r="A865" s="42">
        <f>_xlfn.XLOOKUP(17840,Trip[shape_id],Trip[shape_id],"Não encontrado")</f>
        <v/>
      </c>
      <c r="B865" s="43" t="n">
        <v>-23.589562</v>
      </c>
      <c r="C865" s="43" t="n">
        <v>-46.63418</v>
      </c>
      <c r="D865" s="43" t="n">
        <v>106</v>
      </c>
      <c r="E865" s="44" t="n">
        <v>6928.6147</v>
      </c>
    </row>
    <row r="866">
      <c r="A866" s="39">
        <f>_xlfn.XLOOKUP(17840,Trip[shape_id],Trip[shape_id],"Não encontrado")</f>
        <v/>
      </c>
      <c r="B866" s="40" t="n">
        <v>-23.589523</v>
      </c>
      <c r="C866" s="40" t="n">
        <v>-46.634221</v>
      </c>
      <c r="D866" s="40" t="n">
        <v>107</v>
      </c>
      <c r="E866" s="41" t="n">
        <v>6934.6289</v>
      </c>
    </row>
    <row r="867">
      <c r="A867" s="42">
        <f>_xlfn.XLOOKUP(17840,Trip[shape_id],Trip[shape_id],"Não encontrado")</f>
        <v/>
      </c>
      <c r="B867" s="43" t="n">
        <v>-23.589356</v>
      </c>
      <c r="C867" s="43" t="n">
        <v>-46.63431</v>
      </c>
      <c r="D867" s="43" t="n">
        <v>108</v>
      </c>
      <c r="E867" s="44" t="n">
        <v>6955.2354</v>
      </c>
    </row>
    <row r="868">
      <c r="A868" s="39">
        <f>_xlfn.XLOOKUP(17840,Trip[shape_id],Trip[shape_id],"Não encontrado")</f>
        <v/>
      </c>
      <c r="B868" s="40" t="n">
        <v>-23.589152</v>
      </c>
      <c r="C868" s="40" t="n">
        <v>-46.634368</v>
      </c>
      <c r="D868" s="40" t="n">
        <v>109</v>
      </c>
      <c r="E868" s="41" t="n">
        <v>6978.5918</v>
      </c>
    </row>
    <row r="869">
      <c r="A869" s="42">
        <f>_xlfn.XLOOKUP(17840,Trip[shape_id],Trip[shape_id],"Não encontrado")</f>
        <v/>
      </c>
      <c r="B869" s="43" t="n">
        <v>-23.588759</v>
      </c>
      <c r="C869" s="43" t="n">
        <v>-46.634443</v>
      </c>
      <c r="D869" s="43" t="n">
        <v>110</v>
      </c>
      <c r="E869" s="44" t="n">
        <v>7022.7856</v>
      </c>
    </row>
    <row r="870">
      <c r="A870" s="39">
        <f>_xlfn.XLOOKUP(17840,Trip[shape_id],Trip[shape_id],"Não encontrado")</f>
        <v/>
      </c>
      <c r="B870" s="40" t="n">
        <v>-23.58858</v>
      </c>
      <c r="C870" s="40" t="n">
        <v>-46.634478</v>
      </c>
      <c r="D870" s="40" t="n">
        <v>111</v>
      </c>
      <c r="E870" s="41" t="n">
        <v>7042.9297</v>
      </c>
    </row>
    <row r="871">
      <c r="A871" s="42">
        <f>_xlfn.XLOOKUP(17840,Trip[shape_id],Trip[shape_id],"Não encontrado")</f>
        <v/>
      </c>
      <c r="B871" s="43" t="n">
        <v>-23.588517</v>
      </c>
      <c r="C871" s="43" t="n">
        <v>-46.634488</v>
      </c>
      <c r="D871" s="43" t="n">
        <v>112</v>
      </c>
      <c r="E871" s="44" t="n">
        <v>7049.9814</v>
      </c>
    </row>
    <row r="872">
      <c r="A872" s="39">
        <f>_xlfn.XLOOKUP(17840,Trip[shape_id],Trip[shape_id],"Não encontrado")</f>
        <v/>
      </c>
      <c r="B872" s="40" t="n">
        <v>-23.588327</v>
      </c>
      <c r="C872" s="40" t="n">
        <v>-46.634516</v>
      </c>
      <c r="D872" s="40" t="n">
        <v>113</v>
      </c>
      <c r="E872" s="41" t="n">
        <v>7071.2178</v>
      </c>
    </row>
    <row r="873">
      <c r="A873" s="42">
        <f>_xlfn.XLOOKUP(17840,Trip[shape_id],Trip[shape_id],"Não encontrado")</f>
        <v/>
      </c>
      <c r="B873" s="43" t="n">
        <v>-23.588069</v>
      </c>
      <c r="C873" s="43" t="n">
        <v>-46.634555</v>
      </c>
      <c r="D873" s="43" t="n">
        <v>114</v>
      </c>
      <c r="E873" s="44" t="n">
        <v>7100.0679</v>
      </c>
    </row>
    <row r="874">
      <c r="A874" s="39">
        <f>_xlfn.XLOOKUP(17840,Trip[shape_id],Trip[shape_id],"Não encontrado")</f>
        <v/>
      </c>
      <c r="B874" s="40" t="n">
        <v>-23.587818</v>
      </c>
      <c r="C874" s="40" t="n">
        <v>-46.634615</v>
      </c>
      <c r="D874" s="40" t="n">
        <v>115</v>
      </c>
      <c r="E874" s="41" t="n">
        <v>7128.5332</v>
      </c>
    </row>
    <row r="875">
      <c r="A875" s="42">
        <f>_xlfn.XLOOKUP(17840,Trip[shape_id],Trip[shape_id],"Não encontrado")</f>
        <v/>
      </c>
      <c r="B875" s="43" t="n">
        <v>-23.587413</v>
      </c>
      <c r="C875" s="43" t="n">
        <v>-46.634711</v>
      </c>
      <c r="D875" s="43" t="n">
        <v>116</v>
      </c>
      <c r="E875" s="44" t="n">
        <v>7174.4458</v>
      </c>
    </row>
    <row r="876">
      <c r="A876" s="39">
        <f>_xlfn.XLOOKUP(17840,Trip[shape_id],Trip[shape_id],"Não encontrado")</f>
        <v/>
      </c>
      <c r="B876" s="40" t="n">
        <v>-23.587279</v>
      </c>
      <c r="C876" s="40" t="n">
        <v>-46.634769</v>
      </c>
      <c r="D876" s="40" t="n">
        <v>117</v>
      </c>
      <c r="E876" s="41" t="n">
        <v>7190.4243</v>
      </c>
    </row>
    <row r="877">
      <c r="A877" s="42">
        <f>_xlfn.XLOOKUP(17840,Trip[shape_id],Trip[shape_id],"Não encontrado")</f>
        <v/>
      </c>
      <c r="B877" s="43" t="n">
        <v>-23.586912</v>
      </c>
      <c r="C877" s="43" t="n">
        <v>-46.634925</v>
      </c>
      <c r="D877" s="43" t="n">
        <v>118</v>
      </c>
      <c r="E877" s="44" t="n">
        <v>7234.0781</v>
      </c>
    </row>
    <row r="878">
      <c r="A878" s="39">
        <f>_xlfn.XLOOKUP(17840,Trip[shape_id],Trip[shape_id],"Não encontrado")</f>
        <v/>
      </c>
      <c r="B878" s="40" t="n">
        <v>-23.586875</v>
      </c>
      <c r="C878" s="40" t="n">
        <v>-46.634944</v>
      </c>
      <c r="D878" s="40" t="n">
        <v>119</v>
      </c>
      <c r="E878" s="41" t="n">
        <v>7238.6118</v>
      </c>
    </row>
    <row r="879">
      <c r="A879" s="42">
        <f>_xlfn.XLOOKUP(17840,Trip[shape_id],Trip[shape_id],"Não encontrado")</f>
        <v/>
      </c>
      <c r="B879" s="43" t="n">
        <v>-23.586825</v>
      </c>
      <c r="C879" s="43" t="n">
        <v>-46.634965</v>
      </c>
      <c r="D879" s="43" t="n">
        <v>120</v>
      </c>
      <c r="E879" s="44" t="n">
        <v>7244.5493</v>
      </c>
    </row>
    <row r="880">
      <c r="A880" s="39">
        <f>_xlfn.XLOOKUP(17840,Trip[shape_id],Trip[shape_id],"Não encontrado")</f>
        <v/>
      </c>
      <c r="B880" s="40" t="n">
        <v>-23.586773</v>
      </c>
      <c r="C880" s="40" t="n">
        <v>-46.634987</v>
      </c>
      <c r="D880" s="40" t="n">
        <v>121</v>
      </c>
      <c r="E880" s="41" t="n">
        <v>7250.73</v>
      </c>
    </row>
    <row r="881">
      <c r="A881" s="42">
        <f>_xlfn.XLOOKUP(17840,Trip[shape_id],Trip[shape_id],"Não encontrado")</f>
        <v/>
      </c>
      <c r="B881" s="43" t="n">
        <v>-23.586686</v>
      </c>
      <c r="C881" s="43" t="n">
        <v>-46.635033</v>
      </c>
      <c r="D881" s="43" t="n">
        <v>122</v>
      </c>
      <c r="E881" s="44" t="n">
        <v>7261.4492</v>
      </c>
    </row>
    <row r="882">
      <c r="A882" s="39">
        <f>_xlfn.XLOOKUP(17840,Trip[shape_id],Trip[shape_id],"Não encontrado")</f>
        <v/>
      </c>
      <c r="B882" s="40" t="n">
        <v>-23.586553</v>
      </c>
      <c r="C882" s="40" t="n">
        <v>-46.635106</v>
      </c>
      <c r="D882" s="40" t="n">
        <v>123</v>
      </c>
      <c r="E882" s="41" t="n">
        <v>7277.957</v>
      </c>
    </row>
    <row r="883">
      <c r="A883" s="42">
        <f>_xlfn.XLOOKUP(17840,Trip[shape_id],Trip[shape_id],"Não encontrado")</f>
        <v/>
      </c>
      <c r="B883" s="43" t="n">
        <v>-23.586473</v>
      </c>
      <c r="C883" s="43" t="n">
        <v>-46.635151</v>
      </c>
      <c r="D883" s="43" t="n">
        <v>124</v>
      </c>
      <c r="E883" s="44" t="n">
        <v>7287.937</v>
      </c>
    </row>
    <row r="884">
      <c r="A884" s="39">
        <f>_xlfn.XLOOKUP(17840,Trip[shape_id],Trip[shape_id],"Não encontrado")</f>
        <v/>
      </c>
      <c r="B884" s="40" t="n">
        <v>-23.586233</v>
      </c>
      <c r="C884" s="40" t="n">
        <v>-46.635303</v>
      </c>
      <c r="D884" s="40" t="n">
        <v>125</v>
      </c>
      <c r="E884" s="41" t="n">
        <v>7318.7144</v>
      </c>
    </row>
    <row r="885">
      <c r="A885" s="42">
        <f>_xlfn.XLOOKUP(17840,Trip[shape_id],Trip[shape_id],"Não encontrado")</f>
        <v/>
      </c>
      <c r="B885" s="43" t="n">
        <v>-23.586173</v>
      </c>
      <c r="C885" s="43" t="n">
        <v>-46.635338</v>
      </c>
      <c r="D885" s="43" t="n">
        <v>126</v>
      </c>
      <c r="E885" s="44" t="n">
        <v>7326.2593</v>
      </c>
    </row>
    <row r="886">
      <c r="A886" s="39">
        <f>_xlfn.XLOOKUP(17840,Trip[shape_id],Trip[shape_id],"Não encontrado")</f>
        <v/>
      </c>
      <c r="B886" s="40" t="n">
        <v>-23.585878</v>
      </c>
      <c r="C886" s="40" t="n">
        <v>-46.635524</v>
      </c>
      <c r="D886" s="40" t="n">
        <v>127</v>
      </c>
      <c r="E886" s="41" t="n">
        <v>7364.0469</v>
      </c>
    </row>
    <row r="887">
      <c r="A887" s="42">
        <f>_xlfn.XLOOKUP(17840,Trip[shape_id],Trip[shape_id],"Não encontrado")</f>
        <v/>
      </c>
      <c r="B887" s="43" t="n">
        <v>-23.585634</v>
      </c>
      <c r="C887" s="43" t="n">
        <v>-46.63568</v>
      </c>
      <c r="D887" s="43" t="n">
        <v>128</v>
      </c>
      <c r="E887" s="44" t="n">
        <v>7395.4131</v>
      </c>
    </row>
    <row r="888">
      <c r="A888" s="39">
        <f>_xlfn.XLOOKUP(17840,Trip[shape_id],Trip[shape_id],"Não encontrado")</f>
        <v/>
      </c>
      <c r="B888" s="40" t="n">
        <v>-23.585256</v>
      </c>
      <c r="C888" s="40" t="n">
        <v>-46.63592</v>
      </c>
      <c r="D888" s="40" t="n">
        <v>129</v>
      </c>
      <c r="E888" s="41" t="n">
        <v>7443.9185</v>
      </c>
    </row>
    <row r="889">
      <c r="A889" s="42">
        <f>_xlfn.XLOOKUP(17840,Trip[shape_id],Trip[shape_id],"Não encontrado")</f>
        <v/>
      </c>
      <c r="B889" s="43" t="n">
        <v>-23.584873</v>
      </c>
      <c r="C889" s="43" t="n">
        <v>-46.636164</v>
      </c>
      <c r="D889" s="43" t="n">
        <v>130</v>
      </c>
      <c r="E889" s="44" t="n">
        <v>7493.1084</v>
      </c>
    </row>
    <row r="890">
      <c r="A890" s="39">
        <f>_xlfn.XLOOKUP(17840,Trip[shape_id],Trip[shape_id],"Não encontrado")</f>
        <v/>
      </c>
      <c r="B890" s="40" t="n">
        <v>-23.584616</v>
      </c>
      <c r="C890" s="40" t="n">
        <v>-46.636328</v>
      </c>
      <c r="D890" s="40" t="n">
        <v>131</v>
      </c>
      <c r="E890" s="41" t="n">
        <v>7526.1294</v>
      </c>
    </row>
    <row r="891">
      <c r="A891" s="42">
        <f>_xlfn.XLOOKUP(17840,Trip[shape_id],Trip[shape_id],"Não encontrado")</f>
        <v/>
      </c>
      <c r="B891" s="43" t="n">
        <v>-23.584363</v>
      </c>
      <c r="C891" s="43" t="n">
        <v>-46.636487</v>
      </c>
      <c r="D891" s="43" t="n">
        <v>132</v>
      </c>
      <c r="E891" s="44" t="n">
        <v>7558.5107</v>
      </c>
    </row>
    <row r="892">
      <c r="A892" s="39">
        <f>_xlfn.XLOOKUP(17840,Trip[shape_id],Trip[shape_id],"Não encontrado")</f>
        <v/>
      </c>
      <c r="B892" s="40" t="n">
        <v>-23.583966</v>
      </c>
      <c r="C892" s="40" t="n">
        <v>-46.636739</v>
      </c>
      <c r="D892" s="40" t="n">
        <v>133</v>
      </c>
      <c r="E892" s="41" t="n">
        <v>7609.4512</v>
      </c>
    </row>
    <row r="893">
      <c r="A893" s="42">
        <f>_xlfn.XLOOKUP(17840,Trip[shape_id],Trip[shape_id],"Não encontrado")</f>
        <v/>
      </c>
      <c r="B893" s="43" t="n">
        <v>-23.58362</v>
      </c>
      <c r="C893" s="43" t="n">
        <v>-46.636958</v>
      </c>
      <c r="D893" s="43" t="n">
        <v>134</v>
      </c>
      <c r="E893" s="44" t="n">
        <v>7653.8154</v>
      </c>
    </row>
    <row r="894">
      <c r="A894" s="39">
        <f>_xlfn.XLOOKUP(17840,Trip[shape_id],Trip[shape_id],"Não encontrado")</f>
        <v/>
      </c>
      <c r="B894" s="40" t="n">
        <v>-23.583374</v>
      </c>
      <c r="C894" s="40" t="n">
        <v>-46.637115</v>
      </c>
      <c r="D894" s="40" t="n">
        <v>135</v>
      </c>
      <c r="E894" s="41" t="n">
        <v>7685.4243</v>
      </c>
    </row>
    <row r="895">
      <c r="A895" s="42">
        <f>_xlfn.XLOOKUP(17840,Trip[shape_id],Trip[shape_id],"Não encontrado")</f>
        <v/>
      </c>
      <c r="B895" s="43" t="n">
        <v>-23.583289</v>
      </c>
      <c r="C895" s="43" t="n">
        <v>-46.637168</v>
      </c>
      <c r="D895" s="43" t="n">
        <v>136</v>
      </c>
      <c r="E895" s="44" t="n">
        <v>7696.2817</v>
      </c>
    </row>
    <row r="896">
      <c r="A896" s="39">
        <f>_xlfn.XLOOKUP(17840,Trip[shape_id],Trip[shape_id],"Não encontrado")</f>
        <v/>
      </c>
      <c r="B896" s="40" t="n">
        <v>-23.583111</v>
      </c>
      <c r="C896" s="40" t="n">
        <v>-46.637283</v>
      </c>
      <c r="D896" s="40" t="n">
        <v>137</v>
      </c>
      <c r="E896" s="41" t="n">
        <v>7719.2261</v>
      </c>
    </row>
    <row r="897">
      <c r="A897" s="42">
        <f>_xlfn.XLOOKUP(17840,Trip[shape_id],Trip[shape_id],"Não encontrado")</f>
        <v/>
      </c>
      <c r="B897" s="43" t="n">
        <v>-23.582818</v>
      </c>
      <c r="C897" s="43" t="n">
        <v>-46.63747</v>
      </c>
      <c r="D897" s="43" t="n">
        <v>138</v>
      </c>
      <c r="E897" s="44" t="n">
        <v>7756.8745</v>
      </c>
    </row>
    <row r="898">
      <c r="A898" s="39">
        <f>_xlfn.XLOOKUP(17840,Trip[shape_id],Trip[shape_id],"Não encontrado")</f>
        <v/>
      </c>
      <c r="B898" s="40" t="n">
        <v>-23.582595</v>
      </c>
      <c r="C898" s="40" t="n">
        <v>-46.637614</v>
      </c>
      <c r="D898" s="40" t="n">
        <v>139</v>
      </c>
      <c r="E898" s="41" t="n">
        <v>7785.6152</v>
      </c>
    </row>
    <row r="899">
      <c r="A899" s="42">
        <f>_xlfn.XLOOKUP(17840,Trip[shape_id],Trip[shape_id],"Não encontrado")</f>
        <v/>
      </c>
      <c r="B899" s="43" t="n">
        <v>-23.582578</v>
      </c>
      <c r="C899" s="43" t="n">
        <v>-46.637627</v>
      </c>
      <c r="D899" s="43" t="n">
        <v>140</v>
      </c>
      <c r="E899" s="44" t="n">
        <v>7787.9194</v>
      </c>
    </row>
    <row r="900">
      <c r="A900" s="39">
        <f>_xlfn.XLOOKUP(17840,Trip[shape_id],Trip[shape_id],"Não encontrado")</f>
        <v/>
      </c>
      <c r="B900" s="40" t="n">
        <v>-23.582246</v>
      </c>
      <c r="C900" s="40" t="n">
        <v>-46.637841</v>
      </c>
      <c r="D900" s="40" t="n">
        <v>141</v>
      </c>
      <c r="E900" s="41" t="n">
        <v>7830.6885</v>
      </c>
    </row>
    <row r="901">
      <c r="A901" s="42">
        <f>_xlfn.XLOOKUP(17840,Trip[shape_id],Trip[shape_id],"Não encontrado")</f>
        <v/>
      </c>
      <c r="B901" s="43" t="n">
        <v>-23.582228</v>
      </c>
      <c r="C901" s="43" t="n">
        <v>-46.63785</v>
      </c>
      <c r="D901" s="43" t="n">
        <v>142</v>
      </c>
      <c r="E901" s="44" t="n">
        <v>7832.8838</v>
      </c>
    </row>
    <row r="902">
      <c r="A902" s="39">
        <f>_xlfn.XLOOKUP(17840,Trip[shape_id],Trip[shape_id],"Não encontrado")</f>
        <v/>
      </c>
      <c r="B902" s="40" t="n">
        <v>-23.582194</v>
      </c>
      <c r="C902" s="40" t="n">
        <v>-46.637868</v>
      </c>
      <c r="D902" s="40" t="n">
        <v>143</v>
      </c>
      <c r="E902" s="41" t="n">
        <v>7837.0732</v>
      </c>
    </row>
    <row r="903">
      <c r="A903" s="42">
        <f>_xlfn.XLOOKUP(17840,Trip[shape_id],Trip[shape_id],"Não encontrado")</f>
        <v/>
      </c>
      <c r="B903" s="43" t="n">
        <v>-23.58186</v>
      </c>
      <c r="C903" s="43" t="n">
        <v>-46.638072</v>
      </c>
      <c r="D903" s="43" t="n">
        <v>144</v>
      </c>
      <c r="E903" s="44" t="n">
        <v>7879.5229</v>
      </c>
    </row>
    <row r="904">
      <c r="A904" s="39">
        <f>_xlfn.XLOOKUP(17840,Trip[shape_id],Trip[shape_id],"Não encontrado")</f>
        <v/>
      </c>
      <c r="B904" s="40" t="n">
        <v>-23.581764</v>
      </c>
      <c r="C904" s="40" t="n">
        <v>-46.638131</v>
      </c>
      <c r="D904" s="40" t="n">
        <v>145</v>
      </c>
      <c r="E904" s="41" t="n">
        <v>7891.7427</v>
      </c>
    </row>
    <row r="905">
      <c r="A905" s="42">
        <f>_xlfn.XLOOKUP(17840,Trip[shape_id],Trip[shape_id],"Não encontrado")</f>
        <v/>
      </c>
      <c r="B905" s="43" t="n">
        <v>-23.581589</v>
      </c>
      <c r="C905" s="43" t="n">
        <v>-46.638238</v>
      </c>
      <c r="D905" s="43" t="n">
        <v>146</v>
      </c>
      <c r="E905" s="44" t="n">
        <v>7913.9897</v>
      </c>
    </row>
    <row r="906">
      <c r="A906" s="39">
        <f>_xlfn.XLOOKUP(17840,Trip[shape_id],Trip[shape_id],"Não encontrado")</f>
        <v/>
      </c>
      <c r="B906" s="40" t="n">
        <v>-23.58147</v>
      </c>
      <c r="C906" s="40" t="n">
        <v>-46.638309</v>
      </c>
      <c r="D906" s="40" t="n">
        <v>147</v>
      </c>
      <c r="E906" s="41" t="n">
        <v>7929.0308</v>
      </c>
    </row>
    <row r="907">
      <c r="A907" s="42">
        <f>_xlfn.XLOOKUP(17840,Trip[shape_id],Trip[shape_id],"Não encontrado")</f>
        <v/>
      </c>
      <c r="B907" s="43" t="n">
        <v>-23.581406</v>
      </c>
      <c r="C907" s="43" t="n">
        <v>-46.638348</v>
      </c>
      <c r="D907" s="43" t="n">
        <v>148</v>
      </c>
      <c r="E907" s="44" t="n">
        <v>7937.1602</v>
      </c>
    </row>
    <row r="908">
      <c r="A908" s="39">
        <f>_xlfn.XLOOKUP(17840,Trip[shape_id],Trip[shape_id],"Não encontrado")</f>
        <v/>
      </c>
      <c r="B908" s="40" t="n">
        <v>-23.581289</v>
      </c>
      <c r="C908" s="40" t="n">
        <v>-46.638419</v>
      </c>
      <c r="D908" s="40" t="n">
        <v>149</v>
      </c>
      <c r="E908" s="41" t="n">
        <v>7952.0068</v>
      </c>
    </row>
    <row r="909">
      <c r="A909" s="42">
        <f>_xlfn.XLOOKUP(17840,Trip[shape_id],Trip[shape_id],"Não encontrado")</f>
        <v/>
      </c>
      <c r="B909" s="43" t="n">
        <v>-23.581254</v>
      </c>
      <c r="C909" s="43" t="n">
        <v>-46.638494</v>
      </c>
      <c r="D909" s="43" t="n">
        <v>150</v>
      </c>
      <c r="E909" s="44" t="n">
        <v>7960.5884</v>
      </c>
    </row>
    <row r="910">
      <c r="A910" s="39">
        <f>_xlfn.XLOOKUP(17840,Trip[shape_id],Trip[shape_id],"Não encontrado")</f>
        <v/>
      </c>
      <c r="B910" s="40" t="n">
        <v>-23.581191</v>
      </c>
      <c r="C910" s="40" t="n">
        <v>-46.638478</v>
      </c>
      <c r="D910" s="40" t="n">
        <v>151</v>
      </c>
      <c r="E910" s="41" t="n">
        <v>7967.7549</v>
      </c>
    </row>
    <row r="911">
      <c r="A911" s="42">
        <f>_xlfn.XLOOKUP(17840,Trip[shape_id],Trip[shape_id],"Não encontrado")</f>
        <v/>
      </c>
      <c r="B911" s="43" t="n">
        <v>-23.581168</v>
      </c>
      <c r="C911" s="43" t="n">
        <v>-46.638508</v>
      </c>
      <c r="D911" s="43" t="n">
        <v>152</v>
      </c>
      <c r="E911" s="44" t="n">
        <v>7971.7373</v>
      </c>
    </row>
    <row r="912">
      <c r="A912" s="39">
        <f>_xlfn.XLOOKUP(17840,Trip[shape_id],Trip[shape_id],"Não encontrado")</f>
        <v/>
      </c>
      <c r="B912" s="40" t="n">
        <v>-23.581041</v>
      </c>
      <c r="C912" s="40" t="n">
        <v>-46.638596</v>
      </c>
      <c r="D912" s="40" t="n">
        <v>153</v>
      </c>
      <c r="E912" s="41" t="n">
        <v>7988.4268</v>
      </c>
    </row>
    <row r="913">
      <c r="A913" s="42">
        <f>_xlfn.XLOOKUP(17840,Trip[shape_id],Trip[shape_id],"Não encontrado")</f>
        <v/>
      </c>
      <c r="B913" s="43" t="n">
        <v>-23.580968</v>
      </c>
      <c r="C913" s="43" t="n">
        <v>-46.638642</v>
      </c>
      <c r="D913" s="43" t="n">
        <v>154</v>
      </c>
      <c r="E913" s="44" t="n">
        <v>7997.7764</v>
      </c>
    </row>
    <row r="914">
      <c r="A914" s="39">
        <f>_xlfn.XLOOKUP(17840,Trip[shape_id],Trip[shape_id],"Não encontrado")</f>
        <v/>
      </c>
      <c r="B914" s="40" t="n">
        <v>-23.580497</v>
      </c>
      <c r="C914" s="40" t="n">
        <v>-46.638951</v>
      </c>
      <c r="D914" s="40" t="n">
        <v>155</v>
      </c>
      <c r="E914" s="41" t="n">
        <v>8058.7358</v>
      </c>
    </row>
    <row r="915">
      <c r="A915" s="42">
        <f>_xlfn.XLOOKUP(17840,Trip[shape_id],Trip[shape_id],"Não encontrado")</f>
        <v/>
      </c>
      <c r="B915" s="43" t="n">
        <v>-23.580239</v>
      </c>
      <c r="C915" s="43" t="n">
        <v>-46.639129</v>
      </c>
      <c r="D915" s="43" t="n">
        <v>156</v>
      </c>
      <c r="E915" s="44" t="n">
        <v>8092.5977</v>
      </c>
    </row>
    <row r="916">
      <c r="A916" s="39">
        <f>_xlfn.XLOOKUP(17840,Trip[shape_id],Trip[shape_id],"Não encontrado")</f>
        <v/>
      </c>
      <c r="B916" s="40" t="n">
        <v>-23.580165</v>
      </c>
      <c r="C916" s="40" t="n">
        <v>-46.63918</v>
      </c>
      <c r="D916" s="40" t="n">
        <v>157</v>
      </c>
      <c r="E916" s="41" t="n">
        <v>8102.3066</v>
      </c>
    </row>
    <row r="917">
      <c r="A917" s="42">
        <f>_xlfn.XLOOKUP(17840,Trip[shape_id],Trip[shape_id],"Não encontrado")</f>
        <v/>
      </c>
      <c r="B917" s="43" t="n">
        <v>-23.579765</v>
      </c>
      <c r="C917" s="43" t="n">
        <v>-46.639434</v>
      </c>
      <c r="D917" s="43" t="n">
        <v>158</v>
      </c>
      <c r="E917" s="44" t="n">
        <v>8153.6372</v>
      </c>
    </row>
    <row r="918">
      <c r="A918" s="39">
        <f>_xlfn.XLOOKUP(17840,Trip[shape_id],Trip[shape_id],"Não encontrado")</f>
        <v/>
      </c>
      <c r="B918" s="40" t="n">
        <v>-23.579498</v>
      </c>
      <c r="C918" s="40" t="n">
        <v>-46.639605</v>
      </c>
      <c r="D918" s="40" t="n">
        <v>159</v>
      </c>
      <c r="E918" s="41" t="n">
        <v>8187.9756</v>
      </c>
    </row>
    <row r="919">
      <c r="A919" s="42">
        <f>_xlfn.XLOOKUP(17840,Trip[shape_id],Trip[shape_id],"Não encontrado")</f>
        <v/>
      </c>
      <c r="B919" s="43" t="n">
        <v>-23.57929</v>
      </c>
      <c r="C919" s="43" t="n">
        <v>-46.639731</v>
      </c>
      <c r="D919" s="43" t="n">
        <v>160</v>
      </c>
      <c r="E919" s="44" t="n">
        <v>8214.359399999999</v>
      </c>
    </row>
    <row r="920">
      <c r="A920" s="39">
        <f>_xlfn.XLOOKUP(17840,Trip[shape_id],Trip[shape_id],"Não encontrado")</f>
        <v/>
      </c>
      <c r="B920" s="40" t="n">
        <v>-23.57891</v>
      </c>
      <c r="C920" s="40" t="n">
        <v>-46.63996</v>
      </c>
      <c r="D920" s="40" t="n">
        <v>161</v>
      </c>
      <c r="E920" s="41" t="n">
        <v>8262.502</v>
      </c>
    </row>
    <row r="921">
      <c r="A921" s="42">
        <f>_xlfn.XLOOKUP(17840,Trip[shape_id],Trip[shape_id],"Não encontrado")</f>
        <v/>
      </c>
      <c r="B921" s="43" t="n">
        <v>-23.578109</v>
      </c>
      <c r="C921" s="43" t="n">
        <v>-46.640464</v>
      </c>
      <c r="D921" s="43" t="n">
        <v>162</v>
      </c>
      <c r="E921" s="44" t="n">
        <v>8365.0537</v>
      </c>
    </row>
    <row r="922">
      <c r="A922" s="39">
        <f>_xlfn.XLOOKUP(17840,Trip[shape_id],Trip[shape_id],"Não encontrado")</f>
        <v/>
      </c>
      <c r="B922" s="40" t="n">
        <v>-23.577895</v>
      </c>
      <c r="C922" s="40" t="n">
        <v>-46.6406</v>
      </c>
      <c r="D922" s="40" t="n">
        <v>163</v>
      </c>
      <c r="E922" s="41" t="n">
        <v>8392.521500000001</v>
      </c>
    </row>
    <row r="923">
      <c r="A923" s="42">
        <f>_xlfn.XLOOKUP(17840,Trip[shape_id],Trip[shape_id],"Não encontrado")</f>
        <v/>
      </c>
      <c r="B923" s="43" t="n">
        <v>-23.577679</v>
      </c>
      <c r="C923" s="43" t="n">
        <v>-46.640701</v>
      </c>
      <c r="D923" s="43" t="n">
        <v>164</v>
      </c>
      <c r="E923" s="44" t="n">
        <v>8418.5713</v>
      </c>
    </row>
    <row r="924">
      <c r="A924" s="39">
        <f>_xlfn.XLOOKUP(17840,Trip[shape_id],Trip[shape_id],"Não encontrado")</f>
        <v/>
      </c>
      <c r="B924" s="40" t="n">
        <v>-23.577441</v>
      </c>
      <c r="C924" s="40" t="n">
        <v>-46.640776</v>
      </c>
      <c r="D924" s="40" t="n">
        <v>165</v>
      </c>
      <c r="E924" s="41" t="n">
        <v>8446.0195</v>
      </c>
    </row>
    <row r="925">
      <c r="A925" s="42">
        <f>_xlfn.XLOOKUP(17840,Trip[shape_id],Trip[shape_id],"Não encontrado")</f>
        <v/>
      </c>
      <c r="B925" s="43" t="n">
        <v>-23.577212</v>
      </c>
      <c r="C925" s="43" t="n">
        <v>-46.640801</v>
      </c>
      <c r="D925" s="43" t="n">
        <v>166</v>
      </c>
      <c r="E925" s="44" t="n">
        <v>8471.5098</v>
      </c>
    </row>
    <row r="926">
      <c r="A926" s="39">
        <f>_xlfn.XLOOKUP(17840,Trip[shape_id],Trip[shape_id],"Não encontrado")</f>
        <v/>
      </c>
      <c r="B926" s="40" t="n">
        <v>-23.576833</v>
      </c>
      <c r="C926" s="40" t="n">
        <v>-46.640841</v>
      </c>
      <c r="D926" s="40" t="n">
        <v>167</v>
      </c>
      <c r="E926" s="41" t="n">
        <v>8513.6826</v>
      </c>
    </row>
    <row r="927">
      <c r="A927" s="42">
        <f>_xlfn.XLOOKUP(17840,Trip[shape_id],Trip[shape_id],"Não encontrado")</f>
        <v/>
      </c>
      <c r="B927" s="43" t="n">
        <v>-23.576756</v>
      </c>
      <c r="C927" s="43" t="n">
        <v>-46.640831</v>
      </c>
      <c r="D927" s="43" t="n">
        <v>168</v>
      </c>
      <c r="E927" s="44" t="n">
        <v>8522.271500000001</v>
      </c>
    </row>
    <row r="928">
      <c r="A928" s="39">
        <f>_xlfn.XLOOKUP(17840,Trip[shape_id],Trip[shape_id],"Não encontrado")</f>
        <v/>
      </c>
      <c r="B928" s="40" t="n">
        <v>-23.5766</v>
      </c>
      <c r="C928" s="40" t="n">
        <v>-46.640817</v>
      </c>
      <c r="D928" s="40" t="n">
        <v>169</v>
      </c>
      <c r="E928" s="41" t="n">
        <v>8539.607400000001</v>
      </c>
    </row>
    <row r="929">
      <c r="A929" s="42">
        <f>_xlfn.XLOOKUP(17840,Trip[shape_id],Trip[shape_id],"Não encontrado")</f>
        <v/>
      </c>
      <c r="B929" s="43" t="n">
        <v>-23.576448</v>
      </c>
      <c r="C929" s="43" t="n">
        <v>-46.640802</v>
      </c>
      <c r="D929" s="43" t="n">
        <v>170</v>
      </c>
      <c r="E929" s="44" t="n">
        <v>8556.510700000001</v>
      </c>
    </row>
    <row r="930">
      <c r="A930" s="39">
        <f>_xlfn.XLOOKUP(17840,Trip[shape_id],Trip[shape_id],"Não encontrado")</f>
        <v/>
      </c>
      <c r="B930" s="40" t="n">
        <v>-23.576351</v>
      </c>
      <c r="C930" s="40" t="n">
        <v>-46.64079</v>
      </c>
      <c r="D930" s="40" t="n">
        <v>171</v>
      </c>
      <c r="E930" s="41" t="n">
        <v>8567.323200000001</v>
      </c>
    </row>
    <row r="931">
      <c r="A931" s="42">
        <f>_xlfn.XLOOKUP(17840,Trip[shape_id],Trip[shape_id],"Não encontrado")</f>
        <v/>
      </c>
      <c r="B931" s="43" t="n">
        <v>-23.576141</v>
      </c>
      <c r="C931" s="43" t="n">
        <v>-46.640777</v>
      </c>
      <c r="D931" s="43" t="n">
        <v>172</v>
      </c>
      <c r="E931" s="44" t="n">
        <v>8590.6191</v>
      </c>
    </row>
    <row r="932">
      <c r="A932" s="39">
        <f>_xlfn.XLOOKUP(17840,Trip[shape_id],Trip[shape_id],"Não encontrado")</f>
        <v/>
      </c>
      <c r="B932" s="40" t="n">
        <v>-23.575452</v>
      </c>
      <c r="C932" s="40" t="n">
        <v>-46.640747</v>
      </c>
      <c r="D932" s="40" t="n">
        <v>173</v>
      </c>
      <c r="E932" s="41" t="n">
        <v>8666.989299999999</v>
      </c>
    </row>
    <row r="933">
      <c r="A933" s="42">
        <f>_xlfn.XLOOKUP(17840,Trip[shape_id],Trip[shape_id],"Não encontrado")</f>
        <v/>
      </c>
      <c r="B933" s="43" t="n">
        <v>-23.575377</v>
      </c>
      <c r="C933" s="43" t="n">
        <v>-46.640805</v>
      </c>
      <c r="D933" s="43" t="n">
        <v>174</v>
      </c>
      <c r="E933" s="44" t="n">
        <v>8677.338900000001</v>
      </c>
    </row>
    <row r="934">
      <c r="A934" s="39">
        <f>_xlfn.XLOOKUP(17840,Trip[shape_id],Trip[shape_id],"Não encontrado")</f>
        <v/>
      </c>
      <c r="B934" s="40" t="n">
        <v>-23.574996</v>
      </c>
      <c r="C934" s="40" t="n">
        <v>-46.64086</v>
      </c>
      <c r="D934" s="40" t="n">
        <v>175</v>
      </c>
      <c r="E934" s="41" t="n">
        <v>8742.487300000001</v>
      </c>
    </row>
    <row r="935">
      <c r="A935" s="42">
        <f>_xlfn.XLOOKUP(17840,Trip[shape_id],Trip[shape_id],"Não encontrado")</f>
        <v/>
      </c>
      <c r="B935" s="43" t="n">
        <v>-23.574794</v>
      </c>
      <c r="C935" s="43" t="n">
        <v>-46.64089</v>
      </c>
      <c r="D935" s="43" t="n">
        <v>176</v>
      </c>
      <c r="E935" s="44" t="n">
        <v>8765.6309</v>
      </c>
    </row>
    <row r="936">
      <c r="A936" s="39">
        <f>_xlfn.XLOOKUP(17840,Trip[shape_id],Trip[shape_id],"Não encontrado")</f>
        <v/>
      </c>
      <c r="B936" s="40" t="n">
        <v>-23.574587</v>
      </c>
      <c r="C936" s="40" t="n">
        <v>-46.640921</v>
      </c>
      <c r="D936" s="40" t="n">
        <v>177</v>
      </c>
      <c r="E936" s="41" t="n">
        <v>8802.430700000001</v>
      </c>
    </row>
    <row r="937">
      <c r="A937" s="42">
        <f>_xlfn.XLOOKUP(17840,Trip[shape_id],Trip[shape_id],"Não encontrado")</f>
        <v/>
      </c>
      <c r="B937" s="43" t="n">
        <v>-23.574274</v>
      </c>
      <c r="C937" s="43" t="n">
        <v>-46.641042</v>
      </c>
      <c r="D937" s="43" t="n">
        <v>178</v>
      </c>
      <c r="E937" s="44" t="n">
        <v>8816.6777</v>
      </c>
    </row>
    <row r="938">
      <c r="A938" s="39">
        <f>_xlfn.XLOOKUP(17840,Trip[shape_id],Trip[shape_id],"Não encontrado")</f>
        <v/>
      </c>
      <c r="B938" s="40" t="n">
        <v>-23.574155</v>
      </c>
      <c r="C938" s="40" t="n">
        <v>-46.641095</v>
      </c>
      <c r="D938" s="40" t="n">
        <v>179</v>
      </c>
      <c r="E938" s="41" t="n">
        <v>8838.143599999999</v>
      </c>
    </row>
    <row r="939">
      <c r="A939" s="42">
        <f>_xlfn.XLOOKUP(17840,Trip[shape_id],Trip[shape_id],"Não encontrado")</f>
        <v/>
      </c>
      <c r="B939" s="43" t="n">
        <v>-23.573985</v>
      </c>
      <c r="C939" s="43" t="n">
        <v>-46.641196</v>
      </c>
      <c r="D939" s="43" t="n">
        <v>180</v>
      </c>
      <c r="E939" s="44" t="n">
        <v>8865.8418</v>
      </c>
    </row>
    <row r="940">
      <c r="A940" s="39">
        <f>_xlfn.XLOOKUP(17840,Trip[shape_id],Trip[shape_id],"Não encontrado")</f>
        <v/>
      </c>
      <c r="B940" s="40" t="n">
        <v>-23.573764</v>
      </c>
      <c r="C940" s="40" t="n">
        <v>-46.641323</v>
      </c>
      <c r="D940" s="40" t="n">
        <v>181</v>
      </c>
      <c r="E940" s="41" t="n">
        <v>8924.795899999999</v>
      </c>
    </row>
    <row r="941">
      <c r="A941" s="42">
        <f>_xlfn.XLOOKUP(17840,Trip[shape_id],Trip[shape_id],"Não encontrado")</f>
        <v/>
      </c>
      <c r="B941" s="43" t="n">
        <v>-23.573353</v>
      </c>
      <c r="C941" s="43" t="n">
        <v>-46.64169</v>
      </c>
      <c r="D941" s="43" t="n">
        <v>182</v>
      </c>
      <c r="E941" s="44" t="n">
        <v>8981.0039</v>
      </c>
    </row>
    <row r="942">
      <c r="A942" s="39">
        <f>_xlfn.XLOOKUP(17840,Trip[shape_id],Trip[shape_id],"Não encontrado")</f>
        <v/>
      </c>
      <c r="B942" s="40" t="n">
        <v>-23.572992</v>
      </c>
      <c r="C942" s="40" t="n">
        <v>-46.642077</v>
      </c>
      <c r="D942" s="40" t="n">
        <v>183</v>
      </c>
      <c r="E942" s="41" t="n">
        <v>9082.4395</v>
      </c>
    </row>
    <row r="943">
      <c r="A943" s="42">
        <f>_xlfn.XLOOKUP(17840,Trip[shape_id],Trip[shape_id],"Não encontrado")</f>
        <v/>
      </c>
      <c r="B943" s="43" t="n">
        <v>-23.572402</v>
      </c>
      <c r="C943" s="43" t="n">
        <v>-46.642837</v>
      </c>
      <c r="D943" s="43" t="n">
        <v>184</v>
      </c>
      <c r="E943" s="44" t="n">
        <v>9120.9082</v>
      </c>
    </row>
    <row r="944">
      <c r="A944" s="39">
        <f>_xlfn.XLOOKUP(17840,Trip[shape_id],Trip[shape_id],"Não encontrado")</f>
        <v/>
      </c>
      <c r="B944" s="40" t="n">
        <v>-23.572178</v>
      </c>
      <c r="C944" s="40" t="n">
        <v>-46.643125</v>
      </c>
      <c r="D944" s="40" t="n">
        <v>185</v>
      </c>
      <c r="E944" s="41" t="n">
        <v>9165.8271</v>
      </c>
    </row>
    <row r="945">
      <c r="A945" s="42">
        <f>_xlfn.XLOOKUP(17840,Trip[shape_id],Trip[shape_id],"Não encontrado")</f>
        <v/>
      </c>
      <c r="B945" s="43" t="n">
        <v>-23.571931</v>
      </c>
      <c r="C945" s="43" t="n">
        <v>-46.643474</v>
      </c>
      <c r="D945" s="43" t="n">
        <v>186</v>
      </c>
      <c r="E945" s="44" t="n">
        <v>9235.565399999999</v>
      </c>
    </row>
    <row r="946">
      <c r="A946" s="39">
        <f>_xlfn.XLOOKUP(17840,Trip[shape_id],Trip[shape_id],"Não encontrado")</f>
        <v/>
      </c>
      <c r="B946" s="40" t="n">
        <v>-23.571527</v>
      </c>
      <c r="C946" s="40" t="n">
        <v>-46.643998</v>
      </c>
      <c r="D946" s="40" t="n">
        <v>187</v>
      </c>
      <c r="E946" s="41" t="n">
        <v>9267.767599999999</v>
      </c>
    </row>
    <row r="947">
      <c r="A947" s="42">
        <f>_xlfn.XLOOKUP(17840,Trip[shape_id],Trip[shape_id],"Não encontrado")</f>
        <v/>
      </c>
      <c r="B947" s="43" t="n">
        <v>-23.571331</v>
      </c>
      <c r="C947" s="43" t="n">
        <v>-46.644231</v>
      </c>
      <c r="D947" s="43" t="n">
        <v>188</v>
      </c>
      <c r="E947" s="44" t="n">
        <v>9282.3359</v>
      </c>
    </row>
    <row r="948">
      <c r="A948" s="39">
        <f>_xlfn.XLOOKUP(17840,Trip[shape_id],Trip[shape_id],"Não encontrado")</f>
        <v/>
      </c>
      <c r="B948" s="40" t="n">
        <v>-23.571239</v>
      </c>
      <c r="C948" s="40" t="n">
        <v>-46.644333</v>
      </c>
      <c r="D948" s="40" t="n">
        <v>189</v>
      </c>
      <c r="E948" s="41" t="n">
        <v>9306.956099999999</v>
      </c>
    </row>
    <row r="949">
      <c r="A949" s="42">
        <f>_xlfn.XLOOKUP(17840,Trip[shape_id],Trip[shape_id],"Não encontrado")</f>
        <v/>
      </c>
      <c r="B949" s="43" t="n">
        <v>-23.571088</v>
      </c>
      <c r="C949" s="43" t="n">
        <v>-46.64451</v>
      </c>
      <c r="D949" s="43" t="n">
        <v>190</v>
      </c>
      <c r="E949" s="44" t="n">
        <v>9357.3896</v>
      </c>
    </row>
    <row r="950">
      <c r="A950" s="39">
        <f>_xlfn.XLOOKUP(17840,Trip[shape_id],Trip[shape_id],"Não encontrado")</f>
        <v/>
      </c>
      <c r="B950" s="40" t="n">
        <v>-23.570797</v>
      </c>
      <c r="C950" s="40" t="n">
        <v>-46.64489</v>
      </c>
      <c r="D950" s="40" t="n">
        <v>191</v>
      </c>
      <c r="E950" s="41" t="n">
        <v>9483.0059</v>
      </c>
    </row>
    <row r="951">
      <c r="A951" s="42">
        <f>_xlfn.XLOOKUP(17840,Trip[shape_id],Trip[shape_id],"Não encontrado")</f>
        <v/>
      </c>
      <c r="B951" s="43" t="n">
        <v>-23.570064</v>
      </c>
      <c r="C951" s="43" t="n">
        <v>-46.645829</v>
      </c>
      <c r="D951" s="43" t="n">
        <v>192</v>
      </c>
      <c r="E951" s="44" t="n">
        <v>9895.2988</v>
      </c>
    </row>
    <row r="952">
      <c r="A952" s="39">
        <f>_xlfn.XLOOKUP(17840,Trip[shape_id],Trip[shape_id],"Não encontrado")</f>
        <v/>
      </c>
      <c r="B952" s="40" t="n">
        <v>-23.567698</v>
      </c>
      <c r="C952" s="40" t="n">
        <v>-46.648947</v>
      </c>
      <c r="D952" s="40" t="n">
        <v>193</v>
      </c>
      <c r="E952" s="41" t="n">
        <v>9895.2988</v>
      </c>
    </row>
    <row r="953">
      <c r="A953" s="42">
        <f>_xlfn.XLOOKUP(17840,Trip[shape_id],Trip[shape_id],"Não encontrado")</f>
        <v/>
      </c>
      <c r="B953" s="43" t="n">
        <v>-23.567615</v>
      </c>
      <c r="C953" s="43" t="n">
        <v>-46.649057</v>
      </c>
      <c r="D953" s="43" t="n">
        <v>194</v>
      </c>
      <c r="E953" s="44" t="n">
        <v>9933.25</v>
      </c>
    </row>
    <row r="954">
      <c r="A954" s="39">
        <f>_xlfn.XLOOKUP(17840,Trip[shape_id],Trip[shape_id],"Não encontrado")</f>
        <v/>
      </c>
      <c r="B954" s="40" t="n">
        <v>-23.567478</v>
      </c>
      <c r="C954" s="40" t="n">
        <v>-46.649232</v>
      </c>
      <c r="D954" s="40" t="n">
        <v>195</v>
      </c>
      <c r="E954" s="41" t="n">
        <v>9968.6055</v>
      </c>
    </row>
    <row r="955">
      <c r="A955" s="42">
        <f>_xlfn.XLOOKUP(17840,Trip[shape_id],Trip[shape_id],"Não encontrado")</f>
        <v/>
      </c>
      <c r="B955" s="43" t="n">
        <v>-23.567262</v>
      </c>
      <c r="C955" s="43" t="n">
        <v>-46.649487</v>
      </c>
      <c r="D955" s="43" t="n">
        <v>196</v>
      </c>
      <c r="E955" s="44" t="n">
        <v>10068.224</v>
      </c>
    </row>
    <row r="956">
      <c r="A956" s="39">
        <f>_xlfn.XLOOKUP(17840,Trip[shape_id],Trip[shape_id],"Não encontrado")</f>
        <v/>
      </c>
      <c r="B956" s="40" t="n">
        <v>-23.566661</v>
      </c>
      <c r="C956" s="40" t="n">
        <v>-46.650213</v>
      </c>
      <c r="D956" s="40" t="n">
        <v>197</v>
      </c>
      <c r="E956" s="41" t="n">
        <v>10160.779</v>
      </c>
    </row>
    <row r="957">
      <c r="A957" s="42">
        <f>_xlfn.XLOOKUP(17840,Trip[shape_id],Trip[shape_id],"Não encontrado")</f>
        <v/>
      </c>
      <c r="B957" s="43" t="n">
        <v>-23.566098</v>
      </c>
      <c r="C957" s="43" t="n">
        <v>-46.650883</v>
      </c>
      <c r="D957" s="43" t="n">
        <v>198</v>
      </c>
      <c r="E957" s="44" t="n">
        <v>10351.3</v>
      </c>
    </row>
    <row r="958">
      <c r="A958" s="39">
        <f>_xlfn.XLOOKUP(17840,Trip[shape_id],Trip[shape_id],"Não encontrado")</f>
        <v/>
      </c>
      <c r="B958" s="40" t="n">
        <v>-23.564943</v>
      </c>
      <c r="C958" s="40" t="n">
        <v>-46.652266</v>
      </c>
      <c r="D958" s="40" t="n">
        <v>199</v>
      </c>
      <c r="E958" s="41" t="n">
        <v>10435.6</v>
      </c>
    </row>
    <row r="959">
      <c r="A959" s="42">
        <f>_xlfn.XLOOKUP(17840,Trip[shape_id],Trip[shape_id],"Não encontrado")</f>
        <v/>
      </c>
      <c r="B959" s="43" t="n">
        <v>-23.564431</v>
      </c>
      <c r="C959" s="43" t="n">
        <v>-46.652877</v>
      </c>
      <c r="D959" s="43" t="n">
        <v>200</v>
      </c>
      <c r="E959" s="44" t="n">
        <v>10453.69</v>
      </c>
    </row>
    <row r="960">
      <c r="A960" s="39">
        <f>_xlfn.XLOOKUP(17840,Trip[shape_id],Trip[shape_id],"Não encontrado")</f>
        <v/>
      </c>
      <c r="B960" s="40" t="n">
        <v>-23.56432</v>
      </c>
      <c r="C960" s="40" t="n">
        <v>-46.653007</v>
      </c>
      <c r="D960" s="40" t="n">
        <v>201</v>
      </c>
      <c r="E960" s="41" t="n">
        <v>10516.533</v>
      </c>
    </row>
    <row r="961">
      <c r="A961" s="42">
        <f>_xlfn.XLOOKUP(17840,Trip[shape_id],Trip[shape_id],"Não encontrado")</f>
        <v/>
      </c>
      <c r="B961" s="43" t="n">
        <v>-23.563944</v>
      </c>
      <c r="C961" s="43" t="n">
        <v>-46.653468</v>
      </c>
      <c r="D961" s="43" t="n">
        <v>202</v>
      </c>
      <c r="E961" s="44" t="n">
        <v>10561.648</v>
      </c>
    </row>
    <row r="962">
      <c r="A962" s="39">
        <f>_xlfn.XLOOKUP(17840,Trip[shape_id],Trip[shape_id],"Não encontrado")</f>
        <v/>
      </c>
      <c r="B962" s="40" t="n">
        <v>-23.56367</v>
      </c>
      <c r="C962" s="40" t="n">
        <v>-46.653795</v>
      </c>
      <c r="D962" s="40" t="n">
        <v>203</v>
      </c>
      <c r="E962" s="41" t="n">
        <v>10570.432</v>
      </c>
    </row>
    <row r="963">
      <c r="A963" s="42">
        <f>_xlfn.XLOOKUP(17840,Trip[shape_id],Trip[shape_id],"Não encontrado")</f>
        <v/>
      </c>
      <c r="B963" s="43" t="n">
        <v>-23.563617</v>
      </c>
      <c r="C963" s="43" t="n">
        <v>-46.653859</v>
      </c>
      <c r="D963" s="43" t="n">
        <v>204</v>
      </c>
      <c r="E963" s="44" t="n">
        <v>10570.432</v>
      </c>
    </row>
    <row r="964">
      <c r="A964" s="39">
        <f>_xlfn.XLOOKUP(17840,Trip[shape_id],Trip[shape_id],"Não encontrado")</f>
        <v/>
      </c>
      <c r="B964" s="40" t="n">
        <v>-23.563325</v>
      </c>
      <c r="C964" s="40" t="n">
        <v>-46.654218</v>
      </c>
      <c r="D964" s="40" t="n">
        <v>205</v>
      </c>
      <c r="E964" s="41" t="n">
        <v>10689.428</v>
      </c>
    </row>
    <row r="965">
      <c r="A965" s="42">
        <f>_xlfn.XLOOKUP(17840,Trip[shape_id],Trip[shape_id],"Não encontrado")</f>
        <v/>
      </c>
      <c r="B965" s="43" t="n">
        <v>-23.562902</v>
      </c>
      <c r="C965" s="43" t="n">
        <v>-46.654729</v>
      </c>
      <c r="D965" s="43" t="n">
        <v>206</v>
      </c>
      <c r="E965" s="44" t="n">
        <v>10732.444</v>
      </c>
    </row>
    <row r="966">
      <c r="A966" s="39">
        <f>_xlfn.XLOOKUP(17840,Trip[shape_id],Trip[shape_id],"Não encontrado")</f>
        <v/>
      </c>
      <c r="B966" s="40" t="n">
        <v>-23.562643</v>
      </c>
      <c r="C966" s="40" t="n">
        <v>-46.655043</v>
      </c>
      <c r="D966" s="40" t="n">
        <v>207</v>
      </c>
      <c r="E966" s="41" t="n">
        <v>10781.49</v>
      </c>
    </row>
    <row r="967">
      <c r="A967" s="42">
        <f>_xlfn.XLOOKUP(17840,Trip[shape_id],Trip[shape_id],"Não encontrado")</f>
        <v/>
      </c>
      <c r="B967" s="43" t="n">
        <v>-23.562354</v>
      </c>
      <c r="C967" s="43" t="n">
        <v>-46.655407</v>
      </c>
      <c r="D967" s="43" t="n">
        <v>208</v>
      </c>
      <c r="E967" s="44" t="n">
        <v>10831.26</v>
      </c>
    </row>
    <row r="968">
      <c r="A968" s="39">
        <f>_xlfn.XLOOKUP(17840,Trip[shape_id],Trip[shape_id],"Não encontrado")</f>
        <v/>
      </c>
      <c r="B968" s="40" t="n">
        <v>-23.562052</v>
      </c>
      <c r="C968" s="40" t="n">
        <v>-46.655768</v>
      </c>
      <c r="D968" s="40" t="n">
        <v>209</v>
      </c>
      <c r="E968" s="41" t="n">
        <v>10859.41</v>
      </c>
    </row>
    <row r="969">
      <c r="A969" s="42">
        <f>_xlfn.XLOOKUP(17840,Trip[shape_id],Trip[shape_id],"Não encontrado")</f>
        <v/>
      </c>
      <c r="B969" s="43" t="n">
        <v>-23.561881</v>
      </c>
      <c r="C969" s="43" t="n">
        <v>-46.655972</v>
      </c>
      <c r="D969" s="43" t="n">
        <v>210</v>
      </c>
      <c r="E969" s="44" t="n">
        <v>10897.994</v>
      </c>
    </row>
    <row r="970">
      <c r="A970" s="39">
        <f>_xlfn.XLOOKUP(17840,Trip[shape_id],Trip[shape_id],"Não encontrado")</f>
        <v/>
      </c>
      <c r="B970" s="40" t="n">
        <v>-23.561645</v>
      </c>
      <c r="C970" s="40" t="n">
        <v>-46.65625</v>
      </c>
      <c r="D970" s="40" t="n">
        <v>211</v>
      </c>
      <c r="E970" s="41" t="n">
        <v>10986.007</v>
      </c>
    </row>
    <row r="971">
      <c r="A971" s="42">
        <f>_xlfn.XLOOKUP(17840,Trip[shape_id],Trip[shape_id],"Não encontrado")</f>
        <v/>
      </c>
      <c r="B971" s="43" t="n">
        <v>-23.56109</v>
      </c>
      <c r="C971" s="43" t="n">
        <v>-46.656867</v>
      </c>
      <c r="D971" s="43" t="n">
        <v>212</v>
      </c>
      <c r="E971" s="44" t="n">
        <v>11022.121</v>
      </c>
    </row>
    <row r="972">
      <c r="A972" s="39">
        <f>_xlfn.XLOOKUP(17840,Trip[shape_id],Trip[shape_id],"Não encontrado")</f>
        <v/>
      </c>
      <c r="B972" s="40" t="n">
        <v>-23.560864</v>
      </c>
      <c r="C972" s="40" t="n">
        <v>-46.657122</v>
      </c>
      <c r="D972" s="40" t="n">
        <v>213</v>
      </c>
      <c r="E972" s="41" t="n">
        <v>11098.199</v>
      </c>
    </row>
    <row r="973">
      <c r="A973" s="42">
        <f>_xlfn.XLOOKUP(17840,Trip[shape_id],Trip[shape_id],"Não encontrado")</f>
        <v/>
      </c>
      <c r="B973" s="43" t="n">
        <v>-23.560383</v>
      </c>
      <c r="C973" s="43" t="n">
        <v>-46.657654</v>
      </c>
      <c r="D973" s="43" t="n">
        <v>214</v>
      </c>
      <c r="E973" s="44" t="n">
        <v>11144.782</v>
      </c>
    </row>
    <row r="974">
      <c r="A974" s="39">
        <f>_xlfn.XLOOKUP(17840,Trip[shape_id],Trip[shape_id],"Não encontrado")</f>
        <v/>
      </c>
      <c r="B974" s="40" t="n">
        <v>-23.560085</v>
      </c>
      <c r="C974" s="40" t="n">
        <v>-46.657976</v>
      </c>
      <c r="D974" s="40" t="n">
        <v>215</v>
      </c>
      <c r="E974" s="41" t="n">
        <v>11173.962</v>
      </c>
    </row>
    <row r="975">
      <c r="A975" s="42">
        <f>_xlfn.XLOOKUP(17840,Trip[shape_id],Trip[shape_id],"Não encontrado")</f>
        <v/>
      </c>
      <c r="B975" s="43" t="n">
        <v>-23.559895</v>
      </c>
      <c r="C975" s="43" t="n">
        <v>-46.658174</v>
      </c>
      <c r="D975" s="43" t="n">
        <v>216</v>
      </c>
      <c r="E975" s="44" t="n">
        <v>11463.633</v>
      </c>
    </row>
    <row r="976">
      <c r="A976" s="39">
        <f>_xlfn.XLOOKUP(17840,Trip[shape_id],Trip[shape_id],"Não encontrado")</f>
        <v/>
      </c>
      <c r="B976" s="40" t="n">
        <v>-23.558082</v>
      </c>
      <c r="C976" s="40" t="n">
        <v>-46.660219</v>
      </c>
      <c r="D976" s="40" t="n">
        <v>217</v>
      </c>
      <c r="E976" s="41" t="n">
        <v>11463.633</v>
      </c>
    </row>
    <row r="977">
      <c r="A977" s="42">
        <f>_xlfn.XLOOKUP(17840,Trip[shape_id],Trip[shape_id],"Não encontrado")</f>
        <v/>
      </c>
      <c r="B977" s="43" t="n">
        <v>-23.557264</v>
      </c>
      <c r="C977" s="43" t="n">
        <v>-46.661181</v>
      </c>
      <c r="D977" s="43" t="n">
        <v>218</v>
      </c>
      <c r="E977" s="44" t="n">
        <v>11661.363</v>
      </c>
    </row>
    <row r="978">
      <c r="A978" s="39">
        <f>_xlfn.XLOOKUP(17840,Trip[shape_id],Trip[shape_id],"Não encontrado")</f>
        <v/>
      </c>
      <c r="B978" s="40" t="n">
        <v>-23.556867</v>
      </c>
      <c r="C978" s="40" t="n">
        <v>-46.661638</v>
      </c>
      <c r="D978" s="40" t="n">
        <v>219</v>
      </c>
      <c r="E978" s="41" t="n">
        <v>11693.649</v>
      </c>
    </row>
    <row r="979">
      <c r="A979" s="42">
        <f>_xlfn.XLOOKUP(17840,Trip[shape_id],Trip[shape_id],"Não encontrado")</f>
        <v/>
      </c>
      <c r="B979" s="43" t="n">
        <v>-23.556665</v>
      </c>
      <c r="C979" s="43" t="n">
        <v>-46.661866</v>
      </c>
      <c r="D979" s="43" t="n">
        <v>220</v>
      </c>
      <c r="E979" s="44" t="n">
        <v>11720.975</v>
      </c>
    </row>
    <row r="980">
      <c r="A980" s="39">
        <f>_xlfn.XLOOKUP(17840,Trip[shape_id],Trip[shape_id],"Não encontrado")</f>
        <v/>
      </c>
      <c r="B980" s="40" t="n">
        <v>-23.556499</v>
      </c>
      <c r="C980" s="40" t="n">
        <v>-46.662064</v>
      </c>
      <c r="D980" s="40" t="n">
        <v>221</v>
      </c>
      <c r="E980" s="41" t="n">
        <v>11816.729</v>
      </c>
    </row>
    <row r="981">
      <c r="A981" s="42">
        <f>_xlfn.XLOOKUP(17840,Trip[shape_id],Trip[shape_id],"Não encontrado")</f>
        <v/>
      </c>
      <c r="B981" s="43" t="n">
        <v>-23.555894</v>
      </c>
      <c r="C981" s="43" t="n">
        <v>-46.662734</v>
      </c>
      <c r="D981" s="43" t="n">
        <v>222</v>
      </c>
      <c r="E981" s="44" t="n">
        <v>11828.816</v>
      </c>
    </row>
    <row r="982">
      <c r="A982" s="39">
        <f>_xlfn.XLOOKUP(17840,Trip[shape_id],Trip[shape_id],"Não encontrado")</f>
        <v/>
      </c>
      <c r="B982" s="40" t="n">
        <v>-23.555821</v>
      </c>
      <c r="C982" s="40" t="n">
        <v>-46.662822</v>
      </c>
      <c r="D982" s="40" t="n">
        <v>223</v>
      </c>
      <c r="E982" s="41" t="n">
        <v>11853.753</v>
      </c>
    </row>
    <row r="983">
      <c r="A983" s="42">
        <f>_xlfn.XLOOKUP(17840,Trip[shape_id],Trip[shape_id],"Não encontrado")</f>
        <v/>
      </c>
      <c r="B983" s="43" t="n">
        <v>-23.555663</v>
      </c>
      <c r="C983" s="43" t="n">
        <v>-46.662996</v>
      </c>
      <c r="D983" s="43" t="n">
        <v>224</v>
      </c>
      <c r="E983" s="44" t="n">
        <v>11853.753</v>
      </c>
    </row>
    <row r="984">
      <c r="A984" s="39">
        <f>_xlfn.XLOOKUP(17840,Trip[shape_id],Trip[shape_id],"Não encontrado")</f>
        <v/>
      </c>
      <c r="B984" s="40" t="n">
        <v>-23.55563</v>
      </c>
      <c r="C984" s="40" t="n">
        <v>-46.663034</v>
      </c>
      <c r="D984" s="40" t="n">
        <v>225</v>
      </c>
      <c r="E984" s="41" t="n">
        <v>11894.153</v>
      </c>
    </row>
    <row r="985">
      <c r="A985" s="42">
        <f>_xlfn.XLOOKUP(17840,Trip[shape_id],Trip[shape_id],"Não encontrado")</f>
        <v/>
      </c>
      <c r="B985" s="43" t="n">
        <v>-23.555422</v>
      </c>
      <c r="C985" s="43" t="n">
        <v>-46.663293</v>
      </c>
      <c r="D985" s="43" t="n">
        <v>226</v>
      </c>
      <c r="E985" s="44" t="n">
        <v>11966.906</v>
      </c>
    </row>
    <row r="986">
      <c r="A986" s="39">
        <f>_xlfn.XLOOKUP(17840,Trip[shape_id],Trip[shape_id],"Não encontrado")</f>
        <v/>
      </c>
      <c r="B986" s="40" t="n">
        <v>-23.555001</v>
      </c>
      <c r="C986" s="40" t="n">
        <v>-46.66384</v>
      </c>
      <c r="D986" s="40" t="n">
        <v>227</v>
      </c>
      <c r="E986" s="41" t="n">
        <v>11998.165</v>
      </c>
    </row>
    <row r="987">
      <c r="A987" s="42">
        <f>_xlfn.XLOOKUP(17840,Trip[shape_id],Trip[shape_id],"Não encontrado")</f>
        <v/>
      </c>
      <c r="B987" s="43" t="n">
        <v>-23.554819</v>
      </c>
      <c r="C987" s="43" t="n">
        <v>-46.664074</v>
      </c>
      <c r="D987" s="43" t="n">
        <v>228</v>
      </c>
      <c r="E987" s="44" t="n">
        <v>12038.334</v>
      </c>
    </row>
    <row r="988">
      <c r="A988" s="39">
        <f>_xlfn.XLOOKUP(17840,Trip[shape_id],Trip[shape_id],"Não encontrado")</f>
        <v/>
      </c>
      <c r="B988" s="40" t="n">
        <v>-23.554608</v>
      </c>
      <c r="C988" s="40" t="n">
        <v>-46.664394</v>
      </c>
      <c r="D988" s="40" t="n">
        <v>229</v>
      </c>
      <c r="E988" s="41" t="n">
        <v>12066.177</v>
      </c>
    </row>
    <row r="989">
      <c r="A989" s="42">
        <f>_xlfn.XLOOKUP(17840,Trip[shape_id],Trip[shape_id],"Não encontrado")</f>
        <v/>
      </c>
      <c r="B989" s="43" t="n">
        <v>-23.554462</v>
      </c>
      <c r="C989" s="43" t="n">
        <v>-46.664616</v>
      </c>
      <c r="D989" s="43" t="n">
        <v>230</v>
      </c>
      <c r="E989" s="44" t="n">
        <v>12094.414</v>
      </c>
    </row>
    <row r="990">
      <c r="A990" s="39">
        <f>_xlfn.XLOOKUP(17840,Trip[shape_id],Trip[shape_id],"Não encontrado")</f>
        <v/>
      </c>
      <c r="B990" s="40" t="n">
        <v>-23.554386</v>
      </c>
      <c r="C990" s="40" t="n">
        <v>-46.66488</v>
      </c>
      <c r="D990" s="40" t="n">
        <v>231</v>
      </c>
      <c r="E990" s="41" t="n">
        <v>12098.624</v>
      </c>
    </row>
    <row r="991">
      <c r="A991" s="42">
        <f>_xlfn.XLOOKUP(17840,Trip[shape_id],Trip[shape_id],"Não encontrado")</f>
        <v/>
      </c>
      <c r="B991" s="43" t="n">
        <v>-23.554382</v>
      </c>
      <c r="C991" s="43" t="n">
        <v>-46.664921</v>
      </c>
      <c r="D991" s="43" t="n">
        <v>232</v>
      </c>
      <c r="E991" s="44" t="n">
        <v>12124.604</v>
      </c>
    </row>
    <row r="992">
      <c r="A992" s="39">
        <f>_xlfn.XLOOKUP(17840,Trip[shape_id],Trip[shape_id],"Não encontrado")</f>
        <v/>
      </c>
      <c r="B992" s="40" t="n">
        <v>-23.554396</v>
      </c>
      <c r="C992" s="40" t="n">
        <v>-46.665175</v>
      </c>
      <c r="D992" s="40" t="n">
        <v>233</v>
      </c>
      <c r="E992" s="41" t="n">
        <v>12173.939</v>
      </c>
    </row>
    <row r="993">
      <c r="A993" s="42">
        <f>_xlfn.XLOOKUP(17840,Trip[shape_id],Trip[shape_id],"Não encontrado")</f>
        <v/>
      </c>
      <c r="B993" s="43" t="n">
        <v>-23.554546</v>
      </c>
      <c r="C993" s="43" t="n">
        <v>-46.66563</v>
      </c>
      <c r="D993" s="43" t="n">
        <v>234</v>
      </c>
      <c r="E993" s="44" t="n">
        <v>12208.048</v>
      </c>
    </row>
    <row r="994">
      <c r="A994" s="39">
        <f>_xlfn.XLOOKUP(17840,Trip[shape_id],Trip[shape_id],"Não encontrado")</f>
        <v/>
      </c>
      <c r="B994" s="40" t="n">
        <v>-23.554687</v>
      </c>
      <c r="C994" s="40" t="n">
        <v>-46.665927</v>
      </c>
      <c r="D994" s="40" t="n">
        <v>235</v>
      </c>
      <c r="E994" s="41" t="n">
        <v>12251.266</v>
      </c>
    </row>
    <row r="995">
      <c r="A995" s="42">
        <f>_xlfn.XLOOKUP(17840,Trip[shape_id],Trip[shape_id],"Não encontrado")</f>
        <v/>
      </c>
      <c r="B995" s="43" t="n">
        <v>-23.554868</v>
      </c>
      <c r="C995" s="43" t="n">
        <v>-46.666302</v>
      </c>
      <c r="D995" s="43" t="n">
        <v>236</v>
      </c>
      <c r="E995" s="44" t="n">
        <v>12300.51</v>
      </c>
    </row>
    <row r="996">
      <c r="A996" s="39">
        <f>_xlfn.XLOOKUP(17840,Trip[shape_id],Trip[shape_id],"Não encontrado")</f>
        <v/>
      </c>
      <c r="B996" s="40" t="n">
        <v>-23.555073</v>
      </c>
      <c r="C996" s="40" t="n">
        <v>-46.66673</v>
      </c>
      <c r="D996" s="40" t="n">
        <v>237</v>
      </c>
      <c r="E996" s="41" t="n">
        <v>12324.796</v>
      </c>
    </row>
    <row r="997">
      <c r="A997" s="42">
        <f>_xlfn.XLOOKUP(17840,Trip[shape_id],Trip[shape_id],"Não encontrado")</f>
        <v/>
      </c>
      <c r="B997" s="43" t="n">
        <v>-23.555176</v>
      </c>
      <c r="C997" s="43" t="n">
        <v>-46.66694</v>
      </c>
      <c r="D997" s="43" t="n">
        <v>238</v>
      </c>
      <c r="E997" s="44" t="n">
        <v>12358.018</v>
      </c>
    </row>
    <row r="998">
      <c r="A998" s="39">
        <f>_xlfn.XLOOKUP(17840,Trip[shape_id],Trip[shape_id],"Não encontrado")</f>
        <v/>
      </c>
      <c r="B998" s="40" t="n">
        <v>-23.555278</v>
      </c>
      <c r="C998" s="40" t="n">
        <v>-46.667246</v>
      </c>
      <c r="D998" s="40" t="n">
        <v>239</v>
      </c>
      <c r="E998" s="41" t="n">
        <v>12380.656</v>
      </c>
    </row>
    <row r="999">
      <c r="A999" s="42">
        <f>_xlfn.XLOOKUP(17840,Trip[shape_id],Trip[shape_id],"Não encontrado")</f>
        <v/>
      </c>
      <c r="B999" s="43" t="n">
        <v>-23.555246</v>
      </c>
      <c r="C999" s="43" t="n">
        <v>-46.667465</v>
      </c>
      <c r="D999" s="43" t="n">
        <v>240</v>
      </c>
      <c r="E999" s="44" t="n">
        <v>12462.77</v>
      </c>
    </row>
    <row r="1000">
      <c r="A1000" s="39">
        <f>_xlfn.XLOOKUP(17840,Trip[shape_id],Trip[shape_id],"Não encontrado")</f>
        <v/>
      </c>
      <c r="B1000" s="40" t="n">
        <v>-23.555128</v>
      </c>
      <c r="C1000" s="40" t="n">
        <v>-46.668259</v>
      </c>
      <c r="D1000" s="40" t="n">
        <v>241</v>
      </c>
      <c r="E1000" s="41" t="n">
        <v>12472.237</v>
      </c>
    </row>
    <row r="1001">
      <c r="A1001" s="42">
        <f>_xlfn.XLOOKUP(17840,Trip[shape_id],Trip[shape_id],"Não encontrado")</f>
        <v/>
      </c>
      <c r="B1001" s="43" t="n">
        <v>-23.555104</v>
      </c>
      <c r="C1001" s="43" t="n">
        <v>-46.668348</v>
      </c>
      <c r="D1001" s="43" t="n">
        <v>242</v>
      </c>
      <c r="E1001" s="44" t="n">
        <v>12531.063</v>
      </c>
    </row>
    <row r="1002">
      <c r="A1002" s="39">
        <f>_xlfn.XLOOKUP(17840,Trip[shape_id],Trip[shape_id],"Não encontrado")</f>
        <v/>
      </c>
      <c r="B1002" s="40" t="n">
        <v>-23.554929</v>
      </c>
      <c r="C1002" s="40" t="n">
        <v>-46.668892</v>
      </c>
      <c r="D1002" s="40" t="n">
        <v>243</v>
      </c>
      <c r="E1002" s="41" t="n">
        <v>12603.3</v>
      </c>
    </row>
    <row r="1003">
      <c r="A1003" s="42">
        <f>_xlfn.XLOOKUP(17840,Trip[shape_id],Trip[shape_id],"Não encontrado")</f>
        <v/>
      </c>
      <c r="B1003" s="43" t="n">
        <v>-23.554663</v>
      </c>
      <c r="C1003" s="43" t="n">
        <v>-46.669538</v>
      </c>
      <c r="D1003" s="43" t="n">
        <v>244</v>
      </c>
      <c r="E1003" s="44" t="n">
        <v>12652.397</v>
      </c>
    </row>
    <row r="1004">
      <c r="A1004" s="39">
        <f>_xlfn.XLOOKUP(17840,Trip[shape_id],Trip[shape_id],"Não encontrado")</f>
        <v/>
      </c>
      <c r="B1004" s="40" t="n">
        <v>-23.55448</v>
      </c>
      <c r="C1004" s="40" t="n">
        <v>-46.669976</v>
      </c>
      <c r="D1004" s="40" t="n">
        <v>245</v>
      </c>
      <c r="E1004" s="41" t="n">
        <v>12763.071</v>
      </c>
    </row>
    <row r="1005">
      <c r="A1005" s="42">
        <f>_xlfn.XLOOKUP(17840,Trip[shape_id],Trip[shape_id],"Não encontrado")</f>
        <v/>
      </c>
      <c r="B1005" s="43" t="n">
        <v>-23.554073</v>
      </c>
      <c r="C1005" s="43" t="n">
        <v>-46.670966</v>
      </c>
      <c r="D1005" s="43" t="n">
        <v>246</v>
      </c>
      <c r="E1005" s="44" t="n">
        <v>12763.071</v>
      </c>
    </row>
    <row r="1006">
      <c r="A1006" s="39">
        <f>_xlfn.XLOOKUP(17840,Trip[shape_id],Trip[shape_id],"Não encontrado")</f>
        <v/>
      </c>
      <c r="B1006" s="40" t="n">
        <v>-23.553725</v>
      </c>
      <c r="C1006" s="40" t="n">
        <v>-46.671813</v>
      </c>
      <c r="D1006" s="40" t="n">
        <v>247</v>
      </c>
      <c r="E1006" s="41" t="n">
        <v>12938.562</v>
      </c>
    </row>
    <row r="1007">
      <c r="A1007" s="42">
        <f>_xlfn.XLOOKUP(17840,Trip[shape_id],Trip[shape_id],"Não encontrado")</f>
        <v/>
      </c>
      <c r="B1007" s="43" t="n">
        <v>-23.553426</v>
      </c>
      <c r="C1007" s="43" t="n">
        <v>-46.672535</v>
      </c>
      <c r="D1007" s="43" t="n">
        <v>248</v>
      </c>
      <c r="E1007" s="44" t="n">
        <v>13075.284</v>
      </c>
    </row>
    <row r="1008">
      <c r="A1008" s="39">
        <f>_xlfn.XLOOKUP(17840,Trip[shape_id],Trip[shape_id],"Não encontrado")</f>
        <v/>
      </c>
      <c r="B1008" s="40" t="n">
        <v>-23.552915</v>
      </c>
      <c r="C1008" s="40" t="n">
        <v>-46.673754</v>
      </c>
      <c r="D1008" s="40" t="n">
        <v>249</v>
      </c>
      <c r="E1008" s="41" t="n">
        <v>13144.598</v>
      </c>
    </row>
    <row r="1009">
      <c r="A1009" s="42">
        <f>_xlfn.XLOOKUP(17840,Trip[shape_id],Trip[shape_id],"Não encontrado")</f>
        <v/>
      </c>
      <c r="B1009" s="43" t="n">
        <v>-23.552658</v>
      </c>
      <c r="C1009" s="43" t="n">
        <v>-46.674373</v>
      </c>
      <c r="D1009" s="43" t="n">
        <v>250</v>
      </c>
      <c r="E1009" s="44" t="n">
        <v>13210.479</v>
      </c>
    </row>
    <row r="1010">
      <c r="A1010" s="39">
        <f>_xlfn.XLOOKUP(17840,Trip[shape_id],Trip[shape_id],"Não encontrado")</f>
        <v/>
      </c>
      <c r="B1010" s="40" t="n">
        <v>-23.552411</v>
      </c>
      <c r="C1010" s="40" t="n">
        <v>-46.67496</v>
      </c>
      <c r="D1010" s="40" t="n">
        <v>251</v>
      </c>
      <c r="E1010" s="41" t="n">
        <v>13323.095</v>
      </c>
    </row>
    <row r="1011">
      <c r="A1011" s="42">
        <f>_xlfn.XLOOKUP(17840,Trip[shape_id],Trip[shape_id],"Não encontrado")</f>
        <v/>
      </c>
      <c r="B1011" s="43" t="n">
        <v>-23.551992</v>
      </c>
      <c r="C1011" s="43" t="n">
        <v>-46.675965</v>
      </c>
      <c r="D1011" s="43" t="n">
        <v>252</v>
      </c>
      <c r="E1011" s="44" t="n">
        <v>13389.736</v>
      </c>
    </row>
    <row r="1012">
      <c r="A1012" s="39">
        <f>_xlfn.XLOOKUP(17840,Trip[shape_id],Trip[shape_id],"Não encontrado")</f>
        <v/>
      </c>
      <c r="B1012" s="40" t="n">
        <v>-23.551686</v>
      </c>
      <c r="C1012" s="40" t="n">
        <v>-46.676527</v>
      </c>
      <c r="D1012" s="40" t="n">
        <v>253</v>
      </c>
      <c r="E1012" s="41" t="n">
        <v>13432.63</v>
      </c>
    </row>
    <row r="1013">
      <c r="A1013" s="42">
        <f>_xlfn.XLOOKUP(17840,Trip[shape_id],Trip[shape_id],"Não encontrado")</f>
        <v/>
      </c>
      <c r="B1013" s="43" t="n">
        <v>-23.551465</v>
      </c>
      <c r="C1013" s="43" t="n">
        <v>-46.676872</v>
      </c>
      <c r="D1013" s="43" t="n">
        <v>254</v>
      </c>
      <c r="E1013" s="44" t="n">
        <v>13515.203</v>
      </c>
    </row>
    <row r="1014">
      <c r="A1014" s="39">
        <f>_xlfn.XLOOKUP(17840,Trip[shape_id],Trip[shape_id],"Não encontrado")</f>
        <v/>
      </c>
      <c r="B1014" s="40" t="n">
        <v>-23.551014</v>
      </c>
      <c r="C1014" s="40" t="n">
        <v>-46.677516</v>
      </c>
      <c r="D1014" s="40" t="n">
        <v>255</v>
      </c>
      <c r="E1014" s="41" t="n">
        <v>13522.386</v>
      </c>
    </row>
    <row r="1015">
      <c r="A1015" s="42">
        <f>_xlfn.XLOOKUP(17840,Trip[shape_id],Trip[shape_id],"Não encontrado")</f>
        <v/>
      </c>
      <c r="B1015" s="43" t="n">
        <v>-23.550976</v>
      </c>
      <c r="C1015" s="43" t="n">
        <v>-46.677573</v>
      </c>
      <c r="D1015" s="43" t="n">
        <v>256</v>
      </c>
      <c r="E1015" s="44" t="n">
        <v>13522.386</v>
      </c>
    </row>
    <row r="1016">
      <c r="A1016" s="39">
        <f>_xlfn.XLOOKUP(17840,Trip[shape_id],Trip[shape_id],"Não encontrado")</f>
        <v/>
      </c>
      <c r="B1016" s="40" t="n">
        <v>-23.550711</v>
      </c>
      <c r="C1016" s="40" t="n">
        <v>-46.677912</v>
      </c>
      <c r="D1016" s="40" t="n">
        <v>257</v>
      </c>
      <c r="E1016" s="41" t="n">
        <v>13618.212</v>
      </c>
    </row>
    <row r="1017">
      <c r="A1017" s="42">
        <f>_xlfn.XLOOKUP(17840,Trip[shape_id],Trip[shape_id],"Não encontrado")</f>
        <v/>
      </c>
      <c r="B1017" s="43" t="n">
        <v>-23.550461</v>
      </c>
      <c r="C1017" s="43" t="n">
        <v>-46.678325</v>
      </c>
      <c r="D1017" s="43" t="n">
        <v>258</v>
      </c>
      <c r="E1017" s="44" t="n">
        <v>13654.88</v>
      </c>
    </row>
    <row r="1018">
      <c r="A1018" s="39">
        <f>_xlfn.XLOOKUP(17840,Trip[shape_id],Trip[shape_id],"Não encontrado")</f>
        <v/>
      </c>
      <c r="B1018" s="40" t="n">
        <v>-23.550279</v>
      </c>
      <c r="C1018" s="40" t="n">
        <v>-46.678625</v>
      </c>
      <c r="D1018" s="40" t="n">
        <v>259</v>
      </c>
      <c r="E1018" s="41" t="n">
        <v>13744.144</v>
      </c>
    </row>
    <row r="1019">
      <c r="A1019" s="42">
        <f>_xlfn.XLOOKUP(17840,Trip[shape_id],Trip[shape_id],"Não encontrado")</f>
        <v/>
      </c>
      <c r="B1019" s="43" t="n">
        <v>-23.550002</v>
      </c>
      <c r="C1019" s="43" t="n">
        <v>-46.679446</v>
      </c>
      <c r="D1019" s="43" t="n">
        <v>260</v>
      </c>
      <c r="E1019" s="44" t="n">
        <v>13785.914</v>
      </c>
    </row>
    <row r="1020">
      <c r="A1020" s="39">
        <f>_xlfn.XLOOKUP(17840,Trip[shape_id],Trip[shape_id],"Não encontrado")</f>
        <v/>
      </c>
      <c r="B1020" s="40" t="n">
        <v>-23.54986</v>
      </c>
      <c r="C1020" s="40" t="n">
        <v>-46.679825</v>
      </c>
      <c r="D1020" s="40" t="n">
        <v>261</v>
      </c>
      <c r="E1020" s="41" t="n">
        <v>13807.144</v>
      </c>
    </row>
    <row r="1021">
      <c r="A1021" s="42">
        <f>_xlfn.XLOOKUP(17840,Trip[shape_id],Trip[shape_id],"Não encontrado")</f>
        <v/>
      </c>
      <c r="B1021" s="43" t="n">
        <v>-23.549828</v>
      </c>
      <c r="C1021" s="43" t="n">
        <v>-46.68003</v>
      </c>
      <c r="D1021" s="43" t="n">
        <v>262</v>
      </c>
      <c r="E1021" s="44" t="n">
        <v>13853.969</v>
      </c>
    </row>
    <row r="1022">
      <c r="A1022" s="39">
        <f>_xlfn.XLOOKUP(17840,Trip[shape_id],Trip[shape_id],"Não encontrado")</f>
        <v/>
      </c>
      <c r="B1022" s="40" t="n">
        <v>-23.549783</v>
      </c>
      <c r="C1022" s="40" t="n">
        <v>-46.680486</v>
      </c>
      <c r="D1022" s="40" t="n">
        <v>263</v>
      </c>
      <c r="E1022" s="41" t="n">
        <v>13891.652</v>
      </c>
    </row>
    <row r="1023">
      <c r="A1023" s="42">
        <f>_xlfn.XLOOKUP(17840,Trip[shape_id],Trip[shape_id],"Não encontrado")</f>
        <v/>
      </c>
      <c r="B1023" s="43" t="n">
        <v>-23.549757</v>
      </c>
      <c r="C1023" s="43" t="n">
        <v>-46.680854</v>
      </c>
      <c r="D1023" s="43" t="n">
        <v>264</v>
      </c>
      <c r="E1023" s="44" t="n">
        <v>13942.141</v>
      </c>
    </row>
    <row r="1024">
      <c r="A1024" s="39">
        <f>_xlfn.XLOOKUP(17840,Trip[shape_id],Trip[shape_id],"Não encontrado")</f>
        <v/>
      </c>
      <c r="B1024" s="40" t="n">
        <v>-23.549703</v>
      </c>
      <c r="C1024" s="40" t="n">
        <v>-46.681345</v>
      </c>
      <c r="D1024" s="40" t="n">
        <v>265</v>
      </c>
      <c r="E1024" s="41" t="n">
        <v>13964.876</v>
      </c>
    </row>
    <row r="1025">
      <c r="A1025" s="42">
        <f>_xlfn.XLOOKUP(17840,Trip[shape_id],Trip[shape_id],"Não encontrado")</f>
        <v/>
      </c>
      <c r="B1025" s="43" t="n">
        <v>-23.549687</v>
      </c>
      <c r="C1025" s="43" t="n">
        <v>-46.681567</v>
      </c>
      <c r="D1025" s="43" t="n">
        <v>266</v>
      </c>
      <c r="E1025" s="44" t="n">
        <v>14040.555</v>
      </c>
    </row>
    <row r="1026">
      <c r="A1026" s="39">
        <f>_xlfn.XLOOKUP(17840,Trip[shape_id],Trip[shape_id],"Não encontrado")</f>
        <v/>
      </c>
      <c r="B1026" s="40" t="n">
        <v>-23.549671</v>
      </c>
      <c r="C1026" s="40" t="n">
        <v>-46.682308</v>
      </c>
      <c r="D1026" s="40" t="n">
        <v>267</v>
      </c>
      <c r="E1026" s="41" t="n">
        <v>14079.599</v>
      </c>
    </row>
    <row r="1027">
      <c r="A1027" s="42">
        <f>_xlfn.XLOOKUP(17840,Trip[shape_id],Trip[shape_id],"Não encontrado")</f>
        <v/>
      </c>
      <c r="B1027" s="43" t="n">
        <v>-23.549655</v>
      </c>
      <c r="C1027" s="43" t="n">
        <v>-46.68269</v>
      </c>
      <c r="D1027" s="43" t="n">
        <v>268</v>
      </c>
      <c r="E1027" s="44" t="n">
        <v>14122.289</v>
      </c>
    </row>
    <row r="1028">
      <c r="A1028" s="39">
        <f>_xlfn.XLOOKUP(17840,Trip[shape_id],Trip[shape_id],"Não encontrado")</f>
        <v/>
      </c>
      <c r="B1028" s="40" t="n">
        <v>-23.549646</v>
      </c>
      <c r="C1028" s="40" t="n">
        <v>-46.683108</v>
      </c>
      <c r="D1028" s="40" t="n">
        <v>269</v>
      </c>
      <c r="E1028" s="41" t="n">
        <v>14195.44</v>
      </c>
    </row>
    <row r="1029">
      <c r="A1029" s="42">
        <f>_xlfn.XLOOKUP(17840,Trip[shape_id],Trip[shape_id],"Não encontrado")</f>
        <v/>
      </c>
      <c r="B1029" s="43" t="n">
        <v>-23.549604</v>
      </c>
      <c r="C1029" s="43" t="n">
        <v>-46.683823</v>
      </c>
      <c r="D1029" s="43" t="n">
        <v>270</v>
      </c>
      <c r="E1029" s="44" t="n">
        <v>14205.163</v>
      </c>
    </row>
    <row r="1030">
      <c r="A1030" s="39">
        <f>_xlfn.XLOOKUP(17840,Trip[shape_id],Trip[shape_id],"Não encontrado")</f>
        <v/>
      </c>
      <c r="B1030" s="40" t="n">
        <v>-23.54959</v>
      </c>
      <c r="C1030" s="40" t="n">
        <v>-46.683917</v>
      </c>
      <c r="D1030" s="40" t="n">
        <v>271</v>
      </c>
      <c r="E1030" s="41" t="n">
        <v>14214.318</v>
      </c>
    </row>
    <row r="1031">
      <c r="A1031" s="42">
        <f>_xlfn.XLOOKUP(17840,Trip[shape_id],Trip[shape_id],"Não encontrado")</f>
        <v/>
      </c>
      <c r="B1031" s="43" t="n">
        <v>-23.54957</v>
      </c>
      <c r="C1031" s="43" t="n">
        <v>-46.684004</v>
      </c>
      <c r="D1031" s="43" t="n">
        <v>272</v>
      </c>
      <c r="E1031" s="44" t="n">
        <v>14227.885</v>
      </c>
    </row>
    <row r="1032">
      <c r="A1032" s="39">
        <f>_xlfn.XLOOKUP(17840,Trip[shape_id],Trip[shape_id],"Não encontrado")</f>
        <v/>
      </c>
      <c r="B1032" s="40" t="n">
        <v>-23.549526</v>
      </c>
      <c r="C1032" s="40" t="n">
        <v>-46.684128</v>
      </c>
      <c r="D1032" s="40" t="n">
        <v>273</v>
      </c>
      <c r="E1032" s="41" t="n">
        <v>14237.838</v>
      </c>
    </row>
    <row r="1033">
      <c r="A1033" s="42">
        <f>_xlfn.XLOOKUP(17840,Trip[shape_id],Trip[shape_id],"Não encontrado")</f>
        <v/>
      </c>
      <c r="B1033" s="43" t="n">
        <v>-23.549482</v>
      </c>
      <c r="C1033" s="43" t="n">
        <v>-46.684213</v>
      </c>
      <c r="D1033" s="43" t="n">
        <v>274</v>
      </c>
      <c r="E1033" s="44" t="n">
        <v>14252.872</v>
      </c>
    </row>
    <row r="1034">
      <c r="A1034" s="39">
        <f>_xlfn.XLOOKUP(17840,Trip[shape_id],Trip[shape_id],"Não encontrado")</f>
        <v/>
      </c>
      <c r="B1034" s="40" t="n">
        <v>-23.549406</v>
      </c>
      <c r="C1034" s="40" t="n">
        <v>-46.684335</v>
      </c>
      <c r="D1034" s="40" t="n">
        <v>275</v>
      </c>
      <c r="E1034" s="41" t="n">
        <v>14266.537</v>
      </c>
    </row>
    <row r="1035">
      <c r="A1035" s="42">
        <f>_xlfn.XLOOKUP(17840,Trip[shape_id],Trip[shape_id],"Não encontrado")</f>
        <v/>
      </c>
      <c r="B1035" s="43" t="n">
        <v>-23.549324</v>
      </c>
      <c r="C1035" s="43" t="n">
        <v>-46.684435</v>
      </c>
      <c r="D1035" s="43" t="n">
        <v>276</v>
      </c>
      <c r="E1035" s="44" t="n">
        <v>14289.898</v>
      </c>
    </row>
    <row r="1036">
      <c r="A1036" s="39">
        <f>_xlfn.XLOOKUP(17840,Trip[shape_id],Trip[shape_id],"Não encontrado")</f>
        <v/>
      </c>
      <c r="B1036" s="40" t="n">
        <v>-23.549168</v>
      </c>
      <c r="C1036" s="40" t="n">
        <v>-46.684589</v>
      </c>
      <c r="D1036" s="40" t="n">
        <v>277</v>
      </c>
      <c r="E1036" s="41" t="n">
        <v>14386.884</v>
      </c>
    </row>
    <row r="1037">
      <c r="A1037" s="42">
        <f>_xlfn.XLOOKUP(17840,Trip[shape_id],Trip[shape_id],"Não encontrado")</f>
        <v/>
      </c>
      <c r="B1037" s="43" t="n">
        <v>-23.548526</v>
      </c>
      <c r="C1037" s="43" t="n">
        <v>-46.685235</v>
      </c>
      <c r="D1037" s="43" t="n">
        <v>278</v>
      </c>
      <c r="E1037" s="44" t="n">
        <v>14391.237</v>
      </c>
    </row>
    <row r="1038">
      <c r="A1038" s="39">
        <f>_xlfn.XLOOKUP(17840,Trip[shape_id],Trip[shape_id],"Não encontrado")</f>
        <v/>
      </c>
      <c r="B1038" s="40" t="n">
        <v>-23.548499</v>
      </c>
      <c r="C1038" s="40" t="n">
        <v>-46.685266</v>
      </c>
      <c r="D1038" s="40" t="n">
        <v>279</v>
      </c>
      <c r="E1038" s="41" t="n">
        <v>14409.134</v>
      </c>
    </row>
    <row r="1039">
      <c r="A1039" s="42">
        <f>_xlfn.XLOOKUP(17840,Trip[shape_id],Trip[shape_id],"Não encontrado")</f>
        <v/>
      </c>
      <c r="B1039" s="43" t="n">
        <v>-23.548403</v>
      </c>
      <c r="C1039" s="43" t="n">
        <v>-46.685407</v>
      </c>
      <c r="D1039" s="43" t="n">
        <v>280</v>
      </c>
      <c r="E1039" s="44" t="n">
        <v>14433.595</v>
      </c>
    </row>
    <row r="1040">
      <c r="A1040" s="39">
        <f>_xlfn.XLOOKUP(17840,Trip[shape_id],Trip[shape_id],"Não encontrado")</f>
        <v/>
      </c>
      <c r="B1040" s="40" t="n">
        <v>-23.548276</v>
      </c>
      <c r="C1040" s="40" t="n">
        <v>-46.685603</v>
      </c>
      <c r="D1040" s="40" t="n">
        <v>281</v>
      </c>
      <c r="E1040" s="41" t="n">
        <v>14477.864</v>
      </c>
    </row>
    <row r="1041">
      <c r="A1041" s="42">
        <f>_xlfn.XLOOKUP(17840,Trip[shape_id],Trip[shape_id],"Não encontrado")</f>
        <v/>
      </c>
      <c r="B1041" s="43" t="n">
        <v>-23.548056</v>
      </c>
      <c r="C1041" s="43" t="n">
        <v>-46.685965</v>
      </c>
      <c r="D1041" s="43" t="n">
        <v>282</v>
      </c>
      <c r="E1041" s="44" t="n">
        <v>14507.179</v>
      </c>
    </row>
    <row r="1042">
      <c r="A1042" s="39">
        <f>_xlfn.XLOOKUP(17840,Trip[shape_id],Trip[shape_id],"Não encontrado")</f>
        <v/>
      </c>
      <c r="B1042" s="40" t="n">
        <v>-23.547938</v>
      </c>
      <c r="C1042" s="40" t="n">
        <v>-46.686222</v>
      </c>
      <c r="D1042" s="40" t="n">
        <v>283</v>
      </c>
      <c r="E1042" s="41" t="n">
        <v>14527.22</v>
      </c>
    </row>
    <row r="1043">
      <c r="A1043" s="42">
        <f>_xlfn.XLOOKUP(17840,Trip[shape_id],Trip[shape_id],"Não encontrado")</f>
        <v/>
      </c>
      <c r="B1043" s="43" t="n">
        <v>-23.547868</v>
      </c>
      <c r="C1043" s="43" t="n">
        <v>-46.686403</v>
      </c>
      <c r="D1043" s="43" t="n">
        <v>284</v>
      </c>
      <c r="E1043" s="44" t="n">
        <v>14578.876</v>
      </c>
    </row>
    <row r="1044">
      <c r="A1044" s="39">
        <f>_xlfn.XLOOKUP(17840,Trip[shape_id],Trip[shape_id],"Não encontrado")</f>
        <v/>
      </c>
      <c r="B1044" s="40" t="n">
        <v>-23.54771</v>
      </c>
      <c r="C1044" s="40" t="n">
        <v>-46.686879</v>
      </c>
      <c r="D1044" s="40" t="n">
        <v>285</v>
      </c>
      <c r="E1044" s="41" t="n">
        <v>14608.267</v>
      </c>
    </row>
    <row r="1045">
      <c r="A1045" s="42">
        <f>_xlfn.XLOOKUP(17840,Trip[shape_id],Trip[shape_id],"Não encontrado")</f>
        <v/>
      </c>
      <c r="B1045" s="43" t="n">
        <v>-23.547618</v>
      </c>
      <c r="C1045" s="43" t="n">
        <v>-46.687149</v>
      </c>
      <c r="D1045" s="43" t="n">
        <v>286</v>
      </c>
      <c r="E1045" s="44" t="n">
        <v>14619.45</v>
      </c>
    </row>
    <row r="1046">
      <c r="A1046" s="39">
        <f>_xlfn.XLOOKUP(17840,Trip[shape_id],Trip[shape_id],"Não encontrado")</f>
        <v/>
      </c>
      <c r="B1046" s="40" t="n">
        <v>-23.547608</v>
      </c>
      <c r="C1046" s="40" t="n">
        <v>-46.687258</v>
      </c>
      <c r="D1046" s="40" t="n">
        <v>287</v>
      </c>
      <c r="E1046" s="41" t="n">
        <v>14638.882</v>
      </c>
    </row>
    <row r="1047">
      <c r="A1047" s="42">
        <f>_xlfn.XLOOKUP(17840,Trip[shape_id],Trip[shape_id],"Não encontrado")</f>
        <v/>
      </c>
      <c r="B1047" s="43" t="n">
        <v>-23.547598</v>
      </c>
      <c r="C1047" s="43" t="n">
        <v>-46.687448</v>
      </c>
      <c r="D1047" s="43" t="n">
        <v>288</v>
      </c>
      <c r="E1047" s="44" t="n">
        <v>14656.105</v>
      </c>
    </row>
    <row r="1048">
      <c r="A1048" s="39">
        <f>_xlfn.XLOOKUP(17840,Trip[shape_id],Trip[shape_id],"Não encontrado")</f>
        <v/>
      </c>
      <c r="B1048" s="40" t="n">
        <v>-23.547612</v>
      </c>
      <c r="C1048" s="40" t="n">
        <v>-46.687616</v>
      </c>
      <c r="D1048" s="40" t="n">
        <v>289</v>
      </c>
      <c r="E1048" s="41" t="n">
        <v>14681.566</v>
      </c>
    </row>
    <row r="1049">
      <c r="A1049" s="42">
        <f>_xlfn.XLOOKUP(17840,Trip[shape_id],Trip[shape_id],"Não encontrado")</f>
        <v/>
      </c>
      <c r="B1049" s="43" t="n">
        <v>-23.547636</v>
      </c>
      <c r="C1049" s="43" t="n">
        <v>-46.687864</v>
      </c>
      <c r="D1049" s="43" t="n">
        <v>290</v>
      </c>
      <c r="E1049" s="44" t="n">
        <v>14712.817</v>
      </c>
    </row>
    <row r="1050">
      <c r="A1050" s="39">
        <f>_xlfn.XLOOKUP(17840,Trip[shape_id],Trip[shape_id],"Não encontrado")</f>
        <v/>
      </c>
      <c r="B1050" s="40" t="n">
        <v>-23.547642</v>
      </c>
      <c r="C1050" s="40" t="n">
        <v>-46.68817</v>
      </c>
      <c r="D1050" s="40" t="n">
        <v>291</v>
      </c>
      <c r="E1050" s="41" t="n">
        <v>14735.554</v>
      </c>
    </row>
    <row r="1051">
      <c r="A1051" s="42">
        <f>_xlfn.XLOOKUP(17840,Trip[shape_id],Trip[shape_id],"Não encontrado")</f>
        <v/>
      </c>
      <c r="B1051" s="43" t="n">
        <v>-23.547626</v>
      </c>
      <c r="C1051" s="43" t="n">
        <v>-46.688392</v>
      </c>
      <c r="D1051" s="43" t="n">
        <v>292</v>
      </c>
      <c r="E1051" s="44" t="n">
        <v>14758.732</v>
      </c>
    </row>
    <row r="1052">
      <c r="A1052" s="39">
        <f>_xlfn.XLOOKUP(17840,Trip[shape_id],Trip[shape_id],"Não encontrado")</f>
        <v/>
      </c>
      <c r="B1052" s="40" t="n">
        <v>-23.547592</v>
      </c>
      <c r="C1052" s="40" t="n">
        <v>-46.688616</v>
      </c>
      <c r="D1052" s="40" t="n">
        <v>293</v>
      </c>
      <c r="E1052" s="41" t="n">
        <v>14777.34</v>
      </c>
    </row>
    <row r="1053">
      <c r="A1053" s="42">
        <f>_xlfn.XLOOKUP(17840,Trip[shape_id],Trip[shape_id],"Não encontrado")</f>
        <v/>
      </c>
      <c r="B1053" s="43" t="n">
        <v>-23.547552</v>
      </c>
      <c r="C1053" s="43" t="n">
        <v>-46.688793</v>
      </c>
      <c r="D1053" s="43" t="n">
        <v>294</v>
      </c>
      <c r="E1053" s="44" t="n">
        <v>14805.033</v>
      </c>
    </row>
    <row r="1054">
      <c r="A1054" s="39">
        <f>_xlfn.XLOOKUP(17840,Trip[shape_id],Trip[shape_id],"Não encontrado")</f>
        <v/>
      </c>
      <c r="B1054" s="40" t="n">
        <v>-23.547484</v>
      </c>
      <c r="C1054" s="40" t="n">
        <v>-46.689054</v>
      </c>
      <c r="D1054" s="40" t="n">
        <v>295</v>
      </c>
      <c r="E1054" s="41" t="n">
        <v>14817.76</v>
      </c>
    </row>
    <row r="1055">
      <c r="A1055" s="42">
        <f>_xlfn.XLOOKUP(17840,Trip[shape_id],Trip[shape_id],"Não encontrado")</f>
        <v/>
      </c>
      <c r="B1055" s="43" t="n">
        <v>-23.547447</v>
      </c>
      <c r="C1055" s="43" t="n">
        <v>-46.689172</v>
      </c>
      <c r="D1055" s="43" t="n">
        <v>296</v>
      </c>
      <c r="E1055" s="44" t="n">
        <v>14832.887</v>
      </c>
    </row>
    <row r="1056">
      <c r="A1056" s="39">
        <f>_xlfn.XLOOKUP(17840,Trip[shape_id],Trip[shape_id],"Não encontrado")</f>
        <v/>
      </c>
      <c r="B1056" s="40" t="n">
        <v>-23.547395</v>
      </c>
      <c r="C1056" s="40" t="n">
        <v>-46.689309</v>
      </c>
      <c r="D1056" s="40" t="n">
        <v>297</v>
      </c>
      <c r="E1056" s="41" t="n">
        <v>14851.831</v>
      </c>
    </row>
    <row r="1057">
      <c r="A1057" s="42">
        <f>_xlfn.XLOOKUP(17840,Trip[shape_id],Trip[shape_id],"Não encontrado")</f>
        <v/>
      </c>
      <c r="B1057" s="43" t="n">
        <v>-23.547315</v>
      </c>
      <c r="C1057" s="43" t="n">
        <v>-46.689473</v>
      </c>
      <c r="D1057" s="43" t="n">
        <v>298</v>
      </c>
      <c r="E1057" s="44" t="n">
        <v>14883.729</v>
      </c>
    </row>
    <row r="1058">
      <c r="A1058" s="39">
        <f>_xlfn.XLOOKUP(17840,Trip[shape_id],Trip[shape_id],"Não encontrado")</f>
        <v/>
      </c>
      <c r="B1058" s="40" t="n">
        <v>-23.547167</v>
      </c>
      <c r="C1058" s="40" t="n">
        <v>-46.689741</v>
      </c>
      <c r="D1058" s="40" t="n">
        <v>299</v>
      </c>
      <c r="E1058" s="41" t="n">
        <v>14943.075</v>
      </c>
    </row>
    <row r="1059">
      <c r="A1059" s="42">
        <f>_xlfn.XLOOKUP(17840,Trip[shape_id],Trip[shape_id],"Não encontrado")</f>
        <v/>
      </c>
      <c r="B1059" s="43" t="n">
        <v>-23.546939</v>
      </c>
      <c r="C1059" s="43" t="n">
        <v>-46.690267</v>
      </c>
      <c r="D1059" s="43" t="n">
        <v>300</v>
      </c>
      <c r="E1059" s="44" t="n">
        <v>14963.494</v>
      </c>
    </row>
    <row r="1060">
      <c r="A1060" s="39">
        <f>_xlfn.XLOOKUP(17840,Trip[shape_id],Trip[shape_id],"Não encontrado")</f>
        <v/>
      </c>
      <c r="B1060" s="40" t="n">
        <v>-23.546839</v>
      </c>
      <c r="C1060" s="40" t="n">
        <v>-46.690435</v>
      </c>
      <c r="D1060" s="40" t="n">
        <v>301</v>
      </c>
      <c r="E1060" s="41" t="n">
        <v>14977.561</v>
      </c>
    </row>
    <row r="1061">
      <c r="A1061" s="42">
        <f>_xlfn.XLOOKUP(17840,Trip[shape_id],Trip[shape_id],"Não encontrado")</f>
        <v/>
      </c>
      <c r="B1061" s="43" t="n">
        <v>-23.54678</v>
      </c>
      <c r="C1061" s="43" t="n">
        <v>-46.690557</v>
      </c>
      <c r="D1061" s="43" t="n">
        <v>302</v>
      </c>
      <c r="E1061" s="44" t="n">
        <v>14994.041</v>
      </c>
    </row>
    <row r="1062">
      <c r="A1062" s="39">
        <f>_xlfn.XLOOKUP(17840,Trip[shape_id],Trip[shape_id],"Não encontrado")</f>
        <v/>
      </c>
      <c r="B1062" s="40" t="n">
        <v>-23.546711</v>
      </c>
      <c r="C1062" s="40" t="n">
        <v>-46.6907</v>
      </c>
      <c r="D1062" s="40" t="n">
        <v>303</v>
      </c>
      <c r="E1062" s="41" t="n">
        <v>15044.874</v>
      </c>
    </row>
    <row r="1063">
      <c r="A1063" s="42">
        <f>_xlfn.XLOOKUP(17840,Trip[shape_id],Trip[shape_id],"Não encontrado")</f>
        <v/>
      </c>
      <c r="B1063" s="43" t="n">
        <v>-23.546498</v>
      </c>
      <c r="C1063" s="43" t="n">
        <v>-46.691141</v>
      </c>
      <c r="D1063" s="43" t="n">
        <v>304</v>
      </c>
      <c r="E1063" s="44" t="n">
        <v>15044.874</v>
      </c>
    </row>
    <row r="1064">
      <c r="A1064" s="39">
        <f>_xlfn.XLOOKUP(17841,Trip[shape_id],Trip[shape_id],"Não encontrado")</f>
        <v/>
      </c>
      <c r="B1064" s="40" t="n">
        <v>-23.546498</v>
      </c>
      <c r="C1064" s="40" t="n">
        <v>-46.691141</v>
      </c>
      <c r="D1064" s="40" t="n">
        <v>1</v>
      </c>
      <c r="E1064" s="41" t="n">
        <v>0</v>
      </c>
    </row>
    <row r="1065">
      <c r="A1065" s="42">
        <f>_xlfn.XLOOKUP(17841,Trip[shape_id],Trip[shape_id],"Não encontrado")</f>
        <v/>
      </c>
      <c r="B1065" s="43" t="n">
        <v>-23.546711</v>
      </c>
      <c r="C1065" s="43" t="n">
        <v>-46.6907</v>
      </c>
      <c r="D1065" s="43" t="n">
        <v>2</v>
      </c>
      <c r="E1065" s="44" t="n">
        <v>50.833427</v>
      </c>
    </row>
    <row r="1066">
      <c r="A1066" s="39">
        <f>_xlfn.XLOOKUP(17841,Trip[shape_id],Trip[shape_id],"Não encontrado")</f>
        <v/>
      </c>
      <c r="B1066" s="40" t="n">
        <v>-23.54678</v>
      </c>
      <c r="C1066" s="40" t="n">
        <v>-46.690557</v>
      </c>
      <c r="D1066" s="40" t="n">
        <v>3</v>
      </c>
      <c r="E1066" s="41" t="n">
        <v>67.313599</v>
      </c>
    </row>
    <row r="1067">
      <c r="A1067" s="42">
        <f>_xlfn.XLOOKUP(17841,Trip[shape_id],Trip[shape_id],"Não encontrado")</f>
        <v/>
      </c>
      <c r="B1067" s="43" t="n">
        <v>-23.546839</v>
      </c>
      <c r="C1067" s="43" t="n">
        <v>-46.690435</v>
      </c>
      <c r="D1067" s="43" t="n">
        <v>4</v>
      </c>
      <c r="E1067" s="44" t="n">
        <v>81.380157</v>
      </c>
    </row>
    <row r="1068">
      <c r="A1068" s="39">
        <f>_xlfn.XLOOKUP(17841,Trip[shape_id],Trip[shape_id],"Não encontrado")</f>
        <v/>
      </c>
      <c r="B1068" s="40" t="n">
        <v>-23.546939</v>
      </c>
      <c r="C1068" s="40" t="n">
        <v>-46.690267</v>
      </c>
      <c r="D1068" s="40" t="n">
        <v>5</v>
      </c>
      <c r="E1068" s="41" t="n">
        <v>101.79865</v>
      </c>
    </row>
    <row r="1069">
      <c r="A1069" s="42">
        <f>_xlfn.XLOOKUP(17841,Trip[shape_id],Trip[shape_id],"Não encontrado")</f>
        <v/>
      </c>
      <c r="B1069" s="43" t="n">
        <v>-23.547167</v>
      </c>
      <c r="C1069" s="43" t="n">
        <v>-46.689741</v>
      </c>
      <c r="D1069" s="43" t="n">
        <v>6</v>
      </c>
      <c r="E1069" s="44" t="n">
        <v>161.14577</v>
      </c>
    </row>
    <row r="1070">
      <c r="A1070" s="39">
        <f>_xlfn.XLOOKUP(17841,Trip[shape_id],Trip[shape_id],"Não encontrado")</f>
        <v/>
      </c>
      <c r="B1070" s="40" t="n">
        <v>-23.547315</v>
      </c>
      <c r="C1070" s="40" t="n">
        <v>-46.689473</v>
      </c>
      <c r="D1070" s="40" t="n">
        <v>7</v>
      </c>
      <c r="E1070" s="41" t="n">
        <v>193.04347</v>
      </c>
    </row>
    <row r="1071">
      <c r="A1071" s="42">
        <f>_xlfn.XLOOKUP(17841,Trip[shape_id],Trip[shape_id],"Não encontrado")</f>
        <v/>
      </c>
      <c r="B1071" s="43" t="n">
        <v>-23.547395</v>
      </c>
      <c r="C1071" s="43" t="n">
        <v>-46.689309</v>
      </c>
      <c r="D1071" s="43" t="n">
        <v>8</v>
      </c>
      <c r="E1071" s="44" t="n">
        <v>211.9882</v>
      </c>
    </row>
    <row r="1072">
      <c r="A1072" s="39">
        <f>_xlfn.XLOOKUP(17841,Trip[shape_id],Trip[shape_id],"Não encontrado")</f>
        <v/>
      </c>
      <c r="B1072" s="40" t="n">
        <v>-23.547447</v>
      </c>
      <c r="C1072" s="40" t="n">
        <v>-46.689172</v>
      </c>
      <c r="D1072" s="40" t="n">
        <v>9</v>
      </c>
      <c r="E1072" s="41" t="n">
        <v>227.11542</v>
      </c>
    </row>
    <row r="1073">
      <c r="A1073" s="42">
        <f>_xlfn.XLOOKUP(17841,Trip[shape_id],Trip[shape_id],"Não encontrado")</f>
        <v/>
      </c>
      <c r="B1073" s="43" t="n">
        <v>-23.547484</v>
      </c>
      <c r="C1073" s="43" t="n">
        <v>-46.689054</v>
      </c>
      <c r="D1073" s="43" t="n">
        <v>10</v>
      </c>
      <c r="E1073" s="44" t="n">
        <v>239.84158</v>
      </c>
    </row>
    <row r="1074">
      <c r="A1074" s="39">
        <f>_xlfn.XLOOKUP(17841,Trip[shape_id],Trip[shape_id],"Não encontrado")</f>
        <v/>
      </c>
      <c r="B1074" s="40" t="n">
        <v>-23.547552</v>
      </c>
      <c r="C1074" s="40" t="n">
        <v>-46.688793</v>
      </c>
      <c r="D1074" s="40" t="n">
        <v>11</v>
      </c>
      <c r="E1074" s="41" t="n">
        <v>267.53452</v>
      </c>
    </row>
    <row r="1075">
      <c r="A1075" s="42">
        <f>_xlfn.XLOOKUP(17841,Trip[shape_id],Trip[shape_id],"Não encontrado")</f>
        <v/>
      </c>
      <c r="B1075" s="43" t="n">
        <v>-23.547592</v>
      </c>
      <c r="C1075" s="43" t="n">
        <v>-46.688616</v>
      </c>
      <c r="D1075" s="43" t="n">
        <v>12</v>
      </c>
      <c r="E1075" s="44" t="n">
        <v>286.14221</v>
      </c>
    </row>
    <row r="1076">
      <c r="A1076" s="39">
        <f>_xlfn.XLOOKUP(17841,Trip[shape_id],Trip[shape_id],"Não encontrado")</f>
        <v/>
      </c>
      <c r="B1076" s="40" t="n">
        <v>-23.547626</v>
      </c>
      <c r="C1076" s="40" t="n">
        <v>-46.688392</v>
      </c>
      <c r="D1076" s="40" t="n">
        <v>13</v>
      </c>
      <c r="E1076" s="41" t="n">
        <v>309.32129</v>
      </c>
    </row>
    <row r="1077">
      <c r="A1077" s="42">
        <f>_xlfn.XLOOKUP(17841,Trip[shape_id],Trip[shape_id],"Não encontrado")</f>
        <v/>
      </c>
      <c r="B1077" s="43" t="n">
        <v>-23.547642</v>
      </c>
      <c r="C1077" s="43" t="n">
        <v>-46.68817</v>
      </c>
      <c r="D1077" s="43" t="n">
        <v>14</v>
      </c>
      <c r="E1077" s="44" t="n">
        <v>332.05753</v>
      </c>
    </row>
    <row r="1078">
      <c r="A1078" s="39">
        <f>_xlfn.XLOOKUP(17841,Trip[shape_id],Trip[shape_id],"Não encontrado")</f>
        <v/>
      </c>
      <c r="B1078" s="40" t="n">
        <v>-23.547636</v>
      </c>
      <c r="C1078" s="40" t="n">
        <v>-46.687864</v>
      </c>
      <c r="D1078" s="40" t="n">
        <v>15</v>
      </c>
      <c r="E1078" s="41" t="n">
        <v>363.30841</v>
      </c>
    </row>
    <row r="1079">
      <c r="A1079" s="42">
        <f>_xlfn.XLOOKUP(17841,Trip[shape_id],Trip[shape_id],"Não encontrado")</f>
        <v/>
      </c>
      <c r="B1079" s="43" t="n">
        <v>-23.547612</v>
      </c>
      <c r="C1079" s="43" t="n">
        <v>-46.687616</v>
      </c>
      <c r="D1079" s="43" t="n">
        <v>16</v>
      </c>
      <c r="E1079" s="44" t="n">
        <v>388.76956</v>
      </c>
    </row>
    <row r="1080">
      <c r="A1080" s="39">
        <f>_xlfn.XLOOKUP(17841,Trip[shape_id],Trip[shape_id],"Não encontrado")</f>
        <v/>
      </c>
      <c r="B1080" s="40" t="n">
        <v>-23.547598</v>
      </c>
      <c r="C1080" s="40" t="n">
        <v>-46.687448</v>
      </c>
      <c r="D1080" s="40" t="n">
        <v>17</v>
      </c>
      <c r="E1080" s="41" t="n">
        <v>405.99295</v>
      </c>
    </row>
    <row r="1081">
      <c r="A1081" s="42">
        <f>_xlfn.XLOOKUP(17841,Trip[shape_id],Trip[shape_id],"Não encontrado")</f>
        <v/>
      </c>
      <c r="B1081" s="43" t="n">
        <v>-23.547608</v>
      </c>
      <c r="C1081" s="43" t="n">
        <v>-46.687258</v>
      </c>
      <c r="D1081" s="43" t="n">
        <v>18</v>
      </c>
      <c r="E1081" s="44" t="n">
        <v>425.42456</v>
      </c>
    </row>
    <row r="1082">
      <c r="A1082" s="39">
        <f>_xlfn.XLOOKUP(17841,Trip[shape_id],Trip[shape_id],"Não encontrado")</f>
        <v/>
      </c>
      <c r="B1082" s="40" t="n">
        <v>-23.547618</v>
      </c>
      <c r="C1082" s="40" t="n">
        <v>-46.687149</v>
      </c>
      <c r="D1082" s="40" t="n">
        <v>19</v>
      </c>
      <c r="E1082" s="41" t="n">
        <v>436.60852</v>
      </c>
    </row>
    <row r="1083">
      <c r="A1083" s="42">
        <f>_xlfn.XLOOKUP(17841,Trip[shape_id],Trip[shape_id],"Não encontrado")</f>
        <v/>
      </c>
      <c r="B1083" s="43" t="n">
        <v>-23.54771</v>
      </c>
      <c r="C1083" s="43" t="n">
        <v>-46.686879</v>
      </c>
      <c r="D1083" s="43" t="n">
        <v>20</v>
      </c>
      <c r="E1083" s="44" t="n">
        <v>465.99945</v>
      </c>
    </row>
    <row r="1084">
      <c r="A1084" s="39">
        <f>_xlfn.XLOOKUP(17841,Trip[shape_id],Trip[shape_id],"Não encontrado")</f>
        <v/>
      </c>
      <c r="B1084" s="40" t="n">
        <v>-23.547868</v>
      </c>
      <c r="C1084" s="40" t="n">
        <v>-46.686403</v>
      </c>
      <c r="D1084" s="40" t="n">
        <v>21</v>
      </c>
      <c r="E1084" s="41" t="n">
        <v>517.65527</v>
      </c>
    </row>
    <row r="1085">
      <c r="A1085" s="42">
        <f>_xlfn.XLOOKUP(17841,Trip[shape_id],Trip[shape_id],"Não encontrado")</f>
        <v/>
      </c>
      <c r="B1085" s="43" t="n">
        <v>-23.547938</v>
      </c>
      <c r="C1085" s="43" t="n">
        <v>-46.686222</v>
      </c>
      <c r="D1085" s="43" t="n">
        <v>22</v>
      </c>
      <c r="E1085" s="44" t="n">
        <v>537.69629</v>
      </c>
    </row>
    <row r="1086">
      <c r="A1086" s="39">
        <f>_xlfn.XLOOKUP(17841,Trip[shape_id],Trip[shape_id],"Não encontrado")</f>
        <v/>
      </c>
      <c r="B1086" s="40" t="n">
        <v>-23.548056</v>
      </c>
      <c r="C1086" s="40" t="n">
        <v>-46.685965</v>
      </c>
      <c r="D1086" s="40" t="n">
        <v>23</v>
      </c>
      <c r="E1086" s="41" t="n">
        <v>567.01117</v>
      </c>
    </row>
    <row r="1087">
      <c r="A1087" s="42">
        <f>_xlfn.XLOOKUP(17841,Trip[shape_id],Trip[shape_id],"Não encontrado")</f>
        <v/>
      </c>
      <c r="B1087" s="43" t="n">
        <v>-23.548276</v>
      </c>
      <c r="C1087" s="43" t="n">
        <v>-46.685603</v>
      </c>
      <c r="D1087" s="43" t="n">
        <v>24</v>
      </c>
      <c r="E1087" s="44" t="n">
        <v>611.28119</v>
      </c>
    </row>
    <row r="1088">
      <c r="A1088" s="39">
        <f>_xlfn.XLOOKUP(17841,Trip[shape_id],Trip[shape_id],"Não encontrado")</f>
        <v/>
      </c>
      <c r="B1088" s="40" t="n">
        <v>-23.548403</v>
      </c>
      <c r="C1088" s="40" t="n">
        <v>-46.685407</v>
      </c>
      <c r="D1088" s="40" t="n">
        <v>25</v>
      </c>
      <c r="E1088" s="41" t="n">
        <v>635.7421900000001</v>
      </c>
    </row>
    <row r="1089">
      <c r="A1089" s="42">
        <f>_xlfn.XLOOKUP(17841,Trip[shape_id],Trip[shape_id],"Não encontrado")</f>
        <v/>
      </c>
      <c r="B1089" s="43" t="n">
        <v>-23.548499</v>
      </c>
      <c r="C1089" s="43" t="n">
        <v>-46.685266</v>
      </c>
      <c r="D1089" s="43" t="n">
        <v>26</v>
      </c>
      <c r="E1089" s="44" t="n">
        <v>653.6391</v>
      </c>
    </row>
    <row r="1090">
      <c r="A1090" s="39">
        <f>_xlfn.XLOOKUP(17841,Trip[shape_id],Trip[shape_id],"Não encontrado")</f>
        <v/>
      </c>
      <c r="B1090" s="40" t="n">
        <v>-23.548526</v>
      </c>
      <c r="C1090" s="40" t="n">
        <v>-46.685235</v>
      </c>
      <c r="D1090" s="40" t="n">
        <v>27</v>
      </c>
      <c r="E1090" s="41" t="n">
        <v>657.9928</v>
      </c>
    </row>
    <row r="1091">
      <c r="A1091" s="42">
        <f>_xlfn.XLOOKUP(17841,Trip[shape_id],Trip[shape_id],"Não encontrado")</f>
        <v/>
      </c>
      <c r="B1091" s="43" t="n">
        <v>-23.549168</v>
      </c>
      <c r="C1091" s="43" t="n">
        <v>-46.684589</v>
      </c>
      <c r="D1091" s="43" t="n">
        <v>28</v>
      </c>
      <c r="E1091" s="44" t="n">
        <v>754.97803</v>
      </c>
    </row>
    <row r="1092">
      <c r="A1092" s="39">
        <f>_xlfn.XLOOKUP(17841,Trip[shape_id],Trip[shape_id],"Não encontrado")</f>
        <v/>
      </c>
      <c r="B1092" s="40" t="n">
        <v>-23.549324</v>
      </c>
      <c r="C1092" s="40" t="n">
        <v>-46.684435</v>
      </c>
      <c r="D1092" s="40" t="n">
        <v>29</v>
      </c>
      <c r="E1092" s="41" t="n">
        <v>778.33911</v>
      </c>
    </row>
    <row r="1093">
      <c r="A1093" s="42">
        <f>_xlfn.XLOOKUP(17841,Trip[shape_id],Trip[shape_id],"Não encontrado")</f>
        <v/>
      </c>
      <c r="B1093" s="43" t="n">
        <v>-23.549406</v>
      </c>
      <c r="C1093" s="43" t="n">
        <v>-46.684335</v>
      </c>
      <c r="D1093" s="43" t="n">
        <v>30</v>
      </c>
      <c r="E1093" s="44" t="n">
        <v>792.00409</v>
      </c>
    </row>
    <row r="1094">
      <c r="A1094" s="39">
        <f>_xlfn.XLOOKUP(17841,Trip[shape_id],Trip[shape_id],"Não encontrado")</f>
        <v/>
      </c>
      <c r="B1094" s="40" t="n">
        <v>-23.549482</v>
      </c>
      <c r="C1094" s="40" t="n">
        <v>-46.684213</v>
      </c>
      <c r="D1094" s="40" t="n">
        <v>31</v>
      </c>
      <c r="E1094" s="41" t="n">
        <v>807.03796</v>
      </c>
    </row>
    <row r="1095">
      <c r="A1095" s="42">
        <f>_xlfn.XLOOKUP(17841,Trip[shape_id],Trip[shape_id],"Não encontrado")</f>
        <v/>
      </c>
      <c r="B1095" s="43" t="n">
        <v>-23.549526</v>
      </c>
      <c r="C1095" s="43" t="n">
        <v>-46.684128</v>
      </c>
      <c r="D1095" s="43" t="n">
        <v>32</v>
      </c>
      <c r="E1095" s="44" t="n">
        <v>816.99109</v>
      </c>
    </row>
    <row r="1096">
      <c r="A1096" s="39">
        <f>_xlfn.XLOOKUP(17841,Trip[shape_id],Trip[shape_id],"Não encontrado")</f>
        <v/>
      </c>
      <c r="B1096" s="40" t="n">
        <v>-23.54957</v>
      </c>
      <c r="C1096" s="40" t="n">
        <v>-46.684004</v>
      </c>
      <c r="D1096" s="40" t="n">
        <v>33</v>
      </c>
      <c r="E1096" s="41" t="n">
        <v>830.5575</v>
      </c>
    </row>
    <row r="1097">
      <c r="A1097" s="42">
        <f>_xlfn.XLOOKUP(17841,Trip[shape_id],Trip[shape_id],"Não encontrado")</f>
        <v/>
      </c>
      <c r="B1097" s="43" t="n">
        <v>-23.54959</v>
      </c>
      <c r="C1097" s="43" t="n">
        <v>-46.683917</v>
      </c>
      <c r="D1097" s="43" t="n">
        <v>34</v>
      </c>
      <c r="E1097" s="44" t="n">
        <v>839.71259</v>
      </c>
    </row>
    <row r="1098">
      <c r="A1098" s="39">
        <f>_xlfn.XLOOKUP(17841,Trip[shape_id],Trip[shape_id],"Não encontrado")</f>
        <v/>
      </c>
      <c r="B1098" s="40" t="n">
        <v>-23.549604</v>
      </c>
      <c r="C1098" s="40" t="n">
        <v>-46.683823</v>
      </c>
      <c r="D1098" s="40" t="n">
        <v>35</v>
      </c>
      <c r="E1098" s="41" t="n">
        <v>849.4349999999999</v>
      </c>
    </row>
    <row r="1099">
      <c r="A1099" s="42">
        <f>_xlfn.XLOOKUP(17841,Trip[shape_id],Trip[shape_id],"Não encontrado")</f>
        <v/>
      </c>
      <c r="B1099" s="43" t="n">
        <v>-23.549646</v>
      </c>
      <c r="C1099" s="43" t="n">
        <v>-46.683108</v>
      </c>
      <c r="D1099" s="43" t="n">
        <v>36</v>
      </c>
      <c r="E1099" s="44" t="n">
        <v>922.58649</v>
      </c>
    </row>
    <row r="1100">
      <c r="A1100" s="39">
        <f>_xlfn.XLOOKUP(17841,Trip[shape_id],Trip[shape_id],"Não encontrado")</f>
        <v/>
      </c>
      <c r="B1100" s="40" t="n">
        <v>-23.549655</v>
      </c>
      <c r="C1100" s="40" t="n">
        <v>-46.68269</v>
      </c>
      <c r="D1100" s="40" t="n">
        <v>37</v>
      </c>
      <c r="E1100" s="41" t="n">
        <v>965.27716</v>
      </c>
    </row>
    <row r="1101">
      <c r="A1101" s="42">
        <f>_xlfn.XLOOKUP(17841,Trip[shape_id],Trip[shape_id],"Não encontrado")</f>
        <v/>
      </c>
      <c r="B1101" s="43" t="n">
        <v>-23.549671</v>
      </c>
      <c r="C1101" s="43" t="n">
        <v>-46.682308</v>
      </c>
      <c r="D1101" s="43" t="n">
        <v>38</v>
      </c>
      <c r="E1101" s="44" t="n">
        <v>1004.3207</v>
      </c>
    </row>
    <row r="1102">
      <c r="A1102" s="39">
        <f>_xlfn.XLOOKUP(17841,Trip[shape_id],Trip[shape_id],"Não encontrado")</f>
        <v/>
      </c>
      <c r="B1102" s="40" t="n">
        <v>-23.549687</v>
      </c>
      <c r="C1102" s="40" t="n">
        <v>-46.681567</v>
      </c>
      <c r="D1102" s="40" t="n">
        <v>39</v>
      </c>
      <c r="E1102" s="41" t="n">
        <v>1079.9995</v>
      </c>
    </row>
    <row r="1103">
      <c r="A1103" s="42">
        <f>_xlfn.XLOOKUP(17841,Trip[shape_id],Trip[shape_id],"Não encontrado")</f>
        <v/>
      </c>
      <c r="B1103" s="43" t="n">
        <v>-23.549703</v>
      </c>
      <c r="C1103" s="43" t="n">
        <v>-46.681345</v>
      </c>
      <c r="D1103" s="43" t="n">
        <v>40</v>
      </c>
      <c r="E1103" s="44" t="n">
        <v>1102.7354</v>
      </c>
    </row>
    <row r="1104">
      <c r="A1104" s="39">
        <f>_xlfn.XLOOKUP(17841,Trip[shape_id],Trip[shape_id],"Não encontrado")</f>
        <v/>
      </c>
      <c r="B1104" s="40" t="n">
        <v>-23.549757</v>
      </c>
      <c r="C1104" s="40" t="n">
        <v>-46.680854</v>
      </c>
      <c r="D1104" s="40" t="n">
        <v>41</v>
      </c>
      <c r="E1104" s="41" t="n">
        <v>1153.2233</v>
      </c>
    </row>
    <row r="1105">
      <c r="A1105" s="42">
        <f>_xlfn.XLOOKUP(17841,Trip[shape_id],Trip[shape_id],"Não encontrado")</f>
        <v/>
      </c>
      <c r="B1105" s="43" t="n">
        <v>-23.549783</v>
      </c>
      <c r="C1105" s="43" t="n">
        <v>-46.680486</v>
      </c>
      <c r="D1105" s="43" t="n">
        <v>42</v>
      </c>
      <c r="E1105" s="44" t="n">
        <v>1190.9071</v>
      </c>
    </row>
    <row r="1106">
      <c r="A1106" s="39">
        <f>_xlfn.XLOOKUP(17841,Trip[shape_id],Trip[shape_id],"Não encontrado")</f>
        <v/>
      </c>
      <c r="B1106" s="40" t="n">
        <v>-23.549828</v>
      </c>
      <c r="C1106" s="40" t="n">
        <v>-46.68003</v>
      </c>
      <c r="D1106" s="40" t="n">
        <v>43</v>
      </c>
      <c r="E1106" s="41" t="n">
        <v>1237.7319</v>
      </c>
    </row>
    <row r="1107">
      <c r="A1107" s="42">
        <f>_xlfn.XLOOKUP(17841,Trip[shape_id],Trip[shape_id],"Não encontrado")</f>
        <v/>
      </c>
      <c r="B1107" s="43" t="n">
        <v>-23.54986</v>
      </c>
      <c r="C1107" s="43" t="n">
        <v>-46.679825</v>
      </c>
      <c r="D1107" s="43" t="n">
        <v>44</v>
      </c>
      <c r="E1107" s="44" t="n">
        <v>1258.9609</v>
      </c>
    </row>
    <row r="1108">
      <c r="A1108" s="39">
        <f>_xlfn.XLOOKUP(17841,Trip[shape_id],Trip[shape_id],"Não encontrado")</f>
        <v/>
      </c>
      <c r="B1108" s="40" t="n">
        <v>-23.550002</v>
      </c>
      <c r="C1108" s="40" t="n">
        <v>-46.679446</v>
      </c>
      <c r="D1108" s="40" t="n">
        <v>45</v>
      </c>
      <c r="E1108" s="41" t="n">
        <v>1300.7314</v>
      </c>
    </row>
    <row r="1109">
      <c r="A1109" s="42">
        <f>_xlfn.XLOOKUP(17841,Trip[shape_id],Trip[shape_id],"Não encontrado")</f>
        <v/>
      </c>
      <c r="B1109" s="43" t="n">
        <v>-23.550279</v>
      </c>
      <c r="C1109" s="43" t="n">
        <v>-46.678625</v>
      </c>
      <c r="D1109" s="43" t="n">
        <v>46</v>
      </c>
      <c r="E1109" s="44" t="n">
        <v>1389.9949</v>
      </c>
    </row>
    <row r="1110">
      <c r="A1110" s="39">
        <f>_xlfn.XLOOKUP(17841,Trip[shape_id],Trip[shape_id],"Não encontrado")</f>
        <v/>
      </c>
      <c r="B1110" s="40" t="n">
        <v>-23.550461</v>
      </c>
      <c r="C1110" s="40" t="n">
        <v>-46.678325</v>
      </c>
      <c r="D1110" s="40" t="n">
        <v>47</v>
      </c>
      <c r="E1110" s="41" t="n">
        <v>1426.6628</v>
      </c>
    </row>
    <row r="1111">
      <c r="A1111" s="42">
        <f>_xlfn.XLOOKUP(17841,Trip[shape_id],Trip[shape_id],"Não encontrado")</f>
        <v/>
      </c>
      <c r="B1111" s="43" t="n">
        <v>-23.550711</v>
      </c>
      <c r="C1111" s="43" t="n">
        <v>-46.677912</v>
      </c>
      <c r="D1111" s="43" t="n">
        <v>48</v>
      </c>
      <c r="E1111" s="44" t="n">
        <v>1477.1085</v>
      </c>
    </row>
    <row r="1112">
      <c r="A1112" s="39">
        <f>_xlfn.XLOOKUP(17841,Trip[shape_id],Trip[shape_id],"Não encontrado")</f>
        <v/>
      </c>
      <c r="B1112" s="40" t="n">
        <v>-23.550976</v>
      </c>
      <c r="C1112" s="40" t="n">
        <v>-46.677573</v>
      </c>
      <c r="D1112" s="40" t="n">
        <v>49</v>
      </c>
      <c r="E1112" s="41" t="n">
        <v>1522.4891</v>
      </c>
    </row>
    <row r="1113">
      <c r="A1113" s="42">
        <f>_xlfn.XLOOKUP(17841,Trip[shape_id],Trip[shape_id],"Não encontrado")</f>
        <v/>
      </c>
      <c r="B1113" s="43" t="n">
        <v>-23.551014</v>
      </c>
      <c r="C1113" s="43" t="n">
        <v>-46.677516</v>
      </c>
      <c r="D1113" s="43" t="n">
        <v>50</v>
      </c>
      <c r="E1113" s="44" t="n">
        <v>1529.6715</v>
      </c>
    </row>
    <row r="1114">
      <c r="A1114" s="39">
        <f>_xlfn.XLOOKUP(17841,Trip[shape_id],Trip[shape_id],"Não encontrado")</f>
        <v/>
      </c>
      <c r="B1114" s="40" t="n">
        <v>-23.551465</v>
      </c>
      <c r="C1114" s="40" t="n">
        <v>-46.676872</v>
      </c>
      <c r="D1114" s="40" t="n">
        <v>51</v>
      </c>
      <c r="E1114" s="41" t="n">
        <v>1612.2452</v>
      </c>
    </row>
    <row r="1115">
      <c r="A1115" s="42">
        <f>_xlfn.XLOOKUP(17841,Trip[shape_id],Trip[shape_id],"Não encontrado")</f>
        <v/>
      </c>
      <c r="B1115" s="43" t="n">
        <v>-23.551686</v>
      </c>
      <c r="C1115" s="43" t="n">
        <v>-46.676527</v>
      </c>
      <c r="D1115" s="43" t="n">
        <v>52</v>
      </c>
      <c r="E1115" s="44" t="n">
        <v>1655.139</v>
      </c>
    </row>
    <row r="1116">
      <c r="A1116" s="39">
        <f>_xlfn.XLOOKUP(17841,Trip[shape_id],Trip[shape_id],"Não encontrado")</f>
        <v/>
      </c>
      <c r="B1116" s="40" t="n">
        <v>-23.551992</v>
      </c>
      <c r="C1116" s="40" t="n">
        <v>-46.675965</v>
      </c>
      <c r="D1116" s="40" t="n">
        <v>53</v>
      </c>
      <c r="E1116" s="41" t="n">
        <v>1721.7805</v>
      </c>
    </row>
    <row r="1117">
      <c r="A1117" s="42">
        <f>_xlfn.XLOOKUP(17841,Trip[shape_id],Trip[shape_id],"Não encontrado")</f>
        <v/>
      </c>
      <c r="B1117" s="43" t="n">
        <v>-23.552411</v>
      </c>
      <c r="C1117" s="43" t="n">
        <v>-46.67496</v>
      </c>
      <c r="D1117" s="43" t="n">
        <v>54</v>
      </c>
      <c r="E1117" s="44" t="n">
        <v>1834.3971</v>
      </c>
    </row>
    <row r="1118">
      <c r="A1118" s="39">
        <f>_xlfn.XLOOKUP(17841,Trip[shape_id],Trip[shape_id],"Não encontrado")</f>
        <v/>
      </c>
      <c r="B1118" s="40" t="n">
        <v>-23.552658</v>
      </c>
      <c r="C1118" s="40" t="n">
        <v>-46.674373</v>
      </c>
      <c r="D1118" s="40" t="n">
        <v>55</v>
      </c>
      <c r="E1118" s="41" t="n">
        <v>1900.2781</v>
      </c>
    </row>
    <row r="1119">
      <c r="A1119" s="42">
        <f>_xlfn.XLOOKUP(17841,Trip[shape_id],Trip[shape_id],"Não encontrado")</f>
        <v/>
      </c>
      <c r="B1119" s="43" t="n">
        <v>-23.552915</v>
      </c>
      <c r="C1119" s="43" t="n">
        <v>-46.673754</v>
      </c>
      <c r="D1119" s="43" t="n">
        <v>56</v>
      </c>
      <c r="E1119" s="44" t="n">
        <v>1969.5919</v>
      </c>
    </row>
    <row r="1120">
      <c r="A1120" s="39">
        <f>_xlfn.XLOOKUP(17841,Trip[shape_id],Trip[shape_id],"Não encontrado")</f>
        <v/>
      </c>
      <c r="B1120" s="40" t="n">
        <v>-23.553426</v>
      </c>
      <c r="C1120" s="40" t="n">
        <v>-46.672535</v>
      </c>
      <c r="D1120" s="40" t="n">
        <v>57</v>
      </c>
      <c r="E1120" s="41" t="n">
        <v>2106.3149</v>
      </c>
    </row>
    <row r="1121">
      <c r="A1121" s="42">
        <f>_xlfn.XLOOKUP(17841,Trip[shape_id],Trip[shape_id],"Não encontrado")</f>
        <v/>
      </c>
      <c r="B1121" s="43" t="n">
        <v>-23.553725</v>
      </c>
      <c r="C1121" s="43" t="n">
        <v>-46.671813</v>
      </c>
      <c r="D1121" s="43" t="n">
        <v>58</v>
      </c>
      <c r="E1121" s="44" t="n">
        <v>2187.1272</v>
      </c>
    </row>
    <row r="1122">
      <c r="A1122" s="39">
        <f>_xlfn.XLOOKUP(17841,Trip[shape_id],Trip[shape_id],"Não encontrado")</f>
        <v/>
      </c>
      <c r="B1122" s="40" t="n">
        <v>-23.554073</v>
      </c>
      <c r="C1122" s="40" t="n">
        <v>-46.670966</v>
      </c>
      <c r="D1122" s="40" t="n">
        <v>59</v>
      </c>
      <c r="E1122" s="41" t="n">
        <v>2281.8054</v>
      </c>
    </row>
    <row r="1123">
      <c r="A1123" s="42">
        <f>_xlfn.XLOOKUP(17841,Trip[shape_id],Trip[shape_id],"Não encontrado")</f>
        <v/>
      </c>
      <c r="B1123" s="43" t="n">
        <v>-23.55448</v>
      </c>
      <c r="C1123" s="43" t="n">
        <v>-46.669976</v>
      </c>
      <c r="D1123" s="43" t="n">
        <v>60</v>
      </c>
      <c r="E1123" s="44" t="n">
        <v>2392.479</v>
      </c>
    </row>
    <row r="1124">
      <c r="A1124" s="39">
        <f>_xlfn.XLOOKUP(17841,Trip[shape_id],Trip[shape_id],"Não encontrado")</f>
        <v/>
      </c>
      <c r="B1124" s="40" t="n">
        <v>-23.554663</v>
      </c>
      <c r="C1124" s="40" t="n">
        <v>-46.669538</v>
      </c>
      <c r="D1124" s="40" t="n">
        <v>61</v>
      </c>
      <c r="E1124" s="41" t="n">
        <v>2441.5769</v>
      </c>
    </row>
    <row r="1125">
      <c r="A1125" s="42">
        <f>_xlfn.XLOOKUP(17841,Trip[shape_id],Trip[shape_id],"Não encontrado")</f>
        <v/>
      </c>
      <c r="B1125" s="43" t="n">
        <v>-23.554929</v>
      </c>
      <c r="C1125" s="43" t="n">
        <v>-46.668892</v>
      </c>
      <c r="D1125" s="43" t="n">
        <v>62</v>
      </c>
      <c r="E1125" s="44" t="n">
        <v>2513.813</v>
      </c>
    </row>
    <row r="1126">
      <c r="A1126" s="39">
        <f>_xlfn.XLOOKUP(17841,Trip[shape_id],Trip[shape_id],"Não encontrado")</f>
        <v/>
      </c>
      <c r="B1126" s="40" t="n">
        <v>-23.555104</v>
      </c>
      <c r="C1126" s="40" t="n">
        <v>-46.668348</v>
      </c>
      <c r="D1126" s="40" t="n">
        <v>63</v>
      </c>
      <c r="E1126" s="41" t="n">
        <v>2572.6392</v>
      </c>
    </row>
    <row r="1127">
      <c r="A1127" s="42">
        <f>_xlfn.XLOOKUP(17841,Trip[shape_id],Trip[shape_id],"Não encontrado")</f>
        <v/>
      </c>
      <c r="B1127" s="43" t="n">
        <v>-23.555128</v>
      </c>
      <c r="C1127" s="43" t="n">
        <v>-46.668259</v>
      </c>
      <c r="D1127" s="43" t="n">
        <v>64</v>
      </c>
      <c r="E1127" s="44" t="n">
        <v>2582.1069</v>
      </c>
    </row>
    <row r="1128">
      <c r="A1128" s="39">
        <f>_xlfn.XLOOKUP(17841,Trip[shape_id],Trip[shape_id],"Não encontrado")</f>
        <v/>
      </c>
      <c r="B1128" s="40" t="n">
        <v>-23.555246</v>
      </c>
      <c r="C1128" s="40" t="n">
        <v>-46.667465</v>
      </c>
      <c r="D1128" s="40" t="n">
        <v>65</v>
      </c>
      <c r="E1128" s="41" t="n">
        <v>2664.2197</v>
      </c>
    </row>
    <row r="1129">
      <c r="A1129" s="42">
        <f>_xlfn.XLOOKUP(17841,Trip[shape_id],Trip[shape_id],"Não encontrado")</f>
        <v/>
      </c>
      <c r="B1129" s="43" t="n">
        <v>-23.555278</v>
      </c>
      <c r="C1129" s="43" t="n">
        <v>-46.667246</v>
      </c>
      <c r="D1129" s="43" t="n">
        <v>66</v>
      </c>
      <c r="E1129" s="44" t="n">
        <v>2686.8584</v>
      </c>
    </row>
    <row r="1130">
      <c r="A1130" s="39">
        <f>_xlfn.XLOOKUP(17841,Trip[shape_id],Trip[shape_id],"Não encontrado")</f>
        <v/>
      </c>
      <c r="B1130" s="40" t="n">
        <v>-23.555176</v>
      </c>
      <c r="C1130" s="40" t="n">
        <v>-46.66694</v>
      </c>
      <c r="D1130" s="40" t="n">
        <v>67</v>
      </c>
      <c r="E1130" s="41" t="n">
        <v>2720.0801</v>
      </c>
    </row>
    <row r="1131">
      <c r="A1131" s="42">
        <f>_xlfn.XLOOKUP(17841,Trip[shape_id],Trip[shape_id],"Não encontrado")</f>
        <v/>
      </c>
      <c r="B1131" s="43" t="n">
        <v>-23.555073</v>
      </c>
      <c r="C1131" s="43" t="n">
        <v>-46.66673</v>
      </c>
      <c r="D1131" s="43" t="n">
        <v>68</v>
      </c>
      <c r="E1131" s="44" t="n">
        <v>2744.3667</v>
      </c>
    </row>
    <row r="1132">
      <c r="A1132" s="39">
        <f>_xlfn.XLOOKUP(17841,Trip[shape_id],Trip[shape_id],"Não encontrado")</f>
        <v/>
      </c>
      <c r="B1132" s="40" t="n">
        <v>-23.554868</v>
      </c>
      <c r="C1132" s="40" t="n">
        <v>-46.666302</v>
      </c>
      <c r="D1132" s="40" t="n">
        <v>69</v>
      </c>
      <c r="E1132" s="41" t="n">
        <v>2793.6111</v>
      </c>
    </row>
    <row r="1133">
      <c r="A1133" s="42">
        <f>_xlfn.XLOOKUP(17841,Trip[shape_id],Trip[shape_id],"Não encontrado")</f>
        <v/>
      </c>
      <c r="B1133" s="43" t="n">
        <v>-23.554687</v>
      </c>
      <c r="C1133" s="43" t="n">
        <v>-46.665927</v>
      </c>
      <c r="D1133" s="43" t="n">
        <v>70</v>
      </c>
      <c r="E1133" s="44" t="n">
        <v>2836.8284</v>
      </c>
    </row>
    <row r="1134">
      <c r="A1134" s="39">
        <f>_xlfn.XLOOKUP(17841,Trip[shape_id],Trip[shape_id],"Não encontrado")</f>
        <v/>
      </c>
      <c r="B1134" s="40" t="n">
        <v>-23.554546</v>
      </c>
      <c r="C1134" s="40" t="n">
        <v>-46.66563</v>
      </c>
      <c r="D1134" s="40" t="n">
        <v>71</v>
      </c>
      <c r="E1134" s="41" t="n">
        <v>2870.9365</v>
      </c>
    </row>
    <row r="1135">
      <c r="A1135" s="42">
        <f>_xlfn.XLOOKUP(17841,Trip[shape_id],Trip[shape_id],"Não encontrado")</f>
        <v/>
      </c>
      <c r="B1135" s="43" t="n">
        <v>-23.554396</v>
      </c>
      <c r="C1135" s="43" t="n">
        <v>-46.665175</v>
      </c>
      <c r="D1135" s="43" t="n">
        <v>72</v>
      </c>
      <c r="E1135" s="44" t="n">
        <v>2920.2727</v>
      </c>
    </row>
    <row r="1136">
      <c r="A1136" s="39">
        <f>_xlfn.XLOOKUP(17841,Trip[shape_id],Trip[shape_id],"Não encontrado")</f>
        <v/>
      </c>
      <c r="B1136" s="40" t="n">
        <v>-23.554382</v>
      </c>
      <c r="C1136" s="40" t="n">
        <v>-46.664921</v>
      </c>
      <c r="D1136" s="40" t="n">
        <v>73</v>
      </c>
      <c r="E1136" s="41" t="n">
        <v>2946.252</v>
      </c>
    </row>
    <row r="1137">
      <c r="A1137" s="42">
        <f>_xlfn.XLOOKUP(17841,Trip[shape_id],Trip[shape_id],"Não encontrado")</f>
        <v/>
      </c>
      <c r="B1137" s="43" t="n">
        <v>-23.554386</v>
      </c>
      <c r="C1137" s="43" t="n">
        <v>-46.66488</v>
      </c>
      <c r="D1137" s="43" t="n">
        <v>74</v>
      </c>
      <c r="E1137" s="44" t="n">
        <v>2950.4617</v>
      </c>
    </row>
    <row r="1138">
      <c r="A1138" s="39">
        <f>_xlfn.XLOOKUP(17841,Trip[shape_id],Trip[shape_id],"Não encontrado")</f>
        <v/>
      </c>
      <c r="B1138" s="40" t="n">
        <v>-23.554462</v>
      </c>
      <c r="C1138" s="40" t="n">
        <v>-46.664616</v>
      </c>
      <c r="D1138" s="40" t="n">
        <v>75</v>
      </c>
      <c r="E1138" s="41" t="n">
        <v>2978.6995</v>
      </c>
    </row>
    <row r="1139">
      <c r="A1139" s="42">
        <f>_xlfn.XLOOKUP(17841,Trip[shape_id],Trip[shape_id],"Não encontrado")</f>
        <v/>
      </c>
      <c r="B1139" s="43" t="n">
        <v>-23.554608</v>
      </c>
      <c r="C1139" s="43" t="n">
        <v>-46.664394</v>
      </c>
      <c r="D1139" s="43" t="n">
        <v>76</v>
      </c>
      <c r="E1139" s="44" t="n">
        <v>3006.542</v>
      </c>
    </row>
    <row r="1140">
      <c r="A1140" s="39">
        <f>_xlfn.XLOOKUP(17841,Trip[shape_id],Trip[shape_id],"Não encontrado")</f>
        <v/>
      </c>
      <c r="B1140" s="40" t="n">
        <v>-23.554819</v>
      </c>
      <c r="C1140" s="40" t="n">
        <v>-46.664074</v>
      </c>
      <c r="D1140" s="40" t="n">
        <v>77</v>
      </c>
      <c r="E1140" s="41" t="n">
        <v>3046.7107</v>
      </c>
    </row>
    <row r="1141">
      <c r="A1141" s="42">
        <f>_xlfn.XLOOKUP(17841,Trip[shape_id],Trip[shape_id],"Não encontrado")</f>
        <v/>
      </c>
      <c r="B1141" s="43" t="n">
        <v>-23.555001</v>
      </c>
      <c r="C1141" s="43" t="n">
        <v>-46.66384</v>
      </c>
      <c r="D1141" s="43" t="n">
        <v>78</v>
      </c>
      <c r="E1141" s="44" t="n">
        <v>3077.969</v>
      </c>
    </row>
    <row r="1142">
      <c r="A1142" s="39">
        <f>_xlfn.XLOOKUP(17841,Trip[shape_id],Trip[shape_id],"Não encontrado")</f>
        <v/>
      </c>
      <c r="B1142" s="40" t="n">
        <v>-23.555422</v>
      </c>
      <c r="C1142" s="40" t="n">
        <v>-46.663293</v>
      </c>
      <c r="D1142" s="40" t="n">
        <v>79</v>
      </c>
      <c r="E1142" s="41" t="n">
        <v>3150.7222</v>
      </c>
    </row>
    <row r="1143">
      <c r="A1143" s="42">
        <f>_xlfn.XLOOKUP(17841,Trip[shape_id],Trip[shape_id],"Não encontrado")</f>
        <v/>
      </c>
      <c r="B1143" s="43" t="n">
        <v>-23.55563</v>
      </c>
      <c r="C1143" s="43" t="n">
        <v>-46.663034</v>
      </c>
      <c r="D1143" s="43" t="n">
        <v>80</v>
      </c>
      <c r="E1143" s="44" t="n">
        <v>3185.7925</v>
      </c>
    </row>
    <row r="1144">
      <c r="A1144" s="39">
        <f>_xlfn.XLOOKUP(17841,Trip[shape_id],Trip[shape_id],"Não encontrado")</f>
        <v/>
      </c>
      <c r="B1144" s="40" t="n">
        <v>-23.555663</v>
      </c>
      <c r="C1144" s="40" t="n">
        <v>-46.662996</v>
      </c>
      <c r="D1144" s="40" t="n">
        <v>81</v>
      </c>
      <c r="E1144" s="41" t="n">
        <v>3191.123</v>
      </c>
    </row>
    <row r="1145">
      <c r="A1145" s="42">
        <f>_xlfn.XLOOKUP(17841,Trip[shape_id],Trip[shape_id],"Não encontrado")</f>
        <v/>
      </c>
      <c r="B1145" s="43" t="n">
        <v>-23.555821</v>
      </c>
      <c r="C1145" s="43" t="n">
        <v>-46.662822</v>
      </c>
      <c r="D1145" s="43" t="n">
        <v>82</v>
      </c>
      <c r="E1145" s="44" t="n">
        <v>3216.0591</v>
      </c>
    </row>
    <row r="1146">
      <c r="A1146" s="39">
        <f>_xlfn.XLOOKUP(17841,Trip[shape_id],Trip[shape_id],"Não encontrado")</f>
        <v/>
      </c>
      <c r="B1146" s="40" t="n">
        <v>-23.555894</v>
      </c>
      <c r="C1146" s="40" t="n">
        <v>-46.662734</v>
      </c>
      <c r="D1146" s="40" t="n">
        <v>83</v>
      </c>
      <c r="E1146" s="41" t="n">
        <v>3228.1458</v>
      </c>
    </row>
    <row r="1147">
      <c r="A1147" s="42">
        <f>_xlfn.XLOOKUP(17841,Trip[shape_id],Trip[shape_id],"Não encontrado")</f>
        <v/>
      </c>
      <c r="B1147" s="43" t="n">
        <v>-23.556499</v>
      </c>
      <c r="C1147" s="43" t="n">
        <v>-46.662064</v>
      </c>
      <c r="D1147" s="43" t="n">
        <v>84</v>
      </c>
      <c r="E1147" s="44" t="n">
        <v>3323.9004</v>
      </c>
    </row>
    <row r="1148">
      <c r="A1148" s="39">
        <f>_xlfn.XLOOKUP(17841,Trip[shape_id],Trip[shape_id],"Não encontrado")</f>
        <v/>
      </c>
      <c r="B1148" s="40" t="n">
        <v>-23.556665</v>
      </c>
      <c r="C1148" s="40" t="n">
        <v>-46.661866</v>
      </c>
      <c r="D1148" s="40" t="n">
        <v>85</v>
      </c>
      <c r="E1148" s="41" t="n">
        <v>3351.2256</v>
      </c>
    </row>
    <row r="1149">
      <c r="A1149" s="42">
        <f>_xlfn.XLOOKUP(17841,Trip[shape_id],Trip[shape_id],"Não encontrado")</f>
        <v/>
      </c>
      <c r="B1149" s="43" t="n">
        <v>-23.556867</v>
      </c>
      <c r="C1149" s="43" t="n">
        <v>-46.661638</v>
      </c>
      <c r="D1149" s="43" t="n">
        <v>86</v>
      </c>
      <c r="E1149" s="44" t="n">
        <v>3383.5115</v>
      </c>
    </row>
    <row r="1150">
      <c r="A1150" s="39">
        <f>_xlfn.XLOOKUP(17841,Trip[shape_id],Trip[shape_id],"Não encontrado")</f>
        <v/>
      </c>
      <c r="B1150" s="40" t="n">
        <v>-23.557264</v>
      </c>
      <c r="C1150" s="40" t="n">
        <v>-46.661181</v>
      </c>
      <c r="D1150" s="40" t="n">
        <v>87</v>
      </c>
      <c r="E1150" s="41" t="n">
        <v>3447.6226</v>
      </c>
    </row>
    <row r="1151">
      <c r="A1151" s="42">
        <f>_xlfn.XLOOKUP(17841,Trip[shape_id],Trip[shape_id],"Não encontrado")</f>
        <v/>
      </c>
      <c r="B1151" s="43" t="n">
        <v>-23.558082</v>
      </c>
      <c r="C1151" s="43" t="n">
        <v>-46.660219</v>
      </c>
      <c r="D1151" s="43" t="n">
        <v>88</v>
      </c>
      <c r="E1151" s="44" t="n">
        <v>3581.2415</v>
      </c>
    </row>
    <row r="1152">
      <c r="A1152" s="39">
        <f>_xlfn.XLOOKUP(17841,Trip[shape_id],Trip[shape_id],"Não encontrado")</f>
        <v/>
      </c>
      <c r="B1152" s="40" t="n">
        <v>-23.559895</v>
      </c>
      <c r="C1152" s="40" t="n">
        <v>-46.658174</v>
      </c>
      <c r="D1152" s="40" t="n">
        <v>89</v>
      </c>
      <c r="E1152" s="41" t="n">
        <v>3870.9124</v>
      </c>
    </row>
    <row r="1153">
      <c r="A1153" s="42">
        <f>_xlfn.XLOOKUP(17841,Trip[shape_id],Trip[shape_id],"Não encontrado")</f>
        <v/>
      </c>
      <c r="B1153" s="43" t="n">
        <v>-23.560085</v>
      </c>
      <c r="C1153" s="43" t="n">
        <v>-46.657976</v>
      </c>
      <c r="D1153" s="43" t="n">
        <v>90</v>
      </c>
      <c r="E1153" s="44" t="n">
        <v>3900.0918</v>
      </c>
    </row>
    <row r="1154">
      <c r="A1154" s="39">
        <f>_xlfn.XLOOKUP(17841,Trip[shape_id],Trip[shape_id],"Não encontrado")</f>
        <v/>
      </c>
      <c r="B1154" s="40" t="n">
        <v>-23.560383</v>
      </c>
      <c r="C1154" s="40" t="n">
        <v>-46.657654</v>
      </c>
      <c r="D1154" s="40" t="n">
        <v>91</v>
      </c>
      <c r="E1154" s="41" t="n">
        <v>3946.675</v>
      </c>
    </row>
    <row r="1155">
      <c r="A1155" s="42">
        <f>_xlfn.XLOOKUP(17841,Trip[shape_id],Trip[shape_id],"Não encontrado")</f>
        <v/>
      </c>
      <c r="B1155" s="43" t="n">
        <v>-23.560864</v>
      </c>
      <c r="C1155" s="43" t="n">
        <v>-46.657122</v>
      </c>
      <c r="D1155" s="43" t="n">
        <v>92</v>
      </c>
      <c r="E1155" s="44" t="n">
        <v>4022.7534</v>
      </c>
    </row>
    <row r="1156">
      <c r="A1156" s="39">
        <f>_xlfn.XLOOKUP(17841,Trip[shape_id],Trip[shape_id],"Não encontrado")</f>
        <v/>
      </c>
      <c r="B1156" s="40" t="n">
        <v>-23.56109</v>
      </c>
      <c r="C1156" s="40" t="n">
        <v>-46.656867</v>
      </c>
      <c r="D1156" s="40" t="n">
        <v>93</v>
      </c>
      <c r="E1156" s="41" t="n">
        <v>4058.8682</v>
      </c>
    </row>
    <row r="1157">
      <c r="A1157" s="42">
        <f>_xlfn.XLOOKUP(17841,Trip[shape_id],Trip[shape_id],"Não encontrado")</f>
        <v/>
      </c>
      <c r="B1157" s="43" t="n">
        <v>-23.561645</v>
      </c>
      <c r="C1157" s="43" t="n">
        <v>-46.65625</v>
      </c>
      <c r="D1157" s="43" t="n">
        <v>94</v>
      </c>
      <c r="E1157" s="44" t="n">
        <v>4146.8804</v>
      </c>
    </row>
    <row r="1158">
      <c r="A1158" s="39">
        <f>_xlfn.XLOOKUP(17841,Trip[shape_id],Trip[shape_id],"Não encontrado")</f>
        <v/>
      </c>
      <c r="B1158" s="40" t="n">
        <v>-23.561881</v>
      </c>
      <c r="C1158" s="40" t="n">
        <v>-46.655972</v>
      </c>
      <c r="D1158" s="40" t="n">
        <v>95</v>
      </c>
      <c r="E1158" s="41" t="n">
        <v>4185.4639</v>
      </c>
    </row>
    <row r="1159">
      <c r="A1159" s="42">
        <f>_xlfn.XLOOKUP(17841,Trip[shape_id],Trip[shape_id],"Não encontrado")</f>
        <v/>
      </c>
      <c r="B1159" s="43" t="n">
        <v>-23.562052</v>
      </c>
      <c r="C1159" s="43" t="n">
        <v>-46.655768</v>
      </c>
      <c r="D1159" s="43" t="n">
        <v>96</v>
      </c>
      <c r="E1159" s="44" t="n">
        <v>4213.6143</v>
      </c>
    </row>
    <row r="1160">
      <c r="A1160" s="39">
        <f>_xlfn.XLOOKUP(17841,Trip[shape_id],Trip[shape_id],"Não encontrado")</f>
        <v/>
      </c>
      <c r="B1160" s="40" t="n">
        <v>-23.562354</v>
      </c>
      <c r="C1160" s="40" t="n">
        <v>-46.655407</v>
      </c>
      <c r="D1160" s="40" t="n">
        <v>97</v>
      </c>
      <c r="E1160" s="41" t="n">
        <v>4263.3843</v>
      </c>
    </row>
    <row r="1161">
      <c r="A1161" s="42">
        <f>_xlfn.XLOOKUP(17841,Trip[shape_id],Trip[shape_id],"Não encontrado")</f>
        <v/>
      </c>
      <c r="B1161" s="43" t="n">
        <v>-23.562643</v>
      </c>
      <c r="C1161" s="43" t="n">
        <v>-46.655043</v>
      </c>
      <c r="D1161" s="43" t="n">
        <v>98</v>
      </c>
      <c r="E1161" s="44" t="n">
        <v>4312.4297</v>
      </c>
    </row>
    <row r="1162">
      <c r="A1162" s="39">
        <f>_xlfn.XLOOKUP(17841,Trip[shape_id],Trip[shape_id],"Não encontrado")</f>
        <v/>
      </c>
      <c r="B1162" s="40" t="n">
        <v>-23.562902</v>
      </c>
      <c r="C1162" s="40" t="n">
        <v>-46.654729</v>
      </c>
      <c r="D1162" s="40" t="n">
        <v>99</v>
      </c>
      <c r="E1162" s="41" t="n">
        <v>4355.4468</v>
      </c>
    </row>
    <row r="1163">
      <c r="A1163" s="42">
        <f>_xlfn.XLOOKUP(17841,Trip[shape_id],Trip[shape_id],"Não encontrado")</f>
        <v/>
      </c>
      <c r="B1163" s="43" t="n">
        <v>-23.563325</v>
      </c>
      <c r="C1163" s="43" t="n">
        <v>-46.654218</v>
      </c>
      <c r="D1163" s="43" t="n">
        <v>100</v>
      </c>
      <c r="E1163" s="44" t="n">
        <v>4425.5635</v>
      </c>
    </row>
    <row r="1164">
      <c r="A1164" s="39">
        <f>_xlfn.XLOOKUP(17841,Trip[shape_id],Trip[shape_id],"Não encontrado")</f>
        <v/>
      </c>
      <c r="B1164" s="40" t="n">
        <v>-23.563617</v>
      </c>
      <c r="C1164" s="40" t="n">
        <v>-46.653859</v>
      </c>
      <c r="D1164" s="40" t="n">
        <v>101</v>
      </c>
      <c r="E1164" s="41" t="n">
        <v>4474.4424</v>
      </c>
    </row>
    <row r="1165">
      <c r="A1165" s="42">
        <f>_xlfn.XLOOKUP(17841,Trip[shape_id],Trip[shape_id],"Não encontrado")</f>
        <v/>
      </c>
      <c r="B1165" s="43" t="n">
        <v>-23.56367</v>
      </c>
      <c r="C1165" s="43" t="n">
        <v>-46.653795</v>
      </c>
      <c r="D1165" s="43" t="n">
        <v>102</v>
      </c>
      <c r="E1165" s="44" t="n">
        <v>4483.2256</v>
      </c>
    </row>
    <row r="1166">
      <c r="A1166" s="39">
        <f>_xlfn.XLOOKUP(17841,Trip[shape_id],Trip[shape_id],"Não encontrado")</f>
        <v/>
      </c>
      <c r="B1166" s="40" t="n">
        <v>-23.563944</v>
      </c>
      <c r="C1166" s="40" t="n">
        <v>-46.653468</v>
      </c>
      <c r="D1166" s="40" t="n">
        <v>103</v>
      </c>
      <c r="E1166" s="41" t="n">
        <v>4528.3408</v>
      </c>
    </row>
    <row r="1167">
      <c r="A1167" s="42">
        <f>_xlfn.XLOOKUP(17841,Trip[shape_id],Trip[shape_id],"Não encontrado")</f>
        <v/>
      </c>
      <c r="B1167" s="43" t="n">
        <v>-23.56432</v>
      </c>
      <c r="C1167" s="43" t="n">
        <v>-46.653007</v>
      </c>
      <c r="D1167" s="43" t="n">
        <v>104</v>
      </c>
      <c r="E1167" s="44" t="n">
        <v>4591.1831</v>
      </c>
    </row>
    <row r="1168">
      <c r="A1168" s="39">
        <f>_xlfn.XLOOKUP(17841,Trip[shape_id],Trip[shape_id],"Não encontrado")</f>
        <v/>
      </c>
      <c r="B1168" s="40" t="n">
        <v>-23.564431</v>
      </c>
      <c r="C1168" s="40" t="n">
        <v>-46.652877</v>
      </c>
      <c r="D1168" s="40" t="n">
        <v>105</v>
      </c>
      <c r="E1168" s="41" t="n">
        <v>4609.2739</v>
      </c>
    </row>
    <row r="1169">
      <c r="A1169" s="42">
        <f>_xlfn.XLOOKUP(17841,Trip[shape_id],Trip[shape_id],"Não encontrado")</f>
        <v/>
      </c>
      <c r="B1169" s="43" t="n">
        <v>-23.564943</v>
      </c>
      <c r="C1169" s="43" t="n">
        <v>-46.652266</v>
      </c>
      <c r="D1169" s="43" t="n">
        <v>106</v>
      </c>
      <c r="E1169" s="44" t="n">
        <v>4693.5737</v>
      </c>
    </row>
    <row r="1170">
      <c r="A1170" s="39">
        <f>_xlfn.XLOOKUP(17841,Trip[shape_id],Trip[shape_id],"Não encontrado")</f>
        <v/>
      </c>
      <c r="B1170" s="40" t="n">
        <v>-23.566098</v>
      </c>
      <c r="C1170" s="40" t="n">
        <v>-46.650883</v>
      </c>
      <c r="D1170" s="40" t="n">
        <v>107</v>
      </c>
      <c r="E1170" s="41" t="n">
        <v>4884.0942</v>
      </c>
    </row>
    <row r="1171">
      <c r="A1171" s="42">
        <f>_xlfn.XLOOKUP(17841,Trip[shape_id],Trip[shape_id],"Não encontrado")</f>
        <v/>
      </c>
      <c r="B1171" s="43" t="n">
        <v>-23.566661</v>
      </c>
      <c r="C1171" s="43" t="n">
        <v>-46.650213</v>
      </c>
      <c r="D1171" s="43" t="n">
        <v>108</v>
      </c>
      <c r="E1171" s="44" t="n">
        <v>4976.6499</v>
      </c>
    </row>
    <row r="1172">
      <c r="A1172" s="39">
        <f>_xlfn.XLOOKUP(17841,Trip[shape_id],Trip[shape_id],"Não encontrado")</f>
        <v/>
      </c>
      <c r="B1172" s="40" t="n">
        <v>-23.567262</v>
      </c>
      <c r="C1172" s="40" t="n">
        <v>-46.649487</v>
      </c>
      <c r="D1172" s="40" t="n">
        <v>109</v>
      </c>
      <c r="E1172" s="41" t="n">
        <v>5076.2681</v>
      </c>
    </row>
    <row r="1173">
      <c r="A1173" s="42">
        <f>_xlfn.XLOOKUP(17841,Trip[shape_id],Trip[shape_id],"Não encontrado")</f>
        <v/>
      </c>
      <c r="B1173" s="43" t="n">
        <v>-23.567478</v>
      </c>
      <c r="C1173" s="43" t="n">
        <v>-46.649232</v>
      </c>
      <c r="D1173" s="43" t="n">
        <v>110</v>
      </c>
      <c r="E1173" s="44" t="n">
        <v>5111.623</v>
      </c>
    </row>
    <row r="1174">
      <c r="A1174" s="39">
        <f>_xlfn.XLOOKUP(17841,Trip[shape_id],Trip[shape_id],"Não encontrado")</f>
        <v/>
      </c>
      <c r="B1174" s="40" t="n">
        <v>-23.567615</v>
      </c>
      <c r="C1174" s="40" t="n">
        <v>-46.649057</v>
      </c>
      <c r="D1174" s="40" t="n">
        <v>111</v>
      </c>
      <c r="E1174" s="41" t="n">
        <v>5135.0625</v>
      </c>
    </row>
    <row r="1175">
      <c r="A1175" s="42">
        <f>_xlfn.XLOOKUP(17841,Trip[shape_id],Trip[shape_id],"Não encontrado")</f>
        <v/>
      </c>
      <c r="B1175" s="43" t="n">
        <v>-23.567698</v>
      </c>
      <c r="C1175" s="43" t="n">
        <v>-46.648947</v>
      </c>
      <c r="D1175" s="43" t="n">
        <v>112</v>
      </c>
      <c r="E1175" s="44" t="n">
        <v>5149.5747</v>
      </c>
    </row>
    <row r="1176">
      <c r="A1176" s="39">
        <f>_xlfn.XLOOKUP(17841,Trip[shape_id],Trip[shape_id],"Não encontrado")</f>
        <v/>
      </c>
      <c r="B1176" s="40" t="n">
        <v>-23.570064</v>
      </c>
      <c r="C1176" s="40" t="n">
        <v>-46.645829</v>
      </c>
      <c r="D1176" s="40" t="n">
        <v>113</v>
      </c>
      <c r="E1176" s="41" t="n">
        <v>5561.8682</v>
      </c>
    </row>
    <row r="1177">
      <c r="A1177" s="42">
        <f>_xlfn.XLOOKUP(17841,Trip[shape_id],Trip[shape_id],"Não encontrado")</f>
        <v/>
      </c>
      <c r="B1177" s="43" t="n">
        <v>-23.570797</v>
      </c>
      <c r="C1177" s="43" t="n">
        <v>-46.64489</v>
      </c>
      <c r="D1177" s="43" t="n">
        <v>114</v>
      </c>
      <c r="E1177" s="44" t="n">
        <v>5687.4844</v>
      </c>
    </row>
    <row r="1178">
      <c r="A1178" s="39">
        <f>_xlfn.XLOOKUP(17841,Trip[shape_id],Trip[shape_id],"Não encontrado")</f>
        <v/>
      </c>
      <c r="B1178" s="40" t="n">
        <v>-23.571088</v>
      </c>
      <c r="C1178" s="40" t="n">
        <v>-46.64451</v>
      </c>
      <c r="D1178" s="40" t="n">
        <v>115</v>
      </c>
      <c r="E1178" s="41" t="n">
        <v>5737.9185</v>
      </c>
    </row>
    <row r="1179">
      <c r="A1179" s="42">
        <f>_xlfn.XLOOKUP(17841,Trip[shape_id],Trip[shape_id],"Não encontrado")</f>
        <v/>
      </c>
      <c r="B1179" s="43" t="n">
        <v>-23.571239</v>
      </c>
      <c r="C1179" s="43" t="n">
        <v>-46.644333</v>
      </c>
      <c r="D1179" s="43" t="n">
        <v>116</v>
      </c>
      <c r="E1179" s="44" t="n">
        <v>5762.5391</v>
      </c>
    </row>
    <row r="1180">
      <c r="A1180" s="39">
        <f>_xlfn.XLOOKUP(17841,Trip[shape_id],Trip[shape_id],"Não encontrado")</f>
        <v/>
      </c>
      <c r="B1180" s="40" t="n">
        <v>-23.571331</v>
      </c>
      <c r="C1180" s="40" t="n">
        <v>-46.644231</v>
      </c>
      <c r="D1180" s="40" t="n">
        <v>117</v>
      </c>
      <c r="E1180" s="41" t="n">
        <v>5777.1079</v>
      </c>
    </row>
    <row r="1181">
      <c r="A1181" s="42">
        <f>_xlfn.XLOOKUP(17841,Trip[shape_id],Trip[shape_id],"Não encontrado")</f>
        <v/>
      </c>
      <c r="B1181" s="43" t="n">
        <v>-23.571527</v>
      </c>
      <c r="C1181" s="43" t="n">
        <v>-46.643998</v>
      </c>
      <c r="D1181" s="43" t="n">
        <v>118</v>
      </c>
      <c r="E1181" s="44" t="n">
        <v>5809.3101</v>
      </c>
    </row>
    <row r="1182">
      <c r="A1182" s="39">
        <f>_xlfn.XLOOKUP(17841,Trip[shape_id],Trip[shape_id],"Não encontrado")</f>
        <v/>
      </c>
      <c r="B1182" s="40" t="n">
        <v>-23.571931</v>
      </c>
      <c r="C1182" s="40" t="n">
        <v>-46.643474</v>
      </c>
      <c r="D1182" s="40" t="n">
        <v>119</v>
      </c>
      <c r="E1182" s="41" t="n">
        <v>5879.0488</v>
      </c>
    </row>
    <row r="1183">
      <c r="A1183" s="42">
        <f>_xlfn.XLOOKUP(17841,Trip[shape_id],Trip[shape_id],"Não encontrado")</f>
        <v/>
      </c>
      <c r="B1183" s="43" t="n">
        <v>-23.572178</v>
      </c>
      <c r="C1183" s="43" t="n">
        <v>-46.643125</v>
      </c>
      <c r="D1183" s="43" t="n">
        <v>120</v>
      </c>
      <c r="E1183" s="44" t="n">
        <v>5923.9673</v>
      </c>
    </row>
    <row r="1184">
      <c r="A1184" s="39">
        <f>_xlfn.XLOOKUP(17841,Trip[shape_id],Trip[shape_id],"Não encontrado")</f>
        <v/>
      </c>
      <c r="B1184" s="40" t="n">
        <v>-23.572402</v>
      </c>
      <c r="C1184" s="40" t="n">
        <v>-46.642837</v>
      </c>
      <c r="D1184" s="40" t="n">
        <v>121</v>
      </c>
      <c r="E1184" s="41" t="n">
        <v>5962.436</v>
      </c>
    </row>
    <row r="1185">
      <c r="A1185" s="42">
        <f>_xlfn.XLOOKUP(17841,Trip[shape_id],Trip[shape_id],"Não encontrado")</f>
        <v/>
      </c>
      <c r="B1185" s="43" t="n">
        <v>-23.572992</v>
      </c>
      <c r="C1185" s="43" t="n">
        <v>-46.642077</v>
      </c>
      <c r="D1185" s="43" t="n">
        <v>122</v>
      </c>
      <c r="E1185" s="44" t="n">
        <v>6063.8716</v>
      </c>
    </row>
    <row r="1186">
      <c r="A1186" s="39">
        <f>_xlfn.XLOOKUP(17841,Trip[shape_id],Trip[shape_id],"Não encontrado")</f>
        <v/>
      </c>
      <c r="B1186" s="40" t="n">
        <v>-23.573353</v>
      </c>
      <c r="C1186" s="40" t="n">
        <v>-46.64169</v>
      </c>
      <c r="D1186" s="40" t="n">
        <v>123</v>
      </c>
      <c r="E1186" s="41" t="n">
        <v>6120.0791</v>
      </c>
    </row>
    <row r="1187">
      <c r="A1187" s="42">
        <f>_xlfn.XLOOKUP(17841,Trip[shape_id],Trip[shape_id],"Não encontrado")</f>
        <v/>
      </c>
      <c r="B1187" s="43" t="n">
        <v>-23.573764</v>
      </c>
      <c r="C1187" s="43" t="n">
        <v>-46.641323</v>
      </c>
      <c r="D1187" s="43" t="n">
        <v>124</v>
      </c>
      <c r="E1187" s="44" t="n">
        <v>6179.0332</v>
      </c>
    </row>
    <row r="1188">
      <c r="A1188" s="39">
        <f>_xlfn.XLOOKUP(17841,Trip[shape_id],Trip[shape_id],"Não encontrado")</f>
        <v/>
      </c>
      <c r="B1188" s="40" t="n">
        <v>-23.573985</v>
      </c>
      <c r="C1188" s="40" t="n">
        <v>-46.641196</v>
      </c>
      <c r="D1188" s="40" t="n">
        <v>125</v>
      </c>
      <c r="E1188" s="41" t="n">
        <v>6206.731</v>
      </c>
    </row>
    <row r="1189">
      <c r="A1189" s="42">
        <f>_xlfn.XLOOKUP(17841,Trip[shape_id],Trip[shape_id],"Não encontrado")</f>
        <v/>
      </c>
      <c r="B1189" s="43" t="n">
        <v>-23.574155</v>
      </c>
      <c r="C1189" s="43" t="n">
        <v>-46.641095</v>
      </c>
      <c r="D1189" s="43" t="n">
        <v>126</v>
      </c>
      <c r="E1189" s="44" t="n">
        <v>6228.1968</v>
      </c>
    </row>
    <row r="1190">
      <c r="A1190" s="39">
        <f>_xlfn.XLOOKUP(17841,Trip[shape_id],Trip[shape_id],"Não encontrado")</f>
        <v/>
      </c>
      <c r="B1190" s="40" t="n">
        <v>-23.574274</v>
      </c>
      <c r="C1190" s="40" t="n">
        <v>-46.641042</v>
      </c>
      <c r="D1190" s="40" t="n">
        <v>127</v>
      </c>
      <c r="E1190" s="41" t="n">
        <v>6242.4438</v>
      </c>
    </row>
    <row r="1191">
      <c r="A1191" s="42">
        <f>_xlfn.XLOOKUP(17841,Trip[shape_id],Trip[shape_id],"Não encontrado")</f>
        <v/>
      </c>
      <c r="B1191" s="43" t="n">
        <v>-23.574587</v>
      </c>
      <c r="C1191" s="43" t="n">
        <v>-46.640921</v>
      </c>
      <c r="D1191" s="43" t="n">
        <v>128</v>
      </c>
      <c r="E1191" s="44" t="n">
        <v>6279.2441</v>
      </c>
    </row>
    <row r="1192">
      <c r="A1192" s="39">
        <f>_xlfn.XLOOKUP(17841,Trip[shape_id],Trip[shape_id],"Não encontrado")</f>
        <v/>
      </c>
      <c r="B1192" s="40" t="n">
        <v>-23.574794</v>
      </c>
      <c r="C1192" s="40" t="n">
        <v>-46.64089</v>
      </c>
      <c r="D1192" s="40" t="n">
        <v>129</v>
      </c>
      <c r="E1192" s="41" t="n">
        <v>6302.3872</v>
      </c>
    </row>
    <row r="1193">
      <c r="A1193" s="42">
        <f>_xlfn.XLOOKUP(17841,Trip[shape_id],Trip[shape_id],"Não encontrado")</f>
        <v/>
      </c>
      <c r="B1193" s="43" t="n">
        <v>-23.574996</v>
      </c>
      <c r="C1193" s="43" t="n">
        <v>-46.64086</v>
      </c>
      <c r="D1193" s="43" t="n">
        <v>130</v>
      </c>
      <c r="E1193" s="44" t="n">
        <v>6324.9678</v>
      </c>
    </row>
    <row r="1194">
      <c r="A1194" s="39">
        <f>_xlfn.XLOOKUP(17841,Trip[shape_id],Trip[shape_id],"Não encontrado")</f>
        <v/>
      </c>
      <c r="B1194" s="40" t="n">
        <v>-23.575377</v>
      </c>
      <c r="C1194" s="40" t="n">
        <v>-46.640805</v>
      </c>
      <c r="D1194" s="40" t="n">
        <v>131</v>
      </c>
      <c r="E1194" s="41" t="n">
        <v>6367.5361</v>
      </c>
    </row>
    <row r="1195">
      <c r="A1195" s="42">
        <f>_xlfn.XLOOKUP(17841,Trip[shape_id],Trip[shape_id],"Não encontrado")</f>
        <v/>
      </c>
      <c r="B1195" s="43" t="n">
        <v>-23.575445</v>
      </c>
      <c r="C1195" s="43" t="n">
        <v>-46.640747</v>
      </c>
      <c r="D1195" s="43" t="n">
        <v>132</v>
      </c>
      <c r="E1195" s="44" t="n">
        <v>6377.8862</v>
      </c>
    </row>
    <row r="1196">
      <c r="A1196" s="39">
        <f>_xlfn.XLOOKUP(17841,Trip[shape_id],Trip[shape_id],"Não encontrado")</f>
        <v/>
      </c>
      <c r="B1196" s="40" t="n">
        <v>-23.576141</v>
      </c>
      <c r="C1196" s="40" t="n">
        <v>-46.640777</v>
      </c>
      <c r="D1196" s="40" t="n">
        <v>133</v>
      </c>
      <c r="E1196" s="41" t="n">
        <v>6477.5518</v>
      </c>
    </row>
    <row r="1197">
      <c r="A1197" s="42">
        <f>_xlfn.XLOOKUP(17841,Trip[shape_id],Trip[shape_id],"Não encontrado")</f>
        <v/>
      </c>
      <c r="B1197" s="43" t="n">
        <v>-23.576351</v>
      </c>
      <c r="C1197" s="43" t="n">
        <v>-46.64079</v>
      </c>
      <c r="D1197" s="43" t="n">
        <v>134</v>
      </c>
      <c r="E1197" s="44" t="n">
        <v>6488.3647</v>
      </c>
    </row>
    <row r="1198">
      <c r="A1198" s="39">
        <f>_xlfn.XLOOKUP(17841,Trip[shape_id],Trip[shape_id],"Não encontrado")</f>
        <v/>
      </c>
      <c r="B1198" s="40" t="n">
        <v>-23.576448</v>
      </c>
      <c r="C1198" s="40" t="n">
        <v>-46.640802</v>
      </c>
      <c r="D1198" s="40" t="n">
        <v>135</v>
      </c>
      <c r="E1198" s="41" t="n">
        <v>6505.2686</v>
      </c>
    </row>
    <row r="1199">
      <c r="A1199" s="42">
        <f>_xlfn.XLOOKUP(17841,Trip[shape_id],Trip[shape_id],"Não encontrado")</f>
        <v/>
      </c>
      <c r="B1199" s="43" t="n">
        <v>-23.5766</v>
      </c>
      <c r="C1199" s="43" t="n">
        <v>-46.640817</v>
      </c>
      <c r="D1199" s="43" t="n">
        <v>136</v>
      </c>
      <c r="E1199" s="44" t="n">
        <v>6522.605</v>
      </c>
    </row>
    <row r="1200">
      <c r="A1200" s="39">
        <f>_xlfn.XLOOKUP(17841,Trip[shape_id],Trip[shape_id],"Não encontrado")</f>
        <v/>
      </c>
      <c r="B1200" s="40" t="n">
        <v>-23.576756</v>
      </c>
      <c r="C1200" s="40" t="n">
        <v>-46.640831</v>
      </c>
      <c r="D1200" s="40" t="n">
        <v>137</v>
      </c>
      <c r="E1200" s="41" t="n">
        <v>6531.1938</v>
      </c>
    </row>
    <row r="1201">
      <c r="A1201" s="42">
        <f>_xlfn.XLOOKUP(17841,Trip[shape_id],Trip[shape_id],"Não encontrado")</f>
        <v/>
      </c>
      <c r="B1201" s="43" t="n">
        <v>-23.576833</v>
      </c>
      <c r="C1201" s="43" t="n">
        <v>-46.640841</v>
      </c>
      <c r="D1201" s="43" t="n">
        <v>138</v>
      </c>
      <c r="E1201" s="44" t="n">
        <v>6573.3672</v>
      </c>
    </row>
    <row r="1202">
      <c r="A1202" s="39">
        <f>_xlfn.XLOOKUP(17841,Trip[shape_id],Trip[shape_id],"Não encontrado")</f>
        <v/>
      </c>
      <c r="B1202" s="40" t="n">
        <v>-23.577212</v>
      </c>
      <c r="C1202" s="40" t="n">
        <v>-46.640801</v>
      </c>
      <c r="D1202" s="40" t="n">
        <v>139</v>
      </c>
      <c r="E1202" s="41" t="n">
        <v>6598.8574</v>
      </c>
    </row>
    <row r="1203">
      <c r="A1203" s="42">
        <f>_xlfn.XLOOKUP(17841,Trip[shape_id],Trip[shape_id],"Não encontrado")</f>
        <v/>
      </c>
      <c r="B1203" s="43" t="n">
        <v>-23.577441</v>
      </c>
      <c r="C1203" s="43" t="n">
        <v>-46.640776</v>
      </c>
      <c r="D1203" s="43" t="n">
        <v>140</v>
      </c>
      <c r="E1203" s="44" t="n">
        <v>6626.3062</v>
      </c>
    </row>
    <row r="1204">
      <c r="A1204" s="39">
        <f>_xlfn.XLOOKUP(17841,Trip[shape_id],Trip[shape_id],"Não encontrado")</f>
        <v/>
      </c>
      <c r="B1204" s="40" t="n">
        <v>-23.577679</v>
      </c>
      <c r="C1204" s="40" t="n">
        <v>-46.640701</v>
      </c>
      <c r="D1204" s="40" t="n">
        <v>141</v>
      </c>
      <c r="E1204" s="41" t="n">
        <v>6652.356</v>
      </c>
    </row>
    <row r="1205">
      <c r="A1205" s="42">
        <f>_xlfn.XLOOKUP(17841,Trip[shape_id],Trip[shape_id],"Não encontrado")</f>
        <v/>
      </c>
      <c r="B1205" s="43" t="n">
        <v>-23.577895</v>
      </c>
      <c r="C1205" s="43" t="n">
        <v>-46.6406</v>
      </c>
      <c r="D1205" s="43" t="n">
        <v>142</v>
      </c>
      <c r="E1205" s="44" t="n">
        <v>6679.8232</v>
      </c>
    </row>
    <row r="1206">
      <c r="A1206" s="39">
        <f>_xlfn.XLOOKUP(17841,Trip[shape_id],Trip[shape_id],"Não encontrado")</f>
        <v/>
      </c>
      <c r="B1206" s="40" t="n">
        <v>-23.578109</v>
      </c>
      <c r="C1206" s="40" t="n">
        <v>-46.640464</v>
      </c>
      <c r="D1206" s="40" t="n">
        <v>143</v>
      </c>
      <c r="E1206" s="41" t="n">
        <v>6782.375</v>
      </c>
    </row>
    <row r="1207">
      <c r="A1207" s="42">
        <f>_xlfn.XLOOKUP(17841,Trip[shape_id],Trip[shape_id],"Não encontrado")</f>
        <v/>
      </c>
      <c r="B1207" s="43" t="n">
        <v>-23.57891</v>
      </c>
      <c r="C1207" s="43" t="n">
        <v>-46.63996</v>
      </c>
      <c r="D1207" s="43" t="n">
        <v>144</v>
      </c>
      <c r="E1207" s="44" t="n">
        <v>6830.5171</v>
      </c>
    </row>
    <row r="1208">
      <c r="A1208" s="39">
        <f>_xlfn.XLOOKUP(17841,Trip[shape_id],Trip[shape_id],"Não encontrado")</f>
        <v/>
      </c>
      <c r="B1208" s="40" t="n">
        <v>-23.57929</v>
      </c>
      <c r="C1208" s="40" t="n">
        <v>-46.639731</v>
      </c>
      <c r="D1208" s="40" t="n">
        <v>145</v>
      </c>
      <c r="E1208" s="41" t="n">
        <v>6856.9009</v>
      </c>
    </row>
    <row r="1209">
      <c r="A1209" s="42">
        <f>_xlfn.XLOOKUP(17841,Trip[shape_id],Trip[shape_id],"Não encontrado")</f>
        <v/>
      </c>
      <c r="B1209" s="43" t="n">
        <v>-23.579498</v>
      </c>
      <c r="C1209" s="43" t="n">
        <v>-46.639605</v>
      </c>
      <c r="D1209" s="43" t="n">
        <v>146</v>
      </c>
      <c r="E1209" s="44" t="n">
        <v>6891.2393</v>
      </c>
    </row>
    <row r="1210">
      <c r="A1210" s="39">
        <f>_xlfn.XLOOKUP(17841,Trip[shape_id],Trip[shape_id],"Não encontrado")</f>
        <v/>
      </c>
      <c r="B1210" s="40" t="n">
        <v>-23.579765</v>
      </c>
      <c r="C1210" s="40" t="n">
        <v>-46.639434</v>
      </c>
      <c r="D1210" s="40" t="n">
        <v>147</v>
      </c>
      <c r="E1210" s="41" t="n">
        <v>6942.5698</v>
      </c>
    </row>
    <row r="1211">
      <c r="A1211" s="42">
        <f>_xlfn.XLOOKUP(17841,Trip[shape_id],Trip[shape_id],"Não encontrado")</f>
        <v/>
      </c>
      <c r="B1211" s="43" t="n">
        <v>-23.580165</v>
      </c>
      <c r="C1211" s="43" t="n">
        <v>-46.63918</v>
      </c>
      <c r="D1211" s="43" t="n">
        <v>148</v>
      </c>
      <c r="E1211" s="44" t="n">
        <v>6952.2788</v>
      </c>
    </row>
    <row r="1212">
      <c r="A1212" s="39">
        <f>_xlfn.XLOOKUP(17841,Trip[shape_id],Trip[shape_id],"Não encontrado")</f>
        <v/>
      </c>
      <c r="B1212" s="40" t="n">
        <v>-23.580239</v>
      </c>
      <c r="C1212" s="40" t="n">
        <v>-46.639129</v>
      </c>
      <c r="D1212" s="40" t="n">
        <v>149</v>
      </c>
      <c r="E1212" s="41" t="n">
        <v>6986.1406</v>
      </c>
    </row>
    <row r="1213">
      <c r="A1213" s="42">
        <f>_xlfn.XLOOKUP(17841,Trip[shape_id],Trip[shape_id],"Não encontrado")</f>
        <v/>
      </c>
      <c r="B1213" s="43" t="n">
        <v>-23.580497</v>
      </c>
      <c r="C1213" s="43" t="n">
        <v>-46.638951</v>
      </c>
      <c r="D1213" s="43" t="n">
        <v>150</v>
      </c>
      <c r="E1213" s="44" t="n">
        <v>7047.1001</v>
      </c>
    </row>
    <row r="1214">
      <c r="A1214" s="39">
        <f>_xlfn.XLOOKUP(17841,Trip[shape_id],Trip[shape_id],"Não encontrado")</f>
        <v/>
      </c>
      <c r="B1214" s="40" t="n">
        <v>-23.580968</v>
      </c>
      <c r="C1214" s="40" t="n">
        <v>-46.638642</v>
      </c>
      <c r="D1214" s="40" t="n">
        <v>151</v>
      </c>
      <c r="E1214" s="41" t="n">
        <v>7056.4497</v>
      </c>
    </row>
    <row r="1215">
      <c r="A1215" s="42">
        <f>_xlfn.XLOOKUP(17841,Trip[shape_id],Trip[shape_id],"Não encontrado")</f>
        <v/>
      </c>
      <c r="B1215" s="43" t="n">
        <v>-23.581041</v>
      </c>
      <c r="C1215" s="43" t="n">
        <v>-46.638596</v>
      </c>
      <c r="D1215" s="43" t="n">
        <v>152</v>
      </c>
      <c r="E1215" s="44" t="n">
        <v>7073.1392</v>
      </c>
    </row>
    <row r="1216">
      <c r="A1216" s="39">
        <f>_xlfn.XLOOKUP(17841,Trip[shape_id],Trip[shape_id],"Não encontrado")</f>
        <v/>
      </c>
      <c r="B1216" s="40" t="n">
        <v>-23.581168</v>
      </c>
      <c r="C1216" s="40" t="n">
        <v>-46.638508</v>
      </c>
      <c r="D1216" s="40" t="n">
        <v>153</v>
      </c>
      <c r="E1216" s="41" t="n">
        <v>7073.1392</v>
      </c>
    </row>
    <row r="1217">
      <c r="A1217" s="42">
        <f>_xlfn.XLOOKUP(17841,Trip[shape_id],Trip[shape_id],"Não encontrado")</f>
        <v/>
      </c>
      <c r="B1217" s="43" t="n">
        <v>-23.581191</v>
      </c>
      <c r="C1217" s="43" t="n">
        <v>-46.638478</v>
      </c>
      <c r="D1217" s="43" t="n">
        <v>154</v>
      </c>
      <c r="E1217" s="44" t="n">
        <v>7084.2881</v>
      </c>
    </row>
    <row r="1218">
      <c r="A1218" s="39">
        <f>_xlfn.XLOOKUP(17841,Trip[shape_id],Trip[shape_id],"Não encontrado")</f>
        <v/>
      </c>
      <c r="B1218" s="40" t="n">
        <v>-23.581254</v>
      </c>
      <c r="C1218" s="40" t="n">
        <v>-46.638494</v>
      </c>
      <c r="D1218" s="40" t="n">
        <v>155</v>
      </c>
      <c r="E1218" s="41" t="n">
        <v>7084.2881</v>
      </c>
    </row>
    <row r="1219">
      <c r="A1219" s="42">
        <f>_xlfn.XLOOKUP(17841,Trip[shape_id],Trip[shape_id],"Não encontrado")</f>
        <v/>
      </c>
      <c r="B1219" s="43" t="n">
        <v>-23.581289</v>
      </c>
      <c r="C1219" s="43" t="n">
        <v>-46.638419</v>
      </c>
      <c r="D1219" s="43" t="n">
        <v>156</v>
      </c>
      <c r="E1219" s="44" t="n">
        <v>7107.7163</v>
      </c>
    </row>
    <row r="1220">
      <c r="A1220" s="39">
        <f>_xlfn.XLOOKUP(17841,Trip[shape_id],Trip[shape_id],"Não encontrado")</f>
        <v/>
      </c>
      <c r="B1220" s="40" t="n">
        <v>-23.581406</v>
      </c>
      <c r="C1220" s="40" t="n">
        <v>-46.638348</v>
      </c>
      <c r="D1220" s="40" t="n">
        <v>157</v>
      </c>
      <c r="E1220" s="41" t="n">
        <v>7115.8457</v>
      </c>
    </row>
    <row r="1221">
      <c r="A1221" s="42">
        <f>_xlfn.XLOOKUP(17841,Trip[shape_id],Trip[shape_id],"Não encontrado")</f>
        <v/>
      </c>
      <c r="B1221" s="43" t="n">
        <v>-23.58147</v>
      </c>
      <c r="C1221" s="43" t="n">
        <v>-46.638309</v>
      </c>
      <c r="D1221" s="43" t="n">
        <v>158</v>
      </c>
      <c r="E1221" s="44" t="n">
        <v>7130.8867</v>
      </c>
    </row>
    <row r="1222">
      <c r="A1222" s="39">
        <f>_xlfn.XLOOKUP(17841,Trip[shape_id],Trip[shape_id],"Não encontrado")</f>
        <v/>
      </c>
      <c r="B1222" s="40" t="n">
        <v>-23.581589</v>
      </c>
      <c r="C1222" s="40" t="n">
        <v>-46.638238</v>
      </c>
      <c r="D1222" s="40" t="n">
        <v>159</v>
      </c>
      <c r="E1222" s="41" t="n">
        <v>7153.1338</v>
      </c>
    </row>
    <row r="1223">
      <c r="A1223" s="42">
        <f>_xlfn.XLOOKUP(17841,Trip[shape_id],Trip[shape_id],"Não encontrado")</f>
        <v/>
      </c>
      <c r="B1223" s="43" t="n">
        <v>-23.581764</v>
      </c>
      <c r="C1223" s="43" t="n">
        <v>-46.638131</v>
      </c>
      <c r="D1223" s="43" t="n">
        <v>160</v>
      </c>
      <c r="E1223" s="44" t="n">
        <v>7165.3535</v>
      </c>
    </row>
    <row r="1224">
      <c r="A1224" s="39">
        <f>_xlfn.XLOOKUP(17841,Trip[shape_id],Trip[shape_id],"Não encontrado")</f>
        <v/>
      </c>
      <c r="B1224" s="40" t="n">
        <v>-23.58186</v>
      </c>
      <c r="C1224" s="40" t="n">
        <v>-46.638072</v>
      </c>
      <c r="D1224" s="40" t="n">
        <v>161</v>
      </c>
      <c r="E1224" s="41" t="n">
        <v>7207.8032</v>
      </c>
    </row>
    <row r="1225">
      <c r="A1225" s="42">
        <f>_xlfn.XLOOKUP(17841,Trip[shape_id],Trip[shape_id],"Não encontrado")</f>
        <v/>
      </c>
      <c r="B1225" s="43" t="n">
        <v>-23.582194</v>
      </c>
      <c r="C1225" s="43" t="n">
        <v>-46.637868</v>
      </c>
      <c r="D1225" s="43" t="n">
        <v>162</v>
      </c>
      <c r="E1225" s="44" t="n">
        <v>7211.9927</v>
      </c>
    </row>
    <row r="1226">
      <c r="A1226" s="39">
        <f>_xlfn.XLOOKUP(17841,Trip[shape_id],Trip[shape_id],"Não encontrado")</f>
        <v/>
      </c>
      <c r="B1226" s="40" t="n">
        <v>-23.582228</v>
      </c>
      <c r="C1226" s="40" t="n">
        <v>-46.63785</v>
      </c>
      <c r="D1226" s="40" t="n">
        <v>163</v>
      </c>
      <c r="E1226" s="41" t="n">
        <v>7211.9927</v>
      </c>
    </row>
    <row r="1227">
      <c r="A1227" s="42">
        <f>_xlfn.XLOOKUP(17841,Trip[shape_id],Trip[shape_id],"Não encontrado")</f>
        <v/>
      </c>
      <c r="B1227" s="43" t="n">
        <v>-23.582246</v>
      </c>
      <c r="C1227" s="43" t="n">
        <v>-46.637841</v>
      </c>
      <c r="D1227" s="43" t="n">
        <v>164</v>
      </c>
      <c r="E1227" s="44" t="n">
        <v>7256.957</v>
      </c>
    </row>
    <row r="1228">
      <c r="A1228" s="39">
        <f>_xlfn.XLOOKUP(17841,Trip[shape_id],Trip[shape_id],"Não encontrado")</f>
        <v/>
      </c>
      <c r="B1228" s="40" t="n">
        <v>-23.582578</v>
      </c>
      <c r="C1228" s="40" t="n">
        <v>-46.637627</v>
      </c>
      <c r="D1228" s="40" t="n">
        <v>165</v>
      </c>
      <c r="E1228" s="41" t="n">
        <v>7259.2612</v>
      </c>
    </row>
    <row r="1229">
      <c r="A1229" s="42">
        <f>_xlfn.XLOOKUP(17841,Trip[shape_id],Trip[shape_id],"Não encontrado")</f>
        <v/>
      </c>
      <c r="B1229" s="43" t="n">
        <v>-23.582595</v>
      </c>
      <c r="C1229" s="43" t="n">
        <v>-46.637614</v>
      </c>
      <c r="D1229" s="43" t="n">
        <v>166</v>
      </c>
      <c r="E1229" s="44" t="n">
        <v>7288.002</v>
      </c>
    </row>
    <row r="1230">
      <c r="A1230" s="39">
        <f>_xlfn.XLOOKUP(17841,Trip[shape_id],Trip[shape_id],"Não encontrado")</f>
        <v/>
      </c>
      <c r="B1230" s="40" t="n">
        <v>-23.582818</v>
      </c>
      <c r="C1230" s="40" t="n">
        <v>-46.63747</v>
      </c>
      <c r="D1230" s="40" t="n">
        <v>167</v>
      </c>
      <c r="E1230" s="41" t="n">
        <v>7288.002</v>
      </c>
    </row>
    <row r="1231">
      <c r="A1231" s="42">
        <f>_xlfn.XLOOKUP(17841,Trip[shape_id],Trip[shape_id],"Não encontrado")</f>
        <v/>
      </c>
      <c r="B1231" s="43" t="n">
        <v>-23.583111</v>
      </c>
      <c r="C1231" s="43" t="n">
        <v>-46.637283</v>
      </c>
      <c r="D1231" s="43" t="n">
        <v>168</v>
      </c>
      <c r="E1231" s="44" t="n">
        <v>7348.5947</v>
      </c>
    </row>
    <row r="1232">
      <c r="A1232" s="39">
        <f>_xlfn.XLOOKUP(17841,Trip[shape_id],Trip[shape_id],"Não encontrado")</f>
        <v/>
      </c>
      <c r="B1232" s="40" t="n">
        <v>-23.583289</v>
      </c>
      <c r="C1232" s="40" t="n">
        <v>-46.637168</v>
      </c>
      <c r="D1232" s="40" t="n">
        <v>169</v>
      </c>
      <c r="E1232" s="41" t="n">
        <v>7348.5947</v>
      </c>
    </row>
    <row r="1233">
      <c r="A1233" s="42">
        <f>_xlfn.XLOOKUP(17841,Trip[shape_id],Trip[shape_id],"Não encontrado")</f>
        <v/>
      </c>
      <c r="B1233" s="43" t="n">
        <v>-23.583374</v>
      </c>
      <c r="C1233" s="43" t="n">
        <v>-46.637115</v>
      </c>
      <c r="D1233" s="43" t="n">
        <v>170</v>
      </c>
      <c r="E1233" s="44" t="n">
        <v>7391.061</v>
      </c>
    </row>
    <row r="1234">
      <c r="A1234" s="39">
        <f>_xlfn.XLOOKUP(17841,Trip[shape_id],Trip[shape_id],"Não encontrado")</f>
        <v/>
      </c>
      <c r="B1234" s="40" t="n">
        <v>-23.58362</v>
      </c>
      <c r="C1234" s="40" t="n">
        <v>-46.636958</v>
      </c>
      <c r="D1234" s="40" t="n">
        <v>171</v>
      </c>
      <c r="E1234" s="41" t="n">
        <v>7435.4253</v>
      </c>
    </row>
    <row r="1235">
      <c r="A1235" s="42">
        <f>_xlfn.XLOOKUP(17841,Trip[shape_id],Trip[shape_id],"Não encontrado")</f>
        <v/>
      </c>
      <c r="B1235" s="43" t="n">
        <v>-23.583966</v>
      </c>
      <c r="C1235" s="43" t="n">
        <v>-46.636739</v>
      </c>
      <c r="D1235" s="43" t="n">
        <v>172</v>
      </c>
      <c r="E1235" s="44" t="n">
        <v>7486.3657</v>
      </c>
    </row>
    <row r="1236">
      <c r="A1236" s="39">
        <f>_xlfn.XLOOKUP(17841,Trip[shape_id],Trip[shape_id],"Não encontrado")</f>
        <v/>
      </c>
      <c r="B1236" s="40" t="n">
        <v>-23.584363</v>
      </c>
      <c r="C1236" s="40" t="n">
        <v>-46.636487</v>
      </c>
      <c r="D1236" s="40" t="n">
        <v>173</v>
      </c>
      <c r="E1236" s="41" t="n">
        <v>7518.7471</v>
      </c>
    </row>
    <row r="1237">
      <c r="A1237" s="42">
        <f>_xlfn.XLOOKUP(17841,Trip[shape_id],Trip[shape_id],"Não encontrado")</f>
        <v/>
      </c>
      <c r="B1237" s="43" t="n">
        <v>-23.584616</v>
      </c>
      <c r="C1237" s="43" t="n">
        <v>-46.636328</v>
      </c>
      <c r="D1237" s="43" t="n">
        <v>174</v>
      </c>
      <c r="E1237" s="44" t="n">
        <v>7551.7681</v>
      </c>
    </row>
    <row r="1238">
      <c r="A1238" s="39">
        <f>_xlfn.XLOOKUP(17841,Trip[shape_id],Trip[shape_id],"Não encontrado")</f>
        <v/>
      </c>
      <c r="B1238" s="40" t="n">
        <v>-23.584873</v>
      </c>
      <c r="C1238" s="40" t="n">
        <v>-46.636164</v>
      </c>
      <c r="D1238" s="40" t="n">
        <v>175</v>
      </c>
      <c r="E1238" s="41" t="n">
        <v>7600.958</v>
      </c>
    </row>
    <row r="1239">
      <c r="A1239" s="42">
        <f>_xlfn.XLOOKUP(17841,Trip[shape_id],Trip[shape_id],"Não encontrado")</f>
        <v/>
      </c>
      <c r="B1239" s="43" t="n">
        <v>-23.585256</v>
      </c>
      <c r="C1239" s="43" t="n">
        <v>-46.63592</v>
      </c>
      <c r="D1239" s="43" t="n">
        <v>176</v>
      </c>
      <c r="E1239" s="44" t="n">
        <v>7649.4634</v>
      </c>
    </row>
    <row r="1240">
      <c r="A1240" s="39">
        <f>_xlfn.XLOOKUP(17841,Trip[shape_id],Trip[shape_id],"Não encontrado")</f>
        <v/>
      </c>
      <c r="B1240" s="40" t="n">
        <v>-23.585634</v>
      </c>
      <c r="C1240" s="40" t="n">
        <v>-46.63568</v>
      </c>
      <c r="D1240" s="40" t="n">
        <v>177</v>
      </c>
      <c r="E1240" s="41" t="n">
        <v>7680.8296</v>
      </c>
    </row>
    <row r="1241">
      <c r="A1241" s="42">
        <f>_xlfn.XLOOKUP(17841,Trip[shape_id],Trip[shape_id],"Não encontrado")</f>
        <v/>
      </c>
      <c r="B1241" s="43" t="n">
        <v>-23.585878</v>
      </c>
      <c r="C1241" s="43" t="n">
        <v>-46.635524</v>
      </c>
      <c r="D1241" s="43" t="n">
        <v>178</v>
      </c>
      <c r="E1241" s="44" t="n">
        <v>7718.6172</v>
      </c>
    </row>
    <row r="1242">
      <c r="A1242" s="39">
        <f>_xlfn.XLOOKUP(17841,Trip[shape_id],Trip[shape_id],"Não encontrado")</f>
        <v/>
      </c>
      <c r="B1242" s="40" t="n">
        <v>-23.586173</v>
      </c>
      <c r="C1242" s="40" t="n">
        <v>-46.635338</v>
      </c>
      <c r="D1242" s="40" t="n">
        <v>179</v>
      </c>
      <c r="E1242" s="41" t="n">
        <v>7726.1621</v>
      </c>
    </row>
    <row r="1243">
      <c r="A1243" s="42">
        <f>_xlfn.XLOOKUP(17841,Trip[shape_id],Trip[shape_id],"Não encontrado")</f>
        <v/>
      </c>
      <c r="B1243" s="43" t="n">
        <v>-23.586233</v>
      </c>
      <c r="C1243" s="43" t="n">
        <v>-46.635303</v>
      </c>
      <c r="D1243" s="43" t="n">
        <v>180</v>
      </c>
      <c r="E1243" s="44" t="n">
        <v>7756.9395</v>
      </c>
    </row>
    <row r="1244">
      <c r="A1244" s="39">
        <f>_xlfn.XLOOKUP(17841,Trip[shape_id],Trip[shape_id],"Não encontrado")</f>
        <v/>
      </c>
      <c r="B1244" s="40" t="n">
        <v>-23.586473</v>
      </c>
      <c r="C1244" s="40" t="n">
        <v>-46.635151</v>
      </c>
      <c r="D1244" s="40" t="n">
        <v>181</v>
      </c>
      <c r="E1244" s="41" t="n">
        <v>7766.9194</v>
      </c>
    </row>
    <row r="1245">
      <c r="A1245" s="42">
        <f>_xlfn.XLOOKUP(17841,Trip[shape_id],Trip[shape_id],"Não encontrado")</f>
        <v/>
      </c>
      <c r="B1245" s="43" t="n">
        <v>-23.586553</v>
      </c>
      <c r="C1245" s="43" t="n">
        <v>-46.635106</v>
      </c>
      <c r="D1245" s="43" t="n">
        <v>182</v>
      </c>
      <c r="E1245" s="44" t="n">
        <v>7783.4272</v>
      </c>
    </row>
    <row r="1246">
      <c r="A1246" s="39">
        <f>_xlfn.XLOOKUP(17841,Trip[shape_id],Trip[shape_id],"Não encontrado")</f>
        <v/>
      </c>
      <c r="B1246" s="40" t="n">
        <v>-23.586686</v>
      </c>
      <c r="C1246" s="40" t="n">
        <v>-46.635033</v>
      </c>
      <c r="D1246" s="40" t="n">
        <v>183</v>
      </c>
      <c r="E1246" s="41" t="n">
        <v>7794.1465</v>
      </c>
    </row>
    <row r="1247">
      <c r="A1247" s="42">
        <f>_xlfn.XLOOKUP(17841,Trip[shape_id],Trip[shape_id],"Não encontrado")</f>
        <v/>
      </c>
      <c r="B1247" s="43" t="n">
        <v>-23.586773</v>
      </c>
      <c r="C1247" s="43" t="n">
        <v>-46.634987</v>
      </c>
      <c r="D1247" s="43" t="n">
        <v>184</v>
      </c>
      <c r="E1247" s="44" t="n">
        <v>7800.3271</v>
      </c>
    </row>
    <row r="1248">
      <c r="A1248" s="39">
        <f>_xlfn.XLOOKUP(17841,Trip[shape_id],Trip[shape_id],"Não encontrado")</f>
        <v/>
      </c>
      <c r="B1248" s="40" t="n">
        <v>-23.586825</v>
      </c>
      <c r="C1248" s="40" t="n">
        <v>-46.634965</v>
      </c>
      <c r="D1248" s="40" t="n">
        <v>185</v>
      </c>
      <c r="E1248" s="41" t="n">
        <v>7806.2646</v>
      </c>
    </row>
    <row r="1249">
      <c r="A1249" s="42">
        <f>_xlfn.XLOOKUP(17841,Trip[shape_id],Trip[shape_id],"Não encontrado")</f>
        <v/>
      </c>
      <c r="B1249" s="43" t="n">
        <v>-23.586875</v>
      </c>
      <c r="C1249" s="43" t="n">
        <v>-46.634944</v>
      </c>
      <c r="D1249" s="43" t="n">
        <v>186</v>
      </c>
      <c r="E1249" s="44" t="n">
        <v>7810.7983</v>
      </c>
    </row>
    <row r="1250">
      <c r="A1250" s="39">
        <f>_xlfn.XLOOKUP(17841,Trip[shape_id],Trip[shape_id],"Não encontrado")</f>
        <v/>
      </c>
      <c r="B1250" s="40" t="n">
        <v>-23.586912</v>
      </c>
      <c r="C1250" s="40" t="n">
        <v>-46.634925</v>
      </c>
      <c r="D1250" s="40" t="n">
        <v>187</v>
      </c>
      <c r="E1250" s="41" t="n">
        <v>7854.4521</v>
      </c>
    </row>
    <row r="1251">
      <c r="A1251" s="42">
        <f>_xlfn.XLOOKUP(17841,Trip[shape_id],Trip[shape_id],"Não encontrado")</f>
        <v/>
      </c>
      <c r="B1251" s="43" t="n">
        <v>-23.587279</v>
      </c>
      <c r="C1251" s="43" t="n">
        <v>-46.634769</v>
      </c>
      <c r="D1251" s="43" t="n">
        <v>188</v>
      </c>
      <c r="E1251" s="44" t="n">
        <v>7870.4307</v>
      </c>
    </row>
    <row r="1252">
      <c r="A1252" s="39">
        <f>_xlfn.XLOOKUP(17841,Trip[shape_id],Trip[shape_id],"Não encontrado")</f>
        <v/>
      </c>
      <c r="B1252" s="40" t="n">
        <v>-23.587413</v>
      </c>
      <c r="C1252" s="40" t="n">
        <v>-46.634711</v>
      </c>
      <c r="D1252" s="40" t="n">
        <v>189</v>
      </c>
      <c r="E1252" s="41" t="n">
        <v>7916.3433</v>
      </c>
    </row>
    <row r="1253">
      <c r="A1253" s="42">
        <f>_xlfn.XLOOKUP(17841,Trip[shape_id],Trip[shape_id],"Não encontrado")</f>
        <v/>
      </c>
      <c r="B1253" s="43" t="n">
        <v>-23.587818</v>
      </c>
      <c r="C1253" s="43" t="n">
        <v>-46.634615</v>
      </c>
      <c r="D1253" s="43" t="n">
        <v>190</v>
      </c>
      <c r="E1253" s="44" t="n">
        <v>7944.8086</v>
      </c>
    </row>
    <row r="1254">
      <c r="A1254" s="39">
        <f>_xlfn.XLOOKUP(17841,Trip[shape_id],Trip[shape_id],"Não encontrado")</f>
        <v/>
      </c>
      <c r="B1254" s="40" t="n">
        <v>-23.588069</v>
      </c>
      <c r="C1254" s="40" t="n">
        <v>-46.634555</v>
      </c>
      <c r="D1254" s="40" t="n">
        <v>191</v>
      </c>
      <c r="E1254" s="41" t="n">
        <v>7973.6587</v>
      </c>
    </row>
    <row r="1255">
      <c r="A1255" s="42">
        <f>_xlfn.XLOOKUP(17841,Trip[shape_id],Trip[shape_id],"Não encontrado")</f>
        <v/>
      </c>
      <c r="B1255" s="43" t="n">
        <v>-23.588327</v>
      </c>
      <c r="C1255" s="43" t="n">
        <v>-46.634516</v>
      </c>
      <c r="D1255" s="43" t="n">
        <v>192</v>
      </c>
      <c r="E1255" s="44" t="n">
        <v>7994.895</v>
      </c>
    </row>
    <row r="1256">
      <c r="A1256" s="39">
        <f>_xlfn.XLOOKUP(17841,Trip[shape_id],Trip[shape_id],"Não encontrado")</f>
        <v/>
      </c>
      <c r="B1256" s="40" t="n">
        <v>-23.588517</v>
      </c>
      <c r="C1256" s="40" t="n">
        <v>-46.634488</v>
      </c>
      <c r="D1256" s="40" t="n">
        <v>193</v>
      </c>
      <c r="E1256" s="41" t="n">
        <v>8001.9468</v>
      </c>
    </row>
    <row r="1257">
      <c r="A1257" s="42">
        <f>_xlfn.XLOOKUP(17841,Trip[shape_id],Trip[shape_id],"Não encontrado")</f>
        <v/>
      </c>
      <c r="B1257" s="43" t="n">
        <v>-23.58858</v>
      </c>
      <c r="C1257" s="43" t="n">
        <v>-46.634478</v>
      </c>
      <c r="D1257" s="43" t="n">
        <v>194</v>
      </c>
      <c r="E1257" s="44" t="n">
        <v>8022.0908</v>
      </c>
    </row>
    <row r="1258">
      <c r="A1258" s="39">
        <f>_xlfn.XLOOKUP(17841,Trip[shape_id],Trip[shape_id],"Não encontrado")</f>
        <v/>
      </c>
      <c r="B1258" s="40" t="n">
        <v>-23.588759</v>
      </c>
      <c r="C1258" s="40" t="n">
        <v>-46.634443</v>
      </c>
      <c r="D1258" s="40" t="n">
        <v>195</v>
      </c>
      <c r="E1258" s="41" t="n">
        <v>8066.2847</v>
      </c>
    </row>
    <row r="1259">
      <c r="A1259" s="42">
        <f>_xlfn.XLOOKUP(17841,Trip[shape_id],Trip[shape_id],"Não encontrado")</f>
        <v/>
      </c>
      <c r="B1259" s="43" t="n">
        <v>-23.589152</v>
      </c>
      <c r="C1259" s="43" t="n">
        <v>-46.634368</v>
      </c>
      <c r="D1259" s="43" t="n">
        <v>196</v>
      </c>
      <c r="E1259" s="44" t="n">
        <v>8089.6411</v>
      </c>
    </row>
    <row r="1260">
      <c r="A1260" s="39">
        <f>_xlfn.XLOOKUP(17841,Trip[shape_id],Trip[shape_id],"Não encontrado")</f>
        <v/>
      </c>
      <c r="B1260" s="40" t="n">
        <v>-23.589356</v>
      </c>
      <c r="C1260" s="40" t="n">
        <v>-46.63431</v>
      </c>
      <c r="D1260" s="40" t="n">
        <v>197</v>
      </c>
      <c r="E1260" s="41" t="n">
        <v>8110.2476</v>
      </c>
    </row>
    <row r="1261">
      <c r="A1261" s="42">
        <f>_xlfn.XLOOKUP(17841,Trip[shape_id],Trip[shape_id],"Não encontrado")</f>
        <v/>
      </c>
      <c r="B1261" s="43" t="n">
        <v>-23.589523</v>
      </c>
      <c r="C1261" s="43" t="n">
        <v>-46.634221</v>
      </c>
      <c r="D1261" s="43" t="n">
        <v>198</v>
      </c>
      <c r="E1261" s="44" t="n">
        <v>8116.2617</v>
      </c>
    </row>
    <row r="1262">
      <c r="A1262" s="39">
        <f>_xlfn.XLOOKUP(17841,Trip[shape_id],Trip[shape_id],"Não encontrado")</f>
        <v/>
      </c>
      <c r="B1262" s="40" t="n">
        <v>-23.589562</v>
      </c>
      <c r="C1262" s="40" t="n">
        <v>-46.63418</v>
      </c>
      <c r="D1262" s="40" t="n">
        <v>199</v>
      </c>
      <c r="E1262" s="41" t="n">
        <v>8141.5649</v>
      </c>
    </row>
    <row r="1263">
      <c r="A1263" s="42">
        <f>_xlfn.XLOOKUP(17841,Trip[shape_id],Trip[shape_id],"Não encontrado")</f>
        <v/>
      </c>
      <c r="B1263" s="43" t="n">
        <v>-23.58973</v>
      </c>
      <c r="C1263" s="43" t="n">
        <v>-46.634012</v>
      </c>
      <c r="D1263" s="43" t="n">
        <v>200</v>
      </c>
      <c r="E1263" s="44" t="n">
        <v>8164.7476</v>
      </c>
    </row>
    <row r="1264">
      <c r="A1264" s="39">
        <f>_xlfn.XLOOKUP(17841,Trip[shape_id],Trip[shape_id],"Não encontrado")</f>
        <v/>
      </c>
      <c r="B1264" s="40" t="n">
        <v>-23.589883</v>
      </c>
      <c r="C1264" s="40" t="n">
        <v>-46.633857</v>
      </c>
      <c r="D1264" s="40" t="n">
        <v>201</v>
      </c>
      <c r="E1264" s="41" t="n">
        <v>8212.5684</v>
      </c>
    </row>
    <row r="1265">
      <c r="A1265" s="42">
        <f>_xlfn.XLOOKUP(17841,Trip[shape_id],Trip[shape_id],"Não encontrado")</f>
        <v/>
      </c>
      <c r="B1265" s="43" t="n">
        <v>-23.590194</v>
      </c>
      <c r="C1265" s="43" t="n">
        <v>-46.633532</v>
      </c>
      <c r="D1265" s="43" t="n">
        <v>202</v>
      </c>
      <c r="E1265" s="44" t="n">
        <v>8260.896500000001</v>
      </c>
    </row>
    <row r="1266">
      <c r="A1266" s="39">
        <f>_xlfn.XLOOKUP(17841,Trip[shape_id],Trip[shape_id],"Não encontrado")</f>
        <v/>
      </c>
      <c r="B1266" s="40" t="n">
        <v>-23.590448</v>
      </c>
      <c r="C1266" s="40" t="n">
        <v>-46.633147</v>
      </c>
      <c r="D1266" s="40" t="n">
        <v>203</v>
      </c>
      <c r="E1266" s="41" t="n">
        <v>8327.8408</v>
      </c>
    </row>
    <row r="1267">
      <c r="A1267" s="42">
        <f>_xlfn.XLOOKUP(17841,Trip[shape_id],Trip[shape_id],"Não encontrado")</f>
        <v/>
      </c>
      <c r="B1267" s="43" t="n">
        <v>-23.590787</v>
      </c>
      <c r="C1267" s="43" t="n">
        <v>-46.632604</v>
      </c>
      <c r="D1267" s="43" t="n">
        <v>204</v>
      </c>
      <c r="E1267" s="44" t="n">
        <v>8359.299800000001</v>
      </c>
    </row>
    <row r="1268">
      <c r="A1268" s="39">
        <f>_xlfn.XLOOKUP(17841,Trip[shape_id],Trip[shape_id],"Não encontrado")</f>
        <v/>
      </c>
      <c r="B1268" s="40" t="n">
        <v>-23.590974</v>
      </c>
      <c r="C1268" s="40" t="n">
        <v>-46.632372</v>
      </c>
      <c r="D1268" s="40" t="n">
        <v>205</v>
      </c>
      <c r="E1268" s="41" t="n">
        <v>8411.3086</v>
      </c>
    </row>
    <row r="1269">
      <c r="A1269" s="42">
        <f>_xlfn.XLOOKUP(17841,Trip[shape_id],Trip[shape_id],"Não encontrado")</f>
        <v/>
      </c>
      <c r="B1269" s="43" t="n">
        <v>-23.591274</v>
      </c>
      <c r="C1269" s="43" t="n">
        <v>-46.63198</v>
      </c>
      <c r="D1269" s="43" t="n">
        <v>206</v>
      </c>
      <c r="E1269" s="44" t="n">
        <v>8440.4326</v>
      </c>
    </row>
    <row r="1270">
      <c r="A1270" s="39">
        <f>_xlfn.XLOOKUP(17841,Trip[shape_id],Trip[shape_id],"Não encontrado")</f>
        <v/>
      </c>
      <c r="B1270" s="40" t="n">
        <v>-23.591471</v>
      </c>
      <c r="C1270" s="40" t="n">
        <v>-46.631791</v>
      </c>
      <c r="D1270" s="40" t="n">
        <v>207</v>
      </c>
      <c r="E1270" s="41" t="n">
        <v>8495.9395</v>
      </c>
    </row>
    <row r="1271">
      <c r="A1271" s="42">
        <f>_xlfn.XLOOKUP(17841,Trip[shape_id],Trip[shape_id],"Não encontrado")</f>
        <v/>
      </c>
      <c r="B1271" s="43" t="n">
        <v>-23.591845</v>
      </c>
      <c r="C1271" s="43" t="n">
        <v>-46.631429</v>
      </c>
      <c r="D1271" s="43" t="n">
        <v>208</v>
      </c>
      <c r="E1271" s="44" t="n">
        <v>8603.270500000001</v>
      </c>
    </row>
    <row r="1272">
      <c r="A1272" s="39">
        <f>_xlfn.XLOOKUP(17841,Trip[shape_id],Trip[shape_id],"Não encontrado")</f>
        <v/>
      </c>
      <c r="B1272" s="40" t="n">
        <v>-23.592569</v>
      </c>
      <c r="C1272" s="40" t="n">
        <v>-46.63073</v>
      </c>
      <c r="D1272" s="40" t="n">
        <v>209</v>
      </c>
      <c r="E1272" s="41" t="n">
        <v>8603.270500000001</v>
      </c>
    </row>
    <row r="1273">
      <c r="A1273" s="42">
        <f>_xlfn.XLOOKUP(17841,Trip[shape_id],Trip[shape_id],"Não encontrado")</f>
        <v/>
      </c>
      <c r="B1273" s="43" t="n">
        <v>-23.592947</v>
      </c>
      <c r="C1273" s="43" t="n">
        <v>-46.630283</v>
      </c>
      <c r="D1273" s="43" t="n">
        <v>210</v>
      </c>
      <c r="E1273" s="44" t="n">
        <v>8701.468800000001</v>
      </c>
    </row>
    <row r="1274">
      <c r="A1274" s="39">
        <f>_xlfn.XLOOKUP(17841,Trip[shape_id],Trip[shape_id],"Não encontrado")</f>
        <v/>
      </c>
      <c r="B1274" s="40" t="n">
        <v>-23.59316</v>
      </c>
      <c r="C1274" s="40" t="n">
        <v>-46.630013</v>
      </c>
      <c r="D1274" s="40" t="n">
        <v>211</v>
      </c>
      <c r="E1274" s="41" t="n">
        <v>8731.204100000001</v>
      </c>
    </row>
    <row r="1275">
      <c r="A1275" s="42">
        <f>_xlfn.XLOOKUP(17841,Trip[shape_id],Trip[shape_id],"Não encontrado")</f>
        <v/>
      </c>
      <c r="B1275" s="43" t="n">
        <v>-23.593336</v>
      </c>
      <c r="C1275" s="43" t="n">
        <v>-46.629793</v>
      </c>
      <c r="D1275" s="43" t="n">
        <v>212</v>
      </c>
      <c r="E1275" s="44" t="n">
        <v>8779.232400000001</v>
      </c>
    </row>
    <row r="1276">
      <c r="A1276" s="39">
        <f>_xlfn.XLOOKUP(17841,Trip[shape_id],Trip[shape_id],"Não encontrado")</f>
        <v/>
      </c>
      <c r="B1276" s="40" t="n">
        <v>-23.593667</v>
      </c>
      <c r="C1276" s="40" t="n">
        <v>-46.629489</v>
      </c>
      <c r="D1276" s="40" t="n">
        <v>213</v>
      </c>
      <c r="E1276" s="41" t="n">
        <v>8828.0977</v>
      </c>
    </row>
    <row r="1277">
      <c r="A1277" s="42">
        <f>_xlfn.XLOOKUP(17841,Trip[shape_id],Trip[shape_id],"Não encontrado")</f>
        <v/>
      </c>
      <c r="B1277" s="43" t="n">
        <v>-23.594004</v>
      </c>
      <c r="C1277" s="43" t="n">
        <v>-46.62918</v>
      </c>
      <c r="D1277" s="43" t="n">
        <v>214</v>
      </c>
      <c r="E1277" s="44" t="n">
        <v>8864.75</v>
      </c>
    </row>
    <row r="1278">
      <c r="A1278" s="39">
        <f>_xlfn.XLOOKUP(17841,Trip[shape_id],Trip[shape_id],"Não encontrado")</f>
        <v/>
      </c>
      <c r="B1278" s="40" t="n">
        <v>-23.594251</v>
      </c>
      <c r="C1278" s="40" t="n">
        <v>-46.628941</v>
      </c>
      <c r="D1278" s="40" t="n">
        <v>215</v>
      </c>
      <c r="E1278" s="41" t="n">
        <v>8890.737300000001</v>
      </c>
    </row>
    <row r="1279">
      <c r="A1279" s="42">
        <f>_xlfn.XLOOKUP(17841,Trip[shape_id],Trip[shape_id],"Não encontrado")</f>
        <v/>
      </c>
      <c r="B1279" s="43" t="n">
        <v>-23.594424</v>
      </c>
      <c r="C1279" s="43" t="n">
        <v>-46.628769</v>
      </c>
      <c r="D1279" s="43" t="n">
        <v>216</v>
      </c>
      <c r="E1279" s="44" t="n">
        <v>8914.684600000001</v>
      </c>
    </row>
    <row r="1280">
      <c r="A1280" s="39">
        <f>_xlfn.XLOOKUP(17841,Trip[shape_id],Trip[shape_id],"Não encontrado")</f>
        <v/>
      </c>
      <c r="B1280" s="40" t="n">
        <v>-23.594583</v>
      </c>
      <c r="C1280" s="40" t="n">
        <v>-46.62861</v>
      </c>
      <c r="D1280" s="40" t="n">
        <v>217</v>
      </c>
      <c r="E1280" s="41" t="n">
        <v>8964.8701</v>
      </c>
    </row>
    <row r="1281">
      <c r="A1281" s="42">
        <f>_xlfn.XLOOKUP(17841,Trip[shape_id],Trip[shape_id],"Não encontrado")</f>
        <v/>
      </c>
      <c r="B1281" s="43" t="n">
        <v>-23.594814</v>
      </c>
      <c r="C1281" s="43" t="n">
        <v>-46.628187</v>
      </c>
      <c r="D1281" s="43" t="n">
        <v>218</v>
      </c>
      <c r="E1281" s="44" t="n">
        <v>9018.825199999999</v>
      </c>
    </row>
    <row r="1282">
      <c r="A1282" s="39">
        <f>_xlfn.XLOOKUP(17841,Trip[shape_id],Trip[shape_id],"Não encontrado")</f>
        <v/>
      </c>
      <c r="B1282" s="40" t="n">
        <v>-23.594958</v>
      </c>
      <c r="C1282" s="40" t="n">
        <v>-46.627682</v>
      </c>
      <c r="D1282" s="40" t="n">
        <v>219</v>
      </c>
      <c r="E1282" s="41" t="n">
        <v>9078.7021</v>
      </c>
    </row>
    <row r="1283">
      <c r="A1283" s="42">
        <f>_xlfn.XLOOKUP(17841,Trip[shape_id],Trip[shape_id],"Não encontrado")</f>
        <v/>
      </c>
      <c r="B1283" s="43" t="n">
        <v>-23.595122</v>
      </c>
      <c r="C1283" s="43" t="n">
        <v>-46.627123</v>
      </c>
      <c r="D1283" s="43" t="n">
        <v>220</v>
      </c>
      <c r="E1283" s="44" t="n">
        <v>9168.377</v>
      </c>
    </row>
    <row r="1284">
      <c r="A1284" s="39">
        <f>_xlfn.XLOOKUP(17841,Trip[shape_id],Trip[shape_id],"Não encontrado")</f>
        <v/>
      </c>
      <c r="B1284" s="40" t="n">
        <v>-23.595292</v>
      </c>
      <c r="C1284" s="40" t="n">
        <v>-46.626264</v>
      </c>
      <c r="D1284" s="40" t="n">
        <v>221</v>
      </c>
      <c r="E1284" s="41" t="n">
        <v>9267.0254</v>
      </c>
    </row>
    <row r="1285">
      <c r="A1285" s="42">
        <f>_xlfn.XLOOKUP(17841,Trip[shape_id],Trip[shape_id],"Não encontrado")</f>
        <v/>
      </c>
      <c r="B1285" s="43" t="n">
        <v>-23.595514</v>
      </c>
      <c r="C1285" s="43" t="n">
        <v>-46.625328</v>
      </c>
      <c r="D1285" s="43" t="n">
        <v>222</v>
      </c>
      <c r="E1285" s="44" t="n">
        <v>9314.0713</v>
      </c>
    </row>
    <row r="1286">
      <c r="A1286" s="39">
        <f>_xlfn.XLOOKUP(17841,Trip[shape_id],Trip[shape_id],"Não encontrado")</f>
        <v/>
      </c>
      <c r="B1286" s="40" t="n">
        <v>-23.59561</v>
      </c>
      <c r="C1286" s="40" t="n">
        <v>-46.624879</v>
      </c>
      <c r="D1286" s="40" t="n">
        <v>223</v>
      </c>
      <c r="E1286" s="41" t="n">
        <v>9352.1934</v>
      </c>
    </row>
    <row r="1287">
      <c r="A1287" s="42">
        <f>_xlfn.XLOOKUP(17841,Trip[shape_id],Trip[shape_id],"Não encontrado")</f>
        <v/>
      </c>
      <c r="B1287" s="43" t="n">
        <v>-23.595563</v>
      </c>
      <c r="C1287" s="43" t="n">
        <v>-46.624509</v>
      </c>
      <c r="D1287" s="43" t="n">
        <v>224</v>
      </c>
      <c r="E1287" s="44" t="n">
        <v>9397.598599999999</v>
      </c>
    </row>
    <row r="1288">
      <c r="A1288" s="39">
        <f>_xlfn.XLOOKUP(17841,Trip[shape_id],Trip[shape_id],"Não encontrado")</f>
        <v/>
      </c>
      <c r="B1288" s="40" t="n">
        <v>-23.595448</v>
      </c>
      <c r="C1288" s="40" t="n">
        <v>-46.624082</v>
      </c>
      <c r="D1288" s="40" t="n">
        <v>225</v>
      </c>
      <c r="E1288" s="41" t="n">
        <v>9440.122100000001</v>
      </c>
    </row>
    <row r="1289">
      <c r="A1289" s="42">
        <f>_xlfn.XLOOKUP(17841,Trip[shape_id],Trip[shape_id],"Não encontrado")</f>
        <v/>
      </c>
      <c r="B1289" s="43" t="n">
        <v>-23.595268</v>
      </c>
      <c r="C1289" s="43" t="n">
        <v>-46.623714</v>
      </c>
      <c r="D1289" s="43" t="n">
        <v>226</v>
      </c>
      <c r="E1289" s="44" t="n">
        <v>9480.463900000001</v>
      </c>
    </row>
    <row r="1290">
      <c r="A1290" s="39">
        <f>_xlfn.XLOOKUP(17841,Trip[shape_id],Trip[shape_id],"Não encontrado")</f>
        <v/>
      </c>
      <c r="B1290" s="40" t="n">
        <v>-23.595194</v>
      </c>
      <c r="C1290" s="40" t="n">
        <v>-46.623327</v>
      </c>
      <c r="D1290" s="40" t="n">
        <v>227</v>
      </c>
      <c r="E1290" s="41" t="n">
        <v>9555.7988</v>
      </c>
    </row>
    <row r="1291">
      <c r="A1291" s="42">
        <f>_xlfn.XLOOKUP(17841,Trip[shape_id],Trip[shape_id],"Não encontrado")</f>
        <v/>
      </c>
      <c r="B1291" s="43" t="n">
        <v>-23.595231</v>
      </c>
      <c r="C1291" s="43" t="n">
        <v>-46.62259</v>
      </c>
      <c r="D1291" s="43" t="n">
        <v>228</v>
      </c>
      <c r="E1291" s="44" t="n">
        <v>9590.0137</v>
      </c>
    </row>
    <row r="1292">
      <c r="A1292" s="39">
        <f>_xlfn.XLOOKUP(17841,Trip[shape_id],Trip[shape_id],"Não encontrado")</f>
        <v/>
      </c>
      <c r="B1292" s="40" t="n">
        <v>-23.595299</v>
      </c>
      <c r="C1292" s="40" t="n">
        <v>-46.622263</v>
      </c>
      <c r="D1292" s="40" t="n">
        <v>229</v>
      </c>
      <c r="E1292" s="41" t="n">
        <v>9616.918</v>
      </c>
    </row>
    <row r="1293">
      <c r="A1293" s="42">
        <f>_xlfn.XLOOKUP(17841,Trip[shape_id],Trip[shape_id],"Não encontrado")</f>
        <v/>
      </c>
      <c r="B1293" s="43" t="n">
        <v>-23.595353</v>
      </c>
      <c r="C1293" s="43" t="n">
        <v>-46.622006</v>
      </c>
      <c r="D1293" s="43" t="n">
        <v>230</v>
      </c>
      <c r="E1293" s="44" t="n">
        <v>9665.2803</v>
      </c>
    </row>
    <row r="1294">
      <c r="A1294" s="39">
        <f>_xlfn.XLOOKUP(17841,Trip[shape_id],Trip[shape_id],"Não encontrado")</f>
        <v/>
      </c>
      <c r="B1294" s="40" t="n">
        <v>-23.595503</v>
      </c>
      <c r="C1294" s="40" t="n">
        <v>-46.621561</v>
      </c>
      <c r="D1294" s="40" t="n">
        <v>231</v>
      </c>
      <c r="E1294" s="41" t="n">
        <v>9751.4102</v>
      </c>
    </row>
    <row r="1295">
      <c r="A1295" s="42">
        <f>_xlfn.XLOOKUP(17841,Trip[shape_id],Trip[shape_id],"Não encontrado")</f>
        <v/>
      </c>
      <c r="B1295" s="43" t="n">
        <v>-23.595863</v>
      </c>
      <c r="C1295" s="43" t="n">
        <v>-46.620813</v>
      </c>
      <c r="D1295" s="43" t="n">
        <v>232</v>
      </c>
      <c r="E1295" s="44" t="n">
        <v>9751.4102</v>
      </c>
    </row>
    <row r="1296">
      <c r="A1296" s="39">
        <f>_xlfn.XLOOKUP(17841,Trip[shape_id],Trip[shape_id],"Não encontrado")</f>
        <v/>
      </c>
      <c r="B1296" s="40" t="n">
        <v>-23.595987</v>
      </c>
      <c r="C1296" s="40" t="n">
        <v>-46.620548</v>
      </c>
      <c r="D1296" s="40" t="n">
        <v>233</v>
      </c>
      <c r="E1296" s="41" t="n">
        <v>9840.7803</v>
      </c>
    </row>
    <row r="1297">
      <c r="A1297" s="42">
        <f>_xlfn.XLOOKUP(17841,Trip[shape_id],Trip[shape_id],"Não encontrado")</f>
        <v/>
      </c>
      <c r="B1297" s="43" t="n">
        <v>-23.596226</v>
      </c>
      <c r="C1297" s="43" t="n">
        <v>-46.620031</v>
      </c>
      <c r="D1297" s="43" t="n">
        <v>234</v>
      </c>
      <c r="E1297" s="44" t="n">
        <v>9861.738300000001</v>
      </c>
    </row>
    <row r="1298">
      <c r="A1298" s="39">
        <f>_xlfn.XLOOKUP(17841,Trip[shape_id],Trip[shape_id],"Não encontrado")</f>
        <v/>
      </c>
      <c r="B1298" s="40" t="n">
        <v>-23.59631</v>
      </c>
      <c r="C1298" s="40" t="n">
        <v>-46.619847</v>
      </c>
      <c r="D1298" s="40" t="n">
        <v>235</v>
      </c>
      <c r="E1298" s="41" t="n">
        <v>9931.1055</v>
      </c>
    </row>
    <row r="1299">
      <c r="A1299" s="42">
        <f>_xlfn.XLOOKUP(17841,Trip[shape_id],Trip[shape_id],"Não encontrado")</f>
        <v/>
      </c>
      <c r="B1299" s="43" t="n">
        <v>-23.596616</v>
      </c>
      <c r="C1299" s="43" t="n">
        <v>-46.619254</v>
      </c>
      <c r="D1299" s="43" t="n">
        <v>236</v>
      </c>
      <c r="E1299" s="44" t="n">
        <v>9962.743200000001</v>
      </c>
    </row>
    <row r="1300">
      <c r="A1300" s="39">
        <f>_xlfn.XLOOKUP(17841,Trip[shape_id],Trip[shape_id],"Não encontrado")</f>
        <v/>
      </c>
      <c r="B1300" s="40" t="n">
        <v>-23.596791</v>
      </c>
      <c r="C1300" s="40" t="n">
        <v>-46.619009</v>
      </c>
      <c r="D1300" s="40" t="n">
        <v>237</v>
      </c>
      <c r="E1300" s="41" t="n">
        <v>10026.006</v>
      </c>
    </row>
    <row r="1301">
      <c r="A1301" s="42">
        <f>_xlfn.XLOOKUP(17841,Trip[shape_id],Trip[shape_id],"Não encontrado")</f>
        <v/>
      </c>
      <c r="B1301" s="43" t="n">
        <v>-23.597136</v>
      </c>
      <c r="C1301" s="43" t="n">
        <v>-46.618515</v>
      </c>
      <c r="D1301" s="43" t="n">
        <v>238</v>
      </c>
      <c r="E1301" s="44" t="n">
        <v>10109.591</v>
      </c>
    </row>
    <row r="1302">
      <c r="A1302" s="39">
        <f>_xlfn.XLOOKUP(17841,Trip[shape_id],Trip[shape_id],"Não encontrado")</f>
        <v/>
      </c>
      <c r="B1302" s="40" t="n">
        <v>-23.597589</v>
      </c>
      <c r="C1302" s="40" t="n">
        <v>-46.61786</v>
      </c>
      <c r="D1302" s="40" t="n">
        <v>239</v>
      </c>
      <c r="E1302" s="41" t="n">
        <v>10150.161</v>
      </c>
    </row>
    <row r="1303">
      <c r="A1303" s="42">
        <f>_xlfn.XLOOKUP(17841,Trip[shape_id],Trip[shape_id],"Não encontrado")</f>
        <v/>
      </c>
      <c r="B1303" s="43" t="n">
        <v>-23.59781</v>
      </c>
      <c r="C1303" s="43" t="n">
        <v>-46.617543</v>
      </c>
      <c r="D1303" s="43" t="n">
        <v>240</v>
      </c>
      <c r="E1303" s="44" t="n">
        <v>10228.659</v>
      </c>
    </row>
    <row r="1304">
      <c r="A1304" s="39">
        <f>_xlfn.XLOOKUP(17841,Trip[shape_id],Trip[shape_id],"Não encontrado")</f>
        <v/>
      </c>
      <c r="B1304" s="40" t="n">
        <v>-23.598354</v>
      </c>
      <c r="C1304" s="40" t="n">
        <v>-46.61705</v>
      </c>
      <c r="D1304" s="40" t="n">
        <v>241</v>
      </c>
      <c r="E1304" s="41" t="n">
        <v>10268.909</v>
      </c>
    </row>
    <row r="1305">
      <c r="A1305" s="42">
        <f>_xlfn.XLOOKUP(17841,Trip[shape_id],Trip[shape_id],"Não encontrado")</f>
        <v/>
      </c>
      <c r="B1305" s="43" t="n">
        <v>-23.598632</v>
      </c>
      <c r="C1305" s="43" t="n">
        <v>-46.616796</v>
      </c>
      <c r="D1305" s="43" t="n">
        <v>242</v>
      </c>
      <c r="E1305" s="44" t="n">
        <v>10292.468</v>
      </c>
    </row>
    <row r="1306">
      <c r="A1306" s="39">
        <f>_xlfn.XLOOKUP(17841,Trip[shape_id],Trip[shape_id],"Não encontrado")</f>
        <v/>
      </c>
      <c r="B1306" s="40" t="n">
        <v>-23.598796</v>
      </c>
      <c r="C1306" s="40" t="n">
        <v>-46.616649</v>
      </c>
      <c r="D1306" s="40" t="n">
        <v>243</v>
      </c>
      <c r="E1306" s="41" t="n">
        <v>10362.315</v>
      </c>
    </row>
    <row r="1307">
      <c r="A1307" s="42">
        <f>_xlfn.XLOOKUP(17841,Trip[shape_id],Trip[shape_id],"Não encontrado")</f>
        <v/>
      </c>
      <c r="B1307" s="43" t="n">
        <v>-23.599257</v>
      </c>
      <c r="C1307" s="43" t="n">
        <v>-46.616182</v>
      </c>
      <c r="D1307" s="43" t="n">
        <v>244</v>
      </c>
      <c r="E1307" s="44" t="n">
        <v>10366.823</v>
      </c>
    </row>
    <row r="1308">
      <c r="A1308" s="39">
        <f>_xlfn.XLOOKUP(17841,Trip[shape_id],Trip[shape_id],"Não encontrado")</f>
        <v/>
      </c>
      <c r="B1308" s="40" t="n">
        <v>-23.599286</v>
      </c>
      <c r="C1308" s="40" t="n">
        <v>-46.616151</v>
      </c>
      <c r="D1308" s="40" t="n">
        <v>245</v>
      </c>
      <c r="E1308" s="41" t="n">
        <v>10407.914</v>
      </c>
    </row>
    <row r="1309">
      <c r="A1309" s="42">
        <f>_xlfn.XLOOKUP(17841,Trip[shape_id],Trip[shape_id],"Não encontrado")</f>
        <v/>
      </c>
      <c r="B1309" s="43" t="n">
        <v>-23.599461</v>
      </c>
      <c r="C1309" s="43" t="n">
        <v>-46.615796</v>
      </c>
      <c r="D1309" s="43" t="n">
        <v>246</v>
      </c>
      <c r="E1309" s="44" t="n">
        <v>10443.296</v>
      </c>
    </row>
    <row r="1310">
      <c r="A1310" s="39">
        <f>_xlfn.XLOOKUP(17841,Trip[shape_id],Trip[shape_id],"Não encontrado")</f>
        <v/>
      </c>
      <c r="B1310" s="40" t="n">
        <v>-23.59973</v>
      </c>
      <c r="C1310" s="40" t="n">
        <v>-46.615609</v>
      </c>
      <c r="D1310" s="40" t="n">
        <v>247</v>
      </c>
      <c r="E1310" s="41" t="n">
        <v>10511.711</v>
      </c>
    </row>
    <row r="1311">
      <c r="A1311" s="42">
        <f>_xlfn.XLOOKUP(17841,Trip[shape_id],Trip[shape_id],"Não encontrado")</f>
        <v/>
      </c>
      <c r="B1311" s="43" t="n">
        <v>-23.600295</v>
      </c>
      <c r="C1311" s="43" t="n">
        <v>-46.615338</v>
      </c>
      <c r="D1311" s="43" t="n">
        <v>248</v>
      </c>
      <c r="E1311" s="44" t="n">
        <v>10560.809</v>
      </c>
    </row>
    <row r="1312">
      <c r="A1312" s="39">
        <f>_xlfn.XLOOKUP(17841,Trip[shape_id],Trip[shape_id],"Não encontrado")</f>
        <v/>
      </c>
      <c r="B1312" s="40" t="n">
        <v>-23.600643</v>
      </c>
      <c r="C1312" s="40" t="n">
        <v>-46.61504</v>
      </c>
      <c r="D1312" s="40" t="n">
        <v>249</v>
      </c>
      <c r="E1312" s="41" t="n">
        <v>10595.023</v>
      </c>
    </row>
    <row r="1313">
      <c r="A1313" s="42">
        <f>_xlfn.XLOOKUP(17841,Trip[shape_id],Trip[shape_id],"Não encontrado")</f>
        <v/>
      </c>
      <c r="B1313" s="43" t="n">
        <v>-23.600886</v>
      </c>
      <c r="C1313" s="43" t="n">
        <v>-46.614833</v>
      </c>
      <c r="D1313" s="43" t="n">
        <v>250</v>
      </c>
      <c r="E1313" s="44" t="n">
        <v>10693.248</v>
      </c>
    </row>
    <row r="1314">
      <c r="A1314" s="39">
        <f>_xlfn.XLOOKUP(17841,Trip[shape_id],Trip[shape_id],"Não encontrado")</f>
        <v/>
      </c>
      <c r="B1314" s="40" t="n">
        <v>-23.601465</v>
      </c>
      <c r="C1314" s="40" t="n">
        <v>-46.614104</v>
      </c>
      <c r="D1314" s="40" t="n">
        <v>251</v>
      </c>
      <c r="E1314" s="41" t="n">
        <v>10744.202</v>
      </c>
    </row>
    <row r="1315">
      <c r="A1315" s="42">
        <f>_xlfn.XLOOKUP(17841,Trip[shape_id],Trip[shape_id],"Não encontrado")</f>
        <v/>
      </c>
      <c r="B1315" s="43" t="n">
        <v>-23.601694</v>
      </c>
      <c r="C1315" s="43" t="n">
        <v>-46.613671</v>
      </c>
      <c r="D1315" s="43" t="n">
        <v>252</v>
      </c>
      <c r="E1315" s="44" t="n">
        <v>10867.935</v>
      </c>
    </row>
    <row r="1316">
      <c r="A1316" s="39">
        <f>_xlfn.XLOOKUP(17841,Trip[shape_id],Trip[shape_id],"Não encontrado")</f>
        <v/>
      </c>
      <c r="B1316" s="40" t="n">
        <v>-23.602214</v>
      </c>
      <c r="C1316" s="40" t="n">
        <v>-46.612598</v>
      </c>
      <c r="D1316" s="40" t="n">
        <v>253</v>
      </c>
      <c r="E1316" s="41" t="n">
        <v>10873.081</v>
      </c>
    </row>
    <row r="1317">
      <c r="A1317" s="42">
        <f>_xlfn.XLOOKUP(17841,Trip[shape_id],Trip[shape_id],"Não encontrado")</f>
        <v/>
      </c>
      <c r="B1317" s="43" t="n">
        <v>-23.60222</v>
      </c>
      <c r="C1317" s="43" t="n">
        <v>-46.612548</v>
      </c>
      <c r="D1317" s="43" t="n">
        <v>254</v>
      </c>
      <c r="E1317" s="44" t="n">
        <v>10873.081</v>
      </c>
    </row>
    <row r="1318">
      <c r="A1318" s="39">
        <f>_xlfn.XLOOKUP(17841,Trip[shape_id],Trip[shape_id],"Não encontrado")</f>
        <v/>
      </c>
      <c r="B1318" s="40" t="n">
        <v>-23.602284</v>
      </c>
      <c r="C1318" s="40" t="n">
        <v>-46.611744</v>
      </c>
      <c r="D1318" s="40" t="n">
        <v>255</v>
      </c>
      <c r="E1318" s="41" t="n">
        <v>11130.362</v>
      </c>
    </row>
    <row r="1319">
      <c r="A1319" s="42">
        <f>_xlfn.XLOOKUP(17841,Trip[shape_id],Trip[shape_id],"Não encontrado")</f>
        <v/>
      </c>
      <c r="B1319" s="43" t="n">
        <v>-23.602425</v>
      </c>
      <c r="C1319" s="43" t="n">
        <v>-46.610037</v>
      </c>
      <c r="D1319" s="43" t="n">
        <v>256</v>
      </c>
      <c r="E1319" s="44" t="n">
        <v>11250.155</v>
      </c>
    </row>
    <row r="1320">
      <c r="A1320" s="39">
        <f>_xlfn.XLOOKUP(17841,Trip[shape_id],Trip[shape_id],"Não encontrado")</f>
        <v/>
      </c>
      <c r="B1320" s="40" t="n">
        <v>-23.602387</v>
      </c>
      <c r="C1320" s="40" t="n">
        <v>-46.608864</v>
      </c>
      <c r="D1320" s="40" t="n">
        <v>257</v>
      </c>
      <c r="E1320" s="41" t="n">
        <v>11343.567</v>
      </c>
    </row>
    <row r="1321">
      <c r="A1321" s="42">
        <f>_xlfn.XLOOKUP(17841,Trip[shape_id],Trip[shape_id],"Não encontrado")</f>
        <v/>
      </c>
      <c r="B1321" s="43" t="n">
        <v>-23.602274</v>
      </c>
      <c r="C1321" s="43" t="n">
        <v>-46.607957</v>
      </c>
      <c r="D1321" s="43" t="n">
        <v>258</v>
      </c>
      <c r="E1321" s="44" t="n">
        <v>11426.008</v>
      </c>
    </row>
    <row r="1322">
      <c r="A1322" s="39">
        <f>_xlfn.XLOOKUP(17841,Trip[shape_id],Trip[shape_id],"Não encontrado")</f>
        <v/>
      </c>
      <c r="B1322" s="40" t="n">
        <v>-23.602178</v>
      </c>
      <c r="C1322" s="40" t="n">
        <v>-46.607156</v>
      </c>
      <c r="D1322" s="40" t="n">
        <v>259</v>
      </c>
      <c r="E1322" s="41" t="n">
        <v>11559.896</v>
      </c>
    </row>
    <row r="1323">
      <c r="A1323" s="42">
        <f>_xlfn.XLOOKUP(17841,Trip[shape_id],Trip[shape_id],"Não encontrado")</f>
        <v/>
      </c>
      <c r="B1323" s="43" t="n">
        <v>-23.602016</v>
      </c>
      <c r="C1323" s="43" t="n">
        <v>-46.605856</v>
      </c>
      <c r="D1323" s="43" t="n">
        <v>260</v>
      </c>
      <c r="E1323" s="44" t="n">
        <v>11588.433</v>
      </c>
    </row>
    <row r="1324">
      <c r="A1324" s="39">
        <f>_xlfn.XLOOKUP(17841,Trip[shape_id],Trip[shape_id],"Não encontrado")</f>
        <v/>
      </c>
      <c r="B1324" s="40" t="n">
        <v>-23.601981</v>
      </c>
      <c r="C1324" s="40" t="n">
        <v>-46.605579</v>
      </c>
      <c r="D1324" s="40" t="n">
        <v>261</v>
      </c>
      <c r="E1324" s="41" t="n">
        <v>11638.741</v>
      </c>
    </row>
    <row r="1325">
      <c r="A1325" s="42">
        <f>_xlfn.XLOOKUP(17841,Trip[shape_id],Trip[shape_id],"Não encontrado")</f>
        <v/>
      </c>
      <c r="B1325" s="43" t="n">
        <v>-23.601917</v>
      </c>
      <c r="C1325" s="43" t="n">
        <v>-46.605091</v>
      </c>
      <c r="D1325" s="43" t="n">
        <v>262</v>
      </c>
      <c r="E1325" s="44" t="n">
        <v>11708.085</v>
      </c>
    </row>
    <row r="1326">
      <c r="A1326" s="39">
        <f>_xlfn.XLOOKUP(17841,Trip[shape_id],Trip[shape_id],"Não encontrado")</f>
        <v/>
      </c>
      <c r="B1326" s="40" t="n">
        <v>-23.601761</v>
      </c>
      <c r="C1326" s="40" t="n">
        <v>-46.604433</v>
      </c>
      <c r="D1326" s="40" t="n">
        <v>263</v>
      </c>
      <c r="E1326" s="41" t="n">
        <v>11784.842</v>
      </c>
    </row>
    <row r="1327">
      <c r="A1327" s="42">
        <f>_xlfn.XLOOKUP(17841,Trip[shape_id],Trip[shape_id],"Não encontrado")</f>
        <v/>
      </c>
      <c r="B1327" s="43" t="n">
        <v>-23.60151</v>
      </c>
      <c r="C1327" s="43" t="n">
        <v>-46.603732</v>
      </c>
      <c r="D1327" s="43" t="n">
        <v>264</v>
      </c>
      <c r="E1327" s="44" t="n">
        <v>11903.262</v>
      </c>
    </row>
    <row r="1328">
      <c r="A1328" s="39">
        <f>_xlfn.XLOOKUP(17841,Trip[shape_id],Trip[shape_id],"Não encontrado")</f>
        <v/>
      </c>
      <c r="B1328" s="40" t="n">
        <v>-23.601321</v>
      </c>
      <c r="C1328" s="40" t="n">
        <v>-46.60259</v>
      </c>
      <c r="D1328" s="40" t="n">
        <v>265</v>
      </c>
      <c r="E1328" s="41" t="n">
        <v>11903.262</v>
      </c>
    </row>
    <row r="1329">
      <c r="A1329" s="42">
        <f>_xlfn.XLOOKUP(17841,Trip[shape_id],Trip[shape_id],"Não encontrado")</f>
        <v/>
      </c>
      <c r="B1329" s="43" t="n">
        <v>-23.601285</v>
      </c>
      <c r="C1329" s="43" t="n">
        <v>-46.602365</v>
      </c>
      <c r="D1329" s="43" t="n">
        <v>266</v>
      </c>
      <c r="E1329" s="44" t="n">
        <v>11926.569</v>
      </c>
    </row>
    <row r="1330">
      <c r="A1330" s="39">
        <f>_xlfn.XLOOKUP(17841,Trip[shape_id],Trip[shape_id],"Não encontrado")</f>
        <v/>
      </c>
      <c r="B1330" s="40" t="n">
        <v>-23.601169</v>
      </c>
      <c r="C1330" s="40" t="n">
        <v>-46.601663</v>
      </c>
      <c r="D1330" s="40" t="n">
        <v>267</v>
      </c>
      <c r="E1330" s="41" t="n">
        <v>11999.36</v>
      </c>
    </row>
    <row r="1331">
      <c r="A1331" s="42">
        <f>_xlfn.XLOOKUP(17841,Trip[shape_id],Trip[shape_id],"Não encontrado")</f>
        <v/>
      </c>
      <c r="B1331" s="43" t="n">
        <v>-23.600889</v>
      </c>
      <c r="C1331" s="43" t="n">
        <v>-46.600335</v>
      </c>
      <c r="D1331" s="43" t="n">
        <v>268</v>
      </c>
      <c r="E1331" s="44" t="n">
        <v>12138.402</v>
      </c>
    </row>
    <row r="1332">
      <c r="A1332" s="39">
        <f>_xlfn.XLOOKUP(17841,Trip[shape_id],Trip[shape_id],"Não encontrado")</f>
        <v/>
      </c>
      <c r="B1332" s="40" t="n">
        <v>-23.600824</v>
      </c>
      <c r="C1332" s="40" t="n">
        <v>-46.599585</v>
      </c>
      <c r="D1332" s="40" t="n">
        <v>269</v>
      </c>
      <c r="E1332" s="41" t="n">
        <v>12215.287</v>
      </c>
    </row>
    <row r="1333">
      <c r="A1333" s="42">
        <f>_xlfn.XLOOKUP(17841,Trip[shape_id],Trip[shape_id],"Não encontrado")</f>
        <v/>
      </c>
      <c r="B1333" s="43" t="n">
        <v>-23.60069</v>
      </c>
      <c r="C1333" s="43" t="n">
        <v>-46.598776</v>
      </c>
      <c r="D1333" s="43" t="n">
        <v>270</v>
      </c>
      <c r="E1333" s="44" t="n">
        <v>12299.18</v>
      </c>
    </row>
    <row r="1334">
      <c r="A1334" s="39">
        <f>_xlfn.XLOOKUP(17841,Trip[shape_id],Trip[shape_id],"Não encontrado")</f>
        <v/>
      </c>
      <c r="B1334" s="40" t="n">
        <v>-23.600299</v>
      </c>
      <c r="C1334" s="40" t="n">
        <v>-46.598032</v>
      </c>
      <c r="D1334" s="40" t="n">
        <v>271</v>
      </c>
      <c r="E1334" s="41" t="n">
        <v>12386.595</v>
      </c>
    </row>
    <row r="1335">
      <c r="A1335" s="42">
        <f>_xlfn.XLOOKUP(17841,Trip[shape_id],Trip[shape_id],"Não encontrado")</f>
        <v/>
      </c>
      <c r="B1335" s="43" t="n">
        <v>-23.600238</v>
      </c>
      <c r="C1335" s="43" t="n">
        <v>-46.597954</v>
      </c>
      <c r="D1335" s="43" t="n">
        <v>272</v>
      </c>
      <c r="E1335" s="44" t="n">
        <v>12397.036</v>
      </c>
    </row>
    <row r="1336">
      <c r="A1336" s="39">
        <f>_xlfn.XLOOKUP(17841,Trip[shape_id],Trip[shape_id],"Não encontrado")</f>
        <v/>
      </c>
      <c r="B1336" s="40" t="n">
        <v>-23.599834</v>
      </c>
      <c r="C1336" s="40" t="n">
        <v>-46.597463</v>
      </c>
      <c r="D1336" s="40" t="n">
        <v>273</v>
      </c>
      <c r="E1336" s="41" t="n">
        <v>12464.218</v>
      </c>
    </row>
    <row r="1337">
      <c r="A1337" s="42">
        <f>_xlfn.XLOOKUP(17841,Trip[shape_id],Trip[shape_id],"Não encontrado")</f>
        <v/>
      </c>
      <c r="B1337" s="43" t="n">
        <v>-23.599549</v>
      </c>
      <c r="C1337" s="43" t="n">
        <v>-46.597118</v>
      </c>
      <c r="D1337" s="43" t="n">
        <v>274</v>
      </c>
      <c r="E1337" s="44" t="n">
        <v>12511.506</v>
      </c>
    </row>
    <row r="1338">
      <c r="A1338" s="39">
        <f>_xlfn.XLOOKUP(17841,Trip[shape_id],Trip[shape_id],"Não encontrado")</f>
        <v/>
      </c>
      <c r="B1338" s="40" t="n">
        <v>-23.599357</v>
      </c>
      <c r="C1338" s="40" t="n">
        <v>-46.596933</v>
      </c>
      <c r="D1338" s="40" t="n">
        <v>275</v>
      </c>
      <c r="E1338" s="41" t="n">
        <v>12539.943</v>
      </c>
    </row>
    <row r="1339">
      <c r="A1339" s="42">
        <f>_xlfn.XLOOKUP(17841,Trip[shape_id],Trip[shape_id],"Não encontrado")</f>
        <v/>
      </c>
      <c r="B1339" s="43" t="n">
        <v>-23.599308</v>
      </c>
      <c r="C1339" s="43" t="n">
        <v>-46.596888</v>
      </c>
      <c r="D1339" s="43" t="n">
        <v>276</v>
      </c>
      <c r="E1339" s="44" t="n">
        <v>12547.053</v>
      </c>
    </row>
    <row r="1340">
      <c r="A1340" s="39">
        <f>_xlfn.XLOOKUP(17841,Trip[shape_id],Trip[shape_id],"Não encontrado")</f>
        <v/>
      </c>
      <c r="B1340" s="40" t="n">
        <v>-23.598426</v>
      </c>
      <c r="C1340" s="40" t="n">
        <v>-46.595804</v>
      </c>
      <c r="D1340" s="40" t="n">
        <v>277</v>
      </c>
      <c r="E1340" s="41" t="n">
        <v>12694.643</v>
      </c>
    </row>
    <row r="1341">
      <c r="A1341" s="42">
        <f>_xlfn.XLOOKUP(17841,Trip[shape_id],Trip[shape_id],"Não encontrado")</f>
        <v/>
      </c>
      <c r="B1341" s="43" t="n">
        <v>-23.597887</v>
      </c>
      <c r="C1341" s="43" t="n">
        <v>-46.595099</v>
      </c>
      <c r="D1341" s="43" t="n">
        <v>278</v>
      </c>
      <c r="E1341" s="44" t="n">
        <v>12788.137</v>
      </c>
    </row>
    <row r="1342">
      <c r="A1342" s="39">
        <f>_xlfn.XLOOKUP(17841,Trip[shape_id],Trip[shape_id],"Não encontrado")</f>
        <v/>
      </c>
      <c r="B1342" s="40" t="n">
        <v>-23.597672</v>
      </c>
      <c r="C1342" s="40" t="n">
        <v>-46.594816</v>
      </c>
      <c r="D1342" s="40" t="n">
        <v>279</v>
      </c>
      <c r="E1342" s="41" t="n">
        <v>12825.571</v>
      </c>
    </row>
    <row r="1343">
      <c r="A1343" s="42">
        <f>_xlfn.XLOOKUP(17841,Trip[shape_id],Trip[shape_id],"Não encontrado")</f>
        <v/>
      </c>
      <c r="B1343" s="43" t="n">
        <v>-23.596754</v>
      </c>
      <c r="C1343" s="43" t="n">
        <v>-46.59362</v>
      </c>
      <c r="D1343" s="43" t="n">
        <v>280</v>
      </c>
      <c r="E1343" s="44" t="n">
        <v>12984.437</v>
      </c>
    </row>
    <row r="1344">
      <c r="A1344" s="39">
        <f>_xlfn.XLOOKUP(17841,Trip[shape_id],Trip[shape_id],"Não encontrado")</f>
        <v/>
      </c>
      <c r="B1344" s="40" t="n">
        <v>-23.596183</v>
      </c>
      <c r="C1344" s="40" t="n">
        <v>-46.592873</v>
      </c>
      <c r="D1344" s="40" t="n">
        <v>281</v>
      </c>
      <c r="E1344" s="41" t="n">
        <v>13083.494</v>
      </c>
    </row>
    <row r="1345">
      <c r="A1345" s="42">
        <f>_xlfn.XLOOKUP(17841,Trip[shape_id],Trip[shape_id],"Não encontrado")</f>
        <v/>
      </c>
      <c r="B1345" s="43" t="n">
        <v>-23.595662</v>
      </c>
      <c r="C1345" s="43" t="n">
        <v>-46.592195</v>
      </c>
      <c r="D1345" s="43" t="n">
        <v>282</v>
      </c>
      <c r="E1345" s="44" t="n">
        <v>13173.596</v>
      </c>
    </row>
    <row r="1346">
      <c r="A1346" s="39">
        <f>_xlfn.XLOOKUP(17841,Trip[shape_id],Trip[shape_id],"Não encontrado")</f>
        <v/>
      </c>
      <c r="B1346" s="40" t="n">
        <v>-23.595135</v>
      </c>
      <c r="C1346" s="40" t="n">
        <v>-46.591733</v>
      </c>
      <c r="D1346" s="40" t="n">
        <v>283</v>
      </c>
      <c r="E1346" s="41" t="n">
        <v>13248.631</v>
      </c>
    </row>
    <row r="1347">
      <c r="A1347" s="42">
        <f>_xlfn.XLOOKUP(17841,Trip[shape_id],Trip[shape_id],"Não encontrado")</f>
        <v/>
      </c>
      <c r="B1347" s="43" t="n">
        <v>-23.594986</v>
      </c>
      <c r="C1347" s="43" t="n">
        <v>-46.591605</v>
      </c>
      <c r="D1347" s="43" t="n">
        <v>284</v>
      </c>
      <c r="E1347" s="44" t="n">
        <v>13269.679</v>
      </c>
    </row>
    <row r="1348">
      <c r="A1348" s="39">
        <f>_xlfn.XLOOKUP(17841,Trip[shape_id],Trip[shape_id],"Não encontrado")</f>
        <v/>
      </c>
      <c r="B1348" s="40" t="n">
        <v>-23.594747</v>
      </c>
      <c r="C1348" s="40" t="n">
        <v>-46.591392</v>
      </c>
      <c r="D1348" s="40" t="n">
        <v>285</v>
      </c>
      <c r="E1348" s="41" t="n">
        <v>13303.932</v>
      </c>
    </row>
    <row r="1349">
      <c r="A1349" s="42">
        <f>_xlfn.XLOOKUP(17841,Trip[shape_id],Trip[shape_id],"Não encontrado")</f>
        <v/>
      </c>
      <c r="B1349" s="43" t="n">
        <v>-23.594344</v>
      </c>
      <c r="C1349" s="43" t="n">
        <v>-46.591009</v>
      </c>
      <c r="D1349" s="43" t="n">
        <v>286</v>
      </c>
      <c r="E1349" s="44" t="n">
        <v>13363.264</v>
      </c>
    </row>
    <row r="1350">
      <c r="A1350" s="39">
        <f>_xlfn.XLOOKUP(17841,Trip[shape_id],Trip[shape_id],"Não encontrado")</f>
        <v/>
      </c>
      <c r="B1350" s="40" t="n">
        <v>-23.593924</v>
      </c>
      <c r="C1350" s="40" t="n">
        <v>-46.590638</v>
      </c>
      <c r="D1350" s="40" t="n">
        <v>287</v>
      </c>
      <c r="E1350" s="41" t="n">
        <v>13423.244</v>
      </c>
    </row>
    <row r="1351">
      <c r="A1351" s="42">
        <f>_xlfn.XLOOKUP(17841,Trip[shape_id],Trip[shape_id],"Não encontrado")</f>
        <v/>
      </c>
      <c r="B1351" s="43" t="n">
        <v>-23.592697</v>
      </c>
      <c r="C1351" s="43" t="n">
        <v>-46.589477</v>
      </c>
      <c r="D1351" s="43" t="n">
        <v>288</v>
      </c>
      <c r="E1351" s="44" t="n">
        <v>13603.549</v>
      </c>
    </row>
    <row r="1352">
      <c r="A1352" s="39">
        <f>_xlfn.XLOOKUP(17841,Trip[shape_id],Trip[shape_id],"Não encontrado")</f>
        <v/>
      </c>
      <c r="B1352" s="40" t="n">
        <v>-23.592595</v>
      </c>
      <c r="C1352" s="40" t="n">
        <v>-46.589347</v>
      </c>
      <c r="D1352" s="40" t="n">
        <v>289</v>
      </c>
      <c r="E1352" s="41" t="n">
        <v>13854.271</v>
      </c>
    </row>
    <row r="1353">
      <c r="A1353" s="42">
        <f>_xlfn.XLOOKUP(17841,Trip[shape_id],Trip[shape_id],"Não encontrado")</f>
        <v/>
      </c>
      <c r="B1353" s="43" t="n">
        <v>-23.59124</v>
      </c>
      <c r="C1353" s="43" t="n">
        <v>-46.587597</v>
      </c>
      <c r="D1353" s="43" t="n">
        <v>290</v>
      </c>
      <c r="E1353" s="44" t="n">
        <v>14127.62</v>
      </c>
    </row>
    <row r="1354">
      <c r="A1354" s="39">
        <f>_xlfn.XLOOKUP(17841,Trip[shape_id],Trip[shape_id],"Não encontrado")</f>
        <v/>
      </c>
      <c r="B1354" s="40" t="n">
        <v>-23.589653</v>
      </c>
      <c r="C1354" s="40" t="n">
        <v>-46.585546</v>
      </c>
      <c r="D1354" s="40" t="n">
        <v>291</v>
      </c>
      <c r="E1354" s="41" t="n">
        <v>14287.05</v>
      </c>
    </row>
    <row r="1355">
      <c r="A1355" s="42">
        <f>_xlfn.XLOOKUP(17841,Trip[shape_id],Trip[shape_id],"Não encontrado")</f>
        <v/>
      </c>
      <c r="B1355" s="43" t="n">
        <v>-23.5886</v>
      </c>
      <c r="C1355" s="43" t="n">
        <v>-46.584481</v>
      </c>
      <c r="D1355" s="43" t="n">
        <v>292</v>
      </c>
      <c r="E1355" s="44" t="n">
        <v>14390.336</v>
      </c>
    </row>
    <row r="1356">
      <c r="A1356" s="39">
        <f>_xlfn.XLOOKUP(17841,Trip[shape_id],Trip[shape_id],"Não encontrado")</f>
        <v/>
      </c>
      <c r="B1356" s="40" t="n">
        <v>-23.587917</v>
      </c>
      <c r="C1356" s="40" t="n">
        <v>-46.583792</v>
      </c>
      <c r="D1356" s="40" t="n">
        <v>293</v>
      </c>
      <c r="E1356" s="41" t="n">
        <v>14473.024</v>
      </c>
    </row>
    <row r="1357">
      <c r="A1357" s="42">
        <f>_xlfn.XLOOKUP(17841,Trip[shape_id],Trip[shape_id],"Não encontrado")</f>
        <v/>
      </c>
      <c r="B1357" s="43" t="n">
        <v>-23.587245</v>
      </c>
      <c r="C1357" s="43" t="n">
        <v>-46.583439</v>
      </c>
      <c r="D1357" s="43" t="n">
        <v>294</v>
      </c>
      <c r="E1357" s="44" t="n">
        <v>14629.834</v>
      </c>
    </row>
    <row r="1358">
      <c r="A1358" s="39">
        <f>_xlfn.XLOOKUP(17841,Trip[shape_id],Trip[shape_id],"Não encontrado")</f>
        <v/>
      </c>
      <c r="B1358" s="40" t="n">
        <v>-23.58597</v>
      </c>
      <c r="C1358" s="40" t="n">
        <v>-46.582771</v>
      </c>
      <c r="D1358" s="40" t="n">
        <v>295</v>
      </c>
      <c r="E1358" s="41" t="n">
        <v>14706.006</v>
      </c>
    </row>
    <row r="1359">
      <c r="A1359" s="42">
        <f>_xlfn.XLOOKUP(17841,Trip[shape_id],Trip[shape_id],"Não encontrado")</f>
        <v/>
      </c>
      <c r="B1359" s="43" t="n">
        <v>-23.58535</v>
      </c>
      <c r="C1359" s="43" t="n">
        <v>-46.582448</v>
      </c>
      <c r="D1359" s="43" t="n">
        <v>296</v>
      </c>
      <c r="E1359" s="44" t="n">
        <v>14781.563</v>
      </c>
    </row>
    <row r="1360">
      <c r="A1360" s="39">
        <f>_xlfn.XLOOKUP(17841,Trip[shape_id],Trip[shape_id],"Não encontrado")</f>
        <v/>
      </c>
      <c r="B1360" s="40" t="n">
        <v>-23.585087</v>
      </c>
      <c r="C1360" s="40" t="n">
        <v>-46.583131</v>
      </c>
      <c r="D1360" s="40" t="n">
        <v>297</v>
      </c>
      <c r="E1360" s="41" t="n">
        <v>14806.776</v>
      </c>
    </row>
    <row r="1361">
      <c r="A1361" s="42">
        <f>_xlfn.XLOOKUP(17841,Trip[shape_id],Trip[shape_id],"Não encontrado")</f>
        <v/>
      </c>
      <c r="B1361" s="43" t="n">
        <v>-23.584871</v>
      </c>
      <c r="C1361" s="43" t="n">
        <v>-46.583053</v>
      </c>
      <c r="D1361" s="43" t="n">
        <v>298</v>
      </c>
      <c r="E1361" s="44" t="n">
        <v>14855.189</v>
      </c>
    </row>
    <row r="1362">
      <c r="A1362" s="39">
        <f>_xlfn.XLOOKUP(17841,Trip[shape_id],Trip[shape_id],"Não encontrado")</f>
        <v/>
      </c>
      <c r="B1362" s="40" t="n">
        <v>-23.584601</v>
      </c>
      <c r="C1362" s="40" t="n">
        <v>-46.583426</v>
      </c>
      <c r="D1362" s="40" t="n">
        <v>299</v>
      </c>
      <c r="E1362" s="41" t="n">
        <v>14855.189</v>
      </c>
    </row>
    <row r="1363">
      <c r="A1363" s="42">
        <f>_xlfn.XLOOKUP(17841,Trip[shape_id],Trip[shape_id],"Não encontrado")</f>
        <v/>
      </c>
      <c r="B1363" s="43" t="n">
        <v>-23.584824</v>
      </c>
      <c r="C1363" s="43" t="n">
        <v>-46.583015</v>
      </c>
      <c r="D1363" s="43" t="n">
        <v>300</v>
      </c>
      <c r="E1363" s="44" t="n">
        <v>14925.93</v>
      </c>
    </row>
    <row r="1364">
      <c r="A1364" s="39">
        <f>_xlfn.XLOOKUP(17841,Trip[shape_id],Trip[shape_id],"Não encontrado")</f>
        <v/>
      </c>
      <c r="B1364" s="40" t="n">
        <v>-23.584804</v>
      </c>
      <c r="C1364" s="40" t="n">
        <v>-46.5828</v>
      </c>
      <c r="D1364" s="40" t="n">
        <v>301</v>
      </c>
      <c r="E1364" s="41" t="n">
        <v>14960.774</v>
      </c>
    </row>
    <row r="1365">
      <c r="A1365" s="42">
        <f>_xlfn.XLOOKUP(17841,Trip[shape_id],Trip[shape_id],"Não encontrado")</f>
        <v/>
      </c>
      <c r="B1365" s="43" t="n">
        <v>-23.584539</v>
      </c>
      <c r="C1365" s="43" t="n">
        <v>-46.582616</v>
      </c>
      <c r="D1365" s="43" t="n">
        <v>302</v>
      </c>
      <c r="E1365" s="44" t="n">
        <v>15020.145</v>
      </c>
    </row>
    <row r="1366">
      <c r="A1366" s="39">
        <f>_xlfn.XLOOKUP(17841,Trip[shape_id],Trip[shape_id],"Não encontrado")</f>
        <v/>
      </c>
      <c r="B1366" s="40" t="n">
        <v>-23.584631</v>
      </c>
      <c r="C1366" s="40" t="n">
        <v>-46.582043</v>
      </c>
      <c r="D1366" s="40" t="n">
        <v>303</v>
      </c>
      <c r="E1366" s="41" t="n">
        <v>15044.875</v>
      </c>
    </row>
    <row r="1367">
      <c r="A1367" s="42">
        <f>_xlfn.XLOOKUP(17841,Trip[shape_id],Trip[shape_id],"Não encontrado")</f>
        <v/>
      </c>
      <c r="B1367" s="43" t="n">
        <v>-23.584433</v>
      </c>
      <c r="C1367" s="43" t="n">
        <v>-46.581931</v>
      </c>
      <c r="D1367" s="43" t="n">
        <v>304</v>
      </c>
      <c r="E1367" s="44" t="n">
        <v>15044.875</v>
      </c>
    </row>
    <row r="1368">
      <c r="A1368" s="39">
        <f>_xlfn.XLOOKUP(17842,Trip[shape_id],Trip[shape_id],"Não encontrado")</f>
        <v/>
      </c>
      <c r="B1368" s="40" t="n">
        <v>-23.52559</v>
      </c>
      <c r="C1368" s="40" t="n">
        <v>-46.666964</v>
      </c>
      <c r="D1368" s="40" t="n">
        <v>1</v>
      </c>
      <c r="E1368" s="41" t="n">
        <v>0</v>
      </c>
    </row>
    <row r="1369">
      <c r="A1369" s="42">
        <f>_xlfn.XLOOKUP(17842,Trip[shape_id],Trip[shape_id],"Não encontrado")</f>
        <v/>
      </c>
      <c r="B1369" s="43" t="n">
        <v>-23.525895</v>
      </c>
      <c r="C1369" s="43" t="n">
        <v>-46.666669</v>
      </c>
      <c r="D1369" s="43" t="n">
        <v>2</v>
      </c>
      <c r="E1369" s="44" t="n">
        <v>45.261414</v>
      </c>
    </row>
    <row r="1370">
      <c r="A1370" s="39">
        <f>_xlfn.XLOOKUP(17842,Trip[shape_id],Trip[shape_id],"Não encontrado")</f>
        <v/>
      </c>
      <c r="B1370" s="40" t="n">
        <v>-23.526063</v>
      </c>
      <c r="C1370" s="40" t="n">
        <v>-46.666066</v>
      </c>
      <c r="D1370" s="40" t="n">
        <v>3</v>
      </c>
      <c r="E1370" s="41" t="n">
        <v>109.59</v>
      </c>
    </row>
    <row r="1371">
      <c r="A1371" s="42">
        <f>_xlfn.XLOOKUP(17842,Trip[shape_id],Trip[shape_id],"Não encontrado")</f>
        <v/>
      </c>
      <c r="B1371" s="43" t="n">
        <v>-23.526109</v>
      </c>
      <c r="C1371" s="43" t="n">
        <v>-46.665896</v>
      </c>
      <c r="D1371" s="43" t="n">
        <v>4</v>
      </c>
      <c r="E1371" s="44" t="n">
        <v>127.68282</v>
      </c>
    </row>
    <row r="1372">
      <c r="A1372" s="39">
        <f>_xlfn.XLOOKUP(17842,Trip[shape_id],Trip[shape_id],"Não encontrado")</f>
        <v/>
      </c>
      <c r="B1372" s="40" t="n">
        <v>-23.526207</v>
      </c>
      <c r="C1372" s="40" t="n">
        <v>-46.665252</v>
      </c>
      <c r="D1372" s="40" t="n">
        <v>5</v>
      </c>
      <c r="E1372" s="41" t="n">
        <v>194.33827</v>
      </c>
    </row>
    <row r="1373">
      <c r="A1373" s="42">
        <f>_xlfn.XLOOKUP(17842,Trip[shape_id],Trip[shape_id],"Não encontrado")</f>
        <v/>
      </c>
      <c r="B1373" s="43" t="n">
        <v>-23.526464</v>
      </c>
      <c r="C1373" s="43" t="n">
        <v>-46.664503</v>
      </c>
      <c r="D1373" s="43" t="n">
        <v>6</v>
      </c>
      <c r="E1373" s="44" t="n">
        <v>275.95099</v>
      </c>
    </row>
    <row r="1374">
      <c r="A1374" s="39">
        <f>_xlfn.XLOOKUP(17842,Trip[shape_id],Trip[shape_id],"Não encontrado")</f>
        <v/>
      </c>
      <c r="B1374" s="40" t="n">
        <v>-23.527123</v>
      </c>
      <c r="C1374" s="40" t="n">
        <v>-46.66292</v>
      </c>
      <c r="D1374" s="40" t="n">
        <v>7</v>
      </c>
      <c r="E1374" s="41" t="n">
        <v>453.31976</v>
      </c>
    </row>
    <row r="1375">
      <c r="A1375" s="42">
        <f>_xlfn.XLOOKUP(17842,Trip[shape_id],Trip[shape_id],"Não encontrado")</f>
        <v/>
      </c>
      <c r="B1375" s="43" t="n">
        <v>-23.527391</v>
      </c>
      <c r="C1375" s="43" t="n">
        <v>-46.66228</v>
      </c>
      <c r="D1375" s="43" t="n">
        <v>8</v>
      </c>
      <c r="E1375" s="44" t="n">
        <v>525.10065</v>
      </c>
    </row>
    <row r="1376">
      <c r="A1376" s="39">
        <f>_xlfn.XLOOKUP(17842,Trip[shape_id],Trip[shape_id],"Não encontrado")</f>
        <v/>
      </c>
      <c r="B1376" s="40" t="n">
        <v>-23.528138</v>
      </c>
      <c r="C1376" s="40" t="n">
        <v>-46.66145</v>
      </c>
      <c r="D1376" s="40" t="n">
        <v>9</v>
      </c>
      <c r="E1376" s="41" t="n">
        <v>643.54309</v>
      </c>
    </row>
    <row r="1377">
      <c r="A1377" s="42">
        <f>_xlfn.XLOOKUP(17842,Trip[shape_id],Trip[shape_id],"Não encontrado")</f>
        <v/>
      </c>
      <c r="B1377" s="43" t="n">
        <v>-23.52824</v>
      </c>
      <c r="C1377" s="43" t="n">
        <v>-46.661339</v>
      </c>
      <c r="D1377" s="43" t="n">
        <v>10</v>
      </c>
      <c r="E1377" s="44" t="n">
        <v>659.54626</v>
      </c>
    </row>
    <row r="1378">
      <c r="A1378" s="39">
        <f>_xlfn.XLOOKUP(17842,Trip[shape_id],Trip[shape_id],"Não encontrado")</f>
        <v/>
      </c>
      <c r="B1378" s="40" t="n">
        <v>-23.529003</v>
      </c>
      <c r="C1378" s="40" t="n">
        <v>-46.660876</v>
      </c>
      <c r="D1378" s="40" t="n">
        <v>11</v>
      </c>
      <c r="E1378" s="41" t="n">
        <v>756.37769</v>
      </c>
    </row>
    <row r="1379">
      <c r="A1379" s="42">
        <f>_xlfn.XLOOKUP(17842,Trip[shape_id],Trip[shape_id],"Não encontrado")</f>
        <v/>
      </c>
      <c r="B1379" s="43" t="n">
        <v>-23.52937</v>
      </c>
      <c r="C1379" s="43" t="n">
        <v>-46.660715</v>
      </c>
      <c r="D1379" s="43" t="n">
        <v>12</v>
      </c>
      <c r="E1379" s="44" t="n">
        <v>800.22266</v>
      </c>
    </row>
    <row r="1380">
      <c r="A1380" s="39">
        <f>_xlfn.XLOOKUP(17842,Trip[shape_id],Trip[shape_id],"Não encontrado")</f>
        <v/>
      </c>
      <c r="B1380" s="40" t="n">
        <v>-23.529694</v>
      </c>
      <c r="C1380" s="40" t="n">
        <v>-46.660479</v>
      </c>
      <c r="D1380" s="40" t="n">
        <v>13</v>
      </c>
      <c r="E1380" s="41" t="n">
        <v>843.44794</v>
      </c>
    </row>
    <row r="1381">
      <c r="A1381" s="42">
        <f>_xlfn.XLOOKUP(17842,Trip[shape_id],Trip[shape_id],"Não encontrado")</f>
        <v/>
      </c>
      <c r="B1381" s="43" t="n">
        <v>-23.530201</v>
      </c>
      <c r="C1381" s="43" t="n">
        <v>-46.660092</v>
      </c>
      <c r="D1381" s="43" t="n">
        <v>14</v>
      </c>
      <c r="E1381" s="44" t="n">
        <v>912.11188</v>
      </c>
    </row>
    <row r="1382">
      <c r="A1382" s="39">
        <f>_xlfn.XLOOKUP(17842,Trip[shape_id],Trip[shape_id],"Não encontrado")</f>
        <v/>
      </c>
      <c r="B1382" s="40" t="n">
        <v>-23.531847</v>
      </c>
      <c r="C1382" s="40" t="n">
        <v>-46.658833</v>
      </c>
      <c r="D1382" s="40" t="n">
        <v>15</v>
      </c>
      <c r="E1382" s="41" t="n">
        <v>1135.1842</v>
      </c>
    </row>
    <row r="1383">
      <c r="A1383" s="42">
        <f>_xlfn.XLOOKUP(17842,Trip[shape_id],Trip[shape_id],"Não encontrado")</f>
        <v/>
      </c>
      <c r="B1383" s="43" t="n">
        <v>-23.532119</v>
      </c>
      <c r="C1383" s="43" t="n">
        <v>-46.658638</v>
      </c>
      <c r="D1383" s="43" t="n">
        <v>16</v>
      </c>
      <c r="E1383" s="44" t="n">
        <v>1171.2952</v>
      </c>
    </row>
    <row r="1384">
      <c r="A1384" s="39">
        <f>_xlfn.XLOOKUP(17842,Trip[shape_id],Trip[shape_id],"Não encontrado")</f>
        <v/>
      </c>
      <c r="B1384" s="40" t="n">
        <v>-23.532255</v>
      </c>
      <c r="C1384" s="40" t="n">
        <v>-46.65842</v>
      </c>
      <c r="D1384" s="40" t="n">
        <v>17</v>
      </c>
      <c r="E1384" s="41" t="n">
        <v>1198.1732</v>
      </c>
    </row>
    <row r="1385">
      <c r="A1385" s="42">
        <f>_xlfn.XLOOKUP(17842,Trip[shape_id],Trip[shape_id],"Não encontrado")</f>
        <v/>
      </c>
      <c r="B1385" s="43" t="n">
        <v>-23.532389</v>
      </c>
      <c r="C1385" s="43" t="n">
        <v>-46.658264</v>
      </c>
      <c r="D1385" s="43" t="n">
        <v>18</v>
      </c>
      <c r="E1385" s="44" t="n">
        <v>1219.9449</v>
      </c>
    </row>
    <row r="1386">
      <c r="A1386" s="39">
        <f>_xlfn.XLOOKUP(17842,Trip[shape_id],Trip[shape_id],"Não encontrado")</f>
        <v/>
      </c>
      <c r="B1386" s="40" t="n">
        <v>-23.533594</v>
      </c>
      <c r="C1386" s="40" t="n">
        <v>-46.65618</v>
      </c>
      <c r="D1386" s="40" t="n">
        <v>19</v>
      </c>
      <c r="E1386" s="41" t="n">
        <v>1471.1382</v>
      </c>
    </row>
    <row r="1387">
      <c r="A1387" s="42">
        <f>_xlfn.XLOOKUP(17842,Trip[shape_id],Trip[shape_id],"Não encontrado")</f>
        <v/>
      </c>
      <c r="B1387" s="43" t="n">
        <v>-23.53381</v>
      </c>
      <c r="C1387" s="43" t="n">
        <v>-46.655833</v>
      </c>
      <c r="D1387" s="43" t="n">
        <v>20</v>
      </c>
      <c r="E1387" s="44" t="n">
        <v>1513.8914</v>
      </c>
    </row>
    <row r="1388">
      <c r="A1388" s="39">
        <f>_xlfn.XLOOKUP(17842,Trip[shape_id],Trip[shape_id],"Não encontrado")</f>
        <v/>
      </c>
      <c r="B1388" s="40" t="n">
        <v>-23.533934</v>
      </c>
      <c r="C1388" s="40" t="n">
        <v>-46.65585</v>
      </c>
      <c r="D1388" s="40" t="n">
        <v>21</v>
      </c>
      <c r="E1388" s="41" t="n">
        <v>1527.7341</v>
      </c>
    </row>
    <row r="1389">
      <c r="A1389" s="42">
        <f>_xlfn.XLOOKUP(17842,Trip[shape_id],Trip[shape_id],"Não encontrado")</f>
        <v/>
      </c>
      <c r="B1389" s="43" t="n">
        <v>-23.53388</v>
      </c>
      <c r="C1389" s="43" t="n">
        <v>-46.65572</v>
      </c>
      <c r="D1389" s="43" t="n">
        <v>22</v>
      </c>
      <c r="E1389" s="44" t="n">
        <v>1542.2943</v>
      </c>
    </row>
    <row r="1390">
      <c r="A1390" s="39">
        <f>_xlfn.XLOOKUP(17842,Trip[shape_id],Trip[shape_id],"Não encontrado")</f>
        <v/>
      </c>
      <c r="B1390" s="40" t="n">
        <v>-23.53534</v>
      </c>
      <c r="C1390" s="40" t="n">
        <v>-46.653376</v>
      </c>
      <c r="D1390" s="40" t="n">
        <v>23</v>
      </c>
      <c r="E1390" s="41" t="n">
        <v>1831.1494</v>
      </c>
    </row>
    <row r="1391">
      <c r="A1391" s="42">
        <f>_xlfn.XLOOKUP(17842,Trip[shape_id],Trip[shape_id],"Não encontrado")</f>
        <v/>
      </c>
      <c r="B1391" s="43" t="n">
        <v>-23.535595</v>
      </c>
      <c r="C1391" s="43" t="n">
        <v>-46.652968</v>
      </c>
      <c r="D1391" s="43" t="n">
        <v>24</v>
      </c>
      <c r="E1391" s="44" t="n">
        <v>1881.4818</v>
      </c>
    </row>
    <row r="1392">
      <c r="A1392" s="39">
        <f>_xlfn.XLOOKUP(17842,Trip[shape_id],Trip[shape_id],"Não encontrado")</f>
        <v/>
      </c>
      <c r="B1392" s="40" t="n">
        <v>-23.536039</v>
      </c>
      <c r="C1392" s="40" t="n">
        <v>-46.65225</v>
      </c>
      <c r="D1392" s="40" t="n">
        <v>25</v>
      </c>
      <c r="E1392" s="41" t="n">
        <v>1969.7627</v>
      </c>
    </row>
    <row r="1393">
      <c r="A1393" s="42">
        <f>_xlfn.XLOOKUP(17842,Trip[shape_id],Trip[shape_id],"Não encontrado")</f>
        <v/>
      </c>
      <c r="B1393" s="43" t="n">
        <v>-23.536421</v>
      </c>
      <c r="C1393" s="43" t="n">
        <v>-46.651638</v>
      </c>
      <c r="D1393" s="43" t="n">
        <v>26</v>
      </c>
      <c r="E1393" s="44" t="n">
        <v>2045.2299</v>
      </c>
    </row>
    <row r="1394">
      <c r="A1394" s="39">
        <f>_xlfn.XLOOKUP(17842,Trip[shape_id],Trip[shape_id],"Não encontrado")</f>
        <v/>
      </c>
      <c r="B1394" s="40" t="n">
        <v>-23.536832</v>
      </c>
      <c r="C1394" s="40" t="n">
        <v>-46.650974</v>
      </c>
      <c r="D1394" s="40" t="n">
        <v>27</v>
      </c>
      <c r="E1394" s="41" t="n">
        <v>2126.895</v>
      </c>
    </row>
    <row r="1395">
      <c r="A1395" s="42">
        <f>_xlfn.XLOOKUP(17842,Trip[shape_id],Trip[shape_id],"Não encontrado")</f>
        <v/>
      </c>
      <c r="B1395" s="43" t="n">
        <v>-23.537269</v>
      </c>
      <c r="C1395" s="43" t="n">
        <v>-46.650272</v>
      </c>
      <c r="D1395" s="43" t="n">
        <v>28</v>
      </c>
      <c r="E1395" s="44" t="n">
        <v>2213.387</v>
      </c>
    </row>
    <row r="1396">
      <c r="A1396" s="39">
        <f>_xlfn.XLOOKUP(17842,Trip[shape_id],Trip[shape_id],"Não encontrado")</f>
        <v/>
      </c>
      <c r="B1396" s="40" t="n">
        <v>-23.537699</v>
      </c>
      <c r="C1396" s="40" t="n">
        <v>-46.649578</v>
      </c>
      <c r="D1396" s="40" t="n">
        <v>29</v>
      </c>
      <c r="E1396" s="41" t="n">
        <v>2298.7681</v>
      </c>
    </row>
    <row r="1397">
      <c r="A1397" s="42">
        <f>_xlfn.XLOOKUP(17842,Trip[shape_id],Trip[shape_id],"Não encontrado")</f>
        <v/>
      </c>
      <c r="B1397" s="43" t="n">
        <v>-23.537935</v>
      </c>
      <c r="C1397" s="43" t="n">
        <v>-46.649196</v>
      </c>
      <c r="D1397" s="43" t="n">
        <v>30</v>
      </c>
      <c r="E1397" s="44" t="n">
        <v>2345.7222</v>
      </c>
    </row>
    <row r="1398">
      <c r="A1398" s="39">
        <f>_xlfn.XLOOKUP(17842,Trip[shape_id],Trip[shape_id],"Não encontrado")</f>
        <v/>
      </c>
      <c r="B1398" s="40" t="n">
        <v>-23.538128</v>
      </c>
      <c r="C1398" s="40" t="n">
        <v>-46.648971</v>
      </c>
      <c r="D1398" s="40" t="n">
        <v>31</v>
      </c>
      <c r="E1398" s="41" t="n">
        <v>2377.1028</v>
      </c>
    </row>
    <row r="1399">
      <c r="A1399" s="42">
        <f>_xlfn.XLOOKUP(17842,Trip[shape_id],Trip[shape_id],"Não encontrado")</f>
        <v/>
      </c>
      <c r="B1399" s="43" t="n">
        <v>-23.538448</v>
      </c>
      <c r="C1399" s="43" t="n">
        <v>-46.648682</v>
      </c>
      <c r="D1399" s="43" t="n">
        <v>32</v>
      </c>
      <c r="E1399" s="44" t="n">
        <v>2423.2209</v>
      </c>
    </row>
    <row r="1400">
      <c r="A1400" s="39">
        <f>_xlfn.XLOOKUP(17842,Trip[shape_id],Trip[shape_id],"Não encontrado")</f>
        <v/>
      </c>
      <c r="B1400" s="40" t="n">
        <v>-23.538563</v>
      </c>
      <c r="C1400" s="40" t="n">
        <v>-46.648543</v>
      </c>
      <c r="D1400" s="40" t="n">
        <v>33</v>
      </c>
      <c r="E1400" s="41" t="n">
        <v>2442.291</v>
      </c>
    </row>
    <row r="1401">
      <c r="A1401" s="42">
        <f>_xlfn.XLOOKUP(17842,Trip[shape_id],Trip[shape_id],"Não encontrado")</f>
        <v/>
      </c>
      <c r="B1401" s="43" t="n">
        <v>-23.538703</v>
      </c>
      <c r="C1401" s="43" t="n">
        <v>-46.648301</v>
      </c>
      <c r="D1401" s="43" t="n">
        <v>34</v>
      </c>
      <c r="E1401" s="44" t="n">
        <v>2471.4636</v>
      </c>
    </row>
    <row r="1402">
      <c r="A1402" s="39">
        <f>_xlfn.XLOOKUP(17842,Trip[shape_id],Trip[shape_id],"Não encontrado")</f>
        <v/>
      </c>
      <c r="B1402" s="40" t="n">
        <v>-23.539006</v>
      </c>
      <c r="C1402" s="40" t="n">
        <v>-46.647954</v>
      </c>
      <c r="D1402" s="40" t="n">
        <v>35</v>
      </c>
      <c r="E1402" s="41" t="n">
        <v>2520.2651</v>
      </c>
    </row>
    <row r="1403">
      <c r="A1403" s="42">
        <f>_xlfn.XLOOKUP(17842,Trip[shape_id],Trip[shape_id],"Não encontrado")</f>
        <v/>
      </c>
      <c r="B1403" s="43" t="n">
        <v>-23.539087</v>
      </c>
      <c r="C1403" s="43" t="n">
        <v>-46.647855</v>
      </c>
      <c r="D1403" s="43" t="n">
        <v>36</v>
      </c>
      <c r="E1403" s="44" t="n">
        <v>2533.7803</v>
      </c>
    </row>
    <row r="1404">
      <c r="A1404" s="39">
        <f>_xlfn.XLOOKUP(17842,Trip[shape_id],Trip[shape_id],"Não encontrado")</f>
        <v/>
      </c>
      <c r="B1404" s="40" t="n">
        <v>-23.53927</v>
      </c>
      <c r="C1404" s="40" t="n">
        <v>-46.647689</v>
      </c>
      <c r="D1404" s="40" t="n">
        <v>37</v>
      </c>
      <c r="E1404" s="41" t="n">
        <v>2560.2017</v>
      </c>
    </row>
    <row r="1405">
      <c r="A1405" s="42">
        <f>_xlfn.XLOOKUP(17842,Trip[shape_id],Trip[shape_id],"Não encontrado")</f>
        <v/>
      </c>
      <c r="B1405" s="43" t="n">
        <v>-23.539608</v>
      </c>
      <c r="C1405" s="43" t="n">
        <v>-46.64739</v>
      </c>
      <c r="D1405" s="43" t="n">
        <v>38</v>
      </c>
      <c r="E1405" s="44" t="n">
        <v>2608.5073</v>
      </c>
    </row>
    <row r="1406">
      <c r="A1406" s="39">
        <f>_xlfn.XLOOKUP(17842,Trip[shape_id],Trip[shape_id],"Não encontrado")</f>
        <v/>
      </c>
      <c r="B1406" s="40" t="n">
        <v>-23.540078</v>
      </c>
      <c r="C1406" s="40" t="n">
        <v>-46.646964</v>
      </c>
      <c r="D1406" s="40" t="n">
        <v>39</v>
      </c>
      <c r="E1406" s="41" t="n">
        <v>2676.3433</v>
      </c>
    </row>
    <row r="1407">
      <c r="A1407" s="42">
        <f>_xlfn.XLOOKUP(17842,Trip[shape_id],Trip[shape_id],"Não encontrado")</f>
        <v/>
      </c>
      <c r="B1407" s="43" t="n">
        <v>-23.540471</v>
      </c>
      <c r="C1407" s="43" t="n">
        <v>-46.646576</v>
      </c>
      <c r="D1407" s="43" t="n">
        <v>40</v>
      </c>
      <c r="E1407" s="44" t="n">
        <v>2735.2</v>
      </c>
    </row>
    <row r="1408">
      <c r="A1408" s="39">
        <f>_xlfn.XLOOKUP(17842,Trip[shape_id],Trip[shape_id],"Não encontrado")</f>
        <v/>
      </c>
      <c r="B1408" s="40" t="n">
        <v>-23.540768</v>
      </c>
      <c r="C1408" s="40" t="n">
        <v>-46.646283</v>
      </c>
      <c r="D1408" s="40" t="n">
        <v>41</v>
      </c>
      <c r="E1408" s="41" t="n">
        <v>2779.6641</v>
      </c>
    </row>
    <row r="1409">
      <c r="A1409" s="42">
        <f>_xlfn.XLOOKUP(17842,Trip[shape_id],Trip[shape_id],"Não encontrado")</f>
        <v/>
      </c>
      <c r="B1409" s="43" t="n">
        <v>-23.540908</v>
      </c>
      <c r="C1409" s="43" t="n">
        <v>-46.646143</v>
      </c>
      <c r="D1409" s="43" t="n">
        <v>42</v>
      </c>
      <c r="E1409" s="44" t="n">
        <v>2800.7537</v>
      </c>
    </row>
    <row r="1410">
      <c r="A1410" s="39">
        <f>_xlfn.XLOOKUP(17842,Trip[shape_id],Trip[shape_id],"Não encontrado")</f>
        <v/>
      </c>
      <c r="B1410" s="40" t="n">
        <v>-23.541238</v>
      </c>
      <c r="C1410" s="40" t="n">
        <v>-46.645732</v>
      </c>
      <c r="D1410" s="40" t="n">
        <v>43</v>
      </c>
      <c r="E1410" s="41" t="n">
        <v>2856.4043</v>
      </c>
    </row>
    <row r="1411">
      <c r="A1411" s="42">
        <f>_xlfn.XLOOKUP(17842,Trip[shape_id],Trip[shape_id],"Não encontrado")</f>
        <v/>
      </c>
      <c r="B1411" s="43" t="n">
        <v>-23.541636</v>
      </c>
      <c r="C1411" s="43" t="n">
        <v>-46.645339</v>
      </c>
      <c r="D1411" s="43" t="n">
        <v>44</v>
      </c>
      <c r="E1411" s="44" t="n">
        <v>2916.0137</v>
      </c>
    </row>
    <row r="1412">
      <c r="A1412" s="39">
        <f>_xlfn.XLOOKUP(17842,Trip[shape_id],Trip[shape_id],"Não encontrado")</f>
        <v/>
      </c>
      <c r="B1412" s="40" t="n">
        <v>-23.541821</v>
      </c>
      <c r="C1412" s="40" t="n">
        <v>-46.645163</v>
      </c>
      <c r="D1412" s="40" t="n">
        <v>45</v>
      </c>
      <c r="E1412" s="41" t="n">
        <v>2943.2673</v>
      </c>
    </row>
    <row r="1413">
      <c r="A1413" s="42">
        <f>_xlfn.XLOOKUP(17842,Trip[shape_id],Trip[shape_id],"Não encontrado")</f>
        <v/>
      </c>
      <c r="B1413" s="43" t="n">
        <v>-23.54221</v>
      </c>
      <c r="C1413" s="43" t="n">
        <v>-46.644709</v>
      </c>
      <c r="D1413" s="43" t="n">
        <v>46</v>
      </c>
      <c r="E1413" s="44" t="n">
        <v>3006.553</v>
      </c>
    </row>
    <row r="1414">
      <c r="A1414" s="39">
        <f>_xlfn.XLOOKUP(17842,Trip[shape_id],Trip[shape_id],"Não encontrado")</f>
        <v/>
      </c>
      <c r="B1414" s="40" t="n">
        <v>-23.542734</v>
      </c>
      <c r="C1414" s="40" t="n">
        <v>-46.64414</v>
      </c>
      <c r="D1414" s="40" t="n">
        <v>47</v>
      </c>
      <c r="E1414" s="41" t="n">
        <v>3088.6716</v>
      </c>
    </row>
    <row r="1415">
      <c r="A1415" s="42">
        <f>_xlfn.XLOOKUP(17842,Trip[shape_id],Trip[shape_id],"Não encontrado")</f>
        <v/>
      </c>
      <c r="B1415" s="43" t="n">
        <v>-23.543109</v>
      </c>
      <c r="C1415" s="43" t="n">
        <v>-46.643733</v>
      </c>
      <c r="D1415" s="43" t="n">
        <v>48</v>
      </c>
      <c r="E1415" s="44" t="n">
        <v>3147.4248</v>
      </c>
    </row>
    <row r="1416">
      <c r="A1416" s="39">
        <f>_xlfn.XLOOKUP(17842,Trip[shape_id],Trip[shape_id],"Não encontrado")</f>
        <v/>
      </c>
      <c r="B1416" s="40" t="n">
        <v>-23.543303</v>
      </c>
      <c r="C1416" s="40" t="n">
        <v>-46.643523</v>
      </c>
      <c r="D1416" s="40" t="n">
        <v>49</v>
      </c>
      <c r="E1416" s="41" t="n">
        <v>3177.78</v>
      </c>
    </row>
    <row r="1417">
      <c r="A1417" s="42">
        <f>_xlfn.XLOOKUP(17842,Trip[shape_id],Trip[shape_id],"Não encontrado")</f>
        <v/>
      </c>
      <c r="B1417" s="43" t="n">
        <v>-23.544076</v>
      </c>
      <c r="C1417" s="43" t="n">
        <v>-46.642686</v>
      </c>
      <c r="D1417" s="43" t="n">
        <v>50</v>
      </c>
      <c r="E1417" s="44" t="n">
        <v>3298.7483</v>
      </c>
    </row>
    <row r="1418">
      <c r="A1418" s="39">
        <f>_xlfn.XLOOKUP(17842,Trip[shape_id],Trip[shape_id],"Não encontrado")</f>
        <v/>
      </c>
      <c r="B1418" s="40" t="n">
        <v>-23.544165</v>
      </c>
      <c r="C1418" s="40" t="n">
        <v>-46.642592</v>
      </c>
      <c r="D1418" s="40" t="n">
        <v>51</v>
      </c>
      <c r="E1418" s="41" t="n">
        <v>3312.5063</v>
      </c>
    </row>
    <row r="1419">
      <c r="A1419" s="42">
        <f>_xlfn.XLOOKUP(17842,Trip[shape_id],Trip[shape_id],"Não encontrado")</f>
        <v/>
      </c>
      <c r="B1419" s="43" t="n">
        <v>-23.544262</v>
      </c>
      <c r="C1419" s="43" t="n">
        <v>-46.642515</v>
      </c>
      <c r="D1419" s="43" t="n">
        <v>52</v>
      </c>
      <c r="E1419" s="44" t="n">
        <v>3325.8188</v>
      </c>
    </row>
    <row r="1420">
      <c r="A1420" s="39">
        <f>_xlfn.XLOOKUP(17842,Trip[shape_id],Trip[shape_id],"Não encontrado")</f>
        <v/>
      </c>
      <c r="B1420" s="40" t="n">
        <v>-23.544395</v>
      </c>
      <c r="C1420" s="40" t="n">
        <v>-46.642415</v>
      </c>
      <c r="D1420" s="40" t="n">
        <v>53</v>
      </c>
      <c r="E1420" s="41" t="n">
        <v>3343.7417</v>
      </c>
    </row>
    <row r="1421">
      <c r="A1421" s="42">
        <f>_xlfn.XLOOKUP(17842,Trip[shape_id],Trip[shape_id],"Não encontrado")</f>
        <v/>
      </c>
      <c r="B1421" s="43" t="n">
        <v>-23.544459</v>
      </c>
      <c r="C1421" s="43" t="n">
        <v>-46.642359</v>
      </c>
      <c r="D1421" s="43" t="n">
        <v>54</v>
      </c>
      <c r="E1421" s="44" t="n">
        <v>3352.8491</v>
      </c>
    </row>
    <row r="1422">
      <c r="A1422" s="39">
        <f>_xlfn.XLOOKUP(17842,Trip[shape_id],Trip[shape_id],"Não encontrado")</f>
        <v/>
      </c>
      <c r="B1422" s="40" t="n">
        <v>-23.544828</v>
      </c>
      <c r="C1422" s="40" t="n">
        <v>-46.642026</v>
      </c>
      <c r="D1422" s="40" t="n">
        <v>55</v>
      </c>
      <c r="E1422" s="41" t="n">
        <v>3406.0115</v>
      </c>
    </row>
    <row r="1423">
      <c r="A1423" s="42">
        <f>_xlfn.XLOOKUP(17842,Trip[shape_id],Trip[shape_id],"Não encontrado")</f>
        <v/>
      </c>
      <c r="B1423" s="43" t="n">
        <v>-23.544932</v>
      </c>
      <c r="C1423" s="43" t="n">
        <v>-46.642034</v>
      </c>
      <c r="D1423" s="43" t="n">
        <v>56</v>
      </c>
      <c r="E1423" s="44" t="n">
        <v>3417.5586</v>
      </c>
    </row>
    <row r="1424">
      <c r="A1424" s="39">
        <f>_xlfn.XLOOKUP(17842,Trip[shape_id],Trip[shape_id],"Não encontrado")</f>
        <v/>
      </c>
      <c r="B1424" s="40" t="n">
        <v>-23.545062</v>
      </c>
      <c r="C1424" s="40" t="n">
        <v>-46.641931</v>
      </c>
      <c r="D1424" s="40" t="n">
        <v>57</v>
      </c>
      <c r="E1424" s="41" t="n">
        <v>3435.3884</v>
      </c>
    </row>
    <row r="1425">
      <c r="A1425" s="42">
        <f>_xlfn.XLOOKUP(17842,Trip[shape_id],Trip[shape_id],"Não encontrado")</f>
        <v/>
      </c>
      <c r="B1425" s="43" t="n">
        <v>-23.545346</v>
      </c>
      <c r="C1425" s="43" t="n">
        <v>-46.641714</v>
      </c>
      <c r="D1425" s="43" t="n">
        <v>58</v>
      </c>
      <c r="E1425" s="44" t="n">
        <v>3473.8625</v>
      </c>
    </row>
    <row r="1426">
      <c r="A1426" s="39">
        <f>_xlfn.XLOOKUP(17842,Trip[shape_id],Trip[shape_id],"Não encontrado")</f>
        <v/>
      </c>
      <c r="B1426" s="40" t="n">
        <v>-23.546007</v>
      </c>
      <c r="C1426" s="40" t="n">
        <v>-46.641234</v>
      </c>
      <c r="D1426" s="40" t="n">
        <v>59</v>
      </c>
      <c r="E1426" s="41" t="n">
        <v>3561.9609</v>
      </c>
    </row>
    <row r="1427">
      <c r="A1427" s="42">
        <f>_xlfn.XLOOKUP(17842,Trip[shape_id],Trip[shape_id],"Não encontrado")</f>
        <v/>
      </c>
      <c r="B1427" s="43" t="n">
        <v>-23.546092</v>
      </c>
      <c r="C1427" s="43" t="n">
        <v>-46.641155</v>
      </c>
      <c r="D1427" s="43" t="n">
        <v>60</v>
      </c>
      <c r="E1427" s="44" t="n">
        <v>3574.3582</v>
      </c>
    </row>
    <row r="1428">
      <c r="A1428" s="39">
        <f>_xlfn.XLOOKUP(17842,Trip[shape_id],Trip[shape_id],"Não encontrado")</f>
        <v/>
      </c>
      <c r="B1428" s="40" t="n">
        <v>-23.546318</v>
      </c>
      <c r="C1428" s="40" t="n">
        <v>-46.640983</v>
      </c>
      <c r="D1428" s="40" t="n">
        <v>61</v>
      </c>
      <c r="E1428" s="41" t="n">
        <v>3604.9346</v>
      </c>
    </row>
    <row r="1429">
      <c r="A1429" s="42">
        <f>_xlfn.XLOOKUP(17842,Trip[shape_id],Trip[shape_id],"Não encontrado")</f>
        <v/>
      </c>
      <c r="B1429" s="43" t="n">
        <v>-23.546449</v>
      </c>
      <c r="C1429" s="43" t="n">
        <v>-46.64089</v>
      </c>
      <c r="D1429" s="43" t="n">
        <v>62</v>
      </c>
      <c r="E1429" s="44" t="n">
        <v>3622.2744</v>
      </c>
    </row>
    <row r="1430">
      <c r="A1430" s="39">
        <f>_xlfn.XLOOKUP(17842,Trip[shape_id],Trip[shape_id],"Não encontrado")</f>
        <v/>
      </c>
      <c r="B1430" s="40" t="n">
        <v>-23.546524</v>
      </c>
      <c r="C1430" s="40" t="n">
        <v>-46.640762</v>
      </c>
      <c r="D1430" s="40" t="n">
        <v>63</v>
      </c>
      <c r="E1430" s="41" t="n">
        <v>3637.7603</v>
      </c>
    </row>
    <row r="1431">
      <c r="A1431" s="42">
        <f>_xlfn.XLOOKUP(17842,Trip[shape_id],Trip[shape_id],"Não encontrado")</f>
        <v/>
      </c>
      <c r="B1431" s="43" t="n">
        <v>-23.546846</v>
      </c>
      <c r="C1431" s="43" t="n">
        <v>-46.640418</v>
      </c>
      <c r="D1431" s="43" t="n">
        <v>64</v>
      </c>
      <c r="E1431" s="44" t="n">
        <v>3687.8149</v>
      </c>
    </row>
    <row r="1432">
      <c r="A1432" s="39">
        <f>_xlfn.XLOOKUP(17842,Trip[shape_id],Trip[shape_id],"Não encontrado")</f>
        <v/>
      </c>
      <c r="B1432" s="40" t="n">
        <v>-23.547298</v>
      </c>
      <c r="C1432" s="40" t="n">
        <v>-46.639873</v>
      </c>
      <c r="D1432" s="40" t="n">
        <v>65</v>
      </c>
      <c r="E1432" s="41" t="n">
        <v>3762.6653</v>
      </c>
    </row>
    <row r="1433">
      <c r="A1433" s="42">
        <f>_xlfn.XLOOKUP(17842,Trip[shape_id],Trip[shape_id],"Não encontrado")</f>
        <v/>
      </c>
      <c r="B1433" s="43" t="n">
        <v>-23.547788</v>
      </c>
      <c r="C1433" s="43" t="n">
        <v>-46.639232</v>
      </c>
      <c r="D1433" s="43" t="n">
        <v>66</v>
      </c>
      <c r="E1433" s="44" t="n">
        <v>3847.6865</v>
      </c>
    </row>
    <row r="1434">
      <c r="A1434" s="39">
        <f>_xlfn.XLOOKUP(17842,Trip[shape_id],Trip[shape_id],"Não encontrado")</f>
        <v/>
      </c>
      <c r="B1434" s="40" t="n">
        <v>-23.548019</v>
      </c>
      <c r="C1434" s="40" t="n">
        <v>-46.638751</v>
      </c>
      <c r="D1434" s="40" t="n">
        <v>67</v>
      </c>
      <c r="E1434" s="41" t="n">
        <v>3903.0627</v>
      </c>
    </row>
    <row r="1435">
      <c r="A1435" s="42">
        <f>_xlfn.XLOOKUP(17842,Trip[shape_id],Trip[shape_id],"Não encontrado")</f>
        <v/>
      </c>
      <c r="B1435" s="43" t="n">
        <v>-23.548159</v>
      </c>
      <c r="C1435" s="43" t="n">
        <v>-46.638451</v>
      </c>
      <c r="D1435" s="43" t="n">
        <v>68</v>
      </c>
      <c r="E1435" s="44" t="n">
        <v>3937.3948</v>
      </c>
    </row>
    <row r="1436">
      <c r="A1436" s="39">
        <f>_xlfn.XLOOKUP(17842,Trip[shape_id],Trip[shape_id],"Não encontrado")</f>
        <v/>
      </c>
      <c r="B1436" s="40" t="n">
        <v>-23.548217</v>
      </c>
      <c r="C1436" s="40" t="n">
        <v>-46.638326</v>
      </c>
      <c r="D1436" s="40" t="n">
        <v>69</v>
      </c>
      <c r="E1436" s="41" t="n">
        <v>3951.6833</v>
      </c>
    </row>
    <row r="1437">
      <c r="A1437" s="42">
        <f>_xlfn.XLOOKUP(17842,Trip[shape_id],Trip[shape_id],"Não encontrado")</f>
        <v/>
      </c>
      <c r="B1437" s="43" t="n">
        <v>-23.548305</v>
      </c>
      <c r="C1437" s="43" t="n">
        <v>-46.638141</v>
      </c>
      <c r="D1437" s="43" t="n">
        <v>70</v>
      </c>
      <c r="E1437" s="44" t="n">
        <v>3972.9387</v>
      </c>
    </row>
    <row r="1438">
      <c r="A1438" s="39">
        <f>_xlfn.XLOOKUP(17842,Trip[shape_id],Trip[shape_id],"Não encontrado")</f>
        <v/>
      </c>
      <c r="B1438" s="40" t="n">
        <v>-23.548511</v>
      </c>
      <c r="C1438" s="40" t="n">
        <v>-46.63771</v>
      </c>
      <c r="D1438" s="40" t="n">
        <v>71</v>
      </c>
      <c r="E1438" s="41" t="n">
        <v>4022.5081</v>
      </c>
    </row>
    <row r="1439">
      <c r="A1439" s="42">
        <f>_xlfn.XLOOKUP(17842,Trip[shape_id],Trip[shape_id],"Não encontrado")</f>
        <v/>
      </c>
      <c r="B1439" s="43" t="n">
        <v>-23.548735</v>
      </c>
      <c r="C1439" s="43" t="n">
        <v>-46.637224</v>
      </c>
      <c r="D1439" s="43" t="n">
        <v>72</v>
      </c>
      <c r="E1439" s="44" t="n">
        <v>4077.9861</v>
      </c>
    </row>
    <row r="1440">
      <c r="A1440" s="39">
        <f>_xlfn.XLOOKUP(17842,Trip[shape_id],Trip[shape_id],"Não encontrado")</f>
        <v/>
      </c>
      <c r="B1440" s="40" t="n">
        <v>-23.549136</v>
      </c>
      <c r="C1440" s="40" t="n">
        <v>-46.63631</v>
      </c>
      <c r="D1440" s="40" t="n">
        <v>73</v>
      </c>
      <c r="E1440" s="41" t="n">
        <v>4181.3374</v>
      </c>
    </row>
    <row r="1441">
      <c r="A1441" s="42">
        <f>_xlfn.XLOOKUP(17842,Trip[shape_id],Trip[shape_id],"Não encontrado")</f>
        <v/>
      </c>
      <c r="B1441" s="43" t="n">
        <v>-23.54957</v>
      </c>
      <c r="C1441" s="43" t="n">
        <v>-46.635357</v>
      </c>
      <c r="D1441" s="43" t="n">
        <v>74</v>
      </c>
      <c r="E1441" s="44" t="n">
        <v>4289.8662</v>
      </c>
    </row>
    <row r="1442">
      <c r="A1442" s="39">
        <f>_xlfn.XLOOKUP(17842,Trip[shape_id],Trip[shape_id],"Não encontrado")</f>
        <v/>
      </c>
      <c r="B1442" s="40" t="n">
        <v>-23.550458</v>
      </c>
      <c r="C1442" s="40" t="n">
        <v>-46.633451</v>
      </c>
      <c r="D1442" s="40" t="n">
        <v>75</v>
      </c>
      <c r="E1442" s="41" t="n">
        <v>4507.9126</v>
      </c>
    </row>
    <row r="1443">
      <c r="A1443" s="42">
        <f>_xlfn.XLOOKUP(17842,Trip[shape_id],Trip[shape_id],"Não encontrado")</f>
        <v/>
      </c>
      <c r="B1443" s="43" t="n">
        <v>-23.55062</v>
      </c>
      <c r="C1443" s="43" t="n">
        <v>-46.632977</v>
      </c>
      <c r="D1443" s="43" t="n">
        <v>76</v>
      </c>
      <c r="E1443" s="44" t="n">
        <v>4621.8726</v>
      </c>
    </row>
    <row r="1444">
      <c r="A1444" s="39">
        <f>_xlfn.XLOOKUP(17842,Trip[shape_id],Trip[shape_id],"Não encontrado")</f>
        <v/>
      </c>
      <c r="B1444" s="40" t="n">
        <v>-23.550796</v>
      </c>
      <c r="C1444" s="40" t="n">
        <v>-46.632397</v>
      </c>
      <c r="D1444" s="40" t="n">
        <v>77</v>
      </c>
      <c r="E1444" s="41" t="n">
        <v>4679.189</v>
      </c>
    </row>
    <row r="1445">
      <c r="A1445" s="42">
        <f>_xlfn.XLOOKUP(17842,Trip[shape_id],Trip[shape_id],"Não encontrado")</f>
        <v/>
      </c>
      <c r="B1445" s="43" t="n">
        <v>-23.550885</v>
      </c>
      <c r="C1445" s="43" t="n">
        <v>-46.631844</v>
      </c>
      <c r="D1445" s="43" t="n">
        <v>78</v>
      </c>
      <c r="E1445" s="44" t="n">
        <v>4713.6997</v>
      </c>
    </row>
    <row r="1446">
      <c r="A1446" s="39">
        <f>_xlfn.XLOOKUP(17842,Trip[shape_id],Trip[shape_id],"Não encontrado")</f>
        <v/>
      </c>
      <c r="B1446" s="40" t="n">
        <v>-23.550909</v>
      </c>
      <c r="C1446" s="40" t="n">
        <v>-46.631507</v>
      </c>
      <c r="D1446" s="40" t="n">
        <v>79</v>
      </c>
      <c r="E1446" s="41" t="n">
        <v>4752.9106</v>
      </c>
    </row>
    <row r="1447">
      <c r="A1447" s="42">
        <f>_xlfn.XLOOKUP(17842,Trip[shape_id],Trip[shape_id],"Não encontrado")</f>
        <v/>
      </c>
      <c r="B1447" s="43" t="n">
        <v>-23.550935</v>
      </c>
      <c r="C1447" s="43" t="n">
        <v>-46.631124</v>
      </c>
      <c r="D1447" s="43" t="n">
        <v>80</v>
      </c>
      <c r="E1447" s="44" t="n">
        <v>4761.5903</v>
      </c>
    </row>
    <row r="1448">
      <c r="A1448" s="39">
        <f>_xlfn.XLOOKUP(17842,Trip[shape_id],Trip[shape_id],"Não encontrado")</f>
        <v/>
      </c>
      <c r="B1448" s="40" t="n">
        <v>-23.550936</v>
      </c>
      <c r="C1448" s="40" t="n">
        <v>-46.631039</v>
      </c>
      <c r="D1448" s="40" t="n">
        <v>81</v>
      </c>
      <c r="E1448" s="41" t="n">
        <v>4788.4575</v>
      </c>
    </row>
    <row r="1449">
      <c r="A1449" s="42">
        <f>_xlfn.XLOOKUP(17842,Trip[shape_id],Trip[shape_id],"Não encontrado")</f>
        <v/>
      </c>
      <c r="B1449" s="43" t="n">
        <v>-23.550928</v>
      </c>
      <c r="C1449" s="43" t="n">
        <v>-46.630776</v>
      </c>
      <c r="D1449" s="43" t="n">
        <v>82</v>
      </c>
      <c r="E1449" s="44" t="n">
        <v>4796.5264</v>
      </c>
    </row>
    <row r="1450">
      <c r="A1450" s="39">
        <f>_xlfn.XLOOKUP(17842,Trip[shape_id],Trip[shape_id],"Não encontrado")</f>
        <v/>
      </c>
      <c r="B1450" s="40" t="n">
        <v>-23.550926</v>
      </c>
      <c r="C1450" s="40" t="n">
        <v>-46.630697</v>
      </c>
      <c r="D1450" s="40" t="n">
        <v>83</v>
      </c>
      <c r="E1450" s="41" t="n">
        <v>4840.9082</v>
      </c>
    </row>
    <row r="1451">
      <c r="A1451" s="42">
        <f>_xlfn.XLOOKUP(17842,Trip[shape_id],Trip[shape_id],"Não encontrado")</f>
        <v/>
      </c>
      <c r="B1451" s="43" t="n">
        <v>-23.550856</v>
      </c>
      <c r="C1451" s="43" t="n">
        <v>-46.630269</v>
      </c>
      <c r="D1451" s="43" t="n">
        <v>84</v>
      </c>
      <c r="E1451" s="44" t="n">
        <v>4881.0088</v>
      </c>
    </row>
    <row r="1452">
      <c r="A1452" s="39">
        <f>_xlfn.XLOOKUP(17842,Trip[shape_id],Trip[shape_id],"Não encontrado")</f>
        <v/>
      </c>
      <c r="B1452" s="40" t="n">
        <v>-23.550732</v>
      </c>
      <c r="C1452" s="40" t="n">
        <v>-46.6299</v>
      </c>
      <c r="D1452" s="40" t="n">
        <v>85</v>
      </c>
      <c r="E1452" s="41" t="n">
        <v>4929.0049</v>
      </c>
    </row>
    <row r="1453">
      <c r="A1453" s="42">
        <f>_xlfn.XLOOKUP(17842,Trip[shape_id],Trip[shape_id],"Não encontrado")</f>
        <v/>
      </c>
      <c r="B1453" s="43" t="n">
        <v>-23.55057</v>
      </c>
      <c r="C1453" s="43" t="n">
        <v>-46.629464</v>
      </c>
      <c r="D1453" s="43" t="n">
        <v>86</v>
      </c>
      <c r="E1453" s="44" t="n">
        <v>4988.9653</v>
      </c>
    </row>
    <row r="1454">
      <c r="A1454" s="39">
        <f>_xlfn.XLOOKUP(17842,Trip[shape_id],Trip[shape_id],"Não encontrado")</f>
        <v/>
      </c>
      <c r="B1454" s="40" t="n">
        <v>-23.550373</v>
      </c>
      <c r="C1454" s="40" t="n">
        <v>-46.628917</v>
      </c>
      <c r="D1454" s="40" t="n">
        <v>87</v>
      </c>
      <c r="E1454" s="41" t="n">
        <v>5039.5122</v>
      </c>
    </row>
    <row r="1455">
      <c r="A1455" s="42">
        <f>_xlfn.XLOOKUP(17842,Trip[shape_id],Trip[shape_id],"Não encontrado")</f>
        <v/>
      </c>
      <c r="B1455" s="43" t="n">
        <v>-23.550202</v>
      </c>
      <c r="C1455" s="43" t="n">
        <v>-46.628458</v>
      </c>
      <c r="D1455" s="43" t="n">
        <v>88</v>
      </c>
      <c r="E1455" s="44" t="n">
        <v>5089.1753</v>
      </c>
    </row>
    <row r="1456">
      <c r="A1456" s="39">
        <f>_xlfn.XLOOKUP(17842,Trip[shape_id],Trip[shape_id],"Não encontrado")</f>
        <v/>
      </c>
      <c r="B1456" s="40" t="n">
        <v>-23.550051</v>
      </c>
      <c r="C1456" s="40" t="n">
        <v>-46.628</v>
      </c>
      <c r="D1456" s="40" t="n">
        <v>89</v>
      </c>
      <c r="E1456" s="41" t="n">
        <v>5143.8027</v>
      </c>
    </row>
    <row r="1457">
      <c r="A1457" s="42">
        <f>_xlfn.XLOOKUP(17842,Trip[shape_id],Trip[shape_id],"Não encontrado")</f>
        <v/>
      </c>
      <c r="B1457" s="43" t="n">
        <v>-23.549947</v>
      </c>
      <c r="C1457" s="43" t="n">
        <v>-46.627477</v>
      </c>
      <c r="D1457" s="43" t="n">
        <v>90</v>
      </c>
      <c r="E1457" s="44" t="n">
        <v>5213.0654</v>
      </c>
    </row>
    <row r="1458">
      <c r="A1458" s="39">
        <f>_xlfn.XLOOKUP(17842,Trip[shape_id],Trip[shape_id],"Não encontrado")</f>
        <v/>
      </c>
      <c r="B1458" s="40" t="n">
        <v>-23.549833</v>
      </c>
      <c r="C1458" s="40" t="n">
        <v>-46.62681</v>
      </c>
      <c r="D1458" s="40" t="n">
        <v>91</v>
      </c>
      <c r="E1458" s="41" t="n">
        <v>5305.2061</v>
      </c>
    </row>
    <row r="1459">
      <c r="A1459" s="42">
        <f>_xlfn.XLOOKUP(17842,Trip[shape_id],Trip[shape_id],"Não encontrado")</f>
        <v/>
      </c>
      <c r="B1459" s="43" t="n">
        <v>-23.54969</v>
      </c>
      <c r="C1459" s="43" t="n">
        <v>-46.625921</v>
      </c>
      <c r="D1459" s="43" t="n">
        <v>92</v>
      </c>
      <c r="E1459" s="44" t="n">
        <v>5305.2061</v>
      </c>
    </row>
    <row r="1460">
      <c r="A1460" s="39">
        <f>_xlfn.XLOOKUP(17842,Trip[shape_id],Trip[shape_id],"Não encontrado")</f>
        <v/>
      </c>
      <c r="B1460" s="40" t="n">
        <v>-23.549596</v>
      </c>
      <c r="C1460" s="40" t="n">
        <v>-46.6253</v>
      </c>
      <c r="D1460" s="40" t="n">
        <v>93</v>
      </c>
      <c r="E1460" s="41" t="n">
        <v>5580.8452</v>
      </c>
    </row>
    <row r="1461">
      <c r="A1461" s="42">
        <f>_xlfn.XLOOKUP(17842,Trip[shape_id],Trip[shape_id],"Não encontrado")</f>
        <v/>
      </c>
      <c r="B1461" s="43" t="n">
        <v>-23.549276</v>
      </c>
      <c r="C1461" s="43" t="n">
        <v>-46.623259</v>
      </c>
      <c r="D1461" s="43" t="n">
        <v>94</v>
      </c>
      <c r="E1461" s="44" t="n">
        <v>5662.2456</v>
      </c>
    </row>
    <row r="1462">
      <c r="A1462" s="39">
        <f>_xlfn.XLOOKUP(17842,Trip[shape_id],Trip[shape_id],"Não encontrado")</f>
        <v/>
      </c>
      <c r="B1462" s="40" t="n">
        <v>-23.549124</v>
      </c>
      <c r="C1462" s="40" t="n">
        <v>-46.622479</v>
      </c>
      <c r="D1462" s="40" t="n">
        <v>95</v>
      </c>
      <c r="E1462" s="41" t="n">
        <v>5703.2227</v>
      </c>
    </row>
    <row r="1463">
      <c r="A1463" s="42">
        <f>_xlfn.XLOOKUP(17842,Trip[shape_id],Trip[shape_id],"Não encontrado")</f>
        <v/>
      </c>
      <c r="B1463" s="43" t="n">
        <v>-23.549033</v>
      </c>
      <c r="C1463" s="43" t="n">
        <v>-46.62209</v>
      </c>
      <c r="D1463" s="43" t="n">
        <v>96</v>
      </c>
      <c r="E1463" s="44" t="n">
        <v>5876.1147</v>
      </c>
    </row>
    <row r="1464">
      <c r="A1464" s="39">
        <f>_xlfn.XLOOKUP(17842,Trip[shape_id],Trip[shape_id],"Não encontrado")</f>
        <v/>
      </c>
      <c r="B1464" s="40" t="n">
        <v>-23.548648</v>
      </c>
      <c r="C1464" s="40" t="n">
        <v>-46.620449</v>
      </c>
      <c r="D1464" s="40" t="n">
        <v>97</v>
      </c>
      <c r="E1464" s="41" t="n">
        <v>5941.8652</v>
      </c>
    </row>
    <row r="1465">
      <c r="A1465" s="42">
        <f>_xlfn.XLOOKUP(17842,Trip[shape_id],Trip[shape_id],"Não encontrado")</f>
        <v/>
      </c>
      <c r="B1465" s="43" t="n">
        <v>-23.548505</v>
      </c>
      <c r="C1465" s="43" t="n">
        <v>-46.619824</v>
      </c>
      <c r="D1465" s="43" t="n">
        <v>98</v>
      </c>
      <c r="E1465" s="44" t="n">
        <v>5960.8442</v>
      </c>
    </row>
    <row r="1466">
      <c r="A1466" s="39">
        <f>_xlfn.XLOOKUP(17842,Trip[shape_id],Trip[shape_id],"Não encontrado")</f>
        <v/>
      </c>
      <c r="B1466" s="40" t="n">
        <v>-23.548466</v>
      </c>
      <c r="C1466" s="40" t="n">
        <v>-46.619643</v>
      </c>
      <c r="D1466" s="40" t="n">
        <v>99</v>
      </c>
      <c r="E1466" s="41" t="n">
        <v>6036.8101</v>
      </c>
    </row>
    <row r="1467">
      <c r="A1467" s="42">
        <f>_xlfn.XLOOKUP(17842,Trip[shape_id],Trip[shape_id],"Não encontrado")</f>
        <v/>
      </c>
      <c r="B1467" s="43" t="n">
        <v>-23.548308</v>
      </c>
      <c r="C1467" s="43" t="n">
        <v>-46.618919</v>
      </c>
      <c r="D1467" s="43" t="n">
        <v>100</v>
      </c>
      <c r="E1467" s="44" t="n">
        <v>6112.4019</v>
      </c>
    </row>
    <row r="1468">
      <c r="A1468" s="39">
        <f>_xlfn.XLOOKUP(17842,Trip[shape_id],Trip[shape_id],"Não encontrado")</f>
        <v/>
      </c>
      <c r="B1468" s="40" t="n">
        <v>-23.548153</v>
      </c>
      <c r="C1468" s="40" t="n">
        <v>-46.618198</v>
      </c>
      <c r="D1468" s="40" t="n">
        <v>101</v>
      </c>
      <c r="E1468" s="41" t="n">
        <v>6184.5215</v>
      </c>
    </row>
    <row r="1469">
      <c r="A1469" s="42">
        <f>_xlfn.XLOOKUP(17842,Trip[shape_id],Trip[shape_id],"Não encontrado")</f>
        <v/>
      </c>
      <c r="B1469" s="43" t="n">
        <v>-23.548042</v>
      </c>
      <c r="C1469" s="43" t="n">
        <v>-46.617502</v>
      </c>
      <c r="D1469" s="43" t="n">
        <v>102</v>
      </c>
      <c r="E1469" s="44" t="n">
        <v>6217.2974</v>
      </c>
    </row>
    <row r="1470">
      <c r="A1470" s="39">
        <f>_xlfn.XLOOKUP(17842,Trip[shape_id],Trip[shape_id],"Não encontrado")</f>
        <v/>
      </c>
      <c r="B1470" s="40" t="n">
        <v>-23.548009</v>
      </c>
      <c r="C1470" s="40" t="n">
        <v>-46.617183</v>
      </c>
      <c r="D1470" s="40" t="n">
        <v>103</v>
      </c>
      <c r="E1470" s="41" t="n">
        <v>6347.5684</v>
      </c>
    </row>
    <row r="1471">
      <c r="A1471" s="42">
        <f>_xlfn.XLOOKUP(17842,Trip[shape_id],Trip[shape_id],"Não encontrado")</f>
        <v/>
      </c>
      <c r="B1471" s="43" t="n">
        <v>-23.547863</v>
      </c>
      <c r="C1471" s="43" t="n">
        <v>-46.615917</v>
      </c>
      <c r="D1471" s="43" t="n">
        <v>104</v>
      </c>
      <c r="E1471" s="44" t="n">
        <v>6636.8574</v>
      </c>
    </row>
    <row r="1472">
      <c r="A1472" s="39">
        <f>_xlfn.XLOOKUP(17842,Trip[shape_id],Trip[shape_id],"Não encontrado")</f>
        <v/>
      </c>
      <c r="B1472" s="40" t="n">
        <v>-23.545309</v>
      </c>
      <c r="C1472" s="40" t="n">
        <v>-46.616511</v>
      </c>
      <c r="D1472" s="40" t="n">
        <v>105</v>
      </c>
      <c r="E1472" s="41" t="n">
        <v>6636.8574</v>
      </c>
    </row>
    <row r="1473">
      <c r="A1473" s="42">
        <f>_xlfn.XLOOKUP(17842,Trip[shape_id],Trip[shape_id],"Não encontrado")</f>
        <v/>
      </c>
      <c r="B1473" s="43" t="n">
        <v>-23.547064</v>
      </c>
      <c r="C1473" s="43" t="n">
        <v>-46.615784</v>
      </c>
      <c r="D1473" s="43" t="n">
        <v>106</v>
      </c>
      <c r="E1473" s="44" t="n">
        <v>6934.9639</v>
      </c>
    </row>
    <row r="1474">
      <c r="A1474" s="39">
        <f>_xlfn.XLOOKUP(17842,Trip[shape_id],Trip[shape_id],"Não encontrado")</f>
        <v/>
      </c>
      <c r="B1474" s="40" t="n">
        <v>-23.547799</v>
      </c>
      <c r="C1474" s="40" t="n">
        <v>-46.615407</v>
      </c>
      <c r="D1474" s="40" t="n">
        <v>107</v>
      </c>
      <c r="E1474" s="41" t="n">
        <v>6934.9639</v>
      </c>
    </row>
    <row r="1475">
      <c r="A1475" s="42">
        <f>_xlfn.XLOOKUP(17842,Trip[shape_id],Trip[shape_id],"Não encontrado")</f>
        <v/>
      </c>
      <c r="B1475" s="43" t="n">
        <v>-23.547709</v>
      </c>
      <c r="C1475" s="43" t="n">
        <v>-46.614699</v>
      </c>
      <c r="D1475" s="43" t="n">
        <v>108</v>
      </c>
      <c r="E1475" s="44" t="n">
        <v>7076.5264</v>
      </c>
    </row>
    <row r="1476">
      <c r="A1476" s="39">
        <f>_xlfn.XLOOKUP(17842,Trip[shape_id],Trip[shape_id],"Não encontrado")</f>
        <v/>
      </c>
      <c r="B1476" s="40" t="n">
        <v>-23.547653</v>
      </c>
      <c r="C1476" s="40" t="n">
        <v>-46.61403</v>
      </c>
      <c r="D1476" s="40" t="n">
        <v>109</v>
      </c>
      <c r="E1476" s="41" t="n">
        <v>7150.0195</v>
      </c>
    </row>
    <row r="1477">
      <c r="A1477" s="42">
        <f>_xlfn.XLOOKUP(17842,Trip[shape_id],Trip[shape_id],"Não encontrado")</f>
        <v/>
      </c>
      <c r="B1477" s="43" t="n">
        <v>-23.547622</v>
      </c>
      <c r="C1477" s="43" t="n">
        <v>-46.613311</v>
      </c>
      <c r="D1477" s="43" t="n">
        <v>110</v>
      </c>
      <c r="E1477" s="44" t="n">
        <v>7160.1309</v>
      </c>
    </row>
    <row r="1478">
      <c r="A1478" s="39">
        <f>_xlfn.XLOOKUP(17842,Trip[shape_id],Trip[shape_id],"Não encontrado")</f>
        <v/>
      </c>
      <c r="B1478" s="40" t="n">
        <v>-23.54762</v>
      </c>
      <c r="C1478" s="40" t="n">
        <v>-46.613212</v>
      </c>
      <c r="D1478" s="40" t="n">
        <v>111</v>
      </c>
      <c r="E1478" s="41" t="n">
        <v>7160.1309</v>
      </c>
    </row>
    <row r="1479">
      <c r="A1479" s="42">
        <f>_xlfn.XLOOKUP(17842,Trip[shape_id],Trip[shape_id],"Não encontrado")</f>
        <v/>
      </c>
      <c r="B1479" s="43" t="n">
        <v>-23.547465</v>
      </c>
      <c r="C1479" s="43" t="n">
        <v>-46.612289</v>
      </c>
      <c r="D1479" s="43" t="n">
        <v>112</v>
      </c>
      <c r="E1479" s="44" t="n">
        <v>7266.1265</v>
      </c>
    </row>
    <row r="1480">
      <c r="A1480" s="39">
        <f>_xlfn.XLOOKUP(17842,Trip[shape_id],Trip[shape_id],"Não encontrado")</f>
        <v/>
      </c>
      <c r="B1480" s="40" t="n">
        <v>-23.547447</v>
      </c>
      <c r="C1480" s="40" t="n">
        <v>-46.612191</v>
      </c>
      <c r="D1480" s="40" t="n">
        <v>113</v>
      </c>
      <c r="E1480" s="41" t="n">
        <v>7326.1724</v>
      </c>
    </row>
    <row r="1481">
      <c r="A1481" s="42">
        <f>_xlfn.XLOOKUP(17842,Trip[shape_id],Trip[shape_id],"Não encontrado")</f>
        <v/>
      </c>
      <c r="B1481" s="43" t="n">
        <v>-23.547325</v>
      </c>
      <c r="C1481" s="43" t="n">
        <v>-46.611618</v>
      </c>
      <c r="D1481" s="43" t="n">
        <v>114</v>
      </c>
      <c r="E1481" s="44" t="n">
        <v>7497.0337</v>
      </c>
    </row>
    <row r="1482">
      <c r="A1482" s="39">
        <f>_xlfn.XLOOKUP(17842,Trip[shape_id],Trip[shape_id],"Não encontrado")</f>
        <v/>
      </c>
      <c r="B1482" s="40" t="n">
        <v>-23.546972</v>
      </c>
      <c r="C1482" s="40" t="n">
        <v>-46.609989</v>
      </c>
      <c r="D1482" s="40" t="n">
        <v>115</v>
      </c>
      <c r="E1482" s="41" t="n">
        <v>7573.7471</v>
      </c>
    </row>
    <row r="1483">
      <c r="A1483" s="42">
        <f>_xlfn.XLOOKUP(17842,Trip[shape_id],Trip[shape_id],"Não encontrado")</f>
        <v/>
      </c>
      <c r="B1483" s="43" t="n">
        <v>-23.546812</v>
      </c>
      <c r="C1483" s="43" t="n">
        <v>-46.609258</v>
      </c>
      <c r="D1483" s="43" t="n">
        <v>116</v>
      </c>
      <c r="E1483" s="44" t="n">
        <v>7737.8667</v>
      </c>
    </row>
    <row r="1484">
      <c r="A1484" s="39">
        <f>_xlfn.XLOOKUP(17842,Trip[shape_id],Trip[shape_id],"Não encontrado")</f>
        <v/>
      </c>
      <c r="B1484" s="40" t="n">
        <v>-23.546482</v>
      </c>
      <c r="C1484" s="40" t="n">
        <v>-46.607691</v>
      </c>
      <c r="D1484" s="40" t="n">
        <v>117</v>
      </c>
      <c r="E1484" s="41" t="n">
        <v>7790.5752</v>
      </c>
    </row>
    <row r="1485">
      <c r="A1485" s="42">
        <f>_xlfn.XLOOKUP(17842,Trip[shape_id],Trip[shape_id],"Não encontrado")</f>
        <v/>
      </c>
      <c r="B1485" s="43" t="n">
        <v>-23.546375</v>
      </c>
      <c r="C1485" s="43" t="n">
        <v>-46.607188</v>
      </c>
      <c r="D1485" s="43" t="n">
        <v>118</v>
      </c>
      <c r="E1485" s="44" t="n">
        <v>7790.5752</v>
      </c>
    </row>
    <row r="1486">
      <c r="A1486" s="39">
        <f>_xlfn.XLOOKUP(17842,Trip[shape_id],Trip[shape_id],"Não encontrado")</f>
        <v/>
      </c>
      <c r="B1486" s="40" t="n">
        <v>-23.546288</v>
      </c>
      <c r="C1486" s="40" t="n">
        <v>-46.606672</v>
      </c>
      <c r="D1486" s="40" t="n">
        <v>119</v>
      </c>
      <c r="E1486" s="41" t="n">
        <v>7992.0415</v>
      </c>
    </row>
    <row r="1487">
      <c r="A1487" s="42">
        <f>_xlfn.XLOOKUP(17842,Trip[shape_id],Trip[shape_id],"Não encontrado")</f>
        <v/>
      </c>
      <c r="B1487" s="43" t="n">
        <v>-23.545998</v>
      </c>
      <c r="C1487" s="43" t="n">
        <v>-46.605258</v>
      </c>
      <c r="D1487" s="43" t="n">
        <v>120</v>
      </c>
      <c r="E1487" s="44" t="n">
        <v>8152.7368</v>
      </c>
    </row>
    <row r="1488">
      <c r="A1488" s="39">
        <f>_xlfn.XLOOKUP(17842,Trip[shape_id],Trip[shape_id],"Não encontrado")</f>
        <v/>
      </c>
      <c r="B1488" s="40" t="n">
        <v>-23.545686</v>
      </c>
      <c r="C1488" s="40" t="n">
        <v>-46.603721</v>
      </c>
      <c r="D1488" s="40" t="n">
        <v>121</v>
      </c>
      <c r="E1488" s="41" t="n">
        <v>8384.456099999999</v>
      </c>
    </row>
    <row r="1489">
      <c r="A1489" s="42">
        <f>_xlfn.XLOOKUP(17842,Trip[shape_id],Trip[shape_id],"Não encontrado")</f>
        <v/>
      </c>
      <c r="B1489" s="43" t="n">
        <v>-23.545239</v>
      </c>
      <c r="C1489" s="43" t="n">
        <v>-46.601504</v>
      </c>
      <c r="D1489" s="43" t="n">
        <v>122</v>
      </c>
      <c r="E1489" s="44" t="n">
        <v>8708.507799999999</v>
      </c>
    </row>
    <row r="1490">
      <c r="A1490" s="39">
        <f>_xlfn.XLOOKUP(17842,Trip[shape_id],Trip[shape_id],"Não encontrado")</f>
        <v/>
      </c>
      <c r="B1490" s="40" t="n">
        <v>-23.544625</v>
      </c>
      <c r="C1490" s="40" t="n">
        <v>-46.598401</v>
      </c>
      <c r="D1490" s="40" t="n">
        <v>123</v>
      </c>
      <c r="E1490" s="41" t="n">
        <v>8910.266600000001</v>
      </c>
    </row>
    <row r="1491">
      <c r="A1491" s="42">
        <f>_xlfn.XLOOKUP(17842,Trip[shape_id],Trip[shape_id],"Não encontrado")</f>
        <v/>
      </c>
      <c r="B1491" s="43" t="n">
        <v>-23.544222</v>
      </c>
      <c r="C1491" s="43" t="n">
        <v>-46.596474</v>
      </c>
      <c r="D1491" s="43" t="n">
        <v>124</v>
      </c>
      <c r="E1491" s="44" t="n">
        <v>9032.3027</v>
      </c>
    </row>
    <row r="1492">
      <c r="A1492" s="39">
        <f>_xlfn.XLOOKUP(17842,Trip[shape_id],Trip[shape_id],"Não encontrado")</f>
        <v/>
      </c>
      <c r="B1492" s="40" t="n">
        <v>-23.54398</v>
      </c>
      <c r="C1492" s="40" t="n">
        <v>-46.595308</v>
      </c>
      <c r="D1492" s="40" t="n">
        <v>125</v>
      </c>
      <c r="E1492" s="41" t="n">
        <v>9150.5322</v>
      </c>
    </row>
    <row r="1493">
      <c r="A1493" s="42">
        <f>_xlfn.XLOOKUP(17842,Trip[shape_id],Trip[shape_id],"Não encontrado")</f>
        <v/>
      </c>
      <c r="B1493" s="43" t="n">
        <v>-23.543743</v>
      </c>
      <c r="C1493" s="43" t="n">
        <v>-46.594179</v>
      </c>
      <c r="D1493" s="43" t="n">
        <v>126</v>
      </c>
      <c r="E1493" s="44" t="n">
        <v>9246.940399999999</v>
      </c>
    </row>
    <row r="1494">
      <c r="A1494" s="39">
        <f>_xlfn.XLOOKUP(17842,Trip[shape_id],Trip[shape_id],"Não encontrado")</f>
        <v/>
      </c>
      <c r="B1494" s="40" t="n">
        <v>-23.543573</v>
      </c>
      <c r="C1494" s="40" t="n">
        <v>-46.593253</v>
      </c>
      <c r="D1494" s="40" t="n">
        <v>127</v>
      </c>
      <c r="E1494" s="41" t="n">
        <v>9385.5371</v>
      </c>
    </row>
    <row r="1495">
      <c r="A1495" s="42">
        <f>_xlfn.XLOOKUP(17842,Trip[shape_id],Trip[shape_id],"Não encontrado")</f>
        <v/>
      </c>
      <c r="B1495" s="43" t="n">
        <v>-23.543337</v>
      </c>
      <c r="C1495" s="43" t="n">
        <v>-46.59192</v>
      </c>
      <c r="D1495" s="43" t="n">
        <v>128</v>
      </c>
      <c r="E1495" s="44" t="n">
        <v>9520.5039</v>
      </c>
    </row>
    <row r="1496">
      <c r="A1496" s="39">
        <f>_xlfn.XLOOKUP(17842,Trip[shape_id],Trip[shape_id],"Não encontrado")</f>
        <v/>
      </c>
      <c r="B1496" s="40" t="n">
        <v>-23.543102</v>
      </c>
      <c r="C1496" s="40" t="n">
        <v>-46.590623</v>
      </c>
      <c r="D1496" s="40" t="n">
        <v>129</v>
      </c>
      <c r="E1496" s="41" t="n">
        <v>9560.738300000001</v>
      </c>
    </row>
    <row r="1497">
      <c r="A1497" s="42">
        <f>_xlfn.XLOOKUP(17842,Trip[shape_id],Trip[shape_id],"Não encontrado")</f>
        <v/>
      </c>
      <c r="B1497" s="43" t="n">
        <v>-23.543029</v>
      </c>
      <c r="C1497" s="43" t="n">
        <v>-46.590237</v>
      </c>
      <c r="D1497" s="43" t="n">
        <v>130</v>
      </c>
      <c r="E1497" s="44" t="n">
        <v>9621.8369</v>
      </c>
    </row>
    <row r="1498">
      <c r="A1498" s="39">
        <f>_xlfn.XLOOKUP(17842,Trip[shape_id],Trip[shape_id],"Não encontrado")</f>
        <v/>
      </c>
      <c r="B1498" s="40" t="n">
        <v>-23.542913</v>
      </c>
      <c r="C1498" s="40" t="n">
        <v>-46.589652</v>
      </c>
      <c r="D1498" s="40" t="n">
        <v>131</v>
      </c>
      <c r="E1498" s="41" t="n">
        <v>9621.8369</v>
      </c>
    </row>
    <row r="1499">
      <c r="A1499" s="42">
        <f>_xlfn.XLOOKUP(17842,Trip[shape_id],Trip[shape_id],"Não encontrado")</f>
        <v/>
      </c>
      <c r="B1499" s="43" t="n">
        <v>-23.542617</v>
      </c>
      <c r="C1499" s="43" t="n">
        <v>-46.58814</v>
      </c>
      <c r="D1499" s="43" t="n">
        <v>132</v>
      </c>
      <c r="E1499" s="44" t="n">
        <v>9934.830099999999</v>
      </c>
    </row>
    <row r="1500">
      <c r="A1500" s="39">
        <f>_xlfn.XLOOKUP(17842,Trip[shape_id],Trip[shape_id],"Não encontrado")</f>
        <v/>
      </c>
      <c r="B1500" s="40" t="n">
        <v>-23.542324</v>
      </c>
      <c r="C1500" s="40" t="n">
        <v>-46.586654</v>
      </c>
      <c r="D1500" s="40" t="n">
        <v>133</v>
      </c>
      <c r="E1500" s="41" t="n">
        <v>10104.546</v>
      </c>
    </row>
    <row r="1501">
      <c r="A1501" s="42">
        <f>_xlfn.XLOOKUP(17842,Trip[shape_id],Trip[shape_id],"Não encontrado")</f>
        <v/>
      </c>
      <c r="B1501" s="43" t="n">
        <v>-23.542002</v>
      </c>
      <c r="C1501" s="43" t="n">
        <v>-46.585029</v>
      </c>
      <c r="D1501" s="43" t="n">
        <v>134</v>
      </c>
      <c r="E1501" s="44" t="n">
        <v>10310.799</v>
      </c>
    </row>
    <row r="1502">
      <c r="A1502" s="39">
        <f>_xlfn.XLOOKUP(17842,Trip[shape_id],Trip[shape_id],"Não encontrado")</f>
        <v/>
      </c>
      <c r="B1502" s="40" t="n">
        <v>-23.541741</v>
      </c>
      <c r="C1502" s="40" t="n">
        <v>-46.583029</v>
      </c>
      <c r="D1502" s="40" t="n">
        <v>135</v>
      </c>
      <c r="E1502" s="41" t="n">
        <v>10507.611</v>
      </c>
    </row>
    <row r="1503">
      <c r="A1503" s="42">
        <f>_xlfn.XLOOKUP(17842,Trip[shape_id],Trip[shape_id],"Não encontrado")</f>
        <v/>
      </c>
      <c r="B1503" s="43" t="n">
        <v>-23.54137</v>
      </c>
      <c r="C1503" s="43" t="n">
        <v>-46.581144</v>
      </c>
      <c r="D1503" s="43" t="n">
        <v>136</v>
      </c>
      <c r="E1503" s="44" t="n">
        <v>10541.178</v>
      </c>
    </row>
    <row r="1504">
      <c r="A1504" s="39">
        <f>_xlfn.XLOOKUP(17842,Trip[shape_id],Trip[shape_id],"Não encontrado")</f>
        <v/>
      </c>
      <c r="B1504" s="40" t="n">
        <v>-23.541309</v>
      </c>
      <c r="C1504" s="40" t="n">
        <v>-46.580822</v>
      </c>
      <c r="D1504" s="40" t="n">
        <v>137</v>
      </c>
      <c r="E1504" s="41" t="n">
        <v>10621.225</v>
      </c>
    </row>
    <row r="1505">
      <c r="A1505" s="42">
        <f>_xlfn.XLOOKUP(17842,Trip[shape_id],Trip[shape_id],"Não encontrado")</f>
        <v/>
      </c>
      <c r="B1505" s="43" t="n">
        <v>-23.541164</v>
      </c>
      <c r="C1505" s="43" t="n">
        <v>-46.580054</v>
      </c>
      <c r="D1505" s="43" t="n">
        <v>138</v>
      </c>
      <c r="E1505" s="44" t="n">
        <v>10664.05</v>
      </c>
    </row>
    <row r="1506">
      <c r="A1506" s="39">
        <f>_xlfn.XLOOKUP(17842,Trip[shape_id],Trip[shape_id],"Não encontrado")</f>
        <v/>
      </c>
      <c r="B1506" s="40" t="n">
        <v>-23.541087</v>
      </c>
      <c r="C1506" s="40" t="n">
        <v>-46.579643</v>
      </c>
      <c r="D1506" s="40" t="n">
        <v>139</v>
      </c>
      <c r="E1506" s="41" t="n">
        <v>10766.045</v>
      </c>
    </row>
    <row r="1507">
      <c r="A1507" s="42">
        <f>_xlfn.XLOOKUP(17842,Trip[shape_id],Trip[shape_id],"Não encontrado")</f>
        <v/>
      </c>
      <c r="B1507" s="43" t="n">
        <v>-23.540891</v>
      </c>
      <c r="C1507" s="43" t="n">
        <v>-46.578667</v>
      </c>
      <c r="D1507" s="43" t="n">
        <v>140</v>
      </c>
      <c r="E1507" s="44" t="n">
        <v>10939.807</v>
      </c>
    </row>
    <row r="1508">
      <c r="A1508" s="39">
        <f>_xlfn.XLOOKUP(17842,Trip[shape_id],Trip[shape_id],"Não encontrado")</f>
        <v/>
      </c>
      <c r="B1508" s="40" t="n">
        <v>-23.540554</v>
      </c>
      <c r="C1508" s="40" t="n">
        <v>-46.577005</v>
      </c>
      <c r="D1508" s="40" t="n">
        <v>141</v>
      </c>
      <c r="E1508" s="41" t="n">
        <v>10958.969</v>
      </c>
    </row>
    <row r="1509">
      <c r="A1509" s="42">
        <f>_xlfn.XLOOKUP(17842,Trip[shape_id],Trip[shape_id],"Não encontrado")</f>
        <v/>
      </c>
      <c r="B1509" s="43" t="n">
        <v>-23.54052</v>
      </c>
      <c r="C1509" s="43" t="n">
        <v>-46.576821</v>
      </c>
      <c r="D1509" s="43" t="n">
        <v>142</v>
      </c>
      <c r="E1509" s="44" t="n">
        <v>10997.385</v>
      </c>
    </row>
    <row r="1510">
      <c r="A1510" s="39">
        <f>_xlfn.XLOOKUP(17842,Trip[shape_id],Trip[shape_id],"Não encontrado")</f>
        <v/>
      </c>
      <c r="B1510" s="40" t="n">
        <v>-23.540236</v>
      </c>
      <c r="C1510" s="40" t="n">
        <v>-46.576605</v>
      </c>
      <c r="D1510" s="40" t="n">
        <v>143</v>
      </c>
      <c r="E1510" s="41" t="n">
        <v>10997.385</v>
      </c>
    </row>
    <row r="1511">
      <c r="A1511" s="42">
        <f>_xlfn.XLOOKUP(17842,Trip[shape_id],Trip[shape_id],"Não encontrado")</f>
        <v/>
      </c>
      <c r="B1511" s="43" t="n">
        <v>-23.540352</v>
      </c>
      <c r="C1511" s="43" t="n">
        <v>-46.576201</v>
      </c>
      <c r="D1511" s="43" t="n">
        <v>144</v>
      </c>
      <c r="E1511" s="44" t="n">
        <v>11209.736</v>
      </c>
    </row>
    <row r="1512">
      <c r="A1512" s="39">
        <f>_xlfn.XLOOKUP(17842,Trip[shape_id],Trip[shape_id],"Não encontrado")</f>
        <v/>
      </c>
      <c r="B1512" s="40" t="n">
        <v>-23.540051</v>
      </c>
      <c r="C1512" s="40" t="n">
        <v>-46.574577</v>
      </c>
      <c r="D1512" s="40" t="n">
        <v>145</v>
      </c>
      <c r="E1512" s="41" t="n">
        <v>11270.707</v>
      </c>
    </row>
    <row r="1513">
      <c r="A1513" s="42">
        <f>_xlfn.XLOOKUP(17842,Trip[shape_id],Trip[shape_id],"Não encontrado")</f>
        <v/>
      </c>
      <c r="B1513" s="43" t="n">
        <v>-23.53989</v>
      </c>
      <c r="C1513" s="43" t="n">
        <v>-46.574006</v>
      </c>
      <c r="D1513" s="43" t="n">
        <v>146</v>
      </c>
      <c r="E1513" s="44" t="n">
        <v>11320.718</v>
      </c>
    </row>
    <row r="1514">
      <c r="A1514" s="39">
        <f>_xlfn.XLOOKUP(17842,Trip[shape_id],Trip[shape_id],"Não encontrado")</f>
        <v/>
      </c>
      <c r="B1514" s="40" t="n">
        <v>-23.53973</v>
      </c>
      <c r="C1514" s="40" t="n">
        <v>-46.573548</v>
      </c>
      <c r="D1514" s="40" t="n">
        <v>147</v>
      </c>
      <c r="E1514" s="41" t="n">
        <v>11425.61</v>
      </c>
    </row>
    <row r="1515">
      <c r="A1515" s="42">
        <f>_xlfn.XLOOKUP(17842,Trip[shape_id],Trip[shape_id],"Não encontrado")</f>
        <v/>
      </c>
      <c r="B1515" s="43" t="n">
        <v>-23.539413</v>
      </c>
      <c r="C1515" s="43" t="n">
        <v>-46.57258</v>
      </c>
      <c r="D1515" s="43" t="n">
        <v>148</v>
      </c>
      <c r="E1515" s="44" t="n">
        <v>11470.74</v>
      </c>
    </row>
    <row r="1516">
      <c r="A1516" s="39">
        <f>_xlfn.XLOOKUP(17842,Trip[shape_id],Trip[shape_id],"Não encontrado")</f>
        <v/>
      </c>
      <c r="B1516" s="40" t="n">
        <v>-23.539298</v>
      </c>
      <c r="C1516" s="40" t="n">
        <v>-46.572156</v>
      </c>
      <c r="D1516" s="40" t="n">
        <v>149</v>
      </c>
      <c r="E1516" s="41" t="n">
        <v>11518.019</v>
      </c>
    </row>
    <row r="1517">
      <c r="A1517" s="42">
        <f>_xlfn.XLOOKUP(17842,Trip[shape_id],Trip[shape_id],"Não encontrado")</f>
        <v/>
      </c>
      <c r="B1517" s="43" t="n">
        <v>-23.539224</v>
      </c>
      <c r="C1517" s="43" t="n">
        <v>-46.5717</v>
      </c>
      <c r="D1517" s="43" t="n">
        <v>150</v>
      </c>
      <c r="E1517" s="44" t="n">
        <v>11550.734</v>
      </c>
    </row>
    <row r="1518">
      <c r="A1518" s="39">
        <f>_xlfn.XLOOKUP(17842,Trip[shape_id],Trip[shape_id],"Não encontrado")</f>
        <v/>
      </c>
      <c r="B1518" s="40" t="n">
        <v>-23.53917</v>
      </c>
      <c r="C1518" s="40" t="n">
        <v>-46.571385</v>
      </c>
      <c r="D1518" s="40" t="n">
        <v>151</v>
      </c>
      <c r="E1518" s="41" t="n">
        <v>11643.762</v>
      </c>
    </row>
    <row r="1519">
      <c r="A1519" s="42">
        <f>_xlfn.XLOOKUP(17842,Trip[shape_id],Trip[shape_id],"Não encontrado")</f>
        <v/>
      </c>
      <c r="B1519" s="43" t="n">
        <v>-23.539018</v>
      </c>
      <c r="C1519" s="43" t="n">
        <v>-46.570489</v>
      </c>
      <c r="D1519" s="43" t="n">
        <v>152</v>
      </c>
      <c r="E1519" s="44" t="n">
        <v>11722.973</v>
      </c>
    </row>
    <row r="1520">
      <c r="A1520" s="39">
        <f>_xlfn.XLOOKUP(17842,Trip[shape_id],Trip[shape_id],"Não encontrado")</f>
        <v/>
      </c>
      <c r="B1520" s="40" t="n">
        <v>-23.538884</v>
      </c>
      <c r="C1520" s="40" t="n">
        <v>-46.569727</v>
      </c>
      <c r="D1520" s="40" t="n">
        <v>153</v>
      </c>
      <c r="E1520" s="41" t="n">
        <v>11829.897</v>
      </c>
    </row>
    <row r="1521">
      <c r="A1521" s="42">
        <f>_xlfn.XLOOKUP(17842,Trip[shape_id],Trip[shape_id],"Não encontrado")</f>
        <v/>
      </c>
      <c r="B1521" s="43" t="n">
        <v>-23.538691</v>
      </c>
      <c r="C1521" s="43" t="n">
        <v>-46.568701</v>
      </c>
      <c r="D1521" s="43" t="n">
        <v>154</v>
      </c>
      <c r="E1521" s="44" t="n">
        <v>11861.72</v>
      </c>
    </row>
    <row r="1522">
      <c r="A1522" s="39">
        <f>_xlfn.XLOOKUP(17842,Trip[shape_id],Trip[shape_id],"Não encontrado")</f>
        <v/>
      </c>
      <c r="B1522" s="40" t="n">
        <v>-23.538632</v>
      </c>
      <c r="C1522" s="40" t="n">
        <v>-46.568396</v>
      </c>
      <c r="D1522" s="40" t="n">
        <v>155</v>
      </c>
      <c r="E1522" s="41" t="n">
        <v>11900.456</v>
      </c>
    </row>
    <row r="1523">
      <c r="A1523" s="42">
        <f>_xlfn.XLOOKUP(17842,Trip[shape_id],Trip[shape_id],"Não encontrado")</f>
        <v/>
      </c>
      <c r="B1523" s="43" t="n">
        <v>-23.538559</v>
      </c>
      <c r="C1523" s="43" t="n">
        <v>-46.568025</v>
      </c>
      <c r="D1523" s="43" t="n">
        <v>156</v>
      </c>
      <c r="E1523" s="44" t="n">
        <v>11991.866</v>
      </c>
    </row>
    <row r="1524">
      <c r="A1524" s="39">
        <f>_xlfn.XLOOKUP(17842,Trip[shape_id],Trip[shape_id],"Não encontrado")</f>
        <v/>
      </c>
      <c r="B1524" s="40" t="n">
        <v>-23.538398</v>
      </c>
      <c r="C1524" s="40" t="n">
        <v>-46.567147</v>
      </c>
      <c r="D1524" s="40" t="n">
        <v>157</v>
      </c>
      <c r="E1524" s="41" t="n">
        <v>12110.504</v>
      </c>
    </row>
    <row r="1525">
      <c r="A1525" s="42">
        <f>_xlfn.XLOOKUP(17842,Trip[shape_id],Trip[shape_id],"Não encontrado")</f>
        <v/>
      </c>
      <c r="B1525" s="43" t="n">
        <v>-23.538196</v>
      </c>
      <c r="C1525" s="43" t="n">
        <v>-46.566006</v>
      </c>
      <c r="D1525" s="43" t="n">
        <v>158</v>
      </c>
      <c r="E1525" s="44" t="n">
        <v>12299.684</v>
      </c>
    </row>
    <row r="1526">
      <c r="A1526" s="39">
        <f>_xlfn.XLOOKUP(17842,Trip[shape_id],Trip[shape_id],"Não encontrado")</f>
        <v/>
      </c>
      <c r="B1526" s="40" t="n">
        <v>-23.537815</v>
      </c>
      <c r="C1526" s="40" t="n">
        <v>-46.5642</v>
      </c>
      <c r="D1526" s="40" t="n">
        <v>159</v>
      </c>
      <c r="E1526" s="41" t="n">
        <v>12299.684</v>
      </c>
    </row>
    <row r="1527">
      <c r="A1527" s="42">
        <f>_xlfn.XLOOKUP(17842,Trip[shape_id],Trip[shape_id],"Não encontrado")</f>
        <v/>
      </c>
      <c r="B1527" s="43" t="n">
        <v>-23.537611</v>
      </c>
      <c r="C1527" s="43" t="n">
        <v>-46.56319</v>
      </c>
      <c r="D1527" s="43" t="n">
        <v>160</v>
      </c>
      <c r="E1527" s="44" t="n">
        <v>12753.733</v>
      </c>
    </row>
    <row r="1528">
      <c r="A1528" s="39">
        <f>_xlfn.XLOOKUP(17842,Trip[shape_id],Trip[shape_id],"Não encontrado")</f>
        <v/>
      </c>
      <c r="B1528" s="40" t="n">
        <v>-23.536948</v>
      </c>
      <c r="C1528" s="40" t="n">
        <v>-46.559854</v>
      </c>
      <c r="D1528" s="40" t="n">
        <v>161</v>
      </c>
      <c r="E1528" s="41" t="n">
        <v>12846.98</v>
      </c>
    </row>
    <row r="1529">
      <c r="A1529" s="42">
        <f>_xlfn.XLOOKUP(17842,Trip[shape_id],Trip[shape_id],"Não encontrado")</f>
        <v/>
      </c>
      <c r="B1529" s="43" t="n">
        <v>-23.536772</v>
      </c>
      <c r="C1529" s="43" t="n">
        <v>-46.558961</v>
      </c>
      <c r="D1529" s="43" t="n">
        <v>162</v>
      </c>
      <c r="E1529" s="44" t="n">
        <v>12958.379</v>
      </c>
    </row>
    <row r="1530">
      <c r="A1530" s="39">
        <f>_xlfn.XLOOKUP(17842,Trip[shape_id],Trip[shape_id],"Não encontrado")</f>
        <v/>
      </c>
      <c r="B1530" s="40" t="n">
        <v>-23.536554</v>
      </c>
      <c r="C1530" s="40" t="n">
        <v>-46.557896</v>
      </c>
      <c r="D1530" s="40" t="n">
        <v>163</v>
      </c>
      <c r="E1530" s="41" t="n">
        <v>13040.346</v>
      </c>
    </row>
    <row r="1531">
      <c r="A1531" s="42">
        <f>_xlfn.XLOOKUP(17842,Trip[shape_id],Trip[shape_id],"Não encontrado")</f>
        <v/>
      </c>
      <c r="B1531" s="43" t="n">
        <v>-23.536391</v>
      </c>
      <c r="C1531" s="43" t="n">
        <v>-46.557113</v>
      </c>
      <c r="D1531" s="43" t="n">
        <v>164</v>
      </c>
      <c r="E1531" s="44" t="n">
        <v>13215.448</v>
      </c>
    </row>
    <row r="1532">
      <c r="A1532" s="39">
        <f>_xlfn.XLOOKUP(17842,Trip[shape_id],Trip[shape_id],"Não encontrado")</f>
        <v/>
      </c>
      <c r="B1532" s="40" t="n">
        <v>-23.53604</v>
      </c>
      <c r="C1532" s="40" t="n">
        <v>-46.555441</v>
      </c>
      <c r="D1532" s="40" t="n">
        <v>165</v>
      </c>
      <c r="E1532" s="41" t="n">
        <v>13440.677</v>
      </c>
    </row>
    <row r="1533">
      <c r="A1533" s="42">
        <f>_xlfn.XLOOKUP(17842,Trip[shape_id],Trip[shape_id],"Não encontrado")</f>
        <v/>
      </c>
      <c r="B1533" s="43" t="n">
        <v>-23.535586</v>
      </c>
      <c r="C1533" s="43" t="n">
        <v>-46.553291</v>
      </c>
      <c r="D1533" s="43" t="n">
        <v>166</v>
      </c>
      <c r="E1533" s="44" t="n">
        <v>13575.497</v>
      </c>
    </row>
    <row r="1534">
      <c r="A1534" s="39">
        <f>_xlfn.XLOOKUP(17842,Trip[shape_id],Trip[shape_id],"Não encontrado")</f>
        <v/>
      </c>
      <c r="B1534" s="40" t="n">
        <v>-23.535331</v>
      </c>
      <c r="C1534" s="40" t="n">
        <v>-46.552</v>
      </c>
      <c r="D1534" s="40" t="n">
        <v>167</v>
      </c>
      <c r="E1534" s="41" t="n">
        <v>13817.917</v>
      </c>
    </row>
    <row r="1535">
      <c r="A1535" s="42">
        <f>_xlfn.XLOOKUP(17842,Trip[shape_id],Trip[shape_id],"Não encontrado")</f>
        <v/>
      </c>
      <c r="B1535" s="43" t="n">
        <v>-23.534871</v>
      </c>
      <c r="C1535" s="43" t="n">
        <v>-46.549679</v>
      </c>
      <c r="D1535" s="43" t="n">
        <v>168</v>
      </c>
      <c r="E1535" s="44" t="n">
        <v>13951.293</v>
      </c>
    </row>
    <row r="1536">
      <c r="A1536" s="39">
        <f>_xlfn.XLOOKUP(17842,Trip[shape_id],Trip[shape_id],"Não encontrado")</f>
        <v/>
      </c>
      <c r="B1536" s="40" t="n">
        <v>-23.534618</v>
      </c>
      <c r="C1536" s="40" t="n">
        <v>-46.548402</v>
      </c>
      <c r="D1536" s="40" t="n">
        <v>169</v>
      </c>
      <c r="E1536" s="41" t="n">
        <v>14187.069</v>
      </c>
    </row>
    <row r="1537">
      <c r="A1537" s="42">
        <f>_xlfn.XLOOKUP(17842,Trip[shape_id],Trip[shape_id],"Não encontrado")</f>
        <v/>
      </c>
      <c r="B1537" s="43" t="n">
        <v>-23.534169</v>
      </c>
      <c r="C1537" s="43" t="n">
        <v>-46.546145</v>
      </c>
      <c r="D1537" s="43" t="n">
        <v>170</v>
      </c>
      <c r="E1537" s="44" t="n">
        <v>14310.044</v>
      </c>
    </row>
    <row r="1538">
      <c r="A1538" s="39">
        <f>_xlfn.XLOOKUP(17842,Trip[shape_id],Trip[shape_id],"Não encontrado")</f>
        <v/>
      </c>
      <c r="B1538" s="40" t="n">
        <v>-23.533934</v>
      </c>
      <c r="C1538" s="40" t="n">
        <v>-46.544968</v>
      </c>
      <c r="D1538" s="40" t="n">
        <v>171</v>
      </c>
      <c r="E1538" s="41" t="n">
        <v>14403.287</v>
      </c>
    </row>
    <row r="1539">
      <c r="A1539" s="42">
        <f>_xlfn.XLOOKUP(17842,Trip[shape_id],Trip[shape_id],"Não encontrado")</f>
        <v/>
      </c>
      <c r="B1539" s="43" t="n">
        <v>-23.533803</v>
      </c>
      <c r="C1539" s="43" t="n">
        <v>-46.544066</v>
      </c>
      <c r="D1539" s="43" t="n">
        <v>172</v>
      </c>
      <c r="E1539" s="44" t="n">
        <v>14429.108</v>
      </c>
    </row>
    <row r="1540">
      <c r="A1540" s="39">
        <f>_xlfn.XLOOKUP(17842,Trip[shape_id],Trip[shape_id],"Não encontrado")</f>
        <v/>
      </c>
      <c r="B1540" s="40" t="n">
        <v>-23.533768</v>
      </c>
      <c r="C1540" s="40" t="n">
        <v>-46.543816</v>
      </c>
      <c r="D1540" s="40" t="n">
        <v>173</v>
      </c>
      <c r="E1540" s="41" t="n">
        <v>14526.578</v>
      </c>
    </row>
    <row r="1541">
      <c r="A1541" s="42">
        <f>_xlfn.XLOOKUP(17842,Trip[shape_id],Trip[shape_id],"Não encontrado")</f>
        <v/>
      </c>
      <c r="B1541" s="43" t="n">
        <v>-23.533578</v>
      </c>
      <c r="C1541" s="43" t="n">
        <v>-46.542884</v>
      </c>
      <c r="D1541" s="43" t="n">
        <v>174</v>
      </c>
      <c r="E1541" s="44" t="n">
        <v>14526.578</v>
      </c>
    </row>
    <row r="1542">
      <c r="A1542" s="39">
        <f>_xlfn.XLOOKUP(17842,Trip[shape_id],Trip[shape_id],"Não encontrado")</f>
        <v/>
      </c>
      <c r="B1542" s="40" t="n">
        <v>-23.533292</v>
      </c>
      <c r="C1542" s="40" t="n">
        <v>-46.541477</v>
      </c>
      <c r="D1542" s="40" t="n">
        <v>175</v>
      </c>
      <c r="E1542" s="41" t="n">
        <v>14673.704</v>
      </c>
    </row>
    <row r="1543">
      <c r="A1543" s="42">
        <f>_xlfn.XLOOKUP(17842,Trip[shape_id],Trip[shape_id],"Não encontrado")</f>
        <v/>
      </c>
      <c r="B1543" s="43" t="n">
        <v>-23.533275</v>
      </c>
      <c r="C1543" s="43" t="n">
        <v>-46.541399</v>
      </c>
      <c r="D1543" s="43" t="n">
        <v>176</v>
      </c>
      <c r="E1543" s="44" t="n">
        <v>14711.293</v>
      </c>
    </row>
    <row r="1544">
      <c r="A1544" s="39">
        <f>_xlfn.XLOOKUP(17842,Trip[shape_id],Trip[shape_id],"Não encontrado")</f>
        <v/>
      </c>
      <c r="B1544" s="40" t="n">
        <v>-23.533217</v>
      </c>
      <c r="C1544" s="40" t="n">
        <v>-46.541118</v>
      </c>
      <c r="D1544" s="40" t="n">
        <v>177</v>
      </c>
      <c r="E1544" s="41" t="n">
        <v>14753.759</v>
      </c>
    </row>
    <row r="1545">
      <c r="A1545" s="42">
        <f>_xlfn.XLOOKUP(17842,Trip[shape_id],Trip[shape_id],"Não encontrado")</f>
        <v/>
      </c>
      <c r="B1545" s="43" t="n">
        <v>-23.533134</v>
      </c>
      <c r="C1545" s="43" t="n">
        <v>-46.540712</v>
      </c>
      <c r="D1545" s="43" t="n">
        <v>178</v>
      </c>
      <c r="E1545" s="44" t="n">
        <v>14794.129</v>
      </c>
    </row>
    <row r="1546">
      <c r="A1546" s="39">
        <f>_xlfn.XLOOKUP(17842,Trip[shape_id],Trip[shape_id],"Não encontrado")</f>
        <v/>
      </c>
      <c r="B1546" s="40" t="n">
        <v>-23.533069</v>
      </c>
      <c r="C1546" s="40" t="n">
        <v>-46.540323</v>
      </c>
      <c r="D1546" s="40" t="n">
        <v>179</v>
      </c>
      <c r="E1546" s="41" t="n">
        <v>14943.216</v>
      </c>
    </row>
    <row r="1547">
      <c r="A1547" s="42">
        <f>_xlfn.XLOOKUP(17842,Trip[shape_id],Trip[shape_id],"Não encontrado")</f>
        <v/>
      </c>
      <c r="B1547" s="43" t="n">
        <v>-23.532826</v>
      </c>
      <c r="C1547" s="43" t="n">
        <v>-46.538887</v>
      </c>
      <c r="D1547" s="43" t="n">
        <v>180</v>
      </c>
      <c r="E1547" s="44" t="n">
        <v>15035.563</v>
      </c>
    </row>
    <row r="1548">
      <c r="A1548" s="39">
        <f>_xlfn.XLOOKUP(17842,Trip[shape_id],Trip[shape_id],"Não encontrado")</f>
        <v/>
      </c>
      <c r="B1548" s="40" t="n">
        <v>-23.532605</v>
      </c>
      <c r="C1548" s="40" t="n">
        <v>-46.538015</v>
      </c>
      <c r="D1548" s="40" t="n">
        <v>181</v>
      </c>
      <c r="E1548" s="41" t="n">
        <v>15231.007</v>
      </c>
    </row>
    <row r="1549">
      <c r="A1549" s="42">
        <f>_xlfn.XLOOKUP(17842,Trip[shape_id],Trip[shape_id],"Não encontrado")</f>
        <v/>
      </c>
      <c r="B1549" s="43" t="n">
        <v>-23.532242</v>
      </c>
      <c r="C1549" s="43" t="n">
        <v>-46.536142</v>
      </c>
      <c r="D1549" s="43" t="n">
        <v>182</v>
      </c>
      <c r="E1549" s="44" t="n">
        <v>15372.652</v>
      </c>
    </row>
    <row r="1550">
      <c r="A1550" s="39">
        <f>_xlfn.XLOOKUP(17842,Trip[shape_id],Trip[shape_id],"Não encontrado")</f>
        <v/>
      </c>
      <c r="B1550" s="40" t="n">
        <v>-23.531977</v>
      </c>
      <c r="C1550" s="40" t="n">
        <v>-46.534785</v>
      </c>
      <c r="D1550" s="40" t="n">
        <v>183</v>
      </c>
      <c r="E1550" s="41" t="n">
        <v>15424.672</v>
      </c>
    </row>
    <row r="1551">
      <c r="A1551" s="42">
        <f>_xlfn.XLOOKUP(17842,Trip[shape_id],Trip[shape_id],"Não encontrado")</f>
        <v/>
      </c>
      <c r="B1551" s="43" t="n">
        <v>-23.531892</v>
      </c>
      <c r="C1551" s="43" t="n">
        <v>-46.534284</v>
      </c>
      <c r="D1551" s="43" t="n">
        <v>184</v>
      </c>
      <c r="E1551" s="44" t="n">
        <v>15512.12</v>
      </c>
    </row>
    <row r="1552">
      <c r="A1552" s="39">
        <f>_xlfn.XLOOKUP(17842,Trip[shape_id],Trip[shape_id],"Não encontrado")</f>
        <v/>
      </c>
      <c r="B1552" s="40" t="n">
        <v>-23.531748</v>
      </c>
      <c r="C1552" s="40" t="n">
        <v>-46.533442</v>
      </c>
      <c r="D1552" s="40" t="n">
        <v>185</v>
      </c>
      <c r="E1552" s="41" t="n">
        <v>15568.444</v>
      </c>
    </row>
    <row r="1553">
      <c r="A1553" s="42">
        <f>_xlfn.XLOOKUP(17842,Trip[shape_id],Trip[shape_id],"Não encontrado")</f>
        <v/>
      </c>
      <c r="B1553" s="43" t="n">
        <v>-23.531699</v>
      </c>
      <c r="C1553" s="43" t="n">
        <v>-46.532893</v>
      </c>
      <c r="D1553" s="43" t="n">
        <v>186</v>
      </c>
      <c r="E1553" s="44" t="n">
        <v>15621.999</v>
      </c>
    </row>
    <row r="1554">
      <c r="A1554" s="39">
        <f>_xlfn.XLOOKUP(17842,Trip[shape_id],Trip[shape_id],"Não encontrado")</f>
        <v/>
      </c>
      <c r="B1554" s="40" t="n">
        <v>-23.531719</v>
      </c>
      <c r="C1554" s="40" t="n">
        <v>-46.532369</v>
      </c>
      <c r="D1554" s="40" t="n">
        <v>187</v>
      </c>
      <c r="E1554" s="41" t="n">
        <v>15642.601</v>
      </c>
    </row>
    <row r="1555">
      <c r="A1555" s="42">
        <f>_xlfn.XLOOKUP(17842,Trip[shape_id],Trip[shape_id],"Não encontrado")</f>
        <v/>
      </c>
      <c r="B1555" s="43" t="n">
        <v>-23.531735</v>
      </c>
      <c r="C1555" s="43" t="n">
        <v>-46.532168</v>
      </c>
      <c r="D1555" s="43" t="n">
        <v>188</v>
      </c>
      <c r="E1555" s="44" t="n">
        <v>15663.223</v>
      </c>
    </row>
    <row r="1556">
      <c r="A1556" s="39">
        <f>_xlfn.XLOOKUP(17842,Trip[shape_id],Trip[shape_id],"Não encontrado")</f>
        <v/>
      </c>
      <c r="B1556" s="40" t="n">
        <v>-23.531753</v>
      </c>
      <c r="C1556" s="40" t="n">
        <v>-46.531967</v>
      </c>
      <c r="D1556" s="40" t="n">
        <v>189</v>
      </c>
      <c r="E1556" s="41" t="n">
        <v>15686.306</v>
      </c>
    </row>
    <row r="1557">
      <c r="A1557" s="42">
        <f>_xlfn.XLOOKUP(17842,Trip[shape_id],Trip[shape_id],"Não encontrado")</f>
        <v/>
      </c>
      <c r="B1557" s="43" t="n">
        <v>-23.531781</v>
      </c>
      <c r="C1557" s="43" t="n">
        <v>-46.531743</v>
      </c>
      <c r="D1557" s="43" t="n">
        <v>190</v>
      </c>
      <c r="E1557" s="44" t="n">
        <v>15773.614</v>
      </c>
    </row>
    <row r="1558">
      <c r="A1558" s="39">
        <f>_xlfn.XLOOKUP(17842,Trip[shape_id],Trip[shape_id],"Não encontrado")</f>
        <v/>
      </c>
      <c r="B1558" s="40" t="n">
        <v>-23.531895</v>
      </c>
      <c r="C1558" s="40" t="n">
        <v>-46.530897</v>
      </c>
      <c r="D1558" s="40" t="n">
        <v>191</v>
      </c>
      <c r="E1558" s="41" t="n">
        <v>15779.905</v>
      </c>
    </row>
    <row r="1559">
      <c r="A1559" s="42">
        <f>_xlfn.XLOOKUP(17842,Trip[shape_id],Trip[shape_id],"Não encontrado")</f>
        <v/>
      </c>
      <c r="B1559" s="43" t="n">
        <v>-23.531903</v>
      </c>
      <c r="C1559" s="43" t="n">
        <v>-46.530836</v>
      </c>
      <c r="D1559" s="43" t="n">
        <v>192</v>
      </c>
      <c r="E1559" s="44" t="n">
        <v>15779.905</v>
      </c>
    </row>
    <row r="1560">
      <c r="A1560" s="39">
        <f>_xlfn.XLOOKUP(17842,Trip[shape_id],Trip[shape_id],"Não encontrado")</f>
        <v/>
      </c>
      <c r="B1560" s="40" t="n">
        <v>-23.531965</v>
      </c>
      <c r="C1560" s="40" t="n">
        <v>-46.530319</v>
      </c>
      <c r="D1560" s="40" t="n">
        <v>193</v>
      </c>
      <c r="E1560" s="41" t="n">
        <v>15833.145</v>
      </c>
    </row>
    <row r="1561">
      <c r="A1561" s="42">
        <f>_xlfn.XLOOKUP(17842,Trip[shape_id],Trip[shape_id],"Não encontrado")</f>
        <v/>
      </c>
      <c r="B1561" s="43" t="n">
        <v>-23.532046</v>
      </c>
      <c r="C1561" s="43" t="n">
        <v>-46.529736</v>
      </c>
      <c r="D1561" s="43" t="n">
        <v>194</v>
      </c>
      <c r="E1561" s="44" t="n">
        <v>15893.351</v>
      </c>
    </row>
    <row r="1562">
      <c r="A1562" s="39">
        <f>_xlfn.XLOOKUP(17842,Trip[shape_id],Trip[shape_id],"Não encontrado")</f>
        <v/>
      </c>
      <c r="B1562" s="40" t="n">
        <v>-23.532093</v>
      </c>
      <c r="C1562" s="40" t="n">
        <v>-46.528991</v>
      </c>
      <c r="D1562" s="40" t="n">
        <v>195</v>
      </c>
      <c r="E1562" s="41" t="n">
        <v>15969.605</v>
      </c>
    </row>
    <row r="1563">
      <c r="A1563" s="42">
        <f>_xlfn.XLOOKUP(17842,Trip[shape_id],Trip[shape_id],"Não encontrado")</f>
        <v/>
      </c>
      <c r="B1563" s="43" t="n">
        <v>-23.532083</v>
      </c>
      <c r="C1563" s="43" t="n">
        <v>-46.528452</v>
      </c>
      <c r="D1563" s="43" t="n">
        <v>196</v>
      </c>
      <c r="E1563" s="44" t="n">
        <v>16024.657</v>
      </c>
    </row>
    <row r="1564">
      <c r="A1564" s="39">
        <f>_xlfn.XLOOKUP(17842,Trip[shape_id],Trip[shape_id],"Não encontrado")</f>
        <v/>
      </c>
      <c r="B1564" s="40" t="n">
        <v>-23.532019</v>
      </c>
      <c r="C1564" s="40" t="n">
        <v>-46.52774</v>
      </c>
      <c r="D1564" s="40" t="n">
        <v>197</v>
      </c>
      <c r="E1564" s="41" t="n">
        <v>16097.709</v>
      </c>
    </row>
    <row r="1565">
      <c r="A1565" s="42">
        <f>_xlfn.XLOOKUP(17842,Trip[shape_id],Trip[shape_id],"Não encontrado")</f>
        <v/>
      </c>
      <c r="B1565" s="43" t="n">
        <v>-23.53195</v>
      </c>
      <c r="C1565" s="43" t="n">
        <v>-46.527142</v>
      </c>
      <c r="D1565" s="43" t="n">
        <v>198</v>
      </c>
      <c r="E1565" s="44" t="n">
        <v>16159.251</v>
      </c>
    </row>
    <row r="1566">
      <c r="A1566" s="39">
        <f>_xlfn.XLOOKUP(17842,Trip[shape_id],Trip[shape_id],"Não encontrado")</f>
        <v/>
      </c>
      <c r="B1566" s="40" t="n">
        <v>-23.531726</v>
      </c>
      <c r="C1566" s="40" t="n">
        <v>-46.525212</v>
      </c>
      <c r="D1566" s="40" t="n">
        <v>199</v>
      </c>
      <c r="E1566" s="41" t="n">
        <v>16357.891</v>
      </c>
    </row>
    <row r="1567">
      <c r="A1567" s="42">
        <f>_xlfn.XLOOKUP(17842,Trip[shape_id],Trip[shape_id],"Não encontrado")</f>
        <v/>
      </c>
      <c r="B1567" s="43" t="n">
        <v>-23.531662</v>
      </c>
      <c r="C1567" s="43" t="n">
        <v>-46.524356</v>
      </c>
      <c r="D1567" s="43" t="n">
        <v>200</v>
      </c>
      <c r="E1567" s="44" t="n">
        <v>16445.59</v>
      </c>
    </row>
    <row r="1568">
      <c r="A1568" s="39">
        <f>_xlfn.XLOOKUP(17842,Trip[shape_id],Trip[shape_id],"Não encontrado")</f>
        <v/>
      </c>
      <c r="B1568" s="40" t="n">
        <v>-23.531612</v>
      </c>
      <c r="C1568" s="40" t="n">
        <v>-46.523716</v>
      </c>
      <c r="D1568" s="40" t="n">
        <v>201</v>
      </c>
      <c r="E1568" s="41" t="n">
        <v>16511.178</v>
      </c>
    </row>
    <row r="1569">
      <c r="A1569" s="42">
        <f>_xlfn.XLOOKUP(17842,Trip[shape_id],Trip[shape_id],"Não encontrado")</f>
        <v/>
      </c>
      <c r="B1569" s="43" t="n">
        <v>-23.531548</v>
      </c>
      <c r="C1569" s="43" t="n">
        <v>-46.522881</v>
      </c>
      <c r="D1569" s="43" t="n">
        <v>202</v>
      </c>
      <c r="E1569" s="44" t="n">
        <v>16596.738</v>
      </c>
    </row>
    <row r="1570">
      <c r="A1570" s="39">
        <f>_xlfn.XLOOKUP(17842,Trip[shape_id],Trip[shape_id],"Não encontrado")</f>
        <v/>
      </c>
      <c r="B1570" s="40" t="n">
        <v>-23.531476</v>
      </c>
      <c r="C1570" s="40" t="n">
        <v>-46.522239</v>
      </c>
      <c r="D1570" s="40" t="n">
        <v>203</v>
      </c>
      <c r="E1570" s="41" t="n">
        <v>16662.781</v>
      </c>
    </row>
    <row r="1571">
      <c r="A1571" s="42">
        <f>_xlfn.XLOOKUP(17842,Trip[shape_id],Trip[shape_id],"Não encontrado")</f>
        <v/>
      </c>
      <c r="B1571" s="43" t="n">
        <v>-23.531401</v>
      </c>
      <c r="C1571" s="43" t="n">
        <v>-46.521666</v>
      </c>
      <c r="D1571" s="43" t="n">
        <v>204</v>
      </c>
      <c r="E1571" s="44" t="n">
        <v>16721.881</v>
      </c>
    </row>
    <row r="1572">
      <c r="A1572" s="39">
        <f>_xlfn.XLOOKUP(17842,Trip[shape_id],Trip[shape_id],"Não encontrado")</f>
        <v/>
      </c>
      <c r="B1572" s="40" t="n">
        <v>-23.531272</v>
      </c>
      <c r="C1572" s="40" t="n">
        <v>-46.521095</v>
      </c>
      <c r="D1572" s="40" t="n">
        <v>205</v>
      </c>
      <c r="E1572" s="41" t="n">
        <v>16781.914</v>
      </c>
    </row>
    <row r="1573">
      <c r="A1573" s="42">
        <f>_xlfn.XLOOKUP(17842,Trip[shape_id],Trip[shape_id],"Não encontrado")</f>
        <v/>
      </c>
      <c r="B1573" s="43" t="n">
        <v>-23.531146</v>
      </c>
      <c r="C1573" s="43" t="n">
        <v>-46.520624</v>
      </c>
      <c r="D1573" s="43" t="n">
        <v>206</v>
      </c>
      <c r="E1573" s="44" t="n">
        <v>16831.994</v>
      </c>
    </row>
    <row r="1574">
      <c r="A1574" s="39">
        <f>_xlfn.XLOOKUP(17842,Trip[shape_id],Trip[shape_id],"Não encontrado")</f>
        <v/>
      </c>
      <c r="B1574" s="40" t="n">
        <v>-23.530924</v>
      </c>
      <c r="C1574" s="40" t="n">
        <v>-46.519973</v>
      </c>
      <c r="D1574" s="40" t="n">
        <v>207</v>
      </c>
      <c r="E1574" s="41" t="n">
        <v>16902.873</v>
      </c>
    </row>
    <row r="1575">
      <c r="A1575" s="42">
        <f>_xlfn.XLOOKUP(17842,Trip[shape_id],Trip[shape_id],"Não encontrado")</f>
        <v/>
      </c>
      <c r="B1575" s="43" t="n">
        <v>-23.530891</v>
      </c>
      <c r="C1575" s="43" t="n">
        <v>-46.519884</v>
      </c>
      <c r="D1575" s="43" t="n">
        <v>208</v>
      </c>
      <c r="E1575" s="44" t="n">
        <v>16912.67</v>
      </c>
    </row>
    <row r="1576">
      <c r="A1576" s="39">
        <f>_xlfn.XLOOKUP(17842,Trip[shape_id],Trip[shape_id],"Não encontrado")</f>
        <v/>
      </c>
      <c r="B1576" s="40" t="n">
        <v>-23.530486</v>
      </c>
      <c r="C1576" s="40" t="n">
        <v>-46.519022</v>
      </c>
      <c r="D1576" s="40" t="n">
        <v>209</v>
      </c>
      <c r="E1576" s="41" t="n">
        <v>17011.465</v>
      </c>
    </row>
    <row r="1577">
      <c r="A1577" s="42">
        <f>_xlfn.XLOOKUP(17842,Trip[shape_id],Trip[shape_id],"Não encontrado")</f>
        <v/>
      </c>
      <c r="B1577" s="43" t="n">
        <v>-23.53034</v>
      </c>
      <c r="C1577" s="43" t="n">
        <v>-46.518715</v>
      </c>
      <c r="D1577" s="43" t="n">
        <v>210</v>
      </c>
      <c r="E1577" s="44" t="n">
        <v>17046.738</v>
      </c>
    </row>
    <row r="1578">
      <c r="A1578" s="39">
        <f>_xlfn.XLOOKUP(17842,Trip[shape_id],Trip[shape_id],"Não encontrado")</f>
        <v/>
      </c>
      <c r="B1578" s="40" t="n">
        <v>-23.530197</v>
      </c>
      <c r="C1578" s="40" t="n">
        <v>-46.518434</v>
      </c>
      <c r="D1578" s="40" t="n">
        <v>211</v>
      </c>
      <c r="E1578" s="41" t="n">
        <v>17079.514</v>
      </c>
    </row>
    <row r="1579">
      <c r="A1579" s="42">
        <f>_xlfn.XLOOKUP(17842,Trip[shape_id],Trip[shape_id],"Não encontrado")</f>
        <v/>
      </c>
      <c r="B1579" s="43" t="n">
        <v>-23.529861</v>
      </c>
      <c r="C1579" s="43" t="n">
        <v>-46.517773</v>
      </c>
      <c r="D1579" s="43" t="n">
        <v>212</v>
      </c>
      <c r="E1579" s="44" t="n">
        <v>17156.592</v>
      </c>
    </row>
    <row r="1580">
      <c r="A1580" s="39">
        <f>_xlfn.XLOOKUP(17842,Trip[shape_id],Trip[shape_id],"Não encontrado")</f>
        <v/>
      </c>
      <c r="B1580" s="40" t="n">
        <v>-23.529712</v>
      </c>
      <c r="C1580" s="40" t="n">
        <v>-46.517481</v>
      </c>
      <c r="D1580" s="40" t="n">
        <v>213</v>
      </c>
      <c r="E1580" s="41" t="n">
        <v>17190.672</v>
      </c>
    </row>
    <row r="1581">
      <c r="A1581" s="42">
        <f>_xlfn.XLOOKUP(17842,Trip[shape_id],Trip[shape_id],"Não encontrado")</f>
        <v/>
      </c>
      <c r="B1581" s="43" t="n">
        <v>-23.529371</v>
      </c>
      <c r="C1581" s="43" t="n">
        <v>-46.516774</v>
      </c>
      <c r="D1581" s="43" t="n">
        <v>214</v>
      </c>
      <c r="E1581" s="44" t="n">
        <v>17272.15</v>
      </c>
    </row>
    <row r="1582">
      <c r="A1582" s="39">
        <f>_xlfn.XLOOKUP(17842,Trip[shape_id],Trip[shape_id],"Não encontrado")</f>
        <v/>
      </c>
      <c r="B1582" s="40" t="n">
        <v>-23.529301</v>
      </c>
      <c r="C1582" s="40" t="n">
        <v>-46.516633</v>
      </c>
      <c r="D1582" s="40" t="n">
        <v>215</v>
      </c>
      <c r="E1582" s="41" t="n">
        <v>17288.504</v>
      </c>
    </row>
    <row r="1583">
      <c r="A1583" s="42">
        <f>_xlfn.XLOOKUP(17842,Trip[shape_id],Trip[shape_id],"Não encontrado")</f>
        <v/>
      </c>
      <c r="B1583" s="43" t="n">
        <v>-23.529266</v>
      </c>
      <c r="C1583" s="43" t="n">
        <v>-46.516553</v>
      </c>
      <c r="D1583" s="43" t="n">
        <v>216</v>
      </c>
      <c r="E1583" s="44" t="n">
        <v>17405.814</v>
      </c>
    </row>
    <row r="1584">
      <c r="A1584" s="39">
        <f>_xlfn.XLOOKUP(17842,Trip[shape_id],Trip[shape_id],"Não encontrado")</f>
        <v/>
      </c>
      <c r="B1584" s="40" t="n">
        <v>-23.528832</v>
      </c>
      <c r="C1584" s="40" t="n">
        <v>-46.515603</v>
      </c>
      <c r="D1584" s="40" t="n">
        <v>217</v>
      </c>
      <c r="E1584" s="41" t="n">
        <v>17477.379</v>
      </c>
    </row>
    <row r="1585">
      <c r="A1585" s="42">
        <f>_xlfn.XLOOKUP(17842,Trip[shape_id],Trip[shape_id],"Não encontrado")</f>
        <v/>
      </c>
      <c r="B1585" s="43" t="n">
        <v>-23.528549</v>
      </c>
      <c r="C1585" s="43" t="n">
        <v>-46.514973</v>
      </c>
      <c r="D1585" s="43" t="n">
        <v>218</v>
      </c>
      <c r="E1585" s="44" t="n">
        <v>17492.781</v>
      </c>
    </row>
    <row r="1586">
      <c r="A1586" s="39">
        <f>_xlfn.XLOOKUP(17842,Trip[shape_id],Trip[shape_id],"Não encontrado")</f>
        <v/>
      </c>
      <c r="B1586" s="40" t="n">
        <v>-23.528487</v>
      </c>
      <c r="C1586" s="40" t="n">
        <v>-46.514838</v>
      </c>
      <c r="D1586" s="40" t="n">
        <v>219</v>
      </c>
      <c r="E1586" s="41" t="n">
        <v>17552.416</v>
      </c>
    </row>
    <row r="1587">
      <c r="A1587" s="42">
        <f>_xlfn.XLOOKUP(17842,Trip[shape_id],Trip[shape_id],"Não encontrado")</f>
        <v/>
      </c>
      <c r="B1587" s="43" t="n">
        <v>-23.528282</v>
      </c>
      <c r="C1587" s="43" t="n">
        <v>-46.514298</v>
      </c>
      <c r="D1587" s="43" t="n">
        <v>220</v>
      </c>
      <c r="E1587" s="44" t="n">
        <v>17608.061</v>
      </c>
    </row>
    <row r="1588">
      <c r="A1588" s="39">
        <f>_xlfn.XLOOKUP(17842,Trip[shape_id],Trip[shape_id],"Não encontrado")</f>
        <v/>
      </c>
      <c r="B1588" s="40" t="n">
        <v>-23.528141</v>
      </c>
      <c r="C1588" s="40" t="n">
        <v>-46.513775</v>
      </c>
      <c r="D1588" s="40" t="n">
        <v>221</v>
      </c>
      <c r="E1588" s="41" t="n">
        <v>17678.461</v>
      </c>
    </row>
    <row r="1589">
      <c r="A1589" s="42">
        <f>_xlfn.XLOOKUP(17842,Trip[shape_id],Trip[shape_id],"Não encontrado")</f>
        <v/>
      </c>
      <c r="B1589" s="43" t="n">
        <v>-23.528021</v>
      </c>
      <c r="C1589" s="43" t="n">
        <v>-46.513098</v>
      </c>
      <c r="D1589" s="43" t="n">
        <v>222</v>
      </c>
      <c r="E1589" s="44" t="n">
        <v>17692.441</v>
      </c>
    </row>
    <row r="1590">
      <c r="A1590" s="39">
        <f>_xlfn.XLOOKUP(17842,Trip[shape_id],Trip[shape_id],"Não encontrado")</f>
        <v/>
      </c>
      <c r="B1590" s="40" t="n">
        <v>-23.528</v>
      </c>
      <c r="C1590" s="40" t="n">
        <v>-46.512963</v>
      </c>
      <c r="D1590" s="40" t="n">
        <v>223</v>
      </c>
      <c r="E1590" s="41" t="n">
        <v>17876.586</v>
      </c>
    </row>
    <row r="1591">
      <c r="A1591" s="42">
        <f>_xlfn.XLOOKUP(17842,Trip[shape_id],Trip[shape_id],"Não encontrado")</f>
        <v/>
      </c>
      <c r="B1591" s="43" t="n">
        <v>-23.527734</v>
      </c>
      <c r="C1591" s="43" t="n">
        <v>-46.511183</v>
      </c>
      <c r="D1591" s="43" t="n">
        <v>224</v>
      </c>
      <c r="E1591" s="44" t="n">
        <v>17951.381</v>
      </c>
    </row>
    <row r="1592">
      <c r="A1592" s="39">
        <f>_xlfn.XLOOKUP(17842,Trip[shape_id],Trip[shape_id],"Não encontrado")</f>
        <v/>
      </c>
      <c r="B1592" s="40" t="n">
        <v>-23.527626</v>
      </c>
      <c r="C1592" s="40" t="n">
        <v>-46.51046</v>
      </c>
      <c r="D1592" s="40" t="n">
        <v>225</v>
      </c>
      <c r="E1592" s="41" t="n">
        <v>18016.957</v>
      </c>
    </row>
    <row r="1593">
      <c r="A1593" s="42">
        <f>_xlfn.XLOOKUP(17842,Trip[shape_id],Trip[shape_id],"Não encontrado")</f>
        <v/>
      </c>
      <c r="B1593" s="43" t="n">
        <v>-23.527532</v>
      </c>
      <c r="C1593" s="43" t="n">
        <v>-46.509826</v>
      </c>
      <c r="D1593" s="43" t="n">
        <v>226</v>
      </c>
      <c r="E1593" s="44" t="n">
        <v>18061.234</v>
      </c>
    </row>
    <row r="1594">
      <c r="A1594" s="39">
        <f>_xlfn.XLOOKUP(17842,Trip[shape_id],Trip[shape_id],"Não encontrado")</f>
        <v/>
      </c>
      <c r="B1594" s="40" t="n">
        <v>-23.527468</v>
      </c>
      <c r="C1594" s="40" t="n">
        <v>-46.509398</v>
      </c>
      <c r="D1594" s="40" t="n">
        <v>227</v>
      </c>
      <c r="E1594" s="41" t="n">
        <v>18164.281</v>
      </c>
    </row>
    <row r="1595">
      <c r="A1595" s="42">
        <f>_xlfn.XLOOKUP(17842,Trip[shape_id],Trip[shape_id],"Não encontrado")</f>
        <v/>
      </c>
      <c r="B1595" s="43" t="n">
        <v>-23.527479</v>
      </c>
      <c r="C1595" s="43" t="n">
        <v>-46.508389</v>
      </c>
      <c r="D1595" s="43" t="n">
        <v>228</v>
      </c>
      <c r="E1595" s="44" t="n">
        <v>18189.465</v>
      </c>
    </row>
    <row r="1596">
      <c r="A1596" s="39">
        <f>_xlfn.XLOOKUP(17842,Trip[shape_id],Trip[shape_id],"Não encontrado")</f>
        <v/>
      </c>
      <c r="B1596" s="40" t="n">
        <v>-23.527512</v>
      </c>
      <c r="C1596" s="40" t="n">
        <v>-46.508145</v>
      </c>
      <c r="D1596" s="40" t="n">
        <v>229</v>
      </c>
      <c r="E1596" s="41" t="n">
        <v>18246.428</v>
      </c>
    </row>
    <row r="1597">
      <c r="A1597" s="42">
        <f>_xlfn.XLOOKUP(17842,Trip[shape_id],Trip[shape_id],"Não encontrado")</f>
        <v/>
      </c>
      <c r="B1597" s="43" t="n">
        <v>-23.527586</v>
      </c>
      <c r="C1597" s="43" t="n">
        <v>-46.507593</v>
      </c>
      <c r="D1597" s="43" t="n">
        <v>230</v>
      </c>
      <c r="E1597" s="44" t="n">
        <v>18253.799</v>
      </c>
    </row>
    <row r="1598">
      <c r="A1598" s="39">
        <f>_xlfn.XLOOKUP(17842,Trip[shape_id],Trip[shape_id],"Não encontrado")</f>
        <v/>
      </c>
      <c r="B1598" s="40" t="n">
        <v>-23.527598</v>
      </c>
      <c r="C1598" s="40" t="n">
        <v>-46.507522</v>
      </c>
      <c r="D1598" s="40" t="n">
        <v>231</v>
      </c>
      <c r="E1598" s="41" t="n">
        <v>18333.193</v>
      </c>
    </row>
    <row r="1599">
      <c r="A1599" s="42">
        <f>_xlfn.XLOOKUP(17842,Trip[shape_id],Trip[shape_id],"Não encontrado")</f>
        <v/>
      </c>
      <c r="B1599" s="43" t="n">
        <v>-23.527815</v>
      </c>
      <c r="C1599" s="43" t="n">
        <v>-46.506781</v>
      </c>
      <c r="D1599" s="43" t="n">
        <v>232</v>
      </c>
      <c r="E1599" s="44" t="n">
        <v>18383.373</v>
      </c>
    </row>
    <row r="1600">
      <c r="A1600" s="39">
        <f>_xlfn.XLOOKUP(17842,Trip[shape_id],Trip[shape_id],"Não encontrado")</f>
        <v/>
      </c>
      <c r="B1600" s="40" t="n">
        <v>-23.527997</v>
      </c>
      <c r="C1600" s="40" t="n">
        <v>-46.506331</v>
      </c>
      <c r="D1600" s="40" t="n">
        <v>233</v>
      </c>
      <c r="E1600" s="41" t="n">
        <v>18427.053</v>
      </c>
    </row>
    <row r="1601">
      <c r="A1601" s="42">
        <f>_xlfn.XLOOKUP(17842,Trip[shape_id],Trip[shape_id],"Não encontrado")</f>
        <v/>
      </c>
      <c r="B1601" s="43" t="n">
        <v>-23.528217</v>
      </c>
      <c r="C1601" s="43" t="n">
        <v>-46.505976</v>
      </c>
      <c r="D1601" s="43" t="n">
        <v>234</v>
      </c>
      <c r="E1601" s="44" t="n">
        <v>18516.348</v>
      </c>
    </row>
    <row r="1602">
      <c r="A1602" s="39">
        <f>_xlfn.XLOOKUP(17842,Trip[shape_id],Trip[shape_id],"Não encontrado")</f>
        <v/>
      </c>
      <c r="B1602" s="40" t="n">
        <v>-23.528665</v>
      </c>
      <c r="C1602" s="40" t="n">
        <v>-46.505249</v>
      </c>
      <c r="D1602" s="40" t="n">
        <v>235</v>
      </c>
      <c r="E1602" s="41" t="n">
        <v>18540.582</v>
      </c>
    </row>
    <row r="1603">
      <c r="A1603" s="42">
        <f>_xlfn.XLOOKUP(17842,Trip[shape_id],Trip[shape_id],"Não encontrado")</f>
        <v/>
      </c>
      <c r="B1603" s="43" t="n">
        <v>-23.528787</v>
      </c>
      <c r="C1603" s="43" t="n">
        <v>-46.505052</v>
      </c>
      <c r="D1603" s="43" t="n">
        <v>236</v>
      </c>
      <c r="E1603" s="44" t="n">
        <v>18551.002</v>
      </c>
    </row>
    <row r="1604">
      <c r="A1604" s="39">
        <f>_xlfn.XLOOKUP(17842,Trip[shape_id],Trip[shape_id],"Não encontrado")</f>
        <v/>
      </c>
      <c r="B1604" s="40" t="n">
        <v>-23.528843</v>
      </c>
      <c r="C1604" s="40" t="n">
        <v>-46.50497</v>
      </c>
      <c r="D1604" s="40" t="n">
        <v>237</v>
      </c>
      <c r="E1604" s="41" t="n">
        <v>18666.58</v>
      </c>
    </row>
    <row r="1605">
      <c r="A1605" s="42">
        <f>_xlfn.XLOOKUP(17842,Trip[shape_id],Trip[shape_id],"Não encontrado")</f>
        <v/>
      </c>
      <c r="B1605" s="43" t="n">
        <v>-23.529466</v>
      </c>
      <c r="C1605" s="43" t="n">
        <v>-46.504062</v>
      </c>
      <c r="D1605" s="43" t="n">
        <v>238</v>
      </c>
      <c r="E1605" s="44" t="n">
        <v>18764.475</v>
      </c>
    </row>
    <row r="1606">
      <c r="A1606" s="39">
        <f>_xlfn.XLOOKUP(17842,Trip[shape_id],Trip[shape_id],"Não encontrado")</f>
        <v/>
      </c>
      <c r="B1606" s="40" t="n">
        <v>-23.529995</v>
      </c>
      <c r="C1606" s="40" t="n">
        <v>-46.503294</v>
      </c>
      <c r="D1606" s="40" t="n">
        <v>239</v>
      </c>
      <c r="E1606" s="41" t="n">
        <v>18796.705</v>
      </c>
    </row>
    <row r="1607">
      <c r="A1607" s="42">
        <f>_xlfn.XLOOKUP(17842,Trip[shape_id],Trip[shape_id],"Não encontrado")</f>
        <v/>
      </c>
      <c r="B1607" s="43" t="n">
        <v>-23.530169</v>
      </c>
      <c r="C1607" s="43" t="n">
        <v>-46.503041</v>
      </c>
      <c r="D1607" s="43" t="n">
        <v>240</v>
      </c>
      <c r="E1607" s="44" t="n">
        <v>18869.533</v>
      </c>
    </row>
    <row r="1608">
      <c r="A1608" s="39">
        <f>_xlfn.XLOOKUP(17842,Trip[shape_id],Trip[shape_id],"Não encontrado")</f>
        <v/>
      </c>
      <c r="B1608" s="40" t="n">
        <v>-23.530563</v>
      </c>
      <c r="C1608" s="40" t="n">
        <v>-46.50247</v>
      </c>
      <c r="D1608" s="40" t="n">
        <v>241</v>
      </c>
      <c r="E1608" s="41" t="n">
        <v>18973.342</v>
      </c>
    </row>
    <row r="1609">
      <c r="A1609" s="42">
        <f>_xlfn.XLOOKUP(17842,Trip[shape_id],Trip[shape_id],"Não encontrado")</f>
        <v/>
      </c>
      <c r="B1609" s="43" t="n">
        <v>-23.531122</v>
      </c>
      <c r="C1609" s="43" t="n">
        <v>-46.501654</v>
      </c>
      <c r="D1609" s="43" t="n">
        <v>242</v>
      </c>
      <c r="E1609" s="44" t="n">
        <v>18973.342</v>
      </c>
    </row>
    <row r="1610">
      <c r="A1610" s="39">
        <f>_xlfn.XLOOKUP(17842,Trip[shape_id],Trip[shape_id],"Não encontrado")</f>
        <v/>
      </c>
      <c r="B1610" s="40" t="n">
        <v>-23.532065</v>
      </c>
      <c r="C1610" s="40" t="n">
        <v>-46.500074</v>
      </c>
      <c r="D1610" s="40" t="n">
        <v>243</v>
      </c>
      <c r="E1610" s="41" t="n">
        <v>19254.047</v>
      </c>
    </row>
    <row r="1611">
      <c r="A1611" s="42">
        <f>_xlfn.XLOOKUP(17842,Trip[shape_id],Trip[shape_id],"Não encontrado")</f>
        <v/>
      </c>
      <c r="B1611" s="43" t="n">
        <v>-23.532514</v>
      </c>
      <c r="C1611" s="43" t="n">
        <v>-46.499357</v>
      </c>
      <c r="D1611" s="43" t="n">
        <v>244</v>
      </c>
      <c r="E1611" s="44" t="n">
        <v>19404.607</v>
      </c>
    </row>
    <row r="1612">
      <c r="A1612" s="39">
        <f>_xlfn.XLOOKUP(17842,Trip[shape_id],Trip[shape_id],"Não encontrado")</f>
        <v/>
      </c>
      <c r="B1612" s="40" t="n">
        <v>-23.533265</v>
      </c>
      <c r="C1612" s="40" t="n">
        <v>-46.498128</v>
      </c>
      <c r="D1612" s="40" t="n">
        <v>245</v>
      </c>
      <c r="E1612" s="41" t="n">
        <v>19503.408</v>
      </c>
    </row>
    <row r="1613">
      <c r="A1613" s="42">
        <f>_xlfn.XLOOKUP(17842,Trip[shape_id],Trip[shape_id],"Não encontrado")</f>
        <v/>
      </c>
      <c r="B1613" s="43" t="n">
        <v>-23.533843</v>
      </c>
      <c r="C1613" s="43" t="n">
        <v>-46.497391</v>
      </c>
      <c r="D1613" s="43" t="n">
        <v>246</v>
      </c>
      <c r="E1613" s="44" t="n">
        <v>19571.43</v>
      </c>
    </row>
    <row r="1614">
      <c r="A1614" s="39">
        <f>_xlfn.XLOOKUP(17842,Trip[shape_id],Trip[shape_id],"Não encontrado")</f>
        <v/>
      </c>
      <c r="B1614" s="40" t="n">
        <v>-23.534264</v>
      </c>
      <c r="C1614" s="40" t="n">
        <v>-46.496906</v>
      </c>
      <c r="D1614" s="40" t="n">
        <v>247</v>
      </c>
      <c r="E1614" s="41" t="n">
        <v>19638.396</v>
      </c>
    </row>
    <row r="1615">
      <c r="A1615" s="42">
        <f>_xlfn.XLOOKUP(17842,Trip[shape_id],Trip[shape_id],"Não encontrado")</f>
        <v/>
      </c>
      <c r="B1615" s="43" t="n">
        <v>-23.534636</v>
      </c>
      <c r="C1615" s="43" t="n">
        <v>-46.496389</v>
      </c>
      <c r="D1615" s="43" t="n">
        <v>248</v>
      </c>
      <c r="E1615" s="44" t="n">
        <v>19681.768</v>
      </c>
    </row>
    <row r="1616">
      <c r="A1616" s="39">
        <f>_xlfn.XLOOKUP(17842,Trip[shape_id],Trip[shape_id],"Não encontrado")</f>
        <v/>
      </c>
      <c r="B1616" s="40" t="n">
        <v>-23.534851</v>
      </c>
      <c r="C1616" s="40" t="n">
        <v>-46.496034</v>
      </c>
      <c r="D1616" s="40" t="n">
        <v>249</v>
      </c>
      <c r="E1616" s="41" t="n">
        <v>19724.439</v>
      </c>
    </row>
    <row r="1617">
      <c r="A1617" s="42">
        <f>_xlfn.XLOOKUP(17842,Trip[shape_id],Trip[shape_id],"Não encontrado")</f>
        <v/>
      </c>
      <c r="B1617" s="43" t="n">
        <v>-23.535021</v>
      </c>
      <c r="C1617" s="43" t="n">
        <v>-46.495659</v>
      </c>
      <c r="D1617" s="43" t="n">
        <v>250</v>
      </c>
      <c r="E1617" s="44" t="n">
        <v>19749.303</v>
      </c>
    </row>
    <row r="1618">
      <c r="A1618" s="39">
        <f>_xlfn.XLOOKUP(17842,Trip[shape_id],Trip[shape_id],"Não encontrado")</f>
        <v/>
      </c>
      <c r="B1618" s="40" t="n">
        <v>-23.535121</v>
      </c>
      <c r="C1618" s="40" t="n">
        <v>-46.495441</v>
      </c>
      <c r="D1618" s="40" t="n">
        <v>251</v>
      </c>
      <c r="E1618" s="41" t="n">
        <v>19784.732</v>
      </c>
    </row>
    <row r="1619">
      <c r="A1619" s="42">
        <f>_xlfn.XLOOKUP(17842,Trip[shape_id],Trip[shape_id],"Não encontrado")</f>
        <v/>
      </c>
      <c r="B1619" s="43" t="n">
        <v>-23.535233</v>
      </c>
      <c r="C1619" s="43" t="n">
        <v>-46.495116</v>
      </c>
      <c r="D1619" s="43" t="n">
        <v>252</v>
      </c>
      <c r="E1619" s="44" t="n">
        <v>19843.076</v>
      </c>
    </row>
    <row r="1620">
      <c r="A1620" s="39">
        <f>_xlfn.XLOOKUP(17842,Trip[shape_id],Trip[shape_id],"Não encontrado")</f>
        <v/>
      </c>
      <c r="B1620" s="40" t="n">
        <v>-23.535369</v>
      </c>
      <c r="C1620" s="40" t="n">
        <v>-46.494564</v>
      </c>
      <c r="D1620" s="40" t="n">
        <v>253</v>
      </c>
      <c r="E1620" s="41" t="n">
        <v>19910.986</v>
      </c>
    </row>
    <row r="1621">
      <c r="A1621" s="42">
        <f>_xlfn.XLOOKUP(17842,Trip[shape_id],Trip[shape_id],"Não encontrado")</f>
        <v/>
      </c>
      <c r="B1621" s="43" t="n">
        <v>-23.535458</v>
      </c>
      <c r="C1621" s="43" t="n">
        <v>-46.493906</v>
      </c>
      <c r="D1621" s="43" t="n">
        <v>254</v>
      </c>
      <c r="E1621" s="44" t="n">
        <v>19952.773</v>
      </c>
    </row>
    <row r="1622">
      <c r="A1622" s="39">
        <f>_xlfn.XLOOKUP(17842,Trip[shape_id],Trip[shape_id],"Não encontrado")</f>
        <v/>
      </c>
      <c r="B1622" s="40" t="n">
        <v>-23.535512</v>
      </c>
      <c r="C1622" s="40" t="n">
        <v>-46.493501</v>
      </c>
      <c r="D1622" s="40" t="n">
        <v>255</v>
      </c>
      <c r="E1622" s="41" t="n">
        <v>20053.283</v>
      </c>
    </row>
    <row r="1623">
      <c r="A1623" s="42">
        <f>_xlfn.XLOOKUP(17842,Trip[shape_id],Trip[shape_id],"Não encontrado")</f>
        <v/>
      </c>
      <c r="B1623" s="43" t="n">
        <v>-23.535606</v>
      </c>
      <c r="C1623" s="43" t="n">
        <v>-46.492522</v>
      </c>
      <c r="D1623" s="43" t="n">
        <v>256</v>
      </c>
      <c r="E1623" s="44" t="n">
        <v>20167.115</v>
      </c>
    </row>
    <row r="1624">
      <c r="A1624" s="39">
        <f>_xlfn.XLOOKUP(17842,Trip[shape_id],Trip[shape_id],"Não encontrado")</f>
        <v/>
      </c>
      <c r="B1624" s="40" t="n">
        <v>-23.535719</v>
      </c>
      <c r="C1624" s="40" t="n">
        <v>-46.491414</v>
      </c>
      <c r="D1624" s="40" t="n">
        <v>257</v>
      </c>
      <c r="E1624" s="41" t="n">
        <v>20169.373</v>
      </c>
    </row>
    <row r="1625">
      <c r="A1625" s="42">
        <f>_xlfn.XLOOKUP(17842,Trip[shape_id],Trip[shape_id],"Não encontrado")</f>
        <v/>
      </c>
      <c r="B1625" s="43" t="n">
        <v>-23.535721</v>
      </c>
      <c r="C1625" s="43" t="n">
        <v>-46.491392</v>
      </c>
      <c r="D1625" s="43" t="n">
        <v>258</v>
      </c>
      <c r="E1625" s="44" t="n">
        <v>20263.717</v>
      </c>
    </row>
    <row r="1626">
      <c r="A1626" s="39">
        <f>_xlfn.XLOOKUP(17842,Trip[shape_id],Trip[shape_id],"Não encontrado")</f>
        <v/>
      </c>
      <c r="B1626" s="40" t="n">
        <v>-23.535759</v>
      </c>
      <c r="C1626" s="40" t="n">
        <v>-46.490469</v>
      </c>
      <c r="D1626" s="40" t="n">
        <v>259</v>
      </c>
      <c r="E1626" s="41" t="n">
        <v>20386.512</v>
      </c>
    </row>
    <row r="1627">
      <c r="A1627" s="42">
        <f>_xlfn.XLOOKUP(17842,Trip[shape_id],Trip[shape_id],"Não encontrado")</f>
        <v/>
      </c>
      <c r="B1627" s="43" t="n">
        <v>-23.535687</v>
      </c>
      <c r="C1627" s="43" t="n">
        <v>-46.489269</v>
      </c>
      <c r="D1627" s="43" t="n">
        <v>260</v>
      </c>
      <c r="E1627" s="44" t="n">
        <v>20429.236</v>
      </c>
    </row>
    <row r="1628">
      <c r="A1628" s="39">
        <f>_xlfn.XLOOKUP(17842,Trip[shape_id],Trip[shape_id],"Não encontrado")</f>
        <v/>
      </c>
      <c r="B1628" s="40" t="n">
        <v>-23.535704</v>
      </c>
      <c r="C1628" s="40" t="n">
        <v>-46.488851</v>
      </c>
      <c r="D1628" s="40" t="n">
        <v>261</v>
      </c>
      <c r="E1628" s="41" t="n">
        <v>20468.453</v>
      </c>
    </row>
    <row r="1629">
      <c r="A1629" s="42">
        <f>_xlfn.XLOOKUP(17842,Trip[shape_id],Trip[shape_id],"Não encontrado")</f>
        <v/>
      </c>
      <c r="B1629" s="43" t="n">
        <v>-23.535792</v>
      </c>
      <c r="C1629" s="43" t="n">
        <v>-46.488479</v>
      </c>
      <c r="D1629" s="43" t="n">
        <v>262</v>
      </c>
      <c r="E1629" s="44" t="n">
        <v>20522.432</v>
      </c>
    </row>
    <row r="1630">
      <c r="A1630" s="39">
        <f>_xlfn.XLOOKUP(17842,Trip[shape_id],Trip[shape_id],"Não encontrado")</f>
        <v/>
      </c>
      <c r="B1630" s="40" t="n">
        <v>-23.535963</v>
      </c>
      <c r="C1630" s="40" t="n">
        <v>-46.487984</v>
      </c>
      <c r="D1630" s="40" t="n">
        <v>263</v>
      </c>
      <c r="E1630" s="41" t="n">
        <v>20556.189</v>
      </c>
    </row>
    <row r="1631">
      <c r="A1631" s="42">
        <f>_xlfn.XLOOKUP(17842,Trip[shape_id],Trip[shape_id],"Não encontrado")</f>
        <v/>
      </c>
      <c r="B1631" s="43" t="n">
        <v>-23.536111</v>
      </c>
      <c r="C1631" s="43" t="n">
        <v>-46.487695</v>
      </c>
      <c r="D1631" s="43" t="n">
        <v>264</v>
      </c>
      <c r="E1631" s="44" t="n">
        <v>20612.965</v>
      </c>
    </row>
    <row r="1632">
      <c r="A1632" s="39">
        <f>_xlfn.XLOOKUP(17842,Trip[shape_id],Trip[shape_id],"Não encontrado")</f>
        <v/>
      </c>
      <c r="B1632" s="40" t="n">
        <v>-23.536422</v>
      </c>
      <c r="C1632" s="40" t="n">
        <v>-46.487253</v>
      </c>
      <c r="D1632" s="40" t="n">
        <v>265</v>
      </c>
      <c r="E1632" s="41" t="n">
        <v>20685.26</v>
      </c>
    </row>
    <row r="1633">
      <c r="A1633" s="42">
        <f>_xlfn.XLOOKUP(17842,Trip[shape_id],Trip[shape_id],"Não encontrado")</f>
        <v/>
      </c>
      <c r="B1633" s="43" t="n">
        <v>-23.536919</v>
      </c>
      <c r="C1633" s="43" t="n">
        <v>-46.486794</v>
      </c>
      <c r="D1633" s="43" t="n">
        <v>266</v>
      </c>
      <c r="E1633" s="44" t="n">
        <v>20715.459</v>
      </c>
    </row>
    <row r="1634">
      <c r="A1634" s="39">
        <f>_xlfn.XLOOKUP(17842,Trip[shape_id],Trip[shape_id],"Não encontrado")</f>
        <v/>
      </c>
      <c r="B1634" s="40" t="n">
        <v>-23.537163</v>
      </c>
      <c r="C1634" s="40" t="n">
        <v>-46.486662</v>
      </c>
      <c r="D1634" s="40" t="n">
        <v>267</v>
      </c>
      <c r="E1634" s="41" t="n">
        <v>20762.943</v>
      </c>
    </row>
    <row r="1635">
      <c r="A1635" s="42">
        <f>_xlfn.XLOOKUP(17842,Trip[shape_id],Trip[shape_id],"Não encontrado")</f>
        <v/>
      </c>
      <c r="B1635" s="43" t="n">
        <v>-23.537546</v>
      </c>
      <c r="C1635" s="43" t="n">
        <v>-46.486453</v>
      </c>
      <c r="D1635" s="43" t="n">
        <v>268</v>
      </c>
      <c r="E1635" s="44" t="n">
        <v>20820.969</v>
      </c>
    </row>
    <row r="1636">
      <c r="A1636" s="39">
        <f>_xlfn.XLOOKUP(17842,Trip[shape_id],Trip[shape_id],"Não encontrado")</f>
        <v/>
      </c>
      <c r="B1636" s="40" t="n">
        <v>-23.538035</v>
      </c>
      <c r="C1636" s="40" t="n">
        <v>-46.486249</v>
      </c>
      <c r="D1636" s="40" t="n">
        <v>269</v>
      </c>
      <c r="E1636" s="41" t="n">
        <v>20865.135</v>
      </c>
    </row>
    <row r="1637">
      <c r="A1637" s="42">
        <f>_xlfn.XLOOKUP(17842,Trip[shape_id],Trip[shape_id],"Não encontrado")</f>
        <v/>
      </c>
      <c r="B1637" s="43" t="n">
        <v>-23.538408</v>
      </c>
      <c r="C1637" s="43" t="n">
        <v>-46.486096</v>
      </c>
      <c r="D1637" s="43" t="n">
        <v>270</v>
      </c>
      <c r="E1637" s="44" t="n">
        <v>20908.336</v>
      </c>
    </row>
    <row r="1638">
      <c r="A1638" s="39">
        <f>_xlfn.XLOOKUP(17842,Trip[shape_id],Trip[shape_id],"Não encontrado")</f>
        <v/>
      </c>
      <c r="B1638" s="40" t="n">
        <v>-23.538761</v>
      </c>
      <c r="C1638" s="40" t="n">
        <v>-46.485916</v>
      </c>
      <c r="D1638" s="40" t="n">
        <v>271</v>
      </c>
      <c r="E1638" s="41" t="n">
        <v>20944.922</v>
      </c>
    </row>
    <row r="1639">
      <c r="A1639" s="42">
        <f>_xlfn.XLOOKUP(17842,Trip[shape_id],Trip[shape_id],"Não encontrado")</f>
        <v/>
      </c>
      <c r="B1639" s="43" t="n">
        <v>-23.539061</v>
      </c>
      <c r="C1639" s="43" t="n">
        <v>-46.485766</v>
      </c>
      <c r="D1639" s="43" t="n">
        <v>272</v>
      </c>
      <c r="E1639" s="44" t="n">
        <v>21052.859</v>
      </c>
    </row>
    <row r="1640">
      <c r="A1640" s="39">
        <f>_xlfn.XLOOKUP(17842,Trip[shape_id],Trip[shape_id],"Não encontrado")</f>
        <v/>
      </c>
      <c r="B1640" s="40" t="n">
        <v>-23.539831</v>
      </c>
      <c r="C1640" s="40" t="n">
        <v>-46.485118</v>
      </c>
      <c r="D1640" s="40" t="n">
        <v>273</v>
      </c>
      <c r="E1640" s="41" t="n">
        <v>21104.529</v>
      </c>
    </row>
    <row r="1641">
      <c r="A1641" s="42">
        <f>_xlfn.XLOOKUP(17842,Trip[shape_id],Trip[shape_id],"Não encontrado")</f>
        <v/>
      </c>
      <c r="B1641" s="43" t="n">
        <v>-23.540174</v>
      </c>
      <c r="C1641" s="43" t="n">
        <v>-46.484775</v>
      </c>
      <c r="D1641" s="43" t="n">
        <v>274</v>
      </c>
      <c r="E1641" s="44" t="n">
        <v>21115.807</v>
      </c>
    </row>
    <row r="1642">
      <c r="A1642" s="39">
        <f>_xlfn.XLOOKUP(17842,Trip[shape_id],Trip[shape_id],"Não encontrado")</f>
        <v/>
      </c>
      <c r="B1642" s="40" t="n">
        <v>-23.540252</v>
      </c>
      <c r="C1642" s="40" t="n">
        <v>-46.484704</v>
      </c>
      <c r="D1642" s="40" t="n">
        <v>275</v>
      </c>
      <c r="E1642" s="41" t="n">
        <v>21115.807</v>
      </c>
    </row>
    <row r="1643">
      <c r="A1643" s="42">
        <f>_xlfn.XLOOKUP(17842,Trip[shape_id],Trip[shape_id],"Não encontrado")</f>
        <v/>
      </c>
      <c r="B1643" s="43" t="n">
        <v>-23.540387</v>
      </c>
      <c r="C1643" s="43" t="n">
        <v>-46.484587</v>
      </c>
      <c r="D1643" s="43" t="n">
        <v>276</v>
      </c>
      <c r="E1643" s="44" t="n">
        <v>21165.125</v>
      </c>
    </row>
    <row r="1644">
      <c r="A1644" s="39">
        <f>_xlfn.XLOOKUP(17842,Trip[shape_id],Trip[shape_id],"Não encontrado")</f>
        <v/>
      </c>
      <c r="B1644" s="40" t="n">
        <v>-23.540571</v>
      </c>
      <c r="C1644" s="40" t="n">
        <v>-46.484369</v>
      </c>
      <c r="D1644" s="40" t="n">
        <v>277</v>
      </c>
      <c r="E1644" s="41" t="n">
        <v>21177.67</v>
      </c>
    </row>
    <row r="1645">
      <c r="A1645" s="42">
        <f>_xlfn.XLOOKUP(17842,Trip[shape_id],Trip[shape_id],"Não encontrado")</f>
        <v/>
      </c>
      <c r="B1645" s="43" t="n">
        <v>-23.540645</v>
      </c>
      <c r="C1645" s="43" t="n">
        <v>-46.484276</v>
      </c>
      <c r="D1645" s="43" t="n">
        <v>278</v>
      </c>
      <c r="E1645" s="44" t="n">
        <v>21242.84</v>
      </c>
    </row>
    <row r="1646">
      <c r="A1646" s="39">
        <f>_xlfn.XLOOKUP(17842,Trip[shape_id],Trip[shape_id],"Não encontrado")</f>
        <v/>
      </c>
      <c r="B1646" s="40" t="n">
        <v>-23.541037</v>
      </c>
      <c r="C1646" s="40" t="n">
        <v>-46.4838</v>
      </c>
      <c r="D1646" s="40" t="n">
        <v>279</v>
      </c>
      <c r="E1646" s="41" t="n">
        <v>21251.098</v>
      </c>
    </row>
    <row r="1647">
      <c r="A1647" s="42">
        <f>_xlfn.XLOOKUP(17842,Trip[shape_id],Trip[shape_id],"Não encontrado")</f>
        <v/>
      </c>
      <c r="B1647" s="43" t="n">
        <v>-23.541087</v>
      </c>
      <c r="C1647" s="43" t="n">
        <v>-46.48374</v>
      </c>
      <c r="D1647" s="43" t="n">
        <v>280</v>
      </c>
      <c r="E1647" s="44" t="n">
        <v>21265.879</v>
      </c>
    </row>
    <row r="1648">
      <c r="A1648" s="39">
        <f>_xlfn.XLOOKUP(17842,Trip[shape_id],Trip[shape_id],"Não encontrado")</f>
        <v/>
      </c>
      <c r="B1648" s="40" t="n">
        <v>-23.541163</v>
      </c>
      <c r="C1648" s="40" t="n">
        <v>-46.483621</v>
      </c>
      <c r="D1648" s="40" t="n">
        <v>281</v>
      </c>
      <c r="E1648" s="41" t="n">
        <v>21301.869</v>
      </c>
    </row>
    <row r="1649">
      <c r="A1649" s="42">
        <f>_xlfn.XLOOKUP(17842,Trip[shape_id],Trip[shape_id],"Não encontrado")</f>
        <v/>
      </c>
      <c r="B1649" s="43" t="n">
        <v>-23.541345</v>
      </c>
      <c r="C1649" s="43" t="n">
        <v>-46.483329</v>
      </c>
      <c r="D1649" s="43" t="n">
        <v>282</v>
      </c>
      <c r="E1649" s="44" t="n">
        <v>21346.883</v>
      </c>
    </row>
    <row r="1650">
      <c r="A1650" s="39">
        <f>_xlfn.XLOOKUP(17842,Trip[shape_id],Trip[shape_id],"Não encontrado")</f>
        <v/>
      </c>
      <c r="B1650" s="40" t="n">
        <v>-23.541543</v>
      </c>
      <c r="C1650" s="40" t="n">
        <v>-46.482944</v>
      </c>
      <c r="D1650" s="40" t="n">
        <v>283</v>
      </c>
      <c r="E1650" s="41" t="n">
        <v>21367.273</v>
      </c>
    </row>
    <row r="1651">
      <c r="A1651" s="42">
        <f>_xlfn.XLOOKUP(17842,Trip[shape_id],Trip[shape_id],"Não encontrado")</f>
        <v/>
      </c>
      <c r="B1651" s="43" t="n">
        <v>-23.54163</v>
      </c>
      <c r="C1651" s="43" t="n">
        <v>-46.482768</v>
      </c>
      <c r="D1651" s="43" t="n">
        <v>284</v>
      </c>
      <c r="E1651" s="44" t="n">
        <v>21396.273</v>
      </c>
    </row>
    <row r="1652">
      <c r="A1652" s="39">
        <f>_xlfn.XLOOKUP(17842,Trip[shape_id],Trip[shape_id],"Não encontrado")</f>
        <v/>
      </c>
      <c r="B1652" s="40" t="n">
        <v>-23.541714</v>
      </c>
      <c r="C1652" s="40" t="n">
        <v>-46.482499</v>
      </c>
      <c r="D1652" s="40" t="n">
        <v>285</v>
      </c>
      <c r="E1652" s="41" t="n">
        <v>21446.457</v>
      </c>
    </row>
    <row r="1653">
      <c r="A1653" s="42">
        <f>_xlfn.XLOOKUP(17842,Trip[shape_id],Trip[shape_id],"Não encontrado")</f>
        <v/>
      </c>
      <c r="B1653" s="43" t="n">
        <v>-23.541858</v>
      </c>
      <c r="C1653" s="43" t="n">
        <v>-46.482033</v>
      </c>
      <c r="D1653" s="43" t="n">
        <v>286</v>
      </c>
      <c r="E1653" s="44" t="n">
        <v>21484.428</v>
      </c>
    </row>
    <row r="1654">
      <c r="A1654" s="39">
        <f>_xlfn.XLOOKUP(17842,Trip[shape_id],Trip[shape_id],"Não encontrado")</f>
        <v/>
      </c>
      <c r="B1654" s="40" t="n">
        <v>-23.541954</v>
      </c>
      <c r="C1654" s="40" t="n">
        <v>-46.481676</v>
      </c>
      <c r="D1654" s="40" t="n">
        <v>287</v>
      </c>
      <c r="E1654" s="41" t="n">
        <v>21535.352</v>
      </c>
    </row>
    <row r="1655">
      <c r="A1655" s="42">
        <f>_xlfn.XLOOKUP(17842,Trip[shape_id],Trip[shape_id],"Não encontrado")</f>
        <v/>
      </c>
      <c r="B1655" s="43" t="n">
        <v>-23.542082</v>
      </c>
      <c r="C1655" s="43" t="n">
        <v>-46.481197</v>
      </c>
      <c r="D1655" s="43" t="n">
        <v>288</v>
      </c>
      <c r="E1655" s="44" t="n">
        <v>21616.271</v>
      </c>
    </row>
    <row r="1656">
      <c r="A1656" s="39">
        <f>_xlfn.XLOOKUP(17842,Trip[shape_id],Trip[shape_id],"Não encontrado")</f>
        <v/>
      </c>
      <c r="B1656" s="40" t="n">
        <v>-23.542251</v>
      </c>
      <c r="C1656" s="40" t="n">
        <v>-46.480426</v>
      </c>
      <c r="D1656" s="40" t="n">
        <v>289</v>
      </c>
      <c r="E1656" s="41" t="n">
        <v>21707.664</v>
      </c>
    </row>
    <row r="1657">
      <c r="A1657" s="42">
        <f>_xlfn.XLOOKUP(17842,Trip[shape_id],Trip[shape_id],"Não encontrado")</f>
        <v/>
      </c>
      <c r="B1657" s="43" t="n">
        <v>-23.542441</v>
      </c>
      <c r="C1657" s="43" t="n">
        <v>-46.479555</v>
      </c>
      <c r="D1657" s="43" t="n">
        <v>290</v>
      </c>
      <c r="E1657" s="44" t="n">
        <v>21822.912</v>
      </c>
    </row>
    <row r="1658">
      <c r="A1658" s="39">
        <f>_xlfn.XLOOKUP(17842,Trip[shape_id],Trip[shape_id],"Não encontrado")</f>
        <v/>
      </c>
      <c r="B1658" s="40" t="n">
        <v>-23.542682</v>
      </c>
      <c r="C1658" s="40" t="n">
        <v>-46.478457</v>
      </c>
      <c r="D1658" s="40" t="n">
        <v>291</v>
      </c>
      <c r="E1658" s="41" t="n">
        <v>21902.213</v>
      </c>
    </row>
    <row r="1659">
      <c r="A1659" s="42">
        <f>_xlfn.XLOOKUP(17842,Trip[shape_id],Trip[shape_id],"Não encontrado")</f>
        <v/>
      </c>
      <c r="B1659" s="43" t="n">
        <v>-23.542846</v>
      </c>
      <c r="C1659" s="43" t="n">
        <v>-46.477701</v>
      </c>
      <c r="D1659" s="43" t="n">
        <v>292</v>
      </c>
      <c r="E1659" s="44" t="n">
        <v>21920.098</v>
      </c>
    </row>
    <row r="1660">
      <c r="A1660" s="39">
        <f>_xlfn.XLOOKUP(17842,Trip[shape_id],Trip[shape_id],"Não encontrado")</f>
        <v/>
      </c>
      <c r="B1660" s="40" t="n">
        <v>-23.542881</v>
      </c>
      <c r="C1660" s="40" t="n">
        <v>-46.47753</v>
      </c>
      <c r="D1660" s="40" t="n">
        <v>293</v>
      </c>
      <c r="E1660" s="41" t="n">
        <v>22059.078</v>
      </c>
    </row>
    <row r="1661">
      <c r="A1661" s="42">
        <f>_xlfn.XLOOKUP(17842,Trip[shape_id],Trip[shape_id],"Não encontrado")</f>
        <v/>
      </c>
      <c r="B1661" s="43" t="n">
        <v>-23.543026</v>
      </c>
      <c r="C1661" s="43" t="n">
        <v>-46.476178</v>
      </c>
      <c r="D1661" s="43" t="n">
        <v>294</v>
      </c>
      <c r="E1661" s="44" t="n">
        <v>22134.945</v>
      </c>
    </row>
    <row r="1662">
      <c r="A1662" s="39">
        <f>_xlfn.XLOOKUP(17842,Trip[shape_id],Trip[shape_id],"Não encontrado")</f>
        <v/>
      </c>
      <c r="B1662" s="40" t="n">
        <v>-23.543025</v>
      </c>
      <c r="C1662" s="40" t="n">
        <v>-46.475435</v>
      </c>
      <c r="D1662" s="40" t="n">
        <v>295</v>
      </c>
      <c r="E1662" s="41" t="n">
        <v>22255.283</v>
      </c>
    </row>
    <row r="1663">
      <c r="A1663" s="42">
        <f>_xlfn.XLOOKUP(17842,Trip[shape_id],Trip[shape_id],"Não encontrado")</f>
        <v/>
      </c>
      <c r="B1663" s="43" t="n">
        <v>-23.54288</v>
      </c>
      <c r="C1663" s="43" t="n">
        <v>-46.474267</v>
      </c>
      <c r="D1663" s="43" t="n">
        <v>296</v>
      </c>
      <c r="E1663" s="44" t="n">
        <v>22369.365</v>
      </c>
    </row>
    <row r="1664">
      <c r="A1664" s="39">
        <f>_xlfn.XLOOKUP(17842,Trip[shape_id],Trip[shape_id],"Não encontrado")</f>
        <v/>
      </c>
      <c r="B1664" s="40" t="n">
        <v>-23.542638</v>
      </c>
      <c r="C1664" s="40" t="n">
        <v>-46.473181</v>
      </c>
      <c r="D1664" s="40" t="n">
        <v>297</v>
      </c>
      <c r="E1664" s="41" t="n">
        <v>22468.643</v>
      </c>
    </row>
    <row r="1665">
      <c r="A1665" s="42">
        <f>_xlfn.XLOOKUP(17842,Trip[shape_id],Trip[shape_id],"Não encontrado")</f>
        <v/>
      </c>
      <c r="B1665" s="43" t="n">
        <v>-23.542485</v>
      </c>
      <c r="C1665" s="43" t="n">
        <v>-46.472223</v>
      </c>
      <c r="D1665" s="43" t="n">
        <v>298</v>
      </c>
      <c r="E1665" s="44" t="n">
        <v>22564.586</v>
      </c>
    </row>
    <row r="1666">
      <c r="A1666" s="39">
        <f>_xlfn.XLOOKUP(17842,Trip[shape_id],Trip[shape_id],"Não encontrado")</f>
        <v/>
      </c>
      <c r="B1666" s="40" t="n">
        <v>-23.542338</v>
      </c>
      <c r="C1666" s="40" t="n">
        <v>-46.471297</v>
      </c>
      <c r="D1666" s="40" t="n">
        <v>299</v>
      </c>
      <c r="E1666" s="41" t="n">
        <v>22576.75</v>
      </c>
    </row>
    <row r="1667">
      <c r="A1667" s="42">
        <f>_xlfn.XLOOKUP(17842,Trip[shape_id],Trip[shape_id],"Não encontrado")</f>
        <v/>
      </c>
      <c r="B1667" s="43" t="n">
        <v>-23.542262</v>
      </c>
      <c r="C1667" s="43" t="n">
        <v>-46.471211</v>
      </c>
      <c r="D1667" s="43" t="n">
        <v>300</v>
      </c>
      <c r="E1667" s="44" t="n">
        <v>22607.848</v>
      </c>
    </row>
    <row r="1668">
      <c r="A1668" s="39">
        <f>_xlfn.XLOOKUP(17842,Trip[shape_id],Trip[shape_id],"Não encontrado")</f>
        <v/>
      </c>
      <c r="B1668" s="40" t="n">
        <v>-23.541986</v>
      </c>
      <c r="C1668" s="40" t="n">
        <v>-46.471267</v>
      </c>
      <c r="D1668" s="40" t="n">
        <v>301</v>
      </c>
      <c r="E1668" s="41" t="n">
        <v>22607.848</v>
      </c>
    </row>
    <row r="1669">
      <c r="A1669" s="42">
        <f>_xlfn.XLOOKUP(17843,Trip[shape_id],Trip[shape_id],"Não encontrado")</f>
        <v/>
      </c>
      <c r="B1669" s="43" t="n">
        <v>-23.541986</v>
      </c>
      <c r="C1669" s="43" t="n">
        <v>-46.471267</v>
      </c>
      <c r="D1669" s="43" t="n">
        <v>1</v>
      </c>
      <c r="E1669" s="44" t="n">
        <v>0</v>
      </c>
    </row>
    <row r="1670">
      <c r="A1670" s="39">
        <f>_xlfn.XLOOKUP(17843,Trip[shape_id],Trip[shape_id],"Não encontrado")</f>
        <v/>
      </c>
      <c r="B1670" s="40" t="n">
        <v>-23.542262</v>
      </c>
      <c r="C1670" s="40" t="n">
        <v>-46.471211</v>
      </c>
      <c r="D1670" s="40" t="n">
        <v>2</v>
      </c>
      <c r="E1670" s="41" t="n">
        <v>31.097662</v>
      </c>
    </row>
    <row r="1671">
      <c r="A1671" s="42">
        <f>_xlfn.XLOOKUP(17843,Trip[shape_id],Trip[shape_id],"Não encontrado")</f>
        <v/>
      </c>
      <c r="B1671" s="43" t="n">
        <v>-23.542338</v>
      </c>
      <c r="C1671" s="43" t="n">
        <v>-46.471297</v>
      </c>
      <c r="D1671" s="43" t="n">
        <v>3</v>
      </c>
      <c r="E1671" s="44" t="n">
        <v>43.261349</v>
      </c>
    </row>
    <row r="1672">
      <c r="A1672" s="39">
        <f>_xlfn.XLOOKUP(17843,Trip[shape_id],Trip[shape_id],"Não encontrado")</f>
        <v/>
      </c>
      <c r="B1672" s="40" t="n">
        <v>-23.542485</v>
      </c>
      <c r="C1672" s="40" t="n">
        <v>-46.472223</v>
      </c>
      <c r="D1672" s="40" t="n">
        <v>4</v>
      </c>
      <c r="E1672" s="41" t="n">
        <v>139.20502</v>
      </c>
    </row>
    <row r="1673">
      <c r="A1673" s="42">
        <f>_xlfn.XLOOKUP(17843,Trip[shape_id],Trip[shape_id],"Não encontrado")</f>
        <v/>
      </c>
      <c r="B1673" s="43" t="n">
        <v>-23.542638</v>
      </c>
      <c r="C1673" s="43" t="n">
        <v>-46.473181</v>
      </c>
      <c r="D1673" s="43" t="n">
        <v>5</v>
      </c>
      <c r="E1673" s="44" t="n">
        <v>238.48146</v>
      </c>
    </row>
    <row r="1674">
      <c r="A1674" s="39">
        <f>_xlfn.XLOOKUP(17843,Trip[shape_id],Trip[shape_id],"Não encontrado")</f>
        <v/>
      </c>
      <c r="B1674" s="40" t="n">
        <v>-23.54288</v>
      </c>
      <c r="C1674" s="40" t="n">
        <v>-46.474267</v>
      </c>
      <c r="D1674" s="40" t="n">
        <v>6</v>
      </c>
      <c r="E1674" s="41" t="n">
        <v>352.56381</v>
      </c>
    </row>
    <row r="1675">
      <c r="A1675" s="42">
        <f>_xlfn.XLOOKUP(17843,Trip[shape_id],Trip[shape_id],"Não encontrado")</f>
        <v/>
      </c>
      <c r="B1675" s="43" t="n">
        <v>-23.543025</v>
      </c>
      <c r="C1675" s="43" t="n">
        <v>-46.475435</v>
      </c>
      <c r="D1675" s="43" t="n">
        <v>7</v>
      </c>
      <c r="E1675" s="44" t="n">
        <v>472.90216</v>
      </c>
    </row>
    <row r="1676">
      <c r="A1676" s="39">
        <f>_xlfn.XLOOKUP(17843,Trip[shape_id],Trip[shape_id],"Não encontrado")</f>
        <v/>
      </c>
      <c r="B1676" s="40" t="n">
        <v>-23.543026</v>
      </c>
      <c r="C1676" s="40" t="n">
        <v>-46.476178</v>
      </c>
      <c r="D1676" s="40" t="n">
        <v>8</v>
      </c>
      <c r="E1676" s="41" t="n">
        <v>548.76837</v>
      </c>
    </row>
    <row r="1677">
      <c r="A1677" s="42">
        <f>_xlfn.XLOOKUP(17843,Trip[shape_id],Trip[shape_id],"Não encontrado")</f>
        <v/>
      </c>
      <c r="B1677" s="43" t="n">
        <v>-23.542881</v>
      </c>
      <c r="C1677" s="43" t="n">
        <v>-46.47753</v>
      </c>
      <c r="D1677" s="43" t="n">
        <v>9</v>
      </c>
      <c r="E1677" s="44" t="n">
        <v>687.74915</v>
      </c>
    </row>
    <row r="1678">
      <c r="A1678" s="39">
        <f>_xlfn.XLOOKUP(17843,Trip[shape_id],Trip[shape_id],"Não encontrado")</f>
        <v/>
      </c>
      <c r="B1678" s="40" t="n">
        <v>-23.542846</v>
      </c>
      <c r="C1678" s="40" t="n">
        <v>-46.477701</v>
      </c>
      <c r="D1678" s="40" t="n">
        <v>10</v>
      </c>
      <c r="E1678" s="41" t="n">
        <v>705.63483</v>
      </c>
    </row>
    <row r="1679">
      <c r="A1679" s="42">
        <f>_xlfn.XLOOKUP(17843,Trip[shape_id],Trip[shape_id],"Não encontrado")</f>
        <v/>
      </c>
      <c r="B1679" s="43" t="n">
        <v>-23.542682</v>
      </c>
      <c r="C1679" s="43" t="n">
        <v>-46.478457</v>
      </c>
      <c r="D1679" s="43" t="n">
        <v>11</v>
      </c>
      <c r="E1679" s="44" t="n">
        <v>784.93652</v>
      </c>
    </row>
    <row r="1680">
      <c r="A1680" s="39">
        <f>_xlfn.XLOOKUP(17843,Trip[shape_id],Trip[shape_id],"Não encontrado")</f>
        <v/>
      </c>
      <c r="B1680" s="40" t="n">
        <v>-23.542441</v>
      </c>
      <c r="C1680" s="40" t="n">
        <v>-46.479555</v>
      </c>
      <c r="D1680" s="40" t="n">
        <v>12</v>
      </c>
      <c r="E1680" s="41" t="n">
        <v>900.18475</v>
      </c>
    </row>
    <row r="1681">
      <c r="A1681" s="42">
        <f>_xlfn.XLOOKUP(17843,Trip[shape_id],Trip[shape_id],"Não encontrado")</f>
        <v/>
      </c>
      <c r="B1681" s="43" t="n">
        <v>-23.542251</v>
      </c>
      <c r="C1681" s="43" t="n">
        <v>-46.480426</v>
      </c>
      <c r="D1681" s="43" t="n">
        <v>13</v>
      </c>
      <c r="E1681" s="44" t="n">
        <v>991.5766599999999</v>
      </c>
    </row>
    <row r="1682">
      <c r="A1682" s="39">
        <f>_xlfn.XLOOKUP(17843,Trip[shape_id],Trip[shape_id],"Não encontrado")</f>
        <v/>
      </c>
      <c r="B1682" s="40" t="n">
        <v>-23.542082</v>
      </c>
      <c r="C1682" s="40" t="n">
        <v>-46.481197</v>
      </c>
      <c r="D1682" s="40" t="n">
        <v>14</v>
      </c>
      <c r="E1682" s="41" t="n">
        <v>1072.4967</v>
      </c>
    </row>
    <row r="1683">
      <c r="A1683" s="42">
        <f>_xlfn.XLOOKUP(17843,Trip[shape_id],Trip[shape_id],"Não encontrado")</f>
        <v/>
      </c>
      <c r="B1683" s="43" t="n">
        <v>-23.541954</v>
      </c>
      <c r="C1683" s="43" t="n">
        <v>-46.481676</v>
      </c>
      <c r="D1683" s="43" t="n">
        <v>15</v>
      </c>
      <c r="E1683" s="44" t="n">
        <v>1123.4197</v>
      </c>
    </row>
    <row r="1684">
      <c r="A1684" s="39">
        <f>_xlfn.XLOOKUP(17843,Trip[shape_id],Trip[shape_id],"Não encontrado")</f>
        <v/>
      </c>
      <c r="B1684" s="40" t="n">
        <v>-23.541858</v>
      </c>
      <c r="C1684" s="40" t="n">
        <v>-46.482033</v>
      </c>
      <c r="D1684" s="40" t="n">
        <v>16</v>
      </c>
      <c r="E1684" s="41" t="n">
        <v>1161.3914</v>
      </c>
    </row>
    <row r="1685">
      <c r="A1685" s="42">
        <f>_xlfn.XLOOKUP(17843,Trip[shape_id],Trip[shape_id],"Não encontrado")</f>
        <v/>
      </c>
      <c r="B1685" s="43" t="n">
        <v>-23.541714</v>
      </c>
      <c r="C1685" s="43" t="n">
        <v>-46.482499</v>
      </c>
      <c r="D1685" s="43" t="n">
        <v>17</v>
      </c>
      <c r="E1685" s="44" t="n">
        <v>1211.5756</v>
      </c>
    </row>
    <row r="1686">
      <c r="A1686" s="39">
        <f>_xlfn.XLOOKUP(17843,Trip[shape_id],Trip[shape_id],"Não encontrado")</f>
        <v/>
      </c>
      <c r="B1686" s="40" t="n">
        <v>-23.54163</v>
      </c>
      <c r="C1686" s="40" t="n">
        <v>-46.482768</v>
      </c>
      <c r="D1686" s="40" t="n">
        <v>18</v>
      </c>
      <c r="E1686" s="41" t="n">
        <v>1240.5756</v>
      </c>
    </row>
    <row r="1687">
      <c r="A1687" s="42">
        <f>_xlfn.XLOOKUP(17843,Trip[shape_id],Trip[shape_id],"Não encontrado")</f>
        <v/>
      </c>
      <c r="B1687" s="43" t="n">
        <v>-23.541543</v>
      </c>
      <c r="C1687" s="43" t="n">
        <v>-46.482944</v>
      </c>
      <c r="D1687" s="43" t="n">
        <v>19</v>
      </c>
      <c r="E1687" s="44" t="n">
        <v>1260.9668</v>
      </c>
    </row>
    <row r="1688">
      <c r="A1688" s="39">
        <f>_xlfn.XLOOKUP(17843,Trip[shape_id],Trip[shape_id],"Não encontrado")</f>
        <v/>
      </c>
      <c r="B1688" s="40" t="n">
        <v>-23.541345</v>
      </c>
      <c r="C1688" s="40" t="n">
        <v>-46.483329</v>
      </c>
      <c r="D1688" s="40" t="n">
        <v>20</v>
      </c>
      <c r="E1688" s="41" t="n">
        <v>1305.9813</v>
      </c>
    </row>
    <row r="1689">
      <c r="A1689" s="42">
        <f>_xlfn.XLOOKUP(17843,Trip[shape_id],Trip[shape_id],"Não encontrado")</f>
        <v/>
      </c>
      <c r="B1689" s="43" t="n">
        <v>-23.541163</v>
      </c>
      <c r="C1689" s="43" t="n">
        <v>-46.483621</v>
      </c>
      <c r="D1689" s="43" t="n">
        <v>21</v>
      </c>
      <c r="E1689" s="44" t="n">
        <v>1341.9713</v>
      </c>
    </row>
    <row r="1690">
      <c r="A1690" s="39">
        <f>_xlfn.XLOOKUP(17843,Trip[shape_id],Trip[shape_id],"Não encontrado")</f>
        <v/>
      </c>
      <c r="B1690" s="40" t="n">
        <v>-23.541087</v>
      </c>
      <c r="C1690" s="40" t="n">
        <v>-46.48374</v>
      </c>
      <c r="D1690" s="40" t="n">
        <v>22</v>
      </c>
      <c r="E1690" s="41" t="n">
        <v>1356.7532</v>
      </c>
    </row>
    <row r="1691">
      <c r="A1691" s="42">
        <f>_xlfn.XLOOKUP(17843,Trip[shape_id],Trip[shape_id],"Não encontrado")</f>
        <v/>
      </c>
      <c r="B1691" s="43" t="n">
        <v>-23.541037</v>
      </c>
      <c r="C1691" s="43" t="n">
        <v>-46.4838</v>
      </c>
      <c r="D1691" s="43" t="n">
        <v>23</v>
      </c>
      <c r="E1691" s="44" t="n">
        <v>1365.0118</v>
      </c>
    </row>
    <row r="1692">
      <c r="A1692" s="39">
        <f>_xlfn.XLOOKUP(17843,Trip[shape_id],Trip[shape_id],"Não encontrado")</f>
        <v/>
      </c>
      <c r="B1692" s="40" t="n">
        <v>-23.540645</v>
      </c>
      <c r="C1692" s="40" t="n">
        <v>-46.484276</v>
      </c>
      <c r="D1692" s="40" t="n">
        <v>24</v>
      </c>
      <c r="E1692" s="41" t="n">
        <v>1430.1823</v>
      </c>
    </row>
    <row r="1693">
      <c r="A1693" s="42">
        <f>_xlfn.XLOOKUP(17843,Trip[shape_id],Trip[shape_id],"Não encontrado")</f>
        <v/>
      </c>
      <c r="B1693" s="43" t="n">
        <v>-23.540571</v>
      </c>
      <c r="C1693" s="43" t="n">
        <v>-46.484369</v>
      </c>
      <c r="D1693" s="43" t="n">
        <v>25</v>
      </c>
      <c r="E1693" s="44" t="n">
        <v>1442.7263</v>
      </c>
    </row>
    <row r="1694">
      <c r="A1694" s="39">
        <f>_xlfn.XLOOKUP(17843,Trip[shape_id],Trip[shape_id],"Não encontrado")</f>
        <v/>
      </c>
      <c r="B1694" s="40" t="n">
        <v>-23.540387</v>
      </c>
      <c r="C1694" s="40" t="n">
        <v>-46.484587</v>
      </c>
      <c r="D1694" s="40" t="n">
        <v>26</v>
      </c>
      <c r="E1694" s="41" t="n">
        <v>1472.9055</v>
      </c>
    </row>
    <row r="1695">
      <c r="A1695" s="42">
        <f>_xlfn.XLOOKUP(17843,Trip[shape_id],Trip[shape_id],"Não encontrado")</f>
        <v/>
      </c>
      <c r="B1695" s="43" t="n">
        <v>-23.540252</v>
      </c>
      <c r="C1695" s="43" t="n">
        <v>-46.484704</v>
      </c>
      <c r="D1695" s="43" t="n">
        <v>27</v>
      </c>
      <c r="E1695" s="44" t="n">
        <v>1492.0436</v>
      </c>
    </row>
    <row r="1696">
      <c r="A1696" s="39">
        <f>_xlfn.XLOOKUP(17843,Trip[shape_id],Trip[shape_id],"Não encontrado")</f>
        <v/>
      </c>
      <c r="B1696" s="40" t="n">
        <v>-23.540174</v>
      </c>
      <c r="C1696" s="40" t="n">
        <v>-46.484775</v>
      </c>
      <c r="D1696" s="40" t="n">
        <v>28</v>
      </c>
      <c r="E1696" s="41" t="n">
        <v>1503.3217</v>
      </c>
    </row>
    <row r="1697">
      <c r="A1697" s="42">
        <f>_xlfn.XLOOKUP(17843,Trip[shape_id],Trip[shape_id],"Não encontrado")</f>
        <v/>
      </c>
      <c r="B1697" s="43" t="n">
        <v>-23.539831</v>
      </c>
      <c r="C1697" s="43" t="n">
        <v>-46.485118</v>
      </c>
      <c r="D1697" s="43" t="n">
        <v>29</v>
      </c>
      <c r="E1697" s="44" t="n">
        <v>1554.9912</v>
      </c>
    </row>
    <row r="1698">
      <c r="A1698" s="39">
        <f>_xlfn.XLOOKUP(17843,Trip[shape_id],Trip[shape_id],"Não encontrado")</f>
        <v/>
      </c>
      <c r="B1698" s="40" t="n">
        <v>-23.539061</v>
      </c>
      <c r="C1698" s="40" t="n">
        <v>-46.485766</v>
      </c>
      <c r="D1698" s="40" t="n">
        <v>30</v>
      </c>
      <c r="E1698" s="41" t="n">
        <v>1662.9293</v>
      </c>
    </row>
    <row r="1699">
      <c r="A1699" s="42">
        <f>_xlfn.XLOOKUP(17843,Trip[shape_id],Trip[shape_id],"Não encontrado")</f>
        <v/>
      </c>
      <c r="B1699" s="43" t="n">
        <v>-23.538761</v>
      </c>
      <c r="C1699" s="43" t="n">
        <v>-46.485916</v>
      </c>
      <c r="D1699" s="43" t="n">
        <v>31</v>
      </c>
      <c r="E1699" s="44" t="n">
        <v>1699.5153</v>
      </c>
    </row>
    <row r="1700">
      <c r="A1700" s="39">
        <f>_xlfn.XLOOKUP(17843,Trip[shape_id],Trip[shape_id],"Não encontrado")</f>
        <v/>
      </c>
      <c r="B1700" s="40" t="n">
        <v>-23.538408</v>
      </c>
      <c r="C1700" s="40" t="n">
        <v>-46.486096</v>
      </c>
      <c r="D1700" s="40" t="n">
        <v>32</v>
      </c>
      <c r="E1700" s="41" t="n">
        <v>1742.7156</v>
      </c>
    </row>
    <row r="1701">
      <c r="A1701" s="42">
        <f>_xlfn.XLOOKUP(17843,Trip[shape_id],Trip[shape_id],"Não encontrado")</f>
        <v/>
      </c>
      <c r="B1701" s="43" t="n">
        <v>-23.538035</v>
      </c>
      <c r="C1701" s="43" t="n">
        <v>-46.486249</v>
      </c>
      <c r="D1701" s="43" t="n">
        <v>33</v>
      </c>
      <c r="E1701" s="44" t="n">
        <v>1786.8813</v>
      </c>
    </row>
    <row r="1702">
      <c r="A1702" s="39">
        <f>_xlfn.XLOOKUP(17843,Trip[shape_id],Trip[shape_id],"Não encontrado")</f>
        <v/>
      </c>
      <c r="B1702" s="40" t="n">
        <v>-23.537546</v>
      </c>
      <c r="C1702" s="40" t="n">
        <v>-46.486453</v>
      </c>
      <c r="D1702" s="40" t="n">
        <v>34</v>
      </c>
      <c r="E1702" s="41" t="n">
        <v>1844.9067</v>
      </c>
    </row>
    <row r="1703">
      <c r="A1703" s="42">
        <f>_xlfn.XLOOKUP(17843,Trip[shape_id],Trip[shape_id],"Não encontrado")</f>
        <v/>
      </c>
      <c r="B1703" s="43" t="n">
        <v>-23.537163</v>
      </c>
      <c r="C1703" s="43" t="n">
        <v>-46.486662</v>
      </c>
      <c r="D1703" s="43" t="n">
        <v>35</v>
      </c>
      <c r="E1703" s="44" t="n">
        <v>1892.3909</v>
      </c>
    </row>
    <row r="1704">
      <c r="A1704" s="39">
        <f>_xlfn.XLOOKUP(17843,Trip[shape_id],Trip[shape_id],"Não encontrado")</f>
        <v/>
      </c>
      <c r="B1704" s="40" t="n">
        <v>-23.536919</v>
      </c>
      <c r="C1704" s="40" t="n">
        <v>-46.486794</v>
      </c>
      <c r="D1704" s="40" t="n">
        <v>36</v>
      </c>
      <c r="E1704" s="41" t="n">
        <v>1922.5894</v>
      </c>
    </row>
    <row r="1705">
      <c r="A1705" s="42">
        <f>_xlfn.XLOOKUP(17843,Trip[shape_id],Trip[shape_id],"Não encontrado")</f>
        <v/>
      </c>
      <c r="B1705" s="43" t="n">
        <v>-23.536422</v>
      </c>
      <c r="C1705" s="43" t="n">
        <v>-46.487253</v>
      </c>
      <c r="D1705" s="43" t="n">
        <v>37</v>
      </c>
      <c r="E1705" s="44" t="n">
        <v>1994.8844</v>
      </c>
    </row>
    <row r="1706">
      <c r="A1706" s="39">
        <f>_xlfn.XLOOKUP(17843,Trip[shape_id],Trip[shape_id],"Não encontrado")</f>
        <v/>
      </c>
      <c r="B1706" s="40" t="n">
        <v>-23.536111</v>
      </c>
      <c r="C1706" s="40" t="n">
        <v>-46.487695</v>
      </c>
      <c r="D1706" s="40" t="n">
        <v>38</v>
      </c>
      <c r="E1706" s="41" t="n">
        <v>2051.6599</v>
      </c>
    </row>
    <row r="1707">
      <c r="A1707" s="42">
        <f>_xlfn.XLOOKUP(17843,Trip[shape_id],Trip[shape_id],"Não encontrado")</f>
        <v/>
      </c>
      <c r="B1707" s="43" t="n">
        <v>-23.535963</v>
      </c>
      <c r="C1707" s="43" t="n">
        <v>-46.487984</v>
      </c>
      <c r="D1707" s="43" t="n">
        <v>39</v>
      </c>
      <c r="E1707" s="44" t="n">
        <v>2085.4172</v>
      </c>
    </row>
    <row r="1708">
      <c r="A1708" s="39">
        <f>_xlfn.XLOOKUP(17843,Trip[shape_id],Trip[shape_id],"Não encontrado")</f>
        <v/>
      </c>
      <c r="B1708" s="40" t="n">
        <v>-23.535792</v>
      </c>
      <c r="C1708" s="40" t="n">
        <v>-46.488479</v>
      </c>
      <c r="D1708" s="40" t="n">
        <v>40</v>
      </c>
      <c r="E1708" s="41" t="n">
        <v>2139.3948</v>
      </c>
    </row>
    <row r="1709">
      <c r="A1709" s="42">
        <f>_xlfn.XLOOKUP(17843,Trip[shape_id],Trip[shape_id],"Não encontrado")</f>
        <v/>
      </c>
      <c r="B1709" s="43" t="n">
        <v>-23.535704</v>
      </c>
      <c r="C1709" s="43" t="n">
        <v>-46.488851</v>
      </c>
      <c r="D1709" s="43" t="n">
        <v>41</v>
      </c>
      <c r="E1709" s="44" t="n">
        <v>2178.6116</v>
      </c>
    </row>
    <row r="1710">
      <c r="A1710" s="39">
        <f>_xlfn.XLOOKUP(17843,Trip[shape_id],Trip[shape_id],"Não encontrado")</f>
        <v/>
      </c>
      <c r="B1710" s="40" t="n">
        <v>-23.535687</v>
      </c>
      <c r="C1710" s="40" t="n">
        <v>-46.489269</v>
      </c>
      <c r="D1710" s="40" t="n">
        <v>42</v>
      </c>
      <c r="E1710" s="41" t="n">
        <v>2221.3364</v>
      </c>
    </row>
    <row r="1711">
      <c r="A1711" s="42">
        <f>_xlfn.XLOOKUP(17843,Trip[shape_id],Trip[shape_id],"Não encontrado")</f>
        <v/>
      </c>
      <c r="B1711" s="43" t="n">
        <v>-23.535759</v>
      </c>
      <c r="C1711" s="43" t="n">
        <v>-46.490469</v>
      </c>
      <c r="D1711" s="43" t="n">
        <v>43</v>
      </c>
      <c r="E1711" s="44" t="n">
        <v>2344.1318</v>
      </c>
    </row>
    <row r="1712">
      <c r="A1712" s="39">
        <f>_xlfn.XLOOKUP(17843,Trip[shape_id],Trip[shape_id],"Não encontrado")</f>
        <v/>
      </c>
      <c r="B1712" s="40" t="n">
        <v>-23.535721</v>
      </c>
      <c r="C1712" s="40" t="n">
        <v>-46.491392</v>
      </c>
      <c r="D1712" s="40" t="n">
        <v>44</v>
      </c>
      <c r="E1712" s="41" t="n">
        <v>2438.4766</v>
      </c>
    </row>
    <row r="1713">
      <c r="A1713" s="42">
        <f>_xlfn.XLOOKUP(17843,Trip[shape_id],Trip[shape_id],"Não encontrado")</f>
        <v/>
      </c>
      <c r="B1713" s="43" t="n">
        <v>-23.535719</v>
      </c>
      <c r="C1713" s="43" t="n">
        <v>-46.491414</v>
      </c>
      <c r="D1713" s="43" t="n">
        <v>45</v>
      </c>
      <c r="E1713" s="44" t="n">
        <v>2440.7336</v>
      </c>
    </row>
    <row r="1714">
      <c r="A1714" s="39">
        <f>_xlfn.XLOOKUP(17843,Trip[shape_id],Trip[shape_id],"Não encontrado")</f>
        <v/>
      </c>
      <c r="B1714" s="40" t="n">
        <v>-23.535606</v>
      </c>
      <c r="C1714" s="40" t="n">
        <v>-46.492522</v>
      </c>
      <c r="D1714" s="40" t="n">
        <v>46</v>
      </c>
      <c r="E1714" s="41" t="n">
        <v>2554.5654</v>
      </c>
    </row>
    <row r="1715">
      <c r="A1715" s="42">
        <f>_xlfn.XLOOKUP(17843,Trip[shape_id],Trip[shape_id],"Não encontrado")</f>
        <v/>
      </c>
      <c r="B1715" s="43" t="n">
        <v>-23.535512</v>
      </c>
      <c r="C1715" s="43" t="n">
        <v>-46.493501</v>
      </c>
      <c r="D1715" s="43" t="n">
        <v>47</v>
      </c>
      <c r="E1715" s="44" t="n">
        <v>2655.0752</v>
      </c>
    </row>
    <row r="1716">
      <c r="A1716" s="39">
        <f>_xlfn.XLOOKUP(17843,Trip[shape_id],Trip[shape_id],"Não encontrado")</f>
        <v/>
      </c>
      <c r="B1716" s="40" t="n">
        <v>-23.535458</v>
      </c>
      <c r="C1716" s="40" t="n">
        <v>-46.493906</v>
      </c>
      <c r="D1716" s="40" t="n">
        <v>48</v>
      </c>
      <c r="E1716" s="41" t="n">
        <v>2696.8616</v>
      </c>
    </row>
    <row r="1717">
      <c r="A1717" s="42">
        <f>_xlfn.XLOOKUP(17843,Trip[shape_id],Trip[shape_id],"Não encontrado")</f>
        <v/>
      </c>
      <c r="B1717" s="43" t="n">
        <v>-23.535369</v>
      </c>
      <c r="C1717" s="43" t="n">
        <v>-46.494564</v>
      </c>
      <c r="D1717" s="43" t="n">
        <v>49</v>
      </c>
      <c r="E1717" s="44" t="n">
        <v>2764.7715</v>
      </c>
    </row>
    <row r="1718">
      <c r="A1718" s="39">
        <f>_xlfn.XLOOKUP(17843,Trip[shape_id],Trip[shape_id],"Não encontrado")</f>
        <v/>
      </c>
      <c r="B1718" s="40" t="n">
        <v>-23.535233</v>
      </c>
      <c r="C1718" s="40" t="n">
        <v>-46.495116</v>
      </c>
      <c r="D1718" s="40" t="n">
        <v>50</v>
      </c>
      <c r="E1718" s="41" t="n">
        <v>2823.116</v>
      </c>
    </row>
    <row r="1719">
      <c r="A1719" s="42">
        <f>_xlfn.XLOOKUP(17843,Trip[shape_id],Trip[shape_id],"Não encontrado")</f>
        <v/>
      </c>
      <c r="B1719" s="43" t="n">
        <v>-23.535121</v>
      </c>
      <c r="C1719" s="43" t="n">
        <v>-46.495441</v>
      </c>
      <c r="D1719" s="43" t="n">
        <v>51</v>
      </c>
      <c r="E1719" s="44" t="n">
        <v>2858.5454</v>
      </c>
    </row>
    <row r="1720">
      <c r="A1720" s="39">
        <f>_xlfn.XLOOKUP(17843,Trip[shape_id],Trip[shape_id],"Não encontrado")</f>
        <v/>
      </c>
      <c r="B1720" s="40" t="n">
        <v>-23.535021</v>
      </c>
      <c r="C1720" s="40" t="n">
        <v>-46.495659</v>
      </c>
      <c r="D1720" s="40" t="n">
        <v>52</v>
      </c>
      <c r="E1720" s="41" t="n">
        <v>2883.4092</v>
      </c>
    </row>
    <row r="1721">
      <c r="A1721" s="42">
        <f>_xlfn.XLOOKUP(17843,Trip[shape_id],Trip[shape_id],"Não encontrado")</f>
        <v/>
      </c>
      <c r="B1721" s="43" t="n">
        <v>-23.534851</v>
      </c>
      <c r="C1721" s="43" t="n">
        <v>-46.496034</v>
      </c>
      <c r="D1721" s="43" t="n">
        <v>53</v>
      </c>
      <c r="E1721" s="44" t="n">
        <v>2926.0801</v>
      </c>
    </row>
    <row r="1722">
      <c r="A1722" s="39">
        <f>_xlfn.XLOOKUP(17843,Trip[shape_id],Trip[shape_id],"Não encontrado")</f>
        <v/>
      </c>
      <c r="B1722" s="40" t="n">
        <v>-23.534636</v>
      </c>
      <c r="C1722" s="40" t="n">
        <v>-46.496389</v>
      </c>
      <c r="D1722" s="40" t="n">
        <v>54</v>
      </c>
      <c r="E1722" s="41" t="n">
        <v>2969.4517</v>
      </c>
    </row>
    <row r="1723">
      <c r="A1723" s="42">
        <f>_xlfn.XLOOKUP(17843,Trip[shape_id],Trip[shape_id],"Não encontrado")</f>
        <v/>
      </c>
      <c r="B1723" s="43" t="n">
        <v>-23.534264</v>
      </c>
      <c r="C1723" s="43" t="n">
        <v>-46.496906</v>
      </c>
      <c r="D1723" s="43" t="n">
        <v>55</v>
      </c>
      <c r="E1723" s="44" t="n">
        <v>3036.4182</v>
      </c>
    </row>
    <row r="1724">
      <c r="A1724" s="39">
        <f>_xlfn.XLOOKUP(17843,Trip[shape_id],Trip[shape_id],"Não encontrado")</f>
        <v/>
      </c>
      <c r="B1724" s="40" t="n">
        <v>-23.533843</v>
      </c>
      <c r="C1724" s="40" t="n">
        <v>-46.497391</v>
      </c>
      <c r="D1724" s="40" t="n">
        <v>56</v>
      </c>
      <c r="E1724" s="41" t="n">
        <v>3104.439</v>
      </c>
    </row>
    <row r="1725">
      <c r="A1725" s="42">
        <f>_xlfn.XLOOKUP(17843,Trip[shape_id],Trip[shape_id],"Não encontrado")</f>
        <v/>
      </c>
      <c r="B1725" s="43" t="n">
        <v>-23.533265</v>
      </c>
      <c r="C1725" s="43" t="n">
        <v>-46.498128</v>
      </c>
      <c r="D1725" s="43" t="n">
        <v>57</v>
      </c>
      <c r="E1725" s="44" t="n">
        <v>3203.2405</v>
      </c>
    </row>
    <row r="1726">
      <c r="A1726" s="39">
        <f>_xlfn.XLOOKUP(17843,Trip[shape_id],Trip[shape_id],"Não encontrado")</f>
        <v/>
      </c>
      <c r="B1726" s="40" t="n">
        <v>-23.532514</v>
      </c>
      <c r="C1726" s="40" t="n">
        <v>-46.499357</v>
      </c>
      <c r="D1726" s="40" t="n">
        <v>58</v>
      </c>
      <c r="E1726" s="41" t="n">
        <v>3353.8003</v>
      </c>
    </row>
    <row r="1727">
      <c r="A1727" s="42">
        <f>_xlfn.XLOOKUP(17843,Trip[shape_id],Trip[shape_id],"Não encontrado")</f>
        <v/>
      </c>
      <c r="B1727" s="43" t="n">
        <v>-23.532065</v>
      </c>
      <c r="C1727" s="43" t="n">
        <v>-46.500074</v>
      </c>
      <c r="D1727" s="43" t="n">
        <v>59</v>
      </c>
      <c r="E1727" s="44" t="n">
        <v>3442.3079</v>
      </c>
    </row>
    <row r="1728">
      <c r="A1728" s="39">
        <f>_xlfn.XLOOKUP(17843,Trip[shape_id],Trip[shape_id],"Não encontrado")</f>
        <v/>
      </c>
      <c r="B1728" s="40" t="n">
        <v>-23.531122</v>
      </c>
      <c r="C1728" s="40" t="n">
        <v>-46.501654</v>
      </c>
      <c r="D1728" s="40" t="n">
        <v>60</v>
      </c>
      <c r="E1728" s="41" t="n">
        <v>3634.5042</v>
      </c>
    </row>
    <row r="1729">
      <c r="A1729" s="42">
        <f>_xlfn.XLOOKUP(17843,Trip[shape_id],Trip[shape_id],"Não encontrado")</f>
        <v/>
      </c>
      <c r="B1729" s="43" t="n">
        <v>-23.530563</v>
      </c>
      <c r="C1729" s="43" t="n">
        <v>-46.50247</v>
      </c>
      <c r="D1729" s="43" t="n">
        <v>61</v>
      </c>
      <c r="E1729" s="44" t="n">
        <v>3738.3135</v>
      </c>
    </row>
    <row r="1730">
      <c r="A1730" s="39">
        <f>_xlfn.XLOOKUP(17843,Trip[shape_id],Trip[shape_id],"Não encontrado")</f>
        <v/>
      </c>
      <c r="B1730" s="40" t="n">
        <v>-23.530169</v>
      </c>
      <c r="C1730" s="40" t="n">
        <v>-46.503041</v>
      </c>
      <c r="D1730" s="40" t="n">
        <v>62</v>
      </c>
      <c r="E1730" s="41" t="n">
        <v>3811.1426</v>
      </c>
    </row>
    <row r="1731">
      <c r="A1731" s="42">
        <f>_xlfn.XLOOKUP(17843,Trip[shape_id],Trip[shape_id],"Não encontrado")</f>
        <v/>
      </c>
      <c r="B1731" s="43" t="n">
        <v>-23.529995</v>
      </c>
      <c r="C1731" s="43" t="n">
        <v>-46.503294</v>
      </c>
      <c r="D1731" s="43" t="n">
        <v>63</v>
      </c>
      <c r="E1731" s="44" t="n">
        <v>3843.3738</v>
      </c>
    </row>
    <row r="1732">
      <c r="A1732" s="39">
        <f>_xlfn.XLOOKUP(17843,Trip[shape_id],Trip[shape_id],"Não encontrado")</f>
        <v/>
      </c>
      <c r="B1732" s="40" t="n">
        <v>-23.529466</v>
      </c>
      <c r="C1732" s="40" t="n">
        <v>-46.504062</v>
      </c>
      <c r="D1732" s="40" t="n">
        <v>64</v>
      </c>
      <c r="E1732" s="41" t="n">
        <v>3941.2678</v>
      </c>
    </row>
    <row r="1733">
      <c r="A1733" s="42">
        <f>_xlfn.XLOOKUP(17843,Trip[shape_id],Trip[shape_id],"Não encontrado")</f>
        <v/>
      </c>
      <c r="B1733" s="43" t="n">
        <v>-23.528843</v>
      </c>
      <c r="C1733" s="43" t="n">
        <v>-46.50497</v>
      </c>
      <c r="D1733" s="43" t="n">
        <v>65</v>
      </c>
      <c r="E1733" s="44" t="n">
        <v>4056.8464</v>
      </c>
    </row>
    <row r="1734">
      <c r="A1734" s="39">
        <f>_xlfn.XLOOKUP(17843,Trip[shape_id],Trip[shape_id],"Não encontrado")</f>
        <v/>
      </c>
      <c r="B1734" s="40" t="n">
        <v>-23.528787</v>
      </c>
      <c r="C1734" s="40" t="n">
        <v>-46.505052</v>
      </c>
      <c r="D1734" s="40" t="n">
        <v>66</v>
      </c>
      <c r="E1734" s="41" t="n">
        <v>4067.2671</v>
      </c>
    </row>
    <row r="1735">
      <c r="A1735" s="42">
        <f>_xlfn.XLOOKUP(17843,Trip[shape_id],Trip[shape_id],"Não encontrado")</f>
        <v/>
      </c>
      <c r="B1735" s="43" t="n">
        <v>-23.528665</v>
      </c>
      <c r="C1735" s="43" t="n">
        <v>-46.505249</v>
      </c>
      <c r="D1735" s="43" t="n">
        <v>67</v>
      </c>
      <c r="E1735" s="44" t="n">
        <v>4091.501</v>
      </c>
    </row>
    <row r="1736">
      <c r="A1736" s="39">
        <f>_xlfn.XLOOKUP(17843,Trip[shape_id],Trip[shape_id],"Não encontrado")</f>
        <v/>
      </c>
      <c r="B1736" s="40" t="n">
        <v>-23.528217</v>
      </c>
      <c r="C1736" s="40" t="n">
        <v>-46.505976</v>
      </c>
      <c r="D1736" s="40" t="n">
        <v>68</v>
      </c>
      <c r="E1736" s="41" t="n">
        <v>4180.7954</v>
      </c>
    </row>
    <row r="1737">
      <c r="A1737" s="42">
        <f>_xlfn.XLOOKUP(17843,Trip[shape_id],Trip[shape_id],"Não encontrado")</f>
        <v/>
      </c>
      <c r="B1737" s="43" t="n">
        <v>-23.527997</v>
      </c>
      <c r="C1737" s="43" t="n">
        <v>-46.506331</v>
      </c>
      <c r="D1737" s="43" t="n">
        <v>69</v>
      </c>
      <c r="E1737" s="44" t="n">
        <v>4224.4751</v>
      </c>
    </row>
    <row r="1738">
      <c r="A1738" s="39">
        <f>_xlfn.XLOOKUP(17843,Trip[shape_id],Trip[shape_id],"Não encontrado")</f>
        <v/>
      </c>
      <c r="B1738" s="40" t="n">
        <v>-23.527815</v>
      </c>
      <c r="C1738" s="40" t="n">
        <v>-46.506781</v>
      </c>
      <c r="D1738" s="40" t="n">
        <v>70</v>
      </c>
      <c r="E1738" s="41" t="n">
        <v>4274.6553</v>
      </c>
    </row>
    <row r="1739">
      <c r="A1739" s="42">
        <f>_xlfn.XLOOKUP(17843,Trip[shape_id],Trip[shape_id],"Não encontrado")</f>
        <v/>
      </c>
      <c r="B1739" s="43" t="n">
        <v>-23.527598</v>
      </c>
      <c r="C1739" s="43" t="n">
        <v>-46.507522</v>
      </c>
      <c r="D1739" s="43" t="n">
        <v>71</v>
      </c>
      <c r="E1739" s="44" t="n">
        <v>4354.0508</v>
      </c>
    </row>
    <row r="1740">
      <c r="A1740" s="39">
        <f>_xlfn.XLOOKUP(17843,Trip[shape_id],Trip[shape_id],"Não encontrado")</f>
        <v/>
      </c>
      <c r="B1740" s="40" t="n">
        <v>-23.527586</v>
      </c>
      <c r="C1740" s="40" t="n">
        <v>-46.507593</v>
      </c>
      <c r="D1740" s="40" t="n">
        <v>72</v>
      </c>
      <c r="E1740" s="41" t="n">
        <v>4361.4219</v>
      </c>
    </row>
    <row r="1741">
      <c r="A1741" s="42">
        <f>_xlfn.XLOOKUP(17843,Trip[shape_id],Trip[shape_id],"Não encontrado")</f>
        <v/>
      </c>
      <c r="B1741" s="43" t="n">
        <v>-23.527512</v>
      </c>
      <c r="C1741" s="43" t="n">
        <v>-46.508145</v>
      </c>
      <c r="D1741" s="43" t="n">
        <v>73</v>
      </c>
      <c r="E1741" s="44" t="n">
        <v>4418.3848</v>
      </c>
    </row>
    <row r="1742">
      <c r="A1742" s="39">
        <f>_xlfn.XLOOKUP(17843,Trip[shape_id],Trip[shape_id],"Não encontrado")</f>
        <v/>
      </c>
      <c r="B1742" s="40" t="n">
        <v>-23.527479</v>
      </c>
      <c r="C1742" s="40" t="n">
        <v>-46.508389</v>
      </c>
      <c r="D1742" s="40" t="n">
        <v>74</v>
      </c>
      <c r="E1742" s="41" t="n">
        <v>4443.5688</v>
      </c>
    </row>
    <row r="1743">
      <c r="A1743" s="42">
        <f>_xlfn.XLOOKUP(17843,Trip[shape_id],Trip[shape_id],"Não encontrado")</f>
        <v/>
      </c>
      <c r="B1743" s="43" t="n">
        <v>-23.527468</v>
      </c>
      <c r="C1743" s="43" t="n">
        <v>-46.509398</v>
      </c>
      <c r="D1743" s="43" t="n">
        <v>75</v>
      </c>
      <c r="E1743" s="44" t="n">
        <v>4546.6152</v>
      </c>
    </row>
    <row r="1744">
      <c r="A1744" s="39">
        <f>_xlfn.XLOOKUP(17843,Trip[shape_id],Trip[shape_id],"Não encontrado")</f>
        <v/>
      </c>
      <c r="B1744" s="40" t="n">
        <v>-23.527532</v>
      </c>
      <c r="C1744" s="40" t="n">
        <v>-46.509826</v>
      </c>
      <c r="D1744" s="40" t="n">
        <v>76</v>
      </c>
      <c r="E1744" s="41" t="n">
        <v>4590.8936</v>
      </c>
    </row>
    <row r="1745">
      <c r="A1745" s="42">
        <f>_xlfn.XLOOKUP(17843,Trip[shape_id],Trip[shape_id],"Não encontrado")</f>
        <v/>
      </c>
      <c r="B1745" s="43" t="n">
        <v>-23.527626</v>
      </c>
      <c r="C1745" s="43" t="n">
        <v>-46.51046</v>
      </c>
      <c r="D1745" s="43" t="n">
        <v>77</v>
      </c>
      <c r="E1745" s="44" t="n">
        <v>4656.4692</v>
      </c>
    </row>
    <row r="1746">
      <c r="A1746" s="39">
        <f>_xlfn.XLOOKUP(17843,Trip[shape_id],Trip[shape_id],"Não encontrado")</f>
        <v/>
      </c>
      <c r="B1746" s="40" t="n">
        <v>-23.527734</v>
      </c>
      <c r="C1746" s="40" t="n">
        <v>-46.511183</v>
      </c>
      <c r="D1746" s="40" t="n">
        <v>78</v>
      </c>
      <c r="E1746" s="41" t="n">
        <v>4731.2646</v>
      </c>
    </row>
    <row r="1747">
      <c r="A1747" s="42">
        <f>_xlfn.XLOOKUP(17843,Trip[shape_id],Trip[shape_id],"Não encontrado")</f>
        <v/>
      </c>
      <c r="B1747" s="43" t="n">
        <v>-23.528</v>
      </c>
      <c r="C1747" s="43" t="n">
        <v>-46.512963</v>
      </c>
      <c r="D1747" s="43" t="n">
        <v>79</v>
      </c>
      <c r="E1747" s="44" t="n">
        <v>4915.4092</v>
      </c>
    </row>
    <row r="1748">
      <c r="A1748" s="39">
        <f>_xlfn.XLOOKUP(17843,Trip[shape_id],Trip[shape_id],"Não encontrado")</f>
        <v/>
      </c>
      <c r="B1748" s="40" t="n">
        <v>-23.528021</v>
      </c>
      <c r="C1748" s="40" t="n">
        <v>-46.513098</v>
      </c>
      <c r="D1748" s="40" t="n">
        <v>80</v>
      </c>
      <c r="E1748" s="41" t="n">
        <v>4929.3896</v>
      </c>
    </row>
    <row r="1749">
      <c r="A1749" s="42">
        <f>_xlfn.XLOOKUP(17843,Trip[shape_id],Trip[shape_id],"Não encontrado")</f>
        <v/>
      </c>
      <c r="B1749" s="43" t="n">
        <v>-23.528141</v>
      </c>
      <c r="C1749" s="43" t="n">
        <v>-46.513775</v>
      </c>
      <c r="D1749" s="43" t="n">
        <v>81</v>
      </c>
      <c r="E1749" s="44" t="n">
        <v>4999.79</v>
      </c>
    </row>
    <row r="1750">
      <c r="A1750" s="39">
        <f>_xlfn.XLOOKUP(17843,Trip[shape_id],Trip[shape_id],"Não encontrado")</f>
        <v/>
      </c>
      <c r="B1750" s="40" t="n">
        <v>-23.528282</v>
      </c>
      <c r="C1750" s="40" t="n">
        <v>-46.514298</v>
      </c>
      <c r="D1750" s="40" t="n">
        <v>82</v>
      </c>
      <c r="E1750" s="41" t="n">
        <v>5055.4346</v>
      </c>
    </row>
    <row r="1751">
      <c r="A1751" s="42">
        <f>_xlfn.XLOOKUP(17843,Trip[shape_id],Trip[shape_id],"Não encontrado")</f>
        <v/>
      </c>
      <c r="B1751" s="43" t="n">
        <v>-23.528487</v>
      </c>
      <c r="C1751" s="43" t="n">
        <v>-46.514838</v>
      </c>
      <c r="D1751" s="43" t="n">
        <v>83</v>
      </c>
      <c r="E1751" s="44" t="n">
        <v>5115.0698</v>
      </c>
    </row>
    <row r="1752">
      <c r="A1752" s="39">
        <f>_xlfn.XLOOKUP(17843,Trip[shape_id],Trip[shape_id],"Não encontrado")</f>
        <v/>
      </c>
      <c r="B1752" s="40" t="n">
        <v>-23.528549</v>
      </c>
      <c r="C1752" s="40" t="n">
        <v>-46.514973</v>
      </c>
      <c r="D1752" s="40" t="n">
        <v>84</v>
      </c>
      <c r="E1752" s="41" t="n">
        <v>5130.4712</v>
      </c>
    </row>
    <row r="1753">
      <c r="A1753" s="42">
        <f>_xlfn.XLOOKUP(17843,Trip[shape_id],Trip[shape_id],"Não encontrado")</f>
        <v/>
      </c>
      <c r="B1753" s="43" t="n">
        <v>-23.528832</v>
      </c>
      <c r="C1753" s="43" t="n">
        <v>-46.515603</v>
      </c>
      <c r="D1753" s="43" t="n">
        <v>85</v>
      </c>
      <c r="E1753" s="44" t="n">
        <v>5202.0347</v>
      </c>
    </row>
    <row r="1754">
      <c r="A1754" s="39">
        <f>_xlfn.XLOOKUP(17843,Trip[shape_id],Trip[shape_id],"Não encontrado")</f>
        <v/>
      </c>
      <c r="B1754" s="40" t="n">
        <v>-23.529266</v>
      </c>
      <c r="C1754" s="40" t="n">
        <v>-46.516553</v>
      </c>
      <c r="D1754" s="40" t="n">
        <v>86</v>
      </c>
      <c r="E1754" s="41" t="n">
        <v>5310.3022</v>
      </c>
    </row>
    <row r="1755">
      <c r="A1755" s="42">
        <f>_xlfn.XLOOKUP(17843,Trip[shape_id],Trip[shape_id],"Não encontrado")</f>
        <v/>
      </c>
      <c r="B1755" s="43" t="n">
        <v>-23.529301</v>
      </c>
      <c r="C1755" s="43" t="n">
        <v>-46.516633</v>
      </c>
      <c r="D1755" s="43" t="n">
        <v>87</v>
      </c>
      <c r="E1755" s="44" t="n">
        <v>5319.3452</v>
      </c>
    </row>
    <row r="1756">
      <c r="A1756" s="39">
        <f>_xlfn.XLOOKUP(17843,Trip[shape_id],Trip[shape_id],"Não encontrado")</f>
        <v/>
      </c>
      <c r="B1756" s="40" t="n">
        <v>-23.529371</v>
      </c>
      <c r="C1756" s="40" t="n">
        <v>-46.516774</v>
      </c>
      <c r="D1756" s="40" t="n">
        <v>88</v>
      </c>
      <c r="E1756" s="41" t="n">
        <v>5417.1777</v>
      </c>
    </row>
    <row r="1757">
      <c r="A1757" s="42">
        <f>_xlfn.XLOOKUP(17843,Trip[shape_id],Trip[shape_id],"Não encontrado")</f>
        <v/>
      </c>
      <c r="B1757" s="43" t="n">
        <v>-23.529712</v>
      </c>
      <c r="C1757" s="43" t="n">
        <v>-46.517481</v>
      </c>
      <c r="D1757" s="43" t="n">
        <v>89</v>
      </c>
      <c r="E1757" s="44" t="n">
        <v>5451.2578</v>
      </c>
    </row>
    <row r="1758">
      <c r="A1758" s="39">
        <f>_xlfn.XLOOKUP(17843,Trip[shape_id],Trip[shape_id],"Não encontrado")</f>
        <v/>
      </c>
      <c r="B1758" s="40" t="n">
        <v>-23.529861</v>
      </c>
      <c r="C1758" s="40" t="n">
        <v>-46.517773</v>
      </c>
      <c r="D1758" s="40" t="n">
        <v>90</v>
      </c>
      <c r="E1758" s="41" t="n">
        <v>5528.3359</v>
      </c>
    </row>
    <row r="1759">
      <c r="A1759" s="42">
        <f>_xlfn.XLOOKUP(17843,Trip[shape_id],Trip[shape_id],"Não encontrado")</f>
        <v/>
      </c>
      <c r="B1759" s="43" t="n">
        <v>-23.530197</v>
      </c>
      <c r="C1759" s="43" t="n">
        <v>-46.518434</v>
      </c>
      <c r="D1759" s="43" t="n">
        <v>91</v>
      </c>
      <c r="E1759" s="44" t="n">
        <v>5561.1113</v>
      </c>
    </row>
    <row r="1760">
      <c r="A1760" s="39">
        <f>_xlfn.XLOOKUP(17843,Trip[shape_id],Trip[shape_id],"Não encontrado")</f>
        <v/>
      </c>
      <c r="B1760" s="40" t="n">
        <v>-23.53034</v>
      </c>
      <c r="C1760" s="40" t="n">
        <v>-46.518715</v>
      </c>
      <c r="D1760" s="40" t="n">
        <v>92</v>
      </c>
      <c r="E1760" s="41" t="n">
        <v>5596.3857</v>
      </c>
    </row>
    <row r="1761">
      <c r="A1761" s="42">
        <f>_xlfn.XLOOKUP(17843,Trip[shape_id],Trip[shape_id],"Não encontrado")</f>
        <v/>
      </c>
      <c r="B1761" s="43" t="n">
        <v>-23.530486</v>
      </c>
      <c r="C1761" s="43" t="n">
        <v>-46.519022</v>
      </c>
      <c r="D1761" s="43" t="n">
        <v>93</v>
      </c>
      <c r="E1761" s="44" t="n">
        <v>5695.1802</v>
      </c>
    </row>
    <row r="1762">
      <c r="A1762" s="39">
        <f>_xlfn.XLOOKUP(17843,Trip[shape_id],Trip[shape_id],"Não encontrado")</f>
        <v/>
      </c>
      <c r="B1762" s="40" t="n">
        <v>-23.530891</v>
      </c>
      <c r="C1762" s="40" t="n">
        <v>-46.519884</v>
      </c>
      <c r="D1762" s="40" t="n">
        <v>94</v>
      </c>
      <c r="E1762" s="41" t="n">
        <v>5704.9761</v>
      </c>
    </row>
    <row r="1763">
      <c r="A1763" s="42">
        <f>_xlfn.XLOOKUP(17843,Trip[shape_id],Trip[shape_id],"Não encontrado")</f>
        <v/>
      </c>
      <c r="B1763" s="43" t="n">
        <v>-23.530924</v>
      </c>
      <c r="C1763" s="43" t="n">
        <v>-46.519973</v>
      </c>
      <c r="D1763" s="43" t="n">
        <v>95</v>
      </c>
      <c r="E1763" s="44" t="n">
        <v>5775.8555</v>
      </c>
    </row>
    <row r="1764">
      <c r="A1764" s="39">
        <f>_xlfn.XLOOKUP(17843,Trip[shape_id],Trip[shape_id],"Não encontrado")</f>
        <v/>
      </c>
      <c r="B1764" s="40" t="n">
        <v>-23.531146</v>
      </c>
      <c r="C1764" s="40" t="n">
        <v>-46.520624</v>
      </c>
      <c r="D1764" s="40" t="n">
        <v>96</v>
      </c>
      <c r="E1764" s="41" t="n">
        <v>5825.936</v>
      </c>
    </row>
    <row r="1765">
      <c r="A1765" s="42">
        <f>_xlfn.XLOOKUP(17843,Trip[shape_id],Trip[shape_id],"Não encontrado")</f>
        <v/>
      </c>
      <c r="B1765" s="43" t="n">
        <v>-23.531272</v>
      </c>
      <c r="C1765" s="43" t="n">
        <v>-46.521095</v>
      </c>
      <c r="D1765" s="43" t="n">
        <v>97</v>
      </c>
      <c r="E1765" s="44" t="n">
        <v>5885.9697</v>
      </c>
    </row>
    <row r="1766">
      <c r="A1766" s="39">
        <f>_xlfn.XLOOKUP(17843,Trip[shape_id],Trip[shape_id],"Não encontrado")</f>
        <v/>
      </c>
      <c r="B1766" s="40" t="n">
        <v>-23.531401</v>
      </c>
      <c r="C1766" s="40" t="n">
        <v>-46.521666</v>
      </c>
      <c r="D1766" s="40" t="n">
        <v>98</v>
      </c>
      <c r="E1766" s="41" t="n">
        <v>5945.0693</v>
      </c>
    </row>
    <row r="1767">
      <c r="A1767" s="42">
        <f>_xlfn.XLOOKUP(17843,Trip[shape_id],Trip[shape_id],"Não encontrado")</f>
        <v/>
      </c>
      <c r="B1767" s="43" t="n">
        <v>-23.531476</v>
      </c>
      <c r="C1767" s="43" t="n">
        <v>-46.522239</v>
      </c>
      <c r="D1767" s="43" t="n">
        <v>99</v>
      </c>
      <c r="E1767" s="44" t="n">
        <v>6011.1113</v>
      </c>
    </row>
    <row r="1768">
      <c r="A1768" s="39">
        <f>_xlfn.XLOOKUP(17843,Trip[shape_id],Trip[shape_id],"Não encontrado")</f>
        <v/>
      </c>
      <c r="B1768" s="40" t="n">
        <v>-23.531548</v>
      </c>
      <c r="C1768" s="40" t="n">
        <v>-46.522881</v>
      </c>
      <c r="D1768" s="40" t="n">
        <v>100</v>
      </c>
      <c r="E1768" s="41" t="n">
        <v>6096.6729</v>
      </c>
    </row>
    <row r="1769">
      <c r="A1769" s="42">
        <f>_xlfn.XLOOKUP(17843,Trip[shape_id],Trip[shape_id],"Não encontrado")</f>
        <v/>
      </c>
      <c r="B1769" s="43" t="n">
        <v>-23.531612</v>
      </c>
      <c r="C1769" s="43" t="n">
        <v>-46.523716</v>
      </c>
      <c r="D1769" s="43" t="n">
        <v>101</v>
      </c>
      <c r="E1769" s="44" t="n">
        <v>6162.2617</v>
      </c>
    </row>
    <row r="1770">
      <c r="A1770" s="39">
        <f>_xlfn.XLOOKUP(17843,Trip[shape_id],Trip[shape_id],"Não encontrado")</f>
        <v/>
      </c>
      <c r="B1770" s="40" t="n">
        <v>-23.531662</v>
      </c>
      <c r="C1770" s="40" t="n">
        <v>-46.524356</v>
      </c>
      <c r="D1770" s="40" t="n">
        <v>102</v>
      </c>
      <c r="E1770" s="41" t="n">
        <v>6249.9604</v>
      </c>
    </row>
    <row r="1771">
      <c r="A1771" s="42">
        <f>_xlfn.XLOOKUP(17843,Trip[shape_id],Trip[shape_id],"Não encontrado")</f>
        <v/>
      </c>
      <c r="B1771" s="43" t="n">
        <v>-23.531726</v>
      </c>
      <c r="C1771" s="43" t="n">
        <v>-46.525212</v>
      </c>
      <c r="D1771" s="43" t="n">
        <v>103</v>
      </c>
      <c r="E1771" s="44" t="n">
        <v>6448.6006</v>
      </c>
    </row>
    <row r="1772">
      <c r="A1772" s="39">
        <f>_xlfn.XLOOKUP(17843,Trip[shape_id],Trip[shape_id],"Não encontrado")</f>
        <v/>
      </c>
      <c r="B1772" s="40" t="n">
        <v>-23.53195</v>
      </c>
      <c r="C1772" s="40" t="n">
        <v>-46.527142</v>
      </c>
      <c r="D1772" s="40" t="n">
        <v>104</v>
      </c>
      <c r="E1772" s="41" t="n">
        <v>6510.1426</v>
      </c>
    </row>
    <row r="1773">
      <c r="A1773" s="42">
        <f>_xlfn.XLOOKUP(17843,Trip[shape_id],Trip[shape_id],"Não encontrado")</f>
        <v/>
      </c>
      <c r="B1773" s="43" t="n">
        <v>-23.532019</v>
      </c>
      <c r="C1773" s="43" t="n">
        <v>-46.52774</v>
      </c>
      <c r="D1773" s="43" t="n">
        <v>105</v>
      </c>
      <c r="E1773" s="44" t="n">
        <v>6583.1943</v>
      </c>
    </row>
    <row r="1774">
      <c r="A1774" s="39">
        <f>_xlfn.XLOOKUP(17843,Trip[shape_id],Trip[shape_id],"Não encontrado")</f>
        <v/>
      </c>
      <c r="B1774" s="40" t="n">
        <v>-23.532083</v>
      </c>
      <c r="C1774" s="40" t="n">
        <v>-46.528452</v>
      </c>
      <c r="D1774" s="40" t="n">
        <v>106</v>
      </c>
      <c r="E1774" s="41" t="n">
        <v>6638.2461</v>
      </c>
    </row>
    <row r="1775">
      <c r="A1775" s="42">
        <f>_xlfn.XLOOKUP(17843,Trip[shape_id],Trip[shape_id],"Não encontrado")</f>
        <v/>
      </c>
      <c r="B1775" s="43" t="n">
        <v>-23.532093</v>
      </c>
      <c r="C1775" s="43" t="n">
        <v>-46.528991</v>
      </c>
      <c r="D1775" s="43" t="n">
        <v>107</v>
      </c>
      <c r="E1775" s="44" t="n">
        <v>6714.5005</v>
      </c>
    </row>
    <row r="1776">
      <c r="A1776" s="39">
        <f>_xlfn.XLOOKUP(17843,Trip[shape_id],Trip[shape_id],"Não encontrado")</f>
        <v/>
      </c>
      <c r="B1776" s="40" t="n">
        <v>-23.532046</v>
      </c>
      <c r="C1776" s="40" t="n">
        <v>-46.529736</v>
      </c>
      <c r="D1776" s="40" t="n">
        <v>108</v>
      </c>
      <c r="E1776" s="41" t="n">
        <v>6774.7065</v>
      </c>
    </row>
    <row r="1777">
      <c r="A1777" s="42">
        <f>_xlfn.XLOOKUP(17843,Trip[shape_id],Trip[shape_id],"Não encontrado")</f>
        <v/>
      </c>
      <c r="B1777" s="43" t="n">
        <v>-23.531965</v>
      </c>
      <c r="C1777" s="43" t="n">
        <v>-46.530319</v>
      </c>
      <c r="D1777" s="43" t="n">
        <v>109</v>
      </c>
      <c r="E1777" s="44" t="n">
        <v>6827.9453</v>
      </c>
    </row>
    <row r="1778">
      <c r="A1778" s="39">
        <f>_xlfn.XLOOKUP(17843,Trip[shape_id],Trip[shape_id],"Não encontrado")</f>
        <v/>
      </c>
      <c r="B1778" s="40" t="n">
        <v>-23.531903</v>
      </c>
      <c r="C1778" s="40" t="n">
        <v>-46.530836</v>
      </c>
      <c r="D1778" s="40" t="n">
        <v>110</v>
      </c>
      <c r="E1778" s="41" t="n">
        <v>6827.9453</v>
      </c>
    </row>
    <row r="1779">
      <c r="A1779" s="42">
        <f>_xlfn.XLOOKUP(17843,Trip[shape_id],Trip[shape_id],"Não encontrado")</f>
        <v/>
      </c>
      <c r="B1779" s="43" t="n">
        <v>-23.531895</v>
      </c>
      <c r="C1779" s="43" t="n">
        <v>-46.530897</v>
      </c>
      <c r="D1779" s="43" t="n">
        <v>111</v>
      </c>
      <c r="E1779" s="44" t="n">
        <v>6834.2363</v>
      </c>
    </row>
    <row r="1780">
      <c r="A1780" s="39">
        <f>_xlfn.XLOOKUP(17843,Trip[shape_id],Trip[shape_id],"Não encontrado")</f>
        <v/>
      </c>
      <c r="B1780" s="40" t="n">
        <v>-23.531781</v>
      </c>
      <c r="C1780" s="40" t="n">
        <v>-46.531743</v>
      </c>
      <c r="D1780" s="40" t="n">
        <v>112</v>
      </c>
      <c r="E1780" s="41" t="n">
        <v>6921.5444</v>
      </c>
    </row>
    <row r="1781">
      <c r="A1781" s="42">
        <f>_xlfn.XLOOKUP(17843,Trip[shape_id],Trip[shape_id],"Não encontrado")</f>
        <v/>
      </c>
      <c r="B1781" s="43" t="n">
        <v>-23.531753</v>
      </c>
      <c r="C1781" s="43" t="n">
        <v>-46.531967</v>
      </c>
      <c r="D1781" s="43" t="n">
        <v>113</v>
      </c>
      <c r="E1781" s="44" t="n">
        <v>6944.6274</v>
      </c>
    </row>
    <row r="1782">
      <c r="A1782" s="39">
        <f>_xlfn.XLOOKUP(17843,Trip[shape_id],Trip[shape_id],"Não encontrado")</f>
        <v/>
      </c>
      <c r="B1782" s="40" t="n">
        <v>-23.531735</v>
      </c>
      <c r="C1782" s="40" t="n">
        <v>-46.532168</v>
      </c>
      <c r="D1782" s="40" t="n">
        <v>114</v>
      </c>
      <c r="E1782" s="41" t="n">
        <v>6965.2495</v>
      </c>
    </row>
    <row r="1783">
      <c r="A1783" s="42">
        <f>_xlfn.XLOOKUP(17843,Trip[shape_id],Trip[shape_id],"Não encontrado")</f>
        <v/>
      </c>
      <c r="B1783" s="43" t="n">
        <v>-23.531719</v>
      </c>
      <c r="C1783" s="43" t="n">
        <v>-46.532369</v>
      </c>
      <c r="D1783" s="43" t="n">
        <v>115</v>
      </c>
      <c r="E1783" s="44" t="n">
        <v>6985.8516</v>
      </c>
    </row>
    <row r="1784">
      <c r="A1784" s="39">
        <f>_xlfn.XLOOKUP(17843,Trip[shape_id],Trip[shape_id],"Não encontrado")</f>
        <v/>
      </c>
      <c r="B1784" s="40" t="n">
        <v>-23.531699</v>
      </c>
      <c r="C1784" s="40" t="n">
        <v>-46.532893</v>
      </c>
      <c r="D1784" s="40" t="n">
        <v>116</v>
      </c>
      <c r="E1784" s="41" t="n">
        <v>7039.4063</v>
      </c>
    </row>
    <row r="1785">
      <c r="A1785" s="42">
        <f>_xlfn.XLOOKUP(17843,Trip[shape_id],Trip[shape_id],"Não encontrado")</f>
        <v/>
      </c>
      <c r="B1785" s="43" t="n">
        <v>-23.531748</v>
      </c>
      <c r="C1785" s="43" t="n">
        <v>-46.533442</v>
      </c>
      <c r="D1785" s="43" t="n">
        <v>117</v>
      </c>
      <c r="E1785" s="44" t="n">
        <v>7095.7305</v>
      </c>
    </row>
    <row r="1786">
      <c r="A1786" s="39">
        <f>_xlfn.XLOOKUP(17843,Trip[shape_id],Trip[shape_id],"Não encontrado")</f>
        <v/>
      </c>
      <c r="B1786" s="40" t="n">
        <v>-23.531892</v>
      </c>
      <c r="C1786" s="40" t="n">
        <v>-46.534284</v>
      </c>
      <c r="D1786" s="40" t="n">
        <v>118</v>
      </c>
      <c r="E1786" s="41" t="n">
        <v>7183.1792</v>
      </c>
    </row>
    <row r="1787">
      <c r="A1787" s="42">
        <f>_xlfn.XLOOKUP(17843,Trip[shape_id],Trip[shape_id],"Não encontrado")</f>
        <v/>
      </c>
      <c r="B1787" s="43" t="n">
        <v>-23.531977</v>
      </c>
      <c r="C1787" s="43" t="n">
        <v>-46.534785</v>
      </c>
      <c r="D1787" s="43" t="n">
        <v>119</v>
      </c>
      <c r="E1787" s="44" t="n">
        <v>7235.1982</v>
      </c>
    </row>
    <row r="1788">
      <c r="A1788" s="39">
        <f>_xlfn.XLOOKUP(17843,Trip[shape_id],Trip[shape_id],"Não encontrado")</f>
        <v/>
      </c>
      <c r="B1788" s="40" t="n">
        <v>-23.532242</v>
      </c>
      <c r="C1788" s="40" t="n">
        <v>-46.536142</v>
      </c>
      <c r="D1788" s="40" t="n">
        <v>120</v>
      </c>
      <c r="E1788" s="41" t="n">
        <v>7376.8438</v>
      </c>
    </row>
    <row r="1789">
      <c r="A1789" s="42">
        <f>_xlfn.XLOOKUP(17843,Trip[shape_id],Trip[shape_id],"Não encontrado")</f>
        <v/>
      </c>
      <c r="B1789" s="43" t="n">
        <v>-23.532605</v>
      </c>
      <c r="C1789" s="43" t="n">
        <v>-46.538015</v>
      </c>
      <c r="D1789" s="43" t="n">
        <v>121</v>
      </c>
      <c r="E1789" s="44" t="n">
        <v>7572.2866</v>
      </c>
    </row>
    <row r="1790">
      <c r="A1790" s="39">
        <f>_xlfn.XLOOKUP(17843,Trip[shape_id],Trip[shape_id],"Não encontrado")</f>
        <v/>
      </c>
      <c r="B1790" s="40" t="n">
        <v>-23.532826</v>
      </c>
      <c r="C1790" s="40" t="n">
        <v>-46.538887</v>
      </c>
      <c r="D1790" s="40" t="n">
        <v>122</v>
      </c>
      <c r="E1790" s="41" t="n">
        <v>7664.6343</v>
      </c>
    </row>
    <row r="1791">
      <c r="A1791" s="42">
        <f>_xlfn.XLOOKUP(17843,Trip[shape_id],Trip[shape_id],"Não encontrado")</f>
        <v/>
      </c>
      <c r="B1791" s="43" t="n">
        <v>-23.533069</v>
      </c>
      <c r="C1791" s="43" t="n">
        <v>-46.540323</v>
      </c>
      <c r="D1791" s="43" t="n">
        <v>123</v>
      </c>
      <c r="E1791" s="44" t="n">
        <v>7813.7217</v>
      </c>
    </row>
    <row r="1792">
      <c r="A1792" s="39">
        <f>_xlfn.XLOOKUP(17843,Trip[shape_id],Trip[shape_id],"Não encontrado")</f>
        <v/>
      </c>
      <c r="B1792" s="40" t="n">
        <v>-23.533134</v>
      </c>
      <c r="C1792" s="40" t="n">
        <v>-46.540712</v>
      </c>
      <c r="D1792" s="40" t="n">
        <v>124</v>
      </c>
      <c r="E1792" s="41" t="n">
        <v>7854.0918</v>
      </c>
    </row>
    <row r="1793">
      <c r="A1793" s="42">
        <f>_xlfn.XLOOKUP(17843,Trip[shape_id],Trip[shape_id],"Não encontrado")</f>
        <v/>
      </c>
      <c r="B1793" s="43" t="n">
        <v>-23.533217</v>
      </c>
      <c r="C1793" s="43" t="n">
        <v>-46.541118</v>
      </c>
      <c r="D1793" s="43" t="n">
        <v>125</v>
      </c>
      <c r="E1793" s="44" t="n">
        <v>7896.5576</v>
      </c>
    </row>
    <row r="1794">
      <c r="A1794" s="39">
        <f>_xlfn.XLOOKUP(17843,Trip[shape_id],Trip[shape_id],"Não encontrado")</f>
        <v/>
      </c>
      <c r="B1794" s="40" t="n">
        <v>-23.533275</v>
      </c>
      <c r="C1794" s="40" t="n">
        <v>-46.541399</v>
      </c>
      <c r="D1794" s="40" t="n">
        <v>126</v>
      </c>
      <c r="E1794" s="41" t="n">
        <v>7925.9624</v>
      </c>
    </row>
    <row r="1795">
      <c r="A1795" s="42">
        <f>_xlfn.XLOOKUP(17843,Trip[shape_id],Trip[shape_id],"Não encontrado")</f>
        <v/>
      </c>
      <c r="B1795" s="43" t="n">
        <v>-23.533292</v>
      </c>
      <c r="C1795" s="43" t="n">
        <v>-46.541477</v>
      </c>
      <c r="D1795" s="43" t="n">
        <v>127</v>
      </c>
      <c r="E1795" s="44" t="n">
        <v>7934.147</v>
      </c>
    </row>
    <row r="1796">
      <c r="A1796" s="39">
        <f>_xlfn.XLOOKUP(17843,Trip[shape_id],Trip[shape_id],"Não encontrado")</f>
        <v/>
      </c>
      <c r="B1796" s="40" t="n">
        <v>-23.533578</v>
      </c>
      <c r="C1796" s="40" t="n">
        <v>-46.542884</v>
      </c>
      <c r="D1796" s="40" t="n">
        <v>128</v>
      </c>
      <c r="E1796" s="41" t="n">
        <v>8081.2734</v>
      </c>
    </row>
    <row r="1797">
      <c r="A1797" s="42">
        <f>_xlfn.XLOOKUP(17843,Trip[shape_id],Trip[shape_id],"Não encontrado")</f>
        <v/>
      </c>
      <c r="B1797" s="43" t="n">
        <v>-23.533768</v>
      </c>
      <c r="C1797" s="43" t="n">
        <v>-46.543816</v>
      </c>
      <c r="D1797" s="43" t="n">
        <v>129</v>
      </c>
      <c r="E1797" s="44" t="n">
        <v>8178.7432</v>
      </c>
    </row>
    <row r="1798">
      <c r="A1798" s="39">
        <f>_xlfn.XLOOKUP(17843,Trip[shape_id],Trip[shape_id],"Não encontrado")</f>
        <v/>
      </c>
      <c r="B1798" s="40" t="n">
        <v>-23.533803</v>
      </c>
      <c r="C1798" s="40" t="n">
        <v>-46.544066</v>
      </c>
      <c r="D1798" s="40" t="n">
        <v>130</v>
      </c>
      <c r="E1798" s="41" t="n">
        <v>8204.5645</v>
      </c>
    </row>
    <row r="1799">
      <c r="A1799" s="42">
        <f>_xlfn.XLOOKUP(17843,Trip[shape_id],Trip[shape_id],"Não encontrado")</f>
        <v/>
      </c>
      <c r="B1799" s="43" t="n">
        <v>-23.533934</v>
      </c>
      <c r="C1799" s="43" t="n">
        <v>-46.544968</v>
      </c>
      <c r="D1799" s="43" t="n">
        <v>131</v>
      </c>
      <c r="E1799" s="44" t="n">
        <v>8297.8076</v>
      </c>
    </row>
    <row r="1800">
      <c r="A1800" s="39">
        <f>_xlfn.XLOOKUP(17843,Trip[shape_id],Trip[shape_id],"Não encontrado")</f>
        <v/>
      </c>
      <c r="B1800" s="40" t="n">
        <v>-23.534169</v>
      </c>
      <c r="C1800" s="40" t="n">
        <v>-46.546145</v>
      </c>
      <c r="D1800" s="40" t="n">
        <v>132</v>
      </c>
      <c r="E1800" s="41" t="n">
        <v>8420.7822</v>
      </c>
    </row>
    <row r="1801">
      <c r="A1801" s="42">
        <f>_xlfn.XLOOKUP(17843,Trip[shape_id],Trip[shape_id],"Não encontrado")</f>
        <v/>
      </c>
      <c r="B1801" s="43" t="n">
        <v>-23.534618</v>
      </c>
      <c r="C1801" s="43" t="n">
        <v>-46.548402</v>
      </c>
      <c r="D1801" s="43" t="n">
        <v>133</v>
      </c>
      <c r="E1801" s="44" t="n">
        <v>8656.5586</v>
      </c>
    </row>
    <row r="1802">
      <c r="A1802" s="39">
        <f>_xlfn.XLOOKUP(17843,Trip[shape_id],Trip[shape_id],"Não encontrado")</f>
        <v/>
      </c>
      <c r="B1802" s="40" t="n">
        <v>-23.534871</v>
      </c>
      <c r="C1802" s="40" t="n">
        <v>-46.549679</v>
      </c>
      <c r="D1802" s="40" t="n">
        <v>134</v>
      </c>
      <c r="E1802" s="41" t="n">
        <v>8789.934600000001</v>
      </c>
    </row>
    <row r="1803">
      <c r="A1803" s="42">
        <f>_xlfn.XLOOKUP(17843,Trip[shape_id],Trip[shape_id],"Não encontrado")</f>
        <v/>
      </c>
      <c r="B1803" s="43" t="n">
        <v>-23.535331</v>
      </c>
      <c r="C1803" s="43" t="n">
        <v>-46.552</v>
      </c>
      <c r="D1803" s="43" t="n">
        <v>135</v>
      </c>
      <c r="E1803" s="44" t="n">
        <v>9032.354499999999</v>
      </c>
    </row>
    <row r="1804">
      <c r="A1804" s="39">
        <f>_xlfn.XLOOKUP(17843,Trip[shape_id],Trip[shape_id],"Não encontrado")</f>
        <v/>
      </c>
      <c r="B1804" s="40" t="n">
        <v>-23.535586</v>
      </c>
      <c r="C1804" s="40" t="n">
        <v>-46.553291</v>
      </c>
      <c r="D1804" s="40" t="n">
        <v>136</v>
      </c>
      <c r="E1804" s="41" t="n">
        <v>9167.174800000001</v>
      </c>
    </row>
    <row r="1805">
      <c r="A1805" s="42">
        <f>_xlfn.XLOOKUP(17843,Trip[shape_id],Trip[shape_id],"Não encontrado")</f>
        <v/>
      </c>
      <c r="B1805" s="43" t="n">
        <v>-23.53604</v>
      </c>
      <c r="C1805" s="43" t="n">
        <v>-46.555441</v>
      </c>
      <c r="D1805" s="43" t="n">
        <v>137</v>
      </c>
      <c r="E1805" s="44" t="n">
        <v>9392.4033</v>
      </c>
    </row>
    <row r="1806">
      <c r="A1806" s="39">
        <f>_xlfn.XLOOKUP(17843,Trip[shape_id],Trip[shape_id],"Não encontrado")</f>
        <v/>
      </c>
      <c r="B1806" s="40" t="n">
        <v>-23.536391</v>
      </c>
      <c r="C1806" s="40" t="n">
        <v>-46.557113</v>
      </c>
      <c r="D1806" s="40" t="n">
        <v>138</v>
      </c>
      <c r="E1806" s="41" t="n">
        <v>9567.5059</v>
      </c>
    </row>
    <row r="1807">
      <c r="A1807" s="42">
        <f>_xlfn.XLOOKUP(17843,Trip[shape_id],Trip[shape_id],"Não encontrado")</f>
        <v/>
      </c>
      <c r="B1807" s="43" t="n">
        <v>-23.536554</v>
      </c>
      <c r="C1807" s="43" t="n">
        <v>-46.557896</v>
      </c>
      <c r="D1807" s="43" t="n">
        <v>139</v>
      </c>
      <c r="E1807" s="44" t="n">
        <v>9649.4727</v>
      </c>
    </row>
    <row r="1808">
      <c r="A1808" s="39">
        <f>_xlfn.XLOOKUP(17843,Trip[shape_id],Trip[shape_id],"Não encontrado")</f>
        <v/>
      </c>
      <c r="B1808" s="40" t="n">
        <v>-23.536772</v>
      </c>
      <c r="C1808" s="40" t="n">
        <v>-46.558961</v>
      </c>
      <c r="D1808" s="40" t="n">
        <v>140</v>
      </c>
      <c r="E1808" s="41" t="n">
        <v>9760.8711</v>
      </c>
    </row>
    <row r="1809">
      <c r="A1809" s="42">
        <f>_xlfn.XLOOKUP(17843,Trip[shape_id],Trip[shape_id],"Não encontrado")</f>
        <v/>
      </c>
      <c r="B1809" s="43" t="n">
        <v>-23.536948</v>
      </c>
      <c r="C1809" s="43" t="n">
        <v>-46.559854</v>
      </c>
      <c r="D1809" s="43" t="n">
        <v>141</v>
      </c>
      <c r="E1809" s="44" t="n">
        <v>9854.118200000001</v>
      </c>
    </row>
    <row r="1810">
      <c r="A1810" s="39">
        <f>_xlfn.XLOOKUP(17843,Trip[shape_id],Trip[shape_id],"Não encontrado")</f>
        <v/>
      </c>
      <c r="B1810" s="40" t="n">
        <v>-23.537611</v>
      </c>
      <c r="C1810" s="40" t="n">
        <v>-46.56319</v>
      </c>
      <c r="D1810" s="40" t="n">
        <v>142</v>
      </c>
      <c r="E1810" s="41" t="n">
        <v>10202.589</v>
      </c>
    </row>
    <row r="1811">
      <c r="A1811" s="42">
        <f>_xlfn.XLOOKUP(17843,Trip[shape_id],Trip[shape_id],"Não encontrado")</f>
        <v/>
      </c>
      <c r="B1811" s="43" t="n">
        <v>-23.537815</v>
      </c>
      <c r="C1811" s="43" t="n">
        <v>-46.5642</v>
      </c>
      <c r="D1811" s="43" t="n">
        <v>143</v>
      </c>
      <c r="E1811" s="44" t="n">
        <v>10308.168</v>
      </c>
    </row>
    <row r="1812">
      <c r="A1812" s="39">
        <f>_xlfn.XLOOKUP(17843,Trip[shape_id],Trip[shape_id],"Não encontrado")</f>
        <v/>
      </c>
      <c r="B1812" s="40" t="n">
        <v>-23.538196</v>
      </c>
      <c r="C1812" s="40" t="n">
        <v>-46.566006</v>
      </c>
      <c r="D1812" s="40" t="n">
        <v>144</v>
      </c>
      <c r="E1812" s="41" t="n">
        <v>10497.348</v>
      </c>
    </row>
    <row r="1813">
      <c r="A1813" s="42">
        <f>_xlfn.XLOOKUP(17843,Trip[shape_id],Trip[shape_id],"Não encontrado")</f>
        <v/>
      </c>
      <c r="B1813" s="43" t="n">
        <v>-23.538398</v>
      </c>
      <c r="C1813" s="43" t="n">
        <v>-46.567147</v>
      </c>
      <c r="D1813" s="43" t="n">
        <v>145</v>
      </c>
      <c r="E1813" s="44" t="n">
        <v>10615.985</v>
      </c>
    </row>
    <row r="1814">
      <c r="A1814" s="39">
        <f>_xlfn.XLOOKUP(17843,Trip[shape_id],Trip[shape_id],"Não encontrado")</f>
        <v/>
      </c>
      <c r="B1814" s="40" t="n">
        <v>-23.538559</v>
      </c>
      <c r="C1814" s="40" t="n">
        <v>-46.568025</v>
      </c>
      <c r="D1814" s="40" t="n">
        <v>146</v>
      </c>
      <c r="E1814" s="41" t="n">
        <v>10707.396</v>
      </c>
    </row>
    <row r="1815">
      <c r="A1815" s="42">
        <f>_xlfn.XLOOKUP(17843,Trip[shape_id],Trip[shape_id],"Não encontrado")</f>
        <v/>
      </c>
      <c r="B1815" s="43" t="n">
        <v>-23.538632</v>
      </c>
      <c r="C1815" s="43" t="n">
        <v>-46.568396</v>
      </c>
      <c r="D1815" s="43" t="n">
        <v>147</v>
      </c>
      <c r="E1815" s="44" t="n">
        <v>10746.132</v>
      </c>
    </row>
    <row r="1816">
      <c r="A1816" s="39">
        <f>_xlfn.XLOOKUP(17843,Trip[shape_id],Trip[shape_id],"Não encontrado")</f>
        <v/>
      </c>
      <c r="B1816" s="40" t="n">
        <v>-23.538691</v>
      </c>
      <c r="C1816" s="40" t="n">
        <v>-46.568701</v>
      </c>
      <c r="D1816" s="40" t="n">
        <v>148</v>
      </c>
      <c r="E1816" s="41" t="n">
        <v>10777.954</v>
      </c>
    </row>
    <row r="1817">
      <c r="A1817" s="42">
        <f>_xlfn.XLOOKUP(17843,Trip[shape_id],Trip[shape_id],"Não encontrado")</f>
        <v/>
      </c>
      <c r="B1817" s="43" t="n">
        <v>-23.538884</v>
      </c>
      <c r="C1817" s="43" t="n">
        <v>-46.569727</v>
      </c>
      <c r="D1817" s="43" t="n">
        <v>149</v>
      </c>
      <c r="E1817" s="44" t="n">
        <v>10884.879</v>
      </c>
    </row>
    <row r="1818">
      <c r="A1818" s="39">
        <f>_xlfn.XLOOKUP(17843,Trip[shape_id],Trip[shape_id],"Não encontrado")</f>
        <v/>
      </c>
      <c r="B1818" s="40" t="n">
        <v>-23.539018</v>
      </c>
      <c r="C1818" s="40" t="n">
        <v>-46.570489</v>
      </c>
      <c r="D1818" s="40" t="n">
        <v>150</v>
      </c>
      <c r="E1818" s="41" t="n">
        <v>10964.09</v>
      </c>
    </row>
    <row r="1819">
      <c r="A1819" s="42">
        <f>_xlfn.XLOOKUP(17843,Trip[shape_id],Trip[shape_id],"Não encontrado")</f>
        <v/>
      </c>
      <c r="B1819" s="43" t="n">
        <v>-23.53917</v>
      </c>
      <c r="C1819" s="43" t="n">
        <v>-46.571385</v>
      </c>
      <c r="D1819" s="43" t="n">
        <v>151</v>
      </c>
      <c r="E1819" s="44" t="n">
        <v>11057.117</v>
      </c>
    </row>
    <row r="1820">
      <c r="A1820" s="39">
        <f>_xlfn.XLOOKUP(17843,Trip[shape_id],Trip[shape_id],"Não encontrado")</f>
        <v/>
      </c>
      <c r="B1820" s="40" t="n">
        <v>-23.539224</v>
      </c>
      <c r="C1820" s="40" t="n">
        <v>-46.5717</v>
      </c>
      <c r="D1820" s="40" t="n">
        <v>152</v>
      </c>
      <c r="E1820" s="41" t="n">
        <v>11089.833</v>
      </c>
    </row>
    <row r="1821">
      <c r="A1821" s="42">
        <f>_xlfn.XLOOKUP(17843,Trip[shape_id],Trip[shape_id],"Não encontrado")</f>
        <v/>
      </c>
      <c r="B1821" s="43" t="n">
        <v>-23.539298</v>
      </c>
      <c r="C1821" s="43" t="n">
        <v>-46.572156</v>
      </c>
      <c r="D1821" s="43" t="n">
        <v>153</v>
      </c>
      <c r="E1821" s="44" t="n">
        <v>11137.111</v>
      </c>
    </row>
    <row r="1822">
      <c r="A1822" s="39">
        <f>_xlfn.XLOOKUP(17843,Trip[shape_id],Trip[shape_id],"Não encontrado")</f>
        <v/>
      </c>
      <c r="B1822" s="40" t="n">
        <v>-23.539413</v>
      </c>
      <c r="C1822" s="40" t="n">
        <v>-46.57258</v>
      </c>
      <c r="D1822" s="40" t="n">
        <v>154</v>
      </c>
      <c r="E1822" s="41" t="n">
        <v>11182.241</v>
      </c>
    </row>
    <row r="1823">
      <c r="A1823" s="42">
        <f>_xlfn.XLOOKUP(17843,Trip[shape_id],Trip[shape_id],"Não encontrado")</f>
        <v/>
      </c>
      <c r="B1823" s="43" t="n">
        <v>-23.53973</v>
      </c>
      <c r="C1823" s="43" t="n">
        <v>-46.573548</v>
      </c>
      <c r="D1823" s="43" t="n">
        <v>155</v>
      </c>
      <c r="E1823" s="44" t="n">
        <v>11287.134</v>
      </c>
    </row>
    <row r="1824">
      <c r="A1824" s="39">
        <f>_xlfn.XLOOKUP(17843,Trip[shape_id],Trip[shape_id],"Não encontrado")</f>
        <v/>
      </c>
      <c r="B1824" s="40" t="n">
        <v>-23.53989</v>
      </c>
      <c r="C1824" s="40" t="n">
        <v>-46.574006</v>
      </c>
      <c r="D1824" s="40" t="n">
        <v>156</v>
      </c>
      <c r="E1824" s="41" t="n">
        <v>11337.145</v>
      </c>
    </row>
    <row r="1825">
      <c r="A1825" s="42">
        <f>_xlfn.XLOOKUP(17843,Trip[shape_id],Trip[shape_id],"Não encontrado")</f>
        <v/>
      </c>
      <c r="B1825" s="43" t="n">
        <v>-23.540051</v>
      </c>
      <c r="C1825" s="43" t="n">
        <v>-46.574577</v>
      </c>
      <c r="D1825" s="43" t="n">
        <v>157</v>
      </c>
      <c r="E1825" s="44" t="n">
        <v>11398.115</v>
      </c>
    </row>
    <row r="1826">
      <c r="A1826" s="39">
        <f>_xlfn.XLOOKUP(17843,Trip[shape_id],Trip[shape_id],"Não encontrado")</f>
        <v/>
      </c>
      <c r="B1826" s="40" t="n">
        <v>-23.540352</v>
      </c>
      <c r="C1826" s="40" t="n">
        <v>-46.576201</v>
      </c>
      <c r="D1826" s="40" t="n">
        <v>158</v>
      </c>
      <c r="E1826" s="41" t="n">
        <v>11567.26</v>
      </c>
    </row>
    <row r="1827">
      <c r="A1827" s="42">
        <f>_xlfn.XLOOKUP(17843,Trip[shape_id],Trip[shape_id],"Não encontrado")</f>
        <v/>
      </c>
      <c r="B1827" s="43" t="n">
        <v>-23.540236</v>
      </c>
      <c r="C1827" s="43" t="n">
        <v>-46.576605</v>
      </c>
      <c r="D1827" s="43" t="n">
        <v>159</v>
      </c>
      <c r="E1827" s="44" t="n">
        <v>11610.467</v>
      </c>
    </row>
    <row r="1828">
      <c r="A1828" s="39">
        <f>_xlfn.XLOOKUP(17843,Trip[shape_id],Trip[shape_id],"Não encontrado")</f>
        <v/>
      </c>
      <c r="B1828" s="40" t="n">
        <v>-23.54052</v>
      </c>
      <c r="C1828" s="40" t="n">
        <v>-46.576821</v>
      </c>
      <c r="D1828" s="40" t="n">
        <v>160</v>
      </c>
      <c r="E1828" s="41" t="n">
        <v>11648.883</v>
      </c>
    </row>
    <row r="1829">
      <c r="A1829" s="42">
        <f>_xlfn.XLOOKUP(17843,Trip[shape_id],Trip[shape_id],"Não encontrado")</f>
        <v/>
      </c>
      <c r="B1829" s="43" t="n">
        <v>-23.540554</v>
      </c>
      <c r="C1829" s="43" t="n">
        <v>-46.577005</v>
      </c>
      <c r="D1829" s="43" t="n">
        <v>161</v>
      </c>
      <c r="E1829" s="44" t="n">
        <v>11668.045</v>
      </c>
    </row>
    <row r="1830">
      <c r="A1830" s="39">
        <f>_xlfn.XLOOKUP(17843,Trip[shape_id],Trip[shape_id],"Não encontrado")</f>
        <v/>
      </c>
      <c r="B1830" s="40" t="n">
        <v>-23.540891</v>
      </c>
      <c r="C1830" s="40" t="n">
        <v>-46.578667</v>
      </c>
      <c r="D1830" s="40" t="n">
        <v>162</v>
      </c>
      <c r="E1830" s="41" t="n">
        <v>11841.807</v>
      </c>
    </row>
    <row r="1831">
      <c r="A1831" s="42">
        <f>_xlfn.XLOOKUP(17843,Trip[shape_id],Trip[shape_id],"Não encontrado")</f>
        <v/>
      </c>
      <c r="B1831" s="43" t="n">
        <v>-23.541087</v>
      </c>
      <c r="C1831" s="43" t="n">
        <v>-46.579643</v>
      </c>
      <c r="D1831" s="43" t="n">
        <v>163</v>
      </c>
      <c r="E1831" s="44" t="n">
        <v>11943.802</v>
      </c>
    </row>
    <row r="1832">
      <c r="A1832" s="39">
        <f>_xlfn.XLOOKUP(17843,Trip[shape_id],Trip[shape_id],"Não encontrado")</f>
        <v/>
      </c>
      <c r="B1832" s="40" t="n">
        <v>-23.541164</v>
      </c>
      <c r="C1832" s="40" t="n">
        <v>-46.580054</v>
      </c>
      <c r="D1832" s="40" t="n">
        <v>164</v>
      </c>
      <c r="E1832" s="41" t="n">
        <v>11986.627</v>
      </c>
    </row>
    <row r="1833">
      <c r="A1833" s="42">
        <f>_xlfn.XLOOKUP(17843,Trip[shape_id],Trip[shape_id],"Não encontrado")</f>
        <v/>
      </c>
      <c r="B1833" s="43" t="n">
        <v>-23.541309</v>
      </c>
      <c r="C1833" s="43" t="n">
        <v>-46.580822</v>
      </c>
      <c r="D1833" s="43" t="n">
        <v>165</v>
      </c>
      <c r="E1833" s="44" t="n">
        <v>12066.674</v>
      </c>
    </row>
    <row r="1834">
      <c r="A1834" s="39">
        <f>_xlfn.XLOOKUP(17843,Trip[shape_id],Trip[shape_id],"Não encontrado")</f>
        <v/>
      </c>
      <c r="B1834" s="40" t="n">
        <v>-23.54137</v>
      </c>
      <c r="C1834" s="40" t="n">
        <v>-46.581144</v>
      </c>
      <c r="D1834" s="40" t="n">
        <v>166</v>
      </c>
      <c r="E1834" s="41" t="n">
        <v>12100.24</v>
      </c>
    </row>
    <row r="1835">
      <c r="A1835" s="42">
        <f>_xlfn.XLOOKUP(17843,Trip[shape_id],Trip[shape_id],"Não encontrado")</f>
        <v/>
      </c>
      <c r="B1835" s="43" t="n">
        <v>-23.541741</v>
      </c>
      <c r="C1835" s="43" t="n">
        <v>-46.583029</v>
      </c>
      <c r="D1835" s="43" t="n">
        <v>167</v>
      </c>
      <c r="E1835" s="44" t="n">
        <v>12297.053</v>
      </c>
    </row>
    <row r="1836">
      <c r="A1836" s="39">
        <f>_xlfn.XLOOKUP(17843,Trip[shape_id],Trip[shape_id],"Não encontrado")</f>
        <v/>
      </c>
      <c r="B1836" s="40" t="n">
        <v>-23.542002</v>
      </c>
      <c r="C1836" s="40" t="n">
        <v>-46.585029</v>
      </c>
      <c r="D1836" s="40" t="n">
        <v>168</v>
      </c>
      <c r="E1836" s="41" t="n">
        <v>12503.306</v>
      </c>
    </row>
    <row r="1837">
      <c r="A1837" s="42">
        <f>_xlfn.XLOOKUP(17843,Trip[shape_id],Trip[shape_id],"Não encontrado")</f>
        <v/>
      </c>
      <c r="B1837" s="43" t="n">
        <v>-23.542324</v>
      </c>
      <c r="C1837" s="43" t="n">
        <v>-46.586654</v>
      </c>
      <c r="D1837" s="43" t="n">
        <v>169</v>
      </c>
      <c r="E1837" s="44" t="n">
        <v>12673.021</v>
      </c>
    </row>
    <row r="1838">
      <c r="A1838" s="39">
        <f>_xlfn.XLOOKUP(17843,Trip[shape_id],Trip[shape_id],"Não encontrado")</f>
        <v/>
      </c>
      <c r="B1838" s="40" t="n">
        <v>-23.542617</v>
      </c>
      <c r="C1838" s="40" t="n">
        <v>-46.58814</v>
      </c>
      <c r="D1838" s="40" t="n">
        <v>170</v>
      </c>
      <c r="E1838" s="41" t="n">
        <v>12828.186</v>
      </c>
    </row>
    <row r="1839">
      <c r="A1839" s="42">
        <f>_xlfn.XLOOKUP(17843,Trip[shape_id],Trip[shape_id],"Não encontrado")</f>
        <v/>
      </c>
      <c r="B1839" s="43" t="n">
        <v>-23.542913</v>
      </c>
      <c r="C1839" s="43" t="n">
        <v>-46.589652</v>
      </c>
      <c r="D1839" s="43" t="n">
        <v>171</v>
      </c>
      <c r="E1839" s="44" t="n">
        <v>12986.015</v>
      </c>
    </row>
    <row r="1840">
      <c r="A1840" s="39">
        <f>_xlfn.XLOOKUP(17843,Trip[shape_id],Trip[shape_id],"Não encontrado")</f>
        <v/>
      </c>
      <c r="B1840" s="40" t="n">
        <v>-23.543029</v>
      </c>
      <c r="C1840" s="40" t="n">
        <v>-46.590237</v>
      </c>
      <c r="D1840" s="40" t="n">
        <v>172</v>
      </c>
      <c r="E1840" s="41" t="n">
        <v>13047.113</v>
      </c>
    </row>
    <row r="1841">
      <c r="A1841" s="42">
        <f>_xlfn.XLOOKUP(17843,Trip[shape_id],Trip[shape_id],"Não encontrado")</f>
        <v/>
      </c>
      <c r="B1841" s="43" t="n">
        <v>-23.543102</v>
      </c>
      <c r="C1841" s="43" t="n">
        <v>-46.590623</v>
      </c>
      <c r="D1841" s="43" t="n">
        <v>173</v>
      </c>
      <c r="E1841" s="44" t="n">
        <v>13087.348</v>
      </c>
    </row>
    <row r="1842">
      <c r="A1842" s="39">
        <f>_xlfn.XLOOKUP(17843,Trip[shape_id],Trip[shape_id],"Não encontrado")</f>
        <v/>
      </c>
      <c r="B1842" s="40" t="n">
        <v>-23.543337</v>
      </c>
      <c r="C1842" s="40" t="n">
        <v>-46.59192</v>
      </c>
      <c r="D1842" s="40" t="n">
        <v>174</v>
      </c>
      <c r="E1842" s="41" t="n">
        <v>13222.314</v>
      </c>
    </row>
    <row r="1843">
      <c r="A1843" s="42">
        <f>_xlfn.XLOOKUP(17843,Trip[shape_id],Trip[shape_id],"Não encontrado")</f>
        <v/>
      </c>
      <c r="B1843" s="43" t="n">
        <v>-23.543573</v>
      </c>
      <c r="C1843" s="43" t="n">
        <v>-46.593253</v>
      </c>
      <c r="D1843" s="43" t="n">
        <v>175</v>
      </c>
      <c r="E1843" s="44" t="n">
        <v>13360.91</v>
      </c>
    </row>
    <row r="1844">
      <c r="A1844" s="39">
        <f>_xlfn.XLOOKUP(17843,Trip[shape_id],Trip[shape_id],"Não encontrado")</f>
        <v/>
      </c>
      <c r="B1844" s="40" t="n">
        <v>-23.543743</v>
      </c>
      <c r="C1844" s="40" t="n">
        <v>-46.594179</v>
      </c>
      <c r="D1844" s="40" t="n">
        <v>176</v>
      </c>
      <c r="E1844" s="41" t="n">
        <v>13457.318</v>
      </c>
    </row>
    <row r="1845">
      <c r="A1845" s="42">
        <f>_xlfn.XLOOKUP(17843,Trip[shape_id],Trip[shape_id],"Não encontrado")</f>
        <v/>
      </c>
      <c r="B1845" s="43" t="n">
        <v>-23.54398</v>
      </c>
      <c r="C1845" s="43" t="n">
        <v>-46.595308</v>
      </c>
      <c r="D1845" s="43" t="n">
        <v>177</v>
      </c>
      <c r="E1845" s="44" t="n">
        <v>13575.548</v>
      </c>
    </row>
    <row r="1846">
      <c r="A1846" s="39">
        <f>_xlfn.XLOOKUP(17843,Trip[shape_id],Trip[shape_id],"Não encontrado")</f>
        <v/>
      </c>
      <c r="B1846" s="40" t="n">
        <v>-23.544222</v>
      </c>
      <c r="C1846" s="40" t="n">
        <v>-46.596474</v>
      </c>
      <c r="D1846" s="40" t="n">
        <v>178</v>
      </c>
      <c r="E1846" s="41" t="n">
        <v>13697.584</v>
      </c>
    </row>
    <row r="1847">
      <c r="A1847" s="42">
        <f>_xlfn.XLOOKUP(17843,Trip[shape_id],Trip[shape_id],"Não encontrado")</f>
        <v/>
      </c>
      <c r="B1847" s="43" t="n">
        <v>-23.544625</v>
      </c>
      <c r="C1847" s="43" t="n">
        <v>-46.598401</v>
      </c>
      <c r="D1847" s="43" t="n">
        <v>179</v>
      </c>
      <c r="E1847" s="44" t="n">
        <v>13899.343</v>
      </c>
    </row>
    <row r="1848">
      <c r="A1848" s="39">
        <f>_xlfn.XLOOKUP(17843,Trip[shape_id],Trip[shape_id],"Não encontrado")</f>
        <v/>
      </c>
      <c r="B1848" s="40" t="n">
        <v>-23.545239</v>
      </c>
      <c r="C1848" s="40" t="n">
        <v>-46.601504</v>
      </c>
      <c r="D1848" s="40" t="n">
        <v>180</v>
      </c>
      <c r="E1848" s="41" t="n">
        <v>14223.395</v>
      </c>
    </row>
    <row r="1849">
      <c r="A1849" s="42">
        <f>_xlfn.XLOOKUP(17843,Trip[shape_id],Trip[shape_id],"Não encontrado")</f>
        <v/>
      </c>
      <c r="B1849" s="43" t="n">
        <v>-23.545686</v>
      </c>
      <c r="C1849" s="43" t="n">
        <v>-46.603721</v>
      </c>
      <c r="D1849" s="43" t="n">
        <v>181</v>
      </c>
      <c r="E1849" s="44" t="n">
        <v>14455.113</v>
      </c>
    </row>
    <row r="1850">
      <c r="A1850" s="39">
        <f>_xlfn.XLOOKUP(17843,Trip[shape_id],Trip[shape_id],"Não encontrado")</f>
        <v/>
      </c>
      <c r="B1850" s="40" t="n">
        <v>-23.545998</v>
      </c>
      <c r="C1850" s="40" t="n">
        <v>-46.605258</v>
      </c>
      <c r="D1850" s="40" t="n">
        <v>182</v>
      </c>
      <c r="E1850" s="41" t="n">
        <v>14615.809</v>
      </c>
    </row>
    <row r="1851">
      <c r="A1851" s="42">
        <f>_xlfn.XLOOKUP(17843,Trip[shape_id],Trip[shape_id],"Não encontrado")</f>
        <v/>
      </c>
      <c r="B1851" s="43" t="n">
        <v>-23.546288</v>
      </c>
      <c r="C1851" s="43" t="n">
        <v>-46.606672</v>
      </c>
      <c r="D1851" s="43" t="n">
        <v>183</v>
      </c>
      <c r="E1851" s="44" t="n">
        <v>14763.715</v>
      </c>
    </row>
    <row r="1852">
      <c r="A1852" s="39">
        <f>_xlfn.XLOOKUP(17843,Trip[shape_id],Trip[shape_id],"Não encontrado")</f>
        <v/>
      </c>
      <c r="B1852" s="40" t="n">
        <v>-23.546375</v>
      </c>
      <c r="C1852" s="40" t="n">
        <v>-46.607188</v>
      </c>
      <c r="D1852" s="40" t="n">
        <v>184</v>
      </c>
      <c r="E1852" s="41" t="n">
        <v>14817.275</v>
      </c>
    </row>
    <row r="1853">
      <c r="A1853" s="42">
        <f>_xlfn.XLOOKUP(17843,Trip[shape_id],Trip[shape_id],"Não encontrado")</f>
        <v/>
      </c>
      <c r="B1853" s="43" t="n">
        <v>-23.546482</v>
      </c>
      <c r="C1853" s="43" t="n">
        <v>-46.607691</v>
      </c>
      <c r="D1853" s="43" t="n">
        <v>185</v>
      </c>
      <c r="E1853" s="44" t="n">
        <v>14869.983</v>
      </c>
    </row>
    <row r="1854">
      <c r="A1854" s="39">
        <f>_xlfn.XLOOKUP(17843,Trip[shape_id],Trip[shape_id],"Não encontrado")</f>
        <v/>
      </c>
      <c r="B1854" s="40" t="n">
        <v>-23.546812</v>
      </c>
      <c r="C1854" s="40" t="n">
        <v>-46.609258</v>
      </c>
      <c r="D1854" s="40" t="n">
        <v>186</v>
      </c>
      <c r="E1854" s="41" t="n">
        <v>15034.104</v>
      </c>
    </row>
    <row r="1855">
      <c r="A1855" s="42">
        <f>_xlfn.XLOOKUP(17843,Trip[shape_id],Trip[shape_id],"Não encontrado")</f>
        <v/>
      </c>
      <c r="B1855" s="43" t="n">
        <v>-23.546972</v>
      </c>
      <c r="C1855" s="43" t="n">
        <v>-46.609989</v>
      </c>
      <c r="D1855" s="43" t="n">
        <v>187</v>
      </c>
      <c r="E1855" s="44" t="n">
        <v>15110.816</v>
      </c>
    </row>
    <row r="1856">
      <c r="A1856" s="39">
        <f>_xlfn.XLOOKUP(17843,Trip[shape_id],Trip[shape_id],"Não encontrado")</f>
        <v/>
      </c>
      <c r="B1856" s="40" t="n">
        <v>-23.547325</v>
      </c>
      <c r="C1856" s="40" t="n">
        <v>-46.611618</v>
      </c>
      <c r="D1856" s="40" t="n">
        <v>188</v>
      </c>
      <c r="E1856" s="41" t="n">
        <v>15281.678</v>
      </c>
    </row>
    <row r="1857">
      <c r="A1857" s="42">
        <f>_xlfn.XLOOKUP(17843,Trip[shape_id],Trip[shape_id],"Não encontrado")</f>
        <v/>
      </c>
      <c r="B1857" s="43" t="n">
        <v>-23.547447</v>
      </c>
      <c r="C1857" s="43" t="n">
        <v>-46.612191</v>
      </c>
      <c r="D1857" s="43" t="n">
        <v>189</v>
      </c>
      <c r="E1857" s="44" t="n">
        <v>15341.724</v>
      </c>
    </row>
    <row r="1858">
      <c r="A1858" s="39">
        <f>_xlfn.XLOOKUP(17843,Trip[shape_id],Trip[shape_id],"Não encontrado")</f>
        <v/>
      </c>
      <c r="B1858" s="40" t="n">
        <v>-23.547465</v>
      </c>
      <c r="C1858" s="40" t="n">
        <v>-46.612289</v>
      </c>
      <c r="D1858" s="40" t="n">
        <v>190</v>
      </c>
      <c r="E1858" s="41" t="n">
        <v>15351.926</v>
      </c>
    </row>
    <row r="1859">
      <c r="A1859" s="42">
        <f>_xlfn.XLOOKUP(17843,Trip[shape_id],Trip[shape_id],"Não encontrado")</f>
        <v/>
      </c>
      <c r="B1859" s="43" t="n">
        <v>-23.54762</v>
      </c>
      <c r="C1859" s="43" t="n">
        <v>-46.613212</v>
      </c>
      <c r="D1859" s="43" t="n">
        <v>191</v>
      </c>
      <c r="E1859" s="44" t="n">
        <v>15447.719</v>
      </c>
    </row>
    <row r="1860">
      <c r="A1860" s="39">
        <f>_xlfn.XLOOKUP(17843,Trip[shape_id],Trip[shape_id],"Não encontrado")</f>
        <v/>
      </c>
      <c r="B1860" s="40" t="n">
        <v>-23.547622</v>
      </c>
      <c r="C1860" s="40" t="n">
        <v>-46.613311</v>
      </c>
      <c r="D1860" s="40" t="n">
        <v>192</v>
      </c>
      <c r="E1860" s="41" t="n">
        <v>15457.83</v>
      </c>
    </row>
    <row r="1861">
      <c r="A1861" s="42">
        <f>_xlfn.XLOOKUP(17843,Trip[shape_id],Trip[shape_id],"Não encontrado")</f>
        <v/>
      </c>
      <c r="B1861" s="43" t="n">
        <v>-23.547653</v>
      </c>
      <c r="C1861" s="43" t="n">
        <v>-46.61403</v>
      </c>
      <c r="D1861" s="43" t="n">
        <v>193</v>
      </c>
      <c r="E1861" s="44" t="n">
        <v>15531.323</v>
      </c>
    </row>
    <row r="1862">
      <c r="A1862" s="39">
        <f>_xlfn.XLOOKUP(17843,Trip[shape_id],Trip[shape_id],"Não encontrado")</f>
        <v/>
      </c>
      <c r="B1862" s="40" t="n">
        <v>-23.547709</v>
      </c>
      <c r="C1862" s="40" t="n">
        <v>-46.614699</v>
      </c>
      <c r="D1862" s="40" t="n">
        <v>194</v>
      </c>
      <c r="E1862" s="41" t="n">
        <v>15599.912</v>
      </c>
    </row>
    <row r="1863">
      <c r="A1863" s="42">
        <f>_xlfn.XLOOKUP(17843,Trip[shape_id],Trip[shape_id],"Não encontrado")</f>
        <v/>
      </c>
      <c r="B1863" s="43" t="n">
        <v>-23.547799</v>
      </c>
      <c r="C1863" s="43" t="n">
        <v>-46.615407</v>
      </c>
      <c r="D1863" s="43" t="n">
        <v>195</v>
      </c>
      <c r="E1863" s="44" t="n">
        <v>15672.886</v>
      </c>
    </row>
    <row r="1864">
      <c r="A1864" s="39">
        <f>_xlfn.XLOOKUP(17843,Trip[shape_id],Trip[shape_id],"Não encontrado")</f>
        <v/>
      </c>
      <c r="B1864" s="40" t="n">
        <v>-23.547064</v>
      </c>
      <c r="C1864" s="40" t="n">
        <v>-46.615784</v>
      </c>
      <c r="D1864" s="40" t="n">
        <v>196</v>
      </c>
      <c r="E1864" s="41" t="n">
        <v>15762.931</v>
      </c>
    </row>
    <row r="1865">
      <c r="A1865" s="42">
        <f>_xlfn.XLOOKUP(17843,Trip[shape_id],Trip[shape_id],"Não encontrado")</f>
        <v/>
      </c>
      <c r="B1865" s="43" t="n">
        <v>-23.545309</v>
      </c>
      <c r="C1865" s="43" t="n">
        <v>-46.616511</v>
      </c>
      <c r="D1865" s="43" t="n">
        <v>197</v>
      </c>
      <c r="E1865" s="44" t="n">
        <v>15970.992</v>
      </c>
    </row>
    <row r="1866">
      <c r="A1866" s="39">
        <f>_xlfn.XLOOKUP(17843,Trip[shape_id],Trip[shape_id],"Não encontrado")</f>
        <v/>
      </c>
      <c r="B1866" s="40" t="n">
        <v>-23.547863</v>
      </c>
      <c r="C1866" s="40" t="n">
        <v>-46.615917</v>
      </c>
      <c r="D1866" s="40" t="n">
        <v>198</v>
      </c>
      <c r="E1866" s="41" t="n">
        <v>16260.281</v>
      </c>
    </row>
    <row r="1867">
      <c r="A1867" s="42">
        <f>_xlfn.XLOOKUP(17843,Trip[shape_id],Trip[shape_id],"Não encontrado")</f>
        <v/>
      </c>
      <c r="B1867" s="43" t="n">
        <v>-23.548009</v>
      </c>
      <c r="C1867" s="43" t="n">
        <v>-46.617183</v>
      </c>
      <c r="D1867" s="43" t="n">
        <v>199</v>
      </c>
      <c r="E1867" s="44" t="n">
        <v>16390.553</v>
      </c>
    </row>
    <row r="1868">
      <c r="A1868" s="39">
        <f>_xlfn.XLOOKUP(17843,Trip[shape_id],Trip[shape_id],"Não encontrado")</f>
        <v/>
      </c>
      <c r="B1868" s="40" t="n">
        <v>-23.548042</v>
      </c>
      <c r="C1868" s="40" t="n">
        <v>-46.617502</v>
      </c>
      <c r="D1868" s="40" t="n">
        <v>200</v>
      </c>
      <c r="E1868" s="41" t="n">
        <v>16423.328</v>
      </c>
    </row>
    <row r="1869">
      <c r="A1869" s="42">
        <f>_xlfn.XLOOKUP(17843,Trip[shape_id],Trip[shape_id],"Não encontrado")</f>
        <v/>
      </c>
      <c r="B1869" s="43" t="n">
        <v>-23.548153</v>
      </c>
      <c r="C1869" s="43" t="n">
        <v>-46.618198</v>
      </c>
      <c r="D1869" s="43" t="n">
        <v>201</v>
      </c>
      <c r="E1869" s="44" t="n">
        <v>16495.447</v>
      </c>
    </row>
    <row r="1870">
      <c r="A1870" s="39">
        <f>_xlfn.XLOOKUP(17843,Trip[shape_id],Trip[shape_id],"Não encontrado")</f>
        <v/>
      </c>
      <c r="B1870" s="40" t="n">
        <v>-23.548308</v>
      </c>
      <c r="C1870" s="40" t="n">
        <v>-46.618919</v>
      </c>
      <c r="D1870" s="40" t="n">
        <v>202</v>
      </c>
      <c r="E1870" s="41" t="n">
        <v>16571.039</v>
      </c>
    </row>
    <row r="1871">
      <c r="A1871" s="42">
        <f>_xlfn.XLOOKUP(17843,Trip[shape_id],Trip[shape_id],"Não encontrado")</f>
        <v/>
      </c>
      <c r="B1871" s="43" t="n">
        <v>-23.548466</v>
      </c>
      <c r="C1871" s="43" t="n">
        <v>-46.619643</v>
      </c>
      <c r="D1871" s="43" t="n">
        <v>203</v>
      </c>
      <c r="E1871" s="44" t="n">
        <v>16647.006</v>
      </c>
    </row>
    <row r="1872">
      <c r="A1872" s="39">
        <f>_xlfn.XLOOKUP(17843,Trip[shape_id],Trip[shape_id],"Não encontrado")</f>
        <v/>
      </c>
      <c r="B1872" s="40" t="n">
        <v>-23.548505</v>
      </c>
      <c r="C1872" s="40" t="n">
        <v>-46.619824</v>
      </c>
      <c r="D1872" s="40" t="n">
        <v>204</v>
      </c>
      <c r="E1872" s="41" t="n">
        <v>16665.984</v>
      </c>
    </row>
    <row r="1873">
      <c r="A1873" s="42">
        <f>_xlfn.XLOOKUP(17843,Trip[shape_id],Trip[shape_id],"Não encontrado")</f>
        <v/>
      </c>
      <c r="B1873" s="43" t="n">
        <v>-23.548648</v>
      </c>
      <c r="C1873" s="43" t="n">
        <v>-46.620449</v>
      </c>
      <c r="D1873" s="43" t="n">
        <v>205</v>
      </c>
      <c r="E1873" s="44" t="n">
        <v>16731.734</v>
      </c>
    </row>
    <row r="1874">
      <c r="A1874" s="39">
        <f>_xlfn.XLOOKUP(17843,Trip[shape_id],Trip[shape_id],"Não encontrado")</f>
        <v/>
      </c>
      <c r="B1874" s="40" t="n">
        <v>-23.549033</v>
      </c>
      <c r="C1874" s="40" t="n">
        <v>-46.62209</v>
      </c>
      <c r="D1874" s="40" t="n">
        <v>206</v>
      </c>
      <c r="E1874" s="41" t="n">
        <v>16904.627</v>
      </c>
    </row>
    <row r="1875">
      <c r="A1875" s="42">
        <f>_xlfn.XLOOKUP(17843,Trip[shape_id],Trip[shape_id],"Não encontrado")</f>
        <v/>
      </c>
      <c r="B1875" s="43" t="n">
        <v>-23.549124</v>
      </c>
      <c r="C1875" s="43" t="n">
        <v>-46.622479</v>
      </c>
      <c r="D1875" s="43" t="n">
        <v>207</v>
      </c>
      <c r="E1875" s="44" t="n">
        <v>16945.604</v>
      </c>
    </row>
    <row r="1876">
      <c r="A1876" s="39">
        <f>_xlfn.XLOOKUP(17843,Trip[shape_id],Trip[shape_id],"Não encontrado")</f>
        <v/>
      </c>
      <c r="B1876" s="40" t="n">
        <v>-23.549276</v>
      </c>
      <c r="C1876" s="40" t="n">
        <v>-46.623259</v>
      </c>
      <c r="D1876" s="40" t="n">
        <v>208</v>
      </c>
      <c r="E1876" s="41" t="n">
        <v>17027.004</v>
      </c>
    </row>
    <row r="1877">
      <c r="A1877" s="42">
        <f>_xlfn.XLOOKUP(17843,Trip[shape_id],Trip[shape_id],"Não encontrado")</f>
        <v/>
      </c>
      <c r="B1877" s="43" t="n">
        <v>-23.549596</v>
      </c>
      <c r="C1877" s="43" t="n">
        <v>-46.6253</v>
      </c>
      <c r="D1877" s="43" t="n">
        <v>209</v>
      </c>
      <c r="E1877" s="44" t="n">
        <v>17238.389</v>
      </c>
    </row>
    <row r="1878">
      <c r="A1878" s="39">
        <f>_xlfn.XLOOKUP(17843,Trip[shape_id],Trip[shape_id],"Não encontrado")</f>
        <v/>
      </c>
      <c r="B1878" s="40" t="n">
        <v>-23.54969</v>
      </c>
      <c r="C1878" s="40" t="n">
        <v>-46.625921</v>
      </c>
      <c r="D1878" s="40" t="n">
        <v>210</v>
      </c>
      <c r="E1878" s="41" t="n">
        <v>17302.643</v>
      </c>
    </row>
    <row r="1879">
      <c r="A1879" s="42">
        <f>_xlfn.XLOOKUP(17843,Trip[shape_id],Trip[shape_id],"Não encontrado")</f>
        <v/>
      </c>
      <c r="B1879" s="43" t="n">
        <v>-23.549833</v>
      </c>
      <c r="C1879" s="43" t="n">
        <v>-46.62681</v>
      </c>
      <c r="D1879" s="43" t="n">
        <v>211</v>
      </c>
      <c r="E1879" s="44" t="n">
        <v>17394.783</v>
      </c>
    </row>
    <row r="1880">
      <c r="A1880" s="39">
        <f>_xlfn.XLOOKUP(17843,Trip[shape_id],Trip[shape_id],"Não encontrado")</f>
        <v/>
      </c>
      <c r="B1880" s="40" t="n">
        <v>-23.549947</v>
      </c>
      <c r="C1880" s="40" t="n">
        <v>-46.627477</v>
      </c>
      <c r="D1880" s="40" t="n">
        <v>212</v>
      </c>
      <c r="E1880" s="41" t="n">
        <v>17464.047</v>
      </c>
    </row>
    <row r="1881">
      <c r="A1881" s="42">
        <f>_xlfn.XLOOKUP(17843,Trip[shape_id],Trip[shape_id],"Não encontrado")</f>
        <v/>
      </c>
      <c r="B1881" s="43" t="n">
        <v>-23.550051</v>
      </c>
      <c r="C1881" s="43" t="n">
        <v>-46.628</v>
      </c>
      <c r="D1881" s="43" t="n">
        <v>213</v>
      </c>
      <c r="E1881" s="44" t="n">
        <v>17518.674</v>
      </c>
    </row>
    <row r="1882">
      <c r="A1882" s="39">
        <f>_xlfn.XLOOKUP(17843,Trip[shape_id],Trip[shape_id],"Não encontrado")</f>
        <v/>
      </c>
      <c r="B1882" s="40" t="n">
        <v>-23.550202</v>
      </c>
      <c r="C1882" s="40" t="n">
        <v>-46.628458</v>
      </c>
      <c r="D1882" s="40" t="n">
        <v>214</v>
      </c>
      <c r="E1882" s="41" t="n">
        <v>17568.338</v>
      </c>
    </row>
    <row r="1883">
      <c r="A1883" s="42">
        <f>_xlfn.XLOOKUP(17843,Trip[shape_id],Trip[shape_id],"Não encontrado")</f>
        <v/>
      </c>
      <c r="B1883" s="43" t="n">
        <v>-23.550373</v>
      </c>
      <c r="C1883" s="43" t="n">
        <v>-46.628917</v>
      </c>
      <c r="D1883" s="43" t="n">
        <v>215</v>
      </c>
      <c r="E1883" s="44" t="n">
        <v>17618.885</v>
      </c>
    </row>
    <row r="1884">
      <c r="A1884" s="39">
        <f>_xlfn.XLOOKUP(17843,Trip[shape_id],Trip[shape_id],"Não encontrado")</f>
        <v/>
      </c>
      <c r="B1884" s="40" t="n">
        <v>-23.55057</v>
      </c>
      <c r="C1884" s="40" t="n">
        <v>-46.629464</v>
      </c>
      <c r="D1884" s="40" t="n">
        <v>216</v>
      </c>
      <c r="E1884" s="41" t="n">
        <v>17678.846</v>
      </c>
    </row>
    <row r="1885">
      <c r="A1885" s="42">
        <f>_xlfn.XLOOKUP(17843,Trip[shape_id],Trip[shape_id],"Não encontrado")</f>
        <v/>
      </c>
      <c r="B1885" s="43" t="n">
        <v>-23.550732</v>
      </c>
      <c r="C1885" s="43" t="n">
        <v>-46.6299</v>
      </c>
      <c r="D1885" s="43" t="n">
        <v>217</v>
      </c>
      <c r="E1885" s="44" t="n">
        <v>17726.842</v>
      </c>
    </row>
    <row r="1886">
      <c r="A1886" s="39">
        <f>_xlfn.XLOOKUP(17843,Trip[shape_id],Trip[shape_id],"Não encontrado")</f>
        <v/>
      </c>
      <c r="B1886" s="40" t="n">
        <v>-23.550856</v>
      </c>
      <c r="C1886" s="40" t="n">
        <v>-46.630269</v>
      </c>
      <c r="D1886" s="40" t="n">
        <v>218</v>
      </c>
      <c r="E1886" s="41" t="n">
        <v>17766.941</v>
      </c>
    </row>
    <row r="1887">
      <c r="A1887" s="42">
        <f>_xlfn.XLOOKUP(17843,Trip[shape_id],Trip[shape_id],"Não encontrado")</f>
        <v/>
      </c>
      <c r="B1887" s="43" t="n">
        <v>-23.550926</v>
      </c>
      <c r="C1887" s="43" t="n">
        <v>-46.630697</v>
      </c>
      <c r="D1887" s="43" t="n">
        <v>219</v>
      </c>
      <c r="E1887" s="44" t="n">
        <v>17811.324</v>
      </c>
    </row>
    <row r="1888">
      <c r="A1888" s="39">
        <f>_xlfn.XLOOKUP(17843,Trip[shape_id],Trip[shape_id],"Não encontrado")</f>
        <v/>
      </c>
      <c r="B1888" s="40" t="n">
        <v>-23.550928</v>
      </c>
      <c r="C1888" s="40" t="n">
        <v>-46.630776</v>
      </c>
      <c r="D1888" s="40" t="n">
        <v>220</v>
      </c>
      <c r="E1888" s="41" t="n">
        <v>17819.393</v>
      </c>
    </row>
    <row r="1889">
      <c r="A1889" s="42">
        <f>_xlfn.XLOOKUP(17843,Trip[shape_id],Trip[shape_id],"Não encontrado")</f>
        <v/>
      </c>
      <c r="B1889" s="43" t="n">
        <v>-23.550936</v>
      </c>
      <c r="C1889" s="43" t="n">
        <v>-46.631039</v>
      </c>
      <c r="D1889" s="43" t="n">
        <v>221</v>
      </c>
      <c r="E1889" s="44" t="n">
        <v>17846.26</v>
      </c>
    </row>
    <row r="1890">
      <c r="A1890" s="39">
        <f>_xlfn.XLOOKUP(17843,Trip[shape_id],Trip[shape_id],"Não encontrado")</f>
        <v/>
      </c>
      <c r="B1890" s="40" t="n">
        <v>-23.550935</v>
      </c>
      <c r="C1890" s="40" t="n">
        <v>-46.631124</v>
      </c>
      <c r="D1890" s="40" t="n">
        <v>222</v>
      </c>
      <c r="E1890" s="41" t="n">
        <v>17854.939</v>
      </c>
    </row>
    <row r="1891">
      <c r="A1891" s="42">
        <f>_xlfn.XLOOKUP(17843,Trip[shape_id],Trip[shape_id],"Não encontrado")</f>
        <v/>
      </c>
      <c r="B1891" s="43" t="n">
        <v>-23.550909</v>
      </c>
      <c r="C1891" s="43" t="n">
        <v>-46.631507</v>
      </c>
      <c r="D1891" s="43" t="n">
        <v>223</v>
      </c>
      <c r="E1891" s="44" t="n">
        <v>17894.15</v>
      </c>
    </row>
    <row r="1892">
      <c r="A1892" s="39">
        <f>_xlfn.XLOOKUP(17843,Trip[shape_id],Trip[shape_id],"Não encontrado")</f>
        <v/>
      </c>
      <c r="B1892" s="40" t="n">
        <v>-23.550885</v>
      </c>
      <c r="C1892" s="40" t="n">
        <v>-46.631844</v>
      </c>
      <c r="D1892" s="40" t="n">
        <v>224</v>
      </c>
      <c r="E1892" s="41" t="n">
        <v>17928.662</v>
      </c>
    </row>
    <row r="1893">
      <c r="A1893" s="42">
        <f>_xlfn.XLOOKUP(17843,Trip[shape_id],Trip[shape_id],"Não encontrado")</f>
        <v/>
      </c>
      <c r="B1893" s="43" t="n">
        <v>-23.550796</v>
      </c>
      <c r="C1893" s="43" t="n">
        <v>-46.632397</v>
      </c>
      <c r="D1893" s="43" t="n">
        <v>225</v>
      </c>
      <c r="E1893" s="44" t="n">
        <v>17985.979</v>
      </c>
    </row>
    <row r="1894">
      <c r="A1894" s="39">
        <f>_xlfn.XLOOKUP(17843,Trip[shape_id],Trip[shape_id],"Não encontrado")</f>
        <v/>
      </c>
      <c r="B1894" s="40" t="n">
        <v>-23.55062</v>
      </c>
      <c r="C1894" s="40" t="n">
        <v>-46.632977</v>
      </c>
      <c r="D1894" s="40" t="n">
        <v>226</v>
      </c>
      <c r="E1894" s="41" t="n">
        <v>18048.322</v>
      </c>
    </row>
    <row r="1895">
      <c r="A1895" s="42">
        <f>_xlfn.XLOOKUP(17843,Trip[shape_id],Trip[shape_id],"Não encontrado")</f>
        <v/>
      </c>
      <c r="B1895" s="43" t="n">
        <v>-23.550458</v>
      </c>
      <c r="C1895" s="43" t="n">
        <v>-46.633451</v>
      </c>
      <c r="D1895" s="43" t="n">
        <v>227</v>
      </c>
      <c r="E1895" s="44" t="n">
        <v>18099.938</v>
      </c>
    </row>
    <row r="1896">
      <c r="A1896" s="39">
        <f>_xlfn.XLOOKUP(17843,Trip[shape_id],Trip[shape_id],"Não encontrado")</f>
        <v/>
      </c>
      <c r="B1896" s="40" t="n">
        <v>-23.54957</v>
      </c>
      <c r="C1896" s="40" t="n">
        <v>-46.635357</v>
      </c>
      <c r="D1896" s="40" t="n">
        <v>228</v>
      </c>
      <c r="E1896" s="41" t="n">
        <v>18426.514</v>
      </c>
    </row>
    <row r="1897">
      <c r="A1897" s="42">
        <f>_xlfn.XLOOKUP(17843,Trip[shape_id],Trip[shape_id],"Não encontrado")</f>
        <v/>
      </c>
      <c r="B1897" s="43" t="n">
        <v>-23.549136</v>
      </c>
      <c r="C1897" s="43" t="n">
        <v>-46.63631</v>
      </c>
      <c r="D1897" s="43" t="n">
        <v>229</v>
      </c>
      <c r="E1897" s="44" t="n">
        <v>18529.865</v>
      </c>
    </row>
    <row r="1898">
      <c r="A1898" s="39">
        <f>_xlfn.XLOOKUP(17843,Trip[shape_id],Trip[shape_id],"Não encontrado")</f>
        <v/>
      </c>
      <c r="B1898" s="40" t="n">
        <v>-23.548735</v>
      </c>
      <c r="C1898" s="40" t="n">
        <v>-46.637224</v>
      </c>
      <c r="D1898" s="40" t="n">
        <v>230</v>
      </c>
      <c r="E1898" s="41" t="n">
        <v>18585.344</v>
      </c>
    </row>
    <row r="1899">
      <c r="A1899" s="42">
        <f>_xlfn.XLOOKUP(17843,Trip[shape_id],Trip[shape_id],"Não encontrado")</f>
        <v/>
      </c>
      <c r="B1899" s="43" t="n">
        <v>-23.548511</v>
      </c>
      <c r="C1899" s="43" t="n">
        <v>-46.63771</v>
      </c>
      <c r="D1899" s="43" t="n">
        <v>231</v>
      </c>
      <c r="E1899" s="44" t="n">
        <v>18634.912</v>
      </c>
    </row>
    <row r="1900">
      <c r="A1900" s="39">
        <f>_xlfn.XLOOKUP(17843,Trip[shape_id],Trip[shape_id],"Não encontrado")</f>
        <v/>
      </c>
      <c r="B1900" s="40" t="n">
        <v>-23.548305</v>
      </c>
      <c r="C1900" s="40" t="n">
        <v>-46.638141</v>
      </c>
      <c r="D1900" s="40" t="n">
        <v>232</v>
      </c>
      <c r="E1900" s="41" t="n">
        <v>18656.168</v>
      </c>
    </row>
    <row r="1901">
      <c r="A1901" s="42">
        <f>_xlfn.XLOOKUP(17843,Trip[shape_id],Trip[shape_id],"Não encontrado")</f>
        <v/>
      </c>
      <c r="B1901" s="43" t="n">
        <v>-23.548217</v>
      </c>
      <c r="C1901" s="43" t="n">
        <v>-46.638326</v>
      </c>
      <c r="D1901" s="43" t="n">
        <v>233</v>
      </c>
      <c r="E1901" s="44" t="n">
        <v>18670.457</v>
      </c>
    </row>
    <row r="1902">
      <c r="A1902" s="39">
        <f>_xlfn.XLOOKUP(17843,Trip[shape_id],Trip[shape_id],"Não encontrado")</f>
        <v/>
      </c>
      <c r="B1902" s="40" t="n">
        <v>-23.548159</v>
      </c>
      <c r="C1902" s="40" t="n">
        <v>-46.638451</v>
      </c>
      <c r="D1902" s="40" t="n">
        <v>234</v>
      </c>
      <c r="E1902" s="41" t="n">
        <v>18704.789</v>
      </c>
    </row>
    <row r="1903">
      <c r="A1903" s="42">
        <f>_xlfn.XLOOKUP(17843,Trip[shape_id],Trip[shape_id],"Não encontrado")</f>
        <v/>
      </c>
      <c r="B1903" s="43" t="n">
        <v>-23.548019</v>
      </c>
      <c r="C1903" s="43" t="n">
        <v>-46.638751</v>
      </c>
      <c r="D1903" s="43" t="n">
        <v>235</v>
      </c>
      <c r="E1903" s="44" t="n">
        <v>18760.166</v>
      </c>
    </row>
    <row r="1904">
      <c r="A1904" s="39">
        <f>_xlfn.XLOOKUP(17843,Trip[shape_id],Trip[shape_id],"Não encontrado")</f>
        <v/>
      </c>
      <c r="B1904" s="40" t="n">
        <v>-23.547788</v>
      </c>
      <c r="C1904" s="40" t="n">
        <v>-46.639232</v>
      </c>
      <c r="D1904" s="40" t="n">
        <v>236</v>
      </c>
      <c r="E1904" s="41" t="n">
        <v>18760.166</v>
      </c>
    </row>
    <row r="1905">
      <c r="A1905" s="42">
        <f>_xlfn.XLOOKUP(17843,Trip[shape_id],Trip[shape_id],"Não encontrado")</f>
        <v/>
      </c>
      <c r="B1905" s="43" t="n">
        <v>-23.547298</v>
      </c>
      <c r="C1905" s="43" t="n">
        <v>-46.639873</v>
      </c>
      <c r="D1905" s="43" t="n">
        <v>237</v>
      </c>
      <c r="E1905" s="44" t="n">
        <v>18920.037</v>
      </c>
    </row>
    <row r="1906">
      <c r="A1906" s="39">
        <f>_xlfn.XLOOKUP(17843,Trip[shape_id],Trip[shape_id],"Não encontrado")</f>
        <v/>
      </c>
      <c r="B1906" s="40" t="n">
        <v>-23.546846</v>
      </c>
      <c r="C1906" s="40" t="n">
        <v>-46.640418</v>
      </c>
      <c r="D1906" s="40" t="n">
        <v>238</v>
      </c>
      <c r="E1906" s="41" t="n">
        <v>18970.092</v>
      </c>
    </row>
    <row r="1907">
      <c r="A1907" s="42">
        <f>_xlfn.XLOOKUP(17843,Trip[shape_id],Trip[shape_id],"Não encontrado")</f>
        <v/>
      </c>
      <c r="B1907" s="43" t="n">
        <v>-23.546524</v>
      </c>
      <c r="C1907" s="43" t="n">
        <v>-46.640762</v>
      </c>
      <c r="D1907" s="43" t="n">
        <v>239</v>
      </c>
      <c r="E1907" s="44" t="n">
        <v>18985.578</v>
      </c>
    </row>
    <row r="1908">
      <c r="A1908" s="39">
        <f>_xlfn.XLOOKUP(17843,Trip[shape_id],Trip[shape_id],"Não encontrado")</f>
        <v/>
      </c>
      <c r="B1908" s="40" t="n">
        <v>-23.546449</v>
      </c>
      <c r="C1908" s="40" t="n">
        <v>-46.64089</v>
      </c>
      <c r="D1908" s="40" t="n">
        <v>240</v>
      </c>
      <c r="E1908" s="41" t="n">
        <v>19002.918</v>
      </c>
    </row>
    <row r="1909">
      <c r="A1909" s="42">
        <f>_xlfn.XLOOKUP(17843,Trip[shape_id],Trip[shape_id],"Não encontrado")</f>
        <v/>
      </c>
      <c r="B1909" s="43" t="n">
        <v>-23.546318</v>
      </c>
      <c r="C1909" s="43" t="n">
        <v>-46.640983</v>
      </c>
      <c r="D1909" s="43" t="n">
        <v>241</v>
      </c>
      <c r="E1909" s="44" t="n">
        <v>19033.494</v>
      </c>
    </row>
    <row r="1910">
      <c r="A1910" s="39">
        <f>_xlfn.XLOOKUP(17843,Trip[shape_id],Trip[shape_id],"Não encontrado")</f>
        <v/>
      </c>
      <c r="B1910" s="40" t="n">
        <v>-23.546092</v>
      </c>
      <c r="C1910" s="40" t="n">
        <v>-46.641155</v>
      </c>
      <c r="D1910" s="40" t="n">
        <v>242</v>
      </c>
      <c r="E1910" s="41" t="n">
        <v>19045.891</v>
      </c>
    </row>
    <row r="1911">
      <c r="A1911" s="42">
        <f>_xlfn.XLOOKUP(17843,Trip[shape_id],Trip[shape_id],"Não encontrado")</f>
        <v/>
      </c>
      <c r="B1911" s="43" t="n">
        <v>-23.546007</v>
      </c>
      <c r="C1911" s="43" t="n">
        <v>-46.641234</v>
      </c>
      <c r="D1911" s="43" t="n">
        <v>243</v>
      </c>
      <c r="E1911" s="44" t="n">
        <v>19133.988</v>
      </c>
    </row>
    <row r="1912">
      <c r="A1912" s="39">
        <f>_xlfn.XLOOKUP(17843,Trip[shape_id],Trip[shape_id],"Não encontrado")</f>
        <v/>
      </c>
      <c r="B1912" s="40" t="n">
        <v>-23.545346</v>
      </c>
      <c r="C1912" s="40" t="n">
        <v>-46.641714</v>
      </c>
      <c r="D1912" s="40" t="n">
        <v>244</v>
      </c>
      <c r="E1912" s="41" t="n">
        <v>19172.463</v>
      </c>
    </row>
    <row r="1913">
      <c r="A1913" s="42">
        <f>_xlfn.XLOOKUP(17843,Trip[shape_id],Trip[shape_id],"Não encontrado")</f>
        <v/>
      </c>
      <c r="B1913" s="43" t="n">
        <v>-23.545062</v>
      </c>
      <c r="C1913" s="43" t="n">
        <v>-46.641931</v>
      </c>
      <c r="D1913" s="43" t="n">
        <v>245</v>
      </c>
      <c r="E1913" s="44" t="n">
        <v>19172.463</v>
      </c>
    </row>
    <row r="1914">
      <c r="A1914" s="39">
        <f>_xlfn.XLOOKUP(17843,Trip[shape_id],Trip[shape_id],"Não encontrado")</f>
        <v/>
      </c>
      <c r="B1914" s="40" t="n">
        <v>-23.544932</v>
      </c>
      <c r="C1914" s="40" t="n">
        <v>-46.642034</v>
      </c>
      <c r="D1914" s="40" t="n">
        <v>246</v>
      </c>
      <c r="E1914" s="41" t="n">
        <v>19201.84</v>
      </c>
    </row>
    <row r="1915">
      <c r="A1915" s="42">
        <f>_xlfn.XLOOKUP(17843,Trip[shape_id],Trip[shape_id],"Não encontrado")</f>
        <v/>
      </c>
      <c r="B1915" s="43" t="n">
        <v>-23.544828</v>
      </c>
      <c r="C1915" s="43" t="n">
        <v>-46.642026</v>
      </c>
      <c r="D1915" s="43" t="n">
        <v>247</v>
      </c>
      <c r="E1915" s="44" t="n">
        <v>19255.002</v>
      </c>
    </row>
    <row r="1916">
      <c r="A1916" s="39">
        <f>_xlfn.XLOOKUP(17843,Trip[shape_id],Trip[shape_id],"Não encontrado")</f>
        <v/>
      </c>
      <c r="B1916" s="40" t="n">
        <v>-23.544459</v>
      </c>
      <c r="C1916" s="40" t="n">
        <v>-46.642359</v>
      </c>
      <c r="D1916" s="40" t="n">
        <v>248</v>
      </c>
      <c r="E1916" s="41" t="n">
        <v>19264.109</v>
      </c>
    </row>
    <row r="1917">
      <c r="A1917" s="42">
        <f>_xlfn.XLOOKUP(17843,Trip[shape_id],Trip[shape_id],"Não encontrado")</f>
        <v/>
      </c>
      <c r="B1917" s="43" t="n">
        <v>-23.544395</v>
      </c>
      <c r="C1917" s="43" t="n">
        <v>-46.642415</v>
      </c>
      <c r="D1917" s="43" t="n">
        <v>249</v>
      </c>
      <c r="E1917" s="44" t="n">
        <v>19264.109</v>
      </c>
    </row>
    <row r="1918">
      <c r="A1918" s="39">
        <f>_xlfn.XLOOKUP(17843,Trip[shape_id],Trip[shape_id],"Não encontrado")</f>
        <v/>
      </c>
      <c r="B1918" s="40" t="n">
        <v>-23.544262</v>
      </c>
      <c r="C1918" s="40" t="n">
        <v>-46.642515</v>
      </c>
      <c r="D1918" s="40" t="n">
        <v>250</v>
      </c>
      <c r="E1918" s="41" t="n">
        <v>19295.344</v>
      </c>
    </row>
    <row r="1919">
      <c r="A1919" s="42">
        <f>_xlfn.XLOOKUP(17843,Trip[shape_id],Trip[shape_id],"Não encontrado")</f>
        <v/>
      </c>
      <c r="B1919" s="43" t="n">
        <v>-23.544165</v>
      </c>
      <c r="C1919" s="43" t="n">
        <v>-46.642592</v>
      </c>
      <c r="D1919" s="43" t="n">
        <v>251</v>
      </c>
      <c r="E1919" s="44" t="n">
        <v>19309.102</v>
      </c>
    </row>
    <row r="1920">
      <c r="A1920" s="39">
        <f>_xlfn.XLOOKUP(17843,Trip[shape_id],Trip[shape_id],"Não encontrado")</f>
        <v/>
      </c>
      <c r="B1920" s="40" t="n">
        <v>-23.544076</v>
      </c>
      <c r="C1920" s="40" t="n">
        <v>-46.642686</v>
      </c>
      <c r="D1920" s="40" t="n">
        <v>252</v>
      </c>
      <c r="E1920" s="41" t="n">
        <v>19430.07</v>
      </c>
    </row>
    <row r="1921">
      <c r="A1921" s="42">
        <f>_xlfn.XLOOKUP(17843,Trip[shape_id],Trip[shape_id],"Não encontrado")</f>
        <v/>
      </c>
      <c r="B1921" s="43" t="n">
        <v>-23.543303</v>
      </c>
      <c r="C1921" s="43" t="n">
        <v>-46.643523</v>
      </c>
      <c r="D1921" s="43" t="n">
        <v>253</v>
      </c>
      <c r="E1921" s="44" t="n">
        <v>19460.426</v>
      </c>
    </row>
    <row r="1922">
      <c r="A1922" s="39">
        <f>_xlfn.XLOOKUP(17843,Trip[shape_id],Trip[shape_id],"Não encontrado")</f>
        <v/>
      </c>
      <c r="B1922" s="40" t="n">
        <v>-23.543109</v>
      </c>
      <c r="C1922" s="40" t="n">
        <v>-46.643733</v>
      </c>
      <c r="D1922" s="40" t="n">
        <v>254</v>
      </c>
      <c r="E1922" s="41" t="n">
        <v>19519.18</v>
      </c>
    </row>
    <row r="1923">
      <c r="A1923" s="42">
        <f>_xlfn.XLOOKUP(17843,Trip[shape_id],Trip[shape_id],"Não encontrado")</f>
        <v/>
      </c>
      <c r="B1923" s="43" t="n">
        <v>-23.542734</v>
      </c>
      <c r="C1923" s="43" t="n">
        <v>-46.64414</v>
      </c>
      <c r="D1923" s="43" t="n">
        <v>255</v>
      </c>
      <c r="E1923" s="44" t="n">
        <v>19601.299</v>
      </c>
    </row>
    <row r="1924">
      <c r="A1924" s="39">
        <f>_xlfn.XLOOKUP(17843,Trip[shape_id],Trip[shape_id],"Não encontrado")</f>
        <v/>
      </c>
      <c r="B1924" s="40" t="n">
        <v>-23.54221</v>
      </c>
      <c r="C1924" s="40" t="n">
        <v>-46.644709</v>
      </c>
      <c r="D1924" s="40" t="n">
        <v>256</v>
      </c>
      <c r="E1924" s="41" t="n">
        <v>19664.584</v>
      </c>
    </row>
    <row r="1925">
      <c r="A1925" s="42">
        <f>_xlfn.XLOOKUP(17843,Trip[shape_id],Trip[shape_id],"Não encontrado")</f>
        <v/>
      </c>
      <c r="B1925" s="43" t="n">
        <v>-23.541821</v>
      </c>
      <c r="C1925" s="43" t="n">
        <v>-46.645163</v>
      </c>
      <c r="D1925" s="43" t="n">
        <v>257</v>
      </c>
      <c r="E1925" s="44" t="n">
        <v>19691.838</v>
      </c>
    </row>
    <row r="1926">
      <c r="A1926" s="39">
        <f>_xlfn.XLOOKUP(17843,Trip[shape_id],Trip[shape_id],"Não encontrado")</f>
        <v/>
      </c>
      <c r="B1926" s="40" t="n">
        <v>-23.541636</v>
      </c>
      <c r="C1926" s="40" t="n">
        <v>-46.645339</v>
      </c>
      <c r="D1926" s="40" t="n">
        <v>258</v>
      </c>
      <c r="E1926" s="41" t="n">
        <v>19751.447</v>
      </c>
    </row>
    <row r="1927">
      <c r="A1927" s="42">
        <f>_xlfn.XLOOKUP(17843,Trip[shape_id],Trip[shape_id],"Não encontrado")</f>
        <v/>
      </c>
      <c r="B1927" s="43" t="n">
        <v>-23.541238</v>
      </c>
      <c r="C1927" s="43" t="n">
        <v>-46.645732</v>
      </c>
      <c r="D1927" s="43" t="n">
        <v>259</v>
      </c>
      <c r="E1927" s="44" t="n">
        <v>19807.098</v>
      </c>
    </row>
    <row r="1928">
      <c r="A1928" s="39">
        <f>_xlfn.XLOOKUP(17843,Trip[shape_id],Trip[shape_id],"Não encontrado")</f>
        <v/>
      </c>
      <c r="B1928" s="40" t="n">
        <v>-23.540908</v>
      </c>
      <c r="C1928" s="40" t="n">
        <v>-46.646143</v>
      </c>
      <c r="D1928" s="40" t="n">
        <v>260</v>
      </c>
      <c r="E1928" s="41" t="n">
        <v>19828.188</v>
      </c>
    </row>
    <row r="1929">
      <c r="A1929" s="42">
        <f>_xlfn.XLOOKUP(17843,Trip[shape_id],Trip[shape_id],"Não encontrado")</f>
        <v/>
      </c>
      <c r="B1929" s="43" t="n">
        <v>-23.540768</v>
      </c>
      <c r="C1929" s="43" t="n">
        <v>-46.646283</v>
      </c>
      <c r="D1929" s="43" t="n">
        <v>261</v>
      </c>
      <c r="E1929" s="44" t="n">
        <v>19872.652</v>
      </c>
    </row>
    <row r="1930">
      <c r="A1930" s="39">
        <f>_xlfn.XLOOKUP(17843,Trip[shape_id],Trip[shape_id],"Não encontrado")</f>
        <v/>
      </c>
      <c r="B1930" s="40" t="n">
        <v>-23.540471</v>
      </c>
      <c r="C1930" s="40" t="n">
        <v>-46.646576</v>
      </c>
      <c r="D1930" s="40" t="n">
        <v>262</v>
      </c>
      <c r="E1930" s="41" t="n">
        <v>19931.51</v>
      </c>
    </row>
    <row r="1931">
      <c r="A1931" s="42">
        <f>_xlfn.XLOOKUP(17843,Trip[shape_id],Trip[shape_id],"Não encontrado")</f>
        <v/>
      </c>
      <c r="B1931" s="43" t="n">
        <v>-23.540078</v>
      </c>
      <c r="C1931" s="43" t="n">
        <v>-46.646964</v>
      </c>
      <c r="D1931" s="43" t="n">
        <v>263</v>
      </c>
      <c r="E1931" s="44" t="n">
        <v>19999.346</v>
      </c>
    </row>
    <row r="1932">
      <c r="A1932" s="39">
        <f>_xlfn.XLOOKUP(17843,Trip[shape_id],Trip[shape_id],"Não encontrado")</f>
        <v/>
      </c>
      <c r="B1932" s="40" t="n">
        <v>-23.539608</v>
      </c>
      <c r="C1932" s="40" t="n">
        <v>-46.64739</v>
      </c>
      <c r="D1932" s="40" t="n">
        <v>264</v>
      </c>
      <c r="E1932" s="41" t="n">
        <v>20047.652</v>
      </c>
    </row>
    <row r="1933">
      <c r="A1933" s="42">
        <f>_xlfn.XLOOKUP(17843,Trip[shape_id],Trip[shape_id],"Não encontrado")</f>
        <v/>
      </c>
      <c r="B1933" s="43" t="n">
        <v>-23.53927</v>
      </c>
      <c r="C1933" s="43" t="n">
        <v>-46.647689</v>
      </c>
      <c r="D1933" s="43" t="n">
        <v>265</v>
      </c>
      <c r="E1933" s="44" t="n">
        <v>20074.074</v>
      </c>
    </row>
    <row r="1934">
      <c r="A1934" s="39">
        <f>_xlfn.XLOOKUP(17843,Trip[shape_id],Trip[shape_id],"Não encontrado")</f>
        <v/>
      </c>
      <c r="B1934" s="40" t="n">
        <v>-23.539087</v>
      </c>
      <c r="C1934" s="40" t="n">
        <v>-46.647855</v>
      </c>
      <c r="D1934" s="40" t="n">
        <v>266</v>
      </c>
      <c r="E1934" s="41" t="n">
        <v>20087.59</v>
      </c>
    </row>
    <row r="1935">
      <c r="A1935" s="42">
        <f>_xlfn.XLOOKUP(17843,Trip[shape_id],Trip[shape_id],"Não encontrado")</f>
        <v/>
      </c>
      <c r="B1935" s="43" t="n">
        <v>-23.539006</v>
      </c>
      <c r="C1935" s="43" t="n">
        <v>-46.647954</v>
      </c>
      <c r="D1935" s="43" t="n">
        <v>267</v>
      </c>
      <c r="E1935" s="44" t="n">
        <v>20136.391</v>
      </c>
    </row>
    <row r="1936">
      <c r="A1936" s="39">
        <f>_xlfn.XLOOKUP(17843,Trip[shape_id],Trip[shape_id],"Não encontrado")</f>
        <v/>
      </c>
      <c r="B1936" s="40" t="n">
        <v>-23.538703</v>
      </c>
      <c r="C1936" s="40" t="n">
        <v>-46.648301</v>
      </c>
      <c r="D1936" s="40" t="n">
        <v>268</v>
      </c>
      <c r="E1936" s="41" t="n">
        <v>20165.563</v>
      </c>
    </row>
    <row r="1937">
      <c r="A1937" s="42">
        <f>_xlfn.XLOOKUP(17843,Trip[shape_id],Trip[shape_id],"Não encontrado")</f>
        <v/>
      </c>
      <c r="B1937" s="43" t="n">
        <v>-23.538563</v>
      </c>
      <c r="C1937" s="43" t="n">
        <v>-46.648543</v>
      </c>
      <c r="D1937" s="43" t="n">
        <v>269</v>
      </c>
      <c r="E1937" s="44" t="n">
        <v>20184.633</v>
      </c>
    </row>
    <row r="1938">
      <c r="A1938" s="39">
        <f>_xlfn.XLOOKUP(17843,Trip[shape_id],Trip[shape_id],"Não encontrado")</f>
        <v/>
      </c>
      <c r="B1938" s="40" t="n">
        <v>-23.538448</v>
      </c>
      <c r="C1938" s="40" t="n">
        <v>-46.648682</v>
      </c>
      <c r="D1938" s="40" t="n">
        <v>270</v>
      </c>
      <c r="E1938" s="41" t="n">
        <v>20230.75</v>
      </c>
    </row>
    <row r="1939">
      <c r="A1939" s="42">
        <f>_xlfn.XLOOKUP(17843,Trip[shape_id],Trip[shape_id],"Não encontrado")</f>
        <v/>
      </c>
      <c r="B1939" s="43" t="n">
        <v>-23.538128</v>
      </c>
      <c r="C1939" s="43" t="n">
        <v>-46.648971</v>
      </c>
      <c r="D1939" s="43" t="n">
        <v>271</v>
      </c>
      <c r="E1939" s="44" t="n">
        <v>20230.75</v>
      </c>
    </row>
    <row r="1940">
      <c r="A1940" s="39">
        <f>_xlfn.XLOOKUP(17843,Trip[shape_id],Trip[shape_id],"Não encontrado")</f>
        <v/>
      </c>
      <c r="B1940" s="40" t="n">
        <v>-23.537935</v>
      </c>
      <c r="C1940" s="40" t="n">
        <v>-46.649196</v>
      </c>
      <c r="D1940" s="40" t="n">
        <v>272</v>
      </c>
      <c r="E1940" s="41" t="n">
        <v>20309.086</v>
      </c>
    </row>
    <row r="1941">
      <c r="A1941" s="42">
        <f>_xlfn.XLOOKUP(17843,Trip[shape_id],Trip[shape_id],"Não encontrado")</f>
        <v/>
      </c>
      <c r="B1941" s="43" t="n">
        <v>-23.537699</v>
      </c>
      <c r="C1941" s="43" t="n">
        <v>-46.649578</v>
      </c>
      <c r="D1941" s="43" t="n">
        <v>273</v>
      </c>
      <c r="E1941" s="44" t="n">
        <v>20394.467</v>
      </c>
    </row>
    <row r="1942">
      <c r="A1942" s="39">
        <f>_xlfn.XLOOKUP(17843,Trip[shape_id],Trip[shape_id],"Não encontrado")</f>
        <v/>
      </c>
      <c r="B1942" s="40" t="n">
        <v>-23.537269</v>
      </c>
      <c r="C1942" s="40" t="n">
        <v>-46.650272</v>
      </c>
      <c r="D1942" s="40" t="n">
        <v>274</v>
      </c>
      <c r="E1942" s="41" t="n">
        <v>20480.959</v>
      </c>
    </row>
    <row r="1943">
      <c r="A1943" s="42">
        <f>_xlfn.XLOOKUP(17843,Trip[shape_id],Trip[shape_id],"Não encontrado")</f>
        <v/>
      </c>
      <c r="B1943" s="43" t="n">
        <v>-23.536832</v>
      </c>
      <c r="C1943" s="43" t="n">
        <v>-46.650974</v>
      </c>
      <c r="D1943" s="43" t="n">
        <v>275</v>
      </c>
      <c r="E1943" s="44" t="n">
        <v>20562.625</v>
      </c>
    </row>
    <row r="1944">
      <c r="A1944" s="39">
        <f>_xlfn.XLOOKUP(17843,Trip[shape_id],Trip[shape_id],"Não encontrado")</f>
        <v/>
      </c>
      <c r="B1944" s="40" t="n">
        <v>-23.536421</v>
      </c>
      <c r="C1944" s="40" t="n">
        <v>-46.651638</v>
      </c>
      <c r="D1944" s="40" t="n">
        <v>276</v>
      </c>
      <c r="E1944" s="41" t="n">
        <v>20638.092</v>
      </c>
    </row>
    <row r="1945">
      <c r="A1945" s="42">
        <f>_xlfn.XLOOKUP(17843,Trip[shape_id],Trip[shape_id],"Não encontrado")</f>
        <v/>
      </c>
      <c r="B1945" s="43" t="n">
        <v>-23.536039</v>
      </c>
      <c r="C1945" s="43" t="n">
        <v>-46.65225</v>
      </c>
      <c r="D1945" s="43" t="n">
        <v>277</v>
      </c>
      <c r="E1945" s="44" t="n">
        <v>20726.373</v>
      </c>
    </row>
    <row r="1946">
      <c r="A1946" s="39">
        <f>_xlfn.XLOOKUP(17843,Trip[shape_id],Trip[shape_id],"Não encontrado")</f>
        <v/>
      </c>
      <c r="B1946" s="40" t="n">
        <v>-23.535595</v>
      </c>
      <c r="C1946" s="40" t="n">
        <v>-46.652968</v>
      </c>
      <c r="D1946" s="40" t="n">
        <v>278</v>
      </c>
      <c r="E1946" s="41" t="n">
        <v>20776.705</v>
      </c>
    </row>
    <row r="1947">
      <c r="A1947" s="42">
        <f>_xlfn.XLOOKUP(17843,Trip[shape_id],Trip[shape_id],"Não encontrado")</f>
        <v/>
      </c>
      <c r="B1947" s="43" t="n">
        <v>-23.53534</v>
      </c>
      <c r="C1947" s="43" t="n">
        <v>-46.653376</v>
      </c>
      <c r="D1947" s="43" t="n">
        <v>279</v>
      </c>
      <c r="E1947" s="44" t="n">
        <v>21065.561</v>
      </c>
    </row>
    <row r="1948">
      <c r="A1948" s="39">
        <f>_xlfn.XLOOKUP(17843,Trip[shape_id],Trip[shape_id],"Não encontrado")</f>
        <v/>
      </c>
      <c r="B1948" s="40" t="n">
        <v>-23.53388</v>
      </c>
      <c r="C1948" s="40" t="n">
        <v>-46.65572</v>
      </c>
      <c r="D1948" s="40" t="n">
        <v>280</v>
      </c>
      <c r="E1948" s="41" t="n">
        <v>21080.121</v>
      </c>
    </row>
    <row r="1949">
      <c r="A1949" s="42">
        <f>_xlfn.XLOOKUP(17843,Trip[shape_id],Trip[shape_id],"Não encontrado")</f>
        <v/>
      </c>
      <c r="B1949" s="43" t="n">
        <v>-23.533934</v>
      </c>
      <c r="C1949" s="43" t="n">
        <v>-46.65585</v>
      </c>
      <c r="D1949" s="43" t="n">
        <v>281</v>
      </c>
      <c r="E1949" s="44" t="n">
        <v>21080.121</v>
      </c>
    </row>
    <row r="1950">
      <c r="A1950" s="39">
        <f>_xlfn.XLOOKUP(17843,Trip[shape_id],Trip[shape_id],"Não encontrado")</f>
        <v/>
      </c>
      <c r="B1950" s="40" t="n">
        <v>-23.53381</v>
      </c>
      <c r="C1950" s="40" t="n">
        <v>-46.655833</v>
      </c>
      <c r="D1950" s="40" t="n">
        <v>282</v>
      </c>
      <c r="E1950" s="41" t="n">
        <v>21136.717</v>
      </c>
    </row>
    <row r="1951">
      <c r="A1951" s="42">
        <f>_xlfn.XLOOKUP(17843,Trip[shape_id],Trip[shape_id],"Não encontrado")</f>
        <v/>
      </c>
      <c r="B1951" s="43" t="n">
        <v>-23.533594</v>
      </c>
      <c r="C1951" s="43" t="n">
        <v>-46.65618</v>
      </c>
      <c r="D1951" s="43" t="n">
        <v>283</v>
      </c>
      <c r="E1951" s="44" t="n">
        <v>21387.91</v>
      </c>
    </row>
    <row r="1952">
      <c r="A1952" s="39">
        <f>_xlfn.XLOOKUP(17843,Trip[shape_id],Trip[shape_id],"Não encontrado")</f>
        <v/>
      </c>
      <c r="B1952" s="40" t="n">
        <v>-23.532389</v>
      </c>
      <c r="C1952" s="40" t="n">
        <v>-46.658264</v>
      </c>
      <c r="D1952" s="40" t="n">
        <v>284</v>
      </c>
      <c r="E1952" s="41" t="n">
        <v>21409.682</v>
      </c>
    </row>
    <row r="1953">
      <c r="A1953" s="42">
        <f>_xlfn.XLOOKUP(17843,Trip[shape_id],Trip[shape_id],"Não encontrado")</f>
        <v/>
      </c>
      <c r="B1953" s="43" t="n">
        <v>-23.532255</v>
      </c>
      <c r="C1953" s="43" t="n">
        <v>-46.65842</v>
      </c>
      <c r="D1953" s="43" t="n">
        <v>285</v>
      </c>
      <c r="E1953" s="44" t="n">
        <v>21436.561</v>
      </c>
    </row>
    <row r="1954">
      <c r="A1954" s="39">
        <f>_xlfn.XLOOKUP(17843,Trip[shape_id],Trip[shape_id],"Não encontrado")</f>
        <v/>
      </c>
      <c r="B1954" s="40" t="n">
        <v>-23.532119</v>
      </c>
      <c r="C1954" s="40" t="n">
        <v>-46.658638</v>
      </c>
      <c r="D1954" s="40" t="n">
        <v>286</v>
      </c>
      <c r="E1954" s="41" t="n">
        <v>21472.672</v>
      </c>
    </row>
    <row r="1955">
      <c r="A1955" s="42">
        <f>_xlfn.XLOOKUP(17843,Trip[shape_id],Trip[shape_id],"Não encontrado")</f>
        <v/>
      </c>
      <c r="B1955" s="43" t="n">
        <v>-23.531847</v>
      </c>
      <c r="C1955" s="43" t="n">
        <v>-46.658833</v>
      </c>
      <c r="D1955" s="43" t="n">
        <v>287</v>
      </c>
      <c r="E1955" s="44" t="n">
        <v>21695.744</v>
      </c>
    </row>
    <row r="1956">
      <c r="A1956" s="39">
        <f>_xlfn.XLOOKUP(17843,Trip[shape_id],Trip[shape_id],"Não encontrado")</f>
        <v/>
      </c>
      <c r="B1956" s="40" t="n">
        <v>-23.530201</v>
      </c>
      <c r="C1956" s="40" t="n">
        <v>-46.660092</v>
      </c>
      <c r="D1956" s="40" t="n">
        <v>288</v>
      </c>
      <c r="E1956" s="41" t="n">
        <v>21764.408</v>
      </c>
    </row>
    <row r="1957">
      <c r="A1957" s="42">
        <f>_xlfn.XLOOKUP(17843,Trip[shape_id],Trip[shape_id],"Não encontrado")</f>
        <v/>
      </c>
      <c r="B1957" s="43" t="n">
        <v>-23.529694</v>
      </c>
      <c r="C1957" s="43" t="n">
        <v>-46.660479</v>
      </c>
      <c r="D1957" s="43" t="n">
        <v>289</v>
      </c>
      <c r="E1957" s="44" t="n">
        <v>21807.633</v>
      </c>
    </row>
    <row r="1958">
      <c r="A1958" s="39">
        <f>_xlfn.XLOOKUP(17843,Trip[shape_id],Trip[shape_id],"Não encontrado")</f>
        <v/>
      </c>
      <c r="B1958" s="40" t="n">
        <v>-23.52937</v>
      </c>
      <c r="C1958" s="40" t="n">
        <v>-46.660715</v>
      </c>
      <c r="D1958" s="40" t="n">
        <v>290</v>
      </c>
      <c r="E1958" s="41" t="n">
        <v>21851.479</v>
      </c>
    </row>
    <row r="1959">
      <c r="A1959" s="42">
        <f>_xlfn.XLOOKUP(17843,Trip[shape_id],Trip[shape_id],"Não encontrado")</f>
        <v/>
      </c>
      <c r="B1959" s="43" t="n">
        <v>-23.529003</v>
      </c>
      <c r="C1959" s="43" t="n">
        <v>-46.660876</v>
      </c>
      <c r="D1959" s="43" t="n">
        <v>291</v>
      </c>
      <c r="E1959" s="44" t="n">
        <v>21948.311</v>
      </c>
    </row>
    <row r="1960">
      <c r="A1960" s="39">
        <f>_xlfn.XLOOKUP(17843,Trip[shape_id],Trip[shape_id],"Não encontrado")</f>
        <v/>
      </c>
      <c r="B1960" s="40" t="n">
        <v>-23.52824</v>
      </c>
      <c r="C1960" s="40" t="n">
        <v>-46.661339</v>
      </c>
      <c r="D1960" s="40" t="n">
        <v>292</v>
      </c>
      <c r="E1960" s="41" t="n">
        <v>21964.314</v>
      </c>
    </row>
    <row r="1961">
      <c r="A1961" s="42">
        <f>_xlfn.XLOOKUP(17843,Trip[shape_id],Trip[shape_id],"Não encontrado")</f>
        <v/>
      </c>
      <c r="B1961" s="43" t="n">
        <v>-23.528138</v>
      </c>
      <c r="C1961" s="43" t="n">
        <v>-46.66145</v>
      </c>
      <c r="D1961" s="43" t="n">
        <v>293</v>
      </c>
      <c r="E1961" s="44" t="n">
        <v>22082.758</v>
      </c>
    </row>
    <row r="1962">
      <c r="A1962" s="39">
        <f>_xlfn.XLOOKUP(17843,Trip[shape_id],Trip[shape_id],"Não encontrado")</f>
        <v/>
      </c>
      <c r="B1962" s="40" t="n">
        <v>-23.527391</v>
      </c>
      <c r="C1962" s="40" t="n">
        <v>-46.66228</v>
      </c>
      <c r="D1962" s="40" t="n">
        <v>294</v>
      </c>
      <c r="E1962" s="41" t="n">
        <v>22154.539</v>
      </c>
    </row>
    <row r="1963">
      <c r="A1963" s="42">
        <f>_xlfn.XLOOKUP(17843,Trip[shape_id],Trip[shape_id],"Não encontrado")</f>
        <v/>
      </c>
      <c r="B1963" s="43" t="n">
        <v>-23.527123</v>
      </c>
      <c r="C1963" s="43" t="n">
        <v>-46.66292</v>
      </c>
      <c r="D1963" s="43" t="n">
        <v>295</v>
      </c>
      <c r="E1963" s="44" t="n">
        <v>22331.908</v>
      </c>
    </row>
    <row r="1964">
      <c r="A1964" s="39">
        <f>_xlfn.XLOOKUP(17843,Trip[shape_id],Trip[shape_id],"Não encontrado")</f>
        <v/>
      </c>
      <c r="B1964" s="40" t="n">
        <v>-23.526464</v>
      </c>
      <c r="C1964" s="40" t="n">
        <v>-46.664503</v>
      </c>
      <c r="D1964" s="40" t="n">
        <v>296</v>
      </c>
      <c r="E1964" s="41" t="n">
        <v>22413.521</v>
      </c>
    </row>
    <row r="1965">
      <c r="A1965" s="42">
        <f>_xlfn.XLOOKUP(17843,Trip[shape_id],Trip[shape_id],"Não encontrado")</f>
        <v/>
      </c>
      <c r="B1965" s="43" t="n">
        <v>-23.526207</v>
      </c>
      <c r="C1965" s="43" t="n">
        <v>-46.665252</v>
      </c>
      <c r="D1965" s="43" t="n">
        <v>297</v>
      </c>
      <c r="E1965" s="44" t="n">
        <v>22480.178</v>
      </c>
    </row>
    <row r="1966">
      <c r="A1966" s="39">
        <f>_xlfn.XLOOKUP(17843,Trip[shape_id],Trip[shape_id],"Não encontrado")</f>
        <v/>
      </c>
      <c r="B1966" s="40" t="n">
        <v>-23.526109</v>
      </c>
      <c r="C1966" s="40" t="n">
        <v>-46.665896</v>
      </c>
      <c r="D1966" s="40" t="n">
        <v>298</v>
      </c>
      <c r="E1966" s="41" t="n">
        <v>22498.271</v>
      </c>
    </row>
    <row r="1967">
      <c r="A1967" s="42">
        <f>_xlfn.XLOOKUP(17843,Trip[shape_id],Trip[shape_id],"Não encontrado")</f>
        <v/>
      </c>
      <c r="B1967" s="43" t="n">
        <v>-23.526063</v>
      </c>
      <c r="C1967" s="43" t="n">
        <v>-46.666066</v>
      </c>
      <c r="D1967" s="43" t="n">
        <v>299</v>
      </c>
      <c r="E1967" s="44" t="n">
        <v>22562.6</v>
      </c>
    </row>
    <row r="1968">
      <c r="A1968" s="39">
        <f>_xlfn.XLOOKUP(17843,Trip[shape_id],Trip[shape_id],"Não encontrado")</f>
        <v/>
      </c>
      <c r="B1968" s="40" t="n">
        <v>-23.525895</v>
      </c>
      <c r="C1968" s="40" t="n">
        <v>-46.666669</v>
      </c>
      <c r="D1968" s="40" t="n">
        <v>300</v>
      </c>
      <c r="E1968" s="41" t="n">
        <v>22607.861</v>
      </c>
    </row>
    <row r="1969">
      <c r="A1969" s="42">
        <f>_xlfn.XLOOKUP(17843,Trip[shape_id],Trip[shape_id],"Não encontrado")</f>
        <v/>
      </c>
      <c r="B1969" s="43" t="n">
        <v>-23.52559</v>
      </c>
      <c r="C1969" s="43" t="n">
        <v>-46.666964</v>
      </c>
      <c r="D1969" s="43" t="n">
        <v>301</v>
      </c>
      <c r="E1969" s="44" t="n">
        <v>22607.861</v>
      </c>
    </row>
    <row r="1970">
      <c r="A1970" s="39">
        <f>_xlfn.XLOOKUP(17844,Trip[shape_id],Trip[shape_id],"Não encontrado")</f>
        <v/>
      </c>
      <c r="B1970" s="40" t="n">
        <v>-23.592569</v>
      </c>
      <c r="C1970" s="40" t="n">
        <v>-46.63073</v>
      </c>
      <c r="D1970" s="40" t="n">
        <v>1</v>
      </c>
      <c r="E1970" s="41" t="n">
        <v>0</v>
      </c>
    </row>
    <row r="1971">
      <c r="A1971" s="42">
        <f>_xlfn.XLOOKUP(17844,Trip[shape_id],Trip[shape_id],"Não encontrado")</f>
        <v/>
      </c>
      <c r="B1971" s="43" t="n">
        <v>-23.59316</v>
      </c>
      <c r="C1971" s="43" t="n">
        <v>-46.631118</v>
      </c>
      <c r="D1971" s="43" t="n">
        <v>2</v>
      </c>
      <c r="E1971" s="44" t="n">
        <v>76.503006</v>
      </c>
    </row>
    <row r="1972">
      <c r="A1972" s="39">
        <f>_xlfn.XLOOKUP(17844,Trip[shape_id],Trip[shape_id],"Não encontrado")</f>
        <v/>
      </c>
      <c r="B1972" s="40" t="n">
        <v>-23.593599</v>
      </c>
      <c r="C1972" s="40" t="n">
        <v>-46.6314</v>
      </c>
      <c r="D1972" s="40" t="n">
        <v>3</v>
      </c>
      <c r="E1972" s="41" t="n">
        <v>133.00452</v>
      </c>
    </row>
    <row r="1973">
      <c r="A1973" s="42">
        <f>_xlfn.XLOOKUP(17844,Trip[shape_id],Trip[shape_id],"Não encontrado")</f>
        <v/>
      </c>
      <c r="B1973" s="43" t="n">
        <v>-23.594074</v>
      </c>
      <c r="C1973" s="43" t="n">
        <v>-46.631713</v>
      </c>
      <c r="D1973" s="43" t="n">
        <v>4</v>
      </c>
      <c r="E1973" s="44" t="n">
        <v>194.55261</v>
      </c>
    </row>
    <row r="1974">
      <c r="A1974" s="39">
        <f>_xlfn.XLOOKUP(17844,Trip[shape_id],Trip[shape_id],"Não encontrado")</f>
        <v/>
      </c>
      <c r="B1974" s="40" t="n">
        <v>-23.594427</v>
      </c>
      <c r="C1974" s="40" t="n">
        <v>-46.631952</v>
      </c>
      <c r="D1974" s="40" t="n">
        <v>5</v>
      </c>
      <c r="E1974" s="41" t="n">
        <v>240.63461</v>
      </c>
    </row>
    <row r="1975">
      <c r="A1975" s="42">
        <f>_xlfn.XLOOKUP(17844,Trip[shape_id],Trip[shape_id],"Não encontrado")</f>
        <v/>
      </c>
      <c r="B1975" s="43" t="n">
        <v>-23.594927</v>
      </c>
      <c r="C1975" s="43" t="n">
        <v>-46.632281</v>
      </c>
      <c r="D1975" s="43" t="n">
        <v>6</v>
      </c>
      <c r="E1975" s="44" t="n">
        <v>305.397</v>
      </c>
    </row>
    <row r="1976">
      <c r="A1976" s="39">
        <f>_xlfn.XLOOKUP(17844,Trip[shape_id],Trip[shape_id],"Não encontrado")</f>
        <v/>
      </c>
      <c r="B1976" s="40" t="n">
        <v>-23.595531</v>
      </c>
      <c r="C1976" s="40" t="n">
        <v>-46.632684</v>
      </c>
      <c r="D1976" s="40" t="n">
        <v>7</v>
      </c>
      <c r="E1976" s="41" t="n">
        <v>383.92603</v>
      </c>
    </row>
    <row r="1977">
      <c r="A1977" s="42">
        <f>_xlfn.XLOOKUP(17844,Trip[shape_id],Trip[shape_id],"Não encontrado")</f>
        <v/>
      </c>
      <c r="B1977" s="43" t="n">
        <v>-23.595742</v>
      </c>
      <c r="C1977" s="43" t="n">
        <v>-46.632827</v>
      </c>
      <c r="D1977" s="43" t="n">
        <v>8</v>
      </c>
      <c r="E1977" s="44" t="n">
        <v>411.47824</v>
      </c>
    </row>
    <row r="1978">
      <c r="A1978" s="39">
        <f>_xlfn.XLOOKUP(17844,Trip[shape_id],Trip[shape_id],"Não encontrado")</f>
        <v/>
      </c>
      <c r="B1978" s="40" t="n">
        <v>-23.596209</v>
      </c>
      <c r="C1978" s="40" t="n">
        <v>-46.63314</v>
      </c>
      <c r="D1978" s="40" t="n">
        <v>9</v>
      </c>
      <c r="E1978" s="41" t="n">
        <v>472.27057</v>
      </c>
    </row>
    <row r="1979">
      <c r="A1979" s="42">
        <f>_xlfn.XLOOKUP(17844,Trip[shape_id],Trip[shape_id],"Não encontrado")</f>
        <v/>
      </c>
      <c r="B1979" s="43" t="n">
        <v>-23.5966</v>
      </c>
      <c r="C1979" s="43" t="n">
        <v>-46.6334</v>
      </c>
      <c r="D1979" s="43" t="n">
        <v>10</v>
      </c>
      <c r="E1979" s="44" t="n">
        <v>523.0592</v>
      </c>
    </row>
    <row r="1980">
      <c r="A1980" s="39">
        <f>_xlfn.XLOOKUP(17844,Trip[shape_id],Trip[shape_id],"Não encontrado")</f>
        <v/>
      </c>
      <c r="B1980" s="40" t="n">
        <v>-23.597372</v>
      </c>
      <c r="C1980" s="40" t="n">
        <v>-46.633921</v>
      </c>
      <c r="D1980" s="40" t="n">
        <v>11</v>
      </c>
      <c r="E1980" s="41" t="n">
        <v>623.74756</v>
      </c>
    </row>
    <row r="1981">
      <c r="A1981" s="42">
        <f>_xlfn.XLOOKUP(17844,Trip[shape_id],Trip[shape_id],"Não encontrado")</f>
        <v/>
      </c>
      <c r="B1981" s="43" t="n">
        <v>-23.597669</v>
      </c>
      <c r="C1981" s="43" t="n">
        <v>-46.634344</v>
      </c>
      <c r="D1981" s="43" t="n">
        <v>12</v>
      </c>
      <c r="E1981" s="44" t="n">
        <v>678.02423</v>
      </c>
    </row>
    <row r="1982">
      <c r="A1982" s="39">
        <f>_xlfn.XLOOKUP(17844,Trip[shape_id],Trip[shape_id],"Não encontrado")</f>
        <v/>
      </c>
      <c r="B1982" s="40" t="n">
        <v>-23.597851</v>
      </c>
      <c r="C1982" s="40" t="n">
        <v>-46.634663</v>
      </c>
      <c r="D1982" s="40" t="n">
        <v>13</v>
      </c>
      <c r="E1982" s="41" t="n">
        <v>716.31757</v>
      </c>
    </row>
    <row r="1983">
      <c r="A1983" s="42">
        <f>_xlfn.XLOOKUP(17844,Trip[shape_id],Trip[shape_id],"Não encontrado")</f>
        <v/>
      </c>
      <c r="B1983" s="43" t="n">
        <v>-23.598095</v>
      </c>
      <c r="C1983" s="43" t="n">
        <v>-46.635206</v>
      </c>
      <c r="D1983" s="43" t="n">
        <v>14</v>
      </c>
      <c r="E1983" s="44" t="n">
        <v>777.97644</v>
      </c>
    </row>
    <row r="1984">
      <c r="A1984" s="39">
        <f>_xlfn.XLOOKUP(17844,Trip[shape_id],Trip[shape_id],"Não encontrado")</f>
        <v/>
      </c>
      <c r="B1984" s="40" t="n">
        <v>-23.598197</v>
      </c>
      <c r="C1984" s="40" t="n">
        <v>-46.635567</v>
      </c>
      <c r="D1984" s="40" t="n">
        <v>15</v>
      </c>
      <c r="E1984" s="41" t="n">
        <v>816.51489</v>
      </c>
    </row>
    <row r="1985">
      <c r="A1985" s="42">
        <f>_xlfn.XLOOKUP(17844,Trip[shape_id],Trip[shape_id],"Não encontrado")</f>
        <v/>
      </c>
      <c r="B1985" s="43" t="n">
        <v>-23.598262</v>
      </c>
      <c r="C1985" s="43" t="n">
        <v>-46.635798</v>
      </c>
      <c r="D1985" s="43" t="n">
        <v>16</v>
      </c>
      <c r="E1985" s="44" t="n">
        <v>841.16632</v>
      </c>
    </row>
    <row r="1986">
      <c r="A1986" s="39">
        <f>_xlfn.XLOOKUP(17844,Trip[shape_id],Trip[shape_id],"Não encontrado")</f>
        <v/>
      </c>
      <c r="B1986" s="40" t="n">
        <v>-23.598333</v>
      </c>
      <c r="C1986" s="40" t="n">
        <v>-46.636028</v>
      </c>
      <c r="D1986" s="40" t="n">
        <v>17</v>
      </c>
      <c r="E1986" s="41" t="n">
        <v>865.9234</v>
      </c>
    </row>
    <row r="1987">
      <c r="A1987" s="42">
        <f>_xlfn.XLOOKUP(17844,Trip[shape_id],Trip[shape_id],"Não encontrado")</f>
        <v/>
      </c>
      <c r="B1987" s="43" t="n">
        <v>-23.598399</v>
      </c>
      <c r="C1987" s="43" t="n">
        <v>-46.636353</v>
      </c>
      <c r="D1987" s="43" t="n">
        <v>18</v>
      </c>
      <c r="E1987" s="44" t="n">
        <v>899.89044</v>
      </c>
    </row>
    <row r="1988">
      <c r="A1988" s="39">
        <f>_xlfn.XLOOKUP(17844,Trip[shape_id],Trip[shape_id],"Não encontrado")</f>
        <v/>
      </c>
      <c r="B1988" s="40" t="n">
        <v>-23.598453</v>
      </c>
      <c r="C1988" s="40" t="n">
        <v>-46.636627</v>
      </c>
      <c r="D1988" s="40" t="n">
        <v>19</v>
      </c>
      <c r="E1988" s="41" t="n">
        <v>928.48859</v>
      </c>
    </row>
    <row r="1989">
      <c r="A1989" s="42">
        <f>_xlfn.XLOOKUP(17844,Trip[shape_id],Trip[shape_id],"Não encontrado")</f>
        <v/>
      </c>
      <c r="B1989" s="43" t="n">
        <v>-23.598456</v>
      </c>
      <c r="C1989" s="43" t="n">
        <v>-46.636975</v>
      </c>
      <c r="D1989" s="43" t="n">
        <v>20</v>
      </c>
      <c r="E1989" s="44" t="n">
        <v>964.00873</v>
      </c>
    </row>
    <row r="1990">
      <c r="A1990" s="39">
        <f>_xlfn.XLOOKUP(17844,Trip[shape_id],Trip[shape_id],"Não encontrado")</f>
        <v/>
      </c>
      <c r="B1990" s="40" t="n">
        <v>-23.598446</v>
      </c>
      <c r="C1990" s="40" t="n">
        <v>-46.637393</v>
      </c>
      <c r="D1990" s="40" t="n">
        <v>21</v>
      </c>
      <c r="E1990" s="41" t="n">
        <v>1006.6863</v>
      </c>
    </row>
    <row r="1991">
      <c r="A1991" s="42">
        <f>_xlfn.XLOOKUP(17844,Trip[shape_id],Trip[shape_id],"Não encontrado")</f>
        <v/>
      </c>
      <c r="B1991" s="43" t="n">
        <v>-23.598659</v>
      </c>
      <c r="C1991" s="43" t="n">
        <v>-46.637928</v>
      </c>
      <c r="D1991" s="43" t="n">
        <v>22</v>
      </c>
      <c r="E1991" s="44" t="n">
        <v>1066.1689</v>
      </c>
    </row>
    <row r="1992">
      <c r="A1992" s="39">
        <f>_xlfn.XLOOKUP(17844,Trip[shape_id],Trip[shape_id],"Não encontrado")</f>
        <v/>
      </c>
      <c r="B1992" s="40" t="n">
        <v>-23.598669</v>
      </c>
      <c r="C1992" s="40" t="n">
        <v>-46.63899</v>
      </c>
      <c r="D1992" s="40" t="n">
        <v>23</v>
      </c>
      <c r="E1992" s="41" t="n">
        <v>1174.5675</v>
      </c>
    </row>
    <row r="1993">
      <c r="A1993" s="42">
        <f>_xlfn.XLOOKUP(17844,Trip[shape_id],Trip[shape_id],"Não encontrado")</f>
        <v/>
      </c>
      <c r="B1993" s="43" t="n">
        <v>-23.598668</v>
      </c>
      <c r="C1993" s="43" t="n">
        <v>-46.640664</v>
      </c>
      <c r="D1993" s="43" t="n">
        <v>24</v>
      </c>
      <c r="E1993" s="44" t="n">
        <v>1345.4241</v>
      </c>
    </row>
    <row r="1994">
      <c r="A1994" s="39">
        <f>_xlfn.XLOOKUP(17844,Trip[shape_id],Trip[shape_id],"Não encontrado")</f>
        <v/>
      </c>
      <c r="B1994" s="40" t="n">
        <v>-23.598676</v>
      </c>
      <c r="C1994" s="40" t="n">
        <v>-46.641859</v>
      </c>
      <c r="D1994" s="40" t="n">
        <v>25</v>
      </c>
      <c r="E1994" s="41" t="n">
        <v>1467.3948</v>
      </c>
    </row>
    <row r="1995">
      <c r="A1995" s="42">
        <f>_xlfn.XLOOKUP(17844,Trip[shape_id],Trip[shape_id],"Não encontrado")</f>
        <v/>
      </c>
      <c r="B1995" s="43" t="n">
        <v>-23.598601</v>
      </c>
      <c r="C1995" s="43" t="n">
        <v>-46.643389</v>
      </c>
      <c r="D1995" s="43" t="n">
        <v>26</v>
      </c>
      <c r="E1995" s="44" t="n">
        <v>1623.7748</v>
      </c>
    </row>
    <row r="1996">
      <c r="A1996" s="39">
        <f>_xlfn.XLOOKUP(17844,Trip[shape_id],Trip[shape_id],"Não encontrado")</f>
        <v/>
      </c>
      <c r="B1996" s="40" t="n">
        <v>-23.598491</v>
      </c>
      <c r="C1996" s="40" t="n">
        <v>-46.645308</v>
      </c>
      <c r="D1996" s="40" t="n">
        <v>27</v>
      </c>
      <c r="E1996" s="41" t="n">
        <v>1820.0159</v>
      </c>
    </row>
    <row r="1997">
      <c r="A1997" s="42">
        <f>_xlfn.XLOOKUP(17844,Trip[shape_id],Trip[shape_id],"Não encontrado")</f>
        <v/>
      </c>
      <c r="B1997" s="43" t="n">
        <v>-23.598387</v>
      </c>
      <c r="C1997" s="43" t="n">
        <v>-46.645549</v>
      </c>
      <c r="D1997" s="43" t="n">
        <v>28</v>
      </c>
      <c r="E1997" s="44" t="n">
        <v>1847.1766</v>
      </c>
    </row>
    <row r="1998">
      <c r="A1998" s="39">
        <f>_xlfn.XLOOKUP(17844,Trip[shape_id],Trip[shape_id],"Não encontrado")</f>
        <v/>
      </c>
      <c r="B1998" s="40" t="n">
        <v>-23.59833</v>
      </c>
      <c r="C1998" s="40" t="n">
        <v>-46.646285</v>
      </c>
      <c r="D1998" s="40" t="n">
        <v>29</v>
      </c>
      <c r="E1998" s="41" t="n">
        <v>1922.5613</v>
      </c>
    </row>
    <row r="1999">
      <c r="A1999" s="42">
        <f>_xlfn.XLOOKUP(17844,Trip[shape_id],Trip[shape_id],"Não encontrado")</f>
        <v/>
      </c>
      <c r="B1999" s="43" t="n">
        <v>-23.598212</v>
      </c>
      <c r="C1999" s="43" t="n">
        <v>-46.647739</v>
      </c>
      <c r="D1999" s="43" t="n">
        <v>30</v>
      </c>
      <c r="E1999" s="44" t="n">
        <v>2071.5383</v>
      </c>
    </row>
    <row r="2000">
      <c r="A2000" s="39">
        <f>_xlfn.XLOOKUP(17844,Trip[shape_id],Trip[shape_id],"Não encontrado")</f>
        <v/>
      </c>
      <c r="B2000" s="40" t="n">
        <v>-23.597919</v>
      </c>
      <c r="C2000" s="40" t="n">
        <v>-46.651367</v>
      </c>
      <c r="D2000" s="40" t="n">
        <v>31</v>
      </c>
      <c r="E2000" s="41" t="n">
        <v>2443.2505</v>
      </c>
    </row>
    <row r="2001">
      <c r="A2001" s="42">
        <f>_xlfn.XLOOKUP(17844,Trip[shape_id],Trip[shape_id],"Não encontrado")</f>
        <v/>
      </c>
      <c r="B2001" s="43" t="n">
        <v>-23.597829</v>
      </c>
      <c r="C2001" s="43" t="n">
        <v>-46.652297</v>
      </c>
      <c r="D2001" s="43" t="n">
        <v>32</v>
      </c>
      <c r="E2001" s="44" t="n">
        <v>2538.6934</v>
      </c>
    </row>
    <row r="2002">
      <c r="A2002" s="39">
        <f>_xlfn.XLOOKUP(17844,Trip[shape_id],Trip[shape_id],"Não encontrado")</f>
        <v/>
      </c>
      <c r="B2002" s="40" t="n">
        <v>-23.597704</v>
      </c>
      <c r="C2002" s="40" t="n">
        <v>-46.653603</v>
      </c>
      <c r="D2002" s="40" t="n">
        <v>33</v>
      </c>
      <c r="E2002" s="41" t="n">
        <v>2672.708</v>
      </c>
    </row>
    <row r="2003">
      <c r="A2003" s="42">
        <f>_xlfn.XLOOKUP(17844,Trip[shape_id],Trip[shape_id],"Não encontrado")</f>
        <v/>
      </c>
      <c r="B2003" s="43" t="n">
        <v>-23.597619</v>
      </c>
      <c r="C2003" s="43" t="n">
        <v>-46.65449</v>
      </c>
      <c r="D2003" s="43" t="n">
        <v>34</v>
      </c>
      <c r="E2003" s="44" t="n">
        <v>2763.7283</v>
      </c>
    </row>
    <row r="2004">
      <c r="A2004" s="39">
        <f>_xlfn.XLOOKUP(17844,Trip[shape_id],Trip[shape_id],"Não encontrado")</f>
        <v/>
      </c>
      <c r="B2004" s="40" t="n">
        <v>-23.597762</v>
      </c>
      <c r="C2004" s="40" t="n">
        <v>-46.654992</v>
      </c>
      <c r="D2004" s="40" t="n">
        <v>35</v>
      </c>
      <c r="E2004" s="41" t="n">
        <v>2817.3572</v>
      </c>
    </row>
    <row r="2005">
      <c r="A2005" s="42">
        <f>_xlfn.XLOOKUP(17844,Trip[shape_id],Trip[shape_id],"Não encontrado")</f>
        <v/>
      </c>
      <c r="B2005" s="43" t="n">
        <v>-23.597873</v>
      </c>
      <c r="C2005" s="43" t="n">
        <v>-46.655374</v>
      </c>
      <c r="D2005" s="43" t="n">
        <v>36</v>
      </c>
      <c r="E2005" s="44" t="n">
        <v>2858.2385</v>
      </c>
    </row>
    <row r="2006">
      <c r="A2006" s="39">
        <f>_xlfn.XLOOKUP(17844,Trip[shape_id],Trip[shape_id],"Não encontrado")</f>
        <v/>
      </c>
      <c r="B2006" s="40" t="n">
        <v>-23.597992</v>
      </c>
      <c r="C2006" s="40" t="n">
        <v>-46.65582</v>
      </c>
      <c r="D2006" s="40" t="n">
        <v>37</v>
      </c>
      <c r="E2006" s="41" t="n">
        <v>2905.6292</v>
      </c>
    </row>
    <row r="2007">
      <c r="A2007" s="42">
        <f>_xlfn.XLOOKUP(17844,Trip[shape_id],Trip[shape_id],"Não encontrado")</f>
        <v/>
      </c>
      <c r="B2007" s="43" t="n">
        <v>-23.598205</v>
      </c>
      <c r="C2007" s="43" t="n">
        <v>-46.656286</v>
      </c>
      <c r="D2007" s="43" t="n">
        <v>38</v>
      </c>
      <c r="E2007" s="44" t="n">
        <v>2958.7205</v>
      </c>
    </row>
    <row r="2008">
      <c r="A2008" s="39">
        <f>_xlfn.XLOOKUP(17844,Trip[shape_id],Trip[shape_id],"Não encontrado")</f>
        <v/>
      </c>
      <c r="B2008" s="40" t="n">
        <v>-23.598523</v>
      </c>
      <c r="C2008" s="40" t="n">
        <v>-46.656894</v>
      </c>
      <c r="D2008" s="40" t="n">
        <v>39</v>
      </c>
      <c r="E2008" s="41" t="n">
        <v>3030.0737</v>
      </c>
    </row>
    <row r="2009">
      <c r="A2009" s="42">
        <f>_xlfn.XLOOKUP(17844,Trip[shape_id],Trip[shape_id],"Não encontrado")</f>
        <v/>
      </c>
      <c r="B2009" s="43" t="n">
        <v>-23.599097</v>
      </c>
      <c r="C2009" s="43" t="n">
        <v>-46.657671</v>
      </c>
      <c r="D2009" s="43" t="n">
        <v>40</v>
      </c>
      <c r="E2009" s="44" t="n">
        <v>3131.7131</v>
      </c>
    </row>
    <row r="2010">
      <c r="A2010" s="39">
        <f>_xlfn.XLOOKUP(17844,Trip[shape_id],Trip[shape_id],"Não encontrado")</f>
        <v/>
      </c>
      <c r="B2010" s="40" t="n">
        <v>-23.600039</v>
      </c>
      <c r="C2010" s="40" t="n">
        <v>-46.658614</v>
      </c>
      <c r="D2010" s="40" t="n">
        <v>41</v>
      </c>
      <c r="E2010" s="41" t="n">
        <v>3273.6565</v>
      </c>
    </row>
    <row r="2011">
      <c r="A2011" s="42">
        <f>_xlfn.XLOOKUP(17844,Trip[shape_id],Trip[shape_id],"Não encontrado")</f>
        <v/>
      </c>
      <c r="B2011" s="43" t="n">
        <v>-23.600912</v>
      </c>
      <c r="C2011" s="43" t="n">
        <v>-46.659491</v>
      </c>
      <c r="D2011" s="43" t="n">
        <v>42</v>
      </c>
      <c r="E2011" s="44" t="n">
        <v>3405.415</v>
      </c>
    </row>
    <row r="2012">
      <c r="A2012" s="39">
        <f>_xlfn.XLOOKUP(17844,Trip[shape_id],Trip[shape_id],"Não encontrado")</f>
        <v/>
      </c>
      <c r="B2012" s="40" t="n">
        <v>-23.601682</v>
      </c>
      <c r="C2012" s="40" t="n">
        <v>-46.660265</v>
      </c>
      <c r="D2012" s="40" t="n">
        <v>43</v>
      </c>
      <c r="E2012" s="41" t="n">
        <v>3521.6606</v>
      </c>
    </row>
    <row r="2013">
      <c r="A2013" s="42">
        <f>_xlfn.XLOOKUP(17844,Trip[shape_id],Trip[shape_id],"Não encontrado")</f>
        <v/>
      </c>
      <c r="B2013" s="43" t="n">
        <v>-23.602129</v>
      </c>
      <c r="C2013" s="43" t="n">
        <v>-46.6608</v>
      </c>
      <c r="D2013" s="43" t="n">
        <v>44</v>
      </c>
      <c r="E2013" s="44" t="n">
        <v>3595.3655</v>
      </c>
    </row>
    <row r="2014">
      <c r="A2014" s="39">
        <f>_xlfn.XLOOKUP(17844,Trip[shape_id],Trip[shape_id],"Não encontrado")</f>
        <v/>
      </c>
      <c r="B2014" s="40" t="n">
        <v>-23.602541</v>
      </c>
      <c r="C2014" s="40" t="n">
        <v>-46.661218</v>
      </c>
      <c r="D2014" s="40" t="n">
        <v>45</v>
      </c>
      <c r="E2014" s="41" t="n">
        <v>3657.8325</v>
      </c>
    </row>
    <row r="2015">
      <c r="A2015" s="42">
        <f>_xlfn.XLOOKUP(17844,Trip[shape_id],Trip[shape_id],"Não encontrado")</f>
        <v/>
      </c>
      <c r="B2015" s="43" t="n">
        <v>-23.602844</v>
      </c>
      <c r="C2015" s="43" t="n">
        <v>-46.661516</v>
      </c>
      <c r="D2015" s="43" t="n">
        <v>46</v>
      </c>
      <c r="E2015" s="44" t="n">
        <v>3703.1226</v>
      </c>
    </row>
    <row r="2016">
      <c r="A2016" s="39">
        <f>_xlfn.XLOOKUP(17844,Trip[shape_id],Trip[shape_id],"Não encontrado")</f>
        <v/>
      </c>
      <c r="B2016" s="40" t="n">
        <v>-23.603331</v>
      </c>
      <c r="C2016" s="40" t="n">
        <v>-46.661941</v>
      </c>
      <c r="D2016" s="40" t="n">
        <v>47</v>
      </c>
      <c r="E2016" s="41" t="n">
        <v>3772.3369</v>
      </c>
    </row>
    <row r="2017">
      <c r="A2017" s="42">
        <f>_xlfn.XLOOKUP(17844,Trip[shape_id],Trip[shape_id],"Não encontrado")</f>
        <v/>
      </c>
      <c r="B2017" s="43" t="n">
        <v>-23.603646</v>
      </c>
      <c r="C2017" s="43" t="n">
        <v>-46.662254</v>
      </c>
      <c r="D2017" s="43" t="n">
        <v>48</v>
      </c>
      <c r="E2017" s="44" t="n">
        <v>3819.6401</v>
      </c>
    </row>
    <row r="2018">
      <c r="A2018" s="39">
        <f>_xlfn.XLOOKUP(17844,Trip[shape_id],Trip[shape_id],"Não encontrado")</f>
        <v/>
      </c>
      <c r="B2018" s="40" t="n">
        <v>-23.604073</v>
      </c>
      <c r="C2018" s="40" t="n">
        <v>-46.662705</v>
      </c>
      <c r="D2018" s="40" t="n">
        <v>49</v>
      </c>
      <c r="E2018" s="41" t="n">
        <v>3885.6338</v>
      </c>
    </row>
    <row r="2019">
      <c r="A2019" s="42">
        <f>_xlfn.XLOOKUP(17844,Trip[shape_id],Trip[shape_id],"Não encontrado")</f>
        <v/>
      </c>
      <c r="B2019" s="43" t="n">
        <v>-23.604423</v>
      </c>
      <c r="C2019" s="43" t="n">
        <v>-46.663001</v>
      </c>
      <c r="D2019" s="43" t="n">
        <v>50</v>
      </c>
      <c r="E2019" s="44" t="n">
        <v>3934.7788</v>
      </c>
    </row>
    <row r="2020">
      <c r="A2020" s="39">
        <f>_xlfn.XLOOKUP(17844,Trip[shape_id],Trip[shape_id],"Não encontrado")</f>
        <v/>
      </c>
      <c r="B2020" s="40" t="n">
        <v>-23.604492</v>
      </c>
      <c r="C2020" s="40" t="n">
        <v>-46.66323</v>
      </c>
      <c r="D2020" s="40" t="n">
        <v>51</v>
      </c>
      <c r="E2020" s="41" t="n">
        <v>3959.3682</v>
      </c>
    </row>
    <row r="2021">
      <c r="A2021" s="42">
        <f>_xlfn.XLOOKUP(17844,Trip[shape_id],Trip[shape_id],"Não encontrado")</f>
        <v/>
      </c>
      <c r="B2021" s="43" t="n">
        <v>-23.604528</v>
      </c>
      <c r="C2021" s="43" t="n">
        <v>-46.66328</v>
      </c>
      <c r="D2021" s="43" t="n">
        <v>52</v>
      </c>
      <c r="E2021" s="44" t="n">
        <v>3965.8435</v>
      </c>
    </row>
    <row r="2022">
      <c r="A2022" s="39">
        <f>_xlfn.XLOOKUP(17844,Trip[shape_id],Trip[shape_id],"Não encontrado")</f>
        <v/>
      </c>
      <c r="B2022" s="40" t="n">
        <v>-23.605113</v>
      </c>
      <c r="C2022" s="40" t="n">
        <v>-46.663831</v>
      </c>
      <c r="D2022" s="40" t="n">
        <v>53</v>
      </c>
      <c r="E2022" s="41" t="n">
        <v>4051.635</v>
      </c>
    </row>
    <row r="2023">
      <c r="A2023" s="42">
        <f>_xlfn.XLOOKUP(17844,Trip[shape_id],Trip[shape_id],"Não encontrado")</f>
        <v/>
      </c>
      <c r="B2023" s="43" t="n">
        <v>-23.605704</v>
      </c>
      <c r="C2023" s="43" t="n">
        <v>-46.664373</v>
      </c>
      <c r="D2023" s="43" t="n">
        <v>54</v>
      </c>
      <c r="E2023" s="44" t="n">
        <v>4137.3335</v>
      </c>
    </row>
    <row r="2024">
      <c r="A2024" s="39">
        <f>_xlfn.XLOOKUP(17844,Trip[shape_id],Trip[shape_id],"Não encontrado")</f>
        <v/>
      </c>
      <c r="B2024" s="40" t="n">
        <v>-23.606361</v>
      </c>
      <c r="C2024" s="40" t="n">
        <v>-46.665001</v>
      </c>
      <c r="D2024" s="40" t="n">
        <v>55</v>
      </c>
      <c r="E2024" s="41" t="n">
        <v>4234.3003</v>
      </c>
    </row>
    <row r="2025">
      <c r="A2025" s="42">
        <f>_xlfn.XLOOKUP(17844,Trip[shape_id],Trip[shape_id],"Não encontrado")</f>
        <v/>
      </c>
      <c r="B2025" s="43" t="n">
        <v>-23.60676</v>
      </c>
      <c r="C2025" s="43" t="n">
        <v>-46.665397</v>
      </c>
      <c r="D2025" s="43" t="n">
        <v>56</v>
      </c>
      <c r="E2025" s="44" t="n">
        <v>4294.1851</v>
      </c>
    </row>
    <row r="2026">
      <c r="A2026" s="39">
        <f>_xlfn.XLOOKUP(17844,Trip[shape_id],Trip[shape_id],"Não encontrado")</f>
        <v/>
      </c>
      <c r="B2026" s="40" t="n">
        <v>-23.607408</v>
      </c>
      <c r="C2026" s="40" t="n">
        <v>-46.666023</v>
      </c>
      <c r="D2026" s="40" t="n">
        <v>57</v>
      </c>
      <c r="E2026" s="41" t="n">
        <v>4390.27</v>
      </c>
    </row>
    <row r="2027">
      <c r="A2027" s="42">
        <f>_xlfn.XLOOKUP(17844,Trip[shape_id],Trip[shape_id],"Não encontrado")</f>
        <v/>
      </c>
      <c r="B2027" s="43" t="n">
        <v>-23.608273</v>
      </c>
      <c r="C2027" s="43" t="n">
        <v>-46.666863</v>
      </c>
      <c r="D2027" s="43" t="n">
        <v>58</v>
      </c>
      <c r="E2027" s="44" t="n">
        <v>4518.8281</v>
      </c>
    </row>
    <row r="2028">
      <c r="A2028" s="39">
        <f>_xlfn.XLOOKUP(17844,Trip[shape_id],Trip[shape_id],"Não encontrado")</f>
        <v/>
      </c>
      <c r="B2028" s="40" t="n">
        <v>-23.608693</v>
      </c>
      <c r="C2028" s="40" t="n">
        <v>-46.667274</v>
      </c>
      <c r="D2028" s="40" t="n">
        <v>59</v>
      </c>
      <c r="E2028" s="41" t="n">
        <v>4581.4634</v>
      </c>
    </row>
    <row r="2029">
      <c r="A2029" s="42">
        <f>_xlfn.XLOOKUP(17844,Trip[shape_id],Trip[shape_id],"Não encontrado")</f>
        <v/>
      </c>
      <c r="B2029" s="43" t="n">
        <v>-23.608924</v>
      </c>
      <c r="C2029" s="43" t="n">
        <v>-46.667554</v>
      </c>
      <c r="D2029" s="43" t="n">
        <v>60</v>
      </c>
      <c r="E2029" s="44" t="n">
        <v>4619.8184</v>
      </c>
    </row>
    <row r="2030">
      <c r="A2030" s="39">
        <f>_xlfn.XLOOKUP(17844,Trip[shape_id],Trip[shape_id],"Não encontrado")</f>
        <v/>
      </c>
      <c r="B2030" s="40" t="n">
        <v>-23.609193</v>
      </c>
      <c r="C2030" s="40" t="n">
        <v>-46.667875</v>
      </c>
      <c r="D2030" s="40" t="n">
        <v>61</v>
      </c>
      <c r="E2030" s="41" t="n">
        <v>4664.0996</v>
      </c>
    </row>
    <row r="2031">
      <c r="A2031" s="42">
        <f>_xlfn.XLOOKUP(17844,Trip[shape_id],Trip[shape_id],"Não encontrado")</f>
        <v/>
      </c>
      <c r="B2031" s="43" t="n">
        <v>-23.609335</v>
      </c>
      <c r="C2031" s="43" t="n">
        <v>-46.66804</v>
      </c>
      <c r="D2031" s="43" t="n">
        <v>62</v>
      </c>
      <c r="E2031" s="44" t="n">
        <v>4687.1406</v>
      </c>
    </row>
    <row r="2032">
      <c r="A2032" s="39">
        <f>_xlfn.XLOOKUP(17844,Trip[shape_id],Trip[shape_id],"Não encontrado")</f>
        <v/>
      </c>
      <c r="B2032" s="40" t="n">
        <v>-23.609537</v>
      </c>
      <c r="C2032" s="40" t="n">
        <v>-46.668283</v>
      </c>
      <c r="D2032" s="40" t="n">
        <v>63</v>
      </c>
      <c r="E2032" s="41" t="n">
        <v>4720.54</v>
      </c>
    </row>
    <row r="2033">
      <c r="A2033" s="42">
        <f>_xlfn.XLOOKUP(17844,Trip[shape_id],Trip[shape_id],"Não encontrado")</f>
        <v/>
      </c>
      <c r="B2033" s="43" t="n">
        <v>-23.609758</v>
      </c>
      <c r="C2033" s="43" t="n">
        <v>-46.668574</v>
      </c>
      <c r="D2033" s="43" t="n">
        <v>64</v>
      </c>
      <c r="E2033" s="44" t="n">
        <v>4759.0249</v>
      </c>
    </row>
    <row r="2034">
      <c r="A2034" s="39">
        <f>_xlfn.XLOOKUP(17844,Trip[shape_id],Trip[shape_id],"Não encontrado")</f>
        <v/>
      </c>
      <c r="B2034" s="40" t="n">
        <v>-23.610051</v>
      </c>
      <c r="C2034" s="40" t="n">
        <v>-46.668958</v>
      </c>
      <c r="D2034" s="40" t="n">
        <v>65</v>
      </c>
      <c r="E2034" s="41" t="n">
        <v>4809.9058</v>
      </c>
    </row>
    <row r="2035">
      <c r="A2035" s="42">
        <f>_xlfn.XLOOKUP(17844,Trip[shape_id],Trip[shape_id],"Não encontrado")</f>
        <v/>
      </c>
      <c r="B2035" s="43" t="n">
        <v>-23.610416</v>
      </c>
      <c r="C2035" s="43" t="n">
        <v>-46.669438</v>
      </c>
      <c r="D2035" s="43" t="n">
        <v>66</v>
      </c>
      <c r="E2035" s="44" t="n">
        <v>4873.4185</v>
      </c>
    </row>
    <row r="2036">
      <c r="A2036" s="39">
        <f>_xlfn.XLOOKUP(17844,Trip[shape_id],Trip[shape_id],"Não encontrado")</f>
        <v/>
      </c>
      <c r="B2036" s="40" t="n">
        <v>-23.610555</v>
      </c>
      <c r="C2036" s="40" t="n">
        <v>-46.669728</v>
      </c>
      <c r="D2036" s="40" t="n">
        <v>67</v>
      </c>
      <c r="E2036" s="41" t="n">
        <v>4906.7788</v>
      </c>
    </row>
    <row r="2037">
      <c r="A2037" s="42">
        <f>_xlfn.XLOOKUP(17844,Trip[shape_id],Trip[shape_id],"Não encontrado")</f>
        <v/>
      </c>
      <c r="B2037" s="43" t="n">
        <v>-23.610839</v>
      </c>
      <c r="C2037" s="43" t="n">
        <v>-46.670305</v>
      </c>
      <c r="D2037" s="43" t="n">
        <v>68</v>
      </c>
      <c r="E2037" s="44" t="n">
        <v>4973.5386</v>
      </c>
    </row>
    <row r="2038">
      <c r="A2038" s="39">
        <f>_xlfn.XLOOKUP(17844,Trip[shape_id],Trip[shape_id],"Não encontrado")</f>
        <v/>
      </c>
      <c r="B2038" s="40" t="n">
        <v>-23.611244</v>
      </c>
      <c r="C2038" s="40" t="n">
        <v>-46.671132</v>
      </c>
      <c r="D2038" s="40" t="n">
        <v>69</v>
      </c>
      <c r="E2038" s="41" t="n">
        <v>5069.1172</v>
      </c>
    </row>
    <row r="2039">
      <c r="A2039" s="42">
        <f>_xlfn.XLOOKUP(17844,Trip[shape_id],Trip[shape_id],"Não encontrado")</f>
        <v/>
      </c>
      <c r="B2039" s="43" t="n">
        <v>-23.611466</v>
      </c>
      <c r="C2039" s="43" t="n">
        <v>-46.671588</v>
      </c>
      <c r="D2039" s="43" t="n">
        <v>70</v>
      </c>
      <c r="E2039" s="44" t="n">
        <v>5121.75</v>
      </c>
    </row>
    <row r="2040">
      <c r="A2040" s="39">
        <f>_xlfn.XLOOKUP(17844,Trip[shape_id],Trip[shape_id],"Não encontrado")</f>
        <v/>
      </c>
      <c r="B2040" s="40" t="n">
        <v>-23.611629</v>
      </c>
      <c r="C2040" s="40" t="n">
        <v>-46.672068</v>
      </c>
      <c r="D2040" s="40" t="n">
        <v>71</v>
      </c>
      <c r="E2040" s="41" t="n">
        <v>5173.957</v>
      </c>
    </row>
    <row r="2041">
      <c r="A2041" s="42">
        <f>_xlfn.XLOOKUP(17844,Trip[shape_id],Trip[shape_id],"Não encontrado")</f>
        <v/>
      </c>
      <c r="B2041" s="43" t="n">
        <v>-23.611822</v>
      </c>
      <c r="C2041" s="43" t="n">
        <v>-46.672648</v>
      </c>
      <c r="D2041" s="43" t="n">
        <v>72</v>
      </c>
      <c r="E2041" s="44" t="n">
        <v>5236.8901</v>
      </c>
    </row>
    <row r="2042">
      <c r="A2042" s="39">
        <f>_xlfn.XLOOKUP(17844,Trip[shape_id],Trip[shape_id],"Não encontrado")</f>
        <v/>
      </c>
      <c r="B2042" s="40" t="n">
        <v>-23.612051</v>
      </c>
      <c r="C2042" s="40" t="n">
        <v>-46.673321</v>
      </c>
      <c r="D2042" s="40" t="n">
        <v>73</v>
      </c>
      <c r="E2042" s="41" t="n">
        <v>5310.106</v>
      </c>
    </row>
    <row r="2043">
      <c r="A2043" s="42">
        <f>_xlfn.XLOOKUP(17844,Trip[shape_id],Trip[shape_id],"Não encontrado")</f>
        <v/>
      </c>
      <c r="B2043" s="43" t="n">
        <v>-23.612346</v>
      </c>
      <c r="C2043" s="43" t="n">
        <v>-46.67421</v>
      </c>
      <c r="D2043" s="43" t="n">
        <v>74</v>
      </c>
      <c r="E2043" s="44" t="n">
        <v>5406.5356</v>
      </c>
    </row>
    <row r="2044">
      <c r="A2044" s="39">
        <f>_xlfn.XLOOKUP(17844,Trip[shape_id],Trip[shape_id],"Não encontrado")</f>
        <v/>
      </c>
      <c r="B2044" s="40" t="n">
        <v>-23.6125</v>
      </c>
      <c r="C2044" s="40" t="n">
        <v>-46.674661</v>
      </c>
      <c r="D2044" s="40" t="n">
        <v>75</v>
      </c>
      <c r="E2044" s="41" t="n">
        <v>5455.6206</v>
      </c>
    </row>
    <row r="2045">
      <c r="A2045" s="42">
        <f>_xlfn.XLOOKUP(17844,Trip[shape_id],Trip[shape_id],"Não encontrado")</f>
        <v/>
      </c>
      <c r="B2045" s="43" t="n">
        <v>-23.612658</v>
      </c>
      <c r="C2045" s="43" t="n">
        <v>-46.675142</v>
      </c>
      <c r="D2045" s="43" t="n">
        <v>76</v>
      </c>
      <c r="E2045" s="44" t="n">
        <v>5507.7344</v>
      </c>
    </row>
    <row r="2046">
      <c r="A2046" s="39">
        <f>_xlfn.XLOOKUP(17844,Trip[shape_id],Trip[shape_id],"Não encontrado")</f>
        <v/>
      </c>
      <c r="B2046" s="40" t="n">
        <v>-23.612781</v>
      </c>
      <c r="C2046" s="40" t="n">
        <v>-46.675508</v>
      </c>
      <c r="D2046" s="40" t="n">
        <v>77</v>
      </c>
      <c r="E2046" s="41" t="n">
        <v>5547.4927</v>
      </c>
    </row>
    <row r="2047">
      <c r="A2047" s="42">
        <f>_xlfn.XLOOKUP(17844,Trip[shape_id],Trip[shape_id],"Não encontrado")</f>
        <v/>
      </c>
      <c r="B2047" s="43" t="n">
        <v>-23.612933</v>
      </c>
      <c r="C2047" s="43" t="n">
        <v>-46.675998</v>
      </c>
      <c r="D2047" s="43" t="n">
        <v>78</v>
      </c>
      <c r="E2047" s="44" t="n">
        <v>5600.2568</v>
      </c>
    </row>
    <row r="2048">
      <c r="A2048" s="39">
        <f>_xlfn.XLOOKUP(17844,Trip[shape_id],Trip[shape_id],"Não encontrado")</f>
        <v/>
      </c>
      <c r="B2048" s="40" t="n">
        <v>-23.613054</v>
      </c>
      <c r="C2048" s="40" t="n">
        <v>-46.676366</v>
      </c>
      <c r="D2048" s="40" t="n">
        <v>79</v>
      </c>
      <c r="E2048" s="41" t="n">
        <v>5640.1318</v>
      </c>
    </row>
    <row r="2049">
      <c r="A2049" s="42">
        <f>_xlfn.XLOOKUP(17844,Trip[shape_id],Trip[shape_id],"Não encontrado")</f>
        <v/>
      </c>
      <c r="B2049" s="43" t="n">
        <v>-23.613149</v>
      </c>
      <c r="C2049" s="43" t="n">
        <v>-46.676778</v>
      </c>
      <c r="D2049" s="43" t="n">
        <v>80</v>
      </c>
      <c r="E2049" s="44" t="n">
        <v>5683.4746</v>
      </c>
    </row>
    <row r="2050">
      <c r="A2050" s="39">
        <f>_xlfn.XLOOKUP(17844,Trip[shape_id],Trip[shape_id],"Não encontrado")</f>
        <v/>
      </c>
      <c r="B2050" s="40" t="n">
        <v>-23.613329</v>
      </c>
      <c r="C2050" s="40" t="n">
        <v>-46.677243</v>
      </c>
      <c r="D2050" s="40" t="n">
        <v>81</v>
      </c>
      <c r="E2050" s="41" t="n">
        <v>5734.9468</v>
      </c>
    </row>
    <row r="2051">
      <c r="A2051" s="42">
        <f>_xlfn.XLOOKUP(17844,Trip[shape_id],Trip[shape_id],"Não encontrado")</f>
        <v/>
      </c>
      <c r="B2051" s="43" t="n">
        <v>-23.613669</v>
      </c>
      <c r="C2051" s="43" t="n">
        <v>-46.677997</v>
      </c>
      <c r="D2051" s="43" t="n">
        <v>82</v>
      </c>
      <c r="E2051" s="44" t="n">
        <v>5820.6147</v>
      </c>
    </row>
    <row r="2052">
      <c r="A2052" s="39">
        <f>_xlfn.XLOOKUP(17844,Trip[shape_id],Trip[shape_id],"Não encontrado")</f>
        <v/>
      </c>
      <c r="B2052" s="40" t="n">
        <v>-23.613934</v>
      </c>
      <c r="C2052" s="40" t="n">
        <v>-46.678358</v>
      </c>
      <c r="D2052" s="40" t="n">
        <v>83</v>
      </c>
      <c r="E2052" s="41" t="n">
        <v>5867.7173</v>
      </c>
    </row>
    <row r="2053">
      <c r="A2053" s="42">
        <f>_xlfn.XLOOKUP(17844,Trip[shape_id],Trip[shape_id],"Não encontrado")</f>
        <v/>
      </c>
      <c r="B2053" s="43" t="n">
        <v>-23.614142</v>
      </c>
      <c r="C2053" s="43" t="n">
        <v>-46.678564</v>
      </c>
      <c r="D2053" s="43" t="n">
        <v>84</v>
      </c>
      <c r="E2053" s="44" t="n">
        <v>5898.9043</v>
      </c>
    </row>
    <row r="2054">
      <c r="A2054" s="39">
        <f>_xlfn.XLOOKUP(17844,Trip[shape_id],Trip[shape_id],"Não encontrado")</f>
        <v/>
      </c>
      <c r="B2054" s="40" t="n">
        <v>-23.614275</v>
      </c>
      <c r="C2054" s="40" t="n">
        <v>-46.678678</v>
      </c>
      <c r="D2054" s="40" t="n">
        <v>85</v>
      </c>
      <c r="E2054" s="41" t="n">
        <v>5917.6743</v>
      </c>
    </row>
    <row r="2055">
      <c r="A2055" s="42">
        <f>_xlfn.XLOOKUP(17844,Trip[shape_id],Trip[shape_id],"Não encontrado")</f>
        <v/>
      </c>
      <c r="B2055" s="43" t="n">
        <v>-23.614942</v>
      </c>
      <c r="C2055" s="43" t="n">
        <v>-46.679231</v>
      </c>
      <c r="D2055" s="43" t="n">
        <v>86</v>
      </c>
      <c r="E2055" s="44" t="n">
        <v>6010.6367</v>
      </c>
    </row>
    <row r="2056">
      <c r="A2056" s="39">
        <f>_xlfn.XLOOKUP(17844,Trip[shape_id],Trip[shape_id],"Não encontrado")</f>
        <v/>
      </c>
      <c r="B2056" s="40" t="n">
        <v>-23.615451</v>
      </c>
      <c r="C2056" s="40" t="n">
        <v>-46.679761</v>
      </c>
      <c r="D2056" s="40" t="n">
        <v>87</v>
      </c>
      <c r="E2056" s="41" t="n">
        <v>6088.7607</v>
      </c>
    </row>
    <row r="2057">
      <c r="A2057" s="42">
        <f>_xlfn.XLOOKUP(17844,Trip[shape_id],Trip[shape_id],"Não encontrado")</f>
        <v/>
      </c>
      <c r="B2057" s="43" t="n">
        <v>-23.615741</v>
      </c>
      <c r="C2057" s="43" t="n">
        <v>-46.679944</v>
      </c>
      <c r="D2057" s="43" t="n">
        <v>88</v>
      </c>
      <c r="E2057" s="44" t="n">
        <v>6125.9141</v>
      </c>
    </row>
    <row r="2058">
      <c r="A2058" s="39">
        <f>_xlfn.XLOOKUP(17844,Trip[shape_id],Trip[shape_id],"Não encontrado")</f>
        <v/>
      </c>
      <c r="B2058" s="40" t="n">
        <v>-23.615879</v>
      </c>
      <c r="C2058" s="40" t="n">
        <v>-46.680038</v>
      </c>
      <c r="D2058" s="40" t="n">
        <v>89</v>
      </c>
      <c r="E2058" s="41" t="n">
        <v>6143.959</v>
      </c>
    </row>
    <row r="2059">
      <c r="A2059" s="42">
        <f>_xlfn.XLOOKUP(17844,Trip[shape_id],Trip[shape_id],"Não encontrado")</f>
        <v/>
      </c>
      <c r="B2059" s="43" t="n">
        <v>-23.616132</v>
      </c>
      <c r="C2059" s="43" t="n">
        <v>-46.680244</v>
      </c>
      <c r="D2059" s="43" t="n">
        <v>90</v>
      </c>
      <c r="E2059" s="44" t="n">
        <v>6178.9888</v>
      </c>
    </row>
    <row r="2060">
      <c r="A2060" s="39">
        <f>_xlfn.XLOOKUP(17844,Trip[shape_id],Trip[shape_id],"Não encontrado")</f>
        <v/>
      </c>
      <c r="B2060" s="40" t="n">
        <v>-23.616441</v>
      </c>
      <c r="C2060" s="40" t="n">
        <v>-46.680465</v>
      </c>
      <c r="D2060" s="40" t="n">
        <v>91</v>
      </c>
      <c r="E2060" s="41" t="n">
        <v>6219.9746</v>
      </c>
    </row>
    <row r="2061">
      <c r="A2061" s="42">
        <f>_xlfn.XLOOKUP(17844,Trip[shape_id],Trip[shape_id],"Não encontrado")</f>
        <v/>
      </c>
      <c r="B2061" s="43" t="n">
        <v>-23.616725</v>
      </c>
      <c r="C2061" s="43" t="n">
        <v>-46.680677</v>
      </c>
      <c r="D2061" s="43" t="n">
        <v>92</v>
      </c>
      <c r="E2061" s="44" t="n">
        <v>6258.1509</v>
      </c>
    </row>
    <row r="2062">
      <c r="A2062" s="39">
        <f>_xlfn.XLOOKUP(17844,Trip[shape_id],Trip[shape_id],"Não encontrado")</f>
        <v/>
      </c>
      <c r="B2062" s="40" t="n">
        <v>-23.617016</v>
      </c>
      <c r="C2062" s="40" t="n">
        <v>-46.680859</v>
      </c>
      <c r="D2062" s="40" t="n">
        <v>93</v>
      </c>
      <c r="E2062" s="41" t="n">
        <v>6295.3486</v>
      </c>
    </row>
    <row r="2063">
      <c r="A2063" s="42">
        <f>_xlfn.XLOOKUP(17844,Trip[shape_id],Trip[shape_id],"Não encontrado")</f>
        <v/>
      </c>
      <c r="B2063" s="43" t="n">
        <v>-23.61721</v>
      </c>
      <c r="C2063" s="43" t="n">
        <v>-46.680999</v>
      </c>
      <c r="D2063" s="43" t="n">
        <v>94</v>
      </c>
      <c r="E2063" s="44" t="n">
        <v>6321.1514</v>
      </c>
    </row>
    <row r="2064">
      <c r="A2064" s="39">
        <f>_xlfn.XLOOKUP(17844,Trip[shape_id],Trip[shape_id],"Não encontrado")</f>
        <v/>
      </c>
      <c r="B2064" s="40" t="n">
        <v>-23.617592</v>
      </c>
      <c r="C2064" s="40" t="n">
        <v>-46.681354</v>
      </c>
      <c r="D2064" s="40" t="n">
        <v>95</v>
      </c>
      <c r="E2064" s="41" t="n">
        <v>6376.8506</v>
      </c>
    </row>
    <row r="2065">
      <c r="A2065" s="42">
        <f>_xlfn.XLOOKUP(17844,Trip[shape_id],Trip[shape_id],"Não encontrado")</f>
        <v/>
      </c>
      <c r="B2065" s="43" t="n">
        <v>-23.618327</v>
      </c>
      <c r="C2065" s="43" t="n">
        <v>-46.682042</v>
      </c>
      <c r="D2065" s="43" t="n">
        <v>96</v>
      </c>
      <c r="E2065" s="44" t="n">
        <v>6484.3491</v>
      </c>
    </row>
    <row r="2066">
      <c r="A2066" s="39">
        <f>_xlfn.XLOOKUP(17844,Trip[shape_id],Trip[shape_id],"Não encontrado")</f>
        <v/>
      </c>
      <c r="B2066" s="40" t="n">
        <v>-23.618897</v>
      </c>
      <c r="C2066" s="40" t="n">
        <v>-46.682524</v>
      </c>
      <c r="D2066" s="40" t="n">
        <v>97</v>
      </c>
      <c r="E2066" s="41" t="n">
        <v>6564.3784</v>
      </c>
    </row>
    <row r="2067">
      <c r="A2067" s="42">
        <f>_xlfn.XLOOKUP(17844,Trip[shape_id],Trip[shape_id],"Não encontrado")</f>
        <v/>
      </c>
      <c r="B2067" s="43" t="n">
        <v>-23.619479</v>
      </c>
      <c r="C2067" s="43" t="n">
        <v>-46.682914</v>
      </c>
      <c r="D2067" s="43" t="n">
        <v>98</v>
      </c>
      <c r="E2067" s="44" t="n">
        <v>6640.1333</v>
      </c>
    </row>
    <row r="2068">
      <c r="A2068" s="39">
        <f>_xlfn.XLOOKUP(17844,Trip[shape_id],Trip[shape_id],"Não encontrado")</f>
        <v/>
      </c>
      <c r="B2068" s="40" t="n">
        <v>-23.620272</v>
      </c>
      <c r="C2068" s="40" t="n">
        <v>-46.68338</v>
      </c>
      <c r="D2068" s="40" t="n">
        <v>99</v>
      </c>
      <c r="E2068" s="41" t="n">
        <v>6740.0083</v>
      </c>
    </row>
    <row r="2069">
      <c r="A2069" s="42">
        <f>_xlfn.XLOOKUP(17844,Trip[shape_id],Trip[shape_id],"Não encontrado")</f>
        <v/>
      </c>
      <c r="B2069" s="43" t="n">
        <v>-23.62072</v>
      </c>
      <c r="C2069" s="43" t="n">
        <v>-46.683679</v>
      </c>
      <c r="D2069" s="43" t="n">
        <v>100</v>
      </c>
      <c r="E2069" s="44" t="n">
        <v>6798.2568</v>
      </c>
    </row>
    <row r="2070">
      <c r="A2070" s="39">
        <f>_xlfn.XLOOKUP(17844,Trip[shape_id],Trip[shape_id],"Não encontrado")</f>
        <v/>
      </c>
      <c r="B2070" s="40" t="n">
        <v>-23.621513</v>
      </c>
      <c r="C2070" s="40" t="n">
        <v>-46.6842</v>
      </c>
      <c r="D2070" s="40" t="n">
        <v>101</v>
      </c>
      <c r="E2070" s="41" t="n">
        <v>6900.9229</v>
      </c>
    </row>
    <row r="2071">
      <c r="A2071" s="42">
        <f>_xlfn.XLOOKUP(17844,Trip[shape_id],Trip[shape_id],"Não encontrado")</f>
        <v/>
      </c>
      <c r="B2071" s="43" t="n">
        <v>-23.621837</v>
      </c>
      <c r="C2071" s="43" t="n">
        <v>-46.684435</v>
      </c>
      <c r="D2071" s="43" t="n">
        <v>102</v>
      </c>
      <c r="E2071" s="44" t="n">
        <v>6944.0825</v>
      </c>
    </row>
    <row r="2072">
      <c r="A2072" s="39">
        <f>_xlfn.XLOOKUP(17844,Trip[shape_id],Trip[shape_id],"Não encontrado")</f>
        <v/>
      </c>
      <c r="B2072" s="40" t="n">
        <v>-23.6226</v>
      </c>
      <c r="C2072" s="40" t="n">
        <v>-46.685002</v>
      </c>
      <c r="D2072" s="40" t="n">
        <v>103</v>
      </c>
      <c r="E2072" s="41" t="n">
        <v>7046.4976</v>
      </c>
    </row>
    <row r="2073">
      <c r="A2073" s="42">
        <f>_xlfn.XLOOKUP(17844,Trip[shape_id],Trip[shape_id],"Não encontrado")</f>
        <v/>
      </c>
      <c r="B2073" s="43" t="n">
        <v>-23.623013</v>
      </c>
      <c r="C2073" s="43" t="n">
        <v>-46.685312</v>
      </c>
      <c r="D2073" s="43" t="n">
        <v>104</v>
      </c>
      <c r="E2073" s="44" t="n">
        <v>7102.1118</v>
      </c>
    </row>
    <row r="2074">
      <c r="A2074" s="39">
        <f>_xlfn.XLOOKUP(17844,Trip[shape_id],Trip[shape_id],"Não encontrado")</f>
        <v/>
      </c>
      <c r="B2074" s="40" t="n">
        <v>-23.62388</v>
      </c>
      <c r="C2074" s="40" t="n">
        <v>-46.685958</v>
      </c>
      <c r="D2074" s="40" t="n">
        <v>105</v>
      </c>
      <c r="E2074" s="41" t="n">
        <v>7218.585</v>
      </c>
    </row>
    <row r="2075">
      <c r="A2075" s="42">
        <f>_xlfn.XLOOKUP(17844,Trip[shape_id],Trip[shape_id],"Não encontrado")</f>
        <v/>
      </c>
      <c r="B2075" s="43" t="n">
        <v>-23.624527</v>
      </c>
      <c r="C2075" s="43" t="n">
        <v>-46.686441</v>
      </c>
      <c r="D2075" s="43" t="n">
        <v>106</v>
      </c>
      <c r="E2075" s="44" t="n">
        <v>7305.5562</v>
      </c>
    </row>
    <row r="2076">
      <c r="A2076" s="39">
        <f>_xlfn.XLOOKUP(17844,Trip[shape_id],Trip[shape_id],"Não encontrado")</f>
        <v/>
      </c>
      <c r="B2076" s="40" t="n">
        <v>-23.625274</v>
      </c>
      <c r="C2076" s="40" t="n">
        <v>-46.687</v>
      </c>
      <c r="D2076" s="40" t="n">
        <v>107</v>
      </c>
      <c r="E2076" s="41" t="n">
        <v>7406.0479</v>
      </c>
    </row>
    <row r="2077">
      <c r="A2077" s="42">
        <f>_xlfn.XLOOKUP(17844,Trip[shape_id],Trip[shape_id],"Não encontrado")</f>
        <v/>
      </c>
      <c r="B2077" s="43" t="n">
        <v>-23.625503</v>
      </c>
      <c r="C2077" s="43" t="n">
        <v>-46.687172</v>
      </c>
      <c r="D2077" s="43" t="n">
        <v>108</v>
      </c>
      <c r="E2077" s="44" t="n">
        <v>7436.8911</v>
      </c>
    </row>
    <row r="2078">
      <c r="A2078" s="39">
        <f>_xlfn.XLOOKUP(17844,Trip[shape_id],Trip[shape_id],"Não encontrado")</f>
        <v/>
      </c>
      <c r="B2078" s="40" t="n">
        <v>-23.626328</v>
      </c>
      <c r="C2078" s="40" t="n">
        <v>-46.687778</v>
      </c>
      <c r="D2078" s="40" t="n">
        <v>109</v>
      </c>
      <c r="E2078" s="41" t="n">
        <v>7547.2212</v>
      </c>
    </row>
    <row r="2079">
      <c r="A2079" s="42">
        <f>_xlfn.XLOOKUP(17844,Trip[shape_id],Trip[shape_id],"Não encontrado")</f>
        <v/>
      </c>
      <c r="B2079" s="43" t="n">
        <v>-23.626775</v>
      </c>
      <c r="C2079" s="43" t="n">
        <v>-46.688107</v>
      </c>
      <c r="D2079" s="43" t="n">
        <v>110</v>
      </c>
      <c r="E2079" s="44" t="n">
        <v>7607.0376</v>
      </c>
    </row>
    <row r="2080">
      <c r="A2080" s="39">
        <f>_xlfn.XLOOKUP(17844,Trip[shape_id],Trip[shape_id],"Não encontrado")</f>
        <v/>
      </c>
      <c r="B2080" s="40" t="n">
        <v>-23.627093</v>
      </c>
      <c r="C2080" s="40" t="n">
        <v>-46.688329</v>
      </c>
      <c r="D2080" s="40" t="n">
        <v>111</v>
      </c>
      <c r="E2080" s="41" t="n">
        <v>7648.9136</v>
      </c>
    </row>
    <row r="2081">
      <c r="A2081" s="42">
        <f>_xlfn.XLOOKUP(17844,Trip[shape_id],Trip[shape_id],"Não encontrado")</f>
        <v/>
      </c>
      <c r="B2081" s="43" t="n">
        <v>-23.627329</v>
      </c>
      <c r="C2081" s="43" t="n">
        <v>-46.688496</v>
      </c>
      <c r="D2081" s="43" t="n">
        <v>112</v>
      </c>
      <c r="E2081" s="44" t="n">
        <v>7680.1157</v>
      </c>
    </row>
    <row r="2082">
      <c r="A2082" s="39">
        <f>_xlfn.XLOOKUP(17844,Trip[shape_id],Trip[shape_id],"Não encontrado")</f>
        <v/>
      </c>
      <c r="B2082" s="40" t="n">
        <v>-23.62766</v>
      </c>
      <c r="C2082" s="40" t="n">
        <v>-46.688732</v>
      </c>
      <c r="D2082" s="40" t="n">
        <v>113</v>
      </c>
      <c r="E2082" s="41" t="n">
        <v>7723.9771</v>
      </c>
    </row>
    <row r="2083">
      <c r="A2083" s="42">
        <f>_xlfn.XLOOKUP(17844,Trip[shape_id],Trip[shape_id],"Não encontrado")</f>
        <v/>
      </c>
      <c r="B2083" s="43" t="n">
        <v>-23.627937</v>
      </c>
      <c r="C2083" s="43" t="n">
        <v>-46.688921</v>
      </c>
      <c r="D2083" s="43" t="n">
        <v>114</v>
      </c>
      <c r="E2083" s="44" t="n">
        <v>7760.2139</v>
      </c>
    </row>
    <row r="2084">
      <c r="A2084" s="39">
        <f>_xlfn.XLOOKUP(17844,Trip[shape_id],Trip[shape_id],"Não encontrado")</f>
        <v/>
      </c>
      <c r="B2084" s="40" t="n">
        <v>-23.628216</v>
      </c>
      <c r="C2084" s="40" t="n">
        <v>-46.689107</v>
      </c>
      <c r="D2084" s="40" t="n">
        <v>115</v>
      </c>
      <c r="E2084" s="41" t="n">
        <v>7796.4775</v>
      </c>
    </row>
    <row r="2085">
      <c r="A2085" s="42">
        <f>_xlfn.XLOOKUP(17844,Trip[shape_id],Trip[shape_id],"Não encontrado")</f>
        <v/>
      </c>
      <c r="B2085" s="43" t="n">
        <v>-23.628998</v>
      </c>
      <c r="C2085" s="43" t="n">
        <v>-46.689633</v>
      </c>
      <c r="D2085" s="43" t="n">
        <v>116</v>
      </c>
      <c r="E2085" s="44" t="n">
        <v>7898.3696</v>
      </c>
    </row>
    <row r="2086">
      <c r="A2086" s="39">
        <f>_xlfn.XLOOKUP(17844,Trip[shape_id],Trip[shape_id],"Não encontrado")</f>
        <v/>
      </c>
      <c r="B2086" s="40" t="n">
        <v>-23.630295</v>
      </c>
      <c r="C2086" s="40" t="n">
        <v>-46.690505</v>
      </c>
      <c r="D2086" s="40" t="n">
        <v>117</v>
      </c>
      <c r="E2086" s="41" t="n">
        <v>8067.3423</v>
      </c>
    </row>
    <row r="2087">
      <c r="A2087" s="42">
        <f>_xlfn.XLOOKUP(17844,Trip[shape_id],Trip[shape_id],"Não encontrado")</f>
        <v/>
      </c>
      <c r="B2087" s="43" t="n">
        <v>-23.630786</v>
      </c>
      <c r="C2087" s="43" t="n">
        <v>-46.690835</v>
      </c>
      <c r="D2087" s="43" t="n">
        <v>118</v>
      </c>
      <c r="E2087" s="44" t="n">
        <v>8131.3037</v>
      </c>
    </row>
    <row r="2088">
      <c r="A2088" s="39">
        <f>_xlfn.XLOOKUP(17844,Trip[shape_id],Trip[shape_id],"Não encontrado")</f>
        <v/>
      </c>
      <c r="B2088" s="40" t="n">
        <v>-23.631343</v>
      </c>
      <c r="C2088" s="40" t="n">
        <v>-46.691215</v>
      </c>
      <c r="D2088" s="40" t="n">
        <v>119</v>
      </c>
      <c r="E2088" s="41" t="n">
        <v>8204.166999999999</v>
      </c>
    </row>
    <row r="2089">
      <c r="A2089" s="42">
        <f>_xlfn.XLOOKUP(17844,Trip[shape_id],Trip[shape_id],"Não encontrado")</f>
        <v/>
      </c>
      <c r="B2089" s="43" t="n">
        <v>-23.631805</v>
      </c>
      <c r="C2089" s="43" t="n">
        <v>-46.691599</v>
      </c>
      <c r="D2089" s="43" t="n">
        <v>120</v>
      </c>
      <c r="E2089" s="44" t="n">
        <v>8268.614299999999</v>
      </c>
    </row>
    <row r="2090">
      <c r="A2090" s="39">
        <f>_xlfn.XLOOKUP(17844,Trip[shape_id],Trip[shape_id],"Não encontrado")</f>
        <v/>
      </c>
      <c r="B2090" s="40" t="n">
        <v>-23.632102</v>
      </c>
      <c r="C2090" s="40" t="n">
        <v>-46.691846</v>
      </c>
      <c r="D2090" s="40" t="n">
        <v>121</v>
      </c>
      <c r="E2090" s="41" t="n">
        <v>8310.0537</v>
      </c>
    </row>
    <row r="2091">
      <c r="A2091" s="42">
        <f>_xlfn.XLOOKUP(17844,Trip[shape_id],Trip[shape_id],"Não encontrado")</f>
        <v/>
      </c>
      <c r="B2091" s="43" t="n">
        <v>-23.632164</v>
      </c>
      <c r="C2091" s="43" t="n">
        <v>-46.691904</v>
      </c>
      <c r="D2091" s="43" t="n">
        <v>122</v>
      </c>
      <c r="E2091" s="44" t="n">
        <v>8319.1191</v>
      </c>
    </row>
    <row r="2092">
      <c r="A2092" s="39">
        <f>_xlfn.XLOOKUP(17844,Trip[shape_id],Trip[shape_id],"Não encontrado")</f>
        <v/>
      </c>
      <c r="B2092" s="40" t="n">
        <v>-23.632401</v>
      </c>
      <c r="C2092" s="40" t="n">
        <v>-46.692096</v>
      </c>
      <c r="D2092" s="40" t="n">
        <v>123</v>
      </c>
      <c r="E2092" s="41" t="n">
        <v>8351.873</v>
      </c>
    </row>
    <row r="2093">
      <c r="A2093" s="42">
        <f>_xlfn.XLOOKUP(17844,Trip[shape_id],Trip[shape_id],"Não encontrado")</f>
        <v/>
      </c>
      <c r="B2093" s="43" t="n">
        <v>-23.632621</v>
      </c>
      <c r="C2093" s="43" t="n">
        <v>-46.69232</v>
      </c>
      <c r="D2093" s="43" t="n">
        <v>124</v>
      </c>
      <c r="E2093" s="44" t="n">
        <v>8385.281300000001</v>
      </c>
    </row>
    <row r="2094">
      <c r="A2094" s="39">
        <f>_xlfn.XLOOKUP(17844,Trip[shape_id],Trip[shape_id],"Não encontrado")</f>
        <v/>
      </c>
      <c r="B2094" s="40" t="n">
        <v>-23.632983</v>
      </c>
      <c r="C2094" s="40" t="n">
        <v>-46.692665</v>
      </c>
      <c r="D2094" s="40" t="n">
        <v>125</v>
      </c>
      <c r="E2094" s="41" t="n">
        <v>8438.635700000001</v>
      </c>
    </row>
    <row r="2095">
      <c r="A2095" s="42">
        <f>_xlfn.XLOOKUP(17844,Trip[shape_id],Trip[shape_id],"Não encontrado")</f>
        <v/>
      </c>
      <c r="B2095" s="43" t="n">
        <v>-23.633113</v>
      </c>
      <c r="C2095" s="43" t="n">
        <v>-46.692815</v>
      </c>
      <c r="D2095" s="43" t="n">
        <v>126</v>
      </c>
      <c r="E2095" s="44" t="n">
        <v>8459.6494</v>
      </c>
    </row>
    <row r="2096">
      <c r="A2096" s="39">
        <f>_xlfn.XLOOKUP(17844,Trip[shape_id],Trip[shape_id],"Não encontrado")</f>
        <v/>
      </c>
      <c r="B2096" s="40" t="n">
        <v>-23.633299</v>
      </c>
      <c r="C2096" s="40" t="n">
        <v>-46.692988</v>
      </c>
      <c r="D2096" s="40" t="n">
        <v>127</v>
      </c>
      <c r="E2096" s="41" t="n">
        <v>8486.7783</v>
      </c>
    </row>
    <row r="2097">
      <c r="A2097" s="42">
        <f>_xlfn.XLOOKUP(17844,Trip[shape_id],Trip[shape_id],"Não encontrado")</f>
        <v/>
      </c>
      <c r="B2097" s="43" t="n">
        <v>-23.633336</v>
      </c>
      <c r="C2097" s="43" t="n">
        <v>-46.69302</v>
      </c>
      <c r="D2097" s="43" t="n">
        <v>128</v>
      </c>
      <c r="E2097" s="44" t="n">
        <v>8492.018599999999</v>
      </c>
    </row>
    <row r="2098">
      <c r="A2098" s="39">
        <f>_xlfn.XLOOKUP(17844,Trip[shape_id],Trip[shape_id],"Não encontrado")</f>
        <v/>
      </c>
      <c r="B2098" s="40" t="n">
        <v>-23.634136</v>
      </c>
      <c r="C2098" s="40" t="n">
        <v>-46.693749</v>
      </c>
      <c r="D2098" s="40" t="n">
        <v>129</v>
      </c>
      <c r="E2098" s="41" t="n">
        <v>8607.706099999999</v>
      </c>
    </row>
    <row r="2099">
      <c r="A2099" s="42">
        <f>_xlfn.XLOOKUP(17844,Trip[shape_id],Trip[shape_id],"Não encontrado")</f>
        <v/>
      </c>
      <c r="B2099" s="43" t="n">
        <v>-23.634489</v>
      </c>
      <c r="C2099" s="43" t="n">
        <v>-46.694073</v>
      </c>
      <c r="D2099" s="43" t="n">
        <v>130</v>
      </c>
      <c r="E2099" s="44" t="n">
        <v>8658.906300000001</v>
      </c>
    </row>
    <row r="2100">
      <c r="A2100" s="39">
        <f>_xlfn.XLOOKUP(17844,Trip[shape_id],Trip[shape_id],"Não encontrado")</f>
        <v/>
      </c>
      <c r="B2100" s="40" t="n">
        <v>-23.634924</v>
      </c>
      <c r="C2100" s="40" t="n">
        <v>-46.694476</v>
      </c>
      <c r="D2100" s="40" t="n">
        <v>131</v>
      </c>
      <c r="E2100" s="41" t="n">
        <v>8722.247100000001</v>
      </c>
    </row>
    <row r="2101">
      <c r="A2101" s="42">
        <f>_xlfn.XLOOKUP(17844,Trip[shape_id],Trip[shape_id],"Não encontrado")</f>
        <v/>
      </c>
      <c r="B2101" s="43" t="n">
        <v>-23.635543</v>
      </c>
      <c r="C2101" s="43" t="n">
        <v>-46.695046</v>
      </c>
      <c r="D2101" s="43" t="n">
        <v>132</v>
      </c>
      <c r="E2101" s="44" t="n">
        <v>8812.1504</v>
      </c>
    </row>
    <row r="2102">
      <c r="A2102" s="39">
        <f>_xlfn.XLOOKUP(17844,Trip[shape_id],Trip[shape_id],"Não encontrado")</f>
        <v/>
      </c>
      <c r="B2102" s="40" t="n">
        <v>-23.63605</v>
      </c>
      <c r="C2102" s="40" t="n">
        <v>-46.695516</v>
      </c>
      <c r="D2102" s="40" t="n">
        <v>133</v>
      </c>
      <c r="E2102" s="41" t="n">
        <v>8885.9941</v>
      </c>
    </row>
    <row r="2103">
      <c r="A2103" s="42">
        <f>_xlfn.XLOOKUP(17844,Trip[shape_id],Trip[shape_id],"Não encontrado")</f>
        <v/>
      </c>
      <c r="B2103" s="43" t="n">
        <v>-23.636732</v>
      </c>
      <c r="C2103" s="43" t="n">
        <v>-46.696139</v>
      </c>
      <c r="D2103" s="43" t="n">
        <v>134</v>
      </c>
      <c r="E2103" s="44" t="n">
        <v>8984.7168</v>
      </c>
    </row>
    <row r="2104">
      <c r="A2104" s="39">
        <f>_xlfn.XLOOKUP(17844,Trip[shape_id],Trip[shape_id],"Não encontrado")</f>
        <v/>
      </c>
      <c r="B2104" s="40" t="n">
        <v>-23.636836</v>
      </c>
      <c r="C2104" s="40" t="n">
        <v>-46.696214</v>
      </c>
      <c r="D2104" s="40" t="n">
        <v>135</v>
      </c>
      <c r="E2104" s="41" t="n">
        <v>8998.545899999999</v>
      </c>
    </row>
    <row r="2105">
      <c r="A2105" s="42">
        <f>_xlfn.XLOOKUP(17844,Trip[shape_id],Trip[shape_id],"Não encontrado")</f>
        <v/>
      </c>
      <c r="B2105" s="43" t="n">
        <v>-23.637427</v>
      </c>
      <c r="C2105" s="43" t="n">
        <v>-46.696607</v>
      </c>
      <c r="D2105" s="43" t="n">
        <v>136</v>
      </c>
      <c r="E2105" s="44" t="n">
        <v>9075.3076</v>
      </c>
    </row>
    <row r="2106">
      <c r="A2106" s="39">
        <f>_xlfn.XLOOKUP(17844,Trip[shape_id],Trip[shape_id],"Não encontrado")</f>
        <v/>
      </c>
      <c r="B2106" s="40" t="n">
        <v>-23.637817</v>
      </c>
      <c r="C2106" s="40" t="n">
        <v>-46.696869</v>
      </c>
      <c r="D2106" s="40" t="n">
        <v>137</v>
      </c>
      <c r="E2106" s="41" t="n">
        <v>9126.104499999999</v>
      </c>
    </row>
    <row r="2107">
      <c r="A2107" s="42">
        <f>_xlfn.XLOOKUP(17844,Trip[shape_id],Trip[shape_id],"Não encontrado")</f>
        <v/>
      </c>
      <c r="B2107" s="43" t="n">
        <v>-23.639097</v>
      </c>
      <c r="C2107" s="43" t="n">
        <v>-46.697717</v>
      </c>
      <c r="D2107" s="43" t="n">
        <v>138</v>
      </c>
      <c r="E2107" s="44" t="n">
        <v>9292.1875</v>
      </c>
    </row>
    <row r="2108">
      <c r="A2108" s="39">
        <f>_xlfn.XLOOKUP(17844,Trip[shape_id],Trip[shape_id],"Não encontrado")</f>
        <v/>
      </c>
      <c r="B2108" s="40" t="n">
        <v>-23.63953</v>
      </c>
      <c r="C2108" s="40" t="n">
        <v>-46.698003</v>
      </c>
      <c r="D2108" s="40" t="n">
        <v>139</v>
      </c>
      <c r="E2108" s="41" t="n">
        <v>9348.324199999999</v>
      </c>
    </row>
    <row r="2109">
      <c r="A2109" s="42">
        <f>_xlfn.XLOOKUP(17844,Trip[shape_id],Trip[shape_id],"Não encontrado")</f>
        <v/>
      </c>
      <c r="B2109" s="43" t="n">
        <v>-23.639835</v>
      </c>
      <c r="C2109" s="43" t="n">
        <v>-46.698206</v>
      </c>
      <c r="D2109" s="43" t="n">
        <v>140</v>
      </c>
      <c r="E2109" s="44" t="n">
        <v>9387.948200000001</v>
      </c>
    </row>
    <row r="2110">
      <c r="A2110" s="39">
        <f>_xlfn.XLOOKUP(17844,Trip[shape_id],Trip[shape_id],"Não encontrado")</f>
        <v/>
      </c>
      <c r="B2110" s="40" t="n">
        <v>-23.640037</v>
      </c>
      <c r="C2110" s="40" t="n">
        <v>-46.698341</v>
      </c>
      <c r="D2110" s="40" t="n">
        <v>141</v>
      </c>
      <c r="E2110" s="41" t="n">
        <v>9414.2207</v>
      </c>
    </row>
    <row r="2111">
      <c r="A2111" s="42">
        <f>_xlfn.XLOOKUP(17844,Trip[shape_id],Trip[shape_id],"Não encontrado")</f>
        <v/>
      </c>
      <c r="B2111" s="43" t="n">
        <v>-23.640336</v>
      </c>
      <c r="C2111" s="43" t="n">
        <v>-46.698535</v>
      </c>
      <c r="D2111" s="43" t="n">
        <v>142</v>
      </c>
      <c r="E2111" s="44" t="n">
        <v>9452.800800000001</v>
      </c>
    </row>
    <row r="2112">
      <c r="A2112" s="39">
        <f>_xlfn.XLOOKUP(17844,Trip[shape_id],Trip[shape_id],"Não encontrado")</f>
        <v/>
      </c>
      <c r="B2112" s="40" t="n">
        <v>-23.640764</v>
      </c>
      <c r="C2112" s="40" t="n">
        <v>-46.698823</v>
      </c>
      <c r="D2112" s="40" t="n">
        <v>143</v>
      </c>
      <c r="E2112" s="41" t="n">
        <v>9508.5723</v>
      </c>
    </row>
    <row r="2113">
      <c r="A2113" s="42">
        <f>_xlfn.XLOOKUP(17844,Trip[shape_id],Trip[shape_id],"Não encontrado")</f>
        <v/>
      </c>
      <c r="B2113" s="43" t="n">
        <v>-23.641007</v>
      </c>
      <c r="C2113" s="43" t="n">
        <v>-46.698985</v>
      </c>
      <c r="D2113" s="43" t="n">
        <v>144</v>
      </c>
      <c r="E2113" s="44" t="n">
        <v>9540.156300000001</v>
      </c>
    </row>
    <row r="2114">
      <c r="A2114" s="39">
        <f>_xlfn.XLOOKUP(17844,Trip[shape_id],Trip[shape_id],"Não encontrado")</f>
        <v/>
      </c>
      <c r="B2114" s="40" t="n">
        <v>-23.641538</v>
      </c>
      <c r="C2114" s="40" t="n">
        <v>-46.699344</v>
      </c>
      <c r="D2114" s="40" t="n">
        <v>145</v>
      </c>
      <c r="E2114" s="41" t="n">
        <v>9609.440399999999</v>
      </c>
    </row>
    <row r="2115">
      <c r="A2115" s="42">
        <f>_xlfn.XLOOKUP(17844,Trip[shape_id],Trip[shape_id],"Não encontrado")</f>
        <v/>
      </c>
      <c r="B2115" s="43" t="n">
        <v>-23.641579</v>
      </c>
      <c r="C2115" s="43" t="n">
        <v>-46.699369</v>
      </c>
      <c r="D2115" s="43" t="n">
        <v>146</v>
      </c>
      <c r="E2115" s="44" t="n">
        <v>9614.6484</v>
      </c>
    </row>
    <row r="2116">
      <c r="A2116" s="39">
        <f>_xlfn.XLOOKUP(17844,Trip[shape_id],Trip[shape_id],"Não encontrado")</f>
        <v/>
      </c>
      <c r="B2116" s="40" t="n">
        <v>-23.641755</v>
      </c>
      <c r="C2116" s="40" t="n">
        <v>-46.699467</v>
      </c>
      <c r="D2116" s="40" t="n">
        <v>147</v>
      </c>
      <c r="E2116" s="41" t="n">
        <v>9636.555700000001</v>
      </c>
    </row>
    <row r="2117">
      <c r="A2117" s="42">
        <f>_xlfn.XLOOKUP(17844,Trip[shape_id],Trip[shape_id],"Não encontrado")</f>
        <v/>
      </c>
      <c r="B2117" s="43" t="n">
        <v>-23.641977</v>
      </c>
      <c r="C2117" s="43" t="n">
        <v>-46.699592</v>
      </c>
      <c r="D2117" s="43" t="n">
        <v>148</v>
      </c>
      <c r="E2117" s="44" t="n">
        <v>9664.2539</v>
      </c>
    </row>
    <row r="2118">
      <c r="A2118" s="39">
        <f>_xlfn.XLOOKUP(17844,Trip[shape_id],Trip[shape_id],"Não encontrado")</f>
        <v/>
      </c>
      <c r="B2118" s="40" t="n">
        <v>-23.642158</v>
      </c>
      <c r="C2118" s="40" t="n">
        <v>-46.699698</v>
      </c>
      <c r="D2118" s="40" t="n">
        <v>149</v>
      </c>
      <c r="E2118" s="41" t="n">
        <v>9687.031300000001</v>
      </c>
    </row>
    <row r="2119">
      <c r="A2119" s="42">
        <f>_xlfn.XLOOKUP(17844,Trip[shape_id],Trip[shape_id],"Não encontrado")</f>
        <v/>
      </c>
      <c r="B2119" s="43" t="n">
        <v>-23.642366</v>
      </c>
      <c r="C2119" s="43" t="n">
        <v>-46.699812</v>
      </c>
      <c r="D2119" s="43" t="n">
        <v>150</v>
      </c>
      <c r="E2119" s="44" t="n">
        <v>9712.8379</v>
      </c>
    </row>
    <row r="2120">
      <c r="A2120" s="39">
        <f>_xlfn.XLOOKUP(17844,Trip[shape_id],Trip[shape_id],"Não encontrado")</f>
        <v/>
      </c>
      <c r="B2120" s="40" t="n">
        <v>-23.642703</v>
      </c>
      <c r="C2120" s="40" t="n">
        <v>-46.699977</v>
      </c>
      <c r="D2120" s="40" t="n">
        <v>151</v>
      </c>
      <c r="E2120" s="41" t="n">
        <v>9753.7832</v>
      </c>
    </row>
    <row r="2121">
      <c r="A2121" s="42">
        <f>_xlfn.XLOOKUP(17844,Trip[shape_id],Trip[shape_id],"Não encontrado")</f>
        <v/>
      </c>
      <c r="B2121" s="43" t="n">
        <v>-23.643044</v>
      </c>
      <c r="C2121" s="43" t="n">
        <v>-46.700197</v>
      </c>
      <c r="D2121" s="43" t="n">
        <v>152</v>
      </c>
      <c r="E2121" s="44" t="n">
        <v>9797.7168</v>
      </c>
    </row>
    <row r="2122">
      <c r="A2122" s="39">
        <f>_xlfn.XLOOKUP(17844,Trip[shape_id],Trip[shape_id],"Não encontrado")</f>
        <v/>
      </c>
      <c r="B2122" s="40" t="n">
        <v>-23.643402</v>
      </c>
      <c r="C2122" s="40" t="n">
        <v>-46.700401</v>
      </c>
      <c r="D2122" s="40" t="n">
        <v>153</v>
      </c>
      <c r="E2122" s="41" t="n">
        <v>9842.498</v>
      </c>
    </row>
    <row r="2123">
      <c r="A2123" s="42">
        <f>_xlfn.XLOOKUP(17844,Trip[shape_id],Trip[shape_id],"Não encontrado")</f>
        <v/>
      </c>
      <c r="B2123" s="43" t="n">
        <v>-23.643813</v>
      </c>
      <c r="C2123" s="43" t="n">
        <v>-46.700636</v>
      </c>
      <c r="D2123" s="43" t="n">
        <v>154</v>
      </c>
      <c r="E2123" s="44" t="n">
        <v>9893.9463</v>
      </c>
    </row>
    <row r="2124">
      <c r="A2124" s="39">
        <f>_xlfn.XLOOKUP(17844,Trip[shape_id],Trip[shape_id],"Não encontrado")</f>
        <v/>
      </c>
      <c r="B2124" s="40" t="n">
        <v>-23.644915</v>
      </c>
      <c r="C2124" s="40" t="n">
        <v>-46.70126</v>
      </c>
      <c r="D2124" s="40" t="n">
        <v>155</v>
      </c>
      <c r="E2124" s="41" t="n">
        <v>10031.604</v>
      </c>
    </row>
    <row r="2125">
      <c r="A2125" s="42">
        <f>_xlfn.XLOOKUP(17844,Trip[shape_id],Trip[shape_id],"Não encontrado")</f>
        <v/>
      </c>
      <c r="B2125" s="43" t="n">
        <v>-23.645323</v>
      </c>
      <c r="C2125" s="43" t="n">
        <v>-46.701495</v>
      </c>
      <c r="D2125" s="43" t="n">
        <v>156</v>
      </c>
      <c r="E2125" s="44" t="n">
        <v>10082.758</v>
      </c>
    </row>
    <row r="2126">
      <c r="A2126" s="39">
        <f>_xlfn.XLOOKUP(17844,Trip[shape_id],Trip[shape_id],"Não encontrado")</f>
        <v/>
      </c>
      <c r="B2126" s="40" t="n">
        <v>-23.645601</v>
      </c>
      <c r="C2126" s="40" t="n">
        <v>-46.701651</v>
      </c>
      <c r="D2126" s="40" t="n">
        <v>157</v>
      </c>
      <c r="E2126" s="41" t="n">
        <v>10117.418</v>
      </c>
    </row>
    <row r="2127">
      <c r="A2127" s="42">
        <f>_xlfn.XLOOKUP(17844,Trip[shape_id],Trip[shape_id],"Não encontrado")</f>
        <v/>
      </c>
      <c r="B2127" s="43" t="n">
        <v>-23.6461</v>
      </c>
      <c r="C2127" s="43" t="n">
        <v>-46.701933</v>
      </c>
      <c r="D2127" s="43" t="n">
        <v>158</v>
      </c>
      <c r="E2127" s="44" t="n">
        <v>10179.725</v>
      </c>
    </row>
    <row r="2128">
      <c r="A2128" s="39">
        <f>_xlfn.XLOOKUP(17844,Trip[shape_id],Trip[shape_id],"Não encontrado")</f>
        <v/>
      </c>
      <c r="B2128" s="40" t="n">
        <v>-23.646873</v>
      </c>
      <c r="C2128" s="40" t="n">
        <v>-46.702478</v>
      </c>
      <c r="D2128" s="40" t="n">
        <v>159</v>
      </c>
      <c r="E2128" s="41" t="n">
        <v>10281.81</v>
      </c>
    </row>
    <row r="2129">
      <c r="A2129" s="42">
        <f>_xlfn.XLOOKUP(17844,Trip[shape_id],Trip[shape_id],"Não encontrado")</f>
        <v/>
      </c>
      <c r="B2129" s="43" t="n">
        <v>-23.647325</v>
      </c>
      <c r="C2129" s="43" t="n">
        <v>-46.702774</v>
      </c>
      <c r="D2129" s="43" t="n">
        <v>160</v>
      </c>
      <c r="E2129" s="44" t="n">
        <v>10340.274</v>
      </c>
    </row>
    <row r="2130">
      <c r="A2130" s="39">
        <f>_xlfn.XLOOKUP(17844,Trip[shape_id],Trip[shape_id],"Não encontrado")</f>
        <v/>
      </c>
      <c r="B2130" s="40" t="n">
        <v>-23.647881</v>
      </c>
      <c r="C2130" s="40" t="n">
        <v>-46.702948</v>
      </c>
      <c r="D2130" s="40" t="n">
        <v>161</v>
      </c>
      <c r="E2130" s="41" t="n">
        <v>10404.361</v>
      </c>
    </row>
    <row r="2131">
      <c r="A2131" s="42">
        <f>_xlfn.XLOOKUP(17844,Trip[shape_id],Trip[shape_id],"Não encontrado")</f>
        <v/>
      </c>
      <c r="B2131" s="43" t="n">
        <v>-23.648406</v>
      </c>
      <c r="C2131" s="43" t="n">
        <v>-46.703247</v>
      </c>
      <c r="D2131" s="43" t="n">
        <v>162</v>
      </c>
      <c r="E2131" s="44" t="n">
        <v>10470.023</v>
      </c>
    </row>
    <row r="2132">
      <c r="A2132" s="39">
        <f>_xlfn.XLOOKUP(17844,Trip[shape_id],Trip[shape_id],"Não encontrado")</f>
        <v/>
      </c>
      <c r="B2132" s="40" t="n">
        <v>-23.64927</v>
      </c>
      <c r="C2132" s="40" t="n">
        <v>-46.703745</v>
      </c>
      <c r="D2132" s="40" t="n">
        <v>163</v>
      </c>
      <c r="E2132" s="41" t="n">
        <v>10578.367</v>
      </c>
    </row>
    <row r="2133">
      <c r="A2133" s="42">
        <f>_xlfn.XLOOKUP(17844,Trip[shape_id],Trip[shape_id],"Não encontrado")</f>
        <v/>
      </c>
      <c r="B2133" s="43" t="n">
        <v>-23.650008</v>
      </c>
      <c r="C2133" s="43" t="n">
        <v>-46.704187</v>
      </c>
      <c r="D2133" s="43" t="n">
        <v>164</v>
      </c>
      <c r="E2133" s="44" t="n">
        <v>10671.718</v>
      </c>
    </row>
    <row r="2134">
      <c r="A2134" s="39">
        <f>_xlfn.XLOOKUP(17844,Trip[shape_id],Trip[shape_id],"Não encontrado")</f>
        <v/>
      </c>
      <c r="B2134" s="40" t="n">
        <v>-23.650225</v>
      </c>
      <c r="C2134" s="40" t="n">
        <v>-46.704334</v>
      </c>
      <c r="D2134" s="40" t="n">
        <v>165</v>
      </c>
      <c r="E2134" s="41" t="n">
        <v>10700.047</v>
      </c>
    </row>
    <row r="2135">
      <c r="A2135" s="42">
        <f>_xlfn.XLOOKUP(17844,Trip[shape_id],Trip[shape_id],"Não encontrado")</f>
        <v/>
      </c>
      <c r="B2135" s="43" t="n">
        <v>-23.650619</v>
      </c>
      <c r="C2135" s="43" t="n">
        <v>-46.704592</v>
      </c>
      <c r="D2135" s="43" t="n">
        <v>166</v>
      </c>
      <c r="E2135" s="44" t="n">
        <v>10751.008</v>
      </c>
    </row>
    <row r="2136">
      <c r="A2136" s="39">
        <f>_xlfn.XLOOKUP(17844,Trip[shape_id],Trip[shape_id],"Não encontrado")</f>
        <v/>
      </c>
      <c r="B2136" s="40" t="n">
        <v>-23.650714</v>
      </c>
      <c r="C2136" s="40" t="n">
        <v>-46.704653</v>
      </c>
      <c r="D2136" s="40" t="n">
        <v>167</v>
      </c>
      <c r="E2136" s="41" t="n">
        <v>10763.231</v>
      </c>
    </row>
    <row r="2137">
      <c r="A2137" s="42">
        <f>_xlfn.XLOOKUP(17844,Trip[shape_id],Trip[shape_id],"Não encontrado")</f>
        <v/>
      </c>
      <c r="B2137" s="43" t="n">
        <v>-23.650912</v>
      </c>
      <c r="C2137" s="43" t="n">
        <v>-46.704786</v>
      </c>
      <c r="D2137" s="43" t="n">
        <v>168</v>
      </c>
      <c r="E2137" s="44" t="n">
        <v>10789.02</v>
      </c>
    </row>
    <row r="2138">
      <c r="A2138" s="39">
        <f>_xlfn.XLOOKUP(17844,Trip[shape_id],Trip[shape_id],"Não encontrado")</f>
        <v/>
      </c>
      <c r="B2138" s="40" t="n">
        <v>-23.6512</v>
      </c>
      <c r="C2138" s="40" t="n">
        <v>-46.704974</v>
      </c>
      <c r="D2138" s="40" t="n">
        <v>169</v>
      </c>
      <c r="E2138" s="41" t="n">
        <v>10826.239</v>
      </c>
    </row>
    <row r="2139">
      <c r="A2139" s="42">
        <f>_xlfn.XLOOKUP(17844,Trip[shape_id],Trip[shape_id],"Não encontrado")</f>
        <v/>
      </c>
      <c r="B2139" s="43" t="n">
        <v>-23.651446</v>
      </c>
      <c r="C2139" s="43" t="n">
        <v>-46.705179</v>
      </c>
      <c r="D2139" s="43" t="n">
        <v>170</v>
      </c>
      <c r="E2139" s="44" t="n">
        <v>10860.587</v>
      </c>
    </row>
    <row r="2140">
      <c r="A2140" s="39">
        <f>_xlfn.XLOOKUP(17844,Trip[shape_id],Trip[shape_id],"Não encontrado")</f>
        <v/>
      </c>
      <c r="B2140" s="40" t="n">
        <v>-23.651875</v>
      </c>
      <c r="C2140" s="40" t="n">
        <v>-46.705469</v>
      </c>
      <c r="D2140" s="40" t="n">
        <v>171</v>
      </c>
      <c r="E2140" s="41" t="n">
        <v>10916.559</v>
      </c>
    </row>
    <row r="2141">
      <c r="A2141" s="42">
        <f>_xlfn.XLOOKUP(17844,Trip[shape_id],Trip[shape_id],"Não encontrado")</f>
        <v/>
      </c>
      <c r="B2141" s="43" t="n">
        <v>-23.652198</v>
      </c>
      <c r="C2141" s="43" t="n">
        <v>-46.705683</v>
      </c>
      <c r="D2141" s="43" t="n">
        <v>172</v>
      </c>
      <c r="E2141" s="44" t="n">
        <v>10958.468</v>
      </c>
    </row>
    <row r="2142">
      <c r="A2142" s="39">
        <f>_xlfn.XLOOKUP(17844,Trip[shape_id],Trip[shape_id],"Não encontrado")</f>
        <v/>
      </c>
      <c r="B2142" s="40" t="n">
        <v>-23.652429</v>
      </c>
      <c r="C2142" s="40" t="n">
        <v>-46.70586</v>
      </c>
      <c r="D2142" s="40" t="n">
        <v>173</v>
      </c>
      <c r="E2142" s="41" t="n">
        <v>10989.783</v>
      </c>
    </row>
    <row r="2143">
      <c r="A2143" s="42">
        <f>_xlfn.XLOOKUP(17844,Trip[shape_id],Trip[shape_id],"Não encontrado")</f>
        <v/>
      </c>
      <c r="B2143" s="43" t="n">
        <v>-23.65285</v>
      </c>
      <c r="C2143" s="43" t="n">
        <v>-46.706174</v>
      </c>
      <c r="D2143" s="43" t="n">
        <v>174</v>
      </c>
      <c r="E2143" s="44" t="n">
        <v>11046.354</v>
      </c>
    </row>
    <row r="2144">
      <c r="A2144" s="39">
        <f>_xlfn.XLOOKUP(17844,Trip[shape_id],Trip[shape_id],"Não encontrado")</f>
        <v/>
      </c>
      <c r="B2144" s="40" t="n">
        <v>-23.653414</v>
      </c>
      <c r="C2144" s="40" t="n">
        <v>-46.706632</v>
      </c>
      <c r="D2144" s="40" t="n">
        <v>175</v>
      </c>
      <c r="E2144" s="41" t="n">
        <v>11124.362</v>
      </c>
    </row>
    <row r="2145">
      <c r="A2145" s="42">
        <f>_xlfn.XLOOKUP(17844,Trip[shape_id],Trip[shape_id],"Não encontrado")</f>
        <v/>
      </c>
      <c r="B2145" s="43" t="n">
        <v>-23.653634</v>
      </c>
      <c r="C2145" s="43" t="n">
        <v>-46.706818</v>
      </c>
      <c r="D2145" s="43" t="n">
        <v>176</v>
      </c>
      <c r="E2145" s="44" t="n">
        <v>11155.246</v>
      </c>
    </row>
    <row r="2146">
      <c r="A2146" s="39">
        <f>_xlfn.XLOOKUP(17844,Trip[shape_id],Trip[shape_id],"Não encontrado")</f>
        <v/>
      </c>
      <c r="B2146" s="40" t="n">
        <v>-23.653783</v>
      </c>
      <c r="C2146" s="40" t="n">
        <v>-46.706971</v>
      </c>
      <c r="D2146" s="40" t="n">
        <v>177</v>
      </c>
      <c r="E2146" s="41" t="n">
        <v>11177.961</v>
      </c>
    </row>
    <row r="2147">
      <c r="A2147" s="42">
        <f>_xlfn.XLOOKUP(17844,Trip[shape_id],Trip[shape_id],"Não encontrado")</f>
        <v/>
      </c>
      <c r="B2147" s="43" t="n">
        <v>-23.653932</v>
      </c>
      <c r="C2147" s="43" t="n">
        <v>-46.707154</v>
      </c>
      <c r="D2147" s="43" t="n">
        <v>178</v>
      </c>
      <c r="E2147" s="44" t="n">
        <v>11202.879</v>
      </c>
    </row>
    <row r="2148">
      <c r="A2148" s="39">
        <f>_xlfn.XLOOKUP(17844,Trip[shape_id],Trip[shape_id],"Não encontrado")</f>
        <v/>
      </c>
      <c r="B2148" s="40" t="n">
        <v>-23.653977</v>
      </c>
      <c r="C2148" s="40" t="n">
        <v>-46.707449</v>
      </c>
      <c r="D2148" s="40" t="n">
        <v>179</v>
      </c>
      <c r="E2148" s="41" t="n">
        <v>11233.385</v>
      </c>
    </row>
    <row r="2149">
      <c r="A2149" s="42">
        <f>_xlfn.XLOOKUP(17844,Trip[shape_id],Trip[shape_id],"Não encontrado")</f>
        <v/>
      </c>
      <c r="B2149" s="43" t="n">
        <v>-23.654074</v>
      </c>
      <c r="C2149" s="43" t="n">
        <v>-46.70806</v>
      </c>
      <c r="D2149" s="43" t="n">
        <v>180</v>
      </c>
      <c r="E2149" s="44" t="n">
        <v>11296.639</v>
      </c>
    </row>
    <row r="2150">
      <c r="A2150" s="39">
        <f>_xlfn.XLOOKUP(17844,Trip[shape_id],Trip[shape_id],"Não encontrado")</f>
        <v/>
      </c>
      <c r="B2150" s="40" t="n">
        <v>-23.654178</v>
      </c>
      <c r="C2150" s="40" t="n">
        <v>-46.708477</v>
      </c>
      <c r="D2150" s="40" t="n">
        <v>181</v>
      </c>
      <c r="E2150" s="41" t="n">
        <v>11340.714</v>
      </c>
    </row>
    <row r="2151">
      <c r="A2151" s="42">
        <f>_xlfn.XLOOKUP(17844,Trip[shape_id],Trip[shape_id],"Não encontrado")</f>
        <v/>
      </c>
      <c r="B2151" s="43" t="n">
        <v>-23.654251</v>
      </c>
      <c r="C2151" s="43" t="n">
        <v>-46.708951</v>
      </c>
      <c r="D2151" s="43" t="n">
        <v>182</v>
      </c>
      <c r="E2151" s="44" t="n">
        <v>11389.743</v>
      </c>
    </row>
    <row r="2152">
      <c r="A2152" s="39">
        <f>_xlfn.XLOOKUP(17844,Trip[shape_id],Trip[shape_id],"Não encontrado")</f>
        <v/>
      </c>
      <c r="B2152" s="40" t="n">
        <v>-23.654402</v>
      </c>
      <c r="C2152" s="40" t="n">
        <v>-46.709857</v>
      </c>
      <c r="D2152" s="40" t="n">
        <v>183</v>
      </c>
      <c r="E2152" s="41" t="n">
        <v>11483.676</v>
      </c>
    </row>
    <row r="2153">
      <c r="A2153" s="42">
        <f>_xlfn.XLOOKUP(17844,Trip[shape_id],Trip[shape_id],"Não encontrado")</f>
        <v/>
      </c>
      <c r="B2153" s="43" t="n">
        <v>-23.654443</v>
      </c>
      <c r="C2153" s="43" t="n">
        <v>-46.710093</v>
      </c>
      <c r="D2153" s="43" t="n">
        <v>184</v>
      </c>
      <c r="E2153" s="44" t="n">
        <v>11508.177</v>
      </c>
    </row>
    <row r="2154">
      <c r="A2154" s="39">
        <f>_xlfn.XLOOKUP(17844,Trip[shape_id],Trip[shape_id],"Não encontrado")</f>
        <v/>
      </c>
      <c r="B2154" s="40" t="n">
        <v>-23.654698</v>
      </c>
      <c r="C2154" s="40" t="n">
        <v>-46.712046</v>
      </c>
      <c r="D2154" s="40" t="n">
        <v>185</v>
      </c>
      <c r="E2154" s="41" t="n">
        <v>11790.801</v>
      </c>
    </row>
    <row r="2155">
      <c r="A2155" s="42">
        <f>_xlfn.XLOOKUP(17844,Trip[shape_id],Trip[shape_id],"Não encontrado")</f>
        <v/>
      </c>
      <c r="B2155" s="43" t="n">
        <v>-23.6548</v>
      </c>
      <c r="C2155" s="43" t="n">
        <v>-46.712836</v>
      </c>
      <c r="D2155" s="43" t="n">
        <v>186</v>
      </c>
      <c r="E2155" s="44" t="n">
        <v>11819.497</v>
      </c>
    </row>
    <row r="2156">
      <c r="A2156" s="39">
        <f>_xlfn.XLOOKUP(17844,Trip[shape_id],Trip[shape_id],"Não encontrado")</f>
        <v/>
      </c>
      <c r="B2156" s="40" t="n">
        <v>-23.654866</v>
      </c>
      <c r="C2156" s="40" t="n">
        <v>-46.713108</v>
      </c>
      <c r="D2156" s="40" t="n">
        <v>187</v>
      </c>
      <c r="E2156" s="41" t="n">
        <v>11864.813</v>
      </c>
    </row>
    <row r="2157">
      <c r="A2157" s="42">
        <f>_xlfn.XLOOKUP(17844,Trip[shape_id],Trip[shape_id],"Não encontrado")</f>
        <v/>
      </c>
      <c r="B2157" s="43" t="n">
        <v>-23.654922</v>
      </c>
      <c r="C2157" s="43" t="n">
        <v>-46.713548</v>
      </c>
      <c r="D2157" s="43" t="n">
        <v>188</v>
      </c>
      <c r="E2157" s="44" t="n">
        <v>11901.889</v>
      </c>
    </row>
    <row r="2158">
      <c r="A2158" s="39">
        <f>_xlfn.XLOOKUP(17844,Trip[shape_id],Trip[shape_id],"Não encontrado")</f>
        <v/>
      </c>
      <c r="B2158" s="40" t="n">
        <v>-23.654906</v>
      </c>
      <c r="C2158" s="40" t="n">
        <v>-46.713911</v>
      </c>
      <c r="D2158" s="40" t="n">
        <v>189</v>
      </c>
      <c r="E2158" s="41" t="n">
        <v>11954.036</v>
      </c>
    </row>
    <row r="2159">
      <c r="A2159" s="42">
        <f>_xlfn.XLOOKUP(17844,Trip[shape_id],Trip[shape_id],"Não encontrado")</f>
        <v/>
      </c>
      <c r="B2159" s="43" t="n">
        <v>-23.654895</v>
      </c>
      <c r="C2159" s="43" t="n">
        <v>-46.714422</v>
      </c>
      <c r="D2159" s="43" t="n">
        <v>190</v>
      </c>
      <c r="E2159" s="44" t="n">
        <v>11974.441</v>
      </c>
    </row>
    <row r="2160">
      <c r="A2160" s="39">
        <f>_xlfn.XLOOKUP(17844,Trip[shape_id],Trip[shape_id],"Não encontrado")</f>
        <v/>
      </c>
      <c r="B2160" s="40" t="n">
        <v>-23.654893</v>
      </c>
      <c r="C2160" s="40" t="n">
        <v>-46.714622</v>
      </c>
      <c r="D2160" s="40" t="n">
        <v>191</v>
      </c>
      <c r="E2160" s="41" t="n">
        <v>12024.845</v>
      </c>
    </row>
    <row r="2161">
      <c r="A2161" s="42">
        <f>_xlfn.XLOOKUP(17844,Trip[shape_id],Trip[shape_id],"Não encontrado")</f>
        <v/>
      </c>
      <c r="B2161" s="43" t="n">
        <v>-23.654899</v>
      </c>
      <c r="C2161" s="43" t="n">
        <v>-46.715116</v>
      </c>
      <c r="D2161" s="43" t="n">
        <v>192</v>
      </c>
      <c r="E2161" s="44" t="n">
        <v>12039.536</v>
      </c>
    </row>
    <row r="2162">
      <c r="A2162" s="39">
        <f>_xlfn.XLOOKUP(17844,Trip[shape_id],Trip[shape_id],"Não encontrado")</f>
        <v/>
      </c>
      <c r="B2162" s="40" t="n">
        <v>-23.6549</v>
      </c>
      <c r="C2162" s="40" t="n">
        <v>-46.71526</v>
      </c>
      <c r="D2162" s="40" t="n">
        <v>193</v>
      </c>
      <c r="E2162" s="41" t="n">
        <v>12090.722</v>
      </c>
    </row>
    <row r="2163">
      <c r="A2163" s="42">
        <f>_xlfn.XLOOKUP(17844,Trip[shape_id],Trip[shape_id],"Não encontrado")</f>
        <v/>
      </c>
      <c r="B2163" s="43" t="n">
        <v>-23.654948</v>
      </c>
      <c r="C2163" s="43" t="n">
        <v>-46.715759</v>
      </c>
      <c r="D2163" s="43" t="n">
        <v>194</v>
      </c>
      <c r="E2163" s="44" t="n">
        <v>12140.141</v>
      </c>
    </row>
    <row r="2164">
      <c r="A2164" s="39">
        <f>_xlfn.XLOOKUP(17844,Trip[shape_id],Trip[shape_id],"Não encontrado")</f>
        <v/>
      </c>
      <c r="B2164" s="40" t="n">
        <v>-23.655008</v>
      </c>
      <c r="C2164" s="40" t="n">
        <v>-46.716239</v>
      </c>
      <c r="D2164" s="40" t="n">
        <v>195</v>
      </c>
      <c r="E2164" s="41" t="n">
        <v>12140.141</v>
      </c>
    </row>
    <row r="2165">
      <c r="A2165" s="42">
        <f>_xlfn.XLOOKUP(17844,Trip[shape_id],Trip[shape_id],"Não encontrado")</f>
        <v/>
      </c>
      <c r="B2165" s="43" t="n">
        <v>-23.655117</v>
      </c>
      <c r="C2165" s="43" t="n">
        <v>-46.717121</v>
      </c>
      <c r="D2165" s="43" t="n">
        <v>196</v>
      </c>
      <c r="E2165" s="44" t="n">
        <v>12319.166</v>
      </c>
    </row>
    <row r="2166">
      <c r="A2166" s="39">
        <f>_xlfn.XLOOKUP(17844,Trip[shape_id],Trip[shape_id],"Não encontrado")</f>
        <v/>
      </c>
      <c r="B2166" s="40" t="n">
        <v>-23.655291</v>
      </c>
      <c r="C2166" s="40" t="n">
        <v>-46.717965</v>
      </c>
      <c r="D2166" s="40" t="n">
        <v>197</v>
      </c>
      <c r="E2166" s="41" t="n">
        <v>12388.113</v>
      </c>
    </row>
    <row r="2167">
      <c r="A2167" s="42">
        <f>_xlfn.XLOOKUP(17844,Trip[shape_id],Trip[shape_id],"Não encontrado")</f>
        <v/>
      </c>
      <c r="B2167" s="43" t="n">
        <v>-23.655429</v>
      </c>
      <c r="C2167" s="43" t="n">
        <v>-46.718624</v>
      </c>
      <c r="D2167" s="43" t="n">
        <v>198</v>
      </c>
      <c r="E2167" s="44" t="n">
        <v>12436.079</v>
      </c>
    </row>
    <row r="2168">
      <c r="A2168" s="39">
        <f>_xlfn.XLOOKUP(17844,Trip[shape_id],Trip[shape_id],"Não encontrado")</f>
        <v/>
      </c>
      <c r="B2168" s="40" t="n">
        <v>-23.655493</v>
      </c>
      <c r="C2168" s="40" t="n">
        <v>-46.719089</v>
      </c>
      <c r="D2168" s="40" t="n">
        <v>199</v>
      </c>
      <c r="E2168" s="41" t="n">
        <v>12445.054</v>
      </c>
    </row>
    <row r="2169">
      <c r="A2169" s="42">
        <f>_xlfn.XLOOKUP(17844,Trip[shape_id],Trip[shape_id],"Não encontrado")</f>
        <v/>
      </c>
      <c r="B2169" s="43" t="n">
        <v>-23.655505</v>
      </c>
      <c r="C2169" s="43" t="n">
        <v>-46.719176</v>
      </c>
      <c r="D2169" s="43" t="n">
        <v>200</v>
      </c>
      <c r="E2169" s="44" t="n">
        <v>12501.01</v>
      </c>
    </row>
    <row r="2170">
      <c r="A2170" s="39">
        <f>_xlfn.XLOOKUP(17844,Trip[shape_id],Trip[shape_id],"Não encontrado")</f>
        <v/>
      </c>
      <c r="B2170" s="40" t="n">
        <v>-23.655542</v>
      </c>
      <c r="C2170" s="40" t="n">
        <v>-46.719723</v>
      </c>
      <c r="D2170" s="40" t="n">
        <v>201</v>
      </c>
      <c r="E2170" s="41" t="n">
        <v>12501.01</v>
      </c>
    </row>
    <row r="2171">
      <c r="A2171" s="42">
        <f>_xlfn.XLOOKUP(17844,Trip[shape_id],Trip[shape_id],"Não encontrado")</f>
        <v/>
      </c>
      <c r="B2171" s="43" t="n">
        <v>-23.655569</v>
      </c>
      <c r="C2171" s="43" t="n">
        <v>-46.720126</v>
      </c>
      <c r="D2171" s="43" t="n">
        <v>202</v>
      </c>
      <c r="E2171" s="44" t="n">
        <v>12576.911</v>
      </c>
    </row>
    <row r="2172">
      <c r="A2172" s="39">
        <f>_xlfn.XLOOKUP(17844,Trip[shape_id],Trip[shape_id],"Não encontrado")</f>
        <v/>
      </c>
      <c r="B2172" s="40" t="n">
        <v>-23.655592</v>
      </c>
      <c r="C2172" s="40" t="n">
        <v>-46.720465</v>
      </c>
      <c r="D2172" s="40" t="n">
        <v>203</v>
      </c>
      <c r="E2172" s="41" t="n">
        <v>12613.687</v>
      </c>
    </row>
    <row r="2173">
      <c r="A2173" s="42">
        <f>_xlfn.XLOOKUP(17844,Trip[shape_id],Trip[shape_id],"Não encontrado")</f>
        <v/>
      </c>
      <c r="B2173" s="43" t="n">
        <v>-23.655622</v>
      </c>
      <c r="C2173" s="43" t="n">
        <v>-46.720824</v>
      </c>
      <c r="D2173" s="43" t="n">
        <v>204</v>
      </c>
      <c r="E2173" s="44" t="n">
        <v>12634.98</v>
      </c>
    </row>
    <row r="2174">
      <c r="A2174" s="39">
        <f>_xlfn.XLOOKUP(17844,Trip[shape_id],Trip[shape_id],"Não encontrado")</f>
        <v/>
      </c>
      <c r="B2174" s="40" t="n">
        <v>-23.655638</v>
      </c>
      <c r="C2174" s="40" t="n">
        <v>-46.721032</v>
      </c>
      <c r="D2174" s="40" t="n">
        <v>205</v>
      </c>
      <c r="E2174" s="41" t="n">
        <v>12696.394</v>
      </c>
    </row>
    <row r="2175">
      <c r="A2175" s="42">
        <f>_xlfn.XLOOKUP(17844,Trip[shape_id],Trip[shape_id],"Não encontrado")</f>
        <v/>
      </c>
      <c r="B2175" s="43" t="n">
        <v>-23.655693</v>
      </c>
      <c r="C2175" s="43" t="n">
        <v>-46.721631</v>
      </c>
      <c r="D2175" s="43" t="n">
        <v>206</v>
      </c>
      <c r="E2175" s="44" t="n">
        <v>12767.593</v>
      </c>
    </row>
    <row r="2176">
      <c r="A2176" s="39">
        <f>_xlfn.XLOOKUP(17844,Trip[shape_id],Trip[shape_id],"Não encontrado")</f>
        <v/>
      </c>
      <c r="B2176" s="40" t="n">
        <v>-23.655769</v>
      </c>
      <c r="C2176" s="40" t="n">
        <v>-46.722324</v>
      </c>
      <c r="D2176" s="40" t="n">
        <v>207</v>
      </c>
      <c r="E2176" s="41" t="n">
        <v>12888.275</v>
      </c>
    </row>
    <row r="2177">
      <c r="A2177" s="42">
        <f>_xlfn.XLOOKUP(17844,Trip[shape_id],Trip[shape_id],"Não encontrado")</f>
        <v/>
      </c>
      <c r="B2177" s="43" t="n">
        <v>-23.655812</v>
      </c>
      <c r="C2177" s="43" t="n">
        <v>-46.723506</v>
      </c>
      <c r="D2177" s="43" t="n">
        <v>208</v>
      </c>
      <c r="E2177" s="44" t="n">
        <v>12986.153</v>
      </c>
    </row>
    <row r="2178">
      <c r="A2178" s="39">
        <f>_xlfn.XLOOKUP(17844,Trip[shape_id],Trip[shape_id],"Não encontrado")</f>
        <v/>
      </c>
      <c r="B2178" s="40" t="n">
        <v>-23.655614</v>
      </c>
      <c r="C2178" s="40" t="n">
        <v>-46.724441</v>
      </c>
      <c r="D2178" s="40" t="n">
        <v>209</v>
      </c>
      <c r="E2178" s="41" t="n">
        <v>13048.843</v>
      </c>
    </row>
    <row r="2179">
      <c r="A2179" s="42">
        <f>_xlfn.XLOOKUP(17844,Trip[shape_id],Trip[shape_id],"Não encontrado")</f>
        <v/>
      </c>
      <c r="B2179" s="43" t="n">
        <v>-23.655373</v>
      </c>
      <c r="C2179" s="43" t="n">
        <v>-46.724997</v>
      </c>
      <c r="D2179" s="43" t="n">
        <v>210</v>
      </c>
      <c r="E2179" s="44" t="n">
        <v>13120.85</v>
      </c>
    </row>
    <row r="2180">
      <c r="A2180" s="39">
        <f>_xlfn.XLOOKUP(17844,Trip[shape_id],Trip[shape_id],"Não encontrado")</f>
        <v/>
      </c>
      <c r="B2180" s="40" t="n">
        <v>-23.655012</v>
      </c>
      <c r="C2180" s="40" t="n">
        <v>-46.725584</v>
      </c>
      <c r="D2180" s="40" t="n">
        <v>211</v>
      </c>
      <c r="E2180" s="41" t="n">
        <v>13218.464</v>
      </c>
    </row>
    <row r="2181">
      <c r="A2181" s="42">
        <f>_xlfn.XLOOKUP(17844,Trip[shape_id],Trip[shape_id],"Não encontrado")</f>
        <v/>
      </c>
      <c r="B2181" s="43" t="n">
        <v>-23.654439</v>
      </c>
      <c r="C2181" s="43" t="n">
        <v>-46.726311</v>
      </c>
      <c r="D2181" s="43" t="n">
        <v>212</v>
      </c>
      <c r="E2181" s="44" t="n">
        <v>13290.708</v>
      </c>
    </row>
    <row r="2182">
      <c r="A2182" s="39">
        <f>_xlfn.XLOOKUP(17844,Trip[shape_id],Trip[shape_id],"Não encontrado")</f>
        <v/>
      </c>
      <c r="B2182" s="40" t="n">
        <v>-23.653849</v>
      </c>
      <c r="C2182" s="40" t="n">
        <v>-46.726613</v>
      </c>
      <c r="D2182" s="40" t="n">
        <v>213</v>
      </c>
      <c r="E2182" s="41" t="n">
        <v>13326.157</v>
      </c>
    </row>
    <row r="2183">
      <c r="A2183" s="42">
        <f>_xlfn.XLOOKUP(17844,Trip[shape_id],Trip[shape_id],"Não encontrado")</f>
        <v/>
      </c>
      <c r="B2183" s="43" t="n">
        <v>-23.65355</v>
      </c>
      <c r="C2183" s="43" t="n">
        <v>-46.726737</v>
      </c>
      <c r="D2183" s="43" t="n">
        <v>214</v>
      </c>
      <c r="E2183" s="44" t="n">
        <v>13392.755</v>
      </c>
    </row>
    <row r="2184">
      <c r="A2184" s="39">
        <f>_xlfn.XLOOKUP(17844,Trip[shape_id],Trip[shape_id],"Não encontrado")</f>
        <v/>
      </c>
      <c r="B2184" s="40" t="n">
        <v>-23.652975</v>
      </c>
      <c r="C2184" s="40" t="n">
        <v>-46.726928</v>
      </c>
      <c r="D2184" s="40" t="n">
        <v>215</v>
      </c>
      <c r="E2184" s="41" t="n">
        <v>13473.435</v>
      </c>
    </row>
    <row r="2185">
      <c r="A2185" s="42">
        <f>_xlfn.XLOOKUP(17844,Trip[shape_id],Trip[shape_id],"Não encontrado")</f>
        <v/>
      </c>
      <c r="B2185" s="43" t="n">
        <v>-23.652249</v>
      </c>
      <c r="C2185" s="43" t="n">
        <v>-46.726993</v>
      </c>
      <c r="D2185" s="43" t="n">
        <v>216</v>
      </c>
      <c r="E2185" s="44" t="n">
        <v>13538.821</v>
      </c>
    </row>
    <row r="2186">
      <c r="A2186" s="39">
        <f>_xlfn.XLOOKUP(17844,Trip[shape_id],Trip[shape_id],"Não encontrado")</f>
        <v/>
      </c>
      <c r="B2186" s="40" t="n">
        <v>-23.651659</v>
      </c>
      <c r="C2186" s="40" t="n">
        <v>-46.72697</v>
      </c>
      <c r="D2186" s="40" t="n">
        <v>217</v>
      </c>
      <c r="E2186" s="41" t="n">
        <v>13669.768</v>
      </c>
    </row>
    <row r="2187">
      <c r="A2187" s="42">
        <f>_xlfn.XLOOKUP(17844,Trip[shape_id],Trip[shape_id],"Não encontrado")</f>
        <v/>
      </c>
      <c r="B2187" s="43" t="n">
        <v>-23.650477</v>
      </c>
      <c r="C2187" s="43" t="n">
        <v>-46.72694</v>
      </c>
      <c r="D2187" s="43" t="n">
        <v>218</v>
      </c>
      <c r="E2187" s="44" t="n">
        <v>13846.103</v>
      </c>
    </row>
    <row r="2188">
      <c r="A2188" s="39">
        <f>_xlfn.XLOOKUP(17844,Trip[shape_id],Trip[shape_id],"Não encontrado")</f>
        <v/>
      </c>
      <c r="B2188" s="40" t="n">
        <v>-23.648885</v>
      </c>
      <c r="C2188" s="40" t="n">
        <v>-46.726917</v>
      </c>
      <c r="D2188" s="40" t="n">
        <v>219</v>
      </c>
      <c r="E2188" s="41" t="n">
        <v>13914.235</v>
      </c>
    </row>
    <row r="2189">
      <c r="A2189" s="42">
        <f>_xlfn.XLOOKUP(17844,Trip[shape_id],Trip[shape_id],"Não encontrado")</f>
        <v/>
      </c>
      <c r="B2189" s="43" t="n">
        <v>-23.64827</v>
      </c>
      <c r="C2189" s="43" t="n">
        <v>-46.726901</v>
      </c>
      <c r="D2189" s="43" t="n">
        <v>220</v>
      </c>
      <c r="E2189" s="44" t="n">
        <v>13965.957</v>
      </c>
    </row>
    <row r="2190">
      <c r="A2190" s="39">
        <f>_xlfn.XLOOKUP(17844,Trip[shape_id],Trip[shape_id],"Não encontrado")</f>
        <v/>
      </c>
      <c r="B2190" s="40" t="n">
        <v>-23.647803</v>
      </c>
      <c r="C2190" s="40" t="n">
        <v>-46.726901</v>
      </c>
      <c r="D2190" s="40" t="n">
        <v>221</v>
      </c>
      <c r="E2190" s="41" t="n">
        <v>14062.048</v>
      </c>
    </row>
    <row r="2191">
      <c r="A2191" s="42">
        <f>_xlfn.XLOOKUP(17844,Trip[shape_id],Trip[shape_id],"Não encontrado")</f>
        <v/>
      </c>
      <c r="B2191" s="43" t="n">
        <v>-23.64694</v>
      </c>
      <c r="C2191" s="43" t="n">
        <v>-46.726998</v>
      </c>
      <c r="D2191" s="43" t="n">
        <v>222</v>
      </c>
      <c r="E2191" s="44" t="n">
        <v>14141.873</v>
      </c>
    </row>
    <row r="2192">
      <c r="A2192" s="39">
        <f>_xlfn.XLOOKUP(17844,Trip[shape_id],Trip[shape_id],"Não encontrado")</f>
        <v/>
      </c>
      <c r="B2192" s="40" t="n">
        <v>-23.646254</v>
      </c>
      <c r="C2192" s="40" t="n">
        <v>-46.727238</v>
      </c>
      <c r="D2192" s="40" t="n">
        <v>223</v>
      </c>
      <c r="E2192" s="41" t="n">
        <v>14239.307</v>
      </c>
    </row>
    <row r="2193">
      <c r="A2193" s="42">
        <f>_xlfn.XLOOKUP(17844,Trip[shape_id],Trip[shape_id],"Não encontrado")</f>
        <v/>
      </c>
      <c r="B2193" s="43" t="n">
        <v>-23.6455</v>
      </c>
      <c r="C2193" s="43" t="n">
        <v>-46.72773</v>
      </c>
      <c r="D2193" s="43" t="n">
        <v>224</v>
      </c>
      <c r="E2193" s="44" t="n">
        <v>14313.62</v>
      </c>
    </row>
    <row r="2194">
      <c r="A2194" s="39">
        <f>_xlfn.XLOOKUP(17844,Trip[shape_id],Trip[shape_id],"Não encontrado")</f>
        <v/>
      </c>
      <c r="B2194" s="40" t="n">
        <v>-23.645058</v>
      </c>
      <c r="C2194" s="40" t="n">
        <v>-46.728278</v>
      </c>
      <c r="D2194" s="40" t="n">
        <v>225</v>
      </c>
      <c r="E2194" s="41" t="n">
        <v>14375.98</v>
      </c>
    </row>
    <row r="2195">
      <c r="A2195" s="42">
        <f>_xlfn.XLOOKUP(17844,Trip[shape_id],Trip[shape_id],"Não encontrado")</f>
        <v/>
      </c>
      <c r="B2195" s="43" t="n">
        <v>-23.644796</v>
      </c>
      <c r="C2195" s="43" t="n">
        <v>-46.728819</v>
      </c>
      <c r="D2195" s="43" t="n">
        <v>226</v>
      </c>
      <c r="E2195" s="44" t="n">
        <v>14534.184</v>
      </c>
    </row>
    <row r="2196">
      <c r="A2196" s="39">
        <f>_xlfn.XLOOKUP(17844,Trip[shape_id],Trip[shape_id],"Não encontrado")</f>
        <v/>
      </c>
      <c r="B2196" s="40" t="n">
        <v>-23.644456</v>
      </c>
      <c r="C2196" s="40" t="n">
        <v>-46.730325</v>
      </c>
      <c r="D2196" s="40" t="n">
        <v>227</v>
      </c>
      <c r="E2196" s="41" t="n">
        <v>14656.961</v>
      </c>
    </row>
    <row r="2197">
      <c r="A2197" s="42">
        <f>_xlfn.XLOOKUP(17844,Trip[shape_id],Trip[shape_id],"Não encontrado")</f>
        <v/>
      </c>
      <c r="B2197" s="43" t="n">
        <v>-23.644221</v>
      </c>
      <c r="C2197" s="43" t="n">
        <v>-46.731501</v>
      </c>
      <c r="D2197" s="43" t="n">
        <v>228</v>
      </c>
      <c r="E2197" s="44" t="n">
        <v>14713.065</v>
      </c>
    </row>
    <row r="2198">
      <c r="A2198" s="39">
        <f>_xlfn.XLOOKUP(17844,Trip[shape_id],Trip[shape_id],"Não encontrado")</f>
        <v/>
      </c>
      <c r="B2198" s="40" t="n">
        <v>-23.644112</v>
      </c>
      <c r="C2198" s="40" t="n">
        <v>-46.732038</v>
      </c>
      <c r="D2198" s="40" t="n">
        <v>229</v>
      </c>
      <c r="E2198" s="41" t="n">
        <v>14770.255</v>
      </c>
    </row>
    <row r="2199">
      <c r="A2199" s="42">
        <f>_xlfn.XLOOKUP(17844,Trip[shape_id],Trip[shape_id],"Não encontrado")</f>
        <v/>
      </c>
      <c r="B2199" s="43" t="n">
        <v>-23.644074</v>
      </c>
      <c r="C2199" s="43" t="n">
        <v>-46.732597</v>
      </c>
      <c r="D2199" s="43" t="n">
        <v>230</v>
      </c>
      <c r="E2199" s="44" t="n">
        <v>14857.408</v>
      </c>
    </row>
    <row r="2200">
      <c r="A2200" s="39">
        <f>_xlfn.XLOOKUP(17844,Trip[shape_id],Trip[shape_id],"Não encontrado")</f>
        <v/>
      </c>
      <c r="B2200" s="40" t="n">
        <v>-23.644057</v>
      </c>
      <c r="C2200" s="40" t="n">
        <v>-46.733451</v>
      </c>
      <c r="D2200" s="40" t="n">
        <v>231</v>
      </c>
      <c r="E2200" s="41" t="n">
        <v>14873.473</v>
      </c>
    </row>
    <row r="2201">
      <c r="A2201" s="42">
        <f>_xlfn.XLOOKUP(17844,Trip[shape_id],Trip[shape_id],"Não encontrado")</f>
        <v/>
      </c>
      <c r="B2201" s="43" t="n">
        <v>-23.644046</v>
      </c>
      <c r="C2201" s="43" t="n">
        <v>-46.733608</v>
      </c>
      <c r="D2201" s="43" t="n">
        <v>232</v>
      </c>
      <c r="E2201" s="44" t="n">
        <v>14911.979</v>
      </c>
    </row>
    <row r="2202">
      <c r="A2202" s="39">
        <f>_xlfn.XLOOKUP(17844,Trip[shape_id],Trip[shape_id],"Não encontrado")</f>
        <v/>
      </c>
      <c r="B2202" s="40" t="n">
        <v>-23.643993</v>
      </c>
      <c r="C2202" s="40" t="n">
        <v>-46.733981</v>
      </c>
      <c r="D2202" s="40" t="n">
        <v>233</v>
      </c>
      <c r="E2202" s="41" t="n">
        <v>14922.228</v>
      </c>
    </row>
    <row r="2203">
      <c r="A2203" s="42">
        <f>_xlfn.XLOOKUP(17844,Trip[shape_id],Trip[shape_id],"Não encontrado")</f>
        <v/>
      </c>
      <c r="B2203" s="43" t="n">
        <v>-23.643969</v>
      </c>
      <c r="C2203" s="43" t="n">
        <v>-46.734078</v>
      </c>
      <c r="D2203" s="43" t="n">
        <v>234</v>
      </c>
      <c r="E2203" s="44" t="n">
        <v>14922.228</v>
      </c>
    </row>
    <row r="2204">
      <c r="A2204" s="39">
        <f>_xlfn.XLOOKUP(17844,Trip[shape_id],Trip[shape_id],"Não encontrado")</f>
        <v/>
      </c>
      <c r="B2204" s="40" t="n">
        <v>-23.643854</v>
      </c>
      <c r="C2204" s="40" t="n">
        <v>-46.73451</v>
      </c>
      <c r="D2204" s="40" t="n">
        <v>235</v>
      </c>
      <c r="E2204" s="41" t="n">
        <v>14974.102</v>
      </c>
    </row>
    <row r="2205">
      <c r="A2205" s="42">
        <f>_xlfn.XLOOKUP(17844,Trip[shape_id],Trip[shape_id],"Não encontrado")</f>
        <v/>
      </c>
      <c r="B2205" s="43" t="n">
        <v>-23.643835</v>
      </c>
      <c r="C2205" s="43" t="n">
        <v>-46.734565</v>
      </c>
      <c r="D2205" s="43" t="n">
        <v>236</v>
      </c>
      <c r="E2205" s="44" t="n">
        <v>14987.907</v>
      </c>
    </row>
    <row r="2206">
      <c r="A2206" s="39">
        <f>_xlfn.XLOOKUP(17844,Trip[shape_id],Trip[shape_id],"Não encontrado")</f>
        <v/>
      </c>
      <c r="B2206" s="40" t="n">
        <v>-23.643792</v>
      </c>
      <c r="C2206" s="40" t="n">
        <v>-46.734692</v>
      </c>
      <c r="D2206" s="40" t="n">
        <v>237</v>
      </c>
      <c r="E2206" s="41" t="n">
        <v>15032.693</v>
      </c>
    </row>
    <row r="2207">
      <c r="A2207" s="42">
        <f>_xlfn.XLOOKUP(17844,Trip[shape_id],Trip[shape_id],"Não encontrado")</f>
        <v/>
      </c>
      <c r="B2207" s="43" t="n">
        <v>-23.64365</v>
      </c>
      <c r="C2207" s="43" t="n">
        <v>-46.735103</v>
      </c>
      <c r="D2207" s="43" t="n">
        <v>238</v>
      </c>
      <c r="E2207" s="44" t="n">
        <v>15083.56</v>
      </c>
    </row>
    <row r="2208">
      <c r="A2208" s="39">
        <f>_xlfn.XLOOKUP(17844,Trip[shape_id],Trip[shape_id],"Não encontrado")</f>
        <v/>
      </c>
      <c r="B2208" s="40" t="n">
        <v>-23.643424</v>
      </c>
      <c r="C2208" s="40" t="n">
        <v>-46.735537</v>
      </c>
      <c r="D2208" s="40" t="n">
        <v>239</v>
      </c>
      <c r="E2208" s="41" t="n">
        <v>15094.04</v>
      </c>
    </row>
    <row r="2209">
      <c r="A2209" s="42">
        <f>_xlfn.XLOOKUP(17844,Trip[shape_id],Trip[shape_id],"Não encontrado")</f>
        <v/>
      </c>
      <c r="B2209" s="43" t="n">
        <v>-23.643367</v>
      </c>
      <c r="C2209" s="43" t="n">
        <v>-46.735619</v>
      </c>
      <c r="D2209" s="43" t="n">
        <v>240</v>
      </c>
      <c r="E2209" s="44" t="n">
        <v>15131.707</v>
      </c>
    </row>
    <row r="2210">
      <c r="A2210" s="39">
        <f>_xlfn.XLOOKUP(17844,Trip[shape_id],Trip[shape_id],"Não encontrado")</f>
        <v/>
      </c>
      <c r="B2210" s="40" t="n">
        <v>-23.643165</v>
      </c>
      <c r="C2210" s="40" t="n">
        <v>-46.735916</v>
      </c>
      <c r="D2210" s="40" t="n">
        <v>241</v>
      </c>
      <c r="E2210" s="41" t="n">
        <v>15173.679</v>
      </c>
    </row>
    <row r="2211">
      <c r="A2211" s="42">
        <f>_xlfn.XLOOKUP(17844,Trip[shape_id],Trip[shape_id],"Não encontrado")</f>
        <v/>
      </c>
      <c r="B2211" s="43" t="n">
        <v>-23.642899</v>
      </c>
      <c r="C2211" s="43" t="n">
        <v>-46.736209</v>
      </c>
      <c r="D2211" s="43" t="n">
        <v>242</v>
      </c>
      <c r="E2211" s="44" t="n">
        <v>15216.926</v>
      </c>
    </row>
    <row r="2212">
      <c r="A2212" s="39">
        <f>_xlfn.XLOOKUP(17844,Trip[shape_id],Trip[shape_id],"Não encontrado")</f>
        <v/>
      </c>
      <c r="B2212" s="40" t="n">
        <v>-23.642583</v>
      </c>
      <c r="C2212" s="40" t="n">
        <v>-46.736458</v>
      </c>
      <c r="D2212" s="40" t="n">
        <v>243</v>
      </c>
      <c r="E2212" s="41" t="n">
        <v>15245.666</v>
      </c>
    </row>
    <row r="2213">
      <c r="A2213" s="42">
        <f>_xlfn.XLOOKUP(17844,Trip[shape_id],Trip[shape_id],"Não encontrado")</f>
        <v/>
      </c>
      <c r="B2213" s="43" t="n">
        <v>-23.64235</v>
      </c>
      <c r="C2213" s="43" t="n">
        <v>-46.736582</v>
      </c>
      <c r="D2213" s="43" t="n">
        <v>244</v>
      </c>
      <c r="E2213" s="44" t="n">
        <v>15271.436</v>
      </c>
    </row>
    <row r="2214">
      <c r="A2214" s="39">
        <f>_xlfn.XLOOKUP(17844,Trip[shape_id],Trip[shape_id],"Não encontrado")</f>
        <v/>
      </c>
      <c r="B2214" s="40" t="n">
        <v>-23.642141</v>
      </c>
      <c r="C2214" s="40" t="n">
        <v>-46.736693</v>
      </c>
      <c r="D2214" s="40" t="n">
        <v>245</v>
      </c>
      <c r="E2214" s="41" t="n">
        <v>15306.179</v>
      </c>
    </row>
    <row r="2215">
      <c r="A2215" s="42">
        <f>_xlfn.XLOOKUP(17844,Trip[shape_id],Trip[shape_id],"Não encontrado")</f>
        <v/>
      </c>
      <c r="B2215" s="43" t="n">
        <v>-23.641835</v>
      </c>
      <c r="C2215" s="43" t="n">
        <v>-46.736768</v>
      </c>
      <c r="D2215" s="43" t="n">
        <v>246</v>
      </c>
      <c r="E2215" s="44" t="n">
        <v>15356.078</v>
      </c>
    </row>
    <row r="2216">
      <c r="A2216" s="39">
        <f>_xlfn.XLOOKUP(17844,Trip[shape_id],Trip[shape_id],"Não encontrado")</f>
        <v/>
      </c>
      <c r="B2216" s="40" t="n">
        <v>-23.641396</v>
      </c>
      <c r="C2216" s="40" t="n">
        <v>-46.736878</v>
      </c>
      <c r="D2216" s="40" t="n">
        <v>247</v>
      </c>
      <c r="E2216" s="41" t="n">
        <v>15394.612</v>
      </c>
    </row>
    <row r="2217">
      <c r="A2217" s="42">
        <f>_xlfn.XLOOKUP(17844,Trip[shape_id],Trip[shape_id],"Não encontrado")</f>
        <v/>
      </c>
      <c r="B2217" s="43" t="n">
        <v>-23.641057</v>
      </c>
      <c r="C2217" s="43" t="n">
        <v>-46.736963</v>
      </c>
      <c r="D2217" s="43" t="n">
        <v>248</v>
      </c>
      <c r="E2217" s="44" t="n">
        <v>15434.535</v>
      </c>
    </row>
    <row r="2218">
      <c r="A2218" s="39">
        <f>_xlfn.XLOOKUP(17844,Trip[shape_id],Trip[shape_id],"Não encontrado")</f>
        <v/>
      </c>
      <c r="B2218" s="40" t="n">
        <v>-23.640709</v>
      </c>
      <c r="C2218" s="40" t="n">
        <v>-46.737065</v>
      </c>
      <c r="D2218" s="40" t="n">
        <v>249</v>
      </c>
      <c r="E2218" s="41" t="n">
        <v>15480.641</v>
      </c>
    </row>
    <row r="2219">
      <c r="A2219" s="42">
        <f>_xlfn.XLOOKUP(17844,Trip[shape_id],Trip[shape_id],"Não encontrado")</f>
        <v/>
      </c>
      <c r="B2219" s="43" t="n">
        <v>-23.640305</v>
      </c>
      <c r="C2219" s="43" t="n">
        <v>-46.737174</v>
      </c>
      <c r="D2219" s="43" t="n">
        <v>250</v>
      </c>
      <c r="E2219" s="44" t="n">
        <v>15512.996</v>
      </c>
    </row>
    <row r="2220">
      <c r="A2220" s="39">
        <f>_xlfn.XLOOKUP(17844,Trip[shape_id],Trip[shape_id],"Não encontrado")</f>
        <v/>
      </c>
      <c r="B2220" s="40" t="n">
        <v>-23.640031</v>
      </c>
      <c r="C2220" s="40" t="n">
        <v>-46.737284</v>
      </c>
      <c r="D2220" s="40" t="n">
        <v>251</v>
      </c>
      <c r="E2220" s="41" t="n">
        <v>15552.39</v>
      </c>
    </row>
    <row r="2221">
      <c r="A2221" s="42">
        <f>_xlfn.XLOOKUP(17844,Trip[shape_id],Trip[shape_id],"Não encontrado")</f>
        <v/>
      </c>
      <c r="B2221" s="43" t="n">
        <v>-23.639709</v>
      </c>
      <c r="C2221" s="43" t="n">
        <v>-46.737448</v>
      </c>
      <c r="D2221" s="43" t="n">
        <v>252</v>
      </c>
      <c r="E2221" s="44" t="n">
        <v>15594.636</v>
      </c>
    </row>
    <row r="2222">
      <c r="A2222" s="39">
        <f>_xlfn.XLOOKUP(17844,Trip[shape_id],Trip[shape_id],"Não encontrado")</f>
        <v/>
      </c>
      <c r="B2222" s="40" t="n">
        <v>-23.639374</v>
      </c>
      <c r="C2222" s="40" t="n">
        <v>-46.737646</v>
      </c>
      <c r="D2222" s="40" t="n">
        <v>253</v>
      </c>
      <c r="E2222" s="41" t="n">
        <v>15616.295</v>
      </c>
    </row>
    <row r="2223">
      <c r="A2223" s="42">
        <f>_xlfn.XLOOKUP(17844,Trip[shape_id],Trip[shape_id],"Não encontrado")</f>
        <v/>
      </c>
      <c r="B2223" s="43" t="n">
        <v>-23.639203</v>
      </c>
      <c r="C2223" s="43" t="n">
        <v>-46.737749</v>
      </c>
      <c r="D2223" s="43" t="n">
        <v>254</v>
      </c>
      <c r="E2223" s="44" t="n">
        <v>15631.823</v>
      </c>
    </row>
    <row r="2224">
      <c r="A2224" s="39">
        <f>_xlfn.XLOOKUP(17844,Trip[shape_id],Trip[shape_id],"Não encontrado")</f>
        <v/>
      </c>
      <c r="B2224" s="40" t="n">
        <v>-23.639081</v>
      </c>
      <c r="C2224" s="40" t="n">
        <v>-46.737824</v>
      </c>
      <c r="D2224" s="40" t="n">
        <v>255</v>
      </c>
      <c r="E2224" s="41" t="n">
        <v>15663.475</v>
      </c>
    </row>
    <row r="2225">
      <c r="A2225" s="42">
        <f>_xlfn.XLOOKUP(17844,Trip[shape_id],Trip[shape_id],"Não encontrado")</f>
        <v/>
      </c>
      <c r="B2225" s="43" t="n">
        <v>-23.638858</v>
      </c>
      <c r="C2225" s="43" t="n">
        <v>-46.738018</v>
      </c>
      <c r="D2225" s="43" t="n">
        <v>256</v>
      </c>
      <c r="E2225" s="44" t="n">
        <v>15679.312</v>
      </c>
    </row>
    <row r="2226">
      <c r="A2226" s="39">
        <f>_xlfn.XLOOKUP(17844,Trip[shape_id],Trip[shape_id],"Não encontrado")</f>
        <v/>
      </c>
      <c r="B2226" s="40" t="n">
        <v>-23.638759</v>
      </c>
      <c r="C2226" s="40" t="n">
        <v>-46.73813</v>
      </c>
      <c r="D2226" s="40" t="n">
        <v>257</v>
      </c>
      <c r="E2226" s="41" t="n">
        <v>15750.915</v>
      </c>
    </row>
    <row r="2227">
      <c r="A2227" s="42">
        <f>_xlfn.XLOOKUP(17844,Trip[shape_id],Trip[shape_id],"Não encontrado")</f>
        <v/>
      </c>
      <c r="B2227" s="43" t="n">
        <v>-23.638354</v>
      </c>
      <c r="C2227" s="43" t="n">
        <v>-46.738677</v>
      </c>
      <c r="D2227" s="43" t="n">
        <v>258</v>
      </c>
      <c r="E2227" s="44" t="n">
        <v>15815.153</v>
      </c>
    </row>
    <row r="2228">
      <c r="A2228" s="39">
        <f>_xlfn.XLOOKUP(17844,Trip[shape_id],Trip[shape_id],"Não encontrado")</f>
        <v/>
      </c>
      <c r="B2228" s="40" t="n">
        <v>-23.6381</v>
      </c>
      <c r="C2228" s="40" t="n">
        <v>-46.739243</v>
      </c>
      <c r="D2228" s="40" t="n">
        <v>259</v>
      </c>
      <c r="E2228" s="41" t="n">
        <v>15849.86</v>
      </c>
    </row>
    <row r="2229">
      <c r="A2229" s="42">
        <f>_xlfn.XLOOKUP(17844,Trip[shape_id],Trip[shape_id],"Não encontrado")</f>
        <v/>
      </c>
      <c r="B2229" s="43" t="n">
        <v>-23.637999</v>
      </c>
      <c r="C2229" s="43" t="n">
        <v>-46.739565</v>
      </c>
      <c r="D2229" s="43" t="n">
        <v>260</v>
      </c>
      <c r="E2229" s="44" t="n">
        <v>15899.083</v>
      </c>
    </row>
    <row r="2230">
      <c r="A2230" s="39">
        <f>_xlfn.XLOOKUP(17844,Trip[shape_id],Trip[shape_id],"Não encontrado")</f>
        <v/>
      </c>
      <c r="B2230" s="40" t="n">
        <v>-23.637939</v>
      </c>
      <c r="C2230" s="40" t="n">
        <v>-46.740043</v>
      </c>
      <c r="D2230" s="40" t="n">
        <v>261</v>
      </c>
      <c r="E2230" s="41" t="n">
        <v>15960.307</v>
      </c>
    </row>
    <row r="2231">
      <c r="A2231" s="42">
        <f>_xlfn.XLOOKUP(17844,Trip[shape_id],Trip[shape_id],"Não encontrado")</f>
        <v/>
      </c>
      <c r="B2231" s="43" t="n">
        <v>-23.637944</v>
      </c>
      <c r="C2231" s="43" t="n">
        <v>-46.740643</v>
      </c>
      <c r="D2231" s="43" t="n">
        <v>262</v>
      </c>
      <c r="E2231" s="44" t="n">
        <v>16007.551</v>
      </c>
    </row>
    <row r="2232">
      <c r="A2232" s="39">
        <f>_xlfn.XLOOKUP(17844,Trip[shape_id],Trip[shape_id],"Não encontrado")</f>
        <v/>
      </c>
      <c r="B2232" s="40" t="n">
        <v>-23.638018</v>
      </c>
      <c r="C2232" s="40" t="n">
        <v>-46.741099</v>
      </c>
      <c r="D2232" s="40" t="n">
        <v>263</v>
      </c>
      <c r="E2232" s="41" t="n">
        <v>16174.3</v>
      </c>
    </row>
    <row r="2233">
      <c r="A2233" s="42">
        <f>_xlfn.XLOOKUP(17844,Trip[shape_id],Trip[shape_id],"Não encontrado")</f>
        <v/>
      </c>
      <c r="B2233" s="43" t="n">
        <v>-23.638607</v>
      </c>
      <c r="C2233" s="43" t="n">
        <v>-46.742603</v>
      </c>
      <c r="D2233" s="43" t="n">
        <v>264</v>
      </c>
      <c r="E2233" s="44" t="n">
        <v>16270.872</v>
      </c>
    </row>
    <row r="2234">
      <c r="A2234" s="39">
        <f>_xlfn.XLOOKUP(17844,Trip[shape_id],Trip[shape_id],"Não encontrado")</f>
        <v/>
      </c>
      <c r="B2234" s="40" t="n">
        <v>-23.638963</v>
      </c>
      <c r="C2234" s="40" t="n">
        <v>-46.743467</v>
      </c>
      <c r="D2234" s="40" t="n">
        <v>265</v>
      </c>
      <c r="E2234" s="41" t="n">
        <v>16314.205</v>
      </c>
    </row>
    <row r="2235">
      <c r="A2235" s="42">
        <f>_xlfn.XLOOKUP(17844,Trip[shape_id],Trip[shape_id],"Não encontrado")</f>
        <v/>
      </c>
      <c r="B2235" s="43" t="n">
        <v>-23.63912</v>
      </c>
      <c r="C2235" s="43" t="n">
        <v>-46.743856</v>
      </c>
      <c r="D2235" s="43" t="n">
        <v>266</v>
      </c>
      <c r="E2235" s="44" t="n">
        <v>16372.821</v>
      </c>
    </row>
    <row r="2236">
      <c r="A2236" s="39">
        <f>_xlfn.XLOOKUP(17844,Trip[shape_id],Trip[shape_id],"Não encontrado")</f>
        <v/>
      </c>
      <c r="B2236" s="40" t="n">
        <v>-23.639341</v>
      </c>
      <c r="C2236" s="40" t="n">
        <v>-46.744378</v>
      </c>
      <c r="D2236" s="40" t="n">
        <v>267</v>
      </c>
      <c r="E2236" s="41" t="n">
        <v>16401.193</v>
      </c>
    </row>
    <row r="2237">
      <c r="A2237" s="42">
        <f>_xlfn.XLOOKUP(17844,Trip[shape_id],Trip[shape_id],"Não encontrado")</f>
        <v/>
      </c>
      <c r="B2237" s="43" t="n">
        <v>-23.639441</v>
      </c>
      <c r="C2237" s="43" t="n">
        <v>-46.744634</v>
      </c>
      <c r="D2237" s="43" t="n">
        <v>268</v>
      </c>
      <c r="E2237" s="44" t="n">
        <v>16445.619</v>
      </c>
    </row>
    <row r="2238">
      <c r="A2238" s="39">
        <f>_xlfn.XLOOKUP(17844,Trip[shape_id],Trip[shape_id],"Não encontrado")</f>
        <v/>
      </c>
      <c r="B2238" s="40" t="n">
        <v>-23.639568</v>
      </c>
      <c r="C2238" s="40" t="n">
        <v>-46.745047</v>
      </c>
      <c r="D2238" s="40" t="n">
        <v>269</v>
      </c>
      <c r="E2238" s="41" t="n">
        <v>16461.746</v>
      </c>
    </row>
    <row r="2239">
      <c r="A2239" s="42">
        <f>_xlfn.XLOOKUP(17844,Trip[shape_id],Trip[shape_id],"Não encontrado")</f>
        <v/>
      </c>
      <c r="B2239" s="43" t="n">
        <v>-23.639699</v>
      </c>
      <c r="C2239" s="43" t="n">
        <v>-46.745116</v>
      </c>
      <c r="D2239" s="43" t="n">
        <v>270</v>
      </c>
      <c r="E2239" s="44" t="n">
        <v>16469.785</v>
      </c>
    </row>
    <row r="2240">
      <c r="A2240" s="39">
        <f>_xlfn.XLOOKUP(17844,Trip[shape_id],Trip[shape_id],"Não encontrado")</f>
        <v/>
      </c>
      <c r="B2240" s="40" t="n">
        <v>-23.63974</v>
      </c>
      <c r="C2240" s="40" t="n">
        <v>-46.745181</v>
      </c>
      <c r="D2240" s="40" t="n">
        <v>271</v>
      </c>
      <c r="E2240" s="41" t="n">
        <v>16536.51</v>
      </c>
    </row>
    <row r="2241">
      <c r="A2241" s="42">
        <f>_xlfn.XLOOKUP(17844,Trip[shape_id],Trip[shape_id],"Não encontrado")</f>
        <v/>
      </c>
      <c r="B2241" s="43" t="n">
        <v>-23.640125</v>
      </c>
      <c r="C2241" s="43" t="n">
        <v>-46.745684</v>
      </c>
      <c r="D2241" s="43" t="n">
        <v>272</v>
      </c>
      <c r="E2241" s="44" t="n">
        <v>16560.193</v>
      </c>
    </row>
    <row r="2242">
      <c r="A2242" s="39">
        <f>_xlfn.XLOOKUP(17844,Trip[shape_id],Trip[shape_id],"Não encontrado")</f>
        <v/>
      </c>
      <c r="B2242" s="40" t="n">
        <v>-23.640285</v>
      </c>
      <c r="C2242" s="40" t="n">
        <v>-46.745838</v>
      </c>
      <c r="D2242" s="40" t="n">
        <v>273</v>
      </c>
      <c r="E2242" s="41" t="n">
        <v>16560.193</v>
      </c>
    </row>
    <row r="2243">
      <c r="A2243" s="42">
        <f>_xlfn.XLOOKUP(17844,Trip[shape_id],Trip[shape_id],"Não encontrado")</f>
        <v/>
      </c>
      <c r="B2243" s="43" t="n">
        <v>-23.640444</v>
      </c>
      <c r="C2243" s="43" t="n">
        <v>-46.745983</v>
      </c>
      <c r="D2243" s="43" t="n">
        <v>274</v>
      </c>
      <c r="E2243" s="44" t="n">
        <v>16613.84</v>
      </c>
    </row>
    <row r="2244">
      <c r="A2244" s="39">
        <f>_xlfn.XLOOKUP(17844,Trip[shape_id],Trip[shape_id],"Não encontrado")</f>
        <v/>
      </c>
      <c r="B2244" s="40" t="n">
        <v>-23.640674</v>
      </c>
      <c r="C2244" s="40" t="n">
        <v>-46.74615</v>
      </c>
      <c r="D2244" s="40" t="n">
        <v>275</v>
      </c>
      <c r="E2244" s="41" t="n">
        <v>16639.789</v>
      </c>
    </row>
    <row r="2245">
      <c r="A2245" s="42">
        <f>_xlfn.XLOOKUP(17844,Trip[shape_id],Trip[shape_id],"Não encontrado")</f>
        <v/>
      </c>
      <c r="B2245" s="43" t="n">
        <v>-23.640869</v>
      </c>
      <c r="C2245" s="43" t="n">
        <v>-46.746291</v>
      </c>
      <c r="D2245" s="43" t="n">
        <v>276</v>
      </c>
      <c r="E2245" s="44" t="n">
        <v>16706.453</v>
      </c>
    </row>
    <row r="2246">
      <c r="A2246" s="39">
        <f>_xlfn.XLOOKUP(17844,Trip[shape_id],Trip[shape_id],"Não encontrado")</f>
        <v/>
      </c>
      <c r="B2246" s="40" t="n">
        <v>-23.641422</v>
      </c>
      <c r="C2246" s="40" t="n">
        <v>-46.746549</v>
      </c>
      <c r="D2246" s="40" t="n">
        <v>277</v>
      </c>
      <c r="E2246" s="41" t="n">
        <v>16738.334</v>
      </c>
    </row>
    <row r="2247">
      <c r="A2247" s="42">
        <f>_xlfn.XLOOKUP(17844,Trip[shape_id],Trip[shape_id],"Não encontrado")</f>
        <v/>
      </c>
      <c r="B2247" s="43" t="n">
        <v>-23.641687</v>
      </c>
      <c r="C2247" s="43" t="n">
        <v>-46.746671</v>
      </c>
      <c r="D2247" s="43" t="n">
        <v>278</v>
      </c>
      <c r="E2247" s="44" t="n">
        <v>16773.465</v>
      </c>
    </row>
    <row r="2248">
      <c r="A2248" s="39">
        <f>_xlfn.XLOOKUP(17844,Trip[shape_id],Trip[shape_id],"Não encontrado")</f>
        <v/>
      </c>
      <c r="B2248" s="40" t="n">
        <v>-23.641978</v>
      </c>
      <c r="C2248" s="40" t="n">
        <v>-46.746808</v>
      </c>
      <c r="D2248" s="40" t="n">
        <v>279</v>
      </c>
      <c r="E2248" s="41" t="n">
        <v>16793.682</v>
      </c>
    </row>
    <row r="2249">
      <c r="A2249" s="42">
        <f>_xlfn.XLOOKUP(17844,Trip[shape_id],Trip[shape_id],"Não encontrado")</f>
        <v/>
      </c>
      <c r="B2249" s="43" t="n">
        <v>-23.642145</v>
      </c>
      <c r="C2249" s="43" t="n">
        <v>-46.746888</v>
      </c>
      <c r="D2249" s="43" t="n">
        <v>280</v>
      </c>
      <c r="E2249" s="44" t="n">
        <v>16818.93</v>
      </c>
    </row>
    <row r="2250">
      <c r="A2250" s="39">
        <f>_xlfn.XLOOKUP(17844,Trip[shape_id],Trip[shape_id],"Não encontrado")</f>
        <v/>
      </c>
      <c r="B2250" s="40" t="n">
        <v>-23.642351</v>
      </c>
      <c r="C2250" s="40" t="n">
        <v>-46.746994</v>
      </c>
      <c r="D2250" s="40" t="n">
        <v>281</v>
      </c>
      <c r="E2250" s="41" t="n">
        <v>16861.738</v>
      </c>
    </row>
    <row r="2251">
      <c r="A2251" s="42">
        <f>_xlfn.XLOOKUP(17844,Trip[shape_id],Trip[shape_id],"Não encontrado")</f>
        <v/>
      </c>
      <c r="B2251" s="43" t="n">
        <v>-23.642697</v>
      </c>
      <c r="C2251" s="43" t="n">
        <v>-46.747181</v>
      </c>
      <c r="D2251" s="43" t="n">
        <v>282</v>
      </c>
      <c r="E2251" s="44" t="n">
        <v>16880.836</v>
      </c>
    </row>
    <row r="2252">
      <c r="A2252" s="39">
        <f>_xlfn.XLOOKUP(17844,Trip[shape_id],Trip[shape_id],"Não encontrado")</f>
        <v/>
      </c>
      <c r="B2252" s="40" t="n">
        <v>-23.642852</v>
      </c>
      <c r="C2252" s="40" t="n">
        <v>-46.747263</v>
      </c>
      <c r="D2252" s="40" t="n">
        <v>283</v>
      </c>
      <c r="E2252" s="41" t="n">
        <v>16933.811</v>
      </c>
    </row>
    <row r="2253">
      <c r="A2253" s="42">
        <f>_xlfn.XLOOKUP(17844,Trip[shape_id],Trip[shape_id],"Não encontrado")</f>
        <v/>
      </c>
      <c r="B2253" s="43" t="n">
        <v>-23.643235</v>
      </c>
      <c r="C2253" s="43" t="n">
        <v>-46.747574</v>
      </c>
      <c r="D2253" s="43" t="n">
        <v>284</v>
      </c>
      <c r="E2253" s="44" t="n">
        <v>16974.813</v>
      </c>
    </row>
    <row r="2254">
      <c r="A2254" s="39">
        <f>_xlfn.XLOOKUP(17844,Trip[shape_id],Trip[shape_id],"Não encontrado")</f>
        <v/>
      </c>
      <c r="B2254" s="40" t="n">
        <v>-23.643496</v>
      </c>
      <c r="C2254" s="40" t="n">
        <v>-46.747859</v>
      </c>
      <c r="D2254" s="40" t="n">
        <v>285</v>
      </c>
      <c r="E2254" s="41" t="n">
        <v>17019.799</v>
      </c>
    </row>
    <row r="2255">
      <c r="A2255" s="42">
        <f>_xlfn.XLOOKUP(17844,Trip[shape_id],Trip[shape_id],"Não encontrado")</f>
        <v/>
      </c>
      <c r="B2255" s="43" t="n">
        <v>-23.643759</v>
      </c>
      <c r="C2255" s="43" t="n">
        <v>-46.748195</v>
      </c>
      <c r="D2255" s="43" t="n">
        <v>286</v>
      </c>
      <c r="E2255" s="44" t="n">
        <v>17093.754</v>
      </c>
    </row>
    <row r="2256">
      <c r="A2256" s="39">
        <f>_xlfn.XLOOKUP(17844,Trip[shape_id],Trip[shape_id],"Não encontrado")</f>
        <v/>
      </c>
      <c r="B2256" s="40" t="n">
        <v>-23.644152</v>
      </c>
      <c r="C2256" s="40" t="n">
        <v>-46.748781</v>
      </c>
      <c r="D2256" s="40" t="n">
        <v>287</v>
      </c>
      <c r="E2256" s="41" t="n">
        <v>17110</v>
      </c>
    </row>
    <row r="2257">
      <c r="A2257" s="42">
        <f>_xlfn.XLOOKUP(17844,Trip[shape_id],Trip[shape_id],"Não encontrado")</f>
        <v/>
      </c>
      <c r="B2257" s="43" t="n">
        <v>-23.644238</v>
      </c>
      <c r="C2257" s="43" t="n">
        <v>-46.74891</v>
      </c>
      <c r="D2257" s="43" t="n">
        <v>288</v>
      </c>
      <c r="E2257" s="44" t="n">
        <v>17151.09</v>
      </c>
    </row>
    <row r="2258">
      <c r="A2258" s="39">
        <f>_xlfn.XLOOKUP(17844,Trip[shape_id],Trip[shape_id],"Não encontrado")</f>
        <v/>
      </c>
      <c r="B2258" s="40" t="n">
        <v>-23.644448</v>
      </c>
      <c r="C2258" s="40" t="n">
        <v>-46.749242</v>
      </c>
      <c r="D2258" s="40" t="n">
        <v>289</v>
      </c>
      <c r="E2258" s="41" t="n">
        <v>17198.734</v>
      </c>
    </row>
    <row r="2259">
      <c r="A2259" s="42">
        <f>_xlfn.XLOOKUP(17844,Trip[shape_id],Trip[shape_id],"Não encontrado")</f>
        <v/>
      </c>
      <c r="B2259" s="43" t="n">
        <v>-23.644686</v>
      </c>
      <c r="C2259" s="43" t="n">
        <v>-46.749631</v>
      </c>
      <c r="D2259" s="43" t="n">
        <v>290</v>
      </c>
      <c r="E2259" s="44" t="n">
        <v>17262.234</v>
      </c>
    </row>
    <row r="2260">
      <c r="A2260" s="39">
        <f>_xlfn.XLOOKUP(17844,Trip[shape_id],Trip[shape_id],"Não encontrado")</f>
        <v/>
      </c>
      <c r="B2260" s="40" t="n">
        <v>-23.644991</v>
      </c>
      <c r="C2260" s="40" t="n">
        <v>-46.750158</v>
      </c>
      <c r="D2260" s="40" t="n">
        <v>291</v>
      </c>
      <c r="E2260" s="41" t="n">
        <v>17322.82</v>
      </c>
    </row>
    <row r="2261">
      <c r="A2261" s="42">
        <f>_xlfn.XLOOKUP(17844,Trip[shape_id],Trip[shape_id],"Não encontrado")</f>
        <v/>
      </c>
      <c r="B2261" s="43" t="n">
        <v>-23.645234</v>
      </c>
      <c r="C2261" s="43" t="n">
        <v>-46.75069</v>
      </c>
      <c r="D2261" s="43" t="n">
        <v>292</v>
      </c>
      <c r="E2261" s="44" t="n">
        <v>17378.057</v>
      </c>
    </row>
    <row r="2262">
      <c r="A2262" s="39">
        <f>_xlfn.XLOOKUP(17844,Trip[shape_id],Trip[shape_id],"Não encontrado")</f>
        <v/>
      </c>
      <c r="B2262" s="40" t="n">
        <v>-23.645423</v>
      </c>
      <c r="C2262" s="40" t="n">
        <v>-46.751191</v>
      </c>
      <c r="D2262" s="40" t="n">
        <v>293</v>
      </c>
      <c r="E2262" s="41" t="n">
        <v>17469.58</v>
      </c>
    </row>
    <row r="2263">
      <c r="A2263" s="42">
        <f>_xlfn.XLOOKUP(17844,Trip[shape_id],Trip[shape_id],"Não encontrado")</f>
        <v/>
      </c>
      <c r="B2263" s="43" t="n">
        <v>-23.645628</v>
      </c>
      <c r="C2263" s="43" t="n">
        <v>-46.75206</v>
      </c>
      <c r="D2263" s="43" t="n">
        <v>294</v>
      </c>
      <c r="E2263" s="44" t="n">
        <v>17535.029</v>
      </c>
    </row>
    <row r="2264">
      <c r="A2264" s="39">
        <f>_xlfn.XLOOKUP(17844,Trip[shape_id],Trip[shape_id],"Não encontrado")</f>
        <v/>
      </c>
      <c r="B2264" s="40" t="n">
        <v>-23.645718</v>
      </c>
      <c r="C2264" s="40" t="n">
        <v>-46.752694</v>
      </c>
      <c r="D2264" s="40" t="n">
        <v>295</v>
      </c>
      <c r="E2264" s="41" t="n">
        <v>17543.625</v>
      </c>
    </row>
    <row r="2265">
      <c r="A2265" s="42">
        <f>_xlfn.XLOOKUP(17844,Trip[shape_id],Trip[shape_id],"Não encontrado")</f>
        <v/>
      </c>
      <c r="B2265" s="43" t="n">
        <v>-23.645724</v>
      </c>
      <c r="C2265" s="43" t="n">
        <v>-46.752778</v>
      </c>
      <c r="D2265" s="43" t="n">
        <v>296</v>
      </c>
      <c r="E2265" s="44" t="n">
        <v>17585.865</v>
      </c>
    </row>
    <row r="2266">
      <c r="A2266" s="39">
        <f>_xlfn.XLOOKUP(17844,Trip[shape_id],Trip[shape_id],"Não encontrado")</f>
        <v/>
      </c>
      <c r="B2266" s="40" t="n">
        <v>-23.645726</v>
      </c>
      <c r="C2266" s="40" t="n">
        <v>-46.753192</v>
      </c>
      <c r="D2266" s="40" t="n">
        <v>297</v>
      </c>
      <c r="E2266" s="41" t="n">
        <v>17638.617</v>
      </c>
    </row>
    <row r="2267">
      <c r="A2267" s="42">
        <f>_xlfn.XLOOKUP(17844,Trip[shape_id],Trip[shape_id],"Não encontrado")</f>
        <v/>
      </c>
      <c r="B2267" s="43" t="n">
        <v>-23.645732</v>
      </c>
      <c r="C2267" s="43" t="n">
        <v>-46.753709</v>
      </c>
      <c r="D2267" s="43" t="n">
        <v>298</v>
      </c>
      <c r="E2267" s="44" t="n">
        <v>17690.758</v>
      </c>
    </row>
    <row r="2268">
      <c r="A2268" s="39">
        <f>_xlfn.XLOOKUP(17844,Trip[shape_id],Trip[shape_id],"Não encontrado")</f>
        <v/>
      </c>
      <c r="B2268" s="40" t="n">
        <v>-23.645726</v>
      </c>
      <c r="C2268" s="40" t="n">
        <v>-46.75422</v>
      </c>
      <c r="D2268" s="40" t="n">
        <v>299</v>
      </c>
      <c r="E2268" s="41" t="n">
        <v>17736.293</v>
      </c>
    </row>
    <row r="2269">
      <c r="A2269" s="42">
        <f>_xlfn.XLOOKUP(17844,Trip[shape_id],Trip[shape_id],"Não encontrado")</f>
        <v/>
      </c>
      <c r="B2269" s="43" t="n">
        <v>-23.645711</v>
      </c>
      <c r="C2269" s="43" t="n">
        <v>-46.754666</v>
      </c>
      <c r="D2269" s="43" t="n">
        <v>300</v>
      </c>
      <c r="E2269" s="44" t="n">
        <v>17803.951</v>
      </c>
    </row>
    <row r="2270">
      <c r="A2270" s="39">
        <f>_xlfn.XLOOKUP(17844,Trip[shape_id],Trip[shape_id],"Não encontrado")</f>
        <v/>
      </c>
      <c r="B2270" s="40" t="n">
        <v>-23.64576</v>
      </c>
      <c r="C2270" s="40" t="n">
        <v>-46.755327</v>
      </c>
      <c r="D2270" s="40" t="n">
        <v>301</v>
      </c>
      <c r="E2270" s="41" t="n">
        <v>17870.73</v>
      </c>
    </row>
    <row r="2271">
      <c r="A2271" s="42">
        <f>_xlfn.XLOOKUP(17844,Trip[shape_id],Trip[shape_id],"Não encontrado")</f>
        <v/>
      </c>
      <c r="B2271" s="43" t="n">
        <v>-23.645933</v>
      </c>
      <c r="C2271" s="43" t="n">
        <v>-46.755954</v>
      </c>
      <c r="D2271" s="43" t="n">
        <v>302</v>
      </c>
      <c r="E2271" s="44" t="n">
        <v>17931.266</v>
      </c>
    </row>
    <row r="2272">
      <c r="A2272" s="39">
        <f>_xlfn.XLOOKUP(17844,Trip[shape_id],Trip[shape_id],"Não encontrado")</f>
        <v/>
      </c>
      <c r="B2272" s="40" t="n">
        <v>-23.646175</v>
      </c>
      <c r="C2272" s="40" t="n">
        <v>-46.756486</v>
      </c>
      <c r="D2272" s="40" t="n">
        <v>303</v>
      </c>
      <c r="E2272" s="41" t="n">
        <v>17998.861</v>
      </c>
    </row>
    <row r="2273">
      <c r="A2273" s="42">
        <f>_xlfn.XLOOKUP(17844,Trip[shape_id],Trip[shape_id],"Não encontrado")</f>
        <v/>
      </c>
      <c r="B2273" s="43" t="n">
        <v>-23.646518</v>
      </c>
      <c r="C2273" s="43" t="n">
        <v>-46.757034</v>
      </c>
      <c r="D2273" s="43" t="n">
        <v>304</v>
      </c>
      <c r="E2273" s="44" t="n">
        <v>18041.816</v>
      </c>
    </row>
    <row r="2274">
      <c r="A2274" s="39">
        <f>_xlfn.XLOOKUP(17844,Trip[shape_id],Trip[shape_id],"Não encontrado")</f>
        <v/>
      </c>
      <c r="B2274" s="40" t="n">
        <v>-23.64676</v>
      </c>
      <c r="C2274" s="40" t="n">
        <v>-46.757363</v>
      </c>
      <c r="D2274" s="40" t="n">
        <v>305</v>
      </c>
      <c r="E2274" s="41" t="n">
        <v>18081.814</v>
      </c>
    </row>
    <row r="2275">
      <c r="A2275" s="42">
        <f>_xlfn.XLOOKUP(17844,Trip[shape_id],Trip[shape_id],"Não encontrado")</f>
        <v/>
      </c>
      <c r="B2275" s="43" t="n">
        <v>-23.647007</v>
      </c>
      <c r="C2275" s="43" t="n">
        <v>-46.757649</v>
      </c>
      <c r="D2275" s="43" t="n">
        <v>306</v>
      </c>
      <c r="E2275" s="44" t="n">
        <v>18118.191</v>
      </c>
    </row>
    <row r="2276">
      <c r="A2276" s="39">
        <f>_xlfn.XLOOKUP(17844,Trip[shape_id],Trip[shape_id],"Não encontrado")</f>
        <v/>
      </c>
      <c r="B2276" s="40" t="n">
        <v>-23.647254</v>
      </c>
      <c r="C2276" s="40" t="n">
        <v>-46.757884</v>
      </c>
      <c r="D2276" s="40" t="n">
        <v>307</v>
      </c>
      <c r="E2276" s="41" t="n">
        <v>18146.189</v>
      </c>
    </row>
    <row r="2277">
      <c r="A2277" s="42">
        <f>_xlfn.XLOOKUP(17844,Trip[shape_id],Trip[shape_id],"Não encontrado")</f>
        <v/>
      </c>
      <c r="B2277" s="43" t="n">
        <v>-23.647456</v>
      </c>
      <c r="C2277" s="43" t="n">
        <v>-46.758049</v>
      </c>
      <c r="D2277" s="43" t="n">
        <v>308</v>
      </c>
      <c r="E2277" s="44" t="n">
        <v>18197.836</v>
      </c>
    </row>
    <row r="2278">
      <c r="A2278" s="39">
        <f>_xlfn.XLOOKUP(17844,Trip[shape_id],Trip[shape_id],"Não encontrado")</f>
        <v/>
      </c>
      <c r="B2278" s="40" t="n">
        <v>-23.647855</v>
      </c>
      <c r="C2278" s="40" t="n">
        <v>-46.758311</v>
      </c>
      <c r="D2278" s="40" t="n">
        <v>309</v>
      </c>
      <c r="E2278" s="41" t="n">
        <v>18224.92</v>
      </c>
    </row>
    <row r="2279">
      <c r="A2279" s="42">
        <f>_xlfn.XLOOKUP(17844,Trip[shape_id],Trip[shape_id],"Não encontrado")</f>
        <v/>
      </c>
      <c r="B2279" s="43" t="n">
        <v>-23.64808</v>
      </c>
      <c r="C2279" s="43" t="n">
        <v>-46.758415</v>
      </c>
      <c r="D2279" s="43" t="n">
        <v>310</v>
      </c>
      <c r="E2279" s="44" t="n">
        <v>18257.832</v>
      </c>
    </row>
    <row r="2280">
      <c r="A2280" s="39">
        <f>_xlfn.XLOOKUP(17844,Trip[shape_id],Trip[shape_id],"Não encontrado")</f>
        <v/>
      </c>
      <c r="B2280" s="40" t="n">
        <v>-23.648358</v>
      </c>
      <c r="C2280" s="40" t="n">
        <v>-46.758529</v>
      </c>
      <c r="D2280" s="40" t="n">
        <v>311</v>
      </c>
      <c r="E2280" s="41" t="n">
        <v>18274.355</v>
      </c>
    </row>
    <row r="2281">
      <c r="A2281" s="42">
        <f>_xlfn.XLOOKUP(17844,Trip[shape_id],Trip[shape_id],"Não encontrado")</f>
        <v/>
      </c>
      <c r="B2281" s="43" t="n">
        <v>-23.648485</v>
      </c>
      <c r="C2281" s="43" t="n">
        <v>-46.758614</v>
      </c>
      <c r="D2281" s="43" t="n">
        <v>312</v>
      </c>
      <c r="E2281" s="44" t="n">
        <v>18296.82</v>
      </c>
    </row>
    <row r="2282">
      <c r="A2282" s="39">
        <f>_xlfn.XLOOKUP(17844,Trip[shape_id],Trip[shape_id],"Não encontrado")</f>
        <v/>
      </c>
      <c r="B2282" s="40" t="n">
        <v>-23.648677</v>
      </c>
      <c r="C2282" s="40" t="n">
        <v>-46.758685</v>
      </c>
      <c r="D2282" s="40" t="n">
        <v>313</v>
      </c>
      <c r="E2282" s="41" t="n">
        <v>18314.063</v>
      </c>
    </row>
    <row r="2283">
      <c r="A2283" s="42">
        <f>_xlfn.XLOOKUP(17844,Trip[shape_id],Trip[shape_id],"Não encontrado")</f>
        <v/>
      </c>
      <c r="B2283" s="43" t="n">
        <v>-23.648826</v>
      </c>
      <c r="C2283" s="43" t="n">
        <v>-46.758734</v>
      </c>
      <c r="D2283" s="43" t="n">
        <v>314</v>
      </c>
      <c r="E2283" s="44" t="n">
        <v>18314.063</v>
      </c>
    </row>
    <row r="2284">
      <c r="A2284" s="39">
        <f>_xlfn.XLOOKUP(17844,Trip[shape_id],Trip[shape_id],"Não encontrado")</f>
        <v/>
      </c>
      <c r="B2284" s="40" t="n">
        <v>-23.649227</v>
      </c>
      <c r="C2284" s="40" t="n">
        <v>-46.758898</v>
      </c>
      <c r="D2284" s="40" t="n">
        <v>315</v>
      </c>
      <c r="E2284" s="41" t="n">
        <v>18373.543</v>
      </c>
    </row>
    <row r="2285">
      <c r="A2285" s="42">
        <f>_xlfn.XLOOKUP(17844,Trip[shape_id],Trip[shape_id],"Não encontrado")</f>
        <v/>
      </c>
      <c r="B2285" s="43" t="n">
        <v>-23.649323</v>
      </c>
      <c r="C2285" s="43" t="n">
        <v>-46.758953</v>
      </c>
      <c r="D2285" s="43" t="n">
        <v>316</v>
      </c>
      <c r="E2285" s="44" t="n">
        <v>18373.543</v>
      </c>
    </row>
    <row r="2286">
      <c r="A2286" s="39">
        <f>_xlfn.XLOOKUP(17844,Trip[shape_id],Trip[shape_id],"Não encontrado")</f>
        <v/>
      </c>
      <c r="B2286" s="40" t="n">
        <v>-23.649466</v>
      </c>
      <c r="C2286" s="40" t="n">
        <v>-46.759066</v>
      </c>
      <c r="D2286" s="40" t="n">
        <v>317</v>
      </c>
      <c r="E2286" s="41" t="n">
        <v>18432.582</v>
      </c>
    </row>
    <row r="2287">
      <c r="A2287" s="42">
        <f>_xlfn.XLOOKUP(17844,Trip[shape_id],Trip[shape_id],"Não encontrado")</f>
        <v/>
      </c>
      <c r="B2287" s="43" t="n">
        <v>-23.649753</v>
      </c>
      <c r="C2287" s="43" t="n">
        <v>-46.759295</v>
      </c>
      <c r="D2287" s="43" t="n">
        <v>318</v>
      </c>
      <c r="E2287" s="44" t="n">
        <v>18447.865</v>
      </c>
    </row>
    <row r="2288">
      <c r="A2288" s="39">
        <f>_xlfn.XLOOKUP(17844,Trip[shape_id],Trip[shape_id],"Não encontrado")</f>
        <v/>
      </c>
      <c r="B2288" s="40" t="n">
        <v>-23.649864</v>
      </c>
      <c r="C2288" s="40" t="n">
        <v>-46.759384</v>
      </c>
      <c r="D2288" s="40" t="n">
        <v>319</v>
      </c>
      <c r="E2288" s="41" t="n">
        <v>18467.936</v>
      </c>
    </row>
    <row r="2289">
      <c r="A2289" s="42">
        <f>_xlfn.XLOOKUP(17844,Trip[shape_id],Trip[shape_id],"Não encontrado")</f>
        <v/>
      </c>
      <c r="B2289" s="43" t="n">
        <v>-23.650009</v>
      </c>
      <c r="C2289" s="43" t="n">
        <v>-46.759502</v>
      </c>
      <c r="D2289" s="43" t="n">
        <v>320</v>
      </c>
      <c r="E2289" s="44" t="n">
        <v>18509.004</v>
      </c>
    </row>
    <row r="2290">
      <c r="A2290" s="39">
        <f>_xlfn.XLOOKUP(17844,Trip[shape_id],Trip[shape_id],"Não encontrado")</f>
        <v/>
      </c>
      <c r="B2290" s="40" t="n">
        <v>-23.650269</v>
      </c>
      <c r="C2290" s="40" t="n">
        <v>-46.759789</v>
      </c>
      <c r="D2290" s="40" t="n">
        <v>321</v>
      </c>
      <c r="E2290" s="41" t="n">
        <v>18564.91</v>
      </c>
    </row>
    <row r="2291">
      <c r="A2291" s="42">
        <f>_xlfn.XLOOKUP(17844,Trip[shape_id],Trip[shape_id],"Não encontrado")</f>
        <v/>
      </c>
      <c r="B2291" s="43" t="n">
        <v>-23.650607</v>
      </c>
      <c r="C2291" s="43" t="n">
        <v>-46.760196</v>
      </c>
      <c r="D2291" s="43" t="n">
        <v>322</v>
      </c>
      <c r="E2291" s="44" t="n">
        <v>18607.047</v>
      </c>
    </row>
    <row r="2292">
      <c r="A2292" s="39">
        <f>_xlfn.XLOOKUP(17844,Trip[shape_id],Trip[shape_id],"Não encontrado")</f>
        <v/>
      </c>
      <c r="B2292" s="40" t="n">
        <v>-23.650837</v>
      </c>
      <c r="C2292" s="40" t="n">
        <v>-46.760525</v>
      </c>
      <c r="D2292" s="40" t="n">
        <v>323</v>
      </c>
      <c r="E2292" s="41" t="n">
        <v>18632.363</v>
      </c>
    </row>
    <row r="2293">
      <c r="A2293" s="42">
        <f>_xlfn.XLOOKUP(17844,Trip[shape_id],Trip[shape_id],"Não encontrado")</f>
        <v/>
      </c>
      <c r="B2293" s="43" t="n">
        <v>-23.650976</v>
      </c>
      <c r="C2293" s="43" t="n">
        <v>-46.760722</v>
      </c>
      <c r="D2293" s="43" t="n">
        <v>324</v>
      </c>
      <c r="E2293" s="44" t="n">
        <v>18675.391</v>
      </c>
    </row>
    <row r="2294">
      <c r="A2294" s="39">
        <f>_xlfn.XLOOKUP(17844,Trip[shape_id],Trip[shape_id],"Não encontrado")</f>
        <v/>
      </c>
      <c r="B2294" s="40" t="n">
        <v>-23.651212</v>
      </c>
      <c r="C2294" s="40" t="n">
        <v>-46.761057</v>
      </c>
      <c r="D2294" s="40" t="n">
        <v>325</v>
      </c>
      <c r="E2294" s="41" t="n">
        <v>18730.734</v>
      </c>
    </row>
    <row r="2295">
      <c r="A2295" s="42">
        <f>_xlfn.XLOOKUP(17844,Trip[shape_id],Trip[shape_id],"Não encontrado")</f>
        <v/>
      </c>
      <c r="B2295" s="43" t="n">
        <v>-23.651519</v>
      </c>
      <c r="C2295" s="43" t="n">
        <v>-46.761485</v>
      </c>
      <c r="D2295" s="43" t="n">
        <v>326</v>
      </c>
      <c r="E2295" s="44" t="n">
        <v>18780.551</v>
      </c>
    </row>
    <row r="2296">
      <c r="A2296" s="39">
        <f>_xlfn.XLOOKUP(17844,Trip[shape_id],Trip[shape_id],"Não encontrado")</f>
        <v/>
      </c>
      <c r="B2296" s="40" t="n">
        <v>-23.651798</v>
      </c>
      <c r="C2296" s="40" t="n">
        <v>-46.761868</v>
      </c>
      <c r="D2296" s="40" t="n">
        <v>327</v>
      </c>
      <c r="E2296" s="41" t="n">
        <v>18835.168</v>
      </c>
    </row>
    <row r="2297">
      <c r="A2297" s="42">
        <f>_xlfn.XLOOKUP(17844,Trip[shape_id],Trip[shape_id],"Não encontrado")</f>
        <v/>
      </c>
      <c r="B2297" s="43" t="n">
        <v>-23.652114</v>
      </c>
      <c r="C2297" s="43" t="n">
        <v>-46.762279</v>
      </c>
      <c r="D2297" s="43" t="n">
        <v>328</v>
      </c>
      <c r="E2297" s="44" t="n">
        <v>18950.561</v>
      </c>
    </row>
    <row r="2298">
      <c r="A2298" s="39">
        <f>_xlfn.XLOOKUP(17844,Trip[shape_id],Trip[shape_id],"Não encontrado")</f>
        <v/>
      </c>
      <c r="B2298" s="40" t="n">
        <v>-23.652856</v>
      </c>
      <c r="C2298" s="40" t="n">
        <v>-46.763073</v>
      </c>
      <c r="D2298" s="40" t="n">
        <v>329</v>
      </c>
      <c r="E2298" s="41" t="n">
        <v>18978.346</v>
      </c>
    </row>
    <row r="2299">
      <c r="A2299" s="42">
        <f>_xlfn.XLOOKUP(17844,Trip[shape_id],Trip[shape_id],"Não encontrado")</f>
        <v/>
      </c>
      <c r="B2299" s="43" t="n">
        <v>-23.653033</v>
      </c>
      <c r="C2299" s="43" t="n">
        <v>-46.763266</v>
      </c>
      <c r="D2299" s="43" t="n">
        <v>330</v>
      </c>
      <c r="E2299" s="44" t="n">
        <v>19041.615</v>
      </c>
    </row>
    <row r="2300">
      <c r="A2300" s="39">
        <f>_xlfn.XLOOKUP(17844,Trip[shape_id],Trip[shape_id],"Não encontrado")</f>
        <v/>
      </c>
      <c r="B2300" s="40" t="n">
        <v>-23.653455</v>
      </c>
      <c r="C2300" s="40" t="n">
        <v>-46.763684</v>
      </c>
      <c r="D2300" s="40" t="n">
        <v>331</v>
      </c>
      <c r="E2300" s="41" t="n">
        <v>19142.857</v>
      </c>
    </row>
    <row r="2301">
      <c r="A2301" s="42">
        <f>_xlfn.XLOOKUP(17844,Trip[shape_id],Trip[shape_id],"Não encontrado")</f>
        <v/>
      </c>
      <c r="B2301" s="43" t="n">
        <v>-23.654131</v>
      </c>
      <c r="C2301" s="43" t="n">
        <v>-46.764352</v>
      </c>
      <c r="D2301" s="43" t="n">
        <v>332</v>
      </c>
      <c r="E2301" s="44" t="n">
        <v>19213.988</v>
      </c>
    </row>
    <row r="2302">
      <c r="A2302" s="39">
        <f>_xlfn.XLOOKUP(17844,Trip[shape_id],Trip[shape_id],"Não encontrado")</f>
        <v/>
      </c>
      <c r="B2302" s="40" t="n">
        <v>-23.654638</v>
      </c>
      <c r="C2302" s="40" t="n">
        <v>-46.76478</v>
      </c>
      <c r="D2302" s="40" t="n">
        <v>333</v>
      </c>
      <c r="E2302" s="41" t="n">
        <v>19316.84</v>
      </c>
    </row>
    <row r="2303">
      <c r="A2303" s="42">
        <f>_xlfn.XLOOKUP(17844,Trip[shape_id],Trip[shape_id],"Não encontrado")</f>
        <v/>
      </c>
      <c r="B2303" s="43" t="n">
        <v>-23.655371</v>
      </c>
      <c r="C2303" s="43" t="n">
        <v>-46.765399</v>
      </c>
      <c r="D2303" s="43" t="n">
        <v>334</v>
      </c>
      <c r="E2303" s="44" t="n">
        <v>19366.426</v>
      </c>
    </row>
    <row r="2304">
      <c r="A2304" s="39">
        <f>_xlfn.XLOOKUP(17844,Trip[shape_id],Trip[shape_id],"Não encontrado")</f>
        <v/>
      </c>
      <c r="B2304" s="40" t="n">
        <v>-23.655735</v>
      </c>
      <c r="C2304" s="40" t="n">
        <v>-46.765682</v>
      </c>
      <c r="D2304" s="40" t="n">
        <v>335</v>
      </c>
      <c r="E2304" s="41" t="n">
        <v>19413.324</v>
      </c>
    </row>
    <row r="2305">
      <c r="A2305" s="42">
        <f>_xlfn.XLOOKUP(17844,Trip[shape_id],Trip[shape_id],"Não encontrado")</f>
        <v/>
      </c>
      <c r="B2305" s="43" t="n">
        <v>-23.656081</v>
      </c>
      <c r="C2305" s="43" t="n">
        <v>-46.765947</v>
      </c>
      <c r="D2305" s="43" t="n">
        <v>336</v>
      </c>
      <c r="E2305" s="44" t="n">
        <v>19488.59</v>
      </c>
    </row>
    <row r="2306">
      <c r="A2306" s="39">
        <f>_xlfn.XLOOKUP(17844,Trip[shape_id],Trip[shape_id],"Não encontrado")</f>
        <v/>
      </c>
      <c r="B2306" s="40" t="n">
        <v>-23.656659</v>
      </c>
      <c r="C2306" s="40" t="n">
        <v>-46.766335</v>
      </c>
      <c r="D2306" s="40" t="n">
        <v>337</v>
      </c>
      <c r="E2306" s="41" t="n">
        <v>19552.818</v>
      </c>
    </row>
    <row r="2307">
      <c r="A2307" s="42">
        <f>_xlfn.XLOOKUP(17844,Trip[shape_id],Trip[shape_id],"Não encontrado")</f>
        <v/>
      </c>
      <c r="B2307" s="43" t="n">
        <v>-23.657154</v>
      </c>
      <c r="C2307" s="43" t="n">
        <v>-46.766663</v>
      </c>
      <c r="D2307" s="43" t="n">
        <v>338</v>
      </c>
      <c r="E2307" s="44" t="n">
        <v>19595.254</v>
      </c>
    </row>
    <row r="2308">
      <c r="A2308" s="39">
        <f>_xlfn.XLOOKUP(17844,Trip[shape_id],Trip[shape_id],"Não encontrado")</f>
        <v/>
      </c>
      <c r="B2308" s="40" t="n">
        <v>-23.657482</v>
      </c>
      <c r="C2308" s="40" t="n">
        <v>-46.766878</v>
      </c>
      <c r="D2308" s="40" t="n">
        <v>339</v>
      </c>
      <c r="E2308" s="41" t="n">
        <v>19694.088</v>
      </c>
    </row>
    <row r="2309">
      <c r="A2309" s="42">
        <f>_xlfn.XLOOKUP(17844,Trip[shape_id],Trip[shape_id],"Não encontrado")</f>
        <v/>
      </c>
      <c r="B2309" s="43" t="n">
        <v>-23.658229</v>
      </c>
      <c r="C2309" s="43" t="n">
        <v>-46.767408</v>
      </c>
      <c r="D2309" s="43" t="n">
        <v>340</v>
      </c>
      <c r="E2309" s="44" t="n">
        <v>19824.557</v>
      </c>
    </row>
    <row r="2310">
      <c r="A2310" s="39">
        <f>_xlfn.XLOOKUP(17844,Trip[shape_id],Trip[shape_id],"Não encontrado")</f>
        <v/>
      </c>
      <c r="B2310" s="40" t="n">
        <v>-23.659251</v>
      </c>
      <c r="C2310" s="40" t="n">
        <v>-46.768044</v>
      </c>
      <c r="D2310" s="40" t="n">
        <v>341</v>
      </c>
      <c r="E2310" s="41" t="n">
        <v>19933.938</v>
      </c>
    </row>
    <row r="2311">
      <c r="A2311" s="42">
        <f>_xlfn.XLOOKUP(17844,Trip[shape_id],Trip[shape_id],"Não encontrado")</f>
        <v/>
      </c>
      <c r="B2311" s="43" t="n">
        <v>-23.66001</v>
      </c>
      <c r="C2311" s="43" t="n">
        <v>-46.76873</v>
      </c>
      <c r="D2311" s="43" t="n">
        <v>342</v>
      </c>
      <c r="E2311" s="44" t="n">
        <v>19933.938</v>
      </c>
    </row>
    <row r="2312">
      <c r="A2312" s="39">
        <f>_xlfn.XLOOKUP(17845,Trip[shape_id],Trip[shape_id],"Não encontrado")</f>
        <v/>
      </c>
      <c r="B2312" s="40" t="n">
        <v>-23.66001</v>
      </c>
      <c r="C2312" s="40" t="n">
        <v>-46.76873</v>
      </c>
      <c r="D2312" s="40" t="n">
        <v>1</v>
      </c>
      <c r="E2312" s="41" t="n">
        <v>0</v>
      </c>
    </row>
    <row r="2313">
      <c r="A2313" s="42">
        <f>_xlfn.XLOOKUP(17845,Trip[shape_id],Trip[shape_id],"Não encontrado")</f>
        <v/>
      </c>
      <c r="B2313" s="43" t="n">
        <v>-23.659251</v>
      </c>
      <c r="C2313" s="43" t="n">
        <v>-46.768044</v>
      </c>
      <c r="D2313" s="43" t="n">
        <v>2</v>
      </c>
      <c r="E2313" s="44" t="n">
        <v>109.38079</v>
      </c>
    </row>
    <row r="2314">
      <c r="A2314" s="39">
        <f>_xlfn.XLOOKUP(17845,Trip[shape_id],Trip[shape_id],"Não encontrado")</f>
        <v/>
      </c>
      <c r="B2314" s="40" t="n">
        <v>-23.658229</v>
      </c>
      <c r="C2314" s="40" t="n">
        <v>-46.767408</v>
      </c>
      <c r="D2314" s="40" t="n">
        <v>3</v>
      </c>
      <c r="E2314" s="41" t="n">
        <v>239.84857</v>
      </c>
    </row>
    <row r="2315">
      <c r="A2315" s="42">
        <f>_xlfn.XLOOKUP(17845,Trip[shape_id],Trip[shape_id],"Não encontrado")</f>
        <v/>
      </c>
      <c r="B2315" s="43" t="n">
        <v>-23.657482</v>
      </c>
      <c r="C2315" s="43" t="n">
        <v>-46.766878</v>
      </c>
      <c r="D2315" s="43" t="n">
        <v>4</v>
      </c>
      <c r="E2315" s="44" t="n">
        <v>338.68317</v>
      </c>
    </row>
    <row r="2316">
      <c r="A2316" s="39">
        <f>_xlfn.XLOOKUP(17845,Trip[shape_id],Trip[shape_id],"Não encontrado")</f>
        <v/>
      </c>
      <c r="B2316" s="40" t="n">
        <v>-23.657154</v>
      </c>
      <c r="C2316" s="40" t="n">
        <v>-46.766663</v>
      </c>
      <c r="D2316" s="40" t="n">
        <v>5</v>
      </c>
      <c r="E2316" s="41" t="n">
        <v>381.11859</v>
      </c>
    </row>
    <row r="2317">
      <c r="A2317" s="42">
        <f>_xlfn.XLOOKUP(17845,Trip[shape_id],Trip[shape_id],"Não encontrado")</f>
        <v/>
      </c>
      <c r="B2317" s="43" t="n">
        <v>-23.656659</v>
      </c>
      <c r="C2317" s="43" t="n">
        <v>-46.766335</v>
      </c>
      <c r="D2317" s="43" t="n">
        <v>6</v>
      </c>
      <c r="E2317" s="44" t="n">
        <v>445.34695</v>
      </c>
    </row>
    <row r="2318">
      <c r="A2318" s="39">
        <f>_xlfn.XLOOKUP(17845,Trip[shape_id],Trip[shape_id],"Não encontrado")</f>
        <v/>
      </c>
      <c r="B2318" s="40" t="n">
        <v>-23.656081</v>
      </c>
      <c r="C2318" s="40" t="n">
        <v>-46.765947</v>
      </c>
      <c r="D2318" s="40" t="n">
        <v>7</v>
      </c>
      <c r="E2318" s="41" t="n">
        <v>520.61218</v>
      </c>
    </row>
    <row r="2319">
      <c r="A2319" s="42">
        <f>_xlfn.XLOOKUP(17845,Trip[shape_id],Trip[shape_id],"Não encontrado")</f>
        <v/>
      </c>
      <c r="B2319" s="43" t="n">
        <v>-23.655735</v>
      </c>
      <c r="C2319" s="43" t="n">
        <v>-46.765682</v>
      </c>
      <c r="D2319" s="43" t="n">
        <v>8</v>
      </c>
      <c r="E2319" s="44" t="n">
        <v>567.5097</v>
      </c>
    </row>
    <row r="2320">
      <c r="A2320" s="39">
        <f>_xlfn.XLOOKUP(17845,Trip[shape_id],Trip[shape_id],"Não encontrado")</f>
        <v/>
      </c>
      <c r="B2320" s="40" t="n">
        <v>-23.655371</v>
      </c>
      <c r="C2320" s="40" t="n">
        <v>-46.765399</v>
      </c>
      <c r="D2320" s="40" t="n">
        <v>9</v>
      </c>
      <c r="E2320" s="41" t="n">
        <v>617.09619</v>
      </c>
    </row>
    <row r="2321">
      <c r="A2321" s="42">
        <f>_xlfn.XLOOKUP(17845,Trip[shape_id],Trip[shape_id],"Não encontrado")</f>
        <v/>
      </c>
      <c r="B2321" s="43" t="n">
        <v>-23.654638</v>
      </c>
      <c r="C2321" s="43" t="n">
        <v>-46.76478</v>
      </c>
      <c r="D2321" s="43" t="n">
        <v>10</v>
      </c>
      <c r="E2321" s="44" t="n">
        <v>719.94855</v>
      </c>
    </row>
    <row r="2322">
      <c r="A2322" s="39">
        <f>_xlfn.XLOOKUP(17845,Trip[shape_id],Trip[shape_id],"Não encontrado")</f>
        <v/>
      </c>
      <c r="B2322" s="40" t="n">
        <v>-23.654131</v>
      </c>
      <c r="C2322" s="40" t="n">
        <v>-46.764352</v>
      </c>
      <c r="D2322" s="40" t="n">
        <v>11</v>
      </c>
      <c r="E2322" s="41" t="n">
        <v>791.08008</v>
      </c>
    </row>
    <row r="2323">
      <c r="A2323" s="42">
        <f>_xlfn.XLOOKUP(17845,Trip[shape_id],Trip[shape_id],"Não encontrado")</f>
        <v/>
      </c>
      <c r="B2323" s="43" t="n">
        <v>-23.653455</v>
      </c>
      <c r="C2323" s="43" t="n">
        <v>-46.763684</v>
      </c>
      <c r="D2323" s="43" t="n">
        <v>12</v>
      </c>
      <c r="E2323" s="44" t="n">
        <v>892.32202</v>
      </c>
    </row>
    <row r="2324">
      <c r="A2324" s="39">
        <f>_xlfn.XLOOKUP(17845,Trip[shape_id],Trip[shape_id],"Não encontrado")</f>
        <v/>
      </c>
      <c r="B2324" s="40" t="n">
        <v>-23.653033</v>
      </c>
      <c r="C2324" s="40" t="n">
        <v>-46.763266</v>
      </c>
      <c r="D2324" s="40" t="n">
        <v>13</v>
      </c>
      <c r="E2324" s="41" t="n">
        <v>955.5918</v>
      </c>
    </row>
    <row r="2325">
      <c r="A2325" s="42">
        <f>_xlfn.XLOOKUP(17845,Trip[shape_id],Trip[shape_id],"Não encontrado")</f>
        <v/>
      </c>
      <c r="B2325" s="43" t="n">
        <v>-23.652856</v>
      </c>
      <c r="C2325" s="43" t="n">
        <v>-46.763073</v>
      </c>
      <c r="D2325" s="43" t="n">
        <v>14</v>
      </c>
      <c r="E2325" s="44" t="n">
        <v>983.37671</v>
      </c>
    </row>
    <row r="2326">
      <c r="A2326" s="39">
        <f>_xlfn.XLOOKUP(17845,Trip[shape_id],Trip[shape_id],"Não encontrado")</f>
        <v/>
      </c>
      <c r="B2326" s="40" t="n">
        <v>-23.652114</v>
      </c>
      <c r="C2326" s="40" t="n">
        <v>-46.762279</v>
      </c>
      <c r="D2326" s="40" t="n">
        <v>15</v>
      </c>
      <c r="E2326" s="41" t="n">
        <v>1098.769</v>
      </c>
    </row>
    <row r="2327">
      <c r="A2327" s="42">
        <f>_xlfn.XLOOKUP(17845,Trip[shape_id],Trip[shape_id],"Não encontrado")</f>
        <v/>
      </c>
      <c r="B2327" s="43" t="n">
        <v>-23.651798</v>
      </c>
      <c r="C2327" s="43" t="n">
        <v>-46.761868</v>
      </c>
      <c r="D2327" s="43" t="n">
        <v>16</v>
      </c>
      <c r="E2327" s="44" t="n">
        <v>1153.3871</v>
      </c>
    </row>
    <row r="2328">
      <c r="A2328" s="39">
        <f>_xlfn.XLOOKUP(17845,Trip[shape_id],Trip[shape_id],"Não encontrado")</f>
        <v/>
      </c>
      <c r="B2328" s="40" t="n">
        <v>-23.651519</v>
      </c>
      <c r="C2328" s="40" t="n">
        <v>-46.761485</v>
      </c>
      <c r="D2328" s="40" t="n">
        <v>17</v>
      </c>
      <c r="E2328" s="41" t="n">
        <v>1203.2036</v>
      </c>
    </row>
    <row r="2329">
      <c r="A2329" s="42">
        <f>_xlfn.XLOOKUP(17845,Trip[shape_id],Trip[shape_id],"Não encontrado")</f>
        <v/>
      </c>
      <c r="B2329" s="43" t="n">
        <v>-23.651212</v>
      </c>
      <c r="C2329" s="43" t="n">
        <v>-46.761057</v>
      </c>
      <c r="D2329" s="43" t="n">
        <v>18</v>
      </c>
      <c r="E2329" s="44" t="n">
        <v>1258.5464</v>
      </c>
    </row>
    <row r="2330">
      <c r="A2330" s="39">
        <f>_xlfn.XLOOKUP(17845,Trip[shape_id],Trip[shape_id],"Não encontrado")</f>
        <v/>
      </c>
      <c r="B2330" s="40" t="n">
        <v>-23.650976</v>
      </c>
      <c r="C2330" s="40" t="n">
        <v>-46.760722</v>
      </c>
      <c r="D2330" s="40" t="n">
        <v>19</v>
      </c>
      <c r="E2330" s="41" t="n">
        <v>1301.5735</v>
      </c>
    </row>
    <row r="2331">
      <c r="A2331" s="42">
        <f>_xlfn.XLOOKUP(17845,Trip[shape_id],Trip[shape_id],"Não encontrado")</f>
        <v/>
      </c>
      <c r="B2331" s="43" t="n">
        <v>-23.650837</v>
      </c>
      <c r="C2331" s="43" t="n">
        <v>-46.760525</v>
      </c>
      <c r="D2331" s="43" t="n">
        <v>20</v>
      </c>
      <c r="E2331" s="44" t="n">
        <v>1326.8905</v>
      </c>
    </row>
    <row r="2332">
      <c r="A2332" s="39">
        <f>_xlfn.XLOOKUP(17845,Trip[shape_id],Trip[shape_id],"Não encontrado")</f>
        <v/>
      </c>
      <c r="B2332" s="40" t="n">
        <v>-23.650607</v>
      </c>
      <c r="C2332" s="40" t="n">
        <v>-46.760196</v>
      </c>
      <c r="D2332" s="40" t="n">
        <v>21</v>
      </c>
      <c r="E2332" s="41" t="n">
        <v>1369.028</v>
      </c>
    </row>
    <row r="2333">
      <c r="A2333" s="42">
        <f>_xlfn.XLOOKUP(17845,Trip[shape_id],Trip[shape_id],"Não encontrado")</f>
        <v/>
      </c>
      <c r="B2333" s="43" t="n">
        <v>-23.650269</v>
      </c>
      <c r="C2333" s="43" t="n">
        <v>-46.759789</v>
      </c>
      <c r="D2333" s="43" t="n">
        <v>22</v>
      </c>
      <c r="E2333" s="44" t="n">
        <v>1424.9349</v>
      </c>
    </row>
    <row r="2334">
      <c r="A2334" s="39">
        <f>_xlfn.XLOOKUP(17845,Trip[shape_id],Trip[shape_id],"Não encontrado")</f>
        <v/>
      </c>
      <c r="B2334" s="40" t="n">
        <v>-23.650009</v>
      </c>
      <c r="C2334" s="40" t="n">
        <v>-46.759502</v>
      </c>
      <c r="D2334" s="40" t="n">
        <v>23</v>
      </c>
      <c r="E2334" s="41" t="n">
        <v>1466.0029</v>
      </c>
    </row>
    <row r="2335">
      <c r="A2335" s="42">
        <f>_xlfn.XLOOKUP(17845,Trip[shape_id],Trip[shape_id],"Não encontrado")</f>
        <v/>
      </c>
      <c r="B2335" s="43" t="n">
        <v>-23.649864</v>
      </c>
      <c r="C2335" s="43" t="n">
        <v>-46.759384</v>
      </c>
      <c r="D2335" s="43" t="n">
        <v>24</v>
      </c>
      <c r="E2335" s="44" t="n">
        <v>1486.0737</v>
      </c>
    </row>
    <row r="2336">
      <c r="A2336" s="39">
        <f>_xlfn.XLOOKUP(17845,Trip[shape_id],Trip[shape_id],"Não encontrado")</f>
        <v/>
      </c>
      <c r="B2336" s="40" t="n">
        <v>-23.649753</v>
      </c>
      <c r="C2336" s="40" t="n">
        <v>-46.759295</v>
      </c>
      <c r="D2336" s="40" t="n">
        <v>25</v>
      </c>
      <c r="E2336" s="41" t="n">
        <v>1501.3572</v>
      </c>
    </row>
    <row r="2337">
      <c r="A2337" s="42">
        <f>_xlfn.XLOOKUP(17845,Trip[shape_id],Trip[shape_id],"Não encontrado")</f>
        <v/>
      </c>
      <c r="B2337" s="43" t="n">
        <v>-23.649466</v>
      </c>
      <c r="C2337" s="43" t="n">
        <v>-46.759066</v>
      </c>
      <c r="D2337" s="43" t="n">
        <v>26</v>
      </c>
      <c r="E2337" s="44" t="n">
        <v>1540.8062</v>
      </c>
    </row>
    <row r="2338">
      <c r="A2338" s="39">
        <f>_xlfn.XLOOKUP(17845,Trip[shape_id],Trip[shape_id],"Não encontrado")</f>
        <v/>
      </c>
      <c r="B2338" s="40" t="n">
        <v>-23.649323</v>
      </c>
      <c r="C2338" s="40" t="n">
        <v>-46.758953</v>
      </c>
      <c r="D2338" s="40" t="n">
        <v>27</v>
      </c>
      <c r="E2338" s="41" t="n">
        <v>1560.3955</v>
      </c>
    </row>
    <row r="2339">
      <c r="A2339" s="42">
        <f>_xlfn.XLOOKUP(17845,Trip[shape_id],Trip[shape_id],"Não encontrado")</f>
        <v/>
      </c>
      <c r="B2339" s="43" t="n">
        <v>-23.649227</v>
      </c>
      <c r="C2339" s="43" t="n">
        <v>-46.758898</v>
      </c>
      <c r="D2339" s="43" t="n">
        <v>28</v>
      </c>
      <c r="E2339" s="44" t="n">
        <v>1572.4178</v>
      </c>
    </row>
    <row r="2340">
      <c r="A2340" s="39">
        <f>_xlfn.XLOOKUP(17845,Trip[shape_id],Trip[shape_id],"Não encontrado")</f>
        <v/>
      </c>
      <c r="B2340" s="40" t="n">
        <v>-23.648826</v>
      </c>
      <c r="C2340" s="40" t="n">
        <v>-46.758734</v>
      </c>
      <c r="D2340" s="40" t="n">
        <v>29</v>
      </c>
      <c r="E2340" s="41" t="n">
        <v>1619.8773</v>
      </c>
    </row>
    <row r="2341">
      <c r="A2341" s="42">
        <f>_xlfn.XLOOKUP(17845,Trip[shape_id],Trip[shape_id],"Não encontrado")</f>
        <v/>
      </c>
      <c r="B2341" s="43" t="n">
        <v>-23.648677</v>
      </c>
      <c r="C2341" s="43" t="n">
        <v>-46.758685</v>
      </c>
      <c r="D2341" s="43" t="n">
        <v>30</v>
      </c>
      <c r="E2341" s="44" t="n">
        <v>1637.1204</v>
      </c>
    </row>
    <row r="2342">
      <c r="A2342" s="39">
        <f>_xlfn.XLOOKUP(17845,Trip[shape_id],Trip[shape_id],"Não encontrado")</f>
        <v/>
      </c>
      <c r="B2342" s="40" t="n">
        <v>-23.648485</v>
      </c>
      <c r="C2342" s="40" t="n">
        <v>-46.758614</v>
      </c>
      <c r="D2342" s="40" t="n">
        <v>31</v>
      </c>
      <c r="E2342" s="41" t="n">
        <v>1659.585</v>
      </c>
    </row>
    <row r="2343">
      <c r="A2343" s="42">
        <f>_xlfn.XLOOKUP(17845,Trip[shape_id],Trip[shape_id],"Não encontrado")</f>
        <v/>
      </c>
      <c r="B2343" s="43" t="n">
        <v>-23.648358</v>
      </c>
      <c r="C2343" s="43" t="n">
        <v>-46.758529</v>
      </c>
      <c r="D2343" s="43" t="n">
        <v>32</v>
      </c>
      <c r="E2343" s="44" t="n">
        <v>1676.1091</v>
      </c>
    </row>
    <row r="2344">
      <c r="A2344" s="39">
        <f>_xlfn.XLOOKUP(17845,Trip[shape_id],Trip[shape_id],"Não encontrado")</f>
        <v/>
      </c>
      <c r="B2344" s="40" t="n">
        <v>-23.64808</v>
      </c>
      <c r="C2344" s="40" t="n">
        <v>-46.758415</v>
      </c>
      <c r="D2344" s="40" t="n">
        <v>33</v>
      </c>
      <c r="E2344" s="41" t="n">
        <v>1709.0222</v>
      </c>
    </row>
    <row r="2345">
      <c r="A2345" s="42">
        <f>_xlfn.XLOOKUP(17845,Trip[shape_id],Trip[shape_id],"Não encontrado")</f>
        <v/>
      </c>
      <c r="B2345" s="43" t="n">
        <v>-23.647855</v>
      </c>
      <c r="C2345" s="43" t="n">
        <v>-46.758311</v>
      </c>
      <c r="D2345" s="43" t="n">
        <v>34</v>
      </c>
      <c r="E2345" s="44" t="n">
        <v>1736.1068</v>
      </c>
    </row>
    <row r="2346">
      <c r="A2346" s="39">
        <f>_xlfn.XLOOKUP(17845,Trip[shape_id],Trip[shape_id],"Não encontrado")</f>
        <v/>
      </c>
      <c r="B2346" s="40" t="n">
        <v>-23.647456</v>
      </c>
      <c r="C2346" s="40" t="n">
        <v>-46.758049</v>
      </c>
      <c r="D2346" s="40" t="n">
        <v>35</v>
      </c>
      <c r="E2346" s="41" t="n">
        <v>1787.7532</v>
      </c>
    </row>
    <row r="2347">
      <c r="A2347" s="42">
        <f>_xlfn.XLOOKUP(17845,Trip[shape_id],Trip[shape_id],"Não encontrado")</f>
        <v/>
      </c>
      <c r="B2347" s="43" t="n">
        <v>-23.647254</v>
      </c>
      <c r="C2347" s="43" t="n">
        <v>-46.757884</v>
      </c>
      <c r="D2347" s="43" t="n">
        <v>36</v>
      </c>
      <c r="E2347" s="44" t="n">
        <v>1815.7517</v>
      </c>
    </row>
    <row r="2348">
      <c r="A2348" s="39">
        <f>_xlfn.XLOOKUP(17845,Trip[shape_id],Trip[shape_id],"Não encontrado")</f>
        <v/>
      </c>
      <c r="B2348" s="40" t="n">
        <v>-23.647007</v>
      </c>
      <c r="C2348" s="40" t="n">
        <v>-46.757649</v>
      </c>
      <c r="D2348" s="40" t="n">
        <v>37</v>
      </c>
      <c r="E2348" s="41" t="n">
        <v>1852.1279</v>
      </c>
    </row>
    <row r="2349">
      <c r="A2349" s="42">
        <f>_xlfn.XLOOKUP(17845,Trip[shape_id],Trip[shape_id],"Não encontrado")</f>
        <v/>
      </c>
      <c r="B2349" s="43" t="n">
        <v>-23.64676</v>
      </c>
      <c r="C2349" s="43" t="n">
        <v>-46.757363</v>
      </c>
      <c r="D2349" s="43" t="n">
        <v>38</v>
      </c>
      <c r="E2349" s="44" t="n">
        <v>1892.1256</v>
      </c>
    </row>
    <row r="2350">
      <c r="A2350" s="39">
        <f>_xlfn.XLOOKUP(17845,Trip[shape_id],Trip[shape_id],"Não encontrado")</f>
        <v/>
      </c>
      <c r="B2350" s="40" t="n">
        <v>-23.646518</v>
      </c>
      <c r="C2350" s="40" t="n">
        <v>-46.757034</v>
      </c>
      <c r="D2350" s="40" t="n">
        <v>39</v>
      </c>
      <c r="E2350" s="41" t="n">
        <v>1935.0804</v>
      </c>
    </row>
    <row r="2351">
      <c r="A2351" s="42">
        <f>_xlfn.XLOOKUP(17845,Trip[shape_id],Trip[shape_id],"Não encontrado")</f>
        <v/>
      </c>
      <c r="B2351" s="43" t="n">
        <v>-23.646175</v>
      </c>
      <c r="C2351" s="43" t="n">
        <v>-46.756486</v>
      </c>
      <c r="D2351" s="43" t="n">
        <v>40</v>
      </c>
      <c r="E2351" s="44" t="n">
        <v>2002.6761</v>
      </c>
    </row>
    <row r="2352">
      <c r="A2352" s="39">
        <f>_xlfn.XLOOKUP(17845,Trip[shape_id],Trip[shape_id],"Não encontrado")</f>
        <v/>
      </c>
      <c r="B2352" s="40" t="n">
        <v>-23.645933</v>
      </c>
      <c r="C2352" s="40" t="n">
        <v>-46.755954</v>
      </c>
      <c r="D2352" s="40" t="n">
        <v>41</v>
      </c>
      <c r="E2352" s="41" t="n">
        <v>2063.2119</v>
      </c>
    </row>
    <row r="2353">
      <c r="A2353" s="42">
        <f>_xlfn.XLOOKUP(17845,Trip[shape_id],Trip[shape_id],"Não encontrado")</f>
        <v/>
      </c>
      <c r="B2353" s="43" t="n">
        <v>-23.64576</v>
      </c>
      <c r="C2353" s="43" t="n">
        <v>-46.755327</v>
      </c>
      <c r="D2353" s="43" t="n">
        <v>42</v>
      </c>
      <c r="E2353" s="44" t="n">
        <v>2129.9915</v>
      </c>
    </row>
    <row r="2354">
      <c r="A2354" s="39">
        <f>_xlfn.XLOOKUP(17845,Trip[shape_id],Trip[shape_id],"Não encontrado")</f>
        <v/>
      </c>
      <c r="B2354" s="40" t="n">
        <v>-23.645711</v>
      </c>
      <c r="C2354" s="40" t="n">
        <v>-46.754666</v>
      </c>
      <c r="D2354" s="40" t="n">
        <v>43</v>
      </c>
      <c r="E2354" s="41" t="n">
        <v>2197.6504</v>
      </c>
    </row>
    <row r="2355">
      <c r="A2355" s="42">
        <f>_xlfn.XLOOKUP(17845,Trip[shape_id],Trip[shape_id],"Não encontrado")</f>
        <v/>
      </c>
      <c r="B2355" s="43" t="n">
        <v>-23.645726</v>
      </c>
      <c r="C2355" s="43" t="n">
        <v>-46.75422</v>
      </c>
      <c r="D2355" s="43" t="n">
        <v>44</v>
      </c>
      <c r="E2355" s="44" t="n">
        <v>2243.1853</v>
      </c>
    </row>
    <row r="2356">
      <c r="A2356" s="39">
        <f>_xlfn.XLOOKUP(17845,Trip[shape_id],Trip[shape_id],"Não encontrado")</f>
        <v/>
      </c>
      <c r="B2356" s="40" t="n">
        <v>-23.645732</v>
      </c>
      <c r="C2356" s="40" t="n">
        <v>-46.753709</v>
      </c>
      <c r="D2356" s="40" t="n">
        <v>45</v>
      </c>
      <c r="E2356" s="41" t="n">
        <v>2295.3259</v>
      </c>
    </row>
    <row r="2357">
      <c r="A2357" s="42">
        <f>_xlfn.XLOOKUP(17845,Trip[shape_id],Trip[shape_id],"Não encontrado")</f>
        <v/>
      </c>
      <c r="B2357" s="43" t="n">
        <v>-23.645726</v>
      </c>
      <c r="C2357" s="43" t="n">
        <v>-46.753192</v>
      </c>
      <c r="D2357" s="43" t="n">
        <v>46</v>
      </c>
      <c r="E2357" s="44" t="n">
        <v>2348.0786</v>
      </c>
    </row>
    <row r="2358">
      <c r="A2358" s="39">
        <f>_xlfn.XLOOKUP(17845,Trip[shape_id],Trip[shape_id],"Não encontrado")</f>
        <v/>
      </c>
      <c r="B2358" s="40" t="n">
        <v>-23.645724</v>
      </c>
      <c r="C2358" s="40" t="n">
        <v>-46.752778</v>
      </c>
      <c r="D2358" s="40" t="n">
        <v>47</v>
      </c>
      <c r="E2358" s="41" t="n">
        <v>2390.3191</v>
      </c>
    </row>
    <row r="2359">
      <c r="A2359" s="42">
        <f>_xlfn.XLOOKUP(17845,Trip[shape_id],Trip[shape_id],"Não encontrado")</f>
        <v/>
      </c>
      <c r="B2359" s="43" t="n">
        <v>-23.645718</v>
      </c>
      <c r="C2359" s="43" t="n">
        <v>-46.752694</v>
      </c>
      <c r="D2359" s="43" t="n">
        <v>48</v>
      </c>
      <c r="E2359" s="44" t="n">
        <v>2398.9148</v>
      </c>
    </row>
    <row r="2360">
      <c r="A2360" s="39">
        <f>_xlfn.XLOOKUP(17845,Trip[shape_id],Trip[shape_id],"Não encontrado")</f>
        <v/>
      </c>
      <c r="B2360" s="40" t="n">
        <v>-23.645628</v>
      </c>
      <c r="C2360" s="40" t="n">
        <v>-46.75206</v>
      </c>
      <c r="D2360" s="40" t="n">
        <v>49</v>
      </c>
      <c r="E2360" s="41" t="n">
        <v>2464.3643</v>
      </c>
    </row>
    <row r="2361">
      <c r="A2361" s="42">
        <f>_xlfn.XLOOKUP(17845,Trip[shape_id],Trip[shape_id],"Não encontrado")</f>
        <v/>
      </c>
      <c r="B2361" s="43" t="n">
        <v>-23.645423</v>
      </c>
      <c r="C2361" s="43" t="n">
        <v>-46.751191</v>
      </c>
      <c r="D2361" s="43" t="n">
        <v>50</v>
      </c>
      <c r="E2361" s="44" t="n">
        <v>2555.8879</v>
      </c>
    </row>
    <row r="2362">
      <c r="A2362" s="39">
        <f>_xlfn.XLOOKUP(17845,Trip[shape_id],Trip[shape_id],"Não encontrado")</f>
        <v/>
      </c>
      <c r="B2362" s="40" t="n">
        <v>-23.645234</v>
      </c>
      <c r="C2362" s="40" t="n">
        <v>-46.75069</v>
      </c>
      <c r="D2362" s="40" t="n">
        <v>51</v>
      </c>
      <c r="E2362" s="41" t="n">
        <v>2611.1243</v>
      </c>
    </row>
    <row r="2363">
      <c r="A2363" s="42">
        <f>_xlfn.XLOOKUP(17845,Trip[shape_id],Trip[shape_id],"Não encontrado")</f>
        <v/>
      </c>
      <c r="B2363" s="43" t="n">
        <v>-23.644991</v>
      </c>
      <c r="C2363" s="43" t="n">
        <v>-46.750158</v>
      </c>
      <c r="D2363" s="43" t="n">
        <v>52</v>
      </c>
      <c r="E2363" s="44" t="n">
        <v>2671.7095</v>
      </c>
    </row>
    <row r="2364">
      <c r="A2364" s="39">
        <f>_xlfn.XLOOKUP(17845,Trip[shape_id],Trip[shape_id],"Não encontrado")</f>
        <v/>
      </c>
      <c r="B2364" s="40" t="n">
        <v>-23.644686</v>
      </c>
      <c r="C2364" s="40" t="n">
        <v>-46.749631</v>
      </c>
      <c r="D2364" s="40" t="n">
        <v>53</v>
      </c>
      <c r="E2364" s="41" t="n">
        <v>2735.209</v>
      </c>
    </row>
    <row r="2365">
      <c r="A2365" s="42">
        <f>_xlfn.XLOOKUP(17845,Trip[shape_id],Trip[shape_id],"Não encontrado")</f>
        <v/>
      </c>
      <c r="B2365" s="43" t="n">
        <v>-23.644448</v>
      </c>
      <c r="C2365" s="43" t="n">
        <v>-46.749242</v>
      </c>
      <c r="D2365" s="43" t="n">
        <v>54</v>
      </c>
      <c r="E2365" s="44" t="n">
        <v>2782.854</v>
      </c>
    </row>
    <row r="2366">
      <c r="A2366" s="39">
        <f>_xlfn.XLOOKUP(17845,Trip[shape_id],Trip[shape_id],"Não encontrado")</f>
        <v/>
      </c>
      <c r="B2366" s="40" t="n">
        <v>-23.644238</v>
      </c>
      <c r="C2366" s="40" t="n">
        <v>-46.74891</v>
      </c>
      <c r="D2366" s="40" t="n">
        <v>55</v>
      </c>
      <c r="E2366" s="41" t="n">
        <v>2823.9438</v>
      </c>
    </row>
    <row r="2367">
      <c r="A2367" s="42">
        <f>_xlfn.XLOOKUP(17845,Trip[shape_id],Trip[shape_id],"Não encontrado")</f>
        <v/>
      </c>
      <c r="B2367" s="43" t="n">
        <v>-23.644152</v>
      </c>
      <c r="C2367" s="43" t="n">
        <v>-46.748781</v>
      </c>
      <c r="D2367" s="43" t="n">
        <v>56</v>
      </c>
      <c r="E2367" s="44" t="n">
        <v>2840.1904</v>
      </c>
    </row>
    <row r="2368">
      <c r="A2368" s="39">
        <f>_xlfn.XLOOKUP(17845,Trip[shape_id],Trip[shape_id],"Não encontrado")</f>
        <v/>
      </c>
      <c r="B2368" s="40" t="n">
        <v>-23.643759</v>
      </c>
      <c r="C2368" s="40" t="n">
        <v>-46.748195</v>
      </c>
      <c r="D2368" s="40" t="n">
        <v>57</v>
      </c>
      <c r="E2368" s="41" t="n">
        <v>2914.145</v>
      </c>
    </row>
    <row r="2369">
      <c r="A2369" s="42">
        <f>_xlfn.XLOOKUP(17845,Trip[shape_id],Trip[shape_id],"Não encontrado")</f>
        <v/>
      </c>
      <c r="B2369" s="43" t="n">
        <v>-23.643496</v>
      </c>
      <c r="C2369" s="43" t="n">
        <v>-46.747859</v>
      </c>
      <c r="D2369" s="43" t="n">
        <v>58</v>
      </c>
      <c r="E2369" s="44" t="n">
        <v>2959.1306</v>
      </c>
    </row>
    <row r="2370">
      <c r="A2370" s="39">
        <f>_xlfn.XLOOKUP(17845,Trip[shape_id],Trip[shape_id],"Não encontrado")</f>
        <v/>
      </c>
      <c r="B2370" s="40" t="n">
        <v>-23.643235</v>
      </c>
      <c r="C2370" s="40" t="n">
        <v>-46.747574</v>
      </c>
      <c r="D2370" s="40" t="n">
        <v>59</v>
      </c>
      <c r="E2370" s="41" t="n">
        <v>3000.1326</v>
      </c>
    </row>
    <row r="2371">
      <c r="A2371" s="42">
        <f>_xlfn.XLOOKUP(17845,Trip[shape_id],Trip[shape_id],"Não encontrado")</f>
        <v/>
      </c>
      <c r="B2371" s="43" t="n">
        <v>-23.642852</v>
      </c>
      <c r="C2371" s="43" t="n">
        <v>-46.747263</v>
      </c>
      <c r="D2371" s="43" t="n">
        <v>60</v>
      </c>
      <c r="E2371" s="44" t="n">
        <v>3053.1062</v>
      </c>
    </row>
    <row r="2372">
      <c r="A2372" s="39">
        <f>_xlfn.XLOOKUP(17845,Trip[shape_id],Trip[shape_id],"Não encontrado")</f>
        <v/>
      </c>
      <c r="B2372" s="40" t="n">
        <v>-23.642697</v>
      </c>
      <c r="C2372" s="40" t="n">
        <v>-46.747181</v>
      </c>
      <c r="D2372" s="40" t="n">
        <v>61</v>
      </c>
      <c r="E2372" s="41" t="n">
        <v>3072.2031</v>
      </c>
    </row>
    <row r="2373">
      <c r="A2373" s="42">
        <f>_xlfn.XLOOKUP(17845,Trip[shape_id],Trip[shape_id],"Não encontrado")</f>
        <v/>
      </c>
      <c r="B2373" s="43" t="n">
        <v>-23.642351</v>
      </c>
      <c r="C2373" s="43" t="n">
        <v>-46.746994</v>
      </c>
      <c r="D2373" s="43" t="n">
        <v>62</v>
      </c>
      <c r="E2373" s="44" t="n">
        <v>3115.011</v>
      </c>
    </row>
    <row r="2374">
      <c r="A2374" s="39">
        <f>_xlfn.XLOOKUP(17845,Trip[shape_id],Trip[shape_id],"Não encontrado")</f>
        <v/>
      </c>
      <c r="B2374" s="40" t="n">
        <v>-23.642145</v>
      </c>
      <c r="C2374" s="40" t="n">
        <v>-46.746888</v>
      </c>
      <c r="D2374" s="40" t="n">
        <v>63</v>
      </c>
      <c r="E2374" s="41" t="n">
        <v>3140.26</v>
      </c>
    </row>
    <row r="2375">
      <c r="A2375" s="42">
        <f>_xlfn.XLOOKUP(17845,Trip[shape_id],Trip[shape_id],"Não encontrado")</f>
        <v/>
      </c>
      <c r="B2375" s="43" t="n">
        <v>-23.641978</v>
      </c>
      <c r="C2375" s="43" t="n">
        <v>-46.746808</v>
      </c>
      <c r="D2375" s="43" t="n">
        <v>64</v>
      </c>
      <c r="E2375" s="44" t="n">
        <v>3160.4768</v>
      </c>
    </row>
    <row r="2376">
      <c r="A2376" s="39">
        <f>_xlfn.XLOOKUP(17845,Trip[shape_id],Trip[shape_id],"Não encontrado")</f>
        <v/>
      </c>
      <c r="B2376" s="40" t="n">
        <v>-23.641687</v>
      </c>
      <c r="C2376" s="40" t="n">
        <v>-46.746671</v>
      </c>
      <c r="D2376" s="40" t="n">
        <v>65</v>
      </c>
      <c r="E2376" s="41" t="n">
        <v>3195.6067</v>
      </c>
    </row>
    <row r="2377">
      <c r="A2377" s="42">
        <f>_xlfn.XLOOKUP(17845,Trip[shape_id],Trip[shape_id],"Não encontrado")</f>
        <v/>
      </c>
      <c r="B2377" s="43" t="n">
        <v>-23.641422</v>
      </c>
      <c r="C2377" s="43" t="n">
        <v>-46.746549</v>
      </c>
      <c r="D2377" s="43" t="n">
        <v>66</v>
      </c>
      <c r="E2377" s="44" t="n">
        <v>3227.4871</v>
      </c>
    </row>
    <row r="2378">
      <c r="A2378" s="39">
        <f>_xlfn.XLOOKUP(17845,Trip[shape_id],Trip[shape_id],"Não encontrado")</f>
        <v/>
      </c>
      <c r="B2378" s="40" t="n">
        <v>-23.640869</v>
      </c>
      <c r="C2378" s="40" t="n">
        <v>-46.746291</v>
      </c>
      <c r="D2378" s="40" t="n">
        <v>67</v>
      </c>
      <c r="E2378" s="41" t="n">
        <v>3294.1511</v>
      </c>
    </row>
    <row r="2379">
      <c r="A2379" s="42">
        <f>_xlfn.XLOOKUP(17845,Trip[shape_id],Trip[shape_id],"Não encontrado")</f>
        <v/>
      </c>
      <c r="B2379" s="43" t="n">
        <v>-23.640674</v>
      </c>
      <c r="C2379" s="43" t="n">
        <v>-46.74615</v>
      </c>
      <c r="D2379" s="43" t="n">
        <v>68</v>
      </c>
      <c r="E2379" s="44" t="n">
        <v>3320.1011</v>
      </c>
    </row>
    <row r="2380">
      <c r="A2380" s="39">
        <f>_xlfn.XLOOKUP(17845,Trip[shape_id],Trip[shape_id],"Não encontrado")</f>
        <v/>
      </c>
      <c r="B2380" s="40" t="n">
        <v>-23.640444</v>
      </c>
      <c r="C2380" s="40" t="n">
        <v>-46.745983</v>
      </c>
      <c r="D2380" s="40" t="n">
        <v>69</v>
      </c>
      <c r="E2380" s="41" t="n">
        <v>3350.7478</v>
      </c>
    </row>
    <row r="2381">
      <c r="A2381" s="42">
        <f>_xlfn.XLOOKUP(17845,Trip[shape_id],Trip[shape_id],"Não encontrado")</f>
        <v/>
      </c>
      <c r="B2381" s="43" t="n">
        <v>-23.640285</v>
      </c>
      <c r="C2381" s="43" t="n">
        <v>-46.745838</v>
      </c>
      <c r="D2381" s="43" t="n">
        <v>70</v>
      </c>
      <c r="E2381" s="44" t="n">
        <v>3373.7476</v>
      </c>
    </row>
    <row r="2382">
      <c r="A2382" s="39">
        <f>_xlfn.XLOOKUP(17845,Trip[shape_id],Trip[shape_id],"Não encontrado")</f>
        <v/>
      </c>
      <c r="B2382" s="40" t="n">
        <v>-23.640125</v>
      </c>
      <c r="C2382" s="40" t="n">
        <v>-46.745684</v>
      </c>
      <c r="D2382" s="40" t="n">
        <v>71</v>
      </c>
      <c r="E2382" s="41" t="n">
        <v>3397.4314</v>
      </c>
    </row>
    <row r="2383">
      <c r="A2383" s="42">
        <f>_xlfn.XLOOKUP(17845,Trip[shape_id],Trip[shape_id],"Não encontrado")</f>
        <v/>
      </c>
      <c r="B2383" s="43" t="n">
        <v>-23.63974</v>
      </c>
      <c r="C2383" s="43" t="n">
        <v>-46.745181</v>
      </c>
      <c r="D2383" s="43" t="n">
        <v>72</v>
      </c>
      <c r="E2383" s="44" t="n">
        <v>3464.1558</v>
      </c>
    </row>
    <row r="2384">
      <c r="A2384" s="39">
        <f>_xlfn.XLOOKUP(17845,Trip[shape_id],Trip[shape_id],"Não encontrado")</f>
        <v/>
      </c>
      <c r="B2384" s="40" t="n">
        <v>-23.639699</v>
      </c>
      <c r="C2384" s="40" t="n">
        <v>-46.745116</v>
      </c>
      <c r="D2384" s="40" t="n">
        <v>73</v>
      </c>
      <c r="E2384" s="41" t="n">
        <v>3472.1941</v>
      </c>
    </row>
    <row r="2385">
      <c r="A2385" s="42">
        <f>_xlfn.XLOOKUP(17845,Trip[shape_id],Trip[shape_id],"Não encontrado")</f>
        <v/>
      </c>
      <c r="B2385" s="43" t="n">
        <v>-23.639568</v>
      </c>
      <c r="C2385" s="43" t="n">
        <v>-46.745047</v>
      </c>
      <c r="D2385" s="43" t="n">
        <v>74</v>
      </c>
      <c r="E2385" s="44" t="n">
        <v>3488.3206</v>
      </c>
    </row>
    <row r="2386">
      <c r="A2386" s="39">
        <f>_xlfn.XLOOKUP(17845,Trip[shape_id],Trip[shape_id],"Não encontrado")</f>
        <v/>
      </c>
      <c r="B2386" s="40" t="n">
        <v>-23.639441</v>
      </c>
      <c r="C2386" s="40" t="n">
        <v>-46.744634</v>
      </c>
      <c r="D2386" s="40" t="n">
        <v>75</v>
      </c>
      <c r="E2386" s="41" t="n">
        <v>3532.7458</v>
      </c>
    </row>
    <row r="2387">
      <c r="A2387" s="42">
        <f>_xlfn.XLOOKUP(17845,Trip[shape_id],Trip[shape_id],"Não encontrado")</f>
        <v/>
      </c>
      <c r="B2387" s="43" t="n">
        <v>-23.639341</v>
      </c>
      <c r="C2387" s="43" t="n">
        <v>-46.744378</v>
      </c>
      <c r="D2387" s="43" t="n">
        <v>76</v>
      </c>
      <c r="E2387" s="44" t="n">
        <v>3561.1174</v>
      </c>
    </row>
    <row r="2388">
      <c r="A2388" s="39">
        <f>_xlfn.XLOOKUP(17845,Trip[shape_id],Trip[shape_id],"Não encontrado")</f>
        <v/>
      </c>
      <c r="B2388" s="40" t="n">
        <v>-23.63912</v>
      </c>
      <c r="C2388" s="40" t="n">
        <v>-46.743856</v>
      </c>
      <c r="D2388" s="40" t="n">
        <v>77</v>
      </c>
      <c r="E2388" s="41" t="n">
        <v>3619.7339</v>
      </c>
    </row>
    <row r="2389">
      <c r="A2389" s="42">
        <f>_xlfn.XLOOKUP(17845,Trip[shape_id],Trip[shape_id],"Não encontrado")</f>
        <v/>
      </c>
      <c r="B2389" s="43" t="n">
        <v>-23.638963</v>
      </c>
      <c r="C2389" s="43" t="n">
        <v>-46.743467</v>
      </c>
      <c r="D2389" s="43" t="n">
        <v>78</v>
      </c>
      <c r="E2389" s="44" t="n">
        <v>3663.0667</v>
      </c>
    </row>
    <row r="2390">
      <c r="A2390" s="39">
        <f>_xlfn.XLOOKUP(17845,Trip[shape_id],Trip[shape_id],"Não encontrado")</f>
        <v/>
      </c>
      <c r="B2390" s="40" t="n">
        <v>-23.638607</v>
      </c>
      <c r="C2390" s="40" t="n">
        <v>-46.742603</v>
      </c>
      <c r="D2390" s="40" t="n">
        <v>79</v>
      </c>
      <c r="E2390" s="41" t="n">
        <v>3759.6392</v>
      </c>
    </row>
    <row r="2391">
      <c r="A2391" s="42">
        <f>_xlfn.XLOOKUP(17845,Trip[shape_id],Trip[shape_id],"Não encontrado")</f>
        <v/>
      </c>
      <c r="B2391" s="43" t="n">
        <v>-23.638018</v>
      </c>
      <c r="C2391" s="43" t="n">
        <v>-46.741099</v>
      </c>
      <c r="D2391" s="43" t="n">
        <v>80</v>
      </c>
      <c r="E2391" s="44" t="n">
        <v>3926.3879</v>
      </c>
    </row>
    <row r="2392">
      <c r="A2392" s="39">
        <f>_xlfn.XLOOKUP(17845,Trip[shape_id],Trip[shape_id],"Não encontrado")</f>
        <v/>
      </c>
      <c r="B2392" s="40" t="n">
        <v>-23.637944</v>
      </c>
      <c r="C2392" s="40" t="n">
        <v>-46.740643</v>
      </c>
      <c r="D2392" s="40" t="n">
        <v>81</v>
      </c>
      <c r="E2392" s="41" t="n">
        <v>3973.6318</v>
      </c>
    </row>
    <row r="2393">
      <c r="A2393" s="42">
        <f>_xlfn.XLOOKUP(17845,Trip[shape_id],Trip[shape_id],"Não encontrado")</f>
        <v/>
      </c>
      <c r="B2393" s="43" t="n">
        <v>-23.637939</v>
      </c>
      <c r="C2393" s="43" t="n">
        <v>-46.740043</v>
      </c>
      <c r="D2393" s="43" t="n">
        <v>82</v>
      </c>
      <c r="E2393" s="44" t="n">
        <v>4034.855</v>
      </c>
    </row>
    <row r="2394">
      <c r="A2394" s="39">
        <f>_xlfn.XLOOKUP(17845,Trip[shape_id],Trip[shape_id],"Não encontrado")</f>
        <v/>
      </c>
      <c r="B2394" s="40" t="n">
        <v>-23.637999</v>
      </c>
      <c r="C2394" s="40" t="n">
        <v>-46.739565</v>
      </c>
      <c r="D2394" s="40" t="n">
        <v>83</v>
      </c>
      <c r="E2394" s="41" t="n">
        <v>4084.0779</v>
      </c>
    </row>
    <row r="2395">
      <c r="A2395" s="42">
        <f>_xlfn.XLOOKUP(17845,Trip[shape_id],Trip[shape_id],"Não encontrado")</f>
        <v/>
      </c>
      <c r="B2395" s="43" t="n">
        <v>-23.6381</v>
      </c>
      <c r="C2395" s="43" t="n">
        <v>-46.739243</v>
      </c>
      <c r="D2395" s="43" t="n">
        <v>84</v>
      </c>
      <c r="E2395" s="44" t="n">
        <v>4118.7852</v>
      </c>
    </row>
    <row r="2396">
      <c r="A2396" s="39">
        <f>_xlfn.XLOOKUP(17845,Trip[shape_id],Trip[shape_id],"Não encontrado")</f>
        <v/>
      </c>
      <c r="B2396" s="40" t="n">
        <v>-23.638354</v>
      </c>
      <c r="C2396" s="40" t="n">
        <v>-46.738677</v>
      </c>
      <c r="D2396" s="40" t="n">
        <v>85</v>
      </c>
      <c r="E2396" s="41" t="n">
        <v>4183.0234</v>
      </c>
    </row>
    <row r="2397">
      <c r="A2397" s="42">
        <f>_xlfn.XLOOKUP(17845,Trip[shape_id],Trip[shape_id],"Não encontrado")</f>
        <v/>
      </c>
      <c r="B2397" s="43" t="n">
        <v>-23.638759</v>
      </c>
      <c r="C2397" s="43" t="n">
        <v>-46.73813</v>
      </c>
      <c r="D2397" s="43" t="n">
        <v>86</v>
      </c>
      <c r="E2397" s="44" t="n">
        <v>4254.6265</v>
      </c>
    </row>
    <row r="2398">
      <c r="A2398" s="39">
        <f>_xlfn.XLOOKUP(17845,Trip[shape_id],Trip[shape_id],"Não encontrado")</f>
        <v/>
      </c>
      <c r="B2398" s="40" t="n">
        <v>-23.638858</v>
      </c>
      <c r="C2398" s="40" t="n">
        <v>-46.738018</v>
      </c>
      <c r="D2398" s="40" t="n">
        <v>87</v>
      </c>
      <c r="E2398" s="41" t="n">
        <v>4270.4634</v>
      </c>
    </row>
    <row r="2399">
      <c r="A2399" s="42">
        <f>_xlfn.XLOOKUP(17845,Trip[shape_id],Trip[shape_id],"Não encontrado")</f>
        <v/>
      </c>
      <c r="B2399" s="43" t="n">
        <v>-23.639081</v>
      </c>
      <c r="C2399" s="43" t="n">
        <v>-46.737824</v>
      </c>
      <c r="D2399" s="43" t="n">
        <v>88</v>
      </c>
      <c r="E2399" s="44" t="n">
        <v>4302.1147</v>
      </c>
    </row>
    <row r="2400">
      <c r="A2400" s="39">
        <f>_xlfn.XLOOKUP(17845,Trip[shape_id],Trip[shape_id],"Não encontrado")</f>
        <v/>
      </c>
      <c r="B2400" s="40" t="n">
        <v>-23.639203</v>
      </c>
      <c r="C2400" s="40" t="n">
        <v>-46.737749</v>
      </c>
      <c r="D2400" s="40" t="n">
        <v>89</v>
      </c>
      <c r="E2400" s="41" t="n">
        <v>4317.6436</v>
      </c>
    </row>
    <row r="2401">
      <c r="A2401" s="42">
        <f>_xlfn.XLOOKUP(17845,Trip[shape_id],Trip[shape_id],"Não encontrado")</f>
        <v/>
      </c>
      <c r="B2401" s="43" t="n">
        <v>-23.639374</v>
      </c>
      <c r="C2401" s="43" t="n">
        <v>-46.737646</v>
      </c>
      <c r="D2401" s="43" t="n">
        <v>90</v>
      </c>
      <c r="E2401" s="44" t="n">
        <v>4339.3027</v>
      </c>
    </row>
    <row r="2402">
      <c r="A2402" s="39">
        <f>_xlfn.XLOOKUP(17845,Trip[shape_id],Trip[shape_id],"Não encontrado")</f>
        <v/>
      </c>
      <c r="B2402" s="40" t="n">
        <v>-23.639709</v>
      </c>
      <c r="C2402" s="40" t="n">
        <v>-46.737448</v>
      </c>
      <c r="D2402" s="40" t="n">
        <v>91</v>
      </c>
      <c r="E2402" s="41" t="n">
        <v>4381.5488</v>
      </c>
    </row>
    <row r="2403">
      <c r="A2403" s="42">
        <f>_xlfn.XLOOKUP(17845,Trip[shape_id],Trip[shape_id],"Não encontrado")</f>
        <v/>
      </c>
      <c r="B2403" s="43" t="n">
        <v>-23.640031</v>
      </c>
      <c r="C2403" s="43" t="n">
        <v>-46.737284</v>
      </c>
      <c r="D2403" s="43" t="n">
        <v>92</v>
      </c>
      <c r="E2403" s="44" t="n">
        <v>4420.9419</v>
      </c>
    </row>
    <row r="2404">
      <c r="A2404" s="39">
        <f>_xlfn.XLOOKUP(17845,Trip[shape_id],Trip[shape_id],"Não encontrado")</f>
        <v/>
      </c>
      <c r="B2404" s="40" t="n">
        <v>-23.640305</v>
      </c>
      <c r="C2404" s="40" t="n">
        <v>-46.737174</v>
      </c>
      <c r="D2404" s="40" t="n">
        <v>93</v>
      </c>
      <c r="E2404" s="41" t="n">
        <v>4453.2974</v>
      </c>
    </row>
    <row r="2405">
      <c r="A2405" s="42">
        <f>_xlfn.XLOOKUP(17845,Trip[shape_id],Trip[shape_id],"Não encontrado")</f>
        <v/>
      </c>
      <c r="B2405" s="43" t="n">
        <v>-23.640709</v>
      </c>
      <c r="C2405" s="43" t="n">
        <v>-46.737065</v>
      </c>
      <c r="D2405" s="43" t="n">
        <v>94</v>
      </c>
      <c r="E2405" s="44" t="n">
        <v>4499.4033</v>
      </c>
    </row>
    <row r="2406">
      <c r="A2406" s="39">
        <f>_xlfn.XLOOKUP(17845,Trip[shape_id],Trip[shape_id],"Não encontrado")</f>
        <v/>
      </c>
      <c r="B2406" s="40" t="n">
        <v>-23.641057</v>
      </c>
      <c r="C2406" s="40" t="n">
        <v>-46.736963</v>
      </c>
      <c r="D2406" s="40" t="n">
        <v>95</v>
      </c>
      <c r="E2406" s="41" t="n">
        <v>4539.3257</v>
      </c>
    </row>
    <row r="2407">
      <c r="A2407" s="42">
        <f>_xlfn.XLOOKUP(17845,Trip[shape_id],Trip[shape_id],"Não encontrado")</f>
        <v/>
      </c>
      <c r="B2407" s="43" t="n">
        <v>-23.641396</v>
      </c>
      <c r="C2407" s="43" t="n">
        <v>-46.736878</v>
      </c>
      <c r="D2407" s="43" t="n">
        <v>96</v>
      </c>
      <c r="E2407" s="44" t="n">
        <v>4577.8594</v>
      </c>
    </row>
    <row r="2408">
      <c r="A2408" s="39">
        <f>_xlfn.XLOOKUP(17845,Trip[shape_id],Trip[shape_id],"Não encontrado")</f>
        <v/>
      </c>
      <c r="B2408" s="40" t="n">
        <v>-23.641835</v>
      </c>
      <c r="C2408" s="40" t="n">
        <v>-46.736768</v>
      </c>
      <c r="D2408" s="40" t="n">
        <v>97</v>
      </c>
      <c r="E2408" s="41" t="n">
        <v>4627.7583</v>
      </c>
    </row>
    <row r="2409">
      <c r="A2409" s="42">
        <f>_xlfn.XLOOKUP(17845,Trip[shape_id],Trip[shape_id],"Não encontrado")</f>
        <v/>
      </c>
      <c r="B2409" s="43" t="n">
        <v>-23.642141</v>
      </c>
      <c r="C2409" s="43" t="n">
        <v>-46.736693</v>
      </c>
      <c r="D2409" s="43" t="n">
        <v>98</v>
      </c>
      <c r="E2409" s="44" t="n">
        <v>4662.502</v>
      </c>
    </row>
    <row r="2410">
      <c r="A2410" s="39">
        <f>_xlfn.XLOOKUP(17845,Trip[shape_id],Trip[shape_id],"Não encontrado")</f>
        <v/>
      </c>
      <c r="B2410" s="40" t="n">
        <v>-23.64235</v>
      </c>
      <c r="C2410" s="40" t="n">
        <v>-46.736582</v>
      </c>
      <c r="D2410" s="40" t="n">
        <v>99</v>
      </c>
      <c r="E2410" s="41" t="n">
        <v>4688.2715</v>
      </c>
    </row>
    <row r="2411">
      <c r="A2411" s="42">
        <f>_xlfn.XLOOKUP(17845,Trip[shape_id],Trip[shape_id],"Não encontrado")</f>
        <v/>
      </c>
      <c r="B2411" s="43" t="n">
        <v>-23.642583</v>
      </c>
      <c r="C2411" s="43" t="n">
        <v>-46.736458</v>
      </c>
      <c r="D2411" s="43" t="n">
        <v>100</v>
      </c>
      <c r="E2411" s="44" t="n">
        <v>4717.0117</v>
      </c>
    </row>
    <row r="2412">
      <c r="A2412" s="39">
        <f>_xlfn.XLOOKUP(17845,Trip[shape_id],Trip[shape_id],"Não encontrado")</f>
        <v/>
      </c>
      <c r="B2412" s="40" t="n">
        <v>-23.642899</v>
      </c>
      <c r="C2412" s="40" t="n">
        <v>-46.736209</v>
      </c>
      <c r="D2412" s="40" t="n">
        <v>101</v>
      </c>
      <c r="E2412" s="41" t="n">
        <v>4760.2588</v>
      </c>
    </row>
    <row r="2413">
      <c r="A2413" s="42">
        <f>_xlfn.XLOOKUP(17845,Trip[shape_id],Trip[shape_id],"Não encontrado")</f>
        <v/>
      </c>
      <c r="B2413" s="43" t="n">
        <v>-23.643165</v>
      </c>
      <c r="C2413" s="43" t="n">
        <v>-46.735916</v>
      </c>
      <c r="D2413" s="43" t="n">
        <v>102</v>
      </c>
      <c r="E2413" s="44" t="n">
        <v>4802.2305</v>
      </c>
    </row>
    <row r="2414">
      <c r="A2414" s="39">
        <f>_xlfn.XLOOKUP(17845,Trip[shape_id],Trip[shape_id],"Não encontrado")</f>
        <v/>
      </c>
      <c r="B2414" s="40" t="n">
        <v>-23.643367</v>
      </c>
      <c r="C2414" s="40" t="n">
        <v>-46.735619</v>
      </c>
      <c r="D2414" s="40" t="n">
        <v>103</v>
      </c>
      <c r="E2414" s="41" t="n">
        <v>4839.8975</v>
      </c>
    </row>
    <row r="2415">
      <c r="A2415" s="42">
        <f>_xlfn.XLOOKUP(17845,Trip[shape_id],Trip[shape_id],"Não encontrado")</f>
        <v/>
      </c>
      <c r="B2415" s="43" t="n">
        <v>-23.643424</v>
      </c>
      <c r="C2415" s="43" t="n">
        <v>-46.735537</v>
      </c>
      <c r="D2415" s="43" t="n">
        <v>104</v>
      </c>
      <c r="E2415" s="44" t="n">
        <v>4850.3784</v>
      </c>
    </row>
    <row r="2416">
      <c r="A2416" s="39">
        <f>_xlfn.XLOOKUP(17845,Trip[shape_id],Trip[shape_id],"Não encontrado")</f>
        <v/>
      </c>
      <c r="B2416" s="40" t="n">
        <v>-23.64365</v>
      </c>
      <c r="C2416" s="40" t="n">
        <v>-46.735103</v>
      </c>
      <c r="D2416" s="40" t="n">
        <v>105</v>
      </c>
      <c r="E2416" s="41" t="n">
        <v>4901.2441</v>
      </c>
    </row>
    <row r="2417">
      <c r="A2417" s="42">
        <f>_xlfn.XLOOKUP(17845,Trip[shape_id],Trip[shape_id],"Não encontrado")</f>
        <v/>
      </c>
      <c r="B2417" s="43" t="n">
        <v>-23.643792</v>
      </c>
      <c r="C2417" s="43" t="n">
        <v>-46.734692</v>
      </c>
      <c r="D2417" s="43" t="n">
        <v>106</v>
      </c>
      <c r="E2417" s="44" t="n">
        <v>4946.0308</v>
      </c>
    </row>
    <row r="2418">
      <c r="A2418" s="39">
        <f>_xlfn.XLOOKUP(17845,Trip[shape_id],Trip[shape_id],"Não encontrado")</f>
        <v/>
      </c>
      <c r="B2418" s="40" t="n">
        <v>-23.643835</v>
      </c>
      <c r="C2418" s="40" t="n">
        <v>-46.734565</v>
      </c>
      <c r="D2418" s="40" t="n">
        <v>107</v>
      </c>
      <c r="E2418" s="41" t="n">
        <v>4959.8364</v>
      </c>
    </row>
    <row r="2419">
      <c r="A2419" s="42">
        <f>_xlfn.XLOOKUP(17845,Trip[shape_id],Trip[shape_id],"Não encontrado")</f>
        <v/>
      </c>
      <c r="B2419" s="43" t="n">
        <v>-23.643854</v>
      </c>
      <c r="C2419" s="43" t="n">
        <v>-46.73451</v>
      </c>
      <c r="D2419" s="43" t="n">
        <v>108</v>
      </c>
      <c r="E2419" s="44" t="n">
        <v>4965.8301</v>
      </c>
    </row>
    <row r="2420">
      <c r="A2420" s="39">
        <f>_xlfn.XLOOKUP(17845,Trip[shape_id],Trip[shape_id],"Não encontrado")</f>
        <v/>
      </c>
      <c r="B2420" s="40" t="n">
        <v>-23.643969</v>
      </c>
      <c r="C2420" s="40" t="n">
        <v>-46.734078</v>
      </c>
      <c r="D2420" s="40" t="n">
        <v>109</v>
      </c>
      <c r="E2420" s="41" t="n">
        <v>5011.7104</v>
      </c>
    </row>
    <row r="2421">
      <c r="A2421" s="42">
        <f>_xlfn.XLOOKUP(17845,Trip[shape_id],Trip[shape_id],"Não encontrado")</f>
        <v/>
      </c>
      <c r="B2421" s="43" t="n">
        <v>-23.643993</v>
      </c>
      <c r="C2421" s="43" t="n">
        <v>-46.733981</v>
      </c>
      <c r="D2421" s="43" t="n">
        <v>110</v>
      </c>
      <c r="E2421" s="44" t="n">
        <v>5021.958</v>
      </c>
    </row>
    <row r="2422">
      <c r="A2422" s="39">
        <f>_xlfn.XLOOKUP(17845,Trip[shape_id],Trip[shape_id],"Não encontrado")</f>
        <v/>
      </c>
      <c r="B2422" s="40" t="n">
        <v>-23.644046</v>
      </c>
      <c r="C2422" s="40" t="n">
        <v>-46.733608</v>
      </c>
      <c r="D2422" s="40" t="n">
        <v>111</v>
      </c>
      <c r="E2422" s="41" t="n">
        <v>5060.4648</v>
      </c>
    </row>
    <row r="2423">
      <c r="A2423" s="42">
        <f>_xlfn.XLOOKUP(17845,Trip[shape_id],Trip[shape_id],"Não encontrado")</f>
        <v/>
      </c>
      <c r="B2423" s="43" t="n">
        <v>-23.644057</v>
      </c>
      <c r="C2423" s="43" t="n">
        <v>-46.733451</v>
      </c>
      <c r="D2423" s="43" t="n">
        <v>112</v>
      </c>
      <c r="E2423" s="44" t="n">
        <v>5076.5298</v>
      </c>
    </row>
    <row r="2424">
      <c r="A2424" s="39">
        <f>_xlfn.XLOOKUP(17845,Trip[shape_id],Trip[shape_id],"Não encontrado")</f>
        <v/>
      </c>
      <c r="B2424" s="40" t="n">
        <v>-23.644074</v>
      </c>
      <c r="C2424" s="40" t="n">
        <v>-46.732597</v>
      </c>
      <c r="D2424" s="40" t="n">
        <v>113</v>
      </c>
      <c r="E2424" s="41" t="n">
        <v>5163.6836</v>
      </c>
    </row>
    <row r="2425">
      <c r="A2425" s="42">
        <f>_xlfn.XLOOKUP(17845,Trip[shape_id],Trip[shape_id],"Não encontrado")</f>
        <v/>
      </c>
      <c r="B2425" s="43" t="n">
        <v>-23.644112</v>
      </c>
      <c r="C2425" s="43" t="n">
        <v>-46.732038</v>
      </c>
      <c r="D2425" s="43" t="n">
        <v>114</v>
      </c>
      <c r="E2425" s="44" t="n">
        <v>5220.8735</v>
      </c>
    </row>
    <row r="2426">
      <c r="A2426" s="39">
        <f>_xlfn.XLOOKUP(17845,Trip[shape_id],Trip[shape_id],"Não encontrado")</f>
        <v/>
      </c>
      <c r="B2426" s="40" t="n">
        <v>-23.644221</v>
      </c>
      <c r="C2426" s="40" t="n">
        <v>-46.731501</v>
      </c>
      <c r="D2426" s="40" t="n">
        <v>115</v>
      </c>
      <c r="E2426" s="41" t="n">
        <v>5276.9775</v>
      </c>
    </row>
    <row r="2427">
      <c r="A2427" s="42">
        <f>_xlfn.XLOOKUP(17845,Trip[shape_id],Trip[shape_id],"Não encontrado")</f>
        <v/>
      </c>
      <c r="B2427" s="43" t="n">
        <v>-23.644456</v>
      </c>
      <c r="C2427" s="43" t="n">
        <v>-46.730325</v>
      </c>
      <c r="D2427" s="43" t="n">
        <v>116</v>
      </c>
      <c r="E2427" s="44" t="n">
        <v>5399.7544</v>
      </c>
    </row>
    <row r="2428">
      <c r="A2428" s="39">
        <f>_xlfn.XLOOKUP(17845,Trip[shape_id],Trip[shape_id],"Não encontrado")</f>
        <v/>
      </c>
      <c r="B2428" s="40" t="n">
        <v>-23.644796</v>
      </c>
      <c r="C2428" s="40" t="n">
        <v>-46.728819</v>
      </c>
      <c r="D2428" s="40" t="n">
        <v>117</v>
      </c>
      <c r="E2428" s="41" t="n">
        <v>5557.957</v>
      </c>
    </row>
    <row r="2429">
      <c r="A2429" s="42">
        <f>_xlfn.XLOOKUP(17845,Trip[shape_id],Trip[shape_id],"Não encontrado")</f>
        <v/>
      </c>
      <c r="B2429" s="43" t="n">
        <v>-23.645058</v>
      </c>
      <c r="C2429" s="43" t="n">
        <v>-46.728278</v>
      </c>
      <c r="D2429" s="43" t="n">
        <v>118</v>
      </c>
      <c r="E2429" s="44" t="n">
        <v>5620.3174</v>
      </c>
    </row>
    <row r="2430">
      <c r="A2430" s="39">
        <f>_xlfn.XLOOKUP(17845,Trip[shape_id],Trip[shape_id],"Não encontrado")</f>
        <v/>
      </c>
      <c r="B2430" s="40" t="n">
        <v>-23.6455</v>
      </c>
      <c r="C2430" s="40" t="n">
        <v>-46.72773</v>
      </c>
      <c r="D2430" s="40" t="n">
        <v>119</v>
      </c>
      <c r="E2430" s="41" t="n">
        <v>5694.6309</v>
      </c>
    </row>
    <row r="2431">
      <c r="A2431" s="42">
        <f>_xlfn.XLOOKUP(17845,Trip[shape_id],Trip[shape_id],"Não encontrado")</f>
        <v/>
      </c>
      <c r="B2431" s="43" t="n">
        <v>-23.646254</v>
      </c>
      <c r="C2431" s="43" t="n">
        <v>-46.727238</v>
      </c>
      <c r="D2431" s="43" t="n">
        <v>120</v>
      </c>
      <c r="E2431" s="44" t="n">
        <v>5792.0649</v>
      </c>
    </row>
    <row r="2432">
      <c r="A2432" s="39">
        <f>_xlfn.XLOOKUP(17845,Trip[shape_id],Trip[shape_id],"Não encontrado")</f>
        <v/>
      </c>
      <c r="B2432" s="40" t="n">
        <v>-23.64694</v>
      </c>
      <c r="C2432" s="40" t="n">
        <v>-46.726998</v>
      </c>
      <c r="D2432" s="40" t="n">
        <v>121</v>
      </c>
      <c r="E2432" s="41" t="n">
        <v>5871.8901</v>
      </c>
    </row>
    <row r="2433">
      <c r="A2433" s="42">
        <f>_xlfn.XLOOKUP(17845,Trip[shape_id],Trip[shape_id],"Não encontrado")</f>
        <v/>
      </c>
      <c r="B2433" s="43" t="n">
        <v>-23.647803</v>
      </c>
      <c r="C2433" s="43" t="n">
        <v>-46.726901</v>
      </c>
      <c r="D2433" s="43" t="n">
        <v>122</v>
      </c>
      <c r="E2433" s="44" t="n">
        <v>5967.981</v>
      </c>
    </row>
    <row r="2434">
      <c r="A2434" s="39">
        <f>_xlfn.XLOOKUP(17845,Trip[shape_id],Trip[shape_id],"Não encontrado")</f>
        <v/>
      </c>
      <c r="B2434" s="40" t="n">
        <v>-23.64827</v>
      </c>
      <c r="C2434" s="40" t="n">
        <v>-46.726901</v>
      </c>
      <c r="D2434" s="40" t="n">
        <v>123</v>
      </c>
      <c r="E2434" s="41" t="n">
        <v>6019.7026</v>
      </c>
    </row>
    <row r="2435">
      <c r="A2435" s="42">
        <f>_xlfn.XLOOKUP(17845,Trip[shape_id],Trip[shape_id],"Não encontrado")</f>
        <v/>
      </c>
      <c r="B2435" s="43" t="n">
        <v>-23.648885</v>
      </c>
      <c r="C2435" s="43" t="n">
        <v>-46.726917</v>
      </c>
      <c r="D2435" s="43" t="n">
        <v>124</v>
      </c>
      <c r="E2435" s="44" t="n">
        <v>6087.8354</v>
      </c>
    </row>
    <row r="2436">
      <c r="A2436" s="39">
        <f>_xlfn.XLOOKUP(17845,Trip[shape_id],Trip[shape_id],"Não encontrado")</f>
        <v/>
      </c>
      <c r="B2436" s="40" t="n">
        <v>-23.650477</v>
      </c>
      <c r="C2436" s="40" t="n">
        <v>-46.72694</v>
      </c>
      <c r="D2436" s="40" t="n">
        <v>125</v>
      </c>
      <c r="E2436" s="41" t="n">
        <v>6264.1699</v>
      </c>
    </row>
    <row r="2437">
      <c r="A2437" s="42">
        <f>_xlfn.XLOOKUP(17845,Trip[shape_id],Trip[shape_id],"Não encontrado")</f>
        <v/>
      </c>
      <c r="B2437" s="43" t="n">
        <v>-23.651659</v>
      </c>
      <c r="C2437" s="43" t="n">
        <v>-46.72697</v>
      </c>
      <c r="D2437" s="43" t="n">
        <v>126</v>
      </c>
      <c r="E2437" s="44" t="n">
        <v>6395.1162</v>
      </c>
    </row>
    <row r="2438">
      <c r="A2438" s="39">
        <f>_xlfn.XLOOKUP(17845,Trip[shape_id],Trip[shape_id],"Não encontrado")</f>
        <v/>
      </c>
      <c r="B2438" s="40" t="n">
        <v>-23.652249</v>
      </c>
      <c r="C2438" s="40" t="n">
        <v>-46.726993</v>
      </c>
      <c r="D2438" s="40" t="n">
        <v>127</v>
      </c>
      <c r="E2438" s="41" t="n">
        <v>6460.5029</v>
      </c>
    </row>
    <row r="2439">
      <c r="A2439" s="42">
        <f>_xlfn.XLOOKUP(17845,Trip[shape_id],Trip[shape_id],"Não encontrado")</f>
        <v/>
      </c>
      <c r="B2439" s="43" t="n">
        <v>-23.652975</v>
      </c>
      <c r="C2439" s="43" t="n">
        <v>-46.726928</v>
      </c>
      <c r="D2439" s="43" t="n">
        <v>128</v>
      </c>
      <c r="E2439" s="44" t="n">
        <v>6541.1826</v>
      </c>
    </row>
    <row r="2440">
      <c r="A2440" s="39">
        <f>_xlfn.XLOOKUP(17845,Trip[shape_id],Trip[shape_id],"Não encontrado")</f>
        <v/>
      </c>
      <c r="B2440" s="40" t="n">
        <v>-23.65355</v>
      </c>
      <c r="C2440" s="40" t="n">
        <v>-46.726737</v>
      </c>
      <c r="D2440" s="40" t="n">
        <v>129</v>
      </c>
      <c r="E2440" s="41" t="n">
        <v>6607.7803</v>
      </c>
    </row>
    <row r="2441">
      <c r="A2441" s="42">
        <f>_xlfn.XLOOKUP(17845,Trip[shape_id],Trip[shape_id],"Não encontrado")</f>
        <v/>
      </c>
      <c r="B2441" s="43" t="n">
        <v>-23.653849</v>
      </c>
      <c r="C2441" s="43" t="n">
        <v>-46.726613</v>
      </c>
      <c r="D2441" s="43" t="n">
        <v>130</v>
      </c>
      <c r="E2441" s="44" t="n">
        <v>6643.2295</v>
      </c>
    </row>
    <row r="2442">
      <c r="A2442" s="39">
        <f>_xlfn.XLOOKUP(17845,Trip[shape_id],Trip[shape_id],"Não encontrado")</f>
        <v/>
      </c>
      <c r="B2442" s="40" t="n">
        <v>-23.654439</v>
      </c>
      <c r="C2442" s="40" t="n">
        <v>-46.726311</v>
      </c>
      <c r="D2442" s="40" t="n">
        <v>131</v>
      </c>
      <c r="E2442" s="41" t="n">
        <v>6715.4736</v>
      </c>
    </row>
    <row r="2443">
      <c r="A2443" s="42">
        <f>_xlfn.XLOOKUP(17845,Trip[shape_id],Trip[shape_id],"Não encontrado")</f>
        <v/>
      </c>
      <c r="B2443" s="43" t="n">
        <v>-23.655012</v>
      </c>
      <c r="C2443" s="43" t="n">
        <v>-46.725584</v>
      </c>
      <c r="D2443" s="43" t="n">
        <v>132</v>
      </c>
      <c r="E2443" s="44" t="n">
        <v>6813.0879</v>
      </c>
    </row>
    <row r="2444">
      <c r="A2444" s="39">
        <f>_xlfn.XLOOKUP(17845,Trip[shape_id],Trip[shape_id],"Não encontrado")</f>
        <v/>
      </c>
      <c r="B2444" s="40" t="n">
        <v>-23.655373</v>
      </c>
      <c r="C2444" s="40" t="n">
        <v>-46.724997</v>
      </c>
      <c r="D2444" s="40" t="n">
        <v>133</v>
      </c>
      <c r="E2444" s="41" t="n">
        <v>6885.0942</v>
      </c>
    </row>
    <row r="2445">
      <c r="A2445" s="42">
        <f>_xlfn.XLOOKUP(17845,Trip[shape_id],Trip[shape_id],"Não encontrado")</f>
        <v/>
      </c>
      <c r="B2445" s="43" t="n">
        <v>-23.655614</v>
      </c>
      <c r="C2445" s="43" t="n">
        <v>-46.724441</v>
      </c>
      <c r="D2445" s="43" t="n">
        <v>134</v>
      </c>
      <c r="E2445" s="44" t="n">
        <v>6947.7842</v>
      </c>
    </row>
    <row r="2446">
      <c r="A2446" s="39">
        <f>_xlfn.XLOOKUP(17845,Trip[shape_id],Trip[shape_id],"Não encontrado")</f>
        <v/>
      </c>
      <c r="B2446" s="40" t="n">
        <v>-23.655812</v>
      </c>
      <c r="C2446" s="40" t="n">
        <v>-46.723506</v>
      </c>
      <c r="D2446" s="40" t="n">
        <v>135</v>
      </c>
      <c r="E2446" s="41" t="n">
        <v>7045.6616</v>
      </c>
    </row>
    <row r="2447">
      <c r="A2447" s="42">
        <f>_xlfn.XLOOKUP(17845,Trip[shape_id],Trip[shape_id],"Não encontrado")</f>
        <v/>
      </c>
      <c r="B2447" s="43" t="n">
        <v>-23.655769</v>
      </c>
      <c r="C2447" s="43" t="n">
        <v>-46.722324</v>
      </c>
      <c r="D2447" s="43" t="n">
        <v>136</v>
      </c>
      <c r="E2447" s="44" t="n">
        <v>7166.3438</v>
      </c>
    </row>
    <row r="2448">
      <c r="A2448" s="39">
        <f>_xlfn.XLOOKUP(17845,Trip[shape_id],Trip[shape_id],"Não encontrado")</f>
        <v/>
      </c>
      <c r="B2448" s="40" t="n">
        <v>-23.655693</v>
      </c>
      <c r="C2448" s="40" t="n">
        <v>-46.721631</v>
      </c>
      <c r="D2448" s="40" t="n">
        <v>137</v>
      </c>
      <c r="E2448" s="41" t="n">
        <v>7237.5435</v>
      </c>
    </row>
    <row r="2449">
      <c r="A2449" s="42">
        <f>_xlfn.XLOOKUP(17845,Trip[shape_id],Trip[shape_id],"Não encontrado")</f>
        <v/>
      </c>
      <c r="B2449" s="43" t="n">
        <v>-23.655638</v>
      </c>
      <c r="C2449" s="43" t="n">
        <v>-46.721032</v>
      </c>
      <c r="D2449" s="43" t="n">
        <v>138</v>
      </c>
      <c r="E2449" s="44" t="n">
        <v>7298.9565</v>
      </c>
    </row>
    <row r="2450">
      <c r="A2450" s="39">
        <f>_xlfn.XLOOKUP(17845,Trip[shape_id],Trip[shape_id],"Não encontrado")</f>
        <v/>
      </c>
      <c r="B2450" s="40" t="n">
        <v>-23.655622</v>
      </c>
      <c r="C2450" s="40" t="n">
        <v>-46.720824</v>
      </c>
      <c r="D2450" s="40" t="n">
        <v>139</v>
      </c>
      <c r="E2450" s="41" t="n">
        <v>7320.2505</v>
      </c>
    </row>
    <row r="2451">
      <c r="A2451" s="42">
        <f>_xlfn.XLOOKUP(17845,Trip[shape_id],Trip[shape_id],"Não encontrado")</f>
        <v/>
      </c>
      <c r="B2451" s="43" t="n">
        <v>-23.655592</v>
      </c>
      <c r="C2451" s="43" t="n">
        <v>-46.720465</v>
      </c>
      <c r="D2451" s="43" t="n">
        <v>140</v>
      </c>
      <c r="E2451" s="44" t="n">
        <v>7357.0264</v>
      </c>
    </row>
    <row r="2452">
      <c r="A2452" s="39">
        <f>_xlfn.XLOOKUP(17845,Trip[shape_id],Trip[shape_id],"Não encontrado")</f>
        <v/>
      </c>
      <c r="B2452" s="40" t="n">
        <v>-23.655569</v>
      </c>
      <c r="C2452" s="40" t="n">
        <v>-46.720126</v>
      </c>
      <c r="D2452" s="40" t="n">
        <v>141</v>
      </c>
      <c r="E2452" s="41" t="n">
        <v>7391.7051</v>
      </c>
    </row>
    <row r="2453">
      <c r="A2453" s="42">
        <f>_xlfn.XLOOKUP(17845,Trip[shape_id],Trip[shape_id],"Não encontrado")</f>
        <v/>
      </c>
      <c r="B2453" s="43" t="n">
        <v>-23.655542</v>
      </c>
      <c r="C2453" s="43" t="n">
        <v>-46.719723</v>
      </c>
      <c r="D2453" s="43" t="n">
        <v>142</v>
      </c>
      <c r="E2453" s="44" t="n">
        <v>7432.9282</v>
      </c>
    </row>
    <row r="2454">
      <c r="A2454" s="39">
        <f>_xlfn.XLOOKUP(17845,Trip[shape_id],Trip[shape_id],"Não encontrado")</f>
        <v/>
      </c>
      <c r="B2454" s="40" t="n">
        <v>-23.655505</v>
      </c>
      <c r="C2454" s="40" t="n">
        <v>-46.719176</v>
      </c>
      <c r="D2454" s="40" t="n">
        <v>143</v>
      </c>
      <c r="E2454" s="41" t="n">
        <v>7488.8838</v>
      </c>
    </row>
    <row r="2455">
      <c r="A2455" s="42">
        <f>_xlfn.XLOOKUP(17845,Trip[shape_id],Trip[shape_id],"Não encontrado")</f>
        <v/>
      </c>
      <c r="B2455" s="43" t="n">
        <v>-23.655493</v>
      </c>
      <c r="C2455" s="43" t="n">
        <v>-46.719089</v>
      </c>
      <c r="D2455" s="43" t="n">
        <v>144</v>
      </c>
      <c r="E2455" s="44" t="n">
        <v>7497.8584</v>
      </c>
    </row>
    <row r="2456">
      <c r="A2456" s="39">
        <f>_xlfn.XLOOKUP(17845,Trip[shape_id],Trip[shape_id],"Não encontrado")</f>
        <v/>
      </c>
      <c r="B2456" s="40" t="n">
        <v>-23.655429</v>
      </c>
      <c r="C2456" s="40" t="n">
        <v>-46.718624</v>
      </c>
      <c r="D2456" s="40" t="n">
        <v>145</v>
      </c>
      <c r="E2456" s="41" t="n">
        <v>7545.8247</v>
      </c>
    </row>
    <row r="2457">
      <c r="A2457" s="42">
        <f>_xlfn.XLOOKUP(17845,Trip[shape_id],Trip[shape_id],"Não encontrado")</f>
        <v/>
      </c>
      <c r="B2457" s="43" t="n">
        <v>-23.655291</v>
      </c>
      <c r="C2457" s="43" t="n">
        <v>-46.717965</v>
      </c>
      <c r="D2457" s="43" t="n">
        <v>146</v>
      </c>
      <c r="E2457" s="44" t="n">
        <v>7614.772</v>
      </c>
    </row>
    <row r="2458">
      <c r="A2458" s="39">
        <f>_xlfn.XLOOKUP(17845,Trip[shape_id],Trip[shape_id],"Não encontrado")</f>
        <v/>
      </c>
      <c r="B2458" s="40" t="n">
        <v>-23.655117</v>
      </c>
      <c r="C2458" s="40" t="n">
        <v>-46.717121</v>
      </c>
      <c r="D2458" s="40" t="n">
        <v>147</v>
      </c>
      <c r="E2458" s="41" t="n">
        <v>7703.0078</v>
      </c>
    </row>
    <row r="2459">
      <c r="A2459" s="42">
        <f>_xlfn.XLOOKUP(17845,Trip[shape_id],Trip[shape_id],"Não encontrado")</f>
        <v/>
      </c>
      <c r="B2459" s="43" t="n">
        <v>-23.655008</v>
      </c>
      <c r="C2459" s="43" t="n">
        <v>-46.716239</v>
      </c>
      <c r="D2459" s="43" t="n">
        <v>148</v>
      </c>
      <c r="E2459" s="44" t="n">
        <v>7793.7969</v>
      </c>
    </row>
    <row r="2460">
      <c r="A2460" s="39">
        <f>_xlfn.XLOOKUP(17845,Trip[shape_id],Trip[shape_id],"Não encontrado")</f>
        <v/>
      </c>
      <c r="B2460" s="40" t="n">
        <v>-23.654948</v>
      </c>
      <c r="C2460" s="40" t="n">
        <v>-46.715759</v>
      </c>
      <c r="D2460" s="40" t="n">
        <v>149</v>
      </c>
      <c r="E2460" s="41" t="n">
        <v>7843.2158</v>
      </c>
    </row>
    <row r="2461">
      <c r="A2461" s="42">
        <f>_xlfn.XLOOKUP(17845,Trip[shape_id],Trip[shape_id],"Não encontrado")</f>
        <v/>
      </c>
      <c r="B2461" s="43" t="n">
        <v>-23.6549</v>
      </c>
      <c r="C2461" s="43" t="n">
        <v>-46.71526</v>
      </c>
      <c r="D2461" s="43" t="n">
        <v>150</v>
      </c>
      <c r="E2461" s="44" t="n">
        <v>7894.4014</v>
      </c>
    </row>
    <row r="2462">
      <c r="A2462" s="39">
        <f>_xlfn.XLOOKUP(17845,Trip[shape_id],Trip[shape_id],"Não encontrado")</f>
        <v/>
      </c>
      <c r="B2462" s="40" t="n">
        <v>-23.654899</v>
      </c>
      <c r="C2462" s="40" t="n">
        <v>-46.715116</v>
      </c>
      <c r="D2462" s="40" t="n">
        <v>151</v>
      </c>
      <c r="E2462" s="41" t="n">
        <v>7909.0928</v>
      </c>
    </row>
    <row r="2463">
      <c r="A2463" s="42">
        <f>_xlfn.XLOOKUP(17845,Trip[shape_id],Trip[shape_id],"Não encontrado")</f>
        <v/>
      </c>
      <c r="B2463" s="43" t="n">
        <v>-23.654893</v>
      </c>
      <c r="C2463" s="43" t="n">
        <v>-46.714622</v>
      </c>
      <c r="D2463" s="43" t="n">
        <v>152</v>
      </c>
      <c r="E2463" s="44" t="n">
        <v>7959.4956</v>
      </c>
    </row>
    <row r="2464">
      <c r="A2464" s="39">
        <f>_xlfn.XLOOKUP(17845,Trip[shape_id],Trip[shape_id],"Não encontrado")</f>
        <v/>
      </c>
      <c r="B2464" s="40" t="n">
        <v>-23.654895</v>
      </c>
      <c r="C2464" s="40" t="n">
        <v>-46.714422</v>
      </c>
      <c r="D2464" s="40" t="n">
        <v>153</v>
      </c>
      <c r="E2464" s="41" t="n">
        <v>7979.9009</v>
      </c>
    </row>
    <row r="2465">
      <c r="A2465" s="42">
        <f>_xlfn.XLOOKUP(17845,Trip[shape_id],Trip[shape_id],"Não encontrado")</f>
        <v/>
      </c>
      <c r="B2465" s="43" t="n">
        <v>-23.654906</v>
      </c>
      <c r="C2465" s="43" t="n">
        <v>-46.713911</v>
      </c>
      <c r="D2465" s="43" t="n">
        <v>154</v>
      </c>
      <c r="E2465" s="44" t="n">
        <v>8032.0479</v>
      </c>
    </row>
    <row r="2466">
      <c r="A2466" s="39">
        <f>_xlfn.XLOOKUP(17845,Trip[shape_id],Trip[shape_id],"Não encontrado")</f>
        <v/>
      </c>
      <c r="B2466" s="40" t="n">
        <v>-23.654922</v>
      </c>
      <c r="C2466" s="40" t="n">
        <v>-46.713548</v>
      </c>
      <c r="D2466" s="40" t="n">
        <v>155</v>
      </c>
      <c r="E2466" s="41" t="n">
        <v>8069.124</v>
      </c>
    </row>
    <row r="2467">
      <c r="A2467" s="42">
        <f>_xlfn.XLOOKUP(17845,Trip[shape_id],Trip[shape_id],"Não encontrado")</f>
        <v/>
      </c>
      <c r="B2467" s="43" t="n">
        <v>-23.654866</v>
      </c>
      <c r="C2467" s="43" t="n">
        <v>-46.713108</v>
      </c>
      <c r="D2467" s="43" t="n">
        <v>156</v>
      </c>
      <c r="E2467" s="44" t="n">
        <v>8114.4399</v>
      </c>
    </row>
    <row r="2468">
      <c r="A2468" s="39">
        <f>_xlfn.XLOOKUP(17845,Trip[shape_id],Trip[shape_id],"Não encontrado")</f>
        <v/>
      </c>
      <c r="B2468" s="40" t="n">
        <v>-23.6548</v>
      </c>
      <c r="C2468" s="40" t="n">
        <v>-46.712836</v>
      </c>
      <c r="D2468" s="40" t="n">
        <v>157</v>
      </c>
      <c r="E2468" s="41" t="n">
        <v>8143.1362</v>
      </c>
    </row>
    <row r="2469">
      <c r="A2469" s="42">
        <f>_xlfn.XLOOKUP(17845,Trip[shape_id],Trip[shape_id],"Não encontrado")</f>
        <v/>
      </c>
      <c r="B2469" s="43" t="n">
        <v>-23.654698</v>
      </c>
      <c r="C2469" s="43" t="n">
        <v>-46.712046</v>
      </c>
      <c r="D2469" s="43" t="n">
        <v>158</v>
      </c>
      <c r="E2469" s="44" t="n">
        <v>8224.520500000001</v>
      </c>
    </row>
    <row r="2470">
      <c r="A2470" s="39">
        <f>_xlfn.XLOOKUP(17845,Trip[shape_id],Trip[shape_id],"Não encontrado")</f>
        <v/>
      </c>
      <c r="B2470" s="40" t="n">
        <v>-23.654443</v>
      </c>
      <c r="C2470" s="40" t="n">
        <v>-46.710093</v>
      </c>
      <c r="D2470" s="40" t="n">
        <v>159</v>
      </c>
      <c r="E2470" s="41" t="n">
        <v>8425.7598</v>
      </c>
    </row>
    <row r="2471">
      <c r="A2471" s="42">
        <f>_xlfn.XLOOKUP(17845,Trip[shape_id],Trip[shape_id],"Não encontrado")</f>
        <v/>
      </c>
      <c r="B2471" s="43" t="n">
        <v>-23.654402</v>
      </c>
      <c r="C2471" s="43" t="n">
        <v>-46.709857</v>
      </c>
      <c r="D2471" s="43" t="n">
        <v>160</v>
      </c>
      <c r="E2471" s="44" t="n">
        <v>8544.1934</v>
      </c>
    </row>
    <row r="2472">
      <c r="A2472" s="39">
        <f>_xlfn.XLOOKUP(17845,Trip[shape_id],Trip[shape_id],"Não encontrado")</f>
        <v/>
      </c>
      <c r="B2472" s="40" t="n">
        <v>-23.654251</v>
      </c>
      <c r="C2472" s="40" t="n">
        <v>-46.708951</v>
      </c>
      <c r="D2472" s="40" t="n">
        <v>161</v>
      </c>
      <c r="E2472" s="41" t="n">
        <v>8593.2227</v>
      </c>
    </row>
    <row r="2473">
      <c r="A2473" s="42">
        <f>_xlfn.XLOOKUP(17845,Trip[shape_id],Trip[shape_id],"Não encontrado")</f>
        <v/>
      </c>
      <c r="B2473" s="43" t="n">
        <v>-23.654178</v>
      </c>
      <c r="C2473" s="43" t="n">
        <v>-46.708477</v>
      </c>
      <c r="D2473" s="43" t="n">
        <v>162</v>
      </c>
      <c r="E2473" s="44" t="n">
        <v>8637.2979</v>
      </c>
    </row>
    <row r="2474">
      <c r="A2474" s="39">
        <f>_xlfn.XLOOKUP(17845,Trip[shape_id],Trip[shape_id],"Não encontrado")</f>
        <v/>
      </c>
      <c r="B2474" s="40" t="n">
        <v>-23.654074</v>
      </c>
      <c r="C2474" s="40" t="n">
        <v>-46.70806</v>
      </c>
      <c r="D2474" s="40" t="n">
        <v>163</v>
      </c>
      <c r="E2474" s="41" t="n">
        <v>8700.551799999999</v>
      </c>
    </row>
    <row r="2475">
      <c r="A2475" s="42">
        <f>_xlfn.XLOOKUP(17845,Trip[shape_id],Trip[shape_id],"Não encontrado")</f>
        <v/>
      </c>
      <c r="B2475" s="43" t="n">
        <v>-23.653977</v>
      </c>
      <c r="C2475" s="43" t="n">
        <v>-46.707449</v>
      </c>
      <c r="D2475" s="43" t="n">
        <v>164</v>
      </c>
      <c r="E2475" s="44" t="n">
        <v>8731.0576</v>
      </c>
    </row>
    <row r="2476">
      <c r="A2476" s="39">
        <f>_xlfn.XLOOKUP(17845,Trip[shape_id],Trip[shape_id],"Não encontrado")</f>
        <v/>
      </c>
      <c r="B2476" s="40" t="n">
        <v>-23.653932</v>
      </c>
      <c r="C2476" s="40" t="n">
        <v>-46.707154</v>
      </c>
      <c r="D2476" s="40" t="n">
        <v>165</v>
      </c>
      <c r="E2476" s="41" t="n">
        <v>8755.9756</v>
      </c>
    </row>
    <row r="2477">
      <c r="A2477" s="42">
        <f>_xlfn.XLOOKUP(17845,Trip[shape_id],Trip[shape_id],"Não encontrado")</f>
        <v/>
      </c>
      <c r="B2477" s="43" t="n">
        <v>-23.653783</v>
      </c>
      <c r="C2477" s="43" t="n">
        <v>-46.706971</v>
      </c>
      <c r="D2477" s="43" t="n">
        <v>166</v>
      </c>
      <c r="E2477" s="44" t="n">
        <v>8778.690399999999</v>
      </c>
    </row>
    <row r="2478">
      <c r="A2478" s="39">
        <f>_xlfn.XLOOKUP(17845,Trip[shape_id],Trip[shape_id],"Não encontrado")</f>
        <v/>
      </c>
      <c r="B2478" s="40" t="n">
        <v>-23.653634</v>
      </c>
      <c r="C2478" s="40" t="n">
        <v>-46.706818</v>
      </c>
      <c r="D2478" s="40" t="n">
        <v>167</v>
      </c>
      <c r="E2478" s="41" t="n">
        <v>8809.574199999999</v>
      </c>
    </row>
    <row r="2479">
      <c r="A2479" s="42">
        <f>_xlfn.XLOOKUP(17845,Trip[shape_id],Trip[shape_id],"Não encontrado")</f>
        <v/>
      </c>
      <c r="B2479" s="43" t="n">
        <v>-23.653414</v>
      </c>
      <c r="C2479" s="43" t="n">
        <v>-46.706632</v>
      </c>
      <c r="D2479" s="43" t="n">
        <v>168</v>
      </c>
      <c r="E2479" s="44" t="n">
        <v>8887.582</v>
      </c>
    </row>
    <row r="2480">
      <c r="A2480" s="39">
        <f>_xlfn.XLOOKUP(17845,Trip[shape_id],Trip[shape_id],"Não encontrado")</f>
        <v/>
      </c>
      <c r="B2480" s="40" t="n">
        <v>-23.65285</v>
      </c>
      <c r="C2480" s="40" t="n">
        <v>-46.706174</v>
      </c>
      <c r="D2480" s="40" t="n">
        <v>169</v>
      </c>
      <c r="E2480" s="41" t="n">
        <v>8944.1533</v>
      </c>
    </row>
    <row r="2481">
      <c r="A2481" s="42">
        <f>_xlfn.XLOOKUP(17845,Trip[shape_id],Trip[shape_id],"Não encontrado")</f>
        <v/>
      </c>
      <c r="B2481" s="43" t="n">
        <v>-23.652429</v>
      </c>
      <c r="C2481" s="43" t="n">
        <v>-46.70586</v>
      </c>
      <c r="D2481" s="43" t="n">
        <v>170</v>
      </c>
      <c r="E2481" s="44" t="n">
        <v>8975.468800000001</v>
      </c>
    </row>
    <row r="2482">
      <c r="A2482" s="39">
        <f>_xlfn.XLOOKUP(17845,Trip[shape_id],Trip[shape_id],"Não encontrado")</f>
        <v/>
      </c>
      <c r="B2482" s="40" t="n">
        <v>-23.652198</v>
      </c>
      <c r="C2482" s="40" t="n">
        <v>-46.705683</v>
      </c>
      <c r="D2482" s="40" t="n">
        <v>171</v>
      </c>
      <c r="E2482" s="41" t="n">
        <v>9017.377899999999</v>
      </c>
    </row>
    <row r="2483">
      <c r="A2483" s="42">
        <f>_xlfn.XLOOKUP(17845,Trip[shape_id],Trip[shape_id],"Não encontrado")</f>
        <v/>
      </c>
      <c r="B2483" s="43" t="n">
        <v>-23.651875</v>
      </c>
      <c r="C2483" s="43" t="n">
        <v>-46.705469</v>
      </c>
      <c r="D2483" s="43" t="n">
        <v>172</v>
      </c>
      <c r="E2483" s="44" t="n">
        <v>9073.3496</v>
      </c>
    </row>
    <row r="2484">
      <c r="A2484" s="39">
        <f>_xlfn.XLOOKUP(17845,Trip[shape_id],Trip[shape_id],"Não encontrado")</f>
        <v/>
      </c>
      <c r="B2484" s="40" t="n">
        <v>-23.651446</v>
      </c>
      <c r="C2484" s="40" t="n">
        <v>-46.705179</v>
      </c>
      <c r="D2484" s="40" t="n">
        <v>173</v>
      </c>
      <c r="E2484" s="41" t="n">
        <v>9107.6973</v>
      </c>
    </row>
    <row r="2485">
      <c r="A2485" s="42">
        <f>_xlfn.XLOOKUP(17845,Trip[shape_id],Trip[shape_id],"Não encontrado")</f>
        <v/>
      </c>
      <c r="B2485" s="43" t="n">
        <v>-23.6512</v>
      </c>
      <c r="C2485" s="43" t="n">
        <v>-46.704974</v>
      </c>
      <c r="D2485" s="43" t="n">
        <v>174</v>
      </c>
      <c r="E2485" s="44" t="n">
        <v>9144.916999999999</v>
      </c>
    </row>
    <row r="2486">
      <c r="A2486" s="39">
        <f>_xlfn.XLOOKUP(17845,Trip[shape_id],Trip[shape_id],"Não encontrado")</f>
        <v/>
      </c>
      <c r="B2486" s="40" t="n">
        <v>-23.650912</v>
      </c>
      <c r="C2486" s="40" t="n">
        <v>-46.704786</v>
      </c>
      <c r="D2486" s="40" t="n">
        <v>175</v>
      </c>
      <c r="E2486" s="41" t="n">
        <v>9170.705099999999</v>
      </c>
    </row>
    <row r="2487">
      <c r="A2487" s="42">
        <f>_xlfn.XLOOKUP(17845,Trip[shape_id],Trip[shape_id],"Não encontrado")</f>
        <v/>
      </c>
      <c r="B2487" s="43" t="n">
        <v>-23.650714</v>
      </c>
      <c r="C2487" s="43" t="n">
        <v>-46.704653</v>
      </c>
      <c r="D2487" s="43" t="n">
        <v>176</v>
      </c>
      <c r="E2487" s="44" t="n">
        <v>9182.9287</v>
      </c>
    </row>
    <row r="2488">
      <c r="A2488" s="39">
        <f>_xlfn.XLOOKUP(17845,Trip[shape_id],Trip[shape_id],"Não encontrado")</f>
        <v/>
      </c>
      <c r="B2488" s="40" t="n">
        <v>-23.650619</v>
      </c>
      <c r="C2488" s="40" t="n">
        <v>-46.704592</v>
      </c>
      <c r="D2488" s="40" t="n">
        <v>177</v>
      </c>
      <c r="E2488" s="41" t="n">
        <v>9233.8896</v>
      </c>
    </row>
    <row r="2489">
      <c r="A2489" s="42">
        <f>_xlfn.XLOOKUP(17845,Trip[shape_id],Trip[shape_id],"Não encontrado")</f>
        <v/>
      </c>
      <c r="B2489" s="43" t="n">
        <v>-23.650225</v>
      </c>
      <c r="C2489" s="43" t="n">
        <v>-46.704334</v>
      </c>
      <c r="D2489" s="43" t="n">
        <v>178</v>
      </c>
      <c r="E2489" s="44" t="n">
        <v>9262.218800000001</v>
      </c>
    </row>
    <row r="2490">
      <c r="A2490" s="39">
        <f>_xlfn.XLOOKUP(17845,Trip[shape_id],Trip[shape_id],"Não encontrado")</f>
        <v/>
      </c>
      <c r="B2490" s="40" t="n">
        <v>-23.650008</v>
      </c>
      <c r="C2490" s="40" t="n">
        <v>-46.704187</v>
      </c>
      <c r="D2490" s="40" t="n">
        <v>179</v>
      </c>
      <c r="E2490" s="41" t="n">
        <v>9262.218800000001</v>
      </c>
    </row>
    <row r="2491">
      <c r="A2491" s="42">
        <f>_xlfn.XLOOKUP(17845,Trip[shape_id],Trip[shape_id],"Não encontrado")</f>
        <v/>
      </c>
      <c r="B2491" s="43" t="n">
        <v>-23.64927</v>
      </c>
      <c r="C2491" s="43" t="n">
        <v>-46.703745</v>
      </c>
      <c r="D2491" s="43" t="n">
        <v>180</v>
      </c>
      <c r="E2491" s="44" t="n">
        <v>9463.9131</v>
      </c>
    </row>
    <row r="2492">
      <c r="A2492" s="39">
        <f>_xlfn.XLOOKUP(17845,Trip[shape_id],Trip[shape_id],"Não encontrado")</f>
        <v/>
      </c>
      <c r="B2492" s="40" t="n">
        <v>-23.648406</v>
      </c>
      <c r="C2492" s="40" t="n">
        <v>-46.703247</v>
      </c>
      <c r="D2492" s="40" t="n">
        <v>181</v>
      </c>
      <c r="E2492" s="41" t="n">
        <v>9529.575199999999</v>
      </c>
    </row>
    <row r="2493">
      <c r="A2493" s="42">
        <f>_xlfn.XLOOKUP(17845,Trip[shape_id],Trip[shape_id],"Não encontrado")</f>
        <v/>
      </c>
      <c r="B2493" s="43" t="n">
        <v>-23.647881</v>
      </c>
      <c r="C2493" s="43" t="n">
        <v>-46.702948</v>
      </c>
      <c r="D2493" s="43" t="n">
        <v>182</v>
      </c>
      <c r="E2493" s="44" t="n">
        <v>9593.6621</v>
      </c>
    </row>
    <row r="2494">
      <c r="A2494" s="39">
        <f>_xlfn.XLOOKUP(17845,Trip[shape_id],Trip[shape_id],"Não encontrado")</f>
        <v/>
      </c>
      <c r="B2494" s="40" t="n">
        <v>-23.647325</v>
      </c>
      <c r="C2494" s="40" t="n">
        <v>-46.702774</v>
      </c>
      <c r="D2494" s="40" t="n">
        <v>183</v>
      </c>
      <c r="E2494" s="41" t="n">
        <v>9652.127</v>
      </c>
    </row>
    <row r="2495">
      <c r="A2495" s="42">
        <f>_xlfn.XLOOKUP(17845,Trip[shape_id],Trip[shape_id],"Não encontrado")</f>
        <v/>
      </c>
      <c r="B2495" s="43" t="n">
        <v>-23.646873</v>
      </c>
      <c r="C2495" s="43" t="n">
        <v>-46.702478</v>
      </c>
      <c r="D2495" s="43" t="n">
        <v>184</v>
      </c>
      <c r="E2495" s="44" t="n">
        <v>9754.2119</v>
      </c>
    </row>
    <row r="2496">
      <c r="A2496" s="39">
        <f>_xlfn.XLOOKUP(17845,Trip[shape_id],Trip[shape_id],"Não encontrado")</f>
        <v/>
      </c>
      <c r="B2496" s="40" t="n">
        <v>-23.6461</v>
      </c>
      <c r="C2496" s="40" t="n">
        <v>-46.701933</v>
      </c>
      <c r="D2496" s="40" t="n">
        <v>185</v>
      </c>
      <c r="E2496" s="41" t="n">
        <v>9816.518599999999</v>
      </c>
    </row>
    <row r="2497">
      <c r="A2497" s="42">
        <f>_xlfn.XLOOKUP(17845,Trip[shape_id],Trip[shape_id],"Não encontrado")</f>
        <v/>
      </c>
      <c r="B2497" s="43" t="n">
        <v>-23.645601</v>
      </c>
      <c r="C2497" s="43" t="n">
        <v>-46.701651</v>
      </c>
      <c r="D2497" s="43" t="n">
        <v>186</v>
      </c>
      <c r="E2497" s="44" t="n">
        <v>9851.1787</v>
      </c>
    </row>
    <row r="2498">
      <c r="A2498" s="39">
        <f>_xlfn.XLOOKUP(17845,Trip[shape_id],Trip[shape_id],"Não encontrado")</f>
        <v/>
      </c>
      <c r="B2498" s="40" t="n">
        <v>-23.645323</v>
      </c>
      <c r="C2498" s="40" t="n">
        <v>-46.701495</v>
      </c>
      <c r="D2498" s="40" t="n">
        <v>187</v>
      </c>
      <c r="E2498" s="41" t="n">
        <v>9902.333000000001</v>
      </c>
    </row>
    <row r="2499">
      <c r="A2499" s="42">
        <f>_xlfn.XLOOKUP(17845,Trip[shape_id],Trip[shape_id],"Não encontrado")</f>
        <v/>
      </c>
      <c r="B2499" s="43" t="n">
        <v>-23.644915</v>
      </c>
      <c r="C2499" s="43" t="n">
        <v>-46.70126</v>
      </c>
      <c r="D2499" s="43" t="n">
        <v>188</v>
      </c>
      <c r="E2499" s="44" t="n">
        <v>10039.99</v>
      </c>
    </row>
    <row r="2500">
      <c r="A2500" s="39">
        <f>_xlfn.XLOOKUP(17845,Trip[shape_id],Trip[shape_id],"Não encontrado")</f>
        <v/>
      </c>
      <c r="B2500" s="40" t="n">
        <v>-23.643813</v>
      </c>
      <c r="C2500" s="40" t="n">
        <v>-46.700636</v>
      </c>
      <c r="D2500" s="40" t="n">
        <v>189</v>
      </c>
      <c r="E2500" s="41" t="n">
        <v>10091.438</v>
      </c>
    </row>
    <row r="2501">
      <c r="A2501" s="42">
        <f>_xlfn.XLOOKUP(17845,Trip[shape_id],Trip[shape_id],"Não encontrado")</f>
        <v/>
      </c>
      <c r="B2501" s="43" t="n">
        <v>-23.643402</v>
      </c>
      <c r="C2501" s="43" t="n">
        <v>-46.700401</v>
      </c>
      <c r="D2501" s="43" t="n">
        <v>190</v>
      </c>
      <c r="E2501" s="44" t="n">
        <v>10136.22</v>
      </c>
    </row>
    <row r="2502">
      <c r="A2502" s="39">
        <f>_xlfn.XLOOKUP(17845,Trip[shape_id],Trip[shape_id],"Não encontrado")</f>
        <v/>
      </c>
      <c r="B2502" s="40" t="n">
        <v>-23.643044</v>
      </c>
      <c r="C2502" s="40" t="n">
        <v>-46.700197</v>
      </c>
      <c r="D2502" s="40" t="n">
        <v>191</v>
      </c>
      <c r="E2502" s="41" t="n">
        <v>10180.153</v>
      </c>
    </row>
    <row r="2503">
      <c r="A2503" s="42">
        <f>_xlfn.XLOOKUP(17845,Trip[shape_id],Trip[shape_id],"Não encontrado")</f>
        <v/>
      </c>
      <c r="B2503" s="43" t="n">
        <v>-23.642703</v>
      </c>
      <c r="C2503" s="43" t="n">
        <v>-46.699977</v>
      </c>
      <c r="D2503" s="43" t="n">
        <v>192</v>
      </c>
      <c r="E2503" s="44" t="n">
        <v>10221.099</v>
      </c>
    </row>
    <row r="2504">
      <c r="A2504" s="39">
        <f>_xlfn.XLOOKUP(17845,Trip[shape_id],Trip[shape_id],"Não encontrado")</f>
        <v/>
      </c>
      <c r="B2504" s="40" t="n">
        <v>-23.642366</v>
      </c>
      <c r="C2504" s="40" t="n">
        <v>-46.699812</v>
      </c>
      <c r="D2504" s="40" t="n">
        <v>193</v>
      </c>
      <c r="E2504" s="41" t="n">
        <v>10246.905</v>
      </c>
    </row>
    <row r="2505">
      <c r="A2505" s="42">
        <f>_xlfn.XLOOKUP(17845,Trip[shape_id],Trip[shape_id],"Não encontrado")</f>
        <v/>
      </c>
      <c r="B2505" s="43" t="n">
        <v>-23.642158</v>
      </c>
      <c r="C2505" s="43" t="n">
        <v>-46.699698</v>
      </c>
      <c r="D2505" s="43" t="n">
        <v>194</v>
      </c>
      <c r="E2505" s="44" t="n">
        <v>10269.683</v>
      </c>
    </row>
    <row r="2506">
      <c r="A2506" s="39">
        <f>_xlfn.XLOOKUP(17845,Trip[shape_id],Trip[shape_id],"Não encontrado")</f>
        <v/>
      </c>
      <c r="B2506" s="40" t="n">
        <v>-23.641977</v>
      </c>
      <c r="C2506" s="40" t="n">
        <v>-46.699592</v>
      </c>
      <c r="D2506" s="40" t="n">
        <v>195</v>
      </c>
      <c r="E2506" s="41" t="n">
        <v>10297.381</v>
      </c>
    </row>
    <row r="2507">
      <c r="A2507" s="42">
        <f>_xlfn.XLOOKUP(17845,Trip[shape_id],Trip[shape_id],"Não encontrado")</f>
        <v/>
      </c>
      <c r="B2507" s="43" t="n">
        <v>-23.641755</v>
      </c>
      <c r="C2507" s="43" t="n">
        <v>-46.699467</v>
      </c>
      <c r="D2507" s="43" t="n">
        <v>196</v>
      </c>
      <c r="E2507" s="44" t="n">
        <v>10319.288</v>
      </c>
    </row>
    <row r="2508">
      <c r="A2508" s="39">
        <f>_xlfn.XLOOKUP(17845,Trip[shape_id],Trip[shape_id],"Não encontrado")</f>
        <v/>
      </c>
      <c r="B2508" s="40" t="n">
        <v>-23.641579</v>
      </c>
      <c r="C2508" s="40" t="n">
        <v>-46.699369</v>
      </c>
      <c r="D2508" s="40" t="n">
        <v>197</v>
      </c>
      <c r="E2508" s="41" t="n">
        <v>10324.496</v>
      </c>
    </row>
    <row r="2509">
      <c r="A2509" s="42">
        <f>_xlfn.XLOOKUP(17845,Trip[shape_id],Trip[shape_id],"Não encontrado")</f>
        <v/>
      </c>
      <c r="B2509" s="43" t="n">
        <v>-23.641538</v>
      </c>
      <c r="C2509" s="43" t="n">
        <v>-46.699344</v>
      </c>
      <c r="D2509" s="43" t="n">
        <v>198</v>
      </c>
      <c r="E2509" s="44" t="n">
        <v>10324.496</v>
      </c>
    </row>
    <row r="2510">
      <c r="A2510" s="39">
        <f>_xlfn.XLOOKUP(17845,Trip[shape_id],Trip[shape_id],"Não encontrado")</f>
        <v/>
      </c>
      <c r="B2510" s="40" t="n">
        <v>-23.641007</v>
      </c>
      <c r="C2510" s="40" t="n">
        <v>-46.698985</v>
      </c>
      <c r="D2510" s="40" t="n">
        <v>199</v>
      </c>
      <c r="E2510" s="41" t="n">
        <v>10425.364</v>
      </c>
    </row>
    <row r="2511">
      <c r="A2511" s="42">
        <f>_xlfn.XLOOKUP(17845,Trip[shape_id],Trip[shape_id],"Não encontrado")</f>
        <v/>
      </c>
      <c r="B2511" s="43" t="n">
        <v>-23.640764</v>
      </c>
      <c r="C2511" s="43" t="n">
        <v>-46.698823</v>
      </c>
      <c r="D2511" s="43" t="n">
        <v>200</v>
      </c>
      <c r="E2511" s="44" t="n">
        <v>10481.136</v>
      </c>
    </row>
    <row r="2512">
      <c r="A2512" s="39">
        <f>_xlfn.XLOOKUP(17845,Trip[shape_id],Trip[shape_id],"Não encontrado")</f>
        <v/>
      </c>
      <c r="B2512" s="40" t="n">
        <v>-23.640336</v>
      </c>
      <c r="C2512" s="40" t="n">
        <v>-46.698535</v>
      </c>
      <c r="D2512" s="40" t="n">
        <v>201</v>
      </c>
      <c r="E2512" s="41" t="n">
        <v>10519.716</v>
      </c>
    </row>
    <row r="2513">
      <c r="A2513" s="42">
        <f>_xlfn.XLOOKUP(17845,Trip[shape_id],Trip[shape_id],"Não encontrado")</f>
        <v/>
      </c>
      <c r="B2513" s="43" t="n">
        <v>-23.640037</v>
      </c>
      <c r="C2513" s="43" t="n">
        <v>-46.698341</v>
      </c>
      <c r="D2513" s="43" t="n">
        <v>202</v>
      </c>
      <c r="E2513" s="44" t="n">
        <v>10545.988</v>
      </c>
    </row>
    <row r="2514">
      <c r="A2514" s="39">
        <f>_xlfn.XLOOKUP(17845,Trip[shape_id],Trip[shape_id],"Não encontrado")</f>
        <v/>
      </c>
      <c r="B2514" s="40" t="n">
        <v>-23.639835</v>
      </c>
      <c r="C2514" s="40" t="n">
        <v>-46.698206</v>
      </c>
      <c r="D2514" s="40" t="n">
        <v>203</v>
      </c>
      <c r="E2514" s="41" t="n">
        <v>10585.612</v>
      </c>
    </row>
    <row r="2515">
      <c r="A2515" s="42">
        <f>_xlfn.XLOOKUP(17845,Trip[shape_id],Trip[shape_id],"Não encontrado")</f>
        <v/>
      </c>
      <c r="B2515" s="43" t="n">
        <v>-23.63953</v>
      </c>
      <c r="C2515" s="43" t="n">
        <v>-46.698003</v>
      </c>
      <c r="D2515" s="43" t="n">
        <v>204</v>
      </c>
      <c r="E2515" s="44" t="n">
        <v>10641.749</v>
      </c>
    </row>
    <row r="2516">
      <c r="A2516" s="39">
        <f>_xlfn.XLOOKUP(17845,Trip[shape_id],Trip[shape_id],"Não encontrado")</f>
        <v/>
      </c>
      <c r="B2516" s="40" t="n">
        <v>-23.639097</v>
      </c>
      <c r="C2516" s="40" t="n">
        <v>-46.697717</v>
      </c>
      <c r="D2516" s="40" t="n">
        <v>205</v>
      </c>
      <c r="E2516" s="41" t="n">
        <v>10807.832</v>
      </c>
    </row>
    <row r="2517">
      <c r="A2517" s="42">
        <f>_xlfn.XLOOKUP(17845,Trip[shape_id],Trip[shape_id],"Não encontrado")</f>
        <v/>
      </c>
      <c r="B2517" s="43" t="n">
        <v>-23.637817</v>
      </c>
      <c r="C2517" s="43" t="n">
        <v>-46.696869</v>
      </c>
      <c r="D2517" s="43" t="n">
        <v>206</v>
      </c>
      <c r="E2517" s="44" t="n">
        <v>10858.629</v>
      </c>
    </row>
    <row r="2518">
      <c r="A2518" s="39">
        <f>_xlfn.XLOOKUP(17845,Trip[shape_id],Trip[shape_id],"Não encontrado")</f>
        <v/>
      </c>
      <c r="B2518" s="40" t="n">
        <v>-23.637427</v>
      </c>
      <c r="C2518" s="40" t="n">
        <v>-46.696607</v>
      </c>
      <c r="D2518" s="40" t="n">
        <v>207</v>
      </c>
      <c r="E2518" s="41" t="n">
        <v>10935.391</v>
      </c>
    </row>
    <row r="2519">
      <c r="A2519" s="42">
        <f>_xlfn.XLOOKUP(17845,Trip[shape_id],Trip[shape_id],"Não encontrado")</f>
        <v/>
      </c>
      <c r="B2519" s="43" t="n">
        <v>-23.636836</v>
      </c>
      <c r="C2519" s="43" t="n">
        <v>-46.696214</v>
      </c>
      <c r="D2519" s="43" t="n">
        <v>208</v>
      </c>
      <c r="E2519" s="44" t="n">
        <v>10949.22</v>
      </c>
    </row>
    <row r="2520">
      <c r="A2520" s="39">
        <f>_xlfn.XLOOKUP(17845,Trip[shape_id],Trip[shape_id],"Não encontrado")</f>
        <v/>
      </c>
      <c r="B2520" s="40" t="n">
        <v>-23.636732</v>
      </c>
      <c r="C2520" s="40" t="n">
        <v>-46.696139</v>
      </c>
      <c r="D2520" s="40" t="n">
        <v>209</v>
      </c>
      <c r="E2520" s="41" t="n">
        <v>11047.942</v>
      </c>
    </row>
    <row r="2521">
      <c r="A2521" s="42">
        <f>_xlfn.XLOOKUP(17845,Trip[shape_id],Trip[shape_id],"Não encontrado")</f>
        <v/>
      </c>
      <c r="B2521" s="43" t="n">
        <v>-23.63605</v>
      </c>
      <c r="C2521" s="43" t="n">
        <v>-46.695516</v>
      </c>
      <c r="D2521" s="43" t="n">
        <v>210</v>
      </c>
      <c r="E2521" s="44" t="n">
        <v>11121.786</v>
      </c>
    </row>
    <row r="2522">
      <c r="A2522" s="39">
        <f>_xlfn.XLOOKUP(17845,Trip[shape_id],Trip[shape_id],"Não encontrado")</f>
        <v/>
      </c>
      <c r="B2522" s="40" t="n">
        <v>-23.635543</v>
      </c>
      <c r="C2522" s="40" t="n">
        <v>-46.695046</v>
      </c>
      <c r="D2522" s="40" t="n">
        <v>211</v>
      </c>
      <c r="E2522" s="41" t="n">
        <v>11211.689</v>
      </c>
    </row>
    <row r="2523">
      <c r="A2523" s="42">
        <f>_xlfn.XLOOKUP(17845,Trip[shape_id],Trip[shape_id],"Não encontrado")</f>
        <v/>
      </c>
      <c r="B2523" s="43" t="n">
        <v>-23.634924</v>
      </c>
      <c r="C2523" s="43" t="n">
        <v>-46.694476</v>
      </c>
      <c r="D2523" s="43" t="n">
        <v>212</v>
      </c>
      <c r="E2523" s="44" t="n">
        <v>11275.03</v>
      </c>
    </row>
    <row r="2524">
      <c r="A2524" s="39">
        <f>_xlfn.XLOOKUP(17845,Trip[shape_id],Trip[shape_id],"Não encontrado")</f>
        <v/>
      </c>
      <c r="B2524" s="40" t="n">
        <v>-23.634489</v>
      </c>
      <c r="C2524" s="40" t="n">
        <v>-46.694073</v>
      </c>
      <c r="D2524" s="40" t="n">
        <v>213</v>
      </c>
      <c r="E2524" s="41" t="n">
        <v>11326.23</v>
      </c>
    </row>
    <row r="2525">
      <c r="A2525" s="42">
        <f>_xlfn.XLOOKUP(17845,Trip[shape_id],Trip[shape_id],"Não encontrado")</f>
        <v/>
      </c>
      <c r="B2525" s="43" t="n">
        <v>-23.634136</v>
      </c>
      <c r="C2525" s="43" t="n">
        <v>-46.693749</v>
      </c>
      <c r="D2525" s="43" t="n">
        <v>214</v>
      </c>
      <c r="E2525" s="44" t="n">
        <v>11441.918</v>
      </c>
    </row>
    <row r="2526">
      <c r="A2526" s="39">
        <f>_xlfn.XLOOKUP(17845,Trip[shape_id],Trip[shape_id],"Não encontrado")</f>
        <v/>
      </c>
      <c r="B2526" s="40" t="n">
        <v>-23.633336</v>
      </c>
      <c r="C2526" s="40" t="n">
        <v>-46.69302</v>
      </c>
      <c r="D2526" s="40" t="n">
        <v>215</v>
      </c>
      <c r="E2526" s="41" t="n">
        <v>11447.158</v>
      </c>
    </row>
    <row r="2527">
      <c r="A2527" s="42">
        <f>_xlfn.XLOOKUP(17845,Trip[shape_id],Trip[shape_id],"Não encontrado")</f>
        <v/>
      </c>
      <c r="B2527" s="43" t="n">
        <v>-23.633299</v>
      </c>
      <c r="C2527" s="43" t="n">
        <v>-46.692988</v>
      </c>
      <c r="D2527" s="43" t="n">
        <v>216</v>
      </c>
      <c r="E2527" s="44" t="n">
        <v>11447.158</v>
      </c>
    </row>
    <row r="2528">
      <c r="A2528" s="39">
        <f>_xlfn.XLOOKUP(17845,Trip[shape_id],Trip[shape_id],"Não encontrado")</f>
        <v/>
      </c>
      <c r="B2528" s="40" t="n">
        <v>-23.633113</v>
      </c>
      <c r="C2528" s="40" t="n">
        <v>-46.692815</v>
      </c>
      <c r="D2528" s="40" t="n">
        <v>217</v>
      </c>
      <c r="E2528" s="41" t="n">
        <v>11495.301</v>
      </c>
    </row>
    <row r="2529">
      <c r="A2529" s="42">
        <f>_xlfn.XLOOKUP(17845,Trip[shape_id],Trip[shape_id],"Não encontrado")</f>
        <v/>
      </c>
      <c r="B2529" s="43" t="n">
        <v>-23.632983</v>
      </c>
      <c r="C2529" s="43" t="n">
        <v>-46.692665</v>
      </c>
      <c r="D2529" s="43" t="n">
        <v>218</v>
      </c>
      <c r="E2529" s="44" t="n">
        <v>11548.655</v>
      </c>
    </row>
    <row r="2530">
      <c r="A2530" s="39">
        <f>_xlfn.XLOOKUP(17845,Trip[shape_id],Trip[shape_id],"Não encontrado")</f>
        <v/>
      </c>
      <c r="B2530" s="40" t="n">
        <v>-23.632621</v>
      </c>
      <c r="C2530" s="40" t="n">
        <v>-46.69232</v>
      </c>
      <c r="D2530" s="40" t="n">
        <v>219</v>
      </c>
      <c r="E2530" s="41" t="n">
        <v>11582.063</v>
      </c>
    </row>
    <row r="2531">
      <c r="A2531" s="42">
        <f>_xlfn.XLOOKUP(17845,Trip[shape_id],Trip[shape_id],"Não encontrado")</f>
        <v/>
      </c>
      <c r="B2531" s="43" t="n">
        <v>-23.632401</v>
      </c>
      <c r="C2531" s="43" t="n">
        <v>-46.692096</v>
      </c>
      <c r="D2531" s="43" t="n">
        <v>220</v>
      </c>
      <c r="E2531" s="44" t="n">
        <v>11614.817</v>
      </c>
    </row>
    <row r="2532">
      <c r="A2532" s="39">
        <f>_xlfn.XLOOKUP(17845,Trip[shape_id],Trip[shape_id],"Não encontrado")</f>
        <v/>
      </c>
      <c r="B2532" s="40" t="n">
        <v>-23.632164</v>
      </c>
      <c r="C2532" s="40" t="n">
        <v>-46.691904</v>
      </c>
      <c r="D2532" s="40" t="n">
        <v>221</v>
      </c>
      <c r="E2532" s="41" t="n">
        <v>11623.883</v>
      </c>
    </row>
    <row r="2533">
      <c r="A2533" s="42">
        <f>_xlfn.XLOOKUP(17845,Trip[shape_id],Trip[shape_id],"Não encontrado")</f>
        <v/>
      </c>
      <c r="B2533" s="43" t="n">
        <v>-23.632102</v>
      </c>
      <c r="C2533" s="43" t="n">
        <v>-46.691846</v>
      </c>
      <c r="D2533" s="43" t="n">
        <v>222</v>
      </c>
      <c r="E2533" s="44" t="n">
        <v>11665.322</v>
      </c>
    </row>
    <row r="2534">
      <c r="A2534" s="39">
        <f>_xlfn.XLOOKUP(17845,Trip[shape_id],Trip[shape_id],"Não encontrado")</f>
        <v/>
      </c>
      <c r="B2534" s="40" t="n">
        <v>-23.631805</v>
      </c>
      <c r="C2534" s="40" t="n">
        <v>-46.691599</v>
      </c>
      <c r="D2534" s="40" t="n">
        <v>223</v>
      </c>
      <c r="E2534" s="41" t="n">
        <v>11729.77</v>
      </c>
    </row>
    <row r="2535">
      <c r="A2535" s="42">
        <f>_xlfn.XLOOKUP(17845,Trip[shape_id],Trip[shape_id],"Não encontrado")</f>
        <v/>
      </c>
      <c r="B2535" s="43" t="n">
        <v>-23.631343</v>
      </c>
      <c r="C2535" s="43" t="n">
        <v>-46.691215</v>
      </c>
      <c r="D2535" s="43" t="n">
        <v>224</v>
      </c>
      <c r="E2535" s="44" t="n">
        <v>11802.633</v>
      </c>
    </row>
    <row r="2536">
      <c r="A2536" s="39">
        <f>_xlfn.XLOOKUP(17845,Trip[shape_id],Trip[shape_id],"Não encontrado")</f>
        <v/>
      </c>
      <c r="B2536" s="40" t="n">
        <v>-23.630786</v>
      </c>
      <c r="C2536" s="40" t="n">
        <v>-46.690835</v>
      </c>
      <c r="D2536" s="40" t="n">
        <v>225</v>
      </c>
      <c r="E2536" s="41" t="n">
        <v>11866.594</v>
      </c>
    </row>
    <row r="2537">
      <c r="A2537" s="42">
        <f>_xlfn.XLOOKUP(17845,Trip[shape_id],Trip[shape_id],"Não encontrado")</f>
        <v/>
      </c>
      <c r="B2537" s="43" t="n">
        <v>-23.630295</v>
      </c>
      <c r="C2537" s="43" t="n">
        <v>-46.690505</v>
      </c>
      <c r="D2537" s="43" t="n">
        <v>226</v>
      </c>
      <c r="E2537" s="44" t="n">
        <v>12035.566</v>
      </c>
    </row>
    <row r="2538">
      <c r="A2538" s="39">
        <f>_xlfn.XLOOKUP(17845,Trip[shape_id],Trip[shape_id],"Não encontrado")</f>
        <v/>
      </c>
      <c r="B2538" s="40" t="n">
        <v>-23.628998</v>
      </c>
      <c r="C2538" s="40" t="n">
        <v>-46.689633</v>
      </c>
      <c r="D2538" s="40" t="n">
        <v>227</v>
      </c>
      <c r="E2538" s="41" t="n">
        <v>12137.458</v>
      </c>
    </row>
    <row r="2539">
      <c r="A2539" s="42">
        <f>_xlfn.XLOOKUP(17845,Trip[shape_id],Trip[shape_id],"Não encontrado")</f>
        <v/>
      </c>
      <c r="B2539" s="43" t="n">
        <v>-23.628216</v>
      </c>
      <c r="C2539" s="43" t="n">
        <v>-46.689107</v>
      </c>
      <c r="D2539" s="43" t="n">
        <v>228</v>
      </c>
      <c r="E2539" s="44" t="n">
        <v>12173.722</v>
      </c>
    </row>
    <row r="2540">
      <c r="A2540" s="39">
        <f>_xlfn.XLOOKUP(17845,Trip[shape_id],Trip[shape_id],"Não encontrado")</f>
        <v/>
      </c>
      <c r="B2540" s="40" t="n">
        <v>-23.627937</v>
      </c>
      <c r="C2540" s="40" t="n">
        <v>-46.688921</v>
      </c>
      <c r="D2540" s="40" t="n">
        <v>229</v>
      </c>
      <c r="E2540" s="41" t="n">
        <v>12209.959</v>
      </c>
    </row>
    <row r="2541">
      <c r="A2541" s="42">
        <f>_xlfn.XLOOKUP(17845,Trip[shape_id],Trip[shape_id],"Não encontrado")</f>
        <v/>
      </c>
      <c r="B2541" s="43" t="n">
        <v>-23.62766</v>
      </c>
      <c r="C2541" s="43" t="n">
        <v>-46.688732</v>
      </c>
      <c r="D2541" s="43" t="n">
        <v>230</v>
      </c>
      <c r="E2541" s="44" t="n">
        <v>12253.82</v>
      </c>
    </row>
    <row r="2542">
      <c r="A2542" s="39">
        <f>_xlfn.XLOOKUP(17845,Trip[shape_id],Trip[shape_id],"Não encontrado")</f>
        <v/>
      </c>
      <c r="B2542" s="40" t="n">
        <v>-23.627329</v>
      </c>
      <c r="C2542" s="40" t="n">
        <v>-46.688496</v>
      </c>
      <c r="D2542" s="40" t="n">
        <v>231</v>
      </c>
      <c r="E2542" s="41" t="n">
        <v>12285.022</v>
      </c>
    </row>
    <row r="2543">
      <c r="A2543" s="42">
        <f>_xlfn.XLOOKUP(17845,Trip[shape_id],Trip[shape_id],"Não encontrado")</f>
        <v/>
      </c>
      <c r="B2543" s="43" t="n">
        <v>-23.627093</v>
      </c>
      <c r="C2543" s="43" t="n">
        <v>-46.688329</v>
      </c>
      <c r="D2543" s="43" t="n">
        <v>232</v>
      </c>
      <c r="E2543" s="44" t="n">
        <v>12326.898</v>
      </c>
    </row>
    <row r="2544">
      <c r="A2544" s="39">
        <f>_xlfn.XLOOKUP(17845,Trip[shape_id],Trip[shape_id],"Não encontrado")</f>
        <v/>
      </c>
      <c r="B2544" s="40" t="n">
        <v>-23.626775</v>
      </c>
      <c r="C2544" s="40" t="n">
        <v>-46.688107</v>
      </c>
      <c r="D2544" s="40" t="n">
        <v>233</v>
      </c>
      <c r="E2544" s="41" t="n">
        <v>12326.898</v>
      </c>
    </row>
    <row r="2545">
      <c r="A2545" s="42">
        <f>_xlfn.XLOOKUP(17845,Trip[shape_id],Trip[shape_id],"Não encontrado")</f>
        <v/>
      </c>
      <c r="B2545" s="43" t="n">
        <v>-23.626328</v>
      </c>
      <c r="C2545" s="43" t="n">
        <v>-46.687778</v>
      </c>
      <c r="D2545" s="43" t="n">
        <v>234</v>
      </c>
      <c r="E2545" s="44" t="n">
        <v>12497.045</v>
      </c>
    </row>
    <row r="2546">
      <c r="A2546" s="39">
        <f>_xlfn.XLOOKUP(17845,Trip[shape_id],Trip[shape_id],"Não encontrado")</f>
        <v/>
      </c>
      <c r="B2546" s="40" t="n">
        <v>-23.625503</v>
      </c>
      <c r="C2546" s="40" t="n">
        <v>-46.687172</v>
      </c>
      <c r="D2546" s="40" t="n">
        <v>235</v>
      </c>
      <c r="E2546" s="41" t="n">
        <v>12527.888</v>
      </c>
    </row>
    <row r="2547">
      <c r="A2547" s="42">
        <f>_xlfn.XLOOKUP(17845,Trip[shape_id],Trip[shape_id],"Não encontrado")</f>
        <v/>
      </c>
      <c r="B2547" s="43" t="n">
        <v>-23.625274</v>
      </c>
      <c r="C2547" s="43" t="n">
        <v>-46.687</v>
      </c>
      <c r="D2547" s="43" t="n">
        <v>236</v>
      </c>
      <c r="E2547" s="44" t="n">
        <v>12628.379</v>
      </c>
    </row>
    <row r="2548">
      <c r="A2548" s="39">
        <f>_xlfn.XLOOKUP(17845,Trip[shape_id],Trip[shape_id],"Não encontrado")</f>
        <v/>
      </c>
      <c r="B2548" s="40" t="n">
        <v>-23.624527</v>
      </c>
      <c r="C2548" s="40" t="n">
        <v>-46.686441</v>
      </c>
      <c r="D2548" s="40" t="n">
        <v>237</v>
      </c>
      <c r="E2548" s="41" t="n">
        <v>12715.351</v>
      </c>
    </row>
    <row r="2549">
      <c r="A2549" s="42">
        <f>_xlfn.XLOOKUP(17845,Trip[shape_id],Trip[shape_id],"Não encontrado")</f>
        <v/>
      </c>
      <c r="B2549" s="43" t="n">
        <v>-23.62388</v>
      </c>
      <c r="C2549" s="43" t="n">
        <v>-46.685958</v>
      </c>
      <c r="D2549" s="43" t="n">
        <v>238</v>
      </c>
      <c r="E2549" s="44" t="n">
        <v>12831.824</v>
      </c>
    </row>
    <row r="2550">
      <c r="A2550" s="39">
        <f>_xlfn.XLOOKUP(17845,Trip[shape_id],Trip[shape_id],"Não encontrado")</f>
        <v/>
      </c>
      <c r="B2550" s="40" t="n">
        <v>-23.623013</v>
      </c>
      <c r="C2550" s="40" t="n">
        <v>-46.685312</v>
      </c>
      <c r="D2550" s="40" t="n">
        <v>239</v>
      </c>
      <c r="E2550" s="41" t="n">
        <v>12887.438</v>
      </c>
    </row>
    <row r="2551">
      <c r="A2551" s="42">
        <f>_xlfn.XLOOKUP(17845,Trip[shape_id],Trip[shape_id],"Não encontrado")</f>
        <v/>
      </c>
      <c r="B2551" s="43" t="n">
        <v>-23.6226</v>
      </c>
      <c r="C2551" s="43" t="n">
        <v>-46.685002</v>
      </c>
      <c r="D2551" s="43" t="n">
        <v>240</v>
      </c>
      <c r="E2551" s="44" t="n">
        <v>12989.854</v>
      </c>
    </row>
    <row r="2552">
      <c r="A2552" s="39">
        <f>_xlfn.XLOOKUP(17845,Trip[shape_id],Trip[shape_id],"Não encontrado")</f>
        <v/>
      </c>
      <c r="B2552" s="40" t="n">
        <v>-23.621837</v>
      </c>
      <c r="C2552" s="40" t="n">
        <v>-46.684435</v>
      </c>
      <c r="D2552" s="40" t="n">
        <v>241</v>
      </c>
      <c r="E2552" s="41" t="n">
        <v>13033.013</v>
      </c>
    </row>
    <row r="2553">
      <c r="A2553" s="42">
        <f>_xlfn.XLOOKUP(17845,Trip[shape_id],Trip[shape_id],"Não encontrado")</f>
        <v/>
      </c>
      <c r="B2553" s="43" t="n">
        <v>-23.621513</v>
      </c>
      <c r="C2553" s="43" t="n">
        <v>-46.6842</v>
      </c>
      <c r="D2553" s="43" t="n">
        <v>242</v>
      </c>
      <c r="E2553" s="44" t="n">
        <v>13135.679</v>
      </c>
    </row>
    <row r="2554">
      <c r="A2554" s="39">
        <f>_xlfn.XLOOKUP(17845,Trip[shape_id],Trip[shape_id],"Não encontrado")</f>
        <v/>
      </c>
      <c r="B2554" s="40" t="n">
        <v>-23.62072</v>
      </c>
      <c r="C2554" s="40" t="n">
        <v>-46.683679</v>
      </c>
      <c r="D2554" s="40" t="n">
        <v>243</v>
      </c>
      <c r="E2554" s="41" t="n">
        <v>13193.927</v>
      </c>
    </row>
    <row r="2555">
      <c r="A2555" s="42">
        <f>_xlfn.XLOOKUP(17845,Trip[shape_id],Trip[shape_id],"Não encontrado")</f>
        <v/>
      </c>
      <c r="B2555" s="43" t="n">
        <v>-23.620272</v>
      </c>
      <c r="C2555" s="43" t="n">
        <v>-46.68338</v>
      </c>
      <c r="D2555" s="43" t="n">
        <v>244</v>
      </c>
      <c r="E2555" s="44" t="n">
        <v>13293.802</v>
      </c>
    </row>
    <row r="2556">
      <c r="A2556" s="39">
        <f>_xlfn.XLOOKUP(17845,Trip[shape_id],Trip[shape_id],"Não encontrado")</f>
        <v/>
      </c>
      <c r="B2556" s="40" t="n">
        <v>-23.619479</v>
      </c>
      <c r="C2556" s="40" t="n">
        <v>-46.682914</v>
      </c>
      <c r="D2556" s="40" t="n">
        <v>245</v>
      </c>
      <c r="E2556" s="41" t="n">
        <v>13369.557</v>
      </c>
    </row>
    <row r="2557">
      <c r="A2557" s="42">
        <f>_xlfn.XLOOKUP(17845,Trip[shape_id],Trip[shape_id],"Não encontrado")</f>
        <v/>
      </c>
      <c r="B2557" s="43" t="n">
        <v>-23.618897</v>
      </c>
      <c r="C2557" s="43" t="n">
        <v>-46.682524</v>
      </c>
      <c r="D2557" s="43" t="n">
        <v>246</v>
      </c>
      <c r="E2557" s="44" t="n">
        <v>13449.586</v>
      </c>
    </row>
    <row r="2558">
      <c r="A2558" s="39">
        <f>_xlfn.XLOOKUP(17845,Trip[shape_id],Trip[shape_id],"Não encontrado")</f>
        <v/>
      </c>
      <c r="B2558" s="40" t="n">
        <v>-23.618327</v>
      </c>
      <c r="C2558" s="40" t="n">
        <v>-46.682042</v>
      </c>
      <c r="D2558" s="40" t="n">
        <v>247</v>
      </c>
      <c r="E2558" s="41" t="n">
        <v>13449.586</v>
      </c>
    </row>
    <row r="2559">
      <c r="A2559" s="42">
        <f>_xlfn.XLOOKUP(17845,Trip[shape_id],Trip[shape_id],"Não encontrado")</f>
        <v/>
      </c>
      <c r="B2559" s="43" t="n">
        <v>-23.617592</v>
      </c>
      <c r="C2559" s="43" t="n">
        <v>-46.681354</v>
      </c>
      <c r="D2559" s="43" t="n">
        <v>248</v>
      </c>
      <c r="E2559" s="44" t="n">
        <v>13612.784</v>
      </c>
    </row>
    <row r="2560">
      <c r="A2560" s="39">
        <f>_xlfn.XLOOKUP(17845,Trip[shape_id],Trip[shape_id],"Não encontrado")</f>
        <v/>
      </c>
      <c r="B2560" s="40" t="n">
        <v>-23.61721</v>
      </c>
      <c r="C2560" s="40" t="n">
        <v>-46.680999</v>
      </c>
      <c r="D2560" s="40" t="n">
        <v>249</v>
      </c>
      <c r="E2560" s="41" t="n">
        <v>13638.587</v>
      </c>
    </row>
    <row r="2561">
      <c r="A2561" s="42">
        <f>_xlfn.XLOOKUP(17845,Trip[shape_id],Trip[shape_id],"Não encontrado")</f>
        <v/>
      </c>
      <c r="B2561" s="43" t="n">
        <v>-23.617016</v>
      </c>
      <c r="C2561" s="43" t="n">
        <v>-46.680859</v>
      </c>
      <c r="D2561" s="43" t="n">
        <v>250</v>
      </c>
      <c r="E2561" s="44" t="n">
        <v>13675.785</v>
      </c>
    </row>
    <row r="2562">
      <c r="A2562" s="39">
        <f>_xlfn.XLOOKUP(17845,Trip[shape_id],Trip[shape_id],"Não encontrado")</f>
        <v/>
      </c>
      <c r="B2562" s="40" t="n">
        <v>-23.616725</v>
      </c>
      <c r="C2562" s="40" t="n">
        <v>-46.680677</v>
      </c>
      <c r="D2562" s="40" t="n">
        <v>251</v>
      </c>
      <c r="E2562" s="41" t="n">
        <v>13713.961</v>
      </c>
    </row>
    <row r="2563">
      <c r="A2563" s="42">
        <f>_xlfn.XLOOKUP(17845,Trip[shape_id],Trip[shape_id],"Não encontrado")</f>
        <v/>
      </c>
      <c r="B2563" s="43" t="n">
        <v>-23.616441</v>
      </c>
      <c r="C2563" s="43" t="n">
        <v>-46.680465</v>
      </c>
      <c r="D2563" s="43" t="n">
        <v>252</v>
      </c>
      <c r="E2563" s="44" t="n">
        <v>13754.946</v>
      </c>
    </row>
    <row r="2564">
      <c r="A2564" s="39">
        <f>_xlfn.XLOOKUP(17845,Trip[shape_id],Trip[shape_id],"Não encontrado")</f>
        <v/>
      </c>
      <c r="B2564" s="40" t="n">
        <v>-23.616132</v>
      </c>
      <c r="C2564" s="40" t="n">
        <v>-46.680244</v>
      </c>
      <c r="D2564" s="40" t="n">
        <v>253</v>
      </c>
      <c r="E2564" s="41" t="n">
        <v>13789.977</v>
      </c>
    </row>
    <row r="2565">
      <c r="A2565" s="42">
        <f>_xlfn.XLOOKUP(17845,Trip[shape_id],Trip[shape_id],"Não encontrado")</f>
        <v/>
      </c>
      <c r="B2565" s="43" t="n">
        <v>-23.615879</v>
      </c>
      <c r="C2565" s="43" t="n">
        <v>-46.680038</v>
      </c>
      <c r="D2565" s="43" t="n">
        <v>254</v>
      </c>
      <c r="E2565" s="44" t="n">
        <v>13808.021</v>
      </c>
    </row>
    <row r="2566">
      <c r="A2566" s="39">
        <f>_xlfn.XLOOKUP(17845,Trip[shape_id],Trip[shape_id],"Não encontrado")</f>
        <v/>
      </c>
      <c r="B2566" s="40" t="n">
        <v>-23.615741</v>
      </c>
      <c r="C2566" s="40" t="n">
        <v>-46.679944</v>
      </c>
      <c r="D2566" s="40" t="n">
        <v>255</v>
      </c>
      <c r="E2566" s="41" t="n">
        <v>13845.175</v>
      </c>
    </row>
    <row r="2567">
      <c r="A2567" s="42">
        <f>_xlfn.XLOOKUP(17845,Trip[shape_id],Trip[shape_id],"Não encontrado")</f>
        <v/>
      </c>
      <c r="B2567" s="43" t="n">
        <v>-23.615451</v>
      </c>
      <c r="C2567" s="43" t="n">
        <v>-46.679761</v>
      </c>
      <c r="D2567" s="43" t="n">
        <v>256</v>
      </c>
      <c r="E2567" s="44" t="n">
        <v>13923.299</v>
      </c>
    </row>
    <row r="2568">
      <c r="A2568" s="39">
        <f>_xlfn.XLOOKUP(17845,Trip[shape_id],Trip[shape_id],"Não encontrado")</f>
        <v/>
      </c>
      <c r="B2568" s="40" t="n">
        <v>-23.614942</v>
      </c>
      <c r="C2568" s="40" t="n">
        <v>-46.679231</v>
      </c>
      <c r="D2568" s="40" t="n">
        <v>257</v>
      </c>
      <c r="E2568" s="41" t="n">
        <v>14016.261</v>
      </c>
    </row>
    <row r="2569">
      <c r="A2569" s="42">
        <f>_xlfn.XLOOKUP(17845,Trip[shape_id],Trip[shape_id],"Não encontrado")</f>
        <v/>
      </c>
      <c r="B2569" s="43" t="n">
        <v>-23.614275</v>
      </c>
      <c r="C2569" s="43" t="n">
        <v>-46.678678</v>
      </c>
      <c r="D2569" s="43" t="n">
        <v>258</v>
      </c>
      <c r="E2569" s="44" t="n">
        <v>14035.031</v>
      </c>
    </row>
    <row r="2570">
      <c r="A2570" s="39">
        <f>_xlfn.XLOOKUP(17845,Trip[shape_id],Trip[shape_id],"Não encontrado")</f>
        <v/>
      </c>
      <c r="B2570" s="40" t="n">
        <v>-23.614142</v>
      </c>
      <c r="C2570" s="40" t="n">
        <v>-46.678564</v>
      </c>
      <c r="D2570" s="40" t="n">
        <v>259</v>
      </c>
      <c r="E2570" s="41" t="n">
        <v>14066.219</v>
      </c>
    </row>
    <row r="2571">
      <c r="A2571" s="42">
        <f>_xlfn.XLOOKUP(17845,Trip[shape_id],Trip[shape_id],"Não encontrado")</f>
        <v/>
      </c>
      <c r="B2571" s="43" t="n">
        <v>-23.613934</v>
      </c>
      <c r="C2571" s="43" t="n">
        <v>-46.678358</v>
      </c>
      <c r="D2571" s="43" t="n">
        <v>260</v>
      </c>
      <c r="E2571" s="44" t="n">
        <v>14113.321</v>
      </c>
    </row>
    <row r="2572">
      <c r="A2572" s="39">
        <f>_xlfn.XLOOKUP(17845,Trip[shape_id],Trip[shape_id],"Não encontrado")</f>
        <v/>
      </c>
      <c r="B2572" s="40" t="n">
        <v>-23.613669</v>
      </c>
      <c r="C2572" s="40" t="n">
        <v>-46.677997</v>
      </c>
      <c r="D2572" s="40" t="n">
        <v>261</v>
      </c>
      <c r="E2572" s="41" t="n">
        <v>14198.989</v>
      </c>
    </row>
    <row r="2573">
      <c r="A2573" s="42">
        <f>_xlfn.XLOOKUP(17845,Trip[shape_id],Trip[shape_id],"Não encontrado")</f>
        <v/>
      </c>
      <c r="B2573" s="43" t="n">
        <v>-23.613329</v>
      </c>
      <c r="C2573" s="43" t="n">
        <v>-46.677243</v>
      </c>
      <c r="D2573" s="43" t="n">
        <v>262</v>
      </c>
      <c r="E2573" s="44" t="n">
        <v>14250.462</v>
      </c>
    </row>
    <row r="2574">
      <c r="A2574" s="39">
        <f>_xlfn.XLOOKUP(17845,Trip[shape_id],Trip[shape_id],"Não encontrado")</f>
        <v/>
      </c>
      <c r="B2574" s="40" t="n">
        <v>-23.613149</v>
      </c>
      <c r="C2574" s="40" t="n">
        <v>-46.676778</v>
      </c>
      <c r="D2574" s="40" t="n">
        <v>263</v>
      </c>
      <c r="E2574" s="41" t="n">
        <v>14293.805</v>
      </c>
    </row>
    <row r="2575">
      <c r="A2575" s="42">
        <f>_xlfn.XLOOKUP(17845,Trip[shape_id],Trip[shape_id],"Não encontrado")</f>
        <v/>
      </c>
      <c r="B2575" s="43" t="n">
        <v>-23.613054</v>
      </c>
      <c r="C2575" s="43" t="n">
        <v>-46.676366</v>
      </c>
      <c r="D2575" s="43" t="n">
        <v>264</v>
      </c>
      <c r="E2575" s="44" t="n">
        <v>14333.68</v>
      </c>
    </row>
    <row r="2576">
      <c r="A2576" s="39">
        <f>_xlfn.XLOOKUP(17845,Trip[shape_id],Trip[shape_id],"Não encontrado")</f>
        <v/>
      </c>
      <c r="B2576" s="40" t="n">
        <v>-23.612933</v>
      </c>
      <c r="C2576" s="40" t="n">
        <v>-46.675998</v>
      </c>
      <c r="D2576" s="40" t="n">
        <v>265</v>
      </c>
      <c r="E2576" s="41" t="n">
        <v>14386.443</v>
      </c>
    </row>
    <row r="2577">
      <c r="A2577" s="42">
        <f>_xlfn.XLOOKUP(17845,Trip[shape_id],Trip[shape_id],"Não encontrado")</f>
        <v/>
      </c>
      <c r="B2577" s="43" t="n">
        <v>-23.612781</v>
      </c>
      <c r="C2577" s="43" t="n">
        <v>-46.675508</v>
      </c>
      <c r="D2577" s="43" t="n">
        <v>266</v>
      </c>
      <c r="E2577" s="44" t="n">
        <v>14426.201</v>
      </c>
    </row>
    <row r="2578">
      <c r="A2578" s="39">
        <f>_xlfn.XLOOKUP(17845,Trip[shape_id],Trip[shape_id],"Não encontrado")</f>
        <v/>
      </c>
      <c r="B2578" s="40" t="n">
        <v>-23.612658</v>
      </c>
      <c r="C2578" s="40" t="n">
        <v>-46.675142</v>
      </c>
      <c r="D2578" s="40" t="n">
        <v>267</v>
      </c>
      <c r="E2578" s="41" t="n">
        <v>14478.314</v>
      </c>
    </row>
    <row r="2579">
      <c r="A2579" s="42">
        <f>_xlfn.XLOOKUP(17845,Trip[shape_id],Trip[shape_id],"Não encontrado")</f>
        <v/>
      </c>
      <c r="B2579" s="43" t="n">
        <v>-23.6125</v>
      </c>
      <c r="C2579" s="43" t="n">
        <v>-46.674661</v>
      </c>
      <c r="D2579" s="43" t="n">
        <v>268</v>
      </c>
      <c r="E2579" s="44" t="n">
        <v>14527.399</v>
      </c>
    </row>
    <row r="2580">
      <c r="A2580" s="39">
        <f>_xlfn.XLOOKUP(17845,Trip[shape_id],Trip[shape_id],"Não encontrado")</f>
        <v/>
      </c>
      <c r="B2580" s="40" t="n">
        <v>-23.612346</v>
      </c>
      <c r="C2580" s="40" t="n">
        <v>-46.67421</v>
      </c>
      <c r="D2580" s="40" t="n">
        <v>269</v>
      </c>
      <c r="E2580" s="41" t="n">
        <v>14623.829</v>
      </c>
    </row>
    <row r="2581">
      <c r="A2581" s="42">
        <f>_xlfn.XLOOKUP(17845,Trip[shape_id],Trip[shape_id],"Não encontrado")</f>
        <v/>
      </c>
      <c r="B2581" s="43" t="n">
        <v>-23.612051</v>
      </c>
      <c r="C2581" s="43" t="n">
        <v>-46.673321</v>
      </c>
      <c r="D2581" s="43" t="n">
        <v>270</v>
      </c>
      <c r="E2581" s="44" t="n">
        <v>14697.045</v>
      </c>
    </row>
    <row r="2582">
      <c r="A2582" s="39">
        <f>_xlfn.XLOOKUP(17845,Trip[shape_id],Trip[shape_id],"Não encontrado")</f>
        <v/>
      </c>
      <c r="B2582" s="40" t="n">
        <v>-23.611822</v>
      </c>
      <c r="C2582" s="40" t="n">
        <v>-46.672648</v>
      </c>
      <c r="D2582" s="40" t="n">
        <v>271</v>
      </c>
      <c r="E2582" s="41" t="n">
        <v>14759.978</v>
      </c>
    </row>
    <row r="2583">
      <c r="A2583" s="42">
        <f>_xlfn.XLOOKUP(17845,Trip[shape_id],Trip[shape_id],"Não encontrado")</f>
        <v/>
      </c>
      <c r="B2583" s="43" t="n">
        <v>-23.611629</v>
      </c>
      <c r="C2583" s="43" t="n">
        <v>-46.672068</v>
      </c>
      <c r="D2583" s="43" t="n">
        <v>272</v>
      </c>
      <c r="E2583" s="44" t="n">
        <v>14812.185</v>
      </c>
    </row>
    <row r="2584">
      <c r="A2584" s="39">
        <f>_xlfn.XLOOKUP(17845,Trip[shape_id],Trip[shape_id],"Não encontrado")</f>
        <v/>
      </c>
      <c r="B2584" s="40" t="n">
        <v>-23.611466</v>
      </c>
      <c r="C2584" s="40" t="n">
        <v>-46.671588</v>
      </c>
      <c r="D2584" s="40" t="n">
        <v>273</v>
      </c>
      <c r="E2584" s="41" t="n">
        <v>14864.817</v>
      </c>
    </row>
    <row r="2585">
      <c r="A2585" s="42">
        <f>_xlfn.XLOOKUP(17845,Trip[shape_id],Trip[shape_id],"Não encontrado")</f>
        <v/>
      </c>
      <c r="B2585" s="43" t="n">
        <v>-23.611244</v>
      </c>
      <c r="C2585" s="43" t="n">
        <v>-46.671132</v>
      </c>
      <c r="D2585" s="43" t="n">
        <v>274</v>
      </c>
      <c r="E2585" s="44" t="n">
        <v>14960.396</v>
      </c>
    </row>
    <row r="2586">
      <c r="A2586" s="39">
        <f>_xlfn.XLOOKUP(17845,Trip[shape_id],Trip[shape_id],"Não encontrado")</f>
        <v/>
      </c>
      <c r="B2586" s="40" t="n">
        <v>-23.610839</v>
      </c>
      <c r="C2586" s="40" t="n">
        <v>-46.670305</v>
      </c>
      <c r="D2586" s="40" t="n">
        <v>275</v>
      </c>
      <c r="E2586" s="41" t="n">
        <v>15027.155</v>
      </c>
    </row>
    <row r="2587">
      <c r="A2587" s="42">
        <f>_xlfn.XLOOKUP(17845,Trip[shape_id],Trip[shape_id],"Não encontrado")</f>
        <v/>
      </c>
      <c r="B2587" s="43" t="n">
        <v>-23.610555</v>
      </c>
      <c r="C2587" s="43" t="n">
        <v>-46.669728</v>
      </c>
      <c r="D2587" s="43" t="n">
        <v>276</v>
      </c>
      <c r="E2587" s="44" t="n">
        <v>15060.516</v>
      </c>
    </row>
    <row r="2588">
      <c r="A2588" s="39">
        <f>_xlfn.XLOOKUP(17845,Trip[shape_id],Trip[shape_id],"Não encontrado")</f>
        <v/>
      </c>
      <c r="B2588" s="40" t="n">
        <v>-23.610416</v>
      </c>
      <c r="C2588" s="40" t="n">
        <v>-46.669438</v>
      </c>
      <c r="D2588" s="40" t="n">
        <v>277</v>
      </c>
      <c r="E2588" s="41" t="n">
        <v>15124.028</v>
      </c>
    </row>
    <row r="2589">
      <c r="A2589" s="42">
        <f>_xlfn.XLOOKUP(17845,Trip[shape_id],Trip[shape_id],"Não encontrado")</f>
        <v/>
      </c>
      <c r="B2589" s="43" t="n">
        <v>-23.610051</v>
      </c>
      <c r="C2589" s="43" t="n">
        <v>-46.668958</v>
      </c>
      <c r="D2589" s="43" t="n">
        <v>278</v>
      </c>
      <c r="E2589" s="44" t="n">
        <v>15174.909</v>
      </c>
    </row>
    <row r="2590">
      <c r="A2590" s="39">
        <f>_xlfn.XLOOKUP(17845,Trip[shape_id],Trip[shape_id],"Não encontrado")</f>
        <v/>
      </c>
      <c r="B2590" s="40" t="n">
        <v>-23.609758</v>
      </c>
      <c r="C2590" s="40" t="n">
        <v>-46.668574</v>
      </c>
      <c r="D2590" s="40" t="n">
        <v>279</v>
      </c>
      <c r="E2590" s="41" t="n">
        <v>15174.909</v>
      </c>
    </row>
    <row r="2591">
      <c r="A2591" s="42">
        <f>_xlfn.XLOOKUP(17845,Trip[shape_id],Trip[shape_id],"Não encontrado")</f>
        <v/>
      </c>
      <c r="B2591" s="43" t="n">
        <v>-23.609537</v>
      </c>
      <c r="C2591" s="43" t="n">
        <v>-46.668283</v>
      </c>
      <c r="D2591" s="43" t="n">
        <v>280</v>
      </c>
      <c r="E2591" s="44" t="n">
        <v>15246.793</v>
      </c>
    </row>
    <row r="2592">
      <c r="A2592" s="39">
        <f>_xlfn.XLOOKUP(17845,Trip[shape_id],Trip[shape_id],"Não encontrado")</f>
        <v/>
      </c>
      <c r="B2592" s="40" t="n">
        <v>-23.609335</v>
      </c>
      <c r="C2592" s="40" t="n">
        <v>-46.66804</v>
      </c>
      <c r="D2592" s="40" t="n">
        <v>281</v>
      </c>
      <c r="E2592" s="41" t="n">
        <v>15269.834</v>
      </c>
    </row>
    <row r="2593">
      <c r="A2593" s="42">
        <f>_xlfn.XLOOKUP(17845,Trip[shape_id],Trip[shape_id],"Não encontrado")</f>
        <v/>
      </c>
      <c r="B2593" s="43" t="n">
        <v>-23.609193</v>
      </c>
      <c r="C2593" s="43" t="n">
        <v>-46.667875</v>
      </c>
      <c r="D2593" s="43" t="n">
        <v>282</v>
      </c>
      <c r="E2593" s="44" t="n">
        <v>15314.115</v>
      </c>
    </row>
    <row r="2594">
      <c r="A2594" s="39">
        <f>_xlfn.XLOOKUP(17845,Trip[shape_id],Trip[shape_id],"Não encontrado")</f>
        <v/>
      </c>
      <c r="B2594" s="40" t="n">
        <v>-23.608924</v>
      </c>
      <c r="C2594" s="40" t="n">
        <v>-46.667554</v>
      </c>
      <c r="D2594" s="40" t="n">
        <v>283</v>
      </c>
      <c r="E2594" s="41" t="n">
        <v>15352.471</v>
      </c>
    </row>
    <row r="2595">
      <c r="A2595" s="42">
        <f>_xlfn.XLOOKUP(17845,Trip[shape_id],Trip[shape_id],"Não encontrado")</f>
        <v/>
      </c>
      <c r="B2595" s="43" t="n">
        <v>-23.608693</v>
      </c>
      <c r="C2595" s="43" t="n">
        <v>-46.667274</v>
      </c>
      <c r="D2595" s="43" t="n">
        <v>284</v>
      </c>
      <c r="E2595" s="44" t="n">
        <v>15415.106</v>
      </c>
    </row>
    <row r="2596">
      <c r="A2596" s="39">
        <f>_xlfn.XLOOKUP(17845,Trip[shape_id],Trip[shape_id],"Não encontrado")</f>
        <v/>
      </c>
      <c r="B2596" s="40" t="n">
        <v>-23.608273</v>
      </c>
      <c r="C2596" s="40" t="n">
        <v>-46.666863</v>
      </c>
      <c r="D2596" s="40" t="n">
        <v>285</v>
      </c>
      <c r="E2596" s="41" t="n">
        <v>15543.665</v>
      </c>
    </row>
    <row r="2597">
      <c r="A2597" s="42">
        <f>_xlfn.XLOOKUP(17845,Trip[shape_id],Trip[shape_id],"Não encontrado")</f>
        <v/>
      </c>
      <c r="B2597" s="43" t="n">
        <v>-23.607408</v>
      </c>
      <c r="C2597" s="43" t="n">
        <v>-46.666023</v>
      </c>
      <c r="D2597" s="43" t="n">
        <v>286</v>
      </c>
      <c r="E2597" s="44" t="n">
        <v>15639.75</v>
      </c>
    </row>
    <row r="2598">
      <c r="A2598" s="39">
        <f>_xlfn.XLOOKUP(17845,Trip[shape_id],Trip[shape_id],"Não encontrado")</f>
        <v/>
      </c>
      <c r="B2598" s="40" t="n">
        <v>-23.60676</v>
      </c>
      <c r="C2598" s="40" t="n">
        <v>-46.665397</v>
      </c>
      <c r="D2598" s="40" t="n">
        <v>287</v>
      </c>
      <c r="E2598" s="41" t="n">
        <v>15699.635</v>
      </c>
    </row>
    <row r="2599">
      <c r="A2599" s="42">
        <f>_xlfn.XLOOKUP(17845,Trip[shape_id],Trip[shape_id],"Não encontrado")</f>
        <v/>
      </c>
      <c r="B2599" s="43" t="n">
        <v>-23.606361</v>
      </c>
      <c r="C2599" s="43" t="n">
        <v>-46.665001</v>
      </c>
      <c r="D2599" s="43" t="n">
        <v>288</v>
      </c>
      <c r="E2599" s="44" t="n">
        <v>15796.602</v>
      </c>
    </row>
    <row r="2600">
      <c r="A2600" s="39">
        <f>_xlfn.XLOOKUP(17845,Trip[shape_id],Trip[shape_id],"Não encontrado")</f>
        <v/>
      </c>
      <c r="B2600" s="40" t="n">
        <v>-23.605704</v>
      </c>
      <c r="C2600" s="40" t="n">
        <v>-46.664373</v>
      </c>
      <c r="D2600" s="40" t="n">
        <v>289</v>
      </c>
      <c r="E2600" s="41" t="n">
        <v>15882.3</v>
      </c>
    </row>
    <row r="2601">
      <c r="A2601" s="42">
        <f>_xlfn.XLOOKUP(17845,Trip[shape_id],Trip[shape_id],"Não encontrado")</f>
        <v/>
      </c>
      <c r="B2601" s="43" t="n">
        <v>-23.605113</v>
      </c>
      <c r="C2601" s="43" t="n">
        <v>-46.663831</v>
      </c>
      <c r="D2601" s="43" t="n">
        <v>290</v>
      </c>
      <c r="E2601" s="44" t="n">
        <v>15968.091</v>
      </c>
    </row>
    <row r="2602">
      <c r="A2602" s="39">
        <f>_xlfn.XLOOKUP(17845,Trip[shape_id],Trip[shape_id],"Não encontrado")</f>
        <v/>
      </c>
      <c r="B2602" s="40" t="n">
        <v>-23.604528</v>
      </c>
      <c r="C2602" s="40" t="n">
        <v>-46.66328</v>
      </c>
      <c r="D2602" s="40" t="n">
        <v>291</v>
      </c>
      <c r="E2602" s="41" t="n">
        <v>15974.566</v>
      </c>
    </row>
    <row r="2603">
      <c r="A2603" s="42">
        <f>_xlfn.XLOOKUP(17845,Trip[shape_id],Trip[shape_id],"Não encontrado")</f>
        <v/>
      </c>
      <c r="B2603" s="43" t="n">
        <v>-23.604492</v>
      </c>
      <c r="C2603" s="43" t="n">
        <v>-46.66323</v>
      </c>
      <c r="D2603" s="43" t="n">
        <v>292</v>
      </c>
      <c r="E2603" s="44" t="n">
        <v>15974.566</v>
      </c>
    </row>
    <row r="2604">
      <c r="A2604" s="39">
        <f>_xlfn.XLOOKUP(17845,Trip[shape_id],Trip[shape_id],"Não encontrado")</f>
        <v/>
      </c>
      <c r="B2604" s="40" t="n">
        <v>-23.604423</v>
      </c>
      <c r="C2604" s="40" t="n">
        <v>-46.663001</v>
      </c>
      <c r="D2604" s="40" t="n">
        <v>293</v>
      </c>
      <c r="E2604" s="41" t="n">
        <v>16048.302</v>
      </c>
    </row>
    <row r="2605">
      <c r="A2605" s="42">
        <f>_xlfn.XLOOKUP(17845,Trip[shape_id],Trip[shape_id],"Não encontrado")</f>
        <v/>
      </c>
      <c r="B2605" s="43" t="n">
        <v>-23.604073</v>
      </c>
      <c r="C2605" s="43" t="n">
        <v>-46.662705</v>
      </c>
      <c r="D2605" s="43" t="n">
        <v>294</v>
      </c>
      <c r="E2605" s="44" t="n">
        <v>16114.296</v>
      </c>
    </row>
    <row r="2606">
      <c r="A2606" s="39">
        <f>_xlfn.XLOOKUP(17845,Trip[shape_id],Trip[shape_id],"Não encontrado")</f>
        <v/>
      </c>
      <c r="B2606" s="40" t="n">
        <v>-23.603646</v>
      </c>
      <c r="C2606" s="40" t="n">
        <v>-46.662254</v>
      </c>
      <c r="D2606" s="40" t="n">
        <v>295</v>
      </c>
      <c r="E2606" s="41" t="n">
        <v>16114.296</v>
      </c>
    </row>
    <row r="2607">
      <c r="A2607" s="42">
        <f>_xlfn.XLOOKUP(17845,Trip[shape_id],Trip[shape_id],"Não encontrado")</f>
        <v/>
      </c>
      <c r="B2607" s="43" t="n">
        <v>-23.603331</v>
      </c>
      <c r="C2607" s="43" t="n">
        <v>-46.661941</v>
      </c>
      <c r="D2607" s="43" t="n">
        <v>296</v>
      </c>
      <c r="E2607" s="44" t="n">
        <v>16230.813</v>
      </c>
    </row>
    <row r="2608">
      <c r="A2608" s="39">
        <f>_xlfn.XLOOKUP(17845,Trip[shape_id],Trip[shape_id],"Não encontrado")</f>
        <v/>
      </c>
      <c r="B2608" s="40" t="n">
        <v>-23.602844</v>
      </c>
      <c r="C2608" s="40" t="n">
        <v>-46.661516</v>
      </c>
      <c r="D2608" s="40" t="n">
        <v>297</v>
      </c>
      <c r="E2608" s="41" t="n">
        <v>16276.104</v>
      </c>
    </row>
    <row r="2609">
      <c r="A2609" s="42">
        <f>_xlfn.XLOOKUP(17845,Trip[shape_id],Trip[shape_id],"Não encontrado")</f>
        <v/>
      </c>
      <c r="B2609" s="43" t="n">
        <v>-23.602541</v>
      </c>
      <c r="C2609" s="43" t="n">
        <v>-46.661218</v>
      </c>
      <c r="D2609" s="43" t="n">
        <v>298</v>
      </c>
      <c r="E2609" s="44" t="n">
        <v>16338.57</v>
      </c>
    </row>
    <row r="2610">
      <c r="A2610" s="39">
        <f>_xlfn.XLOOKUP(17845,Trip[shape_id],Trip[shape_id],"Não encontrado")</f>
        <v/>
      </c>
      <c r="B2610" s="40" t="n">
        <v>-23.602129</v>
      </c>
      <c r="C2610" s="40" t="n">
        <v>-46.6608</v>
      </c>
      <c r="D2610" s="40" t="n">
        <v>299</v>
      </c>
      <c r="E2610" s="41" t="n">
        <v>16412.275</v>
      </c>
    </row>
    <row r="2611">
      <c r="A2611" s="42">
        <f>_xlfn.XLOOKUP(17845,Trip[shape_id],Trip[shape_id],"Não encontrado")</f>
        <v/>
      </c>
      <c r="B2611" s="43" t="n">
        <v>-23.601682</v>
      </c>
      <c r="C2611" s="43" t="n">
        <v>-46.660265</v>
      </c>
      <c r="D2611" s="43" t="n">
        <v>300</v>
      </c>
      <c r="E2611" s="44" t="n">
        <v>16528.521</v>
      </c>
    </row>
    <row r="2612">
      <c r="A2612" s="39">
        <f>_xlfn.XLOOKUP(17845,Trip[shape_id],Trip[shape_id],"Não encontrado")</f>
        <v/>
      </c>
      <c r="B2612" s="40" t="n">
        <v>-23.600912</v>
      </c>
      <c r="C2612" s="40" t="n">
        <v>-46.659491</v>
      </c>
      <c r="D2612" s="40" t="n">
        <v>301</v>
      </c>
      <c r="E2612" s="41" t="n">
        <v>16660.279</v>
      </c>
    </row>
    <row r="2613">
      <c r="A2613" s="42">
        <f>_xlfn.XLOOKUP(17845,Trip[shape_id],Trip[shape_id],"Não encontrado")</f>
        <v/>
      </c>
      <c r="B2613" s="43" t="n">
        <v>-23.600039</v>
      </c>
      <c r="C2613" s="43" t="n">
        <v>-46.658614</v>
      </c>
      <c r="D2613" s="43" t="n">
        <v>302</v>
      </c>
      <c r="E2613" s="44" t="n">
        <v>16802.223</v>
      </c>
    </row>
    <row r="2614">
      <c r="A2614" s="39">
        <f>_xlfn.XLOOKUP(17845,Trip[shape_id],Trip[shape_id],"Não encontrado")</f>
        <v/>
      </c>
      <c r="B2614" s="40" t="n">
        <v>-23.599097</v>
      </c>
      <c r="C2614" s="40" t="n">
        <v>-46.657671</v>
      </c>
      <c r="D2614" s="40" t="n">
        <v>303</v>
      </c>
      <c r="E2614" s="41" t="n">
        <v>16903.861</v>
      </c>
    </row>
    <row r="2615">
      <c r="A2615" s="42">
        <f>_xlfn.XLOOKUP(17845,Trip[shape_id],Trip[shape_id],"Não encontrado")</f>
        <v/>
      </c>
      <c r="B2615" s="43" t="n">
        <v>-23.598523</v>
      </c>
      <c r="C2615" s="43" t="n">
        <v>-46.656894</v>
      </c>
      <c r="D2615" s="43" t="n">
        <v>304</v>
      </c>
      <c r="E2615" s="44" t="n">
        <v>16975.215</v>
      </c>
    </row>
    <row r="2616">
      <c r="A2616" s="39">
        <f>_xlfn.XLOOKUP(17845,Trip[shape_id],Trip[shape_id],"Não encontrado")</f>
        <v/>
      </c>
      <c r="B2616" s="40" t="n">
        <v>-23.598205</v>
      </c>
      <c r="C2616" s="40" t="n">
        <v>-46.656286</v>
      </c>
      <c r="D2616" s="40" t="n">
        <v>305</v>
      </c>
      <c r="E2616" s="41" t="n">
        <v>17028.307</v>
      </c>
    </row>
    <row r="2617">
      <c r="A2617" s="42">
        <f>_xlfn.XLOOKUP(17845,Trip[shape_id],Trip[shape_id],"Não encontrado")</f>
        <v/>
      </c>
      <c r="B2617" s="43" t="n">
        <v>-23.597992</v>
      </c>
      <c r="C2617" s="43" t="n">
        <v>-46.65582</v>
      </c>
      <c r="D2617" s="43" t="n">
        <v>306</v>
      </c>
      <c r="E2617" s="44" t="n">
        <v>17075.697</v>
      </c>
    </row>
    <row r="2618">
      <c r="A2618" s="39">
        <f>_xlfn.XLOOKUP(17845,Trip[shape_id],Trip[shape_id],"Não encontrado")</f>
        <v/>
      </c>
      <c r="B2618" s="40" t="n">
        <v>-23.597873</v>
      </c>
      <c r="C2618" s="40" t="n">
        <v>-46.655374</v>
      </c>
      <c r="D2618" s="40" t="n">
        <v>307</v>
      </c>
      <c r="E2618" s="41" t="n">
        <v>17116.578</v>
      </c>
    </row>
    <row r="2619">
      <c r="A2619" s="42">
        <f>_xlfn.XLOOKUP(17845,Trip[shape_id],Trip[shape_id],"Não encontrado")</f>
        <v/>
      </c>
      <c r="B2619" s="43" t="n">
        <v>-23.597762</v>
      </c>
      <c r="C2619" s="43" t="n">
        <v>-46.654992</v>
      </c>
      <c r="D2619" s="43" t="n">
        <v>308</v>
      </c>
      <c r="E2619" s="44" t="n">
        <v>17170.207</v>
      </c>
    </row>
    <row r="2620">
      <c r="A2620" s="39">
        <f>_xlfn.XLOOKUP(17845,Trip[shape_id],Trip[shape_id],"Não encontrado")</f>
        <v/>
      </c>
      <c r="B2620" s="40" t="n">
        <v>-23.597619</v>
      </c>
      <c r="C2620" s="40" t="n">
        <v>-46.65449</v>
      </c>
      <c r="D2620" s="40" t="n">
        <v>309</v>
      </c>
      <c r="E2620" s="41" t="n">
        <v>17261.227</v>
      </c>
    </row>
    <row r="2621">
      <c r="A2621" s="42">
        <f>_xlfn.XLOOKUP(17845,Trip[shape_id],Trip[shape_id],"Não encontrado")</f>
        <v/>
      </c>
      <c r="B2621" s="43" t="n">
        <v>-23.597704</v>
      </c>
      <c r="C2621" s="43" t="n">
        <v>-46.653603</v>
      </c>
      <c r="D2621" s="43" t="n">
        <v>310</v>
      </c>
      <c r="E2621" s="44" t="n">
        <v>17395.24</v>
      </c>
    </row>
    <row r="2622">
      <c r="A2622" s="39">
        <f>_xlfn.XLOOKUP(17845,Trip[shape_id],Trip[shape_id],"Não encontrado")</f>
        <v/>
      </c>
      <c r="B2622" s="40" t="n">
        <v>-23.597829</v>
      </c>
      <c r="C2622" s="40" t="n">
        <v>-46.652297</v>
      </c>
      <c r="D2622" s="40" t="n">
        <v>311</v>
      </c>
      <c r="E2622" s="41" t="n">
        <v>17395.24</v>
      </c>
    </row>
    <row r="2623">
      <c r="A2623" s="42">
        <f>_xlfn.XLOOKUP(17845,Trip[shape_id],Trip[shape_id],"Não encontrado")</f>
        <v/>
      </c>
      <c r="B2623" s="43" t="n">
        <v>-23.597919</v>
      </c>
      <c r="C2623" s="43" t="n">
        <v>-46.651367</v>
      </c>
      <c r="D2623" s="43" t="n">
        <v>312</v>
      </c>
      <c r="E2623" s="44" t="n">
        <v>17862.396</v>
      </c>
    </row>
    <row r="2624">
      <c r="A2624" s="39">
        <f>_xlfn.XLOOKUP(17845,Trip[shape_id],Trip[shape_id],"Não encontrado")</f>
        <v/>
      </c>
      <c r="B2624" s="40" t="n">
        <v>-23.598212</v>
      </c>
      <c r="C2624" s="40" t="n">
        <v>-46.647739</v>
      </c>
      <c r="D2624" s="40" t="n">
        <v>313</v>
      </c>
      <c r="E2624" s="41" t="n">
        <v>18011.373</v>
      </c>
    </row>
    <row r="2625">
      <c r="A2625" s="42">
        <f>_xlfn.XLOOKUP(17845,Trip[shape_id],Trip[shape_id],"Não encontrado")</f>
        <v/>
      </c>
      <c r="B2625" s="43" t="n">
        <v>-23.59833</v>
      </c>
      <c r="C2625" s="43" t="n">
        <v>-46.646285</v>
      </c>
      <c r="D2625" s="43" t="n">
        <v>314</v>
      </c>
      <c r="E2625" s="44" t="n">
        <v>18086.758</v>
      </c>
    </row>
    <row r="2626">
      <c r="A2626" s="39">
        <f>_xlfn.XLOOKUP(17845,Trip[shape_id],Trip[shape_id],"Não encontrado")</f>
        <v/>
      </c>
      <c r="B2626" s="40" t="n">
        <v>-23.598387</v>
      </c>
      <c r="C2626" s="40" t="n">
        <v>-46.645549</v>
      </c>
      <c r="D2626" s="40" t="n">
        <v>315</v>
      </c>
      <c r="E2626" s="41" t="n">
        <v>18086.758</v>
      </c>
    </row>
    <row r="2627">
      <c r="A2627" s="42">
        <f>_xlfn.XLOOKUP(17845,Trip[shape_id],Trip[shape_id],"Não encontrado")</f>
        <v/>
      </c>
      <c r="B2627" s="43" t="n">
        <v>-23.598491</v>
      </c>
      <c r="C2627" s="43" t="n">
        <v>-46.645308</v>
      </c>
      <c r="D2627" s="43" t="n">
        <v>316</v>
      </c>
      <c r="E2627" s="44" t="n">
        <v>18310.158</v>
      </c>
    </row>
    <row r="2628">
      <c r="A2628" s="39">
        <f>_xlfn.XLOOKUP(17845,Trip[shape_id],Trip[shape_id],"Não encontrado")</f>
        <v/>
      </c>
      <c r="B2628" s="40" t="n">
        <v>-23.598601</v>
      </c>
      <c r="C2628" s="40" t="n">
        <v>-46.643389</v>
      </c>
      <c r="D2628" s="40" t="n">
        <v>317</v>
      </c>
      <c r="E2628" s="41" t="n">
        <v>18466.539</v>
      </c>
    </row>
    <row r="2629">
      <c r="A2629" s="42">
        <f>_xlfn.XLOOKUP(17845,Trip[shape_id],Trip[shape_id],"Não encontrado")</f>
        <v/>
      </c>
      <c r="B2629" s="43" t="n">
        <v>-23.598676</v>
      </c>
      <c r="C2629" s="43" t="n">
        <v>-46.641859</v>
      </c>
      <c r="D2629" s="43" t="n">
        <v>318</v>
      </c>
      <c r="E2629" s="44" t="n">
        <v>18588.51</v>
      </c>
    </row>
    <row r="2630">
      <c r="A2630" s="39">
        <f>_xlfn.XLOOKUP(17845,Trip[shape_id],Trip[shape_id],"Não encontrado")</f>
        <v/>
      </c>
      <c r="B2630" s="40" t="n">
        <v>-23.598668</v>
      </c>
      <c r="C2630" s="40" t="n">
        <v>-46.640664</v>
      </c>
      <c r="D2630" s="40" t="n">
        <v>319</v>
      </c>
      <c r="E2630" s="41" t="n">
        <v>18759.367</v>
      </c>
    </row>
    <row r="2631">
      <c r="A2631" s="42">
        <f>_xlfn.XLOOKUP(17845,Trip[shape_id],Trip[shape_id],"Não encontrado")</f>
        <v/>
      </c>
      <c r="B2631" s="43" t="n">
        <v>-23.598669</v>
      </c>
      <c r="C2631" s="43" t="n">
        <v>-46.63899</v>
      </c>
      <c r="D2631" s="43" t="n">
        <v>320</v>
      </c>
      <c r="E2631" s="44" t="n">
        <v>18867.766</v>
      </c>
    </row>
    <row r="2632">
      <c r="A2632" s="39">
        <f>_xlfn.XLOOKUP(17845,Trip[shape_id],Trip[shape_id],"Não encontrado")</f>
        <v/>
      </c>
      <c r="B2632" s="40" t="n">
        <v>-23.598659</v>
      </c>
      <c r="C2632" s="40" t="n">
        <v>-46.637928</v>
      </c>
      <c r="D2632" s="40" t="n">
        <v>321</v>
      </c>
      <c r="E2632" s="41" t="n">
        <v>18927.248</v>
      </c>
    </row>
    <row r="2633">
      <c r="A2633" s="42">
        <f>_xlfn.XLOOKUP(17845,Trip[shape_id],Trip[shape_id],"Não encontrado")</f>
        <v/>
      </c>
      <c r="B2633" s="43" t="n">
        <v>-23.598446</v>
      </c>
      <c r="C2633" s="43" t="n">
        <v>-46.637393</v>
      </c>
      <c r="D2633" s="43" t="n">
        <v>322</v>
      </c>
      <c r="E2633" s="44" t="n">
        <v>18969.926</v>
      </c>
    </row>
    <row r="2634">
      <c r="A2634" s="39">
        <f>_xlfn.XLOOKUP(17845,Trip[shape_id],Trip[shape_id],"Não encontrado")</f>
        <v/>
      </c>
      <c r="B2634" s="40" t="n">
        <v>-23.598456</v>
      </c>
      <c r="C2634" s="40" t="n">
        <v>-46.636975</v>
      </c>
      <c r="D2634" s="40" t="n">
        <v>323</v>
      </c>
      <c r="E2634" s="41" t="n">
        <v>19005.445</v>
      </c>
    </row>
    <row r="2635">
      <c r="A2635" s="42">
        <f>_xlfn.XLOOKUP(17845,Trip[shape_id],Trip[shape_id],"Não encontrado")</f>
        <v/>
      </c>
      <c r="B2635" s="43" t="n">
        <v>-23.598453</v>
      </c>
      <c r="C2635" s="43" t="n">
        <v>-46.636627</v>
      </c>
      <c r="D2635" s="43" t="n">
        <v>324</v>
      </c>
      <c r="E2635" s="44" t="n">
        <v>19005.445</v>
      </c>
    </row>
    <row r="2636">
      <c r="A2636" s="39">
        <f>_xlfn.XLOOKUP(17845,Trip[shape_id],Trip[shape_id],"Não encontrado")</f>
        <v/>
      </c>
      <c r="B2636" s="40" t="n">
        <v>-23.598399</v>
      </c>
      <c r="C2636" s="40" t="n">
        <v>-46.636353</v>
      </c>
      <c r="D2636" s="40" t="n">
        <v>325</v>
      </c>
      <c r="E2636" s="41" t="n">
        <v>19068.01</v>
      </c>
    </row>
    <row r="2637">
      <c r="A2637" s="42">
        <f>_xlfn.XLOOKUP(17845,Trip[shape_id],Trip[shape_id],"Não encontrado")</f>
        <v/>
      </c>
      <c r="B2637" s="43" t="n">
        <v>-23.598333</v>
      </c>
      <c r="C2637" s="43" t="n">
        <v>-46.636028</v>
      </c>
      <c r="D2637" s="43" t="n">
        <v>326</v>
      </c>
      <c r="E2637" s="44" t="n">
        <v>19092.768</v>
      </c>
    </row>
    <row r="2638">
      <c r="A2638" s="39">
        <f>_xlfn.XLOOKUP(17845,Trip[shape_id],Trip[shape_id],"Não encontrado")</f>
        <v/>
      </c>
      <c r="B2638" s="40" t="n">
        <v>-23.598262</v>
      </c>
      <c r="C2638" s="40" t="n">
        <v>-46.635798</v>
      </c>
      <c r="D2638" s="40" t="n">
        <v>327</v>
      </c>
      <c r="E2638" s="41" t="n">
        <v>19117.42</v>
      </c>
    </row>
    <row r="2639">
      <c r="A2639" s="42">
        <f>_xlfn.XLOOKUP(17845,Trip[shape_id],Trip[shape_id],"Não encontrado")</f>
        <v/>
      </c>
      <c r="B2639" s="43" t="n">
        <v>-23.598197</v>
      </c>
      <c r="C2639" s="43" t="n">
        <v>-46.635567</v>
      </c>
      <c r="D2639" s="43" t="n">
        <v>328</v>
      </c>
      <c r="E2639" s="44" t="n">
        <v>19155.959</v>
      </c>
    </row>
    <row r="2640">
      <c r="A2640" s="39">
        <f>_xlfn.XLOOKUP(17845,Trip[shape_id],Trip[shape_id],"Não encontrado")</f>
        <v/>
      </c>
      <c r="B2640" s="40" t="n">
        <v>-23.598095</v>
      </c>
      <c r="C2640" s="40" t="n">
        <v>-46.635206</v>
      </c>
      <c r="D2640" s="40" t="n">
        <v>329</v>
      </c>
      <c r="E2640" s="41" t="n">
        <v>19217.617</v>
      </c>
    </row>
    <row r="2641">
      <c r="A2641" s="42">
        <f>_xlfn.XLOOKUP(17845,Trip[shape_id],Trip[shape_id],"Não encontrado")</f>
        <v/>
      </c>
      <c r="B2641" s="43" t="n">
        <v>-23.597851</v>
      </c>
      <c r="C2641" s="43" t="n">
        <v>-46.634663</v>
      </c>
      <c r="D2641" s="43" t="n">
        <v>330</v>
      </c>
      <c r="E2641" s="44" t="n">
        <v>19255.91</v>
      </c>
    </row>
    <row r="2642">
      <c r="A2642" s="39">
        <f>_xlfn.XLOOKUP(17845,Trip[shape_id],Trip[shape_id],"Não encontrado")</f>
        <v/>
      </c>
      <c r="B2642" s="40" t="n">
        <v>-23.597669</v>
      </c>
      <c r="C2642" s="40" t="n">
        <v>-46.634344</v>
      </c>
      <c r="D2642" s="40" t="n">
        <v>331</v>
      </c>
      <c r="E2642" s="41" t="n">
        <v>19310.188</v>
      </c>
    </row>
    <row r="2643">
      <c r="A2643" s="42">
        <f>_xlfn.XLOOKUP(17845,Trip[shape_id],Trip[shape_id],"Não encontrado")</f>
        <v/>
      </c>
      <c r="B2643" s="43" t="n">
        <v>-23.597372</v>
      </c>
      <c r="C2643" s="43" t="n">
        <v>-46.633921</v>
      </c>
      <c r="D2643" s="43" t="n">
        <v>332</v>
      </c>
      <c r="E2643" s="44" t="n">
        <v>19410.875</v>
      </c>
    </row>
    <row r="2644">
      <c r="A2644" s="39">
        <f>_xlfn.XLOOKUP(17845,Trip[shape_id],Trip[shape_id],"Não encontrado")</f>
        <v/>
      </c>
      <c r="B2644" s="40" t="n">
        <v>-23.5966</v>
      </c>
      <c r="C2644" s="40" t="n">
        <v>-46.6334</v>
      </c>
      <c r="D2644" s="40" t="n">
        <v>333</v>
      </c>
      <c r="E2644" s="41" t="n">
        <v>19461.664</v>
      </c>
    </row>
    <row r="2645">
      <c r="A2645" s="42">
        <f>_xlfn.XLOOKUP(17845,Trip[shape_id],Trip[shape_id],"Não encontrado")</f>
        <v/>
      </c>
      <c r="B2645" s="43" t="n">
        <v>-23.596209</v>
      </c>
      <c r="C2645" s="43" t="n">
        <v>-46.63314</v>
      </c>
      <c r="D2645" s="43" t="n">
        <v>334</v>
      </c>
      <c r="E2645" s="44" t="n">
        <v>19522.457</v>
      </c>
    </row>
    <row r="2646">
      <c r="A2646" s="39">
        <f>_xlfn.XLOOKUP(17845,Trip[shape_id],Trip[shape_id],"Não encontrado")</f>
        <v/>
      </c>
      <c r="B2646" s="40" t="n">
        <v>-23.595742</v>
      </c>
      <c r="C2646" s="40" t="n">
        <v>-46.632827</v>
      </c>
      <c r="D2646" s="40" t="n">
        <v>335</v>
      </c>
      <c r="E2646" s="41" t="n">
        <v>19550.01</v>
      </c>
    </row>
    <row r="2647">
      <c r="A2647" s="42">
        <f>_xlfn.XLOOKUP(17845,Trip[shape_id],Trip[shape_id],"Não encontrado")</f>
        <v/>
      </c>
      <c r="B2647" s="43" t="n">
        <v>-23.595531</v>
      </c>
      <c r="C2647" s="43" t="n">
        <v>-46.632684</v>
      </c>
      <c r="D2647" s="43" t="n">
        <v>336</v>
      </c>
      <c r="E2647" s="44" t="n">
        <v>19628.539</v>
      </c>
    </row>
    <row r="2648">
      <c r="A2648" s="39">
        <f>_xlfn.XLOOKUP(17845,Trip[shape_id],Trip[shape_id],"Não encontrado")</f>
        <v/>
      </c>
      <c r="B2648" s="40" t="n">
        <v>-23.594927</v>
      </c>
      <c r="C2648" s="40" t="n">
        <v>-46.632281</v>
      </c>
      <c r="D2648" s="40" t="n">
        <v>337</v>
      </c>
      <c r="E2648" s="41" t="n">
        <v>19693.301</v>
      </c>
    </row>
    <row r="2649">
      <c r="A2649" s="42">
        <f>_xlfn.XLOOKUP(17845,Trip[shape_id],Trip[shape_id],"Não encontrado")</f>
        <v/>
      </c>
      <c r="B2649" s="43" t="n">
        <v>-23.594427</v>
      </c>
      <c r="C2649" s="43" t="n">
        <v>-46.631952</v>
      </c>
      <c r="D2649" s="43" t="n">
        <v>338</v>
      </c>
      <c r="E2649" s="44" t="n">
        <v>19739.383</v>
      </c>
    </row>
    <row r="2650">
      <c r="A2650" s="39">
        <f>_xlfn.XLOOKUP(17845,Trip[shape_id],Trip[shape_id],"Não encontrado")</f>
        <v/>
      </c>
      <c r="B2650" s="40" t="n">
        <v>-23.594074</v>
      </c>
      <c r="C2650" s="40" t="n">
        <v>-46.631713</v>
      </c>
      <c r="D2650" s="40" t="n">
        <v>339</v>
      </c>
      <c r="E2650" s="41" t="n">
        <v>19800.932</v>
      </c>
    </row>
    <row r="2651">
      <c r="A2651" s="42">
        <f>_xlfn.XLOOKUP(17845,Trip[shape_id],Trip[shape_id],"Não encontrado")</f>
        <v/>
      </c>
      <c r="B2651" s="43" t="n">
        <v>-23.593599</v>
      </c>
      <c r="C2651" s="43" t="n">
        <v>-46.6314</v>
      </c>
      <c r="D2651" s="43" t="n">
        <v>340</v>
      </c>
      <c r="E2651" s="44" t="n">
        <v>19857.434</v>
      </c>
    </row>
    <row r="2652">
      <c r="A2652" s="39">
        <f>_xlfn.XLOOKUP(17845,Trip[shape_id],Trip[shape_id],"Não encontrado")</f>
        <v/>
      </c>
      <c r="B2652" s="40" t="n">
        <v>-23.59316</v>
      </c>
      <c r="C2652" s="40" t="n">
        <v>-46.631118</v>
      </c>
      <c r="D2652" s="40" t="n">
        <v>341</v>
      </c>
      <c r="E2652" s="41" t="n">
        <v>19933.938</v>
      </c>
    </row>
    <row r="2653">
      <c r="A2653" s="42">
        <f>_xlfn.XLOOKUP(17845,Trip[shape_id],Trip[shape_id],"Não encontrado")</f>
        <v/>
      </c>
      <c r="B2653" s="43" t="n">
        <v>-23.592569</v>
      </c>
      <c r="C2653" s="43" t="n">
        <v>-46.63073</v>
      </c>
      <c r="D2653" s="43" t="n">
        <v>342</v>
      </c>
      <c r="E2653" s="44" t="n">
        <v>19933.938</v>
      </c>
    </row>
    <row r="2654">
      <c r="A2654" s="39">
        <f>_xlfn.XLOOKUP(17846,Trip[shape_id],Trip[shape_id],"Não encontrado")</f>
        <v/>
      </c>
      <c r="B2654" s="40" t="n">
        <v>-23.52559</v>
      </c>
      <c r="C2654" s="40" t="n">
        <v>-46.666964</v>
      </c>
      <c r="D2654" s="40" t="n">
        <v>1</v>
      </c>
      <c r="E2654" s="41" t="n">
        <v>46.640739</v>
      </c>
    </row>
    <row r="2655">
      <c r="A2655" s="42">
        <f>_xlfn.XLOOKUP(17846,Trip[shape_id],Trip[shape_id],"Não encontrado")</f>
        <v/>
      </c>
      <c r="B2655" s="43" t="n">
        <v>-23.525223</v>
      </c>
      <c r="C2655" s="43" t="n">
        <v>-46.667188</v>
      </c>
      <c r="D2655" s="43" t="n">
        <v>2</v>
      </c>
      <c r="E2655" s="44" t="n">
        <v>187.9736</v>
      </c>
    </row>
    <row r="2656">
      <c r="A2656" s="39">
        <f>_xlfn.XLOOKUP(17846,Trip[shape_id],Trip[shape_id],"Não encontrado")</f>
        <v/>
      </c>
      <c r="B2656" s="40" t="n">
        <v>-23.525155</v>
      </c>
      <c r="C2656" s="40" t="n">
        <v>-46.66857</v>
      </c>
      <c r="D2656" s="40" t="n">
        <v>3</v>
      </c>
      <c r="E2656" s="41" t="n">
        <v>377.05948</v>
      </c>
    </row>
    <row r="2657">
      <c r="A2657" s="42">
        <f>_xlfn.XLOOKUP(17846,Trip[shape_id],Trip[shape_id],"Não encontrado")</f>
        <v/>
      </c>
      <c r="B2657" s="43" t="n">
        <v>-23.525065</v>
      </c>
      <c r="C2657" s="43" t="n">
        <v>-46.670419</v>
      </c>
      <c r="D2657" s="43" t="n">
        <v>4</v>
      </c>
      <c r="E2657" s="44" t="n">
        <v>416.73856</v>
      </c>
    </row>
    <row r="2658">
      <c r="A2658" s="39">
        <f>_xlfn.XLOOKUP(17846,Trip[shape_id],Trip[shape_id],"Não encontrado")</f>
        <v/>
      </c>
      <c r="B2658" s="40" t="n">
        <v>-23.525046</v>
      </c>
      <c r="C2658" s="40" t="n">
        <v>-46.670807</v>
      </c>
      <c r="D2658" s="40" t="n">
        <v>5</v>
      </c>
      <c r="E2658" s="41" t="n">
        <v>513.1211499999999</v>
      </c>
    </row>
    <row r="2659">
      <c r="A2659" s="42">
        <f>_xlfn.XLOOKUP(17846,Trip[shape_id],Trip[shape_id],"Não encontrado")</f>
        <v/>
      </c>
      <c r="B2659" s="43" t="n">
        <v>-23.524979</v>
      </c>
      <c r="C2659" s="43" t="n">
        <v>-46.671748</v>
      </c>
      <c r="D2659" s="43" t="n">
        <v>6</v>
      </c>
      <c r="E2659" s="44" t="n">
        <v>576.62384</v>
      </c>
    </row>
    <row r="2660">
      <c r="A2660" s="39">
        <f>_xlfn.XLOOKUP(17846,Trip[shape_id],Trip[shape_id],"Não encontrado")</f>
        <v/>
      </c>
      <c r="B2660" s="40" t="n">
        <v>-23.524935</v>
      </c>
      <c r="C2660" s="40" t="n">
        <v>-46.672368</v>
      </c>
      <c r="D2660" s="40" t="n">
        <v>7</v>
      </c>
      <c r="E2660" s="41" t="n">
        <v>657.15283</v>
      </c>
    </row>
    <row r="2661">
      <c r="A2661" s="42">
        <f>_xlfn.XLOOKUP(17846,Trip[shape_id],Trip[shape_id],"Não encontrado")</f>
        <v/>
      </c>
      <c r="B2661" s="43" t="n">
        <v>-23.524866</v>
      </c>
      <c r="C2661" s="43" t="n">
        <v>-46.673153</v>
      </c>
      <c r="D2661" s="43" t="n">
        <v>8</v>
      </c>
      <c r="E2661" s="44" t="n">
        <v>719.39764</v>
      </c>
    </row>
    <row r="2662">
      <c r="A2662" s="39">
        <f>_xlfn.XLOOKUP(17846,Trip[shape_id],Trip[shape_id],"Não encontrado")</f>
        <v/>
      </c>
      <c r="B2662" s="40" t="n">
        <v>-23.524815</v>
      </c>
      <c r="C2662" s="40" t="n">
        <v>-46.67376</v>
      </c>
      <c r="D2662" s="40" t="n">
        <v>9</v>
      </c>
      <c r="E2662" s="41" t="n">
        <v>836.0665299999999</v>
      </c>
    </row>
    <row r="2663">
      <c r="A2663" s="42">
        <f>_xlfn.XLOOKUP(17846,Trip[shape_id],Trip[shape_id],"Não encontrado")</f>
        <v/>
      </c>
      <c r="B2663" s="43" t="n">
        <v>-23.524762</v>
      </c>
      <c r="C2663" s="43" t="n">
        <v>-46.674901</v>
      </c>
      <c r="D2663" s="43" t="n">
        <v>10</v>
      </c>
      <c r="E2663" s="44" t="n">
        <v>933.98053</v>
      </c>
    </row>
    <row r="2664">
      <c r="A2664" s="39">
        <f>_xlfn.XLOOKUP(17846,Trip[shape_id],Trip[shape_id],"Não encontrado")</f>
        <v/>
      </c>
      <c r="B2664" s="40" t="n">
        <v>-23.524726</v>
      </c>
      <c r="C2664" s="40" t="n">
        <v>-46.675859</v>
      </c>
      <c r="D2664" s="40" t="n">
        <v>11</v>
      </c>
      <c r="E2664" s="41" t="n">
        <v>977.53009</v>
      </c>
    </row>
    <row r="2665">
      <c r="A2665" s="42">
        <f>_xlfn.XLOOKUP(17846,Trip[shape_id],Trip[shape_id],"Não encontrado")</f>
        <v/>
      </c>
      <c r="B2665" s="43" t="n">
        <v>-23.524708</v>
      </c>
      <c r="C2665" s="43" t="n">
        <v>-46.676285</v>
      </c>
      <c r="D2665" s="43" t="n">
        <v>12</v>
      </c>
      <c r="E2665" s="44" t="n">
        <v>1108.4733</v>
      </c>
    </row>
    <row r="2666">
      <c r="A2666" s="39">
        <f>_xlfn.XLOOKUP(17846,Trip[shape_id],Trip[shape_id],"Não encontrado")</f>
        <v/>
      </c>
      <c r="B2666" s="40" t="n">
        <v>-23.524559</v>
      </c>
      <c r="C2666" s="40" t="n">
        <v>-46.677557</v>
      </c>
      <c r="D2666" s="40" t="n">
        <v>13</v>
      </c>
      <c r="E2666" s="41" t="n">
        <v>1169.4607</v>
      </c>
    </row>
    <row r="2667">
      <c r="A2667" s="42">
        <f>_xlfn.XLOOKUP(17846,Trip[shape_id],Trip[shape_id],"Não encontrado")</f>
        <v/>
      </c>
      <c r="B2667" s="43" t="n">
        <v>-23.524407</v>
      </c>
      <c r="C2667" s="43" t="n">
        <v>-46.678131</v>
      </c>
      <c r="D2667" s="43" t="n">
        <v>14</v>
      </c>
      <c r="E2667" s="44" t="n">
        <v>1229.6326</v>
      </c>
    </row>
    <row r="2668">
      <c r="A2668" s="39">
        <f>_xlfn.XLOOKUP(17846,Trip[shape_id],Trip[shape_id],"Não encontrado")</f>
        <v/>
      </c>
      <c r="B2668" s="40" t="n">
        <v>-23.524256</v>
      </c>
      <c r="C2668" s="40" t="n">
        <v>-46.678697</v>
      </c>
      <c r="D2668" s="40" t="n">
        <v>15</v>
      </c>
      <c r="E2668" s="41" t="n">
        <v>1326.4952</v>
      </c>
    </row>
    <row r="2669">
      <c r="A2669" s="42">
        <f>_xlfn.XLOOKUP(17846,Trip[shape_id],Trip[shape_id],"Não encontrado")</f>
        <v/>
      </c>
      <c r="B2669" s="43" t="n">
        <v>-23.523939</v>
      </c>
      <c r="C2669" s="43" t="n">
        <v>-46.679581</v>
      </c>
      <c r="D2669" s="43" t="n">
        <v>16</v>
      </c>
      <c r="E2669" s="44" t="n">
        <v>1342.7847</v>
      </c>
    </row>
    <row r="2670">
      <c r="A2670" s="39">
        <f>_xlfn.XLOOKUP(17846,Trip[shape_id],Trip[shape_id],"Não encontrado")</f>
        <v/>
      </c>
      <c r="B2670" s="40" t="n">
        <v>-23.523872</v>
      </c>
      <c r="C2670" s="40" t="n">
        <v>-46.679723</v>
      </c>
      <c r="D2670" s="40" t="n">
        <v>17</v>
      </c>
      <c r="E2670" s="41" t="n">
        <v>1441.6743</v>
      </c>
    </row>
    <row r="2671">
      <c r="A2671" s="42">
        <f>_xlfn.XLOOKUP(17846,Trip[shape_id],Trip[shape_id],"Não encontrado")</f>
        <v/>
      </c>
      <c r="B2671" s="43" t="n">
        <v>-23.523467</v>
      </c>
      <c r="C2671" s="43" t="n">
        <v>-46.680586</v>
      </c>
      <c r="D2671" s="43" t="n">
        <v>18</v>
      </c>
      <c r="E2671" s="44" t="n">
        <v>1473.761</v>
      </c>
    </row>
    <row r="2672">
      <c r="A2672" s="39">
        <f>_xlfn.XLOOKUP(17846,Trip[shape_id],Trip[shape_id],"Não encontrado")</f>
        <v/>
      </c>
      <c r="B2672" s="40" t="n">
        <v>-23.523332</v>
      </c>
      <c r="C2672" s="40" t="n">
        <v>-46.680864</v>
      </c>
      <c r="D2672" s="40" t="n">
        <v>19</v>
      </c>
      <c r="E2672" s="41" t="n">
        <v>1709.1919</v>
      </c>
    </row>
    <row r="2673">
      <c r="A2673" s="42">
        <f>_xlfn.XLOOKUP(17846,Trip[shape_id],Trip[shape_id],"Não encontrado")</f>
        <v/>
      </c>
      <c r="B2673" s="43" t="n">
        <v>-23.522316</v>
      </c>
      <c r="C2673" s="43" t="n">
        <v>-46.682889</v>
      </c>
      <c r="D2673" s="43" t="n">
        <v>20</v>
      </c>
      <c r="E2673" s="44" t="n">
        <v>1918.0938</v>
      </c>
    </row>
    <row r="2674">
      <c r="A2674" s="39">
        <f>_xlfn.XLOOKUP(17846,Trip[shape_id],Trip[shape_id],"Não encontrado")</f>
        <v/>
      </c>
      <c r="B2674" s="40" t="n">
        <v>-23.521608</v>
      </c>
      <c r="C2674" s="40" t="n">
        <v>-46.684785</v>
      </c>
      <c r="D2674" s="40" t="n">
        <v>21</v>
      </c>
      <c r="E2674" s="41" t="n">
        <v>2028.7394</v>
      </c>
    </row>
    <row r="2675">
      <c r="A2675" s="42">
        <f>_xlfn.XLOOKUP(17846,Trip[shape_id],Trip[shape_id],"Não encontrado")</f>
        <v/>
      </c>
      <c r="B2675" s="43" t="n">
        <v>-23.521397</v>
      </c>
      <c r="C2675" s="43" t="n">
        <v>-46.685844</v>
      </c>
      <c r="D2675" s="43" t="n">
        <v>22</v>
      </c>
      <c r="E2675" s="44" t="n">
        <v>2133.1995</v>
      </c>
    </row>
    <row r="2676">
      <c r="A2676" s="39">
        <f>_xlfn.XLOOKUP(17846,Trip[shape_id],Trip[shape_id],"Não encontrado")</f>
        <v/>
      </c>
      <c r="B2676" s="40" t="n">
        <v>-23.52134</v>
      </c>
      <c r="C2676" s="40" t="n">
        <v>-46.686865</v>
      </c>
      <c r="D2676" s="40" t="n">
        <v>23</v>
      </c>
      <c r="E2676" s="41" t="n">
        <v>2160.7739</v>
      </c>
    </row>
    <row r="2677">
      <c r="A2677" s="42">
        <f>_xlfn.XLOOKUP(17846,Trip[shape_id],Trip[shape_id],"Não encontrado")</f>
        <v/>
      </c>
      <c r="B2677" s="43" t="n">
        <v>-23.521342</v>
      </c>
      <c r="C2677" s="43" t="n">
        <v>-46.687135</v>
      </c>
      <c r="D2677" s="43" t="n">
        <v>24</v>
      </c>
      <c r="E2677" s="44" t="n">
        <v>2314.7798</v>
      </c>
    </row>
    <row r="2678">
      <c r="A2678" s="39">
        <f>_xlfn.XLOOKUP(17846,Trip[shape_id],Trip[shape_id],"Não encontrado")</f>
        <v/>
      </c>
      <c r="B2678" s="40" t="n">
        <v>-23.521349</v>
      </c>
      <c r="C2678" s="40" t="n">
        <v>-46.688643</v>
      </c>
      <c r="D2678" s="40" t="n">
        <v>25</v>
      </c>
      <c r="E2678" s="41" t="n">
        <v>2314.7798</v>
      </c>
    </row>
    <row r="2679">
      <c r="A2679" s="42">
        <f>_xlfn.XLOOKUP(17846,Trip[shape_id],Trip[shape_id],"Não encontrado")</f>
        <v/>
      </c>
      <c r="B2679" s="43" t="n">
        <v>-23.521368</v>
      </c>
      <c r="C2679" s="43" t="n">
        <v>-46.693218</v>
      </c>
      <c r="D2679" s="43" t="n">
        <v>26</v>
      </c>
      <c r="E2679" s="44" t="n">
        <v>2847.1643</v>
      </c>
    </row>
    <row r="2680">
      <c r="A2680" s="39">
        <f>_xlfn.XLOOKUP(17846,Trip[shape_id],Trip[shape_id],"Não encontrado")</f>
        <v/>
      </c>
      <c r="B2680" s="40" t="n">
        <v>-23.521361</v>
      </c>
      <c r="C2680" s="40" t="n">
        <v>-46.693856</v>
      </c>
      <c r="D2680" s="40" t="n">
        <v>27</v>
      </c>
      <c r="E2680" s="41" t="n">
        <v>2948.6455</v>
      </c>
    </row>
    <row r="2681">
      <c r="A2681" s="42">
        <f>_xlfn.XLOOKUP(17846,Trip[shape_id],Trip[shape_id],"Não encontrado")</f>
        <v/>
      </c>
      <c r="B2681" s="43" t="n">
        <v>-23.521282</v>
      </c>
      <c r="C2681" s="43" t="n">
        <v>-46.694846</v>
      </c>
      <c r="D2681" s="43" t="n">
        <v>28</v>
      </c>
      <c r="E2681" s="44" t="n">
        <v>3022.5671</v>
      </c>
    </row>
    <row r="2682">
      <c r="A2682" s="39">
        <f>_xlfn.XLOOKUP(17846,Trip[shape_id],Trip[shape_id],"Não encontrado")</f>
        <v/>
      </c>
      <c r="B2682" s="40" t="n">
        <v>-23.521123</v>
      </c>
      <c r="C2682" s="40" t="n">
        <v>-46.695549</v>
      </c>
      <c r="D2682" s="40" t="n">
        <v>29</v>
      </c>
      <c r="E2682" s="41" t="n">
        <v>3076.7283</v>
      </c>
    </row>
    <row r="2683">
      <c r="A2683" s="42">
        <f>_xlfn.XLOOKUP(17846,Trip[shape_id],Trip[shape_id],"Não encontrado")</f>
        <v/>
      </c>
      <c r="B2683" s="43" t="n">
        <v>-23.520968</v>
      </c>
      <c r="C2683" s="43" t="n">
        <v>-46.696052</v>
      </c>
      <c r="D2683" s="43" t="n">
        <v>30</v>
      </c>
      <c r="E2683" s="44" t="n">
        <v>3168.4607</v>
      </c>
    </row>
    <row r="2684">
      <c r="A2684" s="39">
        <f>_xlfn.XLOOKUP(17846,Trip[shape_id],Trip[shape_id],"Não encontrado")</f>
        <v/>
      </c>
      <c r="B2684" s="40" t="n">
        <v>-23.52061</v>
      </c>
      <c r="C2684" s="40" t="n">
        <v>-46.696862</v>
      </c>
      <c r="D2684" s="40" t="n">
        <v>31</v>
      </c>
      <c r="E2684" s="41" t="n">
        <v>3975.6265</v>
      </c>
    </row>
    <row r="2685">
      <c r="A2685" s="42">
        <f>_xlfn.XLOOKUP(17846,Trip[shape_id],Trip[shape_id],"Não encontrado")</f>
        <v/>
      </c>
      <c r="B2685" s="43" t="n">
        <v>-23.517512</v>
      </c>
      <c r="C2685" s="43" t="n">
        <v>-46.704016</v>
      </c>
      <c r="D2685" s="43" t="n">
        <v>32</v>
      </c>
      <c r="E2685" s="44" t="n">
        <v>3975.6265</v>
      </c>
    </row>
    <row r="2686">
      <c r="A2686" s="39">
        <f>_xlfn.XLOOKUP(17846,Trip[shape_id],Trip[shape_id],"Não encontrado")</f>
        <v/>
      </c>
      <c r="B2686" s="40" t="n">
        <v>-23.516016</v>
      </c>
      <c r="C2686" s="40" t="n">
        <v>-46.707557</v>
      </c>
      <c r="D2686" s="40" t="n">
        <v>33</v>
      </c>
      <c r="E2686" s="41" t="n">
        <v>4373.4097</v>
      </c>
    </row>
    <row r="2687">
      <c r="A2687" s="42">
        <f>_xlfn.XLOOKUP(17846,Trip[shape_id],Trip[shape_id],"Não encontrado")</f>
        <v/>
      </c>
      <c r="B2687" s="43" t="n">
        <v>-23.514944</v>
      </c>
      <c r="C2687" s="43" t="n">
        <v>-46.7097</v>
      </c>
      <c r="D2687" s="43" t="n">
        <v>34</v>
      </c>
      <c r="E2687" s="44" t="n">
        <v>4622.4009</v>
      </c>
    </row>
    <row r="2688">
      <c r="A2688" s="39">
        <f>_xlfn.XLOOKUP(17846,Trip[shape_id],Trip[shape_id],"Não encontrado")</f>
        <v/>
      </c>
      <c r="B2688" s="40" t="n">
        <v>-23.513973</v>
      </c>
      <c r="C2688" s="40" t="n">
        <v>-46.711</v>
      </c>
      <c r="D2688" s="40" t="n">
        <v>35</v>
      </c>
      <c r="E2688" s="41" t="n">
        <v>4793.2583</v>
      </c>
    </row>
    <row r="2689">
      <c r="A2689" s="42">
        <f>_xlfn.XLOOKUP(17846,Trip[shape_id],Trip[shape_id],"Não encontrado")</f>
        <v/>
      </c>
      <c r="B2689" s="43" t="n">
        <v>-23.512077</v>
      </c>
      <c r="C2689" s="43" t="n">
        <v>-46.712715</v>
      </c>
      <c r="D2689" s="43" t="n">
        <v>36</v>
      </c>
      <c r="E2689" s="44" t="n">
        <v>5066.7041</v>
      </c>
    </row>
    <row r="2690">
      <c r="A2690" s="39">
        <f>_xlfn.XLOOKUP(17846,Trip[shape_id],Trip[shape_id],"Não encontrado")</f>
        <v/>
      </c>
      <c r="B2690" s="40" t="n">
        <v>-23.510921</v>
      </c>
      <c r="C2690" s="40" t="n">
        <v>-46.713261</v>
      </c>
      <c r="D2690" s="40" t="n">
        <v>37</v>
      </c>
      <c r="E2690" s="41" t="n">
        <v>5206.3496</v>
      </c>
    </row>
    <row r="2691">
      <c r="A2691" s="42">
        <f>_xlfn.XLOOKUP(17846,Trip[shape_id],Trip[shape_id],"Não encontrado")</f>
        <v/>
      </c>
      <c r="B2691" s="43" t="n">
        <v>-23.508138</v>
      </c>
      <c r="C2691" s="43" t="n">
        <v>-46.714225</v>
      </c>
      <c r="D2691" s="43" t="n">
        <v>38</v>
      </c>
      <c r="E2691" s="44" t="n">
        <v>5529.9136</v>
      </c>
    </row>
    <row r="2692">
      <c r="A2692" s="39">
        <f>_xlfn.XLOOKUP(17846,Trip[shape_id],Trip[shape_id],"Não encontrado")</f>
        <v/>
      </c>
      <c r="B2692" s="40" t="n">
        <v>-23.505648</v>
      </c>
      <c r="C2692" s="40" t="n">
        <v>-46.714947</v>
      </c>
      <c r="D2692" s="40" t="n">
        <v>39</v>
      </c>
      <c r="E2692" s="41" t="n">
        <v>5815.373</v>
      </c>
    </row>
    <row r="2693">
      <c r="A2693" s="42">
        <f>_xlfn.XLOOKUP(17846,Trip[shape_id],Trip[shape_id],"Não encontrado")</f>
        <v/>
      </c>
      <c r="B2693" s="43" t="n">
        <v>-23.50453</v>
      </c>
      <c r="C2693" s="43" t="n">
        <v>-46.715026</v>
      </c>
      <c r="D2693" s="43" t="n">
        <v>40</v>
      </c>
      <c r="E2693" s="44" t="n">
        <v>5939.4556</v>
      </c>
    </row>
    <row r="2694">
      <c r="A2694" s="39">
        <f>_xlfn.XLOOKUP(17846,Trip[shape_id],Trip[shape_id],"Não encontrado")</f>
        <v/>
      </c>
      <c r="B2694" s="40" t="n">
        <v>-23.503343</v>
      </c>
      <c r="C2694" s="40" t="n">
        <v>-46.715009</v>
      </c>
      <c r="D2694" s="40" t="n">
        <v>41</v>
      </c>
      <c r="E2694" s="41" t="n">
        <v>6070.9287</v>
      </c>
    </row>
    <row r="2695">
      <c r="A2695" s="42">
        <f>_xlfn.XLOOKUP(17846,Trip[shape_id],Trip[shape_id],"Não encontrado")</f>
        <v/>
      </c>
      <c r="B2695" s="43" t="n">
        <v>-23.502349</v>
      </c>
      <c r="C2695" s="43" t="n">
        <v>-46.71495</v>
      </c>
      <c r="D2695" s="43" t="n">
        <v>42</v>
      </c>
      <c r="E2695" s="44" t="n">
        <v>6181.1802</v>
      </c>
    </row>
    <row r="2696">
      <c r="A2696" s="39">
        <f>_xlfn.XLOOKUP(17846,Trip[shape_id],Trip[shape_id],"Não encontrado")</f>
        <v/>
      </c>
      <c r="B2696" s="40" t="n">
        <v>-23.501697</v>
      </c>
      <c r="C2696" s="40" t="n">
        <v>-46.714903</v>
      </c>
      <c r="D2696" s="40" t="n">
        <v>43</v>
      </c>
      <c r="E2696" s="41" t="n">
        <v>6253.5493</v>
      </c>
    </row>
    <row r="2697">
      <c r="A2697" s="42">
        <f>_xlfn.XLOOKUP(17846,Trip[shape_id],Trip[shape_id],"Não encontrado")</f>
        <v/>
      </c>
      <c r="B2697" s="43" t="n">
        <v>-23.500454</v>
      </c>
      <c r="C2697" s="43" t="n">
        <v>-46.715212</v>
      </c>
      <c r="D2697" s="43" t="n">
        <v>44</v>
      </c>
      <c r="E2697" s="44" t="n">
        <v>6394.7847</v>
      </c>
    </row>
    <row r="2698">
      <c r="A2698" s="39">
        <f>_xlfn.XLOOKUP(17846,Trip[shape_id],Trip[shape_id],"Não encontrado")</f>
        <v/>
      </c>
      <c r="B2698" s="40" t="n">
        <v>-23.499626</v>
      </c>
      <c r="C2698" s="40" t="n">
        <v>-46.715563</v>
      </c>
      <c r="D2698" s="40" t="n">
        <v>45</v>
      </c>
      <c r="E2698" s="41" t="n">
        <v>6493.2456</v>
      </c>
    </row>
    <row r="2699">
      <c r="A2699" s="42">
        <f>_xlfn.XLOOKUP(17846,Trip[shape_id],Trip[shape_id],"Não encontrado")</f>
        <v/>
      </c>
      <c r="B2699" s="43" t="n">
        <v>-23.498633</v>
      </c>
      <c r="C2699" s="43" t="n">
        <v>-46.716122</v>
      </c>
      <c r="D2699" s="43" t="n">
        <v>46</v>
      </c>
      <c r="E2699" s="44" t="n">
        <v>6617.1602</v>
      </c>
    </row>
    <row r="2700">
      <c r="A2700" s="39">
        <f>_xlfn.XLOOKUP(17846,Trip[shape_id],Trip[shape_id],"Não encontrado")</f>
        <v/>
      </c>
      <c r="B2700" s="40" t="n">
        <v>-23.497314</v>
      </c>
      <c r="C2700" s="40" t="n">
        <v>-46.71712</v>
      </c>
      <c r="D2700" s="40" t="n">
        <v>47</v>
      </c>
      <c r="E2700" s="41" t="n">
        <v>6795.292</v>
      </c>
    </row>
    <row r="2701">
      <c r="A2701" s="42">
        <f>_xlfn.XLOOKUP(17846,Trip[shape_id],Trip[shape_id],"Não encontrado")</f>
        <v/>
      </c>
      <c r="B2701" s="43" t="n">
        <v>-23.4952</v>
      </c>
      <c r="C2701" s="43" t="n">
        <v>-46.718903</v>
      </c>
      <c r="D2701" s="43" t="n">
        <v>48</v>
      </c>
      <c r="E2701" s="44" t="n">
        <v>7091.9136</v>
      </c>
    </row>
    <row r="2702">
      <c r="A2702" s="39">
        <f>_xlfn.XLOOKUP(17846,Trip[shape_id],Trip[shape_id],"Não encontrado")</f>
        <v/>
      </c>
      <c r="B2702" s="40" t="n">
        <v>-23.493597</v>
      </c>
      <c r="C2702" s="40" t="n">
        <v>-46.720484</v>
      </c>
      <c r="D2702" s="40" t="n">
        <v>49</v>
      </c>
      <c r="E2702" s="41" t="n">
        <v>7331.9092</v>
      </c>
    </row>
    <row r="2703">
      <c r="A2703" s="42">
        <f>_xlfn.XLOOKUP(17846,Trip[shape_id],Trip[shape_id],"Não encontrado")</f>
        <v/>
      </c>
      <c r="B2703" s="43" t="n">
        <v>-23.492921</v>
      </c>
      <c r="C2703" s="43" t="n">
        <v>-46.721363</v>
      </c>
      <c r="D2703" s="43" t="n">
        <v>50</v>
      </c>
      <c r="E2703" s="44" t="n">
        <v>7448.8145</v>
      </c>
    </row>
    <row r="2704">
      <c r="A2704" s="39">
        <f>_xlfn.XLOOKUP(17846,Trip[shape_id],Trip[shape_id],"Não encontrado")</f>
        <v/>
      </c>
      <c r="B2704" s="40" t="n">
        <v>-23.49273</v>
      </c>
      <c r="C2704" s="40" t="n">
        <v>-46.721625</v>
      </c>
      <c r="D2704" s="40" t="n">
        <v>51</v>
      </c>
      <c r="E2704" s="41" t="n">
        <v>7482.9272</v>
      </c>
    </row>
    <row r="2705">
      <c r="A2705" s="42">
        <f>_xlfn.XLOOKUP(17846,Trip[shape_id],Trip[shape_id],"Não encontrado")</f>
        <v/>
      </c>
      <c r="B2705" s="43" t="n">
        <v>-23.491493</v>
      </c>
      <c r="C2705" s="43" t="n">
        <v>-46.72295</v>
      </c>
      <c r="D2705" s="43" t="n">
        <v>52</v>
      </c>
      <c r="E2705" s="44" t="n">
        <v>7675.5068</v>
      </c>
    </row>
    <row r="2706">
      <c r="A2706" s="39">
        <f>_xlfn.XLOOKUP(17846,Trip[shape_id],Trip[shape_id],"Não encontrado")</f>
        <v/>
      </c>
      <c r="B2706" s="40" t="n">
        <v>-23.490872</v>
      </c>
      <c r="C2706" s="40" t="n">
        <v>-46.723461</v>
      </c>
      <c r="D2706" s="40" t="n">
        <v>53</v>
      </c>
      <c r="E2706" s="41" t="n">
        <v>7761.8477</v>
      </c>
    </row>
    <row r="2707">
      <c r="A2707" s="42">
        <f>_xlfn.XLOOKUP(17846,Trip[shape_id],Trip[shape_id],"Não encontrado")</f>
        <v/>
      </c>
      <c r="B2707" s="43" t="n">
        <v>-23.49013</v>
      </c>
      <c r="C2707" s="43" t="n">
        <v>-46.723984</v>
      </c>
      <c r="D2707" s="43" t="n">
        <v>54</v>
      </c>
      <c r="E2707" s="44" t="n">
        <v>7859.8638</v>
      </c>
    </row>
    <row r="2708">
      <c r="A2708" s="39">
        <f>_xlfn.XLOOKUP(17846,Trip[shape_id],Trip[shape_id],"Não encontrado")</f>
        <v/>
      </c>
      <c r="B2708" s="40" t="n">
        <v>-23.489634</v>
      </c>
      <c r="C2708" s="40" t="n">
        <v>-46.724442</v>
      </c>
      <c r="D2708" s="40" t="n">
        <v>55</v>
      </c>
      <c r="E2708" s="41" t="n">
        <v>7932.0186</v>
      </c>
    </row>
    <row r="2709">
      <c r="A2709" s="42">
        <f>_xlfn.XLOOKUP(17846,Trip[shape_id],Trip[shape_id],"Não encontrado")</f>
        <v/>
      </c>
      <c r="B2709" s="43" t="n">
        <v>-23.489347</v>
      </c>
      <c r="C2709" s="43" t="n">
        <v>-46.724801</v>
      </c>
      <c r="D2709" s="43" t="n">
        <v>56</v>
      </c>
      <c r="E2709" s="44" t="n">
        <v>7980.5479</v>
      </c>
    </row>
    <row r="2710">
      <c r="A2710" s="39">
        <f>_xlfn.XLOOKUP(17846,Trip[shape_id],Trip[shape_id],"Não encontrado")</f>
        <v/>
      </c>
      <c r="B2710" s="40" t="n">
        <v>-23.488712</v>
      </c>
      <c r="C2710" s="40" t="n">
        <v>-46.725591</v>
      </c>
      <c r="D2710" s="40" t="n">
        <v>57</v>
      </c>
      <c r="E2710" s="41" t="n">
        <v>8087.5898</v>
      </c>
    </row>
    <row r="2711">
      <c r="A2711" s="42">
        <f>_xlfn.XLOOKUP(17846,Trip[shape_id],Trip[shape_id],"Não encontrado")</f>
        <v/>
      </c>
      <c r="B2711" s="43" t="n">
        <v>-23.488581</v>
      </c>
      <c r="C2711" s="43" t="n">
        <v>-46.725852</v>
      </c>
      <c r="D2711" s="43" t="n">
        <v>58</v>
      </c>
      <c r="E2711" s="44" t="n">
        <v>8117.9429</v>
      </c>
    </row>
    <row r="2712">
      <c r="A2712" s="39">
        <f>_xlfn.XLOOKUP(17846,Trip[shape_id],Trip[shape_id],"Não encontrado")</f>
        <v/>
      </c>
      <c r="B2712" s="40" t="n">
        <v>-23.488492</v>
      </c>
      <c r="C2712" s="40" t="n">
        <v>-46.726018</v>
      </c>
      <c r="D2712" s="40" t="n">
        <v>59</v>
      </c>
      <c r="E2712" s="41" t="n">
        <v>8137.5562</v>
      </c>
    </row>
    <row r="2713">
      <c r="A2713" s="42">
        <f>_xlfn.XLOOKUP(17846,Trip[shape_id],Trip[shape_id],"Não encontrado")</f>
        <v/>
      </c>
      <c r="B2713" s="43" t="n">
        <v>-23.488432</v>
      </c>
      <c r="C2713" s="43" t="n">
        <v>-46.726125</v>
      </c>
      <c r="D2713" s="43" t="n">
        <v>60</v>
      </c>
      <c r="E2713" s="44" t="n">
        <v>8150.3477</v>
      </c>
    </row>
    <row r="2714">
      <c r="A2714" s="39">
        <f>_xlfn.XLOOKUP(17846,Trip[shape_id],Trip[shape_id],"Não encontrado")</f>
        <v/>
      </c>
      <c r="B2714" s="40" t="n">
        <v>-23.487472</v>
      </c>
      <c r="C2714" s="40" t="n">
        <v>-46.727418</v>
      </c>
      <c r="D2714" s="40" t="n">
        <v>61</v>
      </c>
      <c r="E2714" s="41" t="n">
        <v>8319.9043</v>
      </c>
    </row>
    <row r="2715">
      <c r="A2715" s="42">
        <f>_xlfn.XLOOKUP(17846,Trip[shape_id],Trip[shape_id],"Não encontrado")</f>
        <v/>
      </c>
      <c r="B2715" s="43" t="n">
        <v>-23.486477</v>
      </c>
      <c r="C2715" s="43" t="n">
        <v>-46.728464</v>
      </c>
      <c r="D2715" s="43" t="n">
        <v>62</v>
      </c>
      <c r="E2715" s="44" t="n">
        <v>8473.3984</v>
      </c>
    </row>
    <row r="2716">
      <c r="A2716" s="39">
        <f>_xlfn.XLOOKUP(17846,Trip[shape_id],Trip[shape_id],"Não encontrado")</f>
        <v/>
      </c>
      <c r="B2716" s="40" t="n">
        <v>-23.484955</v>
      </c>
      <c r="C2716" s="40" t="n">
        <v>-46.730232</v>
      </c>
      <c r="D2716" s="40" t="n">
        <v>63</v>
      </c>
      <c r="E2716" s="41" t="n">
        <v>8720.444299999999</v>
      </c>
    </row>
    <row r="2717">
      <c r="A2717" s="42">
        <f>_xlfn.XLOOKUP(17846,Trip[shape_id],Trip[shape_id],"Não encontrado")</f>
        <v/>
      </c>
      <c r="B2717" s="43" t="n">
        <v>-23.484162</v>
      </c>
      <c r="C2717" s="43" t="n">
        <v>-46.731125</v>
      </c>
      <c r="D2717" s="43" t="n">
        <v>64</v>
      </c>
      <c r="E2717" s="44" t="n">
        <v>8847.073200000001</v>
      </c>
    </row>
    <row r="2718">
      <c r="A2718" s="39">
        <f>_xlfn.XLOOKUP(17846,Trip[shape_id],Trip[shape_id],"Não encontrado")</f>
        <v/>
      </c>
      <c r="B2718" s="40" t="n">
        <v>-23.483453</v>
      </c>
      <c r="C2718" s="40" t="n">
        <v>-46.731919</v>
      </c>
      <c r="D2718" s="40" t="n">
        <v>65</v>
      </c>
      <c r="E2718" s="41" t="n">
        <v>8959.9648</v>
      </c>
    </row>
    <row r="2719">
      <c r="A2719" s="42">
        <f>_xlfn.XLOOKUP(17846,Trip[shape_id],Trip[shape_id],"Não encontrado")</f>
        <v/>
      </c>
      <c r="B2719" s="43" t="n">
        <v>-23.482404</v>
      </c>
      <c r="C2719" s="43" t="n">
        <v>-46.732569</v>
      </c>
      <c r="D2719" s="43" t="n">
        <v>66</v>
      </c>
      <c r="E2719" s="44" t="n">
        <v>9093.7793</v>
      </c>
    </row>
    <row r="2720">
      <c r="A2720" s="39">
        <f>_xlfn.XLOOKUP(17846,Trip[shape_id],Trip[shape_id],"Não encontrado")</f>
        <v/>
      </c>
      <c r="B2720" s="40" t="n">
        <v>-23.480915</v>
      </c>
      <c r="C2720" s="40" t="n">
        <v>-46.733141</v>
      </c>
      <c r="D2720" s="40" t="n">
        <v>67</v>
      </c>
      <c r="E2720" s="41" t="n">
        <v>9268.733399999999</v>
      </c>
    </row>
    <row r="2721">
      <c r="A2721" s="42">
        <f>_xlfn.XLOOKUP(17846,Trip[shape_id],Trip[shape_id],"Não encontrado")</f>
        <v/>
      </c>
      <c r="B2721" s="43" t="n">
        <v>-23.479615</v>
      </c>
      <c r="C2721" s="43" t="n">
        <v>-46.733806</v>
      </c>
      <c r="D2721" s="43" t="n">
        <v>68</v>
      </c>
      <c r="E2721" s="44" t="n">
        <v>9427.9316</v>
      </c>
    </row>
    <row r="2722">
      <c r="A2722" s="39">
        <f>_xlfn.XLOOKUP(17846,Trip[shape_id],Trip[shape_id],"Não encontrado")</f>
        <v/>
      </c>
      <c r="B2722" s="40" t="n">
        <v>-23.478656</v>
      </c>
      <c r="C2722" s="40" t="n">
        <v>-46.734312</v>
      </c>
      <c r="D2722" s="40" t="n">
        <v>69</v>
      </c>
      <c r="E2722" s="41" t="n">
        <v>9546.0527</v>
      </c>
    </row>
    <row r="2723">
      <c r="A2723" s="42">
        <f>_xlfn.XLOOKUP(17846,Trip[shape_id],Trip[shape_id],"Não encontrado")</f>
        <v/>
      </c>
      <c r="B2723" s="43" t="n">
        <v>-23.477067</v>
      </c>
      <c r="C2723" s="43" t="n">
        <v>-46.735149</v>
      </c>
      <c r="D2723" s="43" t="n">
        <v>70</v>
      </c>
      <c r="E2723" s="44" t="n">
        <v>9741.709000000001</v>
      </c>
    </row>
    <row r="2724">
      <c r="A2724" s="39">
        <f>_xlfn.XLOOKUP(17846,Trip[shape_id],Trip[shape_id],"Não encontrado")</f>
        <v/>
      </c>
      <c r="B2724" s="40" t="n">
        <v>-23.475797</v>
      </c>
      <c r="C2724" s="40" t="n">
        <v>-46.735904</v>
      </c>
      <c r="D2724" s="40" t="n">
        <v>71</v>
      </c>
      <c r="E2724" s="41" t="n">
        <v>9902.122100000001</v>
      </c>
    </row>
    <row r="2725">
      <c r="A2725" s="42">
        <f>_xlfn.XLOOKUP(17846,Trip[shape_id],Trip[shape_id],"Não encontrado")</f>
        <v/>
      </c>
      <c r="B2725" s="43" t="n">
        <v>-23.475291</v>
      </c>
      <c r="C2725" s="43" t="n">
        <v>-46.736196</v>
      </c>
      <c r="D2725" s="43" t="n">
        <v>72</v>
      </c>
      <c r="E2725" s="44" t="n">
        <v>9965.607400000001</v>
      </c>
    </row>
    <row r="2726">
      <c r="A2726" s="39">
        <f>_xlfn.XLOOKUP(17846,Trip[shape_id],Trip[shape_id],"Não encontrado")</f>
        <v/>
      </c>
      <c r="B2726" s="40" t="n">
        <v>-23.474429</v>
      </c>
      <c r="C2726" s="40" t="n">
        <v>-46.736984</v>
      </c>
      <c r="D2726" s="40" t="n">
        <v>73</v>
      </c>
      <c r="E2726" s="41" t="n">
        <v>10090.485</v>
      </c>
    </row>
    <row r="2727">
      <c r="A2727" s="42">
        <f>_xlfn.XLOOKUP(17846,Trip[shape_id],Trip[shape_id],"Não encontrado")</f>
        <v/>
      </c>
      <c r="B2727" s="43" t="n">
        <v>-23.473667</v>
      </c>
      <c r="C2727" s="43" t="n">
        <v>-46.737981</v>
      </c>
      <c r="D2727" s="43" t="n">
        <v>74</v>
      </c>
      <c r="E2727" s="44" t="n">
        <v>10222.759</v>
      </c>
    </row>
    <row r="2728">
      <c r="A2728" s="39">
        <f>_xlfn.XLOOKUP(17846,Trip[shape_id],Trip[shape_id],"Não encontrado")</f>
        <v/>
      </c>
      <c r="B2728" s="40" t="n">
        <v>-23.472196</v>
      </c>
      <c r="C2728" s="40" t="n">
        <v>-46.739971</v>
      </c>
      <c r="D2728" s="40" t="n">
        <v>75</v>
      </c>
      <c r="E2728" s="41" t="n">
        <v>10483.283</v>
      </c>
    </row>
    <row r="2729">
      <c r="A2729" s="42">
        <f>_xlfn.XLOOKUP(17846,Trip[shape_id],Trip[shape_id],"Não encontrado")</f>
        <v/>
      </c>
      <c r="B2729" s="43" t="n">
        <v>-23.470877</v>
      </c>
      <c r="C2729" s="43" t="n">
        <v>-46.742027</v>
      </c>
      <c r="D2729" s="43" t="n">
        <v>76</v>
      </c>
      <c r="E2729" s="44" t="n">
        <v>10739.133</v>
      </c>
    </row>
    <row r="2730">
      <c r="A2730" s="39">
        <f>_xlfn.XLOOKUP(17846,Trip[shape_id],Trip[shape_id],"Não encontrado")</f>
        <v/>
      </c>
      <c r="B2730" s="40" t="n">
        <v>-23.470211</v>
      </c>
      <c r="C2730" s="40" t="n">
        <v>-46.743769</v>
      </c>
      <c r="D2730" s="40" t="n">
        <v>77</v>
      </c>
      <c r="E2730" s="41" t="n">
        <v>10931.781</v>
      </c>
    </row>
    <row r="2731">
      <c r="A2731" s="42">
        <f>_xlfn.XLOOKUP(17846,Trip[shape_id],Trip[shape_id],"Não encontrado")</f>
        <v/>
      </c>
      <c r="B2731" s="43" t="n">
        <v>-23.46988</v>
      </c>
      <c r="C2731" s="43" t="n">
        <v>-46.744367</v>
      </c>
      <c r="D2731" s="43" t="n">
        <v>78</v>
      </c>
      <c r="E2731" s="44" t="n">
        <v>11003.029</v>
      </c>
    </row>
    <row r="2732">
      <c r="A2732" s="39">
        <f>_xlfn.XLOOKUP(17846,Trip[shape_id],Trip[shape_id],"Não encontrado")</f>
        <v/>
      </c>
      <c r="B2732" s="40" t="n">
        <v>-23.469802</v>
      </c>
      <c r="C2732" s="40" t="n">
        <v>-46.744461</v>
      </c>
      <c r="D2732" s="40" t="n">
        <v>79</v>
      </c>
      <c r="E2732" s="41" t="n">
        <v>11015.946</v>
      </c>
    </row>
    <row r="2733">
      <c r="A2733" s="42">
        <f>_xlfn.XLOOKUP(17846,Trip[shape_id],Trip[shape_id],"Não encontrado")</f>
        <v/>
      </c>
      <c r="B2733" s="43" t="n">
        <v>-23.469485</v>
      </c>
      <c r="C2733" s="43" t="n">
        <v>-46.744806</v>
      </c>
      <c r="D2733" s="43" t="n">
        <v>80</v>
      </c>
      <c r="E2733" s="44" t="n">
        <v>11065.694</v>
      </c>
    </row>
    <row r="2734">
      <c r="A2734" s="39">
        <f>_xlfn.XLOOKUP(17846,Trip[shape_id],Trip[shape_id],"Não encontrado")</f>
        <v/>
      </c>
      <c r="B2734" s="40" t="n">
        <v>-23.468785</v>
      </c>
      <c r="C2734" s="40" t="n">
        <v>-46.745343</v>
      </c>
      <c r="D2734" s="40" t="n">
        <v>81</v>
      </c>
      <c r="E2734" s="41" t="n">
        <v>11160.668</v>
      </c>
    </row>
    <row r="2735">
      <c r="A2735" s="42">
        <f>_xlfn.XLOOKUP(17846,Trip[shape_id],Trip[shape_id],"Não encontrado")</f>
        <v/>
      </c>
      <c r="B2735" s="43" t="n">
        <v>-23.468066</v>
      </c>
      <c r="C2735" s="43" t="n">
        <v>-46.745732</v>
      </c>
      <c r="D2735" s="43" t="n">
        <v>82</v>
      </c>
      <c r="E2735" s="44" t="n">
        <v>11249.664</v>
      </c>
    </row>
    <row r="2736">
      <c r="A2736" s="39">
        <f>_xlfn.XLOOKUP(17846,Trip[shape_id],Trip[shape_id],"Não encontrado")</f>
        <v/>
      </c>
      <c r="B2736" s="40" t="n">
        <v>-23.467501</v>
      </c>
      <c r="C2736" s="40" t="n">
        <v>-46.745802</v>
      </c>
      <c r="D2736" s="40" t="n">
        <v>83</v>
      </c>
      <c r="E2736" s="41" t="n">
        <v>11312.646</v>
      </c>
    </row>
    <row r="2737">
      <c r="A2737" s="42">
        <f>_xlfn.XLOOKUP(17846,Trip[shape_id],Trip[shape_id],"Não encontrado")</f>
        <v/>
      </c>
      <c r="B2737" s="43" t="n">
        <v>-23.467288</v>
      </c>
      <c r="C2737" s="43" t="n">
        <v>-46.745833</v>
      </c>
      <c r="D2737" s="43" t="n">
        <v>84</v>
      </c>
      <c r="E2737" s="44" t="n">
        <v>11336.447</v>
      </c>
    </row>
    <row r="2738">
      <c r="A2738" s="39">
        <f>_xlfn.XLOOKUP(17846,Trip[shape_id],Trip[shape_id],"Não encontrado")</f>
        <v/>
      </c>
      <c r="B2738" s="40" t="n">
        <v>-23.467037</v>
      </c>
      <c r="C2738" s="40" t="n">
        <v>-46.745843</v>
      </c>
      <c r="D2738" s="40" t="n">
        <v>85</v>
      </c>
      <c r="E2738" s="41" t="n">
        <v>11364.265</v>
      </c>
    </row>
    <row r="2739">
      <c r="A2739" s="42">
        <f>_xlfn.XLOOKUP(17846,Trip[shape_id],Trip[shape_id],"Não encontrado")</f>
        <v/>
      </c>
      <c r="B2739" s="43" t="n">
        <v>-23.466562</v>
      </c>
      <c r="C2739" s="43" t="n">
        <v>-46.745863</v>
      </c>
      <c r="D2739" s="43" t="n">
        <v>86</v>
      </c>
      <c r="E2739" s="44" t="n">
        <v>11416.911</v>
      </c>
    </row>
    <row r="2740">
      <c r="A2740" s="39">
        <f>_xlfn.XLOOKUP(17846,Trip[shape_id],Trip[shape_id],"Não encontrado")</f>
        <v/>
      </c>
      <c r="B2740" s="40" t="n">
        <v>-23.465843</v>
      </c>
      <c r="C2740" s="40" t="n">
        <v>-46.745689</v>
      </c>
      <c r="D2740" s="40" t="n">
        <v>87</v>
      </c>
      <c r="E2740" s="41" t="n">
        <v>11498.501</v>
      </c>
    </row>
    <row r="2741">
      <c r="A2741" s="42">
        <f>_xlfn.XLOOKUP(17846,Trip[shape_id],Trip[shape_id],"Não encontrado")</f>
        <v/>
      </c>
      <c r="B2741" s="43" t="n">
        <v>-23.46518</v>
      </c>
      <c r="C2741" s="43" t="n">
        <v>-46.745452</v>
      </c>
      <c r="D2741" s="43" t="n">
        <v>88</v>
      </c>
      <c r="E2741" s="44" t="n">
        <v>11575.818</v>
      </c>
    </row>
    <row r="2742">
      <c r="A2742" s="39">
        <f>_xlfn.XLOOKUP(17846,Trip[shape_id],Trip[shape_id],"Não encontrado")</f>
        <v/>
      </c>
      <c r="B2742" s="40" t="n">
        <v>-23.464271</v>
      </c>
      <c r="C2742" s="40" t="n">
        <v>-46.744632</v>
      </c>
      <c r="D2742" s="40" t="n">
        <v>89</v>
      </c>
      <c r="E2742" s="41" t="n">
        <v>11706.79</v>
      </c>
    </row>
    <row r="2743">
      <c r="A2743" s="42">
        <f>_xlfn.XLOOKUP(17846,Trip[shape_id],Trip[shape_id],"Não encontrado")</f>
        <v/>
      </c>
      <c r="B2743" s="43" t="n">
        <v>-23.463231</v>
      </c>
      <c r="C2743" s="43" t="n">
        <v>-46.743301</v>
      </c>
      <c r="D2743" s="43" t="n">
        <v>90</v>
      </c>
      <c r="E2743" s="44" t="n">
        <v>11885.001</v>
      </c>
    </row>
    <row r="2744">
      <c r="A2744" s="39">
        <f>_xlfn.XLOOKUP(17846,Trip[shape_id],Trip[shape_id],"Não encontrado")</f>
        <v/>
      </c>
      <c r="B2744" s="40" t="n">
        <v>-23.462277</v>
      </c>
      <c r="C2744" s="40" t="n">
        <v>-46.742131</v>
      </c>
      <c r="D2744" s="40" t="n">
        <v>91</v>
      </c>
      <c r="E2744" s="41" t="n">
        <v>12044.54</v>
      </c>
    </row>
    <row r="2745">
      <c r="A2745" s="42">
        <f>_xlfn.XLOOKUP(17846,Trip[shape_id],Trip[shape_id],"Não encontrado")</f>
        <v/>
      </c>
      <c r="B2745" s="43" t="n">
        <v>-23.4618</v>
      </c>
      <c r="C2745" s="43" t="n">
        <v>-46.741535</v>
      </c>
      <c r="D2745" s="43" t="n">
        <v>92</v>
      </c>
      <c r="E2745" s="44" t="n">
        <v>12125.155</v>
      </c>
    </row>
    <row r="2746">
      <c r="A2746" s="39">
        <f>_xlfn.XLOOKUP(17846,Trip[shape_id],Trip[shape_id],"Não encontrado")</f>
        <v/>
      </c>
      <c r="B2746" s="40" t="n">
        <v>-23.46153</v>
      </c>
      <c r="C2746" s="40" t="n">
        <v>-46.74118</v>
      </c>
      <c r="D2746" s="40" t="n">
        <v>93</v>
      </c>
      <c r="E2746" s="41" t="n">
        <v>12172.163</v>
      </c>
    </row>
    <row r="2747">
      <c r="A2747" s="42">
        <f>_xlfn.XLOOKUP(17846,Trip[shape_id],Trip[shape_id],"Não encontrado")</f>
        <v/>
      </c>
      <c r="B2747" s="43" t="n">
        <v>-23.460889</v>
      </c>
      <c r="C2747" s="43" t="n">
        <v>-46.740315</v>
      </c>
      <c r="D2747" s="43" t="n">
        <v>94</v>
      </c>
      <c r="E2747" s="44" t="n">
        <v>12285.522</v>
      </c>
    </row>
    <row r="2748">
      <c r="A2748" s="39">
        <f>_xlfn.XLOOKUP(17846,Trip[shape_id],Trip[shape_id],"Não encontrado")</f>
        <v/>
      </c>
      <c r="B2748" s="40" t="n">
        <v>-23.459848</v>
      </c>
      <c r="C2748" s="40" t="n">
        <v>-46.73893</v>
      </c>
      <c r="D2748" s="40" t="n">
        <v>95</v>
      </c>
      <c r="E2748" s="41" t="n">
        <v>12468.051</v>
      </c>
    </row>
    <row r="2749">
      <c r="A2749" s="42">
        <f>_xlfn.XLOOKUP(17846,Trip[shape_id],Trip[shape_id],"Não encontrado")</f>
        <v/>
      </c>
      <c r="B2749" s="43" t="n">
        <v>-23.458857</v>
      </c>
      <c r="C2749" s="43" t="n">
        <v>-46.738246</v>
      </c>
      <c r="D2749" s="43" t="n">
        <v>96</v>
      </c>
      <c r="E2749" s="44" t="n">
        <v>12598.166</v>
      </c>
    </row>
    <row r="2750">
      <c r="A2750" s="39">
        <f>_xlfn.XLOOKUP(17846,Trip[shape_id],Trip[shape_id],"Não encontrado")</f>
        <v/>
      </c>
      <c r="B2750" s="40" t="n">
        <v>-23.458074</v>
      </c>
      <c r="C2750" s="40" t="n">
        <v>-46.737973</v>
      </c>
      <c r="D2750" s="40" t="n">
        <v>97</v>
      </c>
      <c r="E2750" s="41" t="n">
        <v>12689.26</v>
      </c>
    </row>
    <row r="2751">
      <c r="A2751" s="42">
        <f>_xlfn.XLOOKUP(17846,Trip[shape_id],Trip[shape_id],"Não encontrado")</f>
        <v/>
      </c>
      <c r="B2751" s="43" t="n">
        <v>-23.457899</v>
      </c>
      <c r="C2751" s="43" t="n">
        <v>-46.737919</v>
      </c>
      <c r="D2751" s="43" t="n">
        <v>98</v>
      </c>
      <c r="E2751" s="44" t="n">
        <v>12709.411</v>
      </c>
    </row>
    <row r="2752">
      <c r="A2752" s="39">
        <f>_xlfn.XLOOKUP(17846,Trip[shape_id],Trip[shape_id],"Não encontrado")</f>
        <v/>
      </c>
      <c r="B2752" s="40" t="n">
        <v>-23.457139</v>
      </c>
      <c r="C2752" s="40" t="n">
        <v>-46.737887</v>
      </c>
      <c r="D2752" s="40" t="n">
        <v>99</v>
      </c>
      <c r="E2752" s="41" t="n">
        <v>12793.645</v>
      </c>
    </row>
    <row r="2753">
      <c r="A2753" s="42">
        <f>_xlfn.XLOOKUP(17846,Trip[shape_id],Trip[shape_id],"Não encontrado")</f>
        <v/>
      </c>
      <c r="B2753" s="43" t="n">
        <v>-23.456509</v>
      </c>
      <c r="C2753" s="43" t="n">
        <v>-46.738001</v>
      </c>
      <c r="D2753" s="43" t="n">
        <v>100</v>
      </c>
      <c r="E2753" s="44" t="n">
        <v>12864.383</v>
      </c>
    </row>
    <row r="2754">
      <c r="A2754" s="39">
        <f>_xlfn.XLOOKUP(17846,Trip[shape_id],Trip[shape_id],"Não encontrado")</f>
        <v/>
      </c>
      <c r="B2754" s="40" t="n">
        <v>-23.455881</v>
      </c>
      <c r="C2754" s="40" t="n">
        <v>-46.73821</v>
      </c>
      <c r="D2754" s="40" t="n">
        <v>101</v>
      </c>
      <c r="E2754" s="41" t="n">
        <v>12937.139</v>
      </c>
    </row>
    <row r="2755">
      <c r="A2755" s="42">
        <f>_xlfn.XLOOKUP(17846,Trip[shape_id],Trip[shape_id],"Não encontrado")</f>
        <v/>
      </c>
      <c r="B2755" s="43" t="n">
        <v>-23.455502</v>
      </c>
      <c r="C2755" s="43" t="n">
        <v>-46.738483</v>
      </c>
      <c r="D2755" s="43" t="n">
        <v>102</v>
      </c>
      <c r="E2755" s="44" t="n">
        <v>12987.536</v>
      </c>
    </row>
    <row r="2756">
      <c r="A2756" s="39">
        <f>_xlfn.XLOOKUP(17846,Trip[shape_id],Trip[shape_id],"Não encontrado")</f>
        <v/>
      </c>
      <c r="B2756" s="40" t="n">
        <v>-23.455134</v>
      </c>
      <c r="C2756" s="40" t="n">
        <v>-46.738753</v>
      </c>
      <c r="D2756" s="40" t="n">
        <v>103</v>
      </c>
      <c r="E2756" s="41" t="n">
        <v>13036.751</v>
      </c>
    </row>
    <row r="2757">
      <c r="A2757" s="42">
        <f>_xlfn.XLOOKUP(17846,Trip[shape_id],Trip[shape_id],"Não encontrado")</f>
        <v/>
      </c>
      <c r="B2757" s="43" t="n">
        <v>-23.454533</v>
      </c>
      <c r="C2757" s="43" t="n">
        <v>-46.739517</v>
      </c>
      <c r="D2757" s="43" t="n">
        <v>104</v>
      </c>
      <c r="E2757" s="44" t="n">
        <v>13139.338</v>
      </c>
    </row>
    <row r="2758">
      <c r="A2758" s="39">
        <f>_xlfn.XLOOKUP(17846,Trip[shape_id],Trip[shape_id],"Não encontrado")</f>
        <v/>
      </c>
      <c r="B2758" s="40" t="n">
        <v>-23.454009</v>
      </c>
      <c r="C2758" s="40" t="n">
        <v>-46.740485</v>
      </c>
      <c r="D2758" s="40" t="n">
        <v>105</v>
      </c>
      <c r="E2758" s="41" t="n">
        <v>13254.013</v>
      </c>
    </row>
    <row r="2759">
      <c r="A2759" s="42">
        <f>_xlfn.XLOOKUP(17846,Trip[shape_id],Trip[shape_id],"Não encontrado")</f>
        <v/>
      </c>
      <c r="B2759" s="43" t="n">
        <v>-23.453803</v>
      </c>
      <c r="C2759" s="43" t="n">
        <v>-46.740766</v>
      </c>
      <c r="D2759" s="43" t="n">
        <v>106</v>
      </c>
      <c r="E2759" s="44" t="n">
        <v>13290.686</v>
      </c>
    </row>
    <row r="2760">
      <c r="A2760" s="39">
        <f>_xlfn.XLOOKUP(17846,Trip[shape_id],Trip[shape_id],"Não encontrado")</f>
        <v/>
      </c>
      <c r="B2760" s="40" t="n">
        <v>-23.453205</v>
      </c>
      <c r="C2760" s="40" t="n">
        <v>-46.741592</v>
      </c>
      <c r="D2760" s="40" t="n">
        <v>107</v>
      </c>
      <c r="E2760" s="41" t="n">
        <v>13397.967</v>
      </c>
    </row>
    <row r="2761">
      <c r="A2761" s="42">
        <f>_xlfn.XLOOKUP(17846,Trip[shape_id],Trip[shape_id],"Não encontrado")</f>
        <v/>
      </c>
      <c r="B2761" s="43" t="n">
        <v>-23.452395</v>
      </c>
      <c r="C2761" s="43" t="n">
        <v>-46.74214</v>
      </c>
      <c r="D2761" s="43" t="n">
        <v>108</v>
      </c>
      <c r="E2761" s="44" t="n">
        <v>13503.715</v>
      </c>
    </row>
    <row r="2762">
      <c r="A2762" s="39">
        <f>_xlfn.XLOOKUP(17846,Trip[shape_id],Trip[shape_id],"Não encontrado")</f>
        <v/>
      </c>
      <c r="B2762" s="40" t="n">
        <v>-23.451703</v>
      </c>
      <c r="C2762" s="40" t="n">
        <v>-46.742402</v>
      </c>
      <c r="D2762" s="40" t="n">
        <v>109</v>
      </c>
      <c r="E2762" s="41" t="n">
        <v>13584.896</v>
      </c>
    </row>
    <row r="2763">
      <c r="A2763" s="42">
        <f>_xlfn.XLOOKUP(17846,Trip[shape_id],Trip[shape_id],"Não encontrado")</f>
        <v/>
      </c>
      <c r="B2763" s="43" t="n">
        <v>-23.450781</v>
      </c>
      <c r="C2763" s="43" t="n">
        <v>-46.742512</v>
      </c>
      <c r="D2763" s="43" t="n">
        <v>110</v>
      </c>
      <c r="E2763" s="44" t="n">
        <v>13687.624</v>
      </c>
    </row>
    <row r="2764">
      <c r="A2764" s="39">
        <f>_xlfn.XLOOKUP(17846,Trip[shape_id],Trip[shape_id],"Não encontrado")</f>
        <v/>
      </c>
      <c r="B2764" s="40" t="n">
        <v>-23.449315</v>
      </c>
      <c r="C2764" s="40" t="n">
        <v>-46.742204</v>
      </c>
      <c r="D2764" s="40" t="n">
        <v>111</v>
      </c>
      <c r="E2764" s="41" t="n">
        <v>13853.006</v>
      </c>
    </row>
    <row r="2765">
      <c r="A2765" s="42">
        <f>_xlfn.XLOOKUP(17846,Trip[shape_id],Trip[shape_id],"Não encontrado")</f>
        <v/>
      </c>
      <c r="B2765" s="43" t="n">
        <v>-23.447679</v>
      </c>
      <c r="C2765" s="43" t="n">
        <v>-46.742027</v>
      </c>
      <c r="D2765" s="43" t="n">
        <v>112</v>
      </c>
      <c r="E2765" s="44" t="n">
        <v>14035.094</v>
      </c>
    </row>
    <row r="2766">
      <c r="A2766" s="39">
        <f>_xlfn.XLOOKUP(17846,Trip[shape_id],Trip[shape_id],"Não encontrado")</f>
        <v/>
      </c>
      <c r="B2766" s="40" t="n">
        <v>-23.446149</v>
      </c>
      <c r="C2766" s="40" t="n">
        <v>-46.742079</v>
      </c>
      <c r="D2766" s="40" t="n">
        <v>113</v>
      </c>
      <c r="E2766" s="41" t="n">
        <v>14204.625</v>
      </c>
    </row>
    <row r="2767">
      <c r="A2767" s="42">
        <f>_xlfn.XLOOKUP(17846,Trip[shape_id],Trip[shape_id],"Não encontrado")</f>
        <v/>
      </c>
      <c r="B2767" s="43" t="n">
        <v>-23.445153</v>
      </c>
      <c r="C2767" s="43" t="n">
        <v>-46.742317</v>
      </c>
      <c r="D2767" s="43" t="n">
        <v>114</v>
      </c>
      <c r="E2767" s="44" t="n">
        <v>14317.581</v>
      </c>
    </row>
    <row r="2768">
      <c r="A2768" s="39">
        <f>_xlfn.XLOOKUP(17846,Trip[shape_id],Trip[shape_id],"Não encontrado")</f>
        <v/>
      </c>
      <c r="B2768" s="40" t="n">
        <v>-23.443935</v>
      </c>
      <c r="C2768" s="40" t="n">
        <v>-46.742744</v>
      </c>
      <c r="D2768" s="40" t="n">
        <v>115</v>
      </c>
      <c r="E2768" s="41" t="n">
        <v>14459.356</v>
      </c>
    </row>
    <row r="2769">
      <c r="A2769" s="42">
        <f>_xlfn.XLOOKUP(17846,Trip[shape_id],Trip[shape_id],"Não encontrado")</f>
        <v/>
      </c>
      <c r="B2769" s="43" t="n">
        <v>-23.443676</v>
      </c>
      <c r="C2769" s="43" t="n">
        <v>-46.742829</v>
      </c>
      <c r="D2769" s="43" t="n">
        <v>116</v>
      </c>
      <c r="E2769" s="44" t="n">
        <v>14489.327</v>
      </c>
    </row>
    <row r="2770">
      <c r="A2770" s="39">
        <f>_xlfn.XLOOKUP(17846,Trip[shape_id],Trip[shape_id],"Não encontrado")</f>
        <v/>
      </c>
      <c r="B2770" s="40" t="n">
        <v>-23.443351</v>
      </c>
      <c r="C2770" s="40" t="n">
        <v>-46.743011</v>
      </c>
      <c r="D2770" s="40" t="n">
        <v>117</v>
      </c>
      <c r="E2770" s="41" t="n">
        <v>14529.842</v>
      </c>
    </row>
    <row r="2771">
      <c r="A2771" s="42">
        <f>_xlfn.XLOOKUP(17846,Trip[shape_id],Trip[shape_id],"Não encontrado")</f>
        <v/>
      </c>
      <c r="B2771" s="43" t="n">
        <v>-23.442788</v>
      </c>
      <c r="C2771" s="43" t="n">
        <v>-46.743323</v>
      </c>
      <c r="D2771" s="43" t="n">
        <v>118</v>
      </c>
      <c r="E2771" s="44" t="n">
        <v>14599.872</v>
      </c>
    </row>
    <row r="2772">
      <c r="A2772" s="39">
        <f>_xlfn.XLOOKUP(17846,Trip[shape_id],Trip[shape_id],"Não encontrado")</f>
        <v/>
      </c>
      <c r="B2772" s="40" t="n">
        <v>-23.441886</v>
      </c>
      <c r="C2772" s="40" t="n">
        <v>-46.74422</v>
      </c>
      <c r="D2772" s="40" t="n">
        <v>119</v>
      </c>
      <c r="E2772" s="41" t="n">
        <v>14735.448</v>
      </c>
    </row>
    <row r="2773">
      <c r="A2773" s="42">
        <f>_xlfn.XLOOKUP(17846,Trip[shape_id],Trip[shape_id],"Não encontrado")</f>
        <v/>
      </c>
      <c r="B2773" s="43" t="n">
        <v>-23.441219</v>
      </c>
      <c r="C2773" s="43" t="n">
        <v>-46.74548</v>
      </c>
      <c r="D2773" s="43" t="n">
        <v>120</v>
      </c>
      <c r="E2773" s="44" t="n">
        <v>14883.889</v>
      </c>
    </row>
    <row r="2774">
      <c r="A2774" s="39">
        <f>_xlfn.XLOOKUP(17846,Trip[shape_id],Trip[shape_id],"Não encontrado")</f>
        <v/>
      </c>
      <c r="B2774" s="40" t="n">
        <v>-23.440766</v>
      </c>
      <c r="C2774" s="40" t="n">
        <v>-46.746018</v>
      </c>
      <c r="D2774" s="40" t="n">
        <v>121</v>
      </c>
      <c r="E2774" s="41" t="n">
        <v>14958.315</v>
      </c>
    </row>
    <row r="2775">
      <c r="A2775" s="42">
        <f>_xlfn.XLOOKUP(17846,Trip[shape_id],Trip[shape_id],"Não encontrado")</f>
        <v/>
      </c>
      <c r="B2775" s="43" t="n">
        <v>-23.440299</v>
      </c>
      <c r="C2775" s="43" t="n">
        <v>-46.746452</v>
      </c>
      <c r="D2775" s="43" t="n">
        <v>122</v>
      </c>
      <c r="E2775" s="44" t="n">
        <v>15026.446</v>
      </c>
    </row>
    <row r="2776">
      <c r="A2776" s="39">
        <f>_xlfn.XLOOKUP(17846,Trip[shape_id],Trip[shape_id],"Não encontrado")</f>
        <v/>
      </c>
      <c r="B2776" s="40" t="n">
        <v>-23.439791</v>
      </c>
      <c r="C2776" s="40" t="n">
        <v>-46.74681</v>
      </c>
      <c r="D2776" s="40" t="n">
        <v>123</v>
      </c>
      <c r="E2776" s="41" t="n">
        <v>15093.556</v>
      </c>
    </row>
    <row r="2777">
      <c r="A2777" s="42">
        <f>_xlfn.XLOOKUP(17846,Trip[shape_id],Trip[shape_id],"Não encontrado")</f>
        <v/>
      </c>
      <c r="B2777" s="43" t="n">
        <v>-23.439441</v>
      </c>
      <c r="C2777" s="43" t="n">
        <v>-46.746923</v>
      </c>
      <c r="D2777" s="43" t="n">
        <v>124</v>
      </c>
      <c r="E2777" s="44" t="n">
        <v>15134.002</v>
      </c>
    </row>
    <row r="2778">
      <c r="A2778" s="39">
        <f>_xlfn.XLOOKUP(17846,Trip[shape_id],Trip[shape_id],"Não encontrado")</f>
        <v/>
      </c>
      <c r="B2778" s="40" t="n">
        <v>-23.439018</v>
      </c>
      <c r="C2778" s="40" t="n">
        <v>-46.747042</v>
      </c>
      <c r="D2778" s="40" t="n">
        <v>125</v>
      </c>
      <c r="E2778" s="41" t="n">
        <v>15182.401</v>
      </c>
    </row>
    <row r="2779">
      <c r="A2779" s="42">
        <f>_xlfn.XLOOKUP(17846,Trip[shape_id],Trip[shape_id],"Não encontrado")</f>
        <v/>
      </c>
      <c r="B2779" s="43" t="n">
        <v>-23.438241</v>
      </c>
      <c r="C2779" s="43" t="n">
        <v>-46.747206</v>
      </c>
      <c r="D2779" s="43" t="n">
        <v>126</v>
      </c>
      <c r="E2779" s="44" t="n">
        <v>15270.071</v>
      </c>
    </row>
    <row r="2780">
      <c r="A2780" s="39">
        <f>_xlfn.XLOOKUP(17846,Trip[shape_id],Trip[shape_id],"Não encontrado")</f>
        <v/>
      </c>
      <c r="B2780" s="40" t="n">
        <v>-23.437494</v>
      </c>
      <c r="C2780" s="40" t="n">
        <v>-46.747357</v>
      </c>
      <c r="D2780" s="40" t="n">
        <v>127</v>
      </c>
      <c r="E2780" s="41" t="n">
        <v>15354.229</v>
      </c>
    </row>
    <row r="2781">
      <c r="A2781" s="42">
        <f>_xlfn.XLOOKUP(17846,Trip[shape_id],Trip[shape_id],"Não encontrado")</f>
        <v/>
      </c>
      <c r="B2781" s="43" t="n">
        <v>-23.43703</v>
      </c>
      <c r="C2781" s="43" t="n">
        <v>-46.747442</v>
      </c>
      <c r="D2781" s="43" t="n">
        <v>128</v>
      </c>
      <c r="E2781" s="44" t="n">
        <v>15406.346</v>
      </c>
    </row>
    <row r="2782">
      <c r="A2782" s="39">
        <f>_xlfn.XLOOKUP(17846,Trip[shape_id],Trip[shape_id],"Não encontrado")</f>
        <v/>
      </c>
      <c r="B2782" s="40" t="n">
        <v>-23.436104</v>
      </c>
      <c r="C2782" s="40" t="n">
        <v>-46.747615</v>
      </c>
      <c r="D2782" s="40" t="n">
        <v>129</v>
      </c>
      <c r="E2782" s="41" t="n">
        <v>15510.413</v>
      </c>
    </row>
    <row r="2783">
      <c r="A2783" s="42">
        <f>_xlfn.XLOOKUP(17846,Trip[shape_id],Trip[shape_id],"Não encontrado")</f>
        <v/>
      </c>
      <c r="B2783" s="43" t="n">
        <v>-23.435798</v>
      </c>
      <c r="C2783" s="43" t="n">
        <v>-46.747663</v>
      </c>
      <c r="D2783" s="43" t="n">
        <v>130</v>
      </c>
      <c r="E2783" s="44" t="n">
        <v>15544.656</v>
      </c>
    </row>
    <row r="2784">
      <c r="A2784" s="39">
        <f>_xlfn.XLOOKUP(17846,Trip[shape_id],Trip[shape_id],"Não encontrado")</f>
        <v/>
      </c>
      <c r="B2784" s="40" t="n">
        <v>-23.434675</v>
      </c>
      <c r="C2784" s="40" t="n">
        <v>-46.747748</v>
      </c>
      <c r="D2784" s="40" t="n">
        <v>131</v>
      </c>
      <c r="E2784" s="41" t="n">
        <v>15669.332</v>
      </c>
    </row>
    <row r="2785">
      <c r="A2785" s="42">
        <f>_xlfn.XLOOKUP(17846,Trip[shape_id],Trip[shape_id],"Não encontrado")</f>
        <v/>
      </c>
      <c r="B2785" s="43" t="n">
        <v>-23.433777</v>
      </c>
      <c r="C2785" s="43" t="n">
        <v>-46.74767</v>
      </c>
      <c r="D2785" s="43" t="n">
        <v>132</v>
      </c>
      <c r="E2785" s="44" t="n">
        <v>15769.104</v>
      </c>
    </row>
    <row r="2786">
      <c r="A2786" s="39">
        <f>_xlfn.XLOOKUP(17846,Trip[shape_id],Trip[shape_id],"Não encontrado")</f>
        <v/>
      </c>
      <c r="B2786" s="40" t="n">
        <v>-23.433102</v>
      </c>
      <c r="C2786" s="40" t="n">
        <v>-46.747467</v>
      </c>
      <c r="D2786" s="40" t="n">
        <v>133</v>
      </c>
      <c r="E2786" s="41" t="n">
        <v>15846.686</v>
      </c>
    </row>
    <row r="2787">
      <c r="A2787" s="42">
        <f>_xlfn.XLOOKUP(17846,Trip[shape_id],Trip[shape_id],"Não encontrado")</f>
        <v/>
      </c>
      <c r="B2787" s="43" t="n">
        <v>-23.432457</v>
      </c>
      <c r="C2787" s="43" t="n">
        <v>-46.747314</v>
      </c>
      <c r="D2787" s="43" t="n">
        <v>134</v>
      </c>
      <c r="E2787" s="44" t="n">
        <v>15919.811</v>
      </c>
    </row>
    <row r="2788">
      <c r="A2788" s="39">
        <f>_xlfn.XLOOKUP(17846,Trip[shape_id],Trip[shape_id],"Não encontrado")</f>
        <v/>
      </c>
      <c r="B2788" s="40" t="n">
        <v>-23.431248</v>
      </c>
      <c r="C2788" s="40" t="n">
        <v>-46.746735</v>
      </c>
      <c r="D2788" s="40" t="n">
        <v>135</v>
      </c>
      <c r="E2788" s="41" t="n">
        <v>16066.198</v>
      </c>
    </row>
    <row r="2789">
      <c r="A2789" s="42">
        <f>_xlfn.XLOOKUP(17846,Trip[shape_id],Trip[shape_id],"Não encontrado")</f>
        <v/>
      </c>
      <c r="B2789" s="43" t="n">
        <v>-23.430152</v>
      </c>
      <c r="C2789" s="43" t="n">
        <v>-46.746279</v>
      </c>
      <c r="D2789" s="43" t="n">
        <v>136</v>
      </c>
      <c r="E2789" s="44" t="n">
        <v>16196.219</v>
      </c>
    </row>
    <row r="2790">
      <c r="A2790" s="39">
        <f>_xlfn.XLOOKUP(17846,Trip[shape_id],Trip[shape_id],"Não encontrado")</f>
        <v/>
      </c>
      <c r="B2790" s="40" t="n">
        <v>-23.428827</v>
      </c>
      <c r="C2790" s="40" t="n">
        <v>-46.745884</v>
      </c>
      <c r="D2790" s="40" t="n">
        <v>137</v>
      </c>
      <c r="E2790" s="41" t="n">
        <v>16348.414</v>
      </c>
    </row>
    <row r="2791">
      <c r="A2791" s="42">
        <f>_xlfn.XLOOKUP(17846,Trip[shape_id],Trip[shape_id],"Não encontrado")</f>
        <v/>
      </c>
      <c r="B2791" s="43" t="n">
        <v>-23.427047</v>
      </c>
      <c r="C2791" s="43" t="n">
        <v>-46.745605</v>
      </c>
      <c r="D2791" s="43" t="n">
        <v>138</v>
      </c>
      <c r="E2791" s="44" t="n">
        <v>16547.6</v>
      </c>
    </row>
    <row r="2792">
      <c r="A2792" s="39">
        <f>_xlfn.XLOOKUP(17846,Trip[shape_id],Trip[shape_id],"Não encontrado")</f>
        <v/>
      </c>
      <c r="B2792" s="40" t="n">
        <v>-23.426401</v>
      </c>
      <c r="C2792" s="40" t="n">
        <v>-46.745357</v>
      </c>
      <c r="D2792" s="40" t="n">
        <v>139</v>
      </c>
      <c r="E2792" s="41" t="n">
        <v>16623.5</v>
      </c>
    </row>
    <row r="2793">
      <c r="A2793" s="42">
        <f>_xlfn.XLOOKUP(17846,Trip[shape_id],Trip[shape_id],"Não encontrado")</f>
        <v/>
      </c>
      <c r="B2793" s="43" t="n">
        <v>-23.426035</v>
      </c>
      <c r="C2793" s="43" t="n">
        <v>-46.745121</v>
      </c>
      <c r="D2793" s="43" t="n">
        <v>140</v>
      </c>
      <c r="E2793" s="44" t="n">
        <v>16670.668</v>
      </c>
    </row>
    <row r="2794">
      <c r="A2794" s="39">
        <f>_xlfn.XLOOKUP(17846,Trip[shape_id],Trip[shape_id],"Não encontrado")</f>
        <v/>
      </c>
      <c r="B2794" s="40" t="n">
        <v>-23.425725</v>
      </c>
      <c r="C2794" s="40" t="n">
        <v>-46.744915</v>
      </c>
      <c r="D2794" s="40" t="n">
        <v>141</v>
      </c>
      <c r="E2794" s="41" t="n">
        <v>16710.941</v>
      </c>
    </row>
    <row r="2795">
      <c r="A2795" s="42">
        <f>_xlfn.XLOOKUP(17846,Trip[shape_id],Trip[shape_id],"Não encontrado")</f>
        <v/>
      </c>
      <c r="B2795" s="43" t="n">
        <v>-23.424479</v>
      </c>
      <c r="C2795" s="43" t="n">
        <v>-46.744028</v>
      </c>
      <c r="D2795" s="43" t="n">
        <v>142</v>
      </c>
      <c r="E2795" s="44" t="n">
        <v>16876.047</v>
      </c>
    </row>
    <row r="2796">
      <c r="A2796" s="39">
        <f>_xlfn.XLOOKUP(17846,Trip[shape_id],Trip[shape_id],"Não encontrado")</f>
        <v/>
      </c>
      <c r="B2796" s="40" t="n">
        <v>-23.423913</v>
      </c>
      <c r="C2796" s="40" t="n">
        <v>-46.743825</v>
      </c>
      <c r="D2796" s="40" t="n">
        <v>143</v>
      </c>
      <c r="E2796" s="41" t="n">
        <v>16942.076</v>
      </c>
    </row>
    <row r="2797">
      <c r="A2797" s="42">
        <f>_xlfn.XLOOKUP(17846,Trip[shape_id],Trip[shape_id],"Não encontrado")</f>
        <v/>
      </c>
      <c r="B2797" s="43" t="n">
        <v>-23.423359</v>
      </c>
      <c r="C2797" s="43" t="n">
        <v>-46.743631</v>
      </c>
      <c r="D2797" s="43" t="n">
        <v>144</v>
      </c>
      <c r="E2797" s="44" t="n">
        <v>17006.555</v>
      </c>
    </row>
    <row r="2798">
      <c r="A2798" s="39">
        <f>_xlfn.XLOOKUP(17846,Trip[shape_id],Trip[shape_id],"Não encontrado")</f>
        <v/>
      </c>
      <c r="B2798" s="40" t="n">
        <v>-23.422389</v>
      </c>
      <c r="C2798" s="40" t="n">
        <v>-46.74363</v>
      </c>
      <c r="D2798" s="40" t="n">
        <v>145</v>
      </c>
      <c r="E2798" s="41" t="n">
        <v>17113.982</v>
      </c>
    </row>
    <row r="2799">
      <c r="A2799" s="42">
        <f>_xlfn.XLOOKUP(17846,Trip[shape_id],Trip[shape_id],"Não encontrado")</f>
        <v/>
      </c>
      <c r="B2799" s="43" t="n">
        <v>-23.421414</v>
      </c>
      <c r="C2799" s="43" t="n">
        <v>-46.74394</v>
      </c>
      <c r="D2799" s="43" t="n">
        <v>146</v>
      </c>
      <c r="E2799" s="44" t="n">
        <v>17226.516</v>
      </c>
    </row>
    <row r="2800">
      <c r="A2800" s="39">
        <f>_xlfn.XLOOKUP(17846,Trip[shape_id],Trip[shape_id],"Não encontrado")</f>
        <v/>
      </c>
      <c r="B2800" s="40" t="n">
        <v>-23.420637</v>
      </c>
      <c r="C2800" s="40" t="n">
        <v>-46.744257</v>
      </c>
      <c r="D2800" s="40" t="n">
        <v>147</v>
      </c>
      <c r="E2800" s="41" t="n">
        <v>17318.465</v>
      </c>
    </row>
    <row r="2801">
      <c r="A2801" s="42">
        <f>_xlfn.XLOOKUP(17846,Trip[shape_id],Trip[shape_id],"Não encontrado")</f>
        <v/>
      </c>
      <c r="B2801" s="43" t="n">
        <v>-23.419646</v>
      </c>
      <c r="C2801" s="43" t="n">
        <v>-46.744658</v>
      </c>
      <c r="D2801" s="43" t="n">
        <v>148</v>
      </c>
      <c r="E2801" s="44" t="n">
        <v>17435.621</v>
      </c>
    </row>
    <row r="2802">
      <c r="A2802" s="39">
        <f>_xlfn.XLOOKUP(17846,Trip[shape_id],Trip[shape_id],"Não encontrado")</f>
        <v/>
      </c>
      <c r="B2802" s="40" t="n">
        <v>-23.418659</v>
      </c>
      <c r="C2802" s="40" t="n">
        <v>-46.744923</v>
      </c>
      <c r="D2802" s="40" t="n">
        <v>149</v>
      </c>
      <c r="E2802" s="41" t="n">
        <v>17548.236</v>
      </c>
    </row>
    <row r="2803">
      <c r="A2803" s="42">
        <f>_xlfn.XLOOKUP(17846,Trip[shape_id],Trip[shape_id],"Não encontrado")</f>
        <v/>
      </c>
      <c r="B2803" s="43" t="n">
        <v>-23.418424</v>
      </c>
      <c r="C2803" s="43" t="n">
        <v>-46.744981</v>
      </c>
      <c r="D2803" s="43" t="n">
        <v>150</v>
      </c>
      <c r="E2803" s="44" t="n">
        <v>17574.93</v>
      </c>
    </row>
    <row r="2804">
      <c r="A2804" s="39">
        <f>_xlfn.XLOOKUP(17846,Trip[shape_id],Trip[shape_id],"Não encontrado")</f>
        <v/>
      </c>
      <c r="B2804" s="40" t="n">
        <v>-23.417358</v>
      </c>
      <c r="C2804" s="40" t="n">
        <v>-46.74501</v>
      </c>
      <c r="D2804" s="40" t="n">
        <v>151</v>
      </c>
      <c r="E2804" s="41" t="n">
        <v>17693.025</v>
      </c>
    </row>
    <row r="2805">
      <c r="A2805" s="42">
        <f>_xlfn.XLOOKUP(17846,Trip[shape_id],Trip[shape_id],"Não encontrado")</f>
        <v/>
      </c>
      <c r="B2805" s="43" t="n">
        <v>-23.417088</v>
      </c>
      <c r="C2805" s="43" t="n">
        <v>-46.744972</v>
      </c>
      <c r="D2805" s="43" t="n">
        <v>152</v>
      </c>
      <c r="E2805" s="44" t="n">
        <v>17723.18</v>
      </c>
    </row>
    <row r="2806">
      <c r="A2806" s="39">
        <f>_xlfn.XLOOKUP(17846,Trip[shape_id],Trip[shape_id],"Não encontrado")</f>
        <v/>
      </c>
      <c r="B2806" s="40" t="n">
        <v>-23.415949</v>
      </c>
      <c r="C2806" s="40" t="n">
        <v>-46.744826</v>
      </c>
      <c r="D2806" s="40" t="n">
        <v>153</v>
      </c>
      <c r="E2806" s="41" t="n">
        <v>17850.203</v>
      </c>
    </row>
    <row r="2807">
      <c r="A2807" s="42">
        <f>_xlfn.XLOOKUP(17846,Trip[shape_id],Trip[shape_id],"Não encontrado")</f>
        <v/>
      </c>
      <c r="B2807" s="43" t="n">
        <v>-23.415351</v>
      </c>
      <c r="C2807" s="43" t="n">
        <v>-46.744873</v>
      </c>
      <c r="D2807" s="43" t="n">
        <v>154</v>
      </c>
      <c r="E2807" s="44" t="n">
        <v>17916.605</v>
      </c>
    </row>
    <row r="2808">
      <c r="A2808" s="39">
        <f>_xlfn.XLOOKUP(17846,Trip[shape_id],Trip[shape_id],"Não encontrado")</f>
        <v/>
      </c>
      <c r="B2808" s="40" t="n">
        <v>-23.414685</v>
      </c>
      <c r="C2808" s="40" t="n">
        <v>-46.745004</v>
      </c>
      <c r="D2808" s="40" t="n">
        <v>155</v>
      </c>
      <c r="E2808" s="41" t="n">
        <v>17991.57</v>
      </c>
    </row>
    <row r="2809">
      <c r="A2809" s="42">
        <f>_xlfn.XLOOKUP(17846,Trip[shape_id],Trip[shape_id],"Não encontrado")</f>
        <v/>
      </c>
      <c r="B2809" s="43" t="n">
        <v>-23.414028</v>
      </c>
      <c r="C2809" s="43" t="n">
        <v>-46.745244</v>
      </c>
      <c r="D2809" s="43" t="n">
        <v>156</v>
      </c>
      <c r="E2809" s="44" t="n">
        <v>18068.355</v>
      </c>
    </row>
    <row r="2810">
      <c r="A2810" s="39">
        <f>_xlfn.XLOOKUP(17846,Trip[shape_id],Trip[shape_id],"Não encontrado")</f>
        <v/>
      </c>
      <c r="B2810" s="40" t="n">
        <v>-23.413401</v>
      </c>
      <c r="C2810" s="40" t="n">
        <v>-46.745663</v>
      </c>
      <c r="D2810" s="40" t="n">
        <v>157</v>
      </c>
      <c r="E2810" s="41" t="n">
        <v>18149.939</v>
      </c>
    </row>
    <row r="2811">
      <c r="A2811" s="42">
        <f>_xlfn.XLOOKUP(17846,Trip[shape_id],Trip[shape_id],"Não encontrado")</f>
        <v/>
      </c>
      <c r="B2811" s="43" t="n">
        <v>-23.41269</v>
      </c>
      <c r="C2811" s="43" t="n">
        <v>-46.746227</v>
      </c>
      <c r="D2811" s="43" t="n">
        <v>158</v>
      </c>
      <c r="E2811" s="44" t="n">
        <v>18247.527</v>
      </c>
    </row>
    <row r="2812">
      <c r="A2812" s="39">
        <f>_xlfn.XLOOKUP(17846,Trip[shape_id],Trip[shape_id],"Não encontrado")</f>
        <v/>
      </c>
      <c r="B2812" s="40" t="n">
        <v>-23.412055</v>
      </c>
      <c r="C2812" s="40" t="n">
        <v>-46.746739</v>
      </c>
      <c r="D2812" s="40" t="n">
        <v>159</v>
      </c>
      <c r="E2812" s="41" t="n">
        <v>18335.188</v>
      </c>
    </row>
    <row r="2813">
      <c r="A2813" s="42">
        <f>_xlfn.XLOOKUP(17846,Trip[shape_id],Trip[shape_id],"Não encontrado")</f>
        <v/>
      </c>
      <c r="B2813" s="43" t="n">
        <v>-23.410944</v>
      </c>
      <c r="C2813" s="43" t="n">
        <v>-46.747645</v>
      </c>
      <c r="D2813" s="43" t="n">
        <v>160</v>
      </c>
      <c r="E2813" s="44" t="n">
        <v>18489.184</v>
      </c>
    </row>
    <row r="2814">
      <c r="A2814" s="39">
        <f>_xlfn.XLOOKUP(17846,Trip[shape_id],Trip[shape_id],"Não encontrado")</f>
        <v/>
      </c>
      <c r="B2814" s="40" t="n">
        <v>-23.410076</v>
      </c>
      <c r="C2814" s="40" t="n">
        <v>-46.748729</v>
      </c>
      <c r="D2814" s="40" t="n">
        <v>161</v>
      </c>
      <c r="E2814" s="41" t="n">
        <v>18635.869</v>
      </c>
    </row>
    <row r="2815">
      <c r="A2815" s="42">
        <f>_xlfn.XLOOKUP(17846,Trip[shape_id],Trip[shape_id],"Não encontrado")</f>
        <v/>
      </c>
      <c r="B2815" s="43" t="n">
        <v>-23.40959</v>
      </c>
      <c r="C2815" s="43" t="n">
        <v>-46.749513</v>
      </c>
      <c r="D2815" s="43" t="n">
        <v>162</v>
      </c>
      <c r="E2815" s="44" t="n">
        <v>18732.4</v>
      </c>
    </row>
    <row r="2816">
      <c r="A2816" s="39">
        <f>_xlfn.XLOOKUP(17846,Trip[shape_id],Trip[shape_id],"Não encontrado")</f>
        <v/>
      </c>
      <c r="B2816" s="40" t="n">
        <v>-23.409167</v>
      </c>
      <c r="C2816" s="40" t="n">
        <v>-46.750322</v>
      </c>
      <c r="D2816" s="40" t="n">
        <v>163</v>
      </c>
      <c r="E2816" s="41" t="n">
        <v>18827.438</v>
      </c>
    </row>
    <row r="2817">
      <c r="A2817" s="42">
        <f>_xlfn.XLOOKUP(17846,Trip[shape_id],Trip[shape_id],"Não encontrado")</f>
        <v/>
      </c>
      <c r="B2817" s="43" t="n">
        <v>-23.408637</v>
      </c>
      <c r="C2817" s="43" t="n">
        <v>-46.75096</v>
      </c>
      <c r="D2817" s="43" t="n">
        <v>164</v>
      </c>
      <c r="E2817" s="44" t="n">
        <v>18915.174</v>
      </c>
    </row>
    <row r="2818">
      <c r="A2818" s="39">
        <f>_xlfn.XLOOKUP(17846,Trip[shape_id],Trip[shape_id],"Não encontrado")</f>
        <v/>
      </c>
      <c r="B2818" s="40" t="n">
        <v>-23.408246</v>
      </c>
      <c r="C2818" s="40" t="n">
        <v>-46.751427</v>
      </c>
      <c r="D2818" s="40" t="n">
        <v>165</v>
      </c>
      <c r="E2818" s="41" t="n">
        <v>18979.623</v>
      </c>
    </row>
    <row r="2819">
      <c r="A2819" s="42">
        <f>_xlfn.XLOOKUP(17846,Trip[shape_id],Trip[shape_id],"Não encontrado")</f>
        <v/>
      </c>
      <c r="B2819" s="43" t="n">
        <v>-23.407787</v>
      </c>
      <c r="C2819" s="43" t="n">
        <v>-46.751768</v>
      </c>
      <c r="D2819" s="43" t="n">
        <v>166</v>
      </c>
      <c r="E2819" s="44" t="n">
        <v>19041.258</v>
      </c>
    </row>
    <row r="2820">
      <c r="A2820" s="39">
        <f>_xlfn.XLOOKUP(17846,Trip[shape_id],Trip[shape_id],"Não encontrado")</f>
        <v/>
      </c>
      <c r="B2820" s="40" t="n">
        <v>-23.407659</v>
      </c>
      <c r="C2820" s="40" t="n">
        <v>-46.751849</v>
      </c>
      <c r="D2820" s="40" t="n">
        <v>167</v>
      </c>
      <c r="E2820" s="41" t="n">
        <v>19057.674</v>
      </c>
    </row>
    <row r="2821">
      <c r="A2821" s="42">
        <f>_xlfn.XLOOKUP(17846,Trip[shape_id],Trip[shape_id],"Não encontrado")</f>
        <v/>
      </c>
      <c r="B2821" s="43" t="n">
        <v>-23.407079</v>
      </c>
      <c r="C2821" s="43" t="n">
        <v>-46.752179</v>
      </c>
      <c r="D2821" s="43" t="n">
        <v>168</v>
      </c>
      <c r="E2821" s="44" t="n">
        <v>19130.227</v>
      </c>
    </row>
    <row r="2822">
      <c r="A2822" s="39">
        <f>_xlfn.XLOOKUP(17846,Trip[shape_id],Trip[shape_id],"Não encontrado")</f>
        <v/>
      </c>
      <c r="B2822" s="40" t="n">
        <v>-23.406514</v>
      </c>
      <c r="C2822" s="40" t="n">
        <v>-46.752502</v>
      </c>
      <c r="D2822" s="40" t="n">
        <v>169</v>
      </c>
      <c r="E2822" s="41" t="n">
        <v>19200.977</v>
      </c>
    </row>
    <row r="2823">
      <c r="A2823" s="42">
        <f>_xlfn.XLOOKUP(17846,Trip[shape_id],Trip[shape_id],"Não encontrado")</f>
        <v/>
      </c>
      <c r="B2823" s="43" t="n">
        <v>-23.406326</v>
      </c>
      <c r="C2823" s="43" t="n">
        <v>-46.752641</v>
      </c>
      <c r="D2823" s="43" t="n">
        <v>170</v>
      </c>
      <c r="E2823" s="44" t="n">
        <v>19226.184</v>
      </c>
    </row>
    <row r="2824">
      <c r="A2824" s="39">
        <f>_xlfn.XLOOKUP(17846,Trip[shape_id],Trip[shape_id],"Não encontrado")</f>
        <v/>
      </c>
      <c r="B2824" s="40" t="n">
        <v>-23.405953</v>
      </c>
      <c r="C2824" s="40" t="n">
        <v>-46.752913</v>
      </c>
      <c r="D2824" s="40" t="n">
        <v>171</v>
      </c>
      <c r="E2824" s="41" t="n">
        <v>19275.979</v>
      </c>
    </row>
    <row r="2825">
      <c r="A2825" s="42">
        <f>_xlfn.XLOOKUP(17846,Trip[shape_id],Trip[shape_id],"Não encontrado")</f>
        <v/>
      </c>
      <c r="B2825" s="43" t="n">
        <v>-23.405043</v>
      </c>
      <c r="C2825" s="43" t="n">
        <v>-46.753583</v>
      </c>
      <c r="D2825" s="43" t="n">
        <v>172</v>
      </c>
      <c r="E2825" s="44" t="n">
        <v>19397.826</v>
      </c>
    </row>
    <row r="2826">
      <c r="A2826" s="39">
        <f>_xlfn.XLOOKUP(17846,Trip[shape_id],Trip[shape_id],"Não encontrado")</f>
        <v/>
      </c>
      <c r="B2826" s="40" t="n">
        <v>-23.404413</v>
      </c>
      <c r="C2826" s="40" t="n">
        <v>-46.754045</v>
      </c>
      <c r="D2826" s="40" t="n">
        <v>173</v>
      </c>
      <c r="E2826" s="41" t="n">
        <v>19742.926</v>
      </c>
    </row>
    <row r="2827">
      <c r="A2827" s="42">
        <f>_xlfn.XLOOKUP(17846,Trip[shape_id],Trip[shape_id],"Não encontrado")</f>
        <v/>
      </c>
      <c r="B2827" s="43" t="n">
        <v>-23.402166</v>
      </c>
      <c r="C2827" s="43" t="n">
        <v>-46.75481</v>
      </c>
      <c r="D2827" s="43" t="n">
        <v>174</v>
      </c>
      <c r="E2827" s="44" t="n">
        <v>19775.041</v>
      </c>
    </row>
    <row r="2828">
      <c r="A2828" s="39">
        <f>_xlfn.XLOOKUP(17846,Trip[shape_id],Trip[shape_id],"Não encontrado")</f>
        <v/>
      </c>
      <c r="B2828" s="40" t="n">
        <v>-23.401902</v>
      </c>
      <c r="C2828" s="40" t="n">
        <v>-46.75494</v>
      </c>
      <c r="D2828" s="40" t="n">
        <v>175</v>
      </c>
      <c r="E2828" s="41" t="n">
        <v>19831.918</v>
      </c>
    </row>
    <row r="2829">
      <c r="A2829" s="42">
        <f>_xlfn.XLOOKUP(17846,Trip[shape_id],Trip[shape_id],"Não encontrado")</f>
        <v/>
      </c>
      <c r="B2829" s="43" t="n">
        <v>-23.40144</v>
      </c>
      <c r="C2829" s="43" t="n">
        <v>-46.755183</v>
      </c>
      <c r="D2829" s="43" t="n">
        <v>176</v>
      </c>
      <c r="E2829" s="44" t="n">
        <v>19857.445</v>
      </c>
    </row>
    <row r="2830">
      <c r="A2830" s="39">
        <f>_xlfn.XLOOKUP(17846,Trip[shape_id],Trip[shape_id],"Não encontrado")</f>
        <v/>
      </c>
      <c r="B2830" s="40" t="n">
        <v>-23.401253</v>
      </c>
      <c r="C2830" s="40" t="n">
        <v>-46.755329</v>
      </c>
      <c r="D2830" s="40" t="n">
        <v>177</v>
      </c>
      <c r="E2830" s="41" t="n">
        <v>19968.838</v>
      </c>
    </row>
    <row r="2831">
      <c r="A2831" s="42">
        <f>_xlfn.XLOOKUP(17846,Trip[shape_id],Trip[shape_id],"Não encontrado")</f>
        <v/>
      </c>
      <c r="B2831" s="43" t="n">
        <v>-23.400431</v>
      </c>
      <c r="C2831" s="43" t="n">
        <v>-46.755957</v>
      </c>
      <c r="D2831" s="43" t="n">
        <v>178</v>
      </c>
      <c r="E2831" s="44" t="n">
        <v>20045.906</v>
      </c>
    </row>
    <row r="2832">
      <c r="A2832" s="39">
        <f>_xlfn.XLOOKUP(17846,Trip[shape_id],Trip[shape_id],"Não encontrado")</f>
        <v/>
      </c>
      <c r="B2832" s="40" t="n">
        <v>-23.399956</v>
      </c>
      <c r="C2832" s="40" t="n">
        <v>-46.756508</v>
      </c>
      <c r="D2832" s="40" t="n">
        <v>179</v>
      </c>
      <c r="E2832" s="41" t="n">
        <v>20090.076</v>
      </c>
    </row>
    <row r="2833">
      <c r="A2833" s="42">
        <f>_xlfn.XLOOKUP(17846,Trip[shape_id],Trip[shape_id],"Não encontrado")</f>
        <v/>
      </c>
      <c r="B2833" s="43" t="n">
        <v>-23.399689</v>
      </c>
      <c r="C2833" s="43" t="n">
        <v>-46.756829</v>
      </c>
      <c r="D2833" s="43" t="n">
        <v>180</v>
      </c>
      <c r="E2833" s="44" t="n">
        <v>20188.65</v>
      </c>
    </row>
    <row r="2834">
      <c r="A2834" s="39">
        <f>_xlfn.XLOOKUP(17846,Trip[shape_id],Trip[shape_id],"Não encontrado")</f>
        <v/>
      </c>
      <c r="B2834" s="40" t="n">
        <v>-23.39899</v>
      </c>
      <c r="C2834" s="40" t="n">
        <v>-46.757426</v>
      </c>
      <c r="D2834" s="40" t="n">
        <v>181</v>
      </c>
      <c r="E2834" s="41" t="n">
        <v>20289.688</v>
      </c>
    </row>
    <row r="2835">
      <c r="A2835" s="42">
        <f>_xlfn.XLOOKUP(17846,Trip[shape_id],Trip[shape_id],"Não encontrado")</f>
        <v/>
      </c>
      <c r="B2835" s="43" t="n">
        <v>-23.398183</v>
      </c>
      <c r="C2835" s="43" t="n">
        <v>-46.757887</v>
      </c>
      <c r="D2835" s="43" t="n">
        <v>182</v>
      </c>
      <c r="E2835" s="44" t="n">
        <v>20298.912</v>
      </c>
    </row>
    <row r="2836">
      <c r="A2836" s="39">
        <f>_xlfn.XLOOKUP(17846,Trip[shape_id],Trip[shape_id],"Não encontrado")</f>
        <v/>
      </c>
      <c r="B2836" s="40" t="n">
        <v>-23.398102</v>
      </c>
      <c r="C2836" s="40" t="n">
        <v>-46.757908</v>
      </c>
      <c r="D2836" s="40" t="n">
        <v>183</v>
      </c>
      <c r="E2836" s="41" t="n">
        <v>20387.74</v>
      </c>
    </row>
    <row r="2837">
      <c r="A2837" s="42">
        <f>_xlfn.XLOOKUP(17846,Trip[shape_id],Trip[shape_id],"Não encontrado")</f>
        <v/>
      </c>
      <c r="B2837" s="43" t="n">
        <v>-23.397314</v>
      </c>
      <c r="C2837" s="43" t="n">
        <v>-46.75807</v>
      </c>
      <c r="D2837" s="43" t="n">
        <v>184</v>
      </c>
      <c r="E2837" s="44" t="n">
        <v>20452.008</v>
      </c>
    </row>
    <row r="2838">
      <c r="A2838" s="39">
        <f>_xlfn.XLOOKUP(17846,Trip[shape_id],Trip[shape_id],"Não encontrado")</f>
        <v/>
      </c>
      <c r="B2838" s="40" t="n">
        <v>-23.396735</v>
      </c>
      <c r="C2838" s="40" t="n">
        <v>-46.758112</v>
      </c>
      <c r="D2838" s="40" t="n">
        <v>185</v>
      </c>
      <c r="E2838" s="41" t="n">
        <v>20494.912</v>
      </c>
    </row>
    <row r="2839">
      <c r="A2839" s="42">
        <f>_xlfn.XLOOKUP(17846,Trip[shape_id],Trip[shape_id],"Não encontrado")</f>
        <v/>
      </c>
      <c r="B2839" s="43" t="n">
        <v>-23.396348</v>
      </c>
      <c r="C2839" s="43" t="n">
        <v>-46.758131</v>
      </c>
      <c r="D2839" s="43" t="n">
        <v>186</v>
      </c>
      <c r="E2839" s="44" t="n">
        <v>20734.086</v>
      </c>
    </row>
    <row r="2840">
      <c r="A2840" s="39">
        <f>_xlfn.XLOOKUP(17846,Trip[shape_id],Trip[shape_id],"Não encontrado")</f>
        <v/>
      </c>
      <c r="B2840" s="40" t="n">
        <v>-23.39419</v>
      </c>
      <c r="C2840" s="40" t="n">
        <v>-46.758041</v>
      </c>
      <c r="D2840" s="40" t="n">
        <v>187</v>
      </c>
      <c r="E2840" s="41" t="n">
        <v>20815.328</v>
      </c>
    </row>
    <row r="2841">
      <c r="A2841" s="42">
        <f>_xlfn.XLOOKUP(17846,Trip[shape_id],Trip[shape_id],"Não encontrado")</f>
        <v/>
      </c>
      <c r="B2841" s="43" t="n">
        <v>-23.393457</v>
      </c>
      <c r="C2841" s="43" t="n">
        <v>-46.75801</v>
      </c>
      <c r="D2841" s="43" t="n">
        <v>188</v>
      </c>
      <c r="E2841" s="44" t="n">
        <v>20863.016</v>
      </c>
    </row>
    <row r="2842">
      <c r="A2842" s="39">
        <f>_xlfn.XLOOKUP(17846,Trip[shape_id],Trip[shape_id],"Não encontrado")</f>
        <v/>
      </c>
      <c r="B2842" s="40" t="n">
        <v>-23.393028</v>
      </c>
      <c r="C2842" s="40" t="n">
        <v>-46.75797</v>
      </c>
      <c r="D2842" s="40" t="n">
        <v>189</v>
      </c>
      <c r="E2842" s="41" t="n">
        <v>20914.777</v>
      </c>
    </row>
    <row r="2843">
      <c r="A2843" s="42">
        <f>_xlfn.XLOOKUP(17846,Trip[shape_id],Trip[shape_id],"Não encontrado")</f>
        <v/>
      </c>
      <c r="B2843" s="43" t="n">
        <v>-23.392563</v>
      </c>
      <c r="C2843" s="43" t="n">
        <v>-46.757919</v>
      </c>
      <c r="D2843" s="43" t="n">
        <v>190</v>
      </c>
      <c r="E2843" s="44" t="n">
        <v>20982.529</v>
      </c>
    </row>
    <row r="2844">
      <c r="A2844" s="39">
        <f>_xlfn.XLOOKUP(17846,Trip[shape_id],Trip[shape_id],"Não encontrado")</f>
        <v/>
      </c>
      <c r="B2844" s="40" t="n">
        <v>-23.391984</v>
      </c>
      <c r="C2844" s="40" t="n">
        <v>-46.757705</v>
      </c>
      <c r="D2844" s="40" t="n">
        <v>191</v>
      </c>
      <c r="E2844" s="41" t="n">
        <v>21127.061</v>
      </c>
    </row>
    <row r="2845">
      <c r="A2845" s="42">
        <f>_xlfn.XLOOKUP(17846,Trip[shape_id],Trip[shape_id],"Não encontrado")</f>
        <v/>
      </c>
      <c r="B2845" s="43" t="n">
        <v>-23.390793</v>
      </c>
      <c r="C2845" s="43" t="n">
        <v>-46.757127</v>
      </c>
      <c r="D2845" s="43" t="n">
        <v>192</v>
      </c>
      <c r="E2845" s="44" t="n">
        <v>21239.266</v>
      </c>
    </row>
    <row r="2846">
      <c r="A2846" s="39">
        <f>_xlfn.XLOOKUP(17846,Trip[shape_id],Trip[shape_id],"Não encontrado")</f>
        <v/>
      </c>
      <c r="B2846" s="40" t="n">
        <v>-23.389871</v>
      </c>
      <c r="C2846" s="40" t="n">
        <v>-46.756672</v>
      </c>
      <c r="D2846" s="40" t="n">
        <v>193</v>
      </c>
      <c r="E2846" s="41" t="n">
        <v>21266.918</v>
      </c>
    </row>
    <row r="2847">
      <c r="A2847" s="42">
        <f>_xlfn.XLOOKUP(17846,Trip[shape_id],Trip[shape_id],"Não encontrado")</f>
        <v/>
      </c>
      <c r="B2847" s="43" t="n">
        <v>-23.389645</v>
      </c>
      <c r="C2847" s="43" t="n">
        <v>-46.756557</v>
      </c>
      <c r="D2847" s="43" t="n">
        <v>194</v>
      </c>
      <c r="E2847" s="44" t="n">
        <v>21372.107</v>
      </c>
    </row>
    <row r="2848">
      <c r="A2848" s="39">
        <f>_xlfn.XLOOKUP(17846,Trip[shape_id],Trip[shape_id],"Não encontrado")</f>
        <v/>
      </c>
      <c r="B2848" s="40" t="n">
        <v>-23.388832</v>
      </c>
      <c r="C2848" s="40" t="n">
        <v>-46.756025</v>
      </c>
      <c r="D2848" s="40" t="n">
        <v>195</v>
      </c>
      <c r="E2848" s="41" t="n">
        <v>21406.242</v>
      </c>
    </row>
    <row r="2849">
      <c r="A2849" s="42">
        <f>_xlfn.XLOOKUP(17846,Trip[shape_id],Trip[shape_id],"Não encontrado")</f>
        <v/>
      </c>
      <c r="B2849" s="43" t="n">
        <v>-23.388573</v>
      </c>
      <c r="C2849" s="43" t="n">
        <v>-46.755844</v>
      </c>
      <c r="D2849" s="43" t="n">
        <v>196</v>
      </c>
      <c r="E2849" s="44" t="n">
        <v>21524.256</v>
      </c>
    </row>
    <row r="2850">
      <c r="A2850" s="39">
        <f>_xlfn.XLOOKUP(17846,Trip[shape_id],Trip[shape_id],"Não encontrado")</f>
        <v/>
      </c>
      <c r="B2850" s="40" t="n">
        <v>-23.387693</v>
      </c>
      <c r="C2850" s="40" t="n">
        <v>-46.755193</v>
      </c>
      <c r="D2850" s="40" t="n">
        <v>197</v>
      </c>
      <c r="E2850" s="41" t="n">
        <v>21547.596</v>
      </c>
    </row>
    <row r="2851">
      <c r="A2851" s="42">
        <f>_xlfn.XLOOKUP(17846,Trip[shape_id],Trip[shape_id],"Não encontrado")</f>
        <v/>
      </c>
      <c r="B2851" s="43" t="n">
        <v>-23.387493</v>
      </c>
      <c r="C2851" s="43" t="n">
        <v>-46.755121</v>
      </c>
      <c r="D2851" s="43" t="n">
        <v>198</v>
      </c>
      <c r="E2851" s="44" t="n">
        <v>21607.969</v>
      </c>
    </row>
    <row r="2852">
      <c r="A2852" s="39">
        <f>_xlfn.XLOOKUP(17846,Trip[shape_id],Trip[shape_id],"Não encontrado")</f>
        <v/>
      </c>
      <c r="B2852" s="40" t="n">
        <v>-23.386975</v>
      </c>
      <c r="C2852" s="40" t="n">
        <v>-46.754937</v>
      </c>
      <c r="D2852" s="40" t="n">
        <v>199</v>
      </c>
      <c r="E2852" s="41" t="n">
        <v>21678.906</v>
      </c>
    </row>
    <row r="2853">
      <c r="A2853" s="42">
        <f>_xlfn.XLOOKUP(17846,Trip[shape_id],Trip[shape_id],"Não encontrado")</f>
        <v/>
      </c>
      <c r="B2853" s="43" t="n">
        <v>-23.38634</v>
      </c>
      <c r="C2853" s="43" t="n">
        <v>-46.754846</v>
      </c>
      <c r="D2853" s="43" t="n">
        <v>200</v>
      </c>
      <c r="E2853" s="44" t="n">
        <v>21730.207</v>
      </c>
    </row>
    <row r="2854">
      <c r="A2854" s="39">
        <f>_xlfn.XLOOKUP(17846,Trip[shape_id],Trip[shape_id],"Não encontrado")</f>
        <v/>
      </c>
      <c r="B2854" s="40" t="n">
        <v>-23.385877</v>
      </c>
      <c r="C2854" s="40" t="n">
        <v>-46.754861</v>
      </c>
      <c r="D2854" s="40" t="n">
        <v>201</v>
      </c>
      <c r="E2854" s="41" t="n">
        <v>21749.877</v>
      </c>
    </row>
    <row r="2855">
      <c r="A2855" s="42">
        <f>_xlfn.XLOOKUP(17846,Trip[shape_id],Trip[shape_id],"Não encontrado")</f>
        <v/>
      </c>
      <c r="B2855" s="43" t="n">
        <v>-23.3857</v>
      </c>
      <c r="C2855" s="43" t="n">
        <v>-46.754877</v>
      </c>
      <c r="D2855" s="43" t="n">
        <v>202</v>
      </c>
      <c r="E2855" s="44" t="n">
        <v>21819.197</v>
      </c>
    </row>
    <row r="2856">
      <c r="A2856" s="39">
        <f>_xlfn.XLOOKUP(17846,Trip[shape_id],Trip[shape_id],"Não encontrado")</f>
        <v/>
      </c>
      <c r="B2856" s="40" t="n">
        <v>-23.38509</v>
      </c>
      <c r="C2856" s="40" t="n">
        <v>-46.755029</v>
      </c>
      <c r="D2856" s="40" t="n">
        <v>203</v>
      </c>
      <c r="E2856" s="41" t="n">
        <v>21982.654</v>
      </c>
    </row>
    <row r="2857">
      <c r="A2857" s="42">
        <f>_xlfn.XLOOKUP(17846,Trip[shape_id],Trip[shape_id],"Não encontrado")</f>
        <v/>
      </c>
      <c r="B2857" s="43" t="n">
        <v>-23.383679</v>
      </c>
      <c r="C2857" s="43" t="n">
        <v>-46.755498</v>
      </c>
      <c r="D2857" s="43" t="n">
        <v>204</v>
      </c>
      <c r="E2857" s="44" t="n">
        <v>22104.881</v>
      </c>
    </row>
    <row r="2858">
      <c r="A2858" s="39">
        <f>_xlfn.XLOOKUP(17846,Trip[shape_id],Trip[shape_id],"Não encontrado")</f>
        <v/>
      </c>
      <c r="B2858" s="40" t="n">
        <v>-23.382579</v>
      </c>
      <c r="C2858" s="40" t="n">
        <v>-46.755595</v>
      </c>
      <c r="D2858" s="40" t="n">
        <v>205</v>
      </c>
      <c r="E2858" s="41" t="n">
        <v>22231.791</v>
      </c>
    </row>
    <row r="2859">
      <c r="A2859" s="42">
        <f>_xlfn.XLOOKUP(17846,Trip[shape_id],Trip[shape_id],"Não encontrado")</f>
        <v/>
      </c>
      <c r="B2859" s="43" t="n">
        <v>-23.381435</v>
      </c>
      <c r="C2859" s="43" t="n">
        <v>-46.755523</v>
      </c>
      <c r="D2859" s="43" t="n">
        <v>206</v>
      </c>
      <c r="E2859" s="44" t="n">
        <v>22271.893</v>
      </c>
    </row>
    <row r="2860">
      <c r="A2860" s="39">
        <f>_xlfn.XLOOKUP(17846,Trip[shape_id],Trip[shape_id],"Não encontrado")</f>
        <v/>
      </c>
      <c r="B2860" s="40" t="n">
        <v>-23.381073</v>
      </c>
      <c r="C2860" s="40" t="n">
        <v>-46.755514</v>
      </c>
      <c r="D2860" s="40" t="n">
        <v>207</v>
      </c>
      <c r="E2860" s="41" t="n">
        <v>22356.955</v>
      </c>
    </row>
    <row r="2861">
      <c r="A2861" s="42">
        <f>_xlfn.XLOOKUP(17846,Trip[shape_id],Trip[shape_id],"Não encontrado")</f>
        <v/>
      </c>
      <c r="B2861" s="43" t="n">
        <v>-23.380305</v>
      </c>
      <c r="C2861" s="43" t="n">
        <v>-46.755504</v>
      </c>
      <c r="D2861" s="43" t="n">
        <v>208</v>
      </c>
      <c r="E2861" s="44" t="n">
        <v>22422.68</v>
      </c>
    </row>
    <row r="2862">
      <c r="A2862" s="39">
        <f>_xlfn.XLOOKUP(17846,Trip[shape_id],Trip[shape_id],"Não encontrado")</f>
        <v/>
      </c>
      <c r="B2862" s="40" t="n">
        <v>-23.379712</v>
      </c>
      <c r="C2862" s="40" t="n">
        <v>-46.755479</v>
      </c>
      <c r="D2862" s="40" t="n">
        <v>209</v>
      </c>
      <c r="E2862" s="41" t="n">
        <v>22495.273</v>
      </c>
    </row>
    <row r="2863">
      <c r="A2863" s="42">
        <f>_xlfn.XLOOKUP(17846,Trip[shape_id],Trip[shape_id],"Não encontrado")</f>
        <v/>
      </c>
      <c r="B2863" s="43" t="n">
        <v>-23.379057</v>
      </c>
      <c r="C2863" s="43" t="n">
        <v>-46.755452</v>
      </c>
      <c r="D2863" s="43" t="n">
        <v>210</v>
      </c>
      <c r="E2863" s="44" t="n">
        <v>22677.736</v>
      </c>
    </row>
    <row r="2864">
      <c r="A2864" s="39">
        <f>_xlfn.XLOOKUP(17846,Trip[shape_id],Trip[shape_id],"Não encontrado")</f>
        <v/>
      </c>
      <c r="B2864" s="40" t="n">
        <v>-23.377412</v>
      </c>
      <c r="C2864" s="40" t="n">
        <v>-46.755353</v>
      </c>
      <c r="D2864" s="40" t="n">
        <v>211</v>
      </c>
      <c r="E2864" s="41" t="n">
        <v>22724.084</v>
      </c>
    </row>
    <row r="2865">
      <c r="A2865" s="42">
        <f>_xlfn.XLOOKUP(17846,Trip[shape_id],Trip[shape_id],"Não encontrado")</f>
        <v/>
      </c>
      <c r="B2865" s="43" t="n">
        <v>-23.376994</v>
      </c>
      <c r="C2865" s="43" t="n">
        <v>-46.755331</v>
      </c>
      <c r="D2865" s="43" t="n">
        <v>212</v>
      </c>
      <c r="E2865" s="44" t="n">
        <v>22822.346</v>
      </c>
    </row>
    <row r="2866">
      <c r="A2866" s="39">
        <f>_xlfn.XLOOKUP(17846,Trip[shape_id],Trip[shape_id],"Não encontrado")</f>
        <v/>
      </c>
      <c r="B2866" s="40" t="n">
        <v>-23.376108</v>
      </c>
      <c r="C2866" s="40" t="n">
        <v>-46.755382</v>
      </c>
      <c r="D2866" s="40" t="n">
        <v>213</v>
      </c>
      <c r="E2866" s="41" t="n">
        <v>22922.953</v>
      </c>
    </row>
    <row r="2867">
      <c r="A2867" s="42">
        <f>_xlfn.XLOOKUP(17846,Trip[shape_id],Trip[shape_id],"Não encontrado")</f>
        <v/>
      </c>
      <c r="B2867" s="43" t="n">
        <v>-23.375223</v>
      </c>
      <c r="C2867" s="43" t="n">
        <v>-46.755604</v>
      </c>
      <c r="D2867" s="43" t="n">
        <v>214</v>
      </c>
      <c r="E2867" s="44" t="n">
        <v>22977.641</v>
      </c>
    </row>
    <row r="2868">
      <c r="A2868" s="39">
        <f>_xlfn.XLOOKUP(17846,Trip[shape_id],Trip[shape_id],"Não encontrado")</f>
        <v/>
      </c>
      <c r="B2868" s="40" t="n">
        <v>-23.374744</v>
      </c>
      <c r="C2868" s="40" t="n">
        <v>-46.755734</v>
      </c>
      <c r="D2868" s="40" t="n">
        <v>215</v>
      </c>
      <c r="E2868" s="41" t="n">
        <v>23004.643</v>
      </c>
    </row>
    <row r="2869">
      <c r="A2869" s="42">
        <f>_xlfn.XLOOKUP(17846,Trip[shape_id],Trip[shape_id],"Não encontrado")</f>
        <v/>
      </c>
      <c r="B2869" s="43" t="n">
        <v>-23.374507</v>
      </c>
      <c r="C2869" s="43" t="n">
        <v>-46.755796</v>
      </c>
      <c r="D2869" s="43" t="n">
        <v>216</v>
      </c>
      <c r="E2869" s="44" t="n">
        <v>23105.762</v>
      </c>
    </row>
    <row r="2870">
      <c r="A2870" s="39">
        <f>_xlfn.XLOOKUP(17846,Trip[shape_id],Trip[shape_id],"Não encontrado")</f>
        <v/>
      </c>
      <c r="B2870" s="40" t="n">
        <v>-23.373613</v>
      </c>
      <c r="C2870" s="40" t="n">
        <v>-46.755997</v>
      </c>
      <c r="D2870" s="40" t="n">
        <v>217</v>
      </c>
      <c r="E2870" s="41" t="n">
        <v>23176.453</v>
      </c>
    </row>
    <row r="2871">
      <c r="A2871" s="42">
        <f>_xlfn.XLOOKUP(17846,Trip[shape_id],Trip[shape_id],"Não encontrado")</f>
        <v/>
      </c>
      <c r="B2871" s="43" t="n">
        <v>-23.372975</v>
      </c>
      <c r="C2871" s="43" t="n">
        <v>-46.756018</v>
      </c>
      <c r="D2871" s="43" t="n">
        <v>218</v>
      </c>
      <c r="E2871" s="44" t="n">
        <v>23279.408</v>
      </c>
    </row>
    <row r="2872">
      <c r="A2872" s="39">
        <f>_xlfn.XLOOKUP(17846,Trip[shape_id],Trip[shape_id],"Não encontrado")</f>
        <v/>
      </c>
      <c r="B2872" s="40" t="n">
        <v>-23.372052</v>
      </c>
      <c r="C2872" s="40" t="n">
        <v>-46.755898</v>
      </c>
      <c r="D2872" s="40" t="n">
        <v>219</v>
      </c>
      <c r="E2872" s="41" t="n">
        <v>23364.557</v>
      </c>
    </row>
    <row r="2873">
      <c r="A2873" s="42">
        <f>_xlfn.XLOOKUP(17846,Trip[shape_id],Trip[shape_id],"Não encontrado")</f>
        <v/>
      </c>
      <c r="B2873" s="43" t="n">
        <v>-23.371303</v>
      </c>
      <c r="C2873" s="43" t="n">
        <v>-46.75571</v>
      </c>
      <c r="D2873" s="43" t="n">
        <v>220</v>
      </c>
      <c r="E2873" s="44" t="n">
        <v>23469.262</v>
      </c>
    </row>
    <row r="2874">
      <c r="A2874" s="39">
        <f>_xlfn.XLOOKUP(17846,Trip[shape_id],Trip[shape_id],"Não encontrado")</f>
        <v/>
      </c>
      <c r="B2874" s="40" t="n">
        <v>-23.370408</v>
      </c>
      <c r="C2874" s="40" t="n">
        <v>-46.75538</v>
      </c>
      <c r="D2874" s="40" t="n">
        <v>221</v>
      </c>
      <c r="E2874" s="41" t="n">
        <v>23540.504</v>
      </c>
    </row>
    <row r="2875">
      <c r="A2875" s="42">
        <f>_xlfn.XLOOKUP(17846,Trip[shape_id],Trip[shape_id],"Não encontrado")</f>
        <v/>
      </c>
      <c r="B2875" s="43" t="n">
        <v>-23.369821</v>
      </c>
      <c r="C2875" s="43" t="n">
        <v>-46.755095</v>
      </c>
      <c r="D2875" s="43" t="n">
        <v>222</v>
      </c>
      <c r="E2875" s="44" t="n">
        <v>23599.518</v>
      </c>
    </row>
    <row r="2876">
      <c r="A2876" s="39">
        <f>_xlfn.XLOOKUP(17846,Trip[shape_id],Trip[shape_id],"Não encontrado")</f>
        <v/>
      </c>
      <c r="B2876" s="40" t="n">
        <v>-23.369353</v>
      </c>
      <c r="C2876" s="40" t="n">
        <v>-46.754819</v>
      </c>
      <c r="D2876" s="40" t="n">
        <v>223</v>
      </c>
      <c r="E2876" s="41" t="n">
        <v>23651.42</v>
      </c>
    </row>
    <row r="2877">
      <c r="A2877" s="42">
        <f>_xlfn.XLOOKUP(17846,Trip[shape_id],Trip[shape_id],"Não encontrado")</f>
        <v/>
      </c>
      <c r="B2877" s="43" t="n">
        <v>-23.368969</v>
      </c>
      <c r="C2877" s="43" t="n">
        <v>-46.754528</v>
      </c>
      <c r="D2877" s="43" t="n">
        <v>224</v>
      </c>
      <c r="E2877" s="44" t="n">
        <v>23715.459</v>
      </c>
    </row>
    <row r="2878">
      <c r="A2878" s="39">
        <f>_xlfn.XLOOKUP(17846,Trip[shape_id],Trip[shape_id],"Não encontrado")</f>
        <v/>
      </c>
      <c r="B2878" s="40" t="n">
        <v>-23.368521</v>
      </c>
      <c r="C2878" s="40" t="n">
        <v>-46.754132</v>
      </c>
      <c r="D2878" s="40" t="n">
        <v>225</v>
      </c>
      <c r="E2878" s="41" t="n">
        <v>23765.188</v>
      </c>
    </row>
    <row r="2879">
      <c r="A2879" s="42">
        <f>_xlfn.XLOOKUP(17846,Trip[shape_id],Trip[shape_id],"Não encontrado")</f>
        <v/>
      </c>
      <c r="B2879" s="43" t="n">
        <v>-23.368192</v>
      </c>
      <c r="C2879" s="43" t="n">
        <v>-46.753801</v>
      </c>
      <c r="D2879" s="43" t="n">
        <v>226</v>
      </c>
      <c r="E2879" s="44" t="n">
        <v>23843.461</v>
      </c>
    </row>
    <row r="2880">
      <c r="A2880" s="39">
        <f>_xlfn.XLOOKUP(17846,Trip[shape_id],Trip[shape_id],"Não encontrado")</f>
        <v/>
      </c>
      <c r="B2880" s="40" t="n">
        <v>-23.367682</v>
      </c>
      <c r="C2880" s="40" t="n">
        <v>-46.753271</v>
      </c>
      <c r="D2880" s="40" t="n">
        <v>227</v>
      </c>
      <c r="E2880" s="41" t="n">
        <v>24003.859</v>
      </c>
    </row>
    <row r="2881">
      <c r="A2881" s="42">
        <f>_xlfn.XLOOKUP(17846,Trip[shape_id],Trip[shape_id],"Não encontrado")</f>
        <v/>
      </c>
      <c r="B2881" s="43" t="n">
        <v>-23.366616</v>
      </c>
      <c r="C2881" s="43" t="n">
        <v>-46.752209</v>
      </c>
      <c r="D2881" s="43" t="n">
        <v>228</v>
      </c>
      <c r="E2881" s="44" t="n">
        <v>24073.875</v>
      </c>
    </row>
    <row r="2882">
      <c r="A2882" s="39">
        <f>_xlfn.XLOOKUP(17846,Trip[shape_id],Trip[shape_id],"Não encontrado")</f>
        <v/>
      </c>
      <c r="B2882" s="40" t="n">
        <v>-23.366187</v>
      </c>
      <c r="C2882" s="40" t="n">
        <v>-46.751706</v>
      </c>
      <c r="D2882" s="40" t="n">
        <v>229</v>
      </c>
      <c r="E2882" s="41" t="n">
        <v>24073.875</v>
      </c>
    </row>
    <row r="2883">
      <c r="A2883" s="42">
        <f>_xlfn.XLOOKUP(17846,Trip[shape_id],Trip[shape_id],"Não encontrado")</f>
        <v/>
      </c>
      <c r="B2883" s="43" t="n">
        <v>-23.365825</v>
      </c>
      <c r="C2883" s="43" t="n">
        <v>-46.751281</v>
      </c>
      <c r="D2883" s="43" t="n">
        <v>230</v>
      </c>
      <c r="E2883" s="44" t="n">
        <v>24291.01</v>
      </c>
    </row>
    <row r="2884">
      <c r="A2884" s="39">
        <f>_xlfn.XLOOKUP(17846,Trip[shape_id],Trip[shape_id],"Não encontrado")</f>
        <v/>
      </c>
      <c r="B2884" s="40" t="n">
        <v>-23.364876</v>
      </c>
      <c r="C2884" s="40" t="n">
        <v>-46.750127</v>
      </c>
      <c r="D2884" s="40" t="n">
        <v>231</v>
      </c>
      <c r="E2884" s="41" t="n">
        <v>24335.039</v>
      </c>
    </row>
    <row r="2885">
      <c r="A2885" s="42">
        <f>_xlfn.XLOOKUP(17846,Trip[shape_id],Trip[shape_id],"Não encontrado")</f>
        <v/>
      </c>
      <c r="B2885" s="43" t="n">
        <v>-23.364611</v>
      </c>
      <c r="C2885" s="43" t="n">
        <v>-46.749806</v>
      </c>
      <c r="D2885" s="43" t="n">
        <v>232</v>
      </c>
      <c r="E2885" s="44" t="n">
        <v>24403.982</v>
      </c>
    </row>
    <row r="2886">
      <c r="A2886" s="39">
        <f>_xlfn.XLOOKUP(17846,Trip[shape_id],Trip[shape_id],"Não encontrado")</f>
        <v/>
      </c>
      <c r="B2886" s="40" t="n">
        <v>-23.364207</v>
      </c>
      <c r="C2886" s="40" t="n">
        <v>-46.749293</v>
      </c>
      <c r="D2886" s="40" t="n">
        <v>233</v>
      </c>
      <c r="E2886" s="41" t="n">
        <v>24455.518</v>
      </c>
    </row>
    <row r="2887">
      <c r="A2887" s="42">
        <f>_xlfn.XLOOKUP(17846,Trip[shape_id],Trip[shape_id],"Não encontrado")</f>
        <v/>
      </c>
      <c r="B2887" s="43" t="n">
        <v>-23.363843</v>
      </c>
      <c r="C2887" s="43" t="n">
        <v>-46.748979</v>
      </c>
      <c r="D2887" s="43" t="n">
        <v>234</v>
      </c>
      <c r="E2887" s="44" t="n">
        <v>24512.633</v>
      </c>
    </row>
    <row r="2888">
      <c r="A2888" s="39">
        <f>_xlfn.XLOOKUP(17846,Trip[shape_id],Trip[shape_id],"Não encontrado")</f>
        <v/>
      </c>
      <c r="B2888" s="40" t="n">
        <v>-23.363419</v>
      </c>
      <c r="C2888" s="40" t="n">
        <v>-46.748661</v>
      </c>
      <c r="D2888" s="40" t="n">
        <v>235</v>
      </c>
      <c r="E2888" s="41" t="n">
        <v>24576.75</v>
      </c>
    </row>
    <row r="2889">
      <c r="A2889" s="42">
        <f>_xlfn.XLOOKUP(17846,Trip[shape_id],Trip[shape_id],"Não encontrado")</f>
        <v/>
      </c>
      <c r="B2889" s="43" t="n">
        <v>-23.362938</v>
      </c>
      <c r="C2889" s="43" t="n">
        <v>-46.748312</v>
      </c>
      <c r="D2889" s="43" t="n">
        <v>236</v>
      </c>
      <c r="E2889" s="44" t="n">
        <v>24640.883</v>
      </c>
    </row>
    <row r="2890">
      <c r="A2890" s="39">
        <f>_xlfn.XLOOKUP(17846,Trip[shape_id],Trip[shape_id],"Não encontrado")</f>
        <v/>
      </c>
      <c r="B2890" s="40" t="n">
        <v>-23.362414</v>
      </c>
      <c r="C2890" s="40" t="n">
        <v>-46.748045</v>
      </c>
      <c r="D2890" s="40" t="n">
        <v>237</v>
      </c>
      <c r="E2890" s="41" t="n">
        <v>24693.811</v>
      </c>
    </row>
    <row r="2891">
      <c r="A2891" s="42">
        <f>_xlfn.XLOOKUP(17846,Trip[shape_id],Trip[shape_id],"Não encontrado")</f>
        <v/>
      </c>
      <c r="B2891" s="43" t="n">
        <v>-23.361994</v>
      </c>
      <c r="C2891" s="43" t="n">
        <v>-46.747798</v>
      </c>
      <c r="D2891" s="43" t="n">
        <v>238</v>
      </c>
      <c r="E2891" s="44" t="n">
        <v>24783.061</v>
      </c>
    </row>
    <row r="2892">
      <c r="A2892" s="39">
        <f>_xlfn.XLOOKUP(17846,Trip[shape_id],Trip[shape_id],"Não encontrado")</f>
        <v/>
      </c>
      <c r="B2892" s="40" t="n">
        <v>-23.361298</v>
      </c>
      <c r="C2892" s="40" t="n">
        <v>-46.747358</v>
      </c>
      <c r="D2892" s="40" t="n">
        <v>239</v>
      </c>
      <c r="E2892" s="41" t="n">
        <v>24837.143</v>
      </c>
    </row>
    <row r="2893">
      <c r="A2893" s="42">
        <f>_xlfn.XLOOKUP(17846,Trip[shape_id],Trip[shape_id],"Não encontrado")</f>
        <v/>
      </c>
      <c r="B2893" s="43" t="n">
        <v>-23.360936</v>
      </c>
      <c r="C2893" s="43" t="n">
        <v>-46.747003</v>
      </c>
      <c r="D2893" s="43" t="n">
        <v>240</v>
      </c>
      <c r="E2893" s="44" t="n">
        <v>24875.533</v>
      </c>
    </row>
    <row r="2894">
      <c r="A2894" s="39">
        <f>_xlfn.XLOOKUP(17846,Trip[shape_id],Trip[shape_id],"Não encontrado")</f>
        <v/>
      </c>
      <c r="B2894" s="40" t="n">
        <v>-23.360699</v>
      </c>
      <c r="C2894" s="40" t="n">
        <v>-46.746729</v>
      </c>
      <c r="D2894" s="40" t="n">
        <v>241</v>
      </c>
      <c r="E2894" s="41" t="n">
        <v>24965.113</v>
      </c>
    </row>
    <row r="2895">
      <c r="A2895" s="42">
        <f>_xlfn.XLOOKUP(17846,Trip[shape_id],Trip[shape_id],"Não encontrado")</f>
        <v/>
      </c>
      <c r="B2895" s="43" t="n">
        <v>-23.360189</v>
      </c>
      <c r="C2895" s="43" t="n">
        <v>-46.746049</v>
      </c>
      <c r="D2895" s="43" t="n">
        <v>242</v>
      </c>
      <c r="E2895" s="44" t="n">
        <v>25042.41</v>
      </c>
    </row>
    <row r="2896">
      <c r="A2896" s="39">
        <f>_xlfn.XLOOKUP(17846,Trip[shape_id],Trip[shape_id],"Não encontrado")</f>
        <v/>
      </c>
      <c r="B2896" s="40" t="n">
        <v>-23.359791</v>
      </c>
      <c r="C2896" s="40" t="n">
        <v>-46.745428</v>
      </c>
      <c r="D2896" s="40" t="n">
        <v>243</v>
      </c>
      <c r="E2896" s="41" t="n">
        <v>25145.053</v>
      </c>
    </row>
    <row r="2897">
      <c r="A2897" s="42">
        <f>_xlfn.XLOOKUP(17846,Trip[shape_id],Trip[shape_id],"Não encontrado")</f>
        <v/>
      </c>
      <c r="B2897" s="43" t="n">
        <v>-23.359259</v>
      </c>
      <c r="C2897" s="43" t="n">
        <v>-46.744606</v>
      </c>
      <c r="D2897" s="43" t="n">
        <v>244</v>
      </c>
      <c r="E2897" s="44" t="n">
        <v>25169.078</v>
      </c>
    </row>
    <row r="2898">
      <c r="A2898" s="39">
        <f>_xlfn.XLOOKUP(17846,Trip[shape_id],Trip[shape_id],"Não encontrado")</f>
        <v/>
      </c>
      <c r="B2898" s="40" t="n">
        <v>-23.359101</v>
      </c>
      <c r="C2898" s="40" t="n">
        <v>-46.744445</v>
      </c>
      <c r="D2898" s="40" t="n">
        <v>245</v>
      </c>
      <c r="E2898" s="41" t="n">
        <v>25192.77</v>
      </c>
    </row>
    <row r="2899">
      <c r="A2899" s="42">
        <f>_xlfn.XLOOKUP(17846,Trip[shape_id],Trip[shape_id],"Não encontrado")</f>
        <v/>
      </c>
      <c r="B2899" s="43" t="n">
        <v>-23.358942</v>
      </c>
      <c r="C2899" s="43" t="n">
        <v>-46.74429</v>
      </c>
      <c r="D2899" s="43" t="n">
        <v>246</v>
      </c>
      <c r="E2899" s="44" t="n">
        <v>25279.855</v>
      </c>
    </row>
    <row r="2900">
      <c r="A2900" s="39">
        <f>_xlfn.XLOOKUP(17846,Trip[shape_id],Trip[shape_id],"Não encontrado")</f>
        <v/>
      </c>
      <c r="B2900" s="40" t="n">
        <v>-23.358315</v>
      </c>
      <c r="C2900" s="40" t="n">
        <v>-46.743776</v>
      </c>
      <c r="D2900" s="40" t="n">
        <v>247</v>
      </c>
      <c r="E2900" s="41" t="n">
        <v>25357.648</v>
      </c>
    </row>
    <row r="2901">
      <c r="A2901" s="42">
        <f>_xlfn.XLOOKUP(17846,Trip[shape_id],Trip[shape_id],"Não encontrado")</f>
        <v/>
      </c>
      <c r="B2901" s="43" t="n">
        <v>-23.357688</v>
      </c>
      <c r="C2901" s="43" t="n">
        <v>-46.743433</v>
      </c>
      <c r="D2901" s="43" t="n">
        <v>248</v>
      </c>
      <c r="E2901" s="44" t="n">
        <v>25465.58</v>
      </c>
    </row>
    <row r="2902">
      <c r="A2902" s="39">
        <f>_xlfn.XLOOKUP(17846,Trip[shape_id],Trip[shape_id],"Não encontrado")</f>
        <v/>
      </c>
      <c r="B2902" s="40" t="n">
        <v>-23.356803</v>
      </c>
      <c r="C2902" s="40" t="n">
        <v>-46.742991</v>
      </c>
      <c r="D2902" s="40" t="n">
        <v>249</v>
      </c>
      <c r="E2902" s="41" t="n">
        <v>25602.256</v>
      </c>
    </row>
    <row r="2903">
      <c r="A2903" s="42">
        <f>_xlfn.XLOOKUP(17846,Trip[shape_id],Trip[shape_id],"Não encontrado")</f>
        <v/>
      </c>
      <c r="B2903" s="43" t="n">
        <v>-23.355653</v>
      </c>
      <c r="C2903" s="43" t="n">
        <v>-46.742506</v>
      </c>
      <c r="D2903" s="43" t="n">
        <v>250</v>
      </c>
      <c r="E2903" s="44" t="n">
        <v>25728.561</v>
      </c>
    </row>
    <row r="2904">
      <c r="A2904" s="39">
        <f>_xlfn.XLOOKUP(17846,Trip[shape_id],Trip[shape_id],"Não encontrado")</f>
        <v/>
      </c>
      <c r="B2904" s="40" t="n">
        <v>-23.354592</v>
      </c>
      <c r="C2904" s="40" t="n">
        <v>-46.742053</v>
      </c>
      <c r="D2904" s="40" t="n">
        <v>251</v>
      </c>
      <c r="E2904" s="41" t="n">
        <v>25825.873</v>
      </c>
    </row>
    <row r="2905">
      <c r="A2905" s="42">
        <f>_xlfn.XLOOKUP(17846,Trip[shape_id],Trip[shape_id],"Não encontrado")</f>
        <v/>
      </c>
      <c r="B2905" s="43" t="n">
        <v>-23.353779</v>
      </c>
      <c r="C2905" s="43" t="n">
        <v>-46.741692</v>
      </c>
      <c r="D2905" s="43" t="n">
        <v>252</v>
      </c>
      <c r="E2905" s="44" t="n">
        <v>25966.332</v>
      </c>
    </row>
    <row r="2906">
      <c r="A2906" s="39">
        <f>_xlfn.XLOOKUP(17846,Trip[shape_id],Trip[shape_id],"Não encontrado")</f>
        <v/>
      </c>
      <c r="B2906" s="40" t="n">
        <v>-23.35259</v>
      </c>
      <c r="C2906" s="40" t="n">
        <v>-46.741214</v>
      </c>
      <c r="D2906" s="40" t="n">
        <v>253</v>
      </c>
      <c r="E2906" s="41" t="n">
        <v>26232.844</v>
      </c>
    </row>
    <row r="2907">
      <c r="A2907" s="42">
        <f>_xlfn.XLOOKUP(17846,Trip[shape_id],Trip[shape_id],"Não encontrado")</f>
        <v/>
      </c>
      <c r="B2907" s="43" t="n">
        <v>-23.350287</v>
      </c>
      <c r="C2907" s="43" t="n">
        <v>-46.740458</v>
      </c>
      <c r="D2907" s="43" t="n">
        <v>254</v>
      </c>
      <c r="E2907" s="44" t="n">
        <v>26422.846</v>
      </c>
    </row>
    <row r="2908">
      <c r="A2908" s="39">
        <f>_xlfn.XLOOKUP(17846,Trip[shape_id],Trip[shape_id],"Não encontrado")</f>
        <v/>
      </c>
      <c r="B2908" s="40" t="n">
        <v>-23.348655</v>
      </c>
      <c r="C2908" s="40" t="n">
        <v>-46.739885</v>
      </c>
      <c r="D2908" s="40" t="n">
        <v>255</v>
      </c>
      <c r="E2908" s="41" t="n">
        <v>26493.295</v>
      </c>
    </row>
    <row r="2909">
      <c r="A2909" s="42">
        <f>_xlfn.XLOOKUP(17846,Trip[shape_id],Trip[shape_id],"Não encontrado")</f>
        <v/>
      </c>
      <c r="B2909" s="43" t="n">
        <v>-23.34804</v>
      </c>
      <c r="C2909" s="43" t="n">
        <v>-46.739709</v>
      </c>
      <c r="D2909" s="43" t="n">
        <v>256</v>
      </c>
      <c r="E2909" s="44" t="n">
        <v>26559.498</v>
      </c>
    </row>
    <row r="2910">
      <c r="A2910" s="39">
        <f>_xlfn.XLOOKUP(17846,Trip[shape_id],Trip[shape_id],"Não encontrado")</f>
        <v/>
      </c>
      <c r="B2910" s="40" t="n">
        <v>-23.347461</v>
      </c>
      <c r="C2910" s="40" t="n">
        <v>-46.739548</v>
      </c>
      <c r="D2910" s="40" t="n">
        <v>257</v>
      </c>
      <c r="E2910" s="41" t="n">
        <v>26654.713</v>
      </c>
    </row>
    <row r="2911">
      <c r="A2911" s="42">
        <f>_xlfn.XLOOKUP(17846,Trip[shape_id],Trip[shape_id],"Não encontrado")</f>
        <v/>
      </c>
      <c r="B2911" s="43" t="n">
        <v>-23.346661</v>
      </c>
      <c r="C2911" s="43" t="n">
        <v>-46.739207</v>
      </c>
      <c r="D2911" s="43" t="n">
        <v>258</v>
      </c>
      <c r="E2911" s="44" t="n">
        <v>26736.68</v>
      </c>
    </row>
    <row r="2912">
      <c r="A2912" s="39">
        <f>_xlfn.XLOOKUP(17846,Trip[shape_id],Trip[shape_id],"Não encontrado")</f>
        <v/>
      </c>
      <c r="B2912" s="40" t="n">
        <v>-23.345948</v>
      </c>
      <c r="C2912" s="40" t="n">
        <v>-46.738992</v>
      </c>
      <c r="D2912" s="40" t="n">
        <v>259</v>
      </c>
      <c r="E2912" s="41" t="n">
        <v>26888.004</v>
      </c>
    </row>
    <row r="2913">
      <c r="A2913" s="42">
        <f>_xlfn.XLOOKUP(17846,Trip[shape_id],Trip[shape_id],"Não encontrado")</f>
        <v/>
      </c>
      <c r="B2913" s="43" t="n">
        <v>-23.344642</v>
      </c>
      <c r="C2913" s="43" t="n">
        <v>-46.738557</v>
      </c>
      <c r="D2913" s="43" t="n">
        <v>260</v>
      </c>
      <c r="E2913" s="44" t="n">
        <v>26923.949</v>
      </c>
    </row>
    <row r="2914">
      <c r="A2914" s="39">
        <f>_xlfn.XLOOKUP(17846,Trip[shape_id],Trip[shape_id],"Não encontrado")</f>
        <v/>
      </c>
      <c r="B2914" s="40" t="n">
        <v>-23.344328</v>
      </c>
      <c r="C2914" s="40" t="n">
        <v>-46.738468</v>
      </c>
      <c r="D2914" s="40" t="n">
        <v>261</v>
      </c>
      <c r="E2914" s="41" t="n">
        <v>26957.117</v>
      </c>
    </row>
    <row r="2915">
      <c r="A2915" s="42">
        <f>_xlfn.XLOOKUP(17846,Trip[shape_id],Trip[shape_id],"Não encontrado")</f>
        <v/>
      </c>
      <c r="B2915" s="43" t="n">
        <v>-23.344038</v>
      </c>
      <c r="C2915" s="43" t="n">
        <v>-46.738387</v>
      </c>
      <c r="D2915" s="43" t="n">
        <v>262</v>
      </c>
      <c r="E2915" s="44" t="n">
        <v>27024.383</v>
      </c>
    </row>
    <row r="2916">
      <c r="A2916" s="39">
        <f>_xlfn.XLOOKUP(17846,Trip[shape_id],Trip[shape_id],"Não encontrado")</f>
        <v/>
      </c>
      <c r="B2916" s="40" t="n">
        <v>-23.343437</v>
      </c>
      <c r="C2916" s="40" t="n">
        <v>-46.738292</v>
      </c>
      <c r="D2916" s="40" t="n">
        <v>263</v>
      </c>
      <c r="E2916" s="41" t="n">
        <v>27155.377</v>
      </c>
    </row>
    <row r="2917">
      <c r="A2917" s="42">
        <f>_xlfn.XLOOKUP(17846,Trip[shape_id],Trip[shape_id],"Não encontrado")</f>
        <v/>
      </c>
      <c r="B2917" s="43" t="n">
        <v>-23.342279</v>
      </c>
      <c r="C2917" s="43" t="n">
        <v>-46.738031</v>
      </c>
      <c r="D2917" s="43" t="n">
        <v>264</v>
      </c>
      <c r="E2917" s="44" t="n">
        <v>27217.293</v>
      </c>
    </row>
    <row r="2918">
      <c r="A2918" s="39">
        <f>_xlfn.XLOOKUP(17846,Trip[shape_id],Trip[shape_id],"Não encontrado")</f>
        <v/>
      </c>
      <c r="B2918" s="40" t="n">
        <v>-23.341726</v>
      </c>
      <c r="C2918" s="40" t="n">
        <v>-46.737942</v>
      </c>
      <c r="D2918" s="40" t="n">
        <v>265</v>
      </c>
      <c r="E2918" s="41" t="n">
        <v>27284.746</v>
      </c>
    </row>
    <row r="2919">
      <c r="A2919" s="42">
        <f>_xlfn.XLOOKUP(17846,Trip[shape_id],Trip[shape_id],"Não encontrado")</f>
        <v/>
      </c>
      <c r="B2919" s="43" t="n">
        <v>-23.341162</v>
      </c>
      <c r="C2919" s="43" t="n">
        <v>-46.737693</v>
      </c>
      <c r="D2919" s="43" t="n">
        <v>266</v>
      </c>
      <c r="E2919" s="44" t="n">
        <v>27390.705</v>
      </c>
    </row>
    <row r="2920">
      <c r="A2920" s="39">
        <f>_xlfn.XLOOKUP(17846,Trip[shape_id],Trip[shape_id],"Não encontrado")</f>
        <v/>
      </c>
      <c r="B2920" s="40" t="n">
        <v>-23.340318</v>
      </c>
      <c r="C2920" s="40" t="n">
        <v>-46.737205</v>
      </c>
      <c r="D2920" s="40" t="n">
        <v>267</v>
      </c>
      <c r="E2920" s="41" t="n">
        <v>27528.703</v>
      </c>
    </row>
    <row r="2921">
      <c r="A2921" s="42">
        <f>_xlfn.XLOOKUP(17846,Trip[shape_id],Trip[shape_id],"Não encontrado")</f>
        <v/>
      </c>
      <c r="B2921" s="43" t="n">
        <v>-23.339222</v>
      </c>
      <c r="C2921" s="43" t="n">
        <v>-46.736563</v>
      </c>
      <c r="D2921" s="43" t="n">
        <v>268</v>
      </c>
      <c r="E2921" s="44" t="n">
        <v>27612.605</v>
      </c>
    </row>
    <row r="2922">
      <c r="A2922" s="39">
        <f>_xlfn.XLOOKUP(17846,Trip[shape_id],Trip[shape_id],"Não encontrado")</f>
        <v/>
      </c>
      <c r="B2922" s="40" t="n">
        <v>-23.338553</v>
      </c>
      <c r="C2922" s="40" t="n">
        <v>-46.736178</v>
      </c>
      <c r="D2922" s="40" t="n">
        <v>269</v>
      </c>
      <c r="E2922" s="41" t="n">
        <v>27835.32</v>
      </c>
    </row>
    <row r="2923">
      <c r="A2923" s="42">
        <f>_xlfn.XLOOKUP(17846,Trip[shape_id],Trip[shape_id],"Não encontrado")</f>
        <v/>
      </c>
      <c r="B2923" s="43" t="n">
        <v>-23.336802</v>
      </c>
      <c r="C2923" s="43" t="n">
        <v>-46.735107</v>
      </c>
      <c r="D2923" s="43" t="n">
        <v>270</v>
      </c>
      <c r="E2923" s="44" t="n">
        <v>27958.529</v>
      </c>
    </row>
    <row r="2924">
      <c r="A2924" s="39">
        <f>_xlfn.XLOOKUP(17846,Trip[shape_id],Trip[shape_id],"Não encontrado")</f>
        <v/>
      </c>
      <c r="B2924" s="40" t="n">
        <v>-23.335856</v>
      </c>
      <c r="C2924" s="40" t="n">
        <v>-46.734473</v>
      </c>
      <c r="D2924" s="40" t="n">
        <v>271</v>
      </c>
      <c r="E2924" s="41" t="n">
        <v>28016.047</v>
      </c>
    </row>
    <row r="2925">
      <c r="A2925" s="42">
        <f>_xlfn.XLOOKUP(17846,Trip[shape_id],Trip[shape_id],"Não encontrado")</f>
        <v/>
      </c>
      <c r="B2925" s="43" t="n">
        <v>-23.335448</v>
      </c>
      <c r="C2925" s="43" t="n">
        <v>-46.734125</v>
      </c>
      <c r="D2925" s="43" t="n">
        <v>272</v>
      </c>
      <c r="E2925" s="44" t="n">
        <v>28126.629</v>
      </c>
    </row>
    <row r="2926">
      <c r="A2926" s="39">
        <f>_xlfn.XLOOKUP(17846,Trip[shape_id],Trip[shape_id],"Não encontrado")</f>
        <v/>
      </c>
      <c r="B2926" s="40" t="n">
        <v>-23.334825</v>
      </c>
      <c r="C2926" s="40" t="n">
        <v>-46.73328</v>
      </c>
      <c r="D2926" s="40" t="n">
        <v>273</v>
      </c>
      <c r="E2926" s="41" t="n">
        <v>28295.975</v>
      </c>
    </row>
    <row r="2927">
      <c r="A2927" s="42">
        <f>_xlfn.XLOOKUP(17846,Trip[shape_id],Trip[shape_id],"Não encontrado")</f>
        <v/>
      </c>
      <c r="B2927" s="43" t="n">
        <v>-23.334107</v>
      </c>
      <c r="C2927" s="43" t="n">
        <v>-46.731818</v>
      </c>
      <c r="D2927" s="43" t="n">
        <v>274</v>
      </c>
      <c r="E2927" s="44" t="n">
        <v>28432.91</v>
      </c>
    </row>
    <row r="2928">
      <c r="A2928" s="39">
        <f>_xlfn.XLOOKUP(17846,Trip[shape_id],Trip[shape_id],"Não encontrado")</f>
        <v/>
      </c>
      <c r="B2928" s="40" t="n">
        <v>-23.333542</v>
      </c>
      <c r="C2928" s="40" t="n">
        <v>-46.730627</v>
      </c>
      <c r="D2928" s="40" t="n">
        <v>275</v>
      </c>
      <c r="E2928" s="41" t="n">
        <v>28498.436</v>
      </c>
    </row>
    <row r="2929">
      <c r="A2929" s="42">
        <f>_xlfn.XLOOKUP(17846,Trip[shape_id],Trip[shape_id],"Não encontrado")</f>
        <v/>
      </c>
      <c r="B2929" s="43" t="n">
        <v>-23.333281</v>
      </c>
      <c r="C2929" s="43" t="n">
        <v>-46.730052</v>
      </c>
      <c r="D2929" s="43" t="n">
        <v>276</v>
      </c>
      <c r="E2929" s="44" t="n">
        <v>28600.168</v>
      </c>
    </row>
    <row r="2930">
      <c r="A2930" s="39">
        <f>_xlfn.XLOOKUP(17846,Trip[shape_id],Trip[shape_id],"Não encontrado")</f>
        <v/>
      </c>
      <c r="B2930" s="40" t="n">
        <v>-23.33291</v>
      </c>
      <c r="C2930" s="40" t="n">
        <v>-46.729142</v>
      </c>
      <c r="D2930" s="40" t="n">
        <v>277</v>
      </c>
      <c r="E2930" s="41" t="n">
        <v>28724.846</v>
      </c>
    </row>
    <row r="2931">
      <c r="A2931" s="42">
        <f>_xlfn.XLOOKUP(17846,Trip[shape_id],Trip[shape_id],"Não encontrado")</f>
        <v/>
      </c>
      <c r="B2931" s="43" t="n">
        <v>-23.332292</v>
      </c>
      <c r="C2931" s="43" t="n">
        <v>-46.728123</v>
      </c>
      <c r="D2931" s="43" t="n">
        <v>278</v>
      </c>
      <c r="E2931" s="44" t="n">
        <v>28787.162</v>
      </c>
    </row>
    <row r="2932">
      <c r="A2932" s="39">
        <f>_xlfn.XLOOKUP(17846,Trip[shape_id],Trip[shape_id],"Não encontrado")</f>
        <v/>
      </c>
      <c r="B2932" s="40" t="n">
        <v>-23.33188</v>
      </c>
      <c r="C2932" s="40" t="n">
        <v>-46.727708</v>
      </c>
      <c r="D2932" s="40" t="n">
        <v>279</v>
      </c>
      <c r="E2932" s="41" t="n">
        <v>28799.217</v>
      </c>
    </row>
    <row r="2933">
      <c r="A2933" s="42">
        <f>_xlfn.XLOOKUP(17846,Trip[shape_id],Trip[shape_id],"Não encontrado")</f>
        <v/>
      </c>
      <c r="B2933" s="43" t="n">
        <v>-23.331788</v>
      </c>
      <c r="C2933" s="43" t="n">
        <v>-46.727645</v>
      </c>
      <c r="D2933" s="43" t="n">
        <v>280</v>
      </c>
      <c r="E2933" s="44" t="n">
        <v>28885.25</v>
      </c>
    </row>
    <row r="2934">
      <c r="A2934" s="39">
        <f>_xlfn.XLOOKUP(17846,Trip[shape_id],Trip[shape_id],"Não encontrado")</f>
        <v/>
      </c>
      <c r="B2934" s="40" t="n">
        <v>-23.331134</v>
      </c>
      <c r="C2934" s="40" t="n">
        <v>-46.727191</v>
      </c>
      <c r="D2934" s="40" t="n">
        <v>281</v>
      </c>
      <c r="E2934" s="41" t="n">
        <v>28939.674</v>
      </c>
    </row>
    <row r="2935">
      <c r="A2935" s="42">
        <f>_xlfn.XLOOKUP(17846,Trip[shape_id],Trip[shape_id],"Não encontrado")</f>
        <v/>
      </c>
      <c r="B2935" s="43" t="n">
        <v>-23.330719</v>
      </c>
      <c r="C2935" s="43" t="n">
        <v>-46.726906</v>
      </c>
      <c r="D2935" s="43" t="n">
        <v>282</v>
      </c>
      <c r="E2935" s="44" t="n">
        <v>28971.186</v>
      </c>
    </row>
    <row r="2936">
      <c r="A2936" s="39">
        <f>_xlfn.XLOOKUP(17846,Trip[shape_id],Trip[shape_id],"Não encontrado")</f>
        <v/>
      </c>
      <c r="B2936" s="40" t="n">
        <v>-23.330466</v>
      </c>
      <c r="C2936" s="40" t="n">
        <v>-46.726765</v>
      </c>
      <c r="D2936" s="40" t="n">
        <v>283</v>
      </c>
      <c r="E2936" s="41" t="n">
        <v>29084.244</v>
      </c>
    </row>
    <row r="2937">
      <c r="A2937" s="42">
        <f>_xlfn.XLOOKUP(17846,Trip[shape_id],Trip[shape_id],"Não encontrado")</f>
        <v/>
      </c>
      <c r="B2937" s="43" t="n">
        <v>-23.32955</v>
      </c>
      <c r="C2937" s="43" t="n">
        <v>-46.726277</v>
      </c>
      <c r="D2937" s="43" t="n">
        <v>284</v>
      </c>
      <c r="E2937" s="44" t="n">
        <v>29084.244</v>
      </c>
    </row>
    <row r="2938">
      <c r="A2938" s="39">
        <f>_xlfn.XLOOKUP(17846,Trip[shape_id],Trip[shape_id],"Não encontrado")</f>
        <v/>
      </c>
      <c r="B2938" s="40" t="n">
        <v>-23.328394</v>
      </c>
      <c r="C2938" s="40" t="n">
        <v>-46.725649</v>
      </c>
      <c r="D2938" s="40" t="n">
        <v>285</v>
      </c>
      <c r="E2938" s="41" t="n">
        <v>29246.816</v>
      </c>
    </row>
    <row r="2939">
      <c r="A2939" s="42">
        <f>_xlfn.XLOOKUP(17846,Trip[shape_id],Trip[shape_id],"Não encontrado")</f>
        <v/>
      </c>
      <c r="B2939" s="43" t="n">
        <v>-23.328238</v>
      </c>
      <c r="C2939" s="43" t="n">
        <v>-46.725564</v>
      </c>
      <c r="D2939" s="43" t="n">
        <v>286</v>
      </c>
      <c r="E2939" s="44" t="n">
        <v>29384.176</v>
      </c>
    </row>
    <row r="2940">
      <c r="A2940" s="39">
        <f>_xlfn.XLOOKUP(17846,Trip[shape_id],Trip[shape_id],"Não encontrado")</f>
        <v/>
      </c>
      <c r="B2940" s="40" t="n">
        <v>-23.327091</v>
      </c>
      <c r="C2940" s="40" t="n">
        <v>-46.725053</v>
      </c>
      <c r="D2940" s="40" t="n">
        <v>287</v>
      </c>
      <c r="E2940" s="41" t="n">
        <v>29486.111</v>
      </c>
    </row>
    <row r="2941">
      <c r="A2941" s="42">
        <f>_xlfn.XLOOKUP(17846,Trip[shape_id],Trip[shape_id],"Não encontrado")</f>
        <v/>
      </c>
      <c r="B2941" s="43" t="n">
        <v>-23.32625</v>
      </c>
      <c r="C2941" s="43" t="n">
        <v>-46.724648</v>
      </c>
      <c r="D2941" s="43" t="n">
        <v>288</v>
      </c>
      <c r="E2941" s="44" t="n">
        <v>29609.178</v>
      </c>
    </row>
    <row r="2942">
      <c r="A2942" s="39">
        <f>_xlfn.XLOOKUP(17846,Trip[shape_id],Trip[shape_id],"Não encontrado")</f>
        <v/>
      </c>
      <c r="B2942" s="40" t="n">
        <v>-23.325201</v>
      </c>
      <c r="C2942" s="40" t="n">
        <v>-46.724251</v>
      </c>
      <c r="D2942" s="40" t="n">
        <v>289</v>
      </c>
      <c r="E2942" s="41" t="n">
        <v>29692.498</v>
      </c>
    </row>
    <row r="2943">
      <c r="A2943" s="42">
        <f>_xlfn.XLOOKUP(17846,Trip[shape_id],Trip[shape_id],"Não encontrado")</f>
        <v/>
      </c>
      <c r="B2943" s="43" t="n">
        <v>-23.324488</v>
      </c>
      <c r="C2943" s="43" t="n">
        <v>-46.723991</v>
      </c>
      <c r="D2943" s="43" t="n">
        <v>290</v>
      </c>
      <c r="E2943" s="44" t="n">
        <v>29952.035</v>
      </c>
    </row>
    <row r="2944">
      <c r="A2944" s="39">
        <f>_xlfn.XLOOKUP(17846,Trip[shape_id],Trip[shape_id],"Não encontrado")</f>
        <v/>
      </c>
      <c r="B2944" s="40" t="n">
        <v>-23.322199</v>
      </c>
      <c r="C2944" s="40" t="n">
        <v>-46.723447</v>
      </c>
      <c r="D2944" s="40" t="n">
        <v>291</v>
      </c>
      <c r="E2944" s="41" t="n">
        <v>30005.332</v>
      </c>
    </row>
    <row r="2945">
      <c r="A2945" s="42">
        <f>_xlfn.XLOOKUP(17846,Trip[shape_id],Trip[shape_id],"Não encontrado")</f>
        <v/>
      </c>
      <c r="B2945" s="43" t="n">
        <v>-23.321729</v>
      </c>
      <c r="C2945" s="43" t="n">
        <v>-46.723335</v>
      </c>
      <c r="D2945" s="43" t="n">
        <v>292</v>
      </c>
      <c r="E2945" s="44" t="n">
        <v>30098.244</v>
      </c>
    </row>
    <row r="2946">
      <c r="A2946" s="39">
        <f>_xlfn.XLOOKUP(17846,Trip[shape_id],Trip[shape_id],"Não encontrado")</f>
        <v/>
      </c>
      <c r="B2946" s="40" t="n">
        <v>-23.320913</v>
      </c>
      <c r="C2946" s="40" t="n">
        <v>-46.723124</v>
      </c>
      <c r="D2946" s="40" t="n">
        <v>293</v>
      </c>
      <c r="E2946" s="41" t="n">
        <v>30171.658</v>
      </c>
    </row>
    <row r="2947">
      <c r="A2947" s="42">
        <f>_xlfn.XLOOKUP(17846,Trip[shape_id],Trip[shape_id],"Não encontrado")</f>
        <v/>
      </c>
      <c r="B2947" s="43" t="n">
        <v>-23.320267</v>
      </c>
      <c r="C2947" s="43" t="n">
        <v>-46.722963</v>
      </c>
      <c r="D2947" s="43" t="n">
        <v>294</v>
      </c>
      <c r="E2947" s="44" t="n">
        <v>30276.088</v>
      </c>
    </row>
    <row r="2948">
      <c r="A2948" s="39">
        <f>_xlfn.XLOOKUP(17846,Trip[shape_id],Trip[shape_id],"Não encontrado")</f>
        <v/>
      </c>
      <c r="B2948" s="40" t="n">
        <v>-23.31934</v>
      </c>
      <c r="C2948" s="40" t="n">
        <v>-46.722776</v>
      </c>
      <c r="D2948" s="40" t="n">
        <v>295</v>
      </c>
      <c r="E2948" s="41" t="n">
        <v>30406.945</v>
      </c>
    </row>
    <row r="2949">
      <c r="A2949" s="42">
        <f>_xlfn.XLOOKUP(17846,Trip[shape_id],Trip[shape_id],"Não encontrado")</f>
        <v/>
      </c>
      <c r="B2949" s="43" t="n">
        <v>-23.318271</v>
      </c>
      <c r="C2949" s="43" t="n">
        <v>-46.722231</v>
      </c>
      <c r="D2949" s="43" t="n">
        <v>296</v>
      </c>
      <c r="E2949" s="44" t="n">
        <v>30430.352</v>
      </c>
    </row>
    <row r="2950">
      <c r="A2950" s="39">
        <f>_xlfn.XLOOKUP(17846,Trip[shape_id],Trip[shape_id],"Não encontrado")</f>
        <v/>
      </c>
      <c r="B2950" s="40" t="n">
        <v>-23.318106</v>
      </c>
      <c r="C2950" s="40" t="n">
        <v>-46.722088</v>
      </c>
      <c r="D2950" s="40" t="n">
        <v>297</v>
      </c>
      <c r="E2950" s="41" t="n">
        <v>30460.678</v>
      </c>
    </row>
    <row r="2951">
      <c r="A2951" s="42">
        <f>_xlfn.XLOOKUP(17846,Trip[shape_id],Trip[shape_id],"Não encontrado")</f>
        <v/>
      </c>
      <c r="B2951" s="43" t="n">
        <v>-23.317887</v>
      </c>
      <c r="C2951" s="43" t="n">
        <v>-46.72191</v>
      </c>
      <c r="D2951" s="43" t="n">
        <v>298</v>
      </c>
      <c r="E2951" s="44" t="n">
        <v>30499.258</v>
      </c>
    </row>
    <row r="2952">
      <c r="A2952" s="39">
        <f>_xlfn.XLOOKUP(17846,Trip[shape_id],Trip[shape_id],"Não encontrado")</f>
        <v/>
      </c>
      <c r="B2952" s="40" t="n">
        <v>-23.31764</v>
      </c>
      <c r="C2952" s="40" t="n">
        <v>-46.721644</v>
      </c>
      <c r="D2952" s="40" t="n">
        <v>299</v>
      </c>
      <c r="E2952" s="41" t="n">
        <v>30547.238</v>
      </c>
    </row>
    <row r="2953">
      <c r="A2953" s="42">
        <f>_xlfn.XLOOKUP(17846,Trip[shape_id],Trip[shape_id],"Não encontrado")</f>
        <v/>
      </c>
      <c r="B2953" s="43" t="n">
        <v>-23.317333</v>
      </c>
      <c r="C2953" s="43" t="n">
        <v>-46.721313</v>
      </c>
      <c r="D2953" s="43" t="n">
        <v>300</v>
      </c>
      <c r="E2953" s="44" t="n">
        <v>30604.193</v>
      </c>
    </row>
    <row r="2954">
      <c r="A2954" s="39">
        <f>_xlfn.XLOOKUP(17846,Trip[shape_id],Trip[shape_id],"Não encontrado")</f>
        <v/>
      </c>
      <c r="B2954" s="40" t="n">
        <v>-23.316984</v>
      </c>
      <c r="C2954" s="40" t="n">
        <v>-46.720904</v>
      </c>
      <c r="D2954" s="40" t="n">
        <v>301</v>
      </c>
      <c r="E2954" s="41" t="n">
        <v>30676.117</v>
      </c>
    </row>
    <row r="2955">
      <c r="A2955" s="42">
        <f>_xlfn.XLOOKUP(17846,Trip[shape_id],Trip[shape_id],"Não encontrado")</f>
        <v/>
      </c>
      <c r="B2955" s="43" t="n">
        <v>-23.316492</v>
      </c>
      <c r="C2955" s="43" t="n">
        <v>-46.720445</v>
      </c>
      <c r="D2955" s="43" t="n">
        <v>302</v>
      </c>
      <c r="E2955" s="44" t="n">
        <v>30756.637</v>
      </c>
    </row>
    <row r="2956">
      <c r="A2956" s="39">
        <f>_xlfn.XLOOKUP(17846,Trip[shape_id],Trip[shape_id],"Não encontrado")</f>
        <v/>
      </c>
      <c r="B2956" s="40" t="n">
        <v>-23.315891</v>
      </c>
      <c r="C2956" s="40" t="n">
        <v>-46.720002</v>
      </c>
      <c r="D2956" s="40" t="n">
        <v>303</v>
      </c>
      <c r="E2956" s="41" t="n">
        <v>30807.541</v>
      </c>
    </row>
    <row r="2957">
      <c r="A2957" s="42">
        <f>_xlfn.XLOOKUP(17846,Trip[shape_id],Trip[shape_id],"Não encontrado")</f>
        <v/>
      </c>
      <c r="B2957" s="43" t="n">
        <v>-23.315459</v>
      </c>
      <c r="C2957" s="43" t="n">
        <v>-46.719832</v>
      </c>
      <c r="D2957" s="43" t="n">
        <v>304</v>
      </c>
      <c r="E2957" s="44" t="n">
        <v>30854.594</v>
      </c>
    </row>
    <row r="2958">
      <c r="A2958" s="39">
        <f>_xlfn.XLOOKUP(17846,Trip[shape_id],Trip[shape_id],"Não encontrado")</f>
        <v/>
      </c>
      <c r="B2958" s="40" t="n">
        <v>-23.315052</v>
      </c>
      <c r="C2958" s="40" t="n">
        <v>-46.7197</v>
      </c>
      <c r="D2958" s="40" t="n">
        <v>305</v>
      </c>
      <c r="E2958" s="41" t="n">
        <v>30917.447</v>
      </c>
    </row>
    <row r="2959">
      <c r="A2959" s="42">
        <f>_xlfn.XLOOKUP(17846,Trip[shape_id],Trip[shape_id],"Não encontrado")</f>
        <v/>
      </c>
      <c r="B2959" s="43" t="n">
        <v>-23.314487</v>
      </c>
      <c r="C2959" s="43" t="n">
        <v>-46.719642</v>
      </c>
      <c r="D2959" s="43" t="n">
        <v>306</v>
      </c>
      <c r="E2959" s="44" t="n">
        <v>30970.543</v>
      </c>
    </row>
    <row r="2960">
      <c r="A2960" s="39">
        <f>_xlfn.XLOOKUP(17846,Trip[shape_id],Trip[shape_id],"Não encontrado")</f>
        <v/>
      </c>
      <c r="B2960" s="40" t="n">
        <v>-23.314008</v>
      </c>
      <c r="C2960" s="40" t="n">
        <v>-46.719664</v>
      </c>
      <c r="D2960" s="40" t="n">
        <v>307</v>
      </c>
      <c r="E2960" s="41" t="n">
        <v>31035.543</v>
      </c>
    </row>
    <row r="2961">
      <c r="A2961" s="42">
        <f>_xlfn.XLOOKUP(17846,Trip[shape_id],Trip[shape_id],"Não encontrado")</f>
        <v/>
      </c>
      <c r="B2961" s="43" t="n">
        <v>-23.313429</v>
      </c>
      <c r="C2961" s="43" t="n">
        <v>-46.719768</v>
      </c>
      <c r="D2961" s="43" t="n">
        <v>308</v>
      </c>
      <c r="E2961" s="44" t="n">
        <v>31123.391</v>
      </c>
    </row>
    <row r="2962">
      <c r="A2962" s="39">
        <f>_xlfn.XLOOKUP(17846,Trip[shape_id],Trip[shape_id],"Não encontrado")</f>
        <v/>
      </c>
      <c r="B2962" s="40" t="n">
        <v>-23.312699</v>
      </c>
      <c r="C2962" s="40" t="n">
        <v>-46.720104</v>
      </c>
      <c r="D2962" s="40" t="n">
        <v>309</v>
      </c>
      <c r="E2962" s="41" t="n">
        <v>31164.707</v>
      </c>
    </row>
    <row r="2963">
      <c r="A2963" s="42">
        <f>_xlfn.XLOOKUP(17846,Trip[shape_id],Trip[shape_id],"Não encontrado")</f>
        <v/>
      </c>
      <c r="B2963" s="43" t="n">
        <v>-23.312401</v>
      </c>
      <c r="C2963" s="43" t="n">
        <v>-46.720347</v>
      </c>
      <c r="D2963" s="43" t="n">
        <v>310</v>
      </c>
      <c r="E2963" s="44" t="n">
        <v>31212.52</v>
      </c>
    </row>
    <row r="2964">
      <c r="A2964" s="39">
        <f>_xlfn.XLOOKUP(17846,Trip[shape_id],Trip[shape_id],"Não encontrado")</f>
        <v/>
      </c>
      <c r="B2964" s="40" t="n">
        <v>-23.312056</v>
      </c>
      <c r="C2964" s="40" t="n">
        <v>-46.720628</v>
      </c>
      <c r="D2964" s="40" t="n">
        <v>311</v>
      </c>
      <c r="E2964" s="41" t="n">
        <v>31273.264</v>
      </c>
    </row>
    <row r="2965">
      <c r="A2965" s="42">
        <f>_xlfn.XLOOKUP(17846,Trip[shape_id],Trip[shape_id],"Não encontrado")</f>
        <v/>
      </c>
      <c r="B2965" s="43" t="n">
        <v>-23.311697</v>
      </c>
      <c r="C2965" s="43" t="n">
        <v>-46.721077</v>
      </c>
      <c r="D2965" s="43" t="n">
        <v>312</v>
      </c>
      <c r="E2965" s="44" t="n">
        <v>31303.094</v>
      </c>
    </row>
    <row r="2966">
      <c r="A2966" s="39">
        <f>_xlfn.XLOOKUP(17846,Trip[shape_id],Trip[shape_id],"Não encontrado")</f>
        <v/>
      </c>
      <c r="B2966" s="40" t="n">
        <v>-23.311515</v>
      </c>
      <c r="C2966" s="40" t="n">
        <v>-46.721292</v>
      </c>
      <c r="D2966" s="40" t="n">
        <v>313</v>
      </c>
      <c r="E2966" s="41" t="n">
        <v>31407.379</v>
      </c>
    </row>
    <row r="2967">
      <c r="A2967" s="42">
        <f>_xlfn.XLOOKUP(17846,Trip[shape_id],Trip[shape_id],"Não encontrado")</f>
        <v/>
      </c>
      <c r="B2967" s="43" t="n">
        <v>-23.310948</v>
      </c>
      <c r="C2967" s="43" t="n">
        <v>-46.722106</v>
      </c>
      <c r="D2967" s="43" t="n">
        <v>314</v>
      </c>
      <c r="E2967" s="44" t="n">
        <v>31504.947</v>
      </c>
    </row>
    <row r="2968">
      <c r="A2968" s="39">
        <f>_xlfn.XLOOKUP(17846,Trip[shape_id],Trip[shape_id],"Não encontrado")</f>
        <v/>
      </c>
      <c r="B2968" s="40" t="n">
        <v>-23.310428</v>
      </c>
      <c r="C2968" s="40" t="n">
        <v>-46.722876</v>
      </c>
      <c r="D2968" s="40" t="n">
        <v>315</v>
      </c>
      <c r="E2968" s="41" t="n">
        <v>31555.383</v>
      </c>
    </row>
    <row r="2969">
      <c r="A2969" s="42">
        <f>_xlfn.XLOOKUP(17846,Trip[shape_id],Trip[shape_id],"Não encontrado")</f>
        <v/>
      </c>
      <c r="B2969" s="43" t="n">
        <v>-23.310163</v>
      </c>
      <c r="C2969" s="43" t="n">
        <v>-46.723277</v>
      </c>
      <c r="D2969" s="43" t="n">
        <v>316</v>
      </c>
      <c r="E2969" s="44" t="n">
        <v>31555.383</v>
      </c>
    </row>
    <row r="2970">
      <c r="A2970" s="39">
        <f>_xlfn.XLOOKUP(17846,Trip[shape_id],Trip[shape_id],"Não encontrado")</f>
        <v/>
      </c>
      <c r="B2970" s="40" t="n">
        <v>-23.309537</v>
      </c>
      <c r="C2970" s="40" t="n">
        <v>-46.724214</v>
      </c>
      <c r="D2970" s="40" t="n">
        <v>317</v>
      </c>
      <c r="E2970" s="41" t="n">
        <v>31783.053</v>
      </c>
    </row>
    <row r="2971">
      <c r="A2971" s="42">
        <f>_xlfn.XLOOKUP(17846,Trip[shape_id],Trip[shape_id],"Não encontrado")</f>
        <v/>
      </c>
      <c r="B2971" s="43" t="n">
        <v>-23.308927</v>
      </c>
      <c r="C2971" s="43" t="n">
        <v>-46.725055</v>
      </c>
      <c r="D2971" s="43" t="n">
        <v>318</v>
      </c>
      <c r="E2971" s="44" t="n">
        <v>31823.883</v>
      </c>
    </row>
    <row r="2972">
      <c r="A2972" s="39">
        <f>_xlfn.XLOOKUP(17846,Trip[shape_id],Trip[shape_id],"Não encontrado")</f>
        <v/>
      </c>
      <c r="B2972" s="40" t="n">
        <v>-23.308687</v>
      </c>
      <c r="C2972" s="40" t="n">
        <v>-46.725358</v>
      </c>
      <c r="D2972" s="40" t="n">
        <v>319</v>
      </c>
      <c r="E2972" s="41" t="n">
        <v>31875.721</v>
      </c>
    </row>
    <row r="2973">
      <c r="A2973" s="42">
        <f>_xlfn.XLOOKUP(17846,Trip[shape_id],Trip[shape_id],"Não encontrado")</f>
        <v/>
      </c>
      <c r="B2973" s="43" t="n">
        <v>-23.308387</v>
      </c>
      <c r="C2973" s="43" t="n">
        <v>-46.725747</v>
      </c>
      <c r="D2973" s="43" t="n">
        <v>320</v>
      </c>
      <c r="E2973" s="44" t="n">
        <v>31931.436</v>
      </c>
    </row>
    <row r="2974">
      <c r="A2974" s="39">
        <f>_xlfn.XLOOKUP(17846,Trip[shape_id],Trip[shape_id],"Não encontrado")</f>
        <v/>
      </c>
      <c r="B2974" s="40" t="n">
        <v>-23.308</v>
      </c>
      <c r="C2974" s="40" t="n">
        <v>-46.726095</v>
      </c>
      <c r="D2974" s="40" t="n">
        <v>321</v>
      </c>
      <c r="E2974" s="41" t="n">
        <v>32063.559</v>
      </c>
    </row>
    <row r="2975">
      <c r="A2975" s="42">
        <f>_xlfn.XLOOKUP(17846,Trip[shape_id],Trip[shape_id],"Não encontrado")</f>
        <v/>
      </c>
      <c r="B2975" s="43" t="n">
        <v>-23.306995</v>
      </c>
      <c r="C2975" s="43" t="n">
        <v>-46.726791</v>
      </c>
      <c r="D2975" s="43" t="n">
        <v>322</v>
      </c>
      <c r="E2975" s="44" t="n">
        <v>32159.875</v>
      </c>
    </row>
    <row r="2976">
      <c r="A2976" s="39">
        <f>_xlfn.XLOOKUP(17846,Trip[shape_id],Trip[shape_id],"Não encontrado")</f>
        <v/>
      </c>
      <c r="B2976" s="40" t="n">
        <v>-23.306243</v>
      </c>
      <c r="C2976" s="40" t="n">
        <v>-46.727264</v>
      </c>
      <c r="D2976" s="40" t="n">
        <v>323</v>
      </c>
      <c r="E2976" s="41" t="n">
        <v>32270.033</v>
      </c>
    </row>
    <row r="2977">
      <c r="A2977" s="42">
        <f>_xlfn.XLOOKUP(17846,Trip[shape_id],Trip[shape_id],"Não encontrado")</f>
        <v/>
      </c>
      <c r="B2977" s="43" t="n">
        <v>-23.305516</v>
      </c>
      <c r="C2977" s="43" t="n">
        <v>-46.727999</v>
      </c>
      <c r="D2977" s="43" t="n">
        <v>324</v>
      </c>
      <c r="E2977" s="44" t="n">
        <v>32455.551</v>
      </c>
    </row>
    <row r="2978">
      <c r="A2978" s="39">
        <f>_xlfn.XLOOKUP(17846,Trip[shape_id],Trip[shape_id],"Não encontrado")</f>
        <v/>
      </c>
      <c r="B2978" s="40" t="n">
        <v>-23.304516</v>
      </c>
      <c r="C2978" s="40" t="n">
        <v>-46.729454</v>
      </c>
      <c r="D2978" s="40" t="n">
        <v>325</v>
      </c>
      <c r="E2978" s="41" t="n">
        <v>32533.551</v>
      </c>
    </row>
    <row r="2979">
      <c r="A2979" s="42">
        <f>_xlfn.XLOOKUP(17846,Trip[shape_id],Trip[shape_id],"Não encontrado")</f>
        <v/>
      </c>
      <c r="B2979" s="43" t="n">
        <v>-23.304034</v>
      </c>
      <c r="C2979" s="43" t="n">
        <v>-46.73001</v>
      </c>
      <c r="D2979" s="43" t="n">
        <v>326</v>
      </c>
      <c r="E2979" s="44" t="n">
        <v>32607.924</v>
      </c>
    </row>
    <row r="2980">
      <c r="A2980" s="39">
        <f>_xlfn.XLOOKUP(17846,Trip[shape_id],Trip[shape_id],"Não encontrado")</f>
        <v/>
      </c>
      <c r="B2980" s="40" t="n">
        <v>-23.303508</v>
      </c>
      <c r="C2980" s="40" t="n">
        <v>-46.730462</v>
      </c>
      <c r="D2980" s="40" t="n">
        <v>327</v>
      </c>
      <c r="E2980" s="41" t="n">
        <v>32697.832</v>
      </c>
    </row>
    <row r="2981">
      <c r="A2981" s="42">
        <f>_xlfn.XLOOKUP(17846,Trip[shape_id],Trip[shape_id],"Não encontrado")</f>
        <v/>
      </c>
      <c r="B2981" s="43" t="n">
        <v>-23.302809</v>
      </c>
      <c r="C2981" s="43" t="n">
        <v>-46.730909</v>
      </c>
      <c r="D2981" s="43" t="n">
        <v>328</v>
      </c>
      <c r="E2981" s="44" t="n">
        <v>32869.258</v>
      </c>
    </row>
    <row r="2982">
      <c r="A2982" s="39">
        <f>_xlfn.XLOOKUP(17846,Trip[shape_id],Trip[shape_id],"Não encontrado")</f>
        <v/>
      </c>
      <c r="B2982" s="40" t="n">
        <v>-23.301457</v>
      </c>
      <c r="C2982" s="40" t="n">
        <v>-46.731725</v>
      </c>
      <c r="D2982" s="40" t="n">
        <v>329</v>
      </c>
      <c r="E2982" s="41" t="n">
        <v>32903.938</v>
      </c>
    </row>
    <row r="2983">
      <c r="A2983" s="42">
        <f>_xlfn.XLOOKUP(17846,Trip[shape_id],Trip[shape_id],"Não encontrado")</f>
        <v/>
      </c>
      <c r="B2983" s="43" t="n">
        <v>-23.301185</v>
      </c>
      <c r="C2983" s="43" t="n">
        <v>-46.731893</v>
      </c>
      <c r="D2983" s="43" t="n">
        <v>330</v>
      </c>
      <c r="E2983" s="44" t="n">
        <v>32983.551</v>
      </c>
    </row>
    <row r="2984">
      <c r="A2984" s="39">
        <f>_xlfn.XLOOKUP(17846,Trip[shape_id],Trip[shape_id],"Não encontrado")</f>
        <v/>
      </c>
      <c r="B2984" s="40" t="n">
        <v>-23.300584</v>
      </c>
      <c r="C2984" s="40" t="n">
        <v>-46.73232</v>
      </c>
      <c r="D2984" s="40" t="n">
        <v>331</v>
      </c>
      <c r="E2984" s="41" t="n">
        <v>33056.793</v>
      </c>
    </row>
    <row r="2985">
      <c r="A2985" s="42">
        <f>_xlfn.XLOOKUP(17846,Trip[shape_id],Trip[shape_id],"Não encontrado")</f>
        <v/>
      </c>
      <c r="B2985" s="43" t="n">
        <v>-23.300038</v>
      </c>
      <c r="C2985" s="43" t="n">
        <v>-46.732724</v>
      </c>
      <c r="D2985" s="43" t="n">
        <v>332</v>
      </c>
      <c r="E2985" s="44" t="n">
        <v>33120.074</v>
      </c>
    </row>
    <row r="2986">
      <c r="A2986" s="39">
        <f>_xlfn.XLOOKUP(17846,Trip[shape_id],Trip[shape_id],"Não encontrado")</f>
        <v/>
      </c>
      <c r="B2986" s="40" t="n">
        <v>-23.299643</v>
      </c>
      <c r="C2986" s="40" t="n">
        <v>-46.733171</v>
      </c>
      <c r="D2986" s="40" t="n">
        <v>333</v>
      </c>
      <c r="E2986" s="41" t="n">
        <v>33233.402</v>
      </c>
    </row>
    <row r="2987">
      <c r="A2987" s="42">
        <f>_xlfn.XLOOKUP(17846,Trip[shape_id],Trip[shape_id],"Não encontrado")</f>
        <v/>
      </c>
      <c r="B2987" s="43" t="n">
        <v>-23.299013</v>
      </c>
      <c r="C2987" s="43" t="n">
        <v>-46.734044</v>
      </c>
      <c r="D2987" s="43" t="n">
        <v>334</v>
      </c>
      <c r="E2987" s="44" t="n">
        <v>33335.801</v>
      </c>
    </row>
    <row r="2988">
      <c r="A2988" s="39">
        <f>_xlfn.XLOOKUP(17846,Trip[shape_id],Trip[shape_id],"Não encontrado")</f>
        <v/>
      </c>
      <c r="B2988" s="40" t="n">
        <v>-23.298484</v>
      </c>
      <c r="C2988" s="40" t="n">
        <v>-46.734865</v>
      </c>
      <c r="D2988" s="40" t="n">
        <v>335</v>
      </c>
      <c r="E2988" s="41" t="n">
        <v>33381.309</v>
      </c>
    </row>
    <row r="2989">
      <c r="A2989" s="42">
        <f>_xlfn.XLOOKUP(17846,Trip[shape_id],Trip[shape_id],"Não encontrado")</f>
        <v/>
      </c>
      <c r="B2989" s="43" t="n">
        <v>-23.298228</v>
      </c>
      <c r="C2989" s="43" t="n">
        <v>-46.735213</v>
      </c>
      <c r="D2989" s="43" t="n">
        <v>336</v>
      </c>
      <c r="E2989" s="44" t="n">
        <v>33401.539</v>
      </c>
    </row>
    <row r="2990">
      <c r="A2990" s="39">
        <f>_xlfn.XLOOKUP(17846,Trip[shape_id],Trip[shape_id],"Não encontrado")</f>
        <v/>
      </c>
      <c r="B2990" s="40" t="n">
        <v>-23.298099</v>
      </c>
      <c r="C2990" s="40" t="n">
        <v>-46.735353</v>
      </c>
      <c r="D2990" s="40" t="n">
        <v>337</v>
      </c>
      <c r="E2990" s="41" t="n">
        <v>33525.051</v>
      </c>
    </row>
    <row r="2991">
      <c r="A2991" s="42">
        <f>_xlfn.XLOOKUP(17846,Trip[shape_id],Trip[shape_id],"Não encontrado")</f>
        <v/>
      </c>
      <c r="B2991" s="43" t="n">
        <v>-23.297258</v>
      </c>
      <c r="C2991" s="43" t="n">
        <v>-46.736146</v>
      </c>
      <c r="D2991" s="43" t="n">
        <v>338</v>
      </c>
      <c r="E2991" s="44" t="n">
        <v>33612.152</v>
      </c>
    </row>
    <row r="2992">
      <c r="A2992" s="39">
        <f>_xlfn.XLOOKUP(17846,Trip[shape_id],Trip[shape_id],"Não encontrado")</f>
        <v/>
      </c>
      <c r="B2992" s="40" t="n">
        <v>-23.296551</v>
      </c>
      <c r="C2992" s="40" t="n">
        <v>-46.736519</v>
      </c>
      <c r="D2992" s="40" t="n">
        <v>339</v>
      </c>
      <c r="E2992" s="41" t="n">
        <v>33679.91</v>
      </c>
    </row>
    <row r="2993">
      <c r="A2993" s="42">
        <f>_xlfn.XLOOKUP(17846,Trip[shape_id],Trip[shape_id],"Não encontrado")</f>
        <v/>
      </c>
      <c r="B2993" s="43" t="n">
        <v>-23.295994</v>
      </c>
      <c r="C2993" s="43" t="n">
        <v>-46.736793</v>
      </c>
      <c r="D2993" s="43" t="n">
        <v>340</v>
      </c>
      <c r="E2993" s="44" t="n">
        <v>33706.242</v>
      </c>
    </row>
    <row r="2994">
      <c r="A2994" s="39">
        <f>_xlfn.XLOOKUP(17846,Trip[shape_id],Trip[shape_id],"Não encontrado")</f>
        <v/>
      </c>
      <c r="B2994" s="40" t="n">
        <v>-23.295766</v>
      </c>
      <c r="C2994" s="40" t="n">
        <v>-46.736866</v>
      </c>
      <c r="D2994" s="40" t="n">
        <v>341</v>
      </c>
      <c r="E2994" s="41" t="n">
        <v>33860.98</v>
      </c>
    </row>
    <row r="2995">
      <c r="A2995" s="42">
        <f>_xlfn.XLOOKUP(17846,Trip[shape_id],Trip[shape_id],"Não encontrado")</f>
        <v/>
      </c>
      <c r="B2995" s="43" t="n">
        <v>-23.294427</v>
      </c>
      <c r="C2995" s="43" t="n">
        <v>-46.737298</v>
      </c>
      <c r="D2995" s="43" t="n">
        <v>342</v>
      </c>
      <c r="E2995" s="44" t="n">
        <v>33909.805</v>
      </c>
    </row>
    <row r="2996">
      <c r="A2996" s="39">
        <f>_xlfn.XLOOKUP(17846,Trip[shape_id],Trip[shape_id],"Não encontrado")</f>
        <v/>
      </c>
      <c r="B2996" s="40" t="n">
        <v>-23.294023</v>
      </c>
      <c r="C2996" s="40" t="n">
        <v>-46.737489</v>
      </c>
      <c r="D2996" s="40" t="n">
        <v>343</v>
      </c>
      <c r="E2996" s="41" t="n">
        <v>33986.992</v>
      </c>
    </row>
    <row r="2997">
      <c r="A2997" s="42">
        <f>_xlfn.XLOOKUP(17846,Trip[shape_id],Trip[shape_id],"Não encontrado")</f>
        <v/>
      </c>
      <c r="B2997" s="43" t="n">
        <v>-23.293394</v>
      </c>
      <c r="C2997" s="43" t="n">
        <v>-46.737814</v>
      </c>
      <c r="D2997" s="43" t="n">
        <v>344</v>
      </c>
      <c r="E2997" s="44" t="n">
        <v>34140.535</v>
      </c>
    </row>
    <row r="2998">
      <c r="A2998" s="39">
        <f>_xlfn.XLOOKUP(17846,Trip[shape_id],Trip[shape_id],"Não encontrado")</f>
        <v/>
      </c>
      <c r="B2998" s="40" t="n">
        <v>-23.292143</v>
      </c>
      <c r="C2998" s="40" t="n">
        <v>-46.738461</v>
      </c>
      <c r="D2998" s="40" t="n">
        <v>345</v>
      </c>
      <c r="E2998" s="41" t="n">
        <v>34300.637</v>
      </c>
    </row>
    <row r="2999">
      <c r="A2999" s="42">
        <f>_xlfn.XLOOKUP(17846,Trip[shape_id],Trip[shape_id],"Não encontrado")</f>
        <v/>
      </c>
      <c r="B2999" s="43" t="n">
        <v>-23.290845</v>
      </c>
      <c r="C2999" s="43" t="n">
        <v>-46.73915</v>
      </c>
      <c r="D2999" s="43" t="n">
        <v>346</v>
      </c>
      <c r="E2999" s="44" t="n">
        <v>34408.418</v>
      </c>
    </row>
    <row r="3000">
      <c r="A3000" s="39">
        <f>_xlfn.XLOOKUP(17846,Trip[shape_id],Trip[shape_id],"Não encontrado")</f>
        <v/>
      </c>
      <c r="B3000" s="40" t="n">
        <v>-23.289974</v>
      </c>
      <c r="C3000" s="40" t="n">
        <v>-46.73962</v>
      </c>
      <c r="D3000" s="40" t="n">
        <v>347</v>
      </c>
      <c r="E3000" s="41" t="n">
        <v>34456.344</v>
      </c>
    </row>
    <row r="3001">
      <c r="A3001" s="42">
        <f>_xlfn.XLOOKUP(17846,Trip[shape_id],Trip[shape_id],"Não encontrado")</f>
        <v/>
      </c>
      <c r="B3001" s="43" t="n">
        <v>-23.289584</v>
      </c>
      <c r="C3001" s="43" t="n">
        <v>-46.739823</v>
      </c>
      <c r="D3001" s="43" t="n">
        <v>348</v>
      </c>
      <c r="E3001" s="44" t="n">
        <v>34632.688</v>
      </c>
    </row>
    <row r="3002">
      <c r="A3002" s="39">
        <f>_xlfn.XLOOKUP(17846,Trip[shape_id],Trip[shape_id],"Não encontrado")</f>
        <v/>
      </c>
      <c r="B3002" s="40" t="n">
        <v>-23.288136</v>
      </c>
      <c r="C3002" s="40" t="n">
        <v>-46.74054</v>
      </c>
      <c r="D3002" s="40" t="n">
        <v>349</v>
      </c>
      <c r="E3002" s="41" t="n">
        <v>34838.293</v>
      </c>
    </row>
    <row r="3003">
      <c r="A3003" s="42">
        <f>_xlfn.XLOOKUP(17846,Trip[shape_id],Trip[shape_id],"Não encontrado")</f>
        <v/>
      </c>
      <c r="B3003" s="43" t="n">
        <v>-23.286462</v>
      </c>
      <c r="C3003" s="43" t="n">
        <v>-46.741409</v>
      </c>
      <c r="D3003" s="43" t="n">
        <v>350</v>
      </c>
      <c r="E3003" s="44" t="n">
        <v>34975.387</v>
      </c>
    </row>
    <row r="3004">
      <c r="A3004" s="39">
        <f>_xlfn.XLOOKUP(17846,Trip[shape_id],Trip[shape_id],"Não encontrado")</f>
        <v/>
      </c>
      <c r="B3004" s="40" t="n">
        <v>-23.285334</v>
      </c>
      <c r="C3004" s="40" t="n">
        <v>-46.741961</v>
      </c>
      <c r="D3004" s="40" t="n">
        <v>351</v>
      </c>
      <c r="E3004" s="41" t="n">
        <v>35042.102</v>
      </c>
    </row>
    <row r="3005">
      <c r="A3005" s="42">
        <f>_xlfn.XLOOKUP(17846,Trip[shape_id],Trip[shape_id],"Não encontrado")</f>
        <v/>
      </c>
      <c r="B3005" s="43" t="n">
        <v>-23.284758</v>
      </c>
      <c r="C3005" s="43" t="n">
        <v>-46.742152</v>
      </c>
      <c r="D3005" s="43" t="n">
        <v>352</v>
      </c>
      <c r="E3005" s="44" t="n">
        <v>35116.59</v>
      </c>
    </row>
    <row r="3006">
      <c r="A3006" s="39">
        <f>_xlfn.XLOOKUP(17846,Trip[shape_id],Trip[shape_id],"Não encontrado")</f>
        <v/>
      </c>
      <c r="B3006" s="40" t="n">
        <v>-23.284104</v>
      </c>
      <c r="C3006" s="40" t="n">
        <v>-46.742322</v>
      </c>
      <c r="D3006" s="40" t="n">
        <v>353</v>
      </c>
      <c r="E3006" s="41" t="n">
        <v>35144.715</v>
      </c>
    </row>
    <row r="3007">
      <c r="A3007" s="42">
        <f>_xlfn.XLOOKUP(17846,Trip[shape_id],Trip[shape_id],"Não encontrado")</f>
        <v/>
      </c>
      <c r="B3007" s="43" t="n">
        <v>-23.283851</v>
      </c>
      <c r="C3007" s="43" t="n">
        <v>-46.742346</v>
      </c>
      <c r="D3007" s="43" t="n">
        <v>354</v>
      </c>
      <c r="E3007" s="44" t="n">
        <v>35144.715</v>
      </c>
    </row>
    <row r="3008">
      <c r="A3008" s="39">
        <f>_xlfn.XLOOKUP(17846,Trip[shape_id],Trip[shape_id],"Não encontrado")</f>
        <v/>
      </c>
      <c r="B3008" s="40" t="n">
        <v>-23.282299</v>
      </c>
      <c r="C3008" s="40" t="n">
        <v>-46.742499</v>
      </c>
      <c r="D3008" s="40" t="n">
        <v>355</v>
      </c>
      <c r="E3008" s="41" t="n">
        <v>35541.137</v>
      </c>
    </row>
    <row r="3009">
      <c r="A3009" s="42">
        <f>_xlfn.XLOOKUP(17846,Trip[shape_id],Trip[shape_id],"Não encontrado")</f>
        <v/>
      </c>
      <c r="B3009" s="43" t="n">
        <v>-23.280281</v>
      </c>
      <c r="C3009" s="43" t="n">
        <v>-46.742619</v>
      </c>
      <c r="D3009" s="43" t="n">
        <v>356</v>
      </c>
      <c r="E3009" s="44" t="n">
        <v>35769.328</v>
      </c>
    </row>
    <row r="3010">
      <c r="A3010" s="39">
        <f>_xlfn.XLOOKUP(17846,Trip[shape_id],Trip[shape_id],"Não encontrado")</f>
        <v/>
      </c>
      <c r="B3010" s="40" t="n">
        <v>-23.278232</v>
      </c>
      <c r="C3010" s="40" t="n">
        <v>-46.742854</v>
      </c>
      <c r="D3010" s="40" t="n">
        <v>357</v>
      </c>
      <c r="E3010" s="41" t="n">
        <v>35838.027</v>
      </c>
    </row>
    <row r="3011">
      <c r="A3011" s="42">
        <f>_xlfn.XLOOKUP(17846,Trip[shape_id],Trip[shape_id],"Não encontrado")</f>
        <v/>
      </c>
      <c r="B3011" s="43" t="n">
        <v>-23.277613</v>
      </c>
      <c r="C3011" s="43" t="n">
        <v>-46.742898</v>
      </c>
      <c r="D3011" s="43" t="n">
        <v>358</v>
      </c>
      <c r="E3011" s="44" t="n">
        <v>35889.242</v>
      </c>
    </row>
    <row r="3012">
      <c r="A3012" s="39">
        <f>_xlfn.XLOOKUP(17846,Trip[shape_id],Trip[shape_id],"Não encontrado")</f>
        <v/>
      </c>
      <c r="B3012" s="40" t="n">
        <v>-23.277173</v>
      </c>
      <c r="C3012" s="40" t="n">
        <v>-46.743052</v>
      </c>
      <c r="D3012" s="40" t="n">
        <v>359</v>
      </c>
      <c r="E3012" s="41" t="n">
        <v>35936.176</v>
      </c>
    </row>
    <row r="3013">
      <c r="A3013" s="42">
        <f>_xlfn.XLOOKUP(17846,Trip[shape_id],Trip[shape_id],"Não encontrado")</f>
        <v/>
      </c>
      <c r="B3013" s="43" t="n">
        <v>-23.276784</v>
      </c>
      <c r="C3013" s="43" t="n">
        <v>-46.743234</v>
      </c>
      <c r="D3013" s="43" t="n">
        <v>360</v>
      </c>
      <c r="E3013" s="44" t="n">
        <v>35971.605</v>
      </c>
    </row>
    <row r="3014">
      <c r="A3014" s="39">
        <f>_xlfn.XLOOKUP(17846,Trip[shape_id],Trip[shape_id],"Não encontrado")</f>
        <v/>
      </c>
      <c r="B3014" s="40" t="n">
        <v>-23.276491</v>
      </c>
      <c r="C3014" s="40" t="n">
        <v>-46.743373</v>
      </c>
      <c r="D3014" s="40" t="n">
        <v>361</v>
      </c>
      <c r="E3014" s="41" t="n">
        <v>36017.445</v>
      </c>
    </row>
    <row r="3015">
      <c r="A3015" s="42">
        <f>_xlfn.XLOOKUP(17846,Trip[shape_id],Trip[shape_id],"Não encontrado")</f>
        <v/>
      </c>
      <c r="B3015" s="43" t="n">
        <v>-23.27616</v>
      </c>
      <c r="C3015" s="43" t="n">
        <v>-46.743642</v>
      </c>
      <c r="D3015" s="43" t="n">
        <v>362</v>
      </c>
      <c r="E3015" s="44" t="n">
        <v>36079.953</v>
      </c>
    </row>
    <row r="3016">
      <c r="A3016" s="39">
        <f>_xlfn.XLOOKUP(17846,Trip[shape_id],Trip[shape_id],"Não encontrado")</f>
        <v/>
      </c>
      <c r="B3016" s="40" t="n">
        <v>-23.275751</v>
      </c>
      <c r="C3016" s="40" t="n">
        <v>-46.744063</v>
      </c>
      <c r="D3016" s="40" t="n">
        <v>363</v>
      </c>
      <c r="E3016" s="41" t="n">
        <v>36134.418</v>
      </c>
    </row>
    <row r="3017">
      <c r="A3017" s="42">
        <f>_xlfn.XLOOKUP(17846,Trip[shape_id],Trip[shape_id],"Não encontrado")</f>
        <v/>
      </c>
      <c r="B3017" s="43" t="n">
        <v>-23.275434</v>
      </c>
      <c r="C3017" s="43" t="n">
        <v>-46.74447</v>
      </c>
      <c r="D3017" s="43" t="n">
        <v>364</v>
      </c>
      <c r="E3017" s="44" t="n">
        <v>36198.367</v>
      </c>
    </row>
    <row r="3018">
      <c r="A3018" s="39">
        <f>_xlfn.XLOOKUP(17846,Trip[shape_id],Trip[shape_id],"Não encontrado")</f>
        <v/>
      </c>
      <c r="B3018" s="40" t="n">
        <v>-23.275158</v>
      </c>
      <c r="C3018" s="40" t="n">
        <v>-46.745019</v>
      </c>
      <c r="D3018" s="40" t="n">
        <v>365</v>
      </c>
      <c r="E3018" s="41" t="n">
        <v>36259.191</v>
      </c>
    </row>
    <row r="3019">
      <c r="A3019" s="42">
        <f>_xlfn.XLOOKUP(17846,Trip[shape_id],Trip[shape_id],"Não encontrado")</f>
        <v/>
      </c>
      <c r="B3019" s="43" t="n">
        <v>-23.275002</v>
      </c>
      <c r="C3019" s="43" t="n">
        <v>-46.745589</v>
      </c>
      <c r="D3019" s="43" t="n">
        <v>366</v>
      </c>
      <c r="E3019" s="44" t="n">
        <v>36306.137</v>
      </c>
    </row>
    <row r="3020">
      <c r="A3020" s="39">
        <f>_xlfn.XLOOKUP(17846,Trip[shape_id],Trip[shape_id],"Não encontrado")</f>
        <v/>
      </c>
      <c r="B3020" s="40" t="n">
        <v>-23.274929</v>
      </c>
      <c r="C3020" s="40" t="n">
        <v>-46.746041</v>
      </c>
      <c r="D3020" s="40" t="n">
        <v>367</v>
      </c>
      <c r="E3020" s="41" t="n">
        <v>36354.938</v>
      </c>
    </row>
    <row r="3021">
      <c r="A3021" s="42">
        <f>_xlfn.XLOOKUP(17846,Trip[shape_id],Trip[shape_id],"Não encontrado")</f>
        <v/>
      </c>
      <c r="B3021" s="43" t="n">
        <v>-23.274901</v>
      </c>
      <c r="C3021" s="43" t="n">
        <v>-46.746517</v>
      </c>
      <c r="D3021" s="43" t="n">
        <v>368</v>
      </c>
      <c r="E3021" s="44" t="n">
        <v>36432.086</v>
      </c>
    </row>
    <row r="3022">
      <c r="A3022" s="39">
        <f>_xlfn.XLOOKUP(17846,Trip[shape_id],Trip[shape_id],"Não encontrado")</f>
        <v/>
      </c>
      <c r="B3022" s="40" t="n">
        <v>-23.274907</v>
      </c>
      <c r="C3022" s="40" t="n">
        <v>-46.747271</v>
      </c>
      <c r="D3022" s="40" t="n">
        <v>369</v>
      </c>
      <c r="E3022" s="41" t="n">
        <v>36494.352</v>
      </c>
    </row>
    <row r="3023">
      <c r="A3023" s="42">
        <f>_xlfn.XLOOKUP(17846,Trip[shape_id],Trip[shape_id],"Não encontrado")</f>
        <v/>
      </c>
      <c r="B3023" s="43" t="n">
        <v>-23.274762</v>
      </c>
      <c r="C3023" s="43" t="n">
        <v>-46.747859</v>
      </c>
      <c r="D3023" s="43" t="n">
        <v>370</v>
      </c>
      <c r="E3023" s="44" t="n">
        <v>36543.699</v>
      </c>
    </row>
    <row r="3024">
      <c r="A3024" s="39">
        <f>_xlfn.XLOOKUP(17846,Trip[shape_id],Trip[shape_id],"Não encontrado")</f>
        <v/>
      </c>
      <c r="B3024" s="40" t="n">
        <v>-23.274631</v>
      </c>
      <c r="C3024" s="40" t="n">
        <v>-46.74832</v>
      </c>
      <c r="D3024" s="40" t="n">
        <v>371</v>
      </c>
      <c r="E3024" s="41" t="n">
        <v>36644.215</v>
      </c>
    </row>
    <row r="3025">
      <c r="A3025" s="42">
        <f>_xlfn.XLOOKUP(17846,Trip[shape_id],Trip[shape_id],"Não encontrado")</f>
        <v/>
      </c>
      <c r="B3025" s="43" t="n">
        <v>-23.274144</v>
      </c>
      <c r="C3025" s="43" t="n">
        <v>-46.749149</v>
      </c>
      <c r="D3025" s="43" t="n">
        <v>372</v>
      </c>
      <c r="E3025" s="44" t="n">
        <v>36693.332</v>
      </c>
    </row>
    <row r="3026">
      <c r="A3026" s="39">
        <f>_xlfn.XLOOKUP(17846,Trip[shape_id],Trip[shape_id],"Não encontrado")</f>
        <v/>
      </c>
      <c r="B3026" s="40" t="n">
        <v>-23.27383</v>
      </c>
      <c r="C3026" s="40" t="n">
        <v>-46.749488</v>
      </c>
      <c r="D3026" s="40" t="n">
        <v>373</v>
      </c>
      <c r="E3026" s="41" t="n">
        <v>36744.461</v>
      </c>
    </row>
    <row r="3027">
      <c r="A3027" s="42">
        <f>_xlfn.XLOOKUP(17846,Trip[shape_id],Trip[shape_id],"Não encontrado")</f>
        <v/>
      </c>
      <c r="B3027" s="43" t="n">
        <v>-23.273465</v>
      </c>
      <c r="C3027" s="43" t="n">
        <v>-46.749794</v>
      </c>
      <c r="D3027" s="43" t="n">
        <v>374</v>
      </c>
      <c r="E3027" s="44" t="n">
        <v>36820.418</v>
      </c>
    </row>
    <row r="3028">
      <c r="A3028" s="39">
        <f>_xlfn.XLOOKUP(17846,Trip[shape_id],Trip[shape_id],"Não encontrado")</f>
        <v/>
      </c>
      <c r="B3028" s="40" t="n">
        <v>-23.272872</v>
      </c>
      <c r="C3028" s="40" t="n">
        <v>-46.750167</v>
      </c>
      <c r="D3028" s="40" t="n">
        <v>375</v>
      </c>
      <c r="E3028" s="41" t="n">
        <v>36938.5</v>
      </c>
    </row>
    <row r="3029">
      <c r="A3029" s="42">
        <f>_xlfn.XLOOKUP(17846,Trip[shape_id],Trip[shape_id],"Não encontrado")</f>
        <v/>
      </c>
      <c r="B3029" s="43" t="n">
        <v>-23.271889</v>
      </c>
      <c r="C3029" s="43" t="n">
        <v>-46.750614</v>
      </c>
      <c r="D3029" s="43" t="n">
        <v>376</v>
      </c>
      <c r="E3029" s="44" t="n">
        <v>37044.867</v>
      </c>
    </row>
    <row r="3030">
      <c r="A3030" s="39">
        <f>_xlfn.XLOOKUP(17846,Trip[shape_id],Trip[shape_id],"Não encontrado")</f>
        <v/>
      </c>
      <c r="B3030" s="40" t="n">
        <v>-23.270995</v>
      </c>
      <c r="C3030" s="40" t="n">
        <v>-46.750994</v>
      </c>
      <c r="D3030" s="40" t="n">
        <v>377</v>
      </c>
      <c r="E3030" s="41" t="n">
        <v>37100.719</v>
      </c>
    </row>
    <row r="3031">
      <c r="A3031" s="42">
        <f>_xlfn.XLOOKUP(17846,Trip[shape_id],Trip[shape_id],"Não encontrado")</f>
        <v/>
      </c>
      <c r="B3031" s="43" t="n">
        <v>-23.270502</v>
      </c>
      <c r="C3031" s="43" t="n">
        <v>-46.751109</v>
      </c>
      <c r="D3031" s="43" t="n">
        <v>378</v>
      </c>
      <c r="E3031" s="44" t="n">
        <v>37236.203</v>
      </c>
    </row>
    <row r="3032">
      <c r="A3032" s="39">
        <f>_xlfn.XLOOKUP(17846,Trip[shape_id],Trip[shape_id],"Não encontrado")</f>
        <v/>
      </c>
      <c r="B3032" s="40" t="n">
        <v>-23.269285</v>
      </c>
      <c r="C3032" s="40" t="n">
        <v>-46.751244</v>
      </c>
      <c r="D3032" s="40" t="n">
        <v>379</v>
      </c>
      <c r="E3032" s="41" t="n">
        <v>37422.348</v>
      </c>
    </row>
    <row r="3033">
      <c r="A3033" s="42">
        <f>_xlfn.XLOOKUP(17846,Trip[shape_id],Trip[shape_id],"Não encontrado")</f>
        <v/>
      </c>
      <c r="B3033" s="43" t="n">
        <v>-23.267614</v>
      </c>
      <c r="C3033" s="43" t="n">
        <v>-46.75144</v>
      </c>
      <c r="D3033" s="43" t="n">
        <v>380</v>
      </c>
      <c r="E3033" s="44" t="n">
        <v>37490.023</v>
      </c>
    </row>
    <row r="3034">
      <c r="A3034" s="39">
        <f>_xlfn.XLOOKUP(17846,Trip[shape_id],Trip[shape_id],"Não encontrado")</f>
        <v/>
      </c>
      <c r="B3034" s="40" t="n">
        <v>-23.267004</v>
      </c>
      <c r="C3034" s="40" t="n">
        <v>-46.751479</v>
      </c>
      <c r="D3034" s="40" t="n">
        <v>381</v>
      </c>
      <c r="E3034" s="41" t="n">
        <v>37528.039</v>
      </c>
    </row>
    <row r="3035">
      <c r="A3035" s="42">
        <f>_xlfn.XLOOKUP(17846,Trip[shape_id],Trip[shape_id],"Não encontrado")</f>
        <v/>
      </c>
      <c r="B3035" s="43" t="n">
        <v>-23.266661</v>
      </c>
      <c r="C3035" s="43" t="n">
        <v>-46.751464</v>
      </c>
      <c r="D3035" s="43" t="n">
        <v>382</v>
      </c>
      <c r="E3035" s="44" t="n">
        <v>37568.984</v>
      </c>
    </row>
    <row r="3036">
      <c r="A3036" s="39">
        <f>_xlfn.XLOOKUP(17846,Trip[shape_id],Trip[shape_id],"Não encontrado")</f>
        <v/>
      </c>
      <c r="B3036" s="40" t="n">
        <v>-23.266297</v>
      </c>
      <c r="C3036" s="40" t="n">
        <v>-46.751394</v>
      </c>
      <c r="D3036" s="40" t="n">
        <v>383</v>
      </c>
      <c r="E3036" s="41" t="n">
        <v>37664.488</v>
      </c>
    </row>
    <row r="3037">
      <c r="A3037" s="42">
        <f>_xlfn.XLOOKUP(17846,Trip[shape_id],Trip[shape_id],"Não encontrado")</f>
        <v/>
      </c>
      <c r="B3037" s="43" t="n">
        <v>-23.265444</v>
      </c>
      <c r="C3037" s="43" t="n">
        <v>-46.751257</v>
      </c>
      <c r="D3037" s="43" t="n">
        <v>384</v>
      </c>
      <c r="E3037" s="44" t="n">
        <v>37733.379</v>
      </c>
    </row>
    <row r="3038">
      <c r="A3038" s="39">
        <f>_xlfn.XLOOKUP(17846,Trip[shape_id],Trip[shape_id],"Não encontrado")</f>
        <v/>
      </c>
      <c r="B3038" s="40" t="n">
        <v>-23.264823</v>
      </c>
      <c r="C3038" s="40" t="n">
        <v>-46.751218</v>
      </c>
      <c r="D3038" s="40" t="n">
        <v>385</v>
      </c>
      <c r="E3038" s="41" t="n">
        <v>37814.238</v>
      </c>
    </row>
    <row r="3039">
      <c r="A3039" s="42">
        <f>_xlfn.XLOOKUP(17846,Trip[shape_id],Trip[shape_id],"Não encontrado")</f>
        <v/>
      </c>
      <c r="B3039" s="43" t="n">
        <v>-23.2641</v>
      </c>
      <c r="C3039" s="43" t="n">
        <v>-46.751328</v>
      </c>
      <c r="D3039" s="43" t="n">
        <v>386</v>
      </c>
      <c r="E3039" s="44" t="n">
        <v>37930.133</v>
      </c>
    </row>
    <row r="3040">
      <c r="A3040" s="39">
        <f>_xlfn.XLOOKUP(17846,Trip[shape_id],Trip[shape_id],"Não encontrado")</f>
        <v/>
      </c>
      <c r="B3040" s="40" t="n">
        <v>-23.263153</v>
      </c>
      <c r="C3040" s="40" t="n">
        <v>-46.75181</v>
      </c>
      <c r="D3040" s="40" t="n">
        <v>387</v>
      </c>
      <c r="E3040" s="41" t="n">
        <v>38053.363</v>
      </c>
    </row>
    <row r="3041">
      <c r="A3041" s="42">
        <f>_xlfn.XLOOKUP(17846,Trip[shape_id],Trip[shape_id],"Não encontrado")</f>
        <v/>
      </c>
      <c r="B3041" s="43" t="n">
        <v>-23.262318</v>
      </c>
      <c r="C3041" s="43" t="n">
        <v>-46.752606</v>
      </c>
      <c r="D3041" s="43" t="n">
        <v>388</v>
      </c>
      <c r="E3041" s="44" t="n">
        <v>38184.473</v>
      </c>
    </row>
    <row r="3042">
      <c r="A3042" s="39">
        <f>_xlfn.XLOOKUP(17846,Trip[shape_id],Trip[shape_id],"Não encontrado")</f>
        <v/>
      </c>
      <c r="B3042" s="40" t="n">
        <v>-23.261725</v>
      </c>
      <c r="C3042" s="40" t="n">
        <v>-46.753715</v>
      </c>
      <c r="D3042" s="40" t="n">
        <v>389</v>
      </c>
      <c r="E3042" s="41" t="n">
        <v>38281.898</v>
      </c>
    </row>
    <row r="3043">
      <c r="A3043" s="42">
        <f>_xlfn.XLOOKUP(17846,Trip[shape_id],Trip[shape_id],"Não encontrado")</f>
        <v/>
      </c>
      <c r="B3043" s="43" t="n">
        <v>-23.26143</v>
      </c>
      <c r="C3043" s="43" t="n">
        <v>-46.754612</v>
      </c>
      <c r="D3043" s="43" t="n">
        <v>390</v>
      </c>
      <c r="E3043" s="44" t="n">
        <v>38381.984</v>
      </c>
    </row>
    <row r="3044">
      <c r="A3044" s="39">
        <f>_xlfn.XLOOKUP(17846,Trip[shape_id],Trip[shape_id],"Não encontrado")</f>
        <v/>
      </c>
      <c r="B3044" s="40" t="n">
        <v>-23.261416</v>
      </c>
      <c r="C3044" s="40" t="n">
        <v>-46.75559</v>
      </c>
      <c r="D3044" s="40" t="n">
        <v>391</v>
      </c>
      <c r="E3044" s="41" t="n">
        <v>38477.684</v>
      </c>
    </row>
    <row r="3045">
      <c r="A3045" s="42">
        <f>_xlfn.XLOOKUP(17846,Trip[shape_id],Trip[shape_id],"Não encontrado")</f>
        <v/>
      </c>
      <c r="B3045" s="43" t="n">
        <v>-23.261641</v>
      </c>
      <c r="C3045" s="43" t="n">
        <v>-46.756493</v>
      </c>
      <c r="D3045" s="43" t="n">
        <v>392</v>
      </c>
      <c r="E3045" s="44" t="n">
        <v>38621.711</v>
      </c>
    </row>
    <row r="3046">
      <c r="A3046" s="39">
        <f>_xlfn.XLOOKUP(17846,Trip[shape_id],Trip[shape_id],"Não encontrado")</f>
        <v/>
      </c>
      <c r="B3046" s="40" t="n">
        <v>-23.26219</v>
      </c>
      <c r="C3046" s="40" t="n">
        <v>-46.757769</v>
      </c>
      <c r="D3046" s="40" t="n">
        <v>393</v>
      </c>
      <c r="E3046" s="41" t="n">
        <v>38730.082</v>
      </c>
    </row>
    <row r="3047">
      <c r="A3047" s="42">
        <f>_xlfn.XLOOKUP(17846,Trip[shape_id],Trip[shape_id],"Não encontrado")</f>
        <v/>
      </c>
      <c r="B3047" s="43" t="n">
        <v>-23.262318</v>
      </c>
      <c r="C3047" s="43" t="n">
        <v>-46.758819</v>
      </c>
      <c r="D3047" s="43" t="n">
        <v>394</v>
      </c>
      <c r="E3047" s="44" t="n">
        <v>38840.422</v>
      </c>
    </row>
    <row r="3048">
      <c r="A3048" s="39">
        <f>_xlfn.XLOOKUP(17846,Trip[shape_id],Trip[shape_id],"Não encontrado")</f>
        <v/>
      </c>
      <c r="B3048" s="40" t="n">
        <v>-23.26214</v>
      </c>
      <c r="C3048" s="40" t="n">
        <v>-46.75988</v>
      </c>
      <c r="D3048" s="40" t="n">
        <v>395</v>
      </c>
      <c r="E3048" s="41" t="n">
        <v>38880.094</v>
      </c>
    </row>
    <row r="3049">
      <c r="A3049" s="42">
        <f>_xlfn.XLOOKUP(17846,Trip[shape_id],Trip[shape_id],"Não encontrado")</f>
        <v/>
      </c>
      <c r="B3049" s="43" t="n">
        <v>-23.261984</v>
      </c>
      <c r="C3049" s="43" t="n">
        <v>-46.760229</v>
      </c>
      <c r="D3049" s="43" t="n">
        <v>396</v>
      </c>
      <c r="E3049" s="44" t="n">
        <v>38937.238</v>
      </c>
    </row>
    <row r="3050">
      <c r="A3050" s="39">
        <f>_xlfn.XLOOKUP(17846,Trip[shape_id],Trip[shape_id],"Não encontrado")</f>
        <v/>
      </c>
      <c r="B3050" s="40" t="n">
        <v>-23.261756</v>
      </c>
      <c r="C3050" s="40" t="n">
        <v>-46.76073</v>
      </c>
      <c r="D3050" s="40" t="n">
        <v>397</v>
      </c>
      <c r="E3050" s="41" t="n">
        <v>39010.188</v>
      </c>
    </row>
    <row r="3051">
      <c r="A3051" s="42">
        <f>_xlfn.XLOOKUP(17846,Trip[shape_id],Trip[shape_id],"Não encontrado")</f>
        <v/>
      </c>
      <c r="B3051" s="43" t="n">
        <v>-23.261346</v>
      </c>
      <c r="C3051" s="43" t="n">
        <v>-46.761288</v>
      </c>
      <c r="D3051" s="43" t="n">
        <v>398</v>
      </c>
      <c r="E3051" s="44" t="n">
        <v>39092.727</v>
      </c>
    </row>
    <row r="3052">
      <c r="A3052" s="39">
        <f>_xlfn.XLOOKUP(17846,Trip[shape_id],Trip[shape_id],"Não encontrado")</f>
        <v/>
      </c>
      <c r="B3052" s="40" t="n">
        <v>-23.260725</v>
      </c>
      <c r="C3052" s="40" t="n">
        <v>-46.761734</v>
      </c>
      <c r="D3052" s="40" t="n">
        <v>399</v>
      </c>
      <c r="E3052" s="41" t="n">
        <v>39158.422</v>
      </c>
    </row>
    <row r="3053">
      <c r="A3053" s="42">
        <f>_xlfn.XLOOKUP(17846,Trip[shape_id],Trip[shape_id],"Não encontrado")</f>
        <v/>
      </c>
      <c r="B3053" s="43" t="n">
        <v>-23.260151</v>
      </c>
      <c r="C3053" s="43" t="n">
        <v>-46.761896</v>
      </c>
      <c r="D3053" s="43" t="n">
        <v>400</v>
      </c>
      <c r="E3053" s="44" t="n">
        <v>39236.871</v>
      </c>
    </row>
    <row r="3054">
      <c r="A3054" s="39">
        <f>_xlfn.XLOOKUP(17846,Trip[shape_id],Trip[shape_id],"Não encontrado")</f>
        <v/>
      </c>
      <c r="B3054" s="40" t="n">
        <v>-23.259447</v>
      </c>
      <c r="C3054" s="40" t="n">
        <v>-46.761981</v>
      </c>
      <c r="D3054" s="40" t="n">
        <v>401</v>
      </c>
      <c r="E3054" s="41" t="n">
        <v>39482.445</v>
      </c>
    </row>
    <row r="3055">
      <c r="A3055" s="42">
        <f>_xlfn.XLOOKUP(17846,Trip[shape_id],Trip[shape_id],"Não encontrado")</f>
        <v/>
      </c>
      <c r="B3055" s="43" t="n">
        <v>-23.257231</v>
      </c>
      <c r="C3055" s="43" t="n">
        <v>-46.762067</v>
      </c>
      <c r="D3055" s="43" t="n">
        <v>402</v>
      </c>
      <c r="E3055" s="44" t="n">
        <v>39552.805</v>
      </c>
    </row>
    <row r="3056">
      <c r="A3056" s="39">
        <f>_xlfn.XLOOKUP(17846,Trip[shape_id],Trip[shape_id],"Não encontrado")</f>
        <v/>
      </c>
      <c r="B3056" s="40" t="n">
        <v>-23.256596</v>
      </c>
      <c r="C3056" s="40" t="n">
        <v>-46.762088</v>
      </c>
      <c r="D3056" s="40" t="n">
        <v>403</v>
      </c>
      <c r="E3056" s="41" t="n">
        <v>39782.402</v>
      </c>
    </row>
    <row r="3057">
      <c r="A3057" s="42">
        <f>_xlfn.XLOOKUP(17846,Trip[shape_id],Trip[shape_id],"Não encontrado")</f>
        <v/>
      </c>
      <c r="B3057" s="43" t="n">
        <v>-23.254524</v>
      </c>
      <c r="C3057" s="43" t="n">
        <v>-46.762163</v>
      </c>
      <c r="D3057" s="43" t="n">
        <v>404</v>
      </c>
      <c r="E3057" s="44" t="n">
        <v>40025.176</v>
      </c>
    </row>
    <row r="3058">
      <c r="A3058" s="39">
        <f>_xlfn.XLOOKUP(17846,Trip[shape_id],Trip[shape_id],"Não encontrado")</f>
        <v/>
      </c>
      <c r="B3058" s="40" t="n">
        <v>-23.252377</v>
      </c>
      <c r="C3058" s="40" t="n">
        <v>-46.762642</v>
      </c>
      <c r="D3058" s="40" t="n">
        <v>405</v>
      </c>
      <c r="E3058" s="41" t="n">
        <v>40133.016</v>
      </c>
    </row>
    <row r="3059">
      <c r="A3059" s="42">
        <f>_xlfn.XLOOKUP(17846,Trip[shape_id],Trip[shape_id],"Não encontrado")</f>
        <v/>
      </c>
      <c r="B3059" s="43" t="n">
        <v>-23.251475</v>
      </c>
      <c r="C3059" s="43" t="n">
        <v>-46.763039</v>
      </c>
      <c r="D3059" s="43" t="n">
        <v>406</v>
      </c>
      <c r="E3059" s="44" t="n">
        <v>40247.426</v>
      </c>
    </row>
    <row r="3060">
      <c r="A3060" s="39">
        <f>_xlfn.XLOOKUP(17846,Trip[shape_id],Trip[shape_id],"Não encontrado")</f>
        <v/>
      </c>
      <c r="B3060" s="40" t="n">
        <v>-23.250559</v>
      </c>
      <c r="C3060" s="40" t="n">
        <v>-46.763556</v>
      </c>
      <c r="D3060" s="40" t="n">
        <v>407</v>
      </c>
      <c r="E3060" s="41" t="n">
        <v>40317.938</v>
      </c>
    </row>
    <row r="3061">
      <c r="A3061" s="42">
        <f>_xlfn.XLOOKUP(17846,Trip[shape_id],Trip[shape_id],"Não encontrado")</f>
        <v/>
      </c>
      <c r="B3061" s="43" t="n">
        <v>-23.249955</v>
      </c>
      <c r="C3061" s="43" t="n">
        <v>-46.763774</v>
      </c>
      <c r="D3061" s="43" t="n">
        <v>408</v>
      </c>
      <c r="E3061" s="44" t="n">
        <v>40382.289</v>
      </c>
    </row>
    <row r="3062">
      <c r="A3062" s="39">
        <f>_xlfn.XLOOKUP(17846,Trip[shape_id],Trip[shape_id],"Não encontrado")</f>
        <v/>
      </c>
      <c r="B3062" s="40" t="n">
        <v>-23.249376</v>
      </c>
      <c r="C3062" s="40" t="n">
        <v>-46.763827</v>
      </c>
      <c r="D3062" s="40" t="n">
        <v>409</v>
      </c>
      <c r="E3062" s="41" t="n">
        <v>40452.898</v>
      </c>
    </row>
    <row r="3063">
      <c r="A3063" s="42">
        <f>_xlfn.XLOOKUP(17846,Trip[shape_id],Trip[shape_id],"Não encontrado")</f>
        <v/>
      </c>
      <c r="B3063" s="43" t="n">
        <v>-23.248744</v>
      </c>
      <c r="C3063" s="43" t="n">
        <v>-46.763736</v>
      </c>
      <c r="D3063" s="43" t="n">
        <v>410</v>
      </c>
      <c r="E3063" s="44" t="n">
        <v>40530.398</v>
      </c>
    </row>
    <row r="3064">
      <c r="A3064" s="39">
        <f>_xlfn.XLOOKUP(17846,Trip[shape_id],Trip[shape_id],"Não encontrado")</f>
        <v/>
      </c>
      <c r="B3064" s="40" t="n">
        <v>-23.248046</v>
      </c>
      <c r="C3064" s="40" t="n">
        <v>-46.763682</v>
      </c>
      <c r="D3064" s="40" t="n">
        <v>411</v>
      </c>
      <c r="E3064" s="41" t="n">
        <v>40642.844</v>
      </c>
    </row>
    <row r="3065">
      <c r="A3065" s="42">
        <f>_xlfn.XLOOKUP(17846,Trip[shape_id],Trip[shape_id],"Não encontrado")</f>
        <v/>
      </c>
      <c r="B3065" s="43" t="n">
        <v>-23.247034</v>
      </c>
      <c r="C3065" s="43" t="n">
        <v>-46.763771</v>
      </c>
      <c r="D3065" s="43" t="n">
        <v>412</v>
      </c>
      <c r="E3065" s="44" t="n">
        <v>40715.867</v>
      </c>
    </row>
    <row r="3066">
      <c r="A3066" s="39">
        <f>_xlfn.XLOOKUP(17846,Trip[shape_id],Trip[shape_id],"Não encontrado")</f>
        <v/>
      </c>
      <c r="B3066" s="40" t="n">
        <v>-23.24638</v>
      </c>
      <c r="C3066" s="40" t="n">
        <v>-46.763862</v>
      </c>
      <c r="D3066" s="40" t="n">
        <v>413</v>
      </c>
      <c r="E3066" s="41" t="n">
        <v>40865.441</v>
      </c>
    </row>
    <row r="3067">
      <c r="A3067" s="42">
        <f>_xlfn.XLOOKUP(17846,Trip[shape_id],Trip[shape_id],"Não encontrado")</f>
        <v/>
      </c>
      <c r="B3067" s="43" t="n">
        <v>-23.245036</v>
      </c>
      <c r="C3067" s="43" t="n">
        <v>-46.764006</v>
      </c>
      <c r="D3067" s="43" t="n">
        <v>414</v>
      </c>
      <c r="E3067" s="44" t="n">
        <v>40950.113</v>
      </c>
    </row>
    <row r="3068">
      <c r="A3068" s="39">
        <f>_xlfn.XLOOKUP(17846,Trip[shape_id],Trip[shape_id],"Não encontrado")</f>
        <v/>
      </c>
      <c r="B3068" s="40" t="n">
        <v>-23.244278</v>
      </c>
      <c r="C3068" s="40" t="n">
        <v>-46.764114</v>
      </c>
      <c r="D3068" s="40" t="n">
        <v>415</v>
      </c>
      <c r="E3068" s="41" t="n">
        <v>41036.906</v>
      </c>
    </row>
    <row r="3069">
      <c r="A3069" s="42">
        <f>_xlfn.XLOOKUP(17846,Trip[shape_id],Trip[shape_id],"Não encontrado")</f>
        <v/>
      </c>
      <c r="B3069" s="43" t="n">
        <v>-23.243506</v>
      </c>
      <c r="C3069" s="43" t="n">
        <v>-46.76426</v>
      </c>
      <c r="D3069" s="43" t="n">
        <v>416</v>
      </c>
      <c r="E3069" s="44" t="n">
        <v>41117.461</v>
      </c>
    </row>
    <row r="3070">
      <c r="A3070" s="39">
        <f>_xlfn.XLOOKUP(17846,Trip[shape_id],Trip[shape_id],"Não encontrado")</f>
        <v/>
      </c>
      <c r="B3070" s="40" t="n">
        <v>-23.24285</v>
      </c>
      <c r="C3070" s="40" t="n">
        <v>-46.7646</v>
      </c>
      <c r="D3070" s="40" t="n">
        <v>417</v>
      </c>
      <c r="E3070" s="41" t="n">
        <v>41244.941</v>
      </c>
    </row>
    <row r="3071">
      <c r="A3071" s="42">
        <f>_xlfn.XLOOKUP(17846,Trip[shape_id],Trip[shape_id],"Não encontrado")</f>
        <v/>
      </c>
      <c r="B3071" s="43" t="n">
        <v>-23.241769</v>
      </c>
      <c r="C3071" s="43" t="n">
        <v>-46.765028</v>
      </c>
      <c r="D3071" s="43" t="n">
        <v>418</v>
      </c>
      <c r="E3071" s="44" t="n">
        <v>41334.957</v>
      </c>
    </row>
    <row r="3072">
      <c r="A3072" s="39">
        <f>_xlfn.XLOOKUP(17846,Trip[shape_id],Trip[shape_id],"Não encontrado")</f>
        <v/>
      </c>
      <c r="B3072" s="40" t="n">
        <v>-23.240967</v>
      </c>
      <c r="C3072" s="40" t="n">
        <v>-46.765171</v>
      </c>
      <c r="D3072" s="40" t="n">
        <v>419</v>
      </c>
      <c r="E3072" s="41" t="n">
        <v>41417.035</v>
      </c>
    </row>
    <row r="3073">
      <c r="A3073" s="42">
        <f>_xlfn.XLOOKUP(17846,Trip[shape_id],Trip[shape_id],"Não encontrado")</f>
        <v/>
      </c>
      <c r="B3073" s="43" t="n">
        <v>-23.240232</v>
      </c>
      <c r="C3073" s="43" t="n">
        <v>-46.765068</v>
      </c>
      <c r="D3073" s="43" t="n">
        <v>420</v>
      </c>
      <c r="E3073" s="44" t="n">
        <v>41483.039</v>
      </c>
    </row>
    <row r="3074">
      <c r="A3074" s="39">
        <f>_xlfn.XLOOKUP(17846,Trip[shape_id],Trip[shape_id],"Não encontrado")</f>
        <v/>
      </c>
      <c r="B3074" s="40" t="n">
        <v>-23.239636</v>
      </c>
      <c r="C3074" s="40" t="n">
        <v>-46.765068</v>
      </c>
      <c r="D3074" s="40" t="n">
        <v>421</v>
      </c>
      <c r="E3074" s="41" t="n">
        <v>41574.559</v>
      </c>
    </row>
    <row r="3075">
      <c r="A3075" s="42">
        <f>_xlfn.XLOOKUP(17846,Trip[shape_id],Trip[shape_id],"Não encontrado")</f>
        <v/>
      </c>
      <c r="B3075" s="43" t="n">
        <v>-23.238818</v>
      </c>
      <c r="C3075" s="43" t="n">
        <v>-46.765195</v>
      </c>
      <c r="D3075" s="43" t="n">
        <v>422</v>
      </c>
      <c r="E3075" s="44" t="n">
        <v>41653.145</v>
      </c>
    </row>
    <row r="3076">
      <c r="A3076" s="39">
        <f>_xlfn.XLOOKUP(17846,Trip[shape_id],Trip[shape_id],"Não encontrado")</f>
        <v/>
      </c>
      <c r="B3076" s="40" t="n">
        <v>-23.238141</v>
      </c>
      <c r="C3076" s="40" t="n">
        <v>-46.765425</v>
      </c>
      <c r="D3076" s="40" t="n">
        <v>423</v>
      </c>
      <c r="E3076" s="41" t="n">
        <v>41728.832</v>
      </c>
    </row>
    <row r="3077">
      <c r="A3077" s="42">
        <f>_xlfn.XLOOKUP(17846,Trip[shape_id],Trip[shape_id],"Não encontrado")</f>
        <v/>
      </c>
      <c r="B3077" s="43" t="n">
        <v>-23.237543</v>
      </c>
      <c r="C3077" s="43" t="n">
        <v>-46.765783</v>
      </c>
      <c r="D3077" s="43" t="n">
        <v>424</v>
      </c>
      <c r="E3077" s="44" t="n">
        <v>41805.035</v>
      </c>
    </row>
    <row r="3078">
      <c r="A3078" s="39">
        <f>_xlfn.XLOOKUP(17846,Trip[shape_id],Trip[shape_id],"Não encontrado")</f>
        <v/>
      </c>
      <c r="B3078" s="40" t="n">
        <v>-23.237097</v>
      </c>
      <c r="C3078" s="40" t="n">
        <v>-46.76635</v>
      </c>
      <c r="D3078" s="40" t="n">
        <v>425</v>
      </c>
      <c r="E3078" s="41" t="n">
        <v>41854.496</v>
      </c>
    </row>
    <row r="3079">
      <c r="A3079" s="42">
        <f>_xlfn.XLOOKUP(17846,Trip[shape_id],Trip[shape_id],"Não encontrado")</f>
        <v/>
      </c>
      <c r="B3079" s="43" t="n">
        <v>-23.236791</v>
      </c>
      <c r="C3079" s="43" t="n">
        <v>-46.766702</v>
      </c>
      <c r="D3079" s="43" t="n">
        <v>426</v>
      </c>
      <c r="E3079" s="44" t="n">
        <v>41919.523</v>
      </c>
    </row>
    <row r="3080">
      <c r="A3080" s="39">
        <f>_xlfn.XLOOKUP(17846,Trip[shape_id],Trip[shape_id],"Não encontrado")</f>
        <v/>
      </c>
      <c r="B3080" s="40" t="n">
        <v>-23.236384</v>
      </c>
      <c r="C3080" s="40" t="n">
        <v>-46.76716</v>
      </c>
      <c r="D3080" s="40" t="n">
        <v>427</v>
      </c>
      <c r="E3080" s="41" t="n">
        <v>41942.227</v>
      </c>
    </row>
    <row r="3081">
      <c r="A3081" s="42">
        <f>_xlfn.XLOOKUP(17846,Trip[shape_id],Trip[shape_id],"Não encontrado")</f>
        <v/>
      </c>
      <c r="B3081" s="43" t="n">
        <v>-23.236242</v>
      </c>
      <c r="C3081" s="43" t="n">
        <v>-46.76732</v>
      </c>
      <c r="D3081" s="43" t="n">
        <v>428</v>
      </c>
      <c r="E3081" s="44" t="n">
        <v>41987.992</v>
      </c>
    </row>
    <row r="3082">
      <c r="A3082" s="39">
        <f>_xlfn.XLOOKUP(17846,Trip[shape_id],Trip[shape_id],"Não encontrado")</f>
        <v/>
      </c>
      <c r="B3082" s="40" t="n">
        <v>-23.235891</v>
      </c>
      <c r="C3082" s="40" t="n">
        <v>-46.767556</v>
      </c>
      <c r="D3082" s="40" t="n">
        <v>429</v>
      </c>
      <c r="E3082" s="41" t="n">
        <v>41987.992</v>
      </c>
    </row>
    <row r="3083">
      <c r="A3083" s="42">
        <f>_xlfn.XLOOKUP(17846,Trip[shape_id],Trip[shape_id],"Não encontrado")</f>
        <v/>
      </c>
      <c r="B3083" s="43" t="n">
        <v>-23.235289</v>
      </c>
      <c r="C3083" s="43" t="n">
        <v>-46.767955</v>
      </c>
      <c r="D3083" s="43" t="n">
        <v>430</v>
      </c>
      <c r="E3083" s="44" t="n">
        <v>42145.051</v>
      </c>
    </row>
    <row r="3084">
      <c r="A3084" s="39">
        <f>_xlfn.XLOOKUP(17846,Trip[shape_id],Trip[shape_id],"Não encontrado")</f>
        <v/>
      </c>
      <c r="B3084" s="40" t="n">
        <v>-23.234611</v>
      </c>
      <c r="C3084" s="40" t="n">
        <v>-46.768191</v>
      </c>
      <c r="D3084" s="40" t="n">
        <v>431</v>
      </c>
      <c r="E3084" s="41" t="n">
        <v>42227.652</v>
      </c>
    </row>
    <row r="3085">
      <c r="A3085" s="42">
        <f>_xlfn.XLOOKUP(17846,Trip[shape_id],Trip[shape_id],"Não encontrado")</f>
        <v/>
      </c>
      <c r="B3085" s="43" t="n">
        <v>-23.233867</v>
      </c>
      <c r="C3085" s="43" t="n">
        <v>-46.768248</v>
      </c>
      <c r="D3085" s="43" t="n">
        <v>432</v>
      </c>
      <c r="E3085" s="44" t="n">
        <v>42302.813</v>
      </c>
    </row>
    <row r="3086">
      <c r="A3086" s="39">
        <f>_xlfn.XLOOKUP(17846,Trip[shape_id],Trip[shape_id],"Não encontrado")</f>
        <v/>
      </c>
      <c r="B3086" s="40" t="n">
        <v>-23.233196</v>
      </c>
      <c r="C3086" s="40" t="n">
        <v>-46.768138</v>
      </c>
      <c r="D3086" s="40" t="n">
        <v>433</v>
      </c>
      <c r="E3086" s="41" t="n">
        <v>42469.082</v>
      </c>
    </row>
    <row r="3087">
      <c r="A3087" s="42">
        <f>_xlfn.XLOOKUP(17846,Trip[shape_id],Trip[shape_id],"Não encontrado")</f>
        <v/>
      </c>
      <c r="B3087" s="43" t="n">
        <v>-23.231785</v>
      </c>
      <c r="C3087" s="43" t="n">
        <v>-46.767583</v>
      </c>
      <c r="D3087" s="43" t="n">
        <v>434</v>
      </c>
      <c r="E3087" s="44" t="n">
        <v>42605.938</v>
      </c>
    </row>
    <row r="3088">
      <c r="A3088" s="39">
        <f>_xlfn.XLOOKUP(17846,Trip[shape_id],Trip[shape_id],"Não encontrado")</f>
        <v/>
      </c>
      <c r="B3088" s="40" t="n">
        <v>-23.230551</v>
      </c>
      <c r="C3088" s="40" t="n">
        <v>-46.767512</v>
      </c>
      <c r="D3088" s="40" t="n">
        <v>435</v>
      </c>
      <c r="E3088" s="41" t="n">
        <v>42718.52</v>
      </c>
    </row>
    <row r="3089">
      <c r="A3089" s="42">
        <f>_xlfn.XLOOKUP(17846,Trip[shape_id],Trip[shape_id],"Não encontrado")</f>
        <v/>
      </c>
      <c r="B3089" s="43" t="n">
        <v>-23.229593</v>
      </c>
      <c r="C3089" s="43" t="n">
        <v>-46.76788</v>
      </c>
      <c r="D3089" s="43" t="n">
        <v>436</v>
      </c>
      <c r="E3089" s="44" t="n">
        <v>42847.926</v>
      </c>
    </row>
    <row r="3090">
      <c r="A3090" s="39">
        <f>_xlfn.XLOOKUP(17846,Trip[shape_id],Trip[shape_id],"Não encontrado")</f>
        <v/>
      </c>
      <c r="B3090" s="40" t="n">
        <v>-23.228637</v>
      </c>
      <c r="C3090" s="40" t="n">
        <v>-46.768607</v>
      </c>
      <c r="D3090" s="40" t="n">
        <v>437</v>
      </c>
      <c r="E3090" s="41" t="n">
        <v>43082.984</v>
      </c>
    </row>
    <row r="3091">
      <c r="A3091" s="42">
        <f>_xlfn.XLOOKUP(17846,Trip[shape_id],Trip[shape_id],"Não encontrado")</f>
        <v/>
      </c>
      <c r="B3091" s="43" t="n">
        <v>-23.227154</v>
      </c>
      <c r="C3091" s="43" t="n">
        <v>-46.77025</v>
      </c>
      <c r="D3091" s="43" t="n">
        <v>438</v>
      </c>
      <c r="E3091" s="44" t="n">
        <v>43401.711</v>
      </c>
    </row>
    <row r="3092">
      <c r="A3092" s="39">
        <f>_xlfn.XLOOKUP(17846,Trip[shape_id],Trip[shape_id],"Não encontrado")</f>
        <v/>
      </c>
      <c r="B3092" s="40" t="n">
        <v>-23.225635</v>
      </c>
      <c r="C3092" s="40" t="n">
        <v>-46.772895</v>
      </c>
      <c r="D3092" s="40" t="n">
        <v>439</v>
      </c>
      <c r="E3092" s="41" t="n">
        <v>43489.043</v>
      </c>
    </row>
    <row r="3093">
      <c r="A3093" s="42">
        <f>_xlfn.XLOOKUP(17846,Trip[shape_id],Trip[shape_id],"Não encontrado")</f>
        <v/>
      </c>
      <c r="B3093" s="43" t="n">
        <v>-23.225068</v>
      </c>
      <c r="C3093" s="43" t="n">
        <v>-46.773488</v>
      </c>
      <c r="D3093" s="43" t="n">
        <v>440</v>
      </c>
      <c r="E3093" s="44" t="n">
        <v>43526.48</v>
      </c>
    </row>
    <row r="3094">
      <c r="A3094" s="39">
        <f>_xlfn.XLOOKUP(17846,Trip[shape_id],Trip[shape_id],"Não encontrado")</f>
        <v/>
      </c>
      <c r="B3094" s="40" t="n">
        <v>-23.224823</v>
      </c>
      <c r="C3094" s="40" t="n">
        <v>-46.77374</v>
      </c>
      <c r="D3094" s="40" t="n">
        <v>441</v>
      </c>
      <c r="E3094" s="41" t="n">
        <v>43579.91</v>
      </c>
    </row>
    <row r="3095">
      <c r="A3095" s="42">
        <f>_xlfn.XLOOKUP(17846,Trip[shape_id],Trip[shape_id],"Não encontrado")</f>
        <v/>
      </c>
      <c r="B3095" s="43" t="n">
        <v>-23.224397</v>
      </c>
      <c r="C3095" s="43" t="n">
        <v>-46.773985</v>
      </c>
      <c r="D3095" s="43" t="n">
        <v>442</v>
      </c>
      <c r="E3095" s="44" t="n">
        <v>43815.098</v>
      </c>
    </row>
    <row r="3096">
      <c r="A3096" s="39">
        <f>_xlfn.XLOOKUP(17846,Trip[shape_id],Trip[shape_id],"Não encontrado")</f>
        <v/>
      </c>
      <c r="B3096" s="40" t="n">
        <v>-23.222529</v>
      </c>
      <c r="C3096" s="40" t="n">
        <v>-46.775078</v>
      </c>
      <c r="D3096" s="40" t="n">
        <v>443</v>
      </c>
      <c r="E3096" s="41" t="n">
        <v>43831.668</v>
      </c>
    </row>
    <row r="3097">
      <c r="A3097" s="42">
        <f>_xlfn.XLOOKUP(17846,Trip[shape_id],Trip[shape_id],"Não encontrado")</f>
        <v/>
      </c>
      <c r="B3097" s="43" t="n">
        <v>-23.222395</v>
      </c>
      <c r="C3097" s="43" t="n">
        <v>-46.77515</v>
      </c>
      <c r="D3097" s="43" t="n">
        <v>444</v>
      </c>
      <c r="E3097" s="44" t="n">
        <v>44052.234</v>
      </c>
    </row>
    <row r="3098">
      <c r="A3098" s="39">
        <f>_xlfn.XLOOKUP(17846,Trip[shape_id],Trip[shape_id],"Não encontrado")</f>
        <v/>
      </c>
      <c r="B3098" s="40" t="n">
        <v>-23.220594</v>
      </c>
      <c r="C3098" s="40" t="n">
        <v>-46.77607</v>
      </c>
      <c r="D3098" s="40" t="n">
        <v>445</v>
      </c>
      <c r="E3098" s="41" t="n">
        <v>44239.703</v>
      </c>
    </row>
    <row r="3099">
      <c r="A3099" s="42">
        <f>_xlfn.XLOOKUP(17846,Trip[shape_id],Trip[shape_id],"Não encontrado")</f>
        <v/>
      </c>
      <c r="B3099" s="43" t="n">
        <v>-23.219177</v>
      </c>
      <c r="C3099" s="43" t="n">
        <v>-46.777072</v>
      </c>
      <c r="D3099" s="43" t="n">
        <v>446</v>
      </c>
      <c r="E3099" s="44" t="n">
        <v>44338.617</v>
      </c>
    </row>
    <row r="3100">
      <c r="A3100" s="39">
        <f>_xlfn.XLOOKUP(17846,Trip[shape_id],Trip[shape_id],"Não encontrado")</f>
        <v/>
      </c>
      <c r="B3100" s="40" t="n">
        <v>-23.218342</v>
      </c>
      <c r="C3100" s="40" t="n">
        <v>-46.777415</v>
      </c>
      <c r="D3100" s="40" t="n">
        <v>447</v>
      </c>
      <c r="E3100" s="41" t="n">
        <v>44408.844</v>
      </c>
    </row>
    <row r="3101">
      <c r="A3101" s="42">
        <f>_xlfn.XLOOKUP(17846,Trip[shape_id],Trip[shape_id],"Não encontrado")</f>
        <v/>
      </c>
      <c r="B3101" s="43" t="n">
        <v>-23.217749</v>
      </c>
      <c r="C3101" s="43" t="n">
        <v>-46.777658</v>
      </c>
      <c r="D3101" s="43" t="n">
        <v>448</v>
      </c>
      <c r="E3101" s="44" t="n">
        <v>44536.582</v>
      </c>
    </row>
    <row r="3102">
      <c r="A3102" s="39">
        <f>_xlfn.XLOOKUP(17846,Trip[shape_id],Trip[shape_id],"Não encontrado")</f>
        <v/>
      </c>
      <c r="B3102" s="40" t="n">
        <v>-23.216615</v>
      </c>
      <c r="C3102" s="40" t="n">
        <v>-46.777886</v>
      </c>
      <c r="D3102" s="40" t="n">
        <v>449</v>
      </c>
      <c r="E3102" s="41" t="n">
        <v>44703.395</v>
      </c>
    </row>
    <row r="3103">
      <c r="A3103" s="42">
        <f>_xlfn.XLOOKUP(17846,Trip[shape_id],Trip[shape_id],"Não encontrado")</f>
        <v/>
      </c>
      <c r="B3103" s="43" t="n">
        <v>-23.215156</v>
      </c>
      <c r="C3103" s="43" t="n">
        <v>-46.778291</v>
      </c>
      <c r="D3103" s="43" t="n">
        <v>450</v>
      </c>
      <c r="E3103" s="44" t="n">
        <v>44838.414</v>
      </c>
    </row>
    <row r="3104">
      <c r="A3104" s="39">
        <f>_xlfn.XLOOKUP(17846,Trip[shape_id],Trip[shape_id],"Não encontrado")</f>
        <v/>
      </c>
      <c r="B3104" s="40" t="n">
        <v>-23.214125</v>
      </c>
      <c r="C3104" s="40" t="n">
        <v>-46.778995</v>
      </c>
      <c r="D3104" s="40" t="n">
        <v>451</v>
      </c>
      <c r="E3104" s="41" t="n">
        <v>45047.645</v>
      </c>
    </row>
    <row r="3105">
      <c r="A3105" s="42">
        <f>_xlfn.XLOOKUP(17846,Trip[shape_id],Trip[shape_id],"Não encontrado")</f>
        <v/>
      </c>
      <c r="B3105" s="43" t="n">
        <v>-23.212603</v>
      </c>
      <c r="C3105" s="43" t="n">
        <v>-46.780206</v>
      </c>
      <c r="D3105" s="43" t="n">
        <v>452</v>
      </c>
      <c r="E3105" s="44" t="n">
        <v>45113.832</v>
      </c>
    </row>
    <row r="3106">
      <c r="A3106" s="39">
        <f>_xlfn.XLOOKUP(17846,Trip[shape_id],Trip[shape_id],"Não encontrado")</f>
        <v/>
      </c>
      <c r="B3106" s="40" t="n">
        <v>-23.212127</v>
      </c>
      <c r="C3106" s="40" t="n">
        <v>-46.780597</v>
      </c>
      <c r="D3106" s="40" t="n">
        <v>453</v>
      </c>
      <c r="E3106" s="41" t="n">
        <v>45220.512</v>
      </c>
    </row>
    <row r="3107">
      <c r="A3107" s="42">
        <f>_xlfn.XLOOKUP(17846,Trip[shape_id],Trip[shape_id],"Não encontrado")</f>
        <v/>
      </c>
      <c r="B3107" s="43" t="n">
        <v>-23.21135</v>
      </c>
      <c r="C3107" s="43" t="n">
        <v>-46.781213</v>
      </c>
      <c r="D3107" s="43" t="n">
        <v>454</v>
      </c>
      <c r="E3107" s="44" t="n">
        <v>45309.566</v>
      </c>
    </row>
    <row r="3108">
      <c r="A3108" s="39">
        <f>_xlfn.XLOOKUP(17846,Trip[shape_id],Trip[shape_id],"Não encontrado")</f>
        <v/>
      </c>
      <c r="B3108" s="40" t="n">
        <v>-23.21069</v>
      </c>
      <c r="C3108" s="40" t="n">
        <v>-46.78171</v>
      </c>
      <c r="D3108" s="40" t="n">
        <v>455</v>
      </c>
      <c r="E3108" s="41" t="n">
        <v>45403.531</v>
      </c>
    </row>
    <row r="3109">
      <c r="A3109" s="42">
        <f>_xlfn.XLOOKUP(17846,Trip[shape_id],Trip[shape_id],"Não encontrado")</f>
        <v/>
      </c>
      <c r="B3109" s="43" t="n">
        <v>-23.209994</v>
      </c>
      <c r="C3109" s="43" t="n">
        <v>-46.782235</v>
      </c>
      <c r="D3109" s="43" t="n">
        <v>456</v>
      </c>
      <c r="E3109" s="44" t="n">
        <v>45472.754</v>
      </c>
    </row>
    <row r="3110">
      <c r="A3110" s="39">
        <f>_xlfn.XLOOKUP(17846,Trip[shape_id],Trip[shape_id],"Não encontrado")</f>
        <v/>
      </c>
      <c r="B3110" s="40" t="n">
        <v>-23.20949</v>
      </c>
      <c r="C3110" s="40" t="n">
        <v>-46.782635</v>
      </c>
      <c r="D3110" s="40" t="n">
        <v>457</v>
      </c>
      <c r="E3110" s="41" t="n">
        <v>45732.266</v>
      </c>
    </row>
    <row r="3111">
      <c r="A3111" s="42">
        <f>_xlfn.XLOOKUP(17846,Trip[shape_id],Trip[shape_id],"Não encontrado")</f>
        <v/>
      </c>
      <c r="B3111" s="43" t="n">
        <v>-23.207605</v>
      </c>
      <c r="C3111" s="43" t="n">
        <v>-46.784141</v>
      </c>
      <c r="D3111" s="43" t="n">
        <v>458</v>
      </c>
      <c r="E3111" s="44" t="n">
        <v>45867.594</v>
      </c>
    </row>
    <row r="3112">
      <c r="A3112" s="39">
        <f>_xlfn.XLOOKUP(17846,Trip[shape_id],Trip[shape_id],"Não encontrado")</f>
        <v/>
      </c>
      <c r="B3112" s="40" t="n">
        <v>-23.206853</v>
      </c>
      <c r="C3112" s="40" t="n">
        <v>-46.785183</v>
      </c>
      <c r="D3112" s="40" t="n">
        <v>459</v>
      </c>
      <c r="E3112" s="41" t="n">
        <v>45893.105</v>
      </c>
    </row>
    <row r="3113">
      <c r="A3113" s="42">
        <f>_xlfn.XLOOKUP(17846,Trip[shape_id],Trip[shape_id],"Não encontrado")</f>
        <v/>
      </c>
      <c r="B3113" s="43" t="n">
        <v>-23.206705</v>
      </c>
      <c r="C3113" s="43" t="n">
        <v>-46.785374</v>
      </c>
      <c r="D3113" s="43" t="n">
        <v>460</v>
      </c>
      <c r="E3113" s="44" t="n">
        <v>45893.105</v>
      </c>
    </row>
    <row r="3114">
      <c r="A3114" s="39">
        <f>_xlfn.XLOOKUP(17846,Trip[shape_id],Trip[shape_id],"Não encontrado")</f>
        <v/>
      </c>
      <c r="B3114" s="40" t="n">
        <v>-23.205873</v>
      </c>
      <c r="C3114" s="40" t="n">
        <v>-46.786198</v>
      </c>
      <c r="D3114" s="40" t="n">
        <v>461</v>
      </c>
      <c r="E3114" s="41" t="n">
        <v>46047.77</v>
      </c>
    </row>
    <row r="3115">
      <c r="A3115" s="42">
        <f>_xlfn.XLOOKUP(17846,Trip[shape_id],Trip[shape_id],"Não encontrado")</f>
        <v/>
      </c>
      <c r="B3115" s="43" t="n">
        <v>-23.205669</v>
      </c>
      <c r="C3115" s="43" t="n">
        <v>-46.786387</v>
      </c>
      <c r="D3115" s="43" t="n">
        <v>462</v>
      </c>
      <c r="E3115" s="44" t="n">
        <v>46224.195</v>
      </c>
    </row>
    <row r="3116">
      <c r="A3116" s="39">
        <f>_xlfn.XLOOKUP(17846,Trip[shape_id],Trip[shape_id],"Não encontrado")</f>
        <v/>
      </c>
      <c r="B3116" s="40" t="n">
        <v>-23.204319</v>
      </c>
      <c r="C3116" s="40" t="n">
        <v>-46.787302</v>
      </c>
      <c r="D3116" s="40" t="n">
        <v>463</v>
      </c>
      <c r="E3116" s="41" t="n">
        <v>46419.73</v>
      </c>
    </row>
    <row r="3117">
      <c r="A3117" s="42">
        <f>_xlfn.XLOOKUP(17846,Trip[shape_id],Trip[shape_id],"Não encontrado")</f>
        <v/>
      </c>
      <c r="B3117" s="43" t="n">
        <v>-23.202821</v>
      </c>
      <c r="C3117" s="43" t="n">
        <v>-46.788313</v>
      </c>
      <c r="D3117" s="43" t="n">
        <v>464</v>
      </c>
      <c r="E3117" s="44" t="n">
        <v>46586.844</v>
      </c>
    </row>
    <row r="3118">
      <c r="A3118" s="39">
        <f>_xlfn.XLOOKUP(17846,Trip[shape_id],Trip[shape_id],"Não encontrado")</f>
        <v/>
      </c>
      <c r="B3118" s="40" t="n">
        <v>-23.201543</v>
      </c>
      <c r="C3118" s="40" t="n">
        <v>-46.789181</v>
      </c>
      <c r="D3118" s="40" t="n">
        <v>465</v>
      </c>
      <c r="E3118" s="41" t="n">
        <v>46724.281</v>
      </c>
    </row>
    <row r="3119">
      <c r="A3119" s="42">
        <f>_xlfn.XLOOKUP(17846,Trip[shape_id],Trip[shape_id],"Não encontrado")</f>
        <v/>
      </c>
      <c r="B3119" s="43" t="n">
        <v>-23.200895</v>
      </c>
      <c r="C3119" s="43" t="n">
        <v>-46.790326</v>
      </c>
      <c r="D3119" s="43" t="n">
        <v>466</v>
      </c>
      <c r="E3119" s="44" t="n">
        <v>46792.906</v>
      </c>
    </row>
    <row r="3120">
      <c r="A3120" s="39">
        <f>_xlfn.XLOOKUP(17846,Trip[shape_id],Trip[shape_id],"Não encontrado")</f>
        <v/>
      </c>
      <c r="B3120" s="40" t="n">
        <v>-23.200636</v>
      </c>
      <c r="C3120" s="40" t="n">
        <v>-46.790935</v>
      </c>
      <c r="D3120" s="40" t="n">
        <v>467</v>
      </c>
      <c r="E3120" s="41" t="n">
        <v>46850.844</v>
      </c>
    </row>
    <row r="3121">
      <c r="A3121" s="42">
        <f>_xlfn.XLOOKUP(17846,Trip[shape_id],Trip[shape_id],"Não encontrado")</f>
        <v/>
      </c>
      <c r="B3121" s="43" t="n">
        <v>-23.200415</v>
      </c>
      <c r="C3121" s="43" t="n">
        <v>-46.791448</v>
      </c>
      <c r="D3121" s="43" t="n">
        <v>468</v>
      </c>
      <c r="E3121" s="44" t="n">
        <v>47001.637</v>
      </c>
    </row>
    <row r="3122">
      <c r="A3122" s="39">
        <f>_xlfn.XLOOKUP(17846,Trip[shape_id],Trip[shape_id],"Não encontrado")</f>
        <v/>
      </c>
      <c r="B3122" s="40" t="n">
        <v>-23.200413</v>
      </c>
      <c r="C3122" s="40" t="n">
        <v>-46.792921</v>
      </c>
      <c r="D3122" s="40" t="n">
        <v>469</v>
      </c>
      <c r="E3122" s="41" t="n">
        <v>47149.746</v>
      </c>
    </row>
    <row r="3123">
      <c r="A3123" s="42">
        <f>_xlfn.XLOOKUP(17846,Trip[shape_id],Trip[shape_id],"Não encontrado")</f>
        <v/>
      </c>
      <c r="B3123" s="43" t="n">
        <v>-23.200894</v>
      </c>
      <c r="C3123" s="43" t="n">
        <v>-46.794271</v>
      </c>
      <c r="D3123" s="43" t="n">
        <v>470</v>
      </c>
      <c r="E3123" s="44" t="n">
        <v>47369.684</v>
      </c>
    </row>
    <row r="3124">
      <c r="A3124" s="39">
        <f>_xlfn.XLOOKUP(17846,Trip[shape_id],Trip[shape_id],"Não encontrado")</f>
        <v/>
      </c>
      <c r="B3124" s="40" t="n">
        <v>-23.202314</v>
      </c>
      <c r="C3124" s="40" t="n">
        <v>-46.795773</v>
      </c>
      <c r="D3124" s="40" t="n">
        <v>471</v>
      </c>
      <c r="E3124" s="41" t="n">
        <v>47465.477</v>
      </c>
    </row>
    <row r="3125">
      <c r="A3125" s="42">
        <f>_xlfn.XLOOKUP(17846,Trip[shape_id],Trip[shape_id],"Não encontrado")</f>
        <v/>
      </c>
      <c r="B3125" s="43" t="n">
        <v>-23.202796</v>
      </c>
      <c r="C3125" s="43" t="n">
        <v>-46.79655</v>
      </c>
      <c r="D3125" s="43" t="n">
        <v>472</v>
      </c>
      <c r="E3125" s="44" t="n">
        <v>47596.75</v>
      </c>
    </row>
    <row r="3126">
      <c r="A3126" s="39">
        <f>_xlfn.XLOOKUP(17846,Trip[shape_id],Trip[shape_id],"Não encontrado")</f>
        <v/>
      </c>
      <c r="B3126" s="40" t="n">
        <v>-23.203311</v>
      </c>
      <c r="C3126" s="40" t="n">
        <v>-46.797705</v>
      </c>
      <c r="D3126" s="40" t="n">
        <v>473</v>
      </c>
      <c r="E3126" s="41" t="n">
        <v>47806.504</v>
      </c>
    </row>
    <row r="3127">
      <c r="A3127" s="42">
        <f>_xlfn.XLOOKUP(17846,Trip[shape_id],Trip[shape_id],"Não encontrado")</f>
        <v/>
      </c>
      <c r="B3127" s="43" t="n">
        <v>-23.203854</v>
      </c>
      <c r="C3127" s="43" t="n">
        <v>-46.799668</v>
      </c>
      <c r="D3127" s="43" t="n">
        <v>474</v>
      </c>
      <c r="E3127" s="44" t="n">
        <v>47963.027</v>
      </c>
    </row>
    <row r="3128">
      <c r="A3128" s="39">
        <f>_xlfn.XLOOKUP(17846,Trip[shape_id],Trip[shape_id],"Não encontrado")</f>
        <v/>
      </c>
      <c r="B3128" s="40" t="n">
        <v>-23.204664</v>
      </c>
      <c r="C3128" s="40" t="n">
        <v>-46.800921</v>
      </c>
      <c r="D3128" s="40" t="n">
        <v>475</v>
      </c>
      <c r="E3128" s="41" t="n">
        <v>48033.645</v>
      </c>
    </row>
    <row r="3129">
      <c r="A3129" s="42">
        <f>_xlfn.XLOOKUP(17846,Trip[shape_id],Trip[shape_id],"Não encontrado")</f>
        <v/>
      </c>
      <c r="B3129" s="43" t="n">
        <v>-23.20511</v>
      </c>
      <c r="C3129" s="43" t="n">
        <v>-46.801414</v>
      </c>
      <c r="D3129" s="43" t="n">
        <v>476</v>
      </c>
      <c r="E3129" s="44" t="n">
        <v>48207.656</v>
      </c>
    </row>
    <row r="3130">
      <c r="A3130" s="39">
        <f>_xlfn.XLOOKUP(17846,Trip[shape_id],Trip[shape_id],"Não encontrado")</f>
        <v/>
      </c>
      <c r="B3130" s="40" t="n">
        <v>-23.206207</v>
      </c>
      <c r="C3130" s="40" t="n">
        <v>-46.802631</v>
      </c>
      <c r="D3130" s="40" t="n">
        <v>477</v>
      </c>
      <c r="E3130" s="41" t="n">
        <v>48291.578</v>
      </c>
    </row>
    <row r="3131">
      <c r="A3131" s="42">
        <f>_xlfn.XLOOKUP(17846,Trip[shape_id],Trip[shape_id],"Não encontrado")</f>
        <v/>
      </c>
      <c r="B3131" s="43" t="n">
        <v>-23.206736</v>
      </c>
      <c r="C3131" s="43" t="n">
        <v>-46.803218</v>
      </c>
      <c r="D3131" s="43" t="n">
        <v>478</v>
      </c>
      <c r="E3131" s="44" t="n">
        <v>48461.395</v>
      </c>
    </row>
    <row r="3132">
      <c r="A3132" s="39">
        <f>_xlfn.XLOOKUP(17846,Trip[shape_id],Trip[shape_id],"Não encontrado")</f>
        <v/>
      </c>
      <c r="B3132" s="40" t="n">
        <v>-23.207769</v>
      </c>
      <c r="C3132" s="40" t="n">
        <v>-46.804444</v>
      </c>
      <c r="D3132" s="40" t="n">
        <v>479</v>
      </c>
      <c r="E3132" s="41" t="n">
        <v>48618.055</v>
      </c>
    </row>
    <row r="3133">
      <c r="A3133" s="42">
        <f>_xlfn.XLOOKUP(17846,Trip[shape_id],Trip[shape_id],"Não encontrado")</f>
        <v/>
      </c>
      <c r="B3133" s="43" t="n">
        <v>-23.208454</v>
      </c>
      <c r="C3133" s="43" t="n">
        <v>-46.805783</v>
      </c>
      <c r="D3133" s="43" t="n">
        <v>480</v>
      </c>
      <c r="E3133" s="44" t="n">
        <v>48823.449</v>
      </c>
    </row>
    <row r="3134">
      <c r="A3134" s="39">
        <f>_xlfn.XLOOKUP(17846,Trip[shape_id],Trip[shape_id],"Não encontrado")</f>
        <v/>
      </c>
      <c r="B3134" s="40" t="n">
        <v>-23.208958</v>
      </c>
      <c r="C3134" s="40" t="n">
        <v>-46.807714</v>
      </c>
      <c r="D3134" s="40" t="n">
        <v>481</v>
      </c>
      <c r="E3134" s="41" t="n">
        <v>48984.68</v>
      </c>
    </row>
    <row r="3135">
      <c r="A3135" s="42">
        <f>_xlfn.XLOOKUP(17846,Trip[shape_id],Trip[shape_id],"Não encontrado")</f>
        <v/>
      </c>
      <c r="B3135" s="43" t="n">
        <v>-23.208757</v>
      </c>
      <c r="C3135" s="43" t="n">
        <v>-46.809274</v>
      </c>
      <c r="D3135" s="43" t="n">
        <v>482</v>
      </c>
      <c r="E3135" s="44" t="n">
        <v>49133.867</v>
      </c>
    </row>
    <row r="3136">
      <c r="A3136" s="39">
        <f>_xlfn.XLOOKUP(17846,Trip[shape_id],Trip[shape_id],"Não encontrado")</f>
        <v/>
      </c>
      <c r="B3136" s="40" t="n">
        <v>-23.208139</v>
      </c>
      <c r="C3136" s="40" t="n">
        <v>-46.810569</v>
      </c>
      <c r="D3136" s="40" t="n">
        <v>483</v>
      </c>
      <c r="E3136" s="41" t="n">
        <v>49222.719</v>
      </c>
    </row>
    <row r="3137">
      <c r="A3137" s="42">
        <f>_xlfn.XLOOKUP(17846,Trip[shape_id],Trip[shape_id],"Não encontrado")</f>
        <v/>
      </c>
      <c r="B3137" s="43" t="n">
        <v>-23.207554</v>
      </c>
      <c r="C3137" s="43" t="n">
        <v>-46.811163</v>
      </c>
      <c r="D3137" s="43" t="n">
        <v>484</v>
      </c>
      <c r="E3137" s="44" t="n">
        <v>49275.539</v>
      </c>
    </row>
    <row r="3138">
      <c r="A3138" s="39">
        <f>_xlfn.XLOOKUP(17846,Trip[shape_id],Trip[shape_id],"Não encontrado")</f>
        <v/>
      </c>
      <c r="B3138" s="40" t="n">
        <v>-23.207207</v>
      </c>
      <c r="C3138" s="40" t="n">
        <v>-46.811517</v>
      </c>
      <c r="D3138" s="40" t="n">
        <v>485</v>
      </c>
      <c r="E3138" s="41" t="n">
        <v>49392.375</v>
      </c>
    </row>
    <row r="3139">
      <c r="A3139" s="42">
        <f>_xlfn.XLOOKUP(17846,Trip[shape_id],Trip[shape_id],"Não encontrado")</f>
        <v/>
      </c>
      <c r="B3139" s="43" t="n">
        <v>-23.206309</v>
      </c>
      <c r="C3139" s="43" t="n">
        <v>-46.812116</v>
      </c>
      <c r="D3139" s="43" t="n">
        <v>486</v>
      </c>
      <c r="E3139" s="44" t="n">
        <v>49457.672</v>
      </c>
    </row>
    <row r="3140">
      <c r="A3140" s="39">
        <f>_xlfn.XLOOKUP(17846,Trip[shape_id],Trip[shape_id],"Não encontrado")</f>
        <v/>
      </c>
      <c r="B3140" s="40" t="n">
        <v>-23.205805</v>
      </c>
      <c r="C3140" s="40" t="n">
        <v>-46.812447</v>
      </c>
      <c r="D3140" s="40" t="n">
        <v>487</v>
      </c>
      <c r="E3140" s="41" t="n">
        <v>49643.734</v>
      </c>
    </row>
    <row r="3141">
      <c r="A3141" s="42">
        <f>_xlfn.XLOOKUP(17846,Trip[shape_id],Trip[shape_id],"Não encontrado")</f>
        <v/>
      </c>
      <c r="B3141" s="43" t="n">
        <v>-23.204174</v>
      </c>
      <c r="C3141" s="43" t="n">
        <v>-46.812883</v>
      </c>
      <c r="D3141" s="43" t="n">
        <v>488</v>
      </c>
      <c r="E3141" s="44" t="n">
        <v>49784.488</v>
      </c>
    </row>
    <row r="3142">
      <c r="A3142" s="39">
        <f>_xlfn.XLOOKUP(17846,Trip[shape_id],Trip[shape_id],"Não encontrado")</f>
        <v/>
      </c>
      <c r="B3142" s="40" t="n">
        <v>-23.202965</v>
      </c>
      <c r="C3142" s="40" t="n">
        <v>-46.813307</v>
      </c>
      <c r="D3142" s="40" t="n">
        <v>489</v>
      </c>
      <c r="E3142" s="41" t="n">
        <v>49974.406</v>
      </c>
    </row>
    <row r="3143">
      <c r="A3143" s="42">
        <f>_xlfn.XLOOKUP(17846,Trip[shape_id],Trip[shape_id],"Não encontrado")</f>
        <v/>
      </c>
      <c r="B3143" s="43" t="n">
        <v>-23.201644</v>
      </c>
      <c r="C3143" s="43" t="n">
        <v>-46.81449</v>
      </c>
      <c r="D3143" s="43" t="n">
        <v>490</v>
      </c>
      <c r="E3143" s="44" t="n">
        <v>50123.887</v>
      </c>
    </row>
    <row r="3144">
      <c r="A3144" s="39">
        <f>_xlfn.XLOOKUP(17846,Trip[shape_id],Trip[shape_id],"Não encontrado")</f>
        <v/>
      </c>
      <c r="B3144" s="40" t="n">
        <v>-23.201093</v>
      </c>
      <c r="C3144" s="40" t="n">
        <v>-46.815823</v>
      </c>
      <c r="D3144" s="40" t="n">
        <v>491</v>
      </c>
      <c r="E3144" s="41" t="n">
        <v>50322.207</v>
      </c>
    </row>
    <row r="3145">
      <c r="A3145" s="42">
        <f>_xlfn.XLOOKUP(17846,Trip[shape_id],Trip[shape_id],"Não encontrado")</f>
        <v/>
      </c>
      <c r="B3145" s="43" t="n">
        <v>-23.201062</v>
      </c>
      <c r="C3145" s="43" t="n">
        <v>-46.81776</v>
      </c>
      <c r="D3145" s="43" t="n">
        <v>492</v>
      </c>
      <c r="E3145" s="44" t="n">
        <v>50530.027</v>
      </c>
    </row>
    <row r="3146">
      <c r="A3146" s="39">
        <f>_xlfn.XLOOKUP(17846,Trip[shape_id],Trip[shape_id],"Não encontrado")</f>
        <v/>
      </c>
      <c r="B3146" s="40" t="n">
        <v>-23.201981</v>
      </c>
      <c r="C3146" s="40" t="n">
        <v>-46.81953</v>
      </c>
      <c r="D3146" s="40" t="n">
        <v>493</v>
      </c>
      <c r="E3146" s="41" t="n">
        <v>50930.387</v>
      </c>
    </row>
    <row r="3147">
      <c r="A3147" s="42">
        <f>_xlfn.XLOOKUP(17846,Trip[shape_id],Trip[shape_id],"Não encontrado")</f>
        <v/>
      </c>
      <c r="B3147" s="43" t="n">
        <v>-23.204771</v>
      </c>
      <c r="C3147" s="43" t="n">
        <v>-46.822017</v>
      </c>
      <c r="D3147" s="43" t="n">
        <v>494</v>
      </c>
      <c r="E3147" s="44" t="n">
        <v>51134.992</v>
      </c>
    </row>
    <row r="3148">
      <c r="A3148" s="39">
        <f>_xlfn.XLOOKUP(17846,Trip[shape_id],Trip[shape_id],"Não encontrado")</f>
        <v/>
      </c>
      <c r="B3148" s="40" t="n">
        <v>-23.205991</v>
      </c>
      <c r="C3148" s="40" t="n">
        <v>-46.823518</v>
      </c>
      <c r="D3148" s="40" t="n">
        <v>495</v>
      </c>
      <c r="E3148" s="41" t="n">
        <v>51559.086</v>
      </c>
    </row>
    <row r="3149">
      <c r="A3149" s="42">
        <f>_xlfn.XLOOKUP(17846,Trip[shape_id],Trip[shape_id],"Não encontrado")</f>
        <v/>
      </c>
      <c r="B3149" s="43" t="n">
        <v>-23.208107</v>
      </c>
      <c r="C3149" s="43" t="n">
        <v>-46.826971</v>
      </c>
      <c r="D3149" s="43" t="n">
        <v>496</v>
      </c>
      <c r="E3149" s="44" t="n">
        <v>51820.586</v>
      </c>
    </row>
    <row r="3150">
      <c r="A3150" s="39">
        <f>_xlfn.XLOOKUP(17846,Trip[shape_id],Trip[shape_id],"Não encontrado")</f>
        <v/>
      </c>
      <c r="B3150" s="40" t="n">
        <v>-23.208931</v>
      </c>
      <c r="C3150" s="40" t="n">
        <v>-46.829365</v>
      </c>
      <c r="D3150" s="40" t="n">
        <v>497</v>
      </c>
      <c r="E3150" s="41" t="n">
        <v>51820.586</v>
      </c>
    </row>
    <row r="3151">
      <c r="A3151" s="42">
        <f>_xlfn.XLOOKUP(17846,Trip[shape_id],Trip[shape_id],"Não encontrado")</f>
        <v/>
      </c>
      <c r="B3151" s="43" t="n">
        <v>-23.209805</v>
      </c>
      <c r="C3151" s="43" t="n">
        <v>-46.831895</v>
      </c>
      <c r="D3151" s="43" t="n">
        <v>498</v>
      </c>
      <c r="E3151" s="44" t="n">
        <v>52227.98</v>
      </c>
    </row>
    <row r="3152">
      <c r="A3152" s="39">
        <f>_xlfn.XLOOKUP(17846,Trip[shape_id],Trip[shape_id],"Não encontrado")</f>
        <v/>
      </c>
      <c r="B3152" s="40" t="n">
        <v>-23.210119</v>
      </c>
      <c r="C3152" s="40" t="n">
        <v>-46.833128</v>
      </c>
      <c r="D3152" s="40" t="n">
        <v>499</v>
      </c>
      <c r="E3152" s="41" t="n">
        <v>52370.754</v>
      </c>
    </row>
    <row r="3153">
      <c r="A3153" s="42">
        <f>_xlfn.XLOOKUP(17846,Trip[shape_id],Trip[shape_id],"Não encontrado")</f>
        <v/>
      </c>
      <c r="B3153" s="43" t="n">
        <v>-23.210293</v>
      </c>
      <c r="C3153" s="43" t="n">
        <v>-46.83451</v>
      </c>
      <c r="D3153" s="43" t="n">
        <v>500</v>
      </c>
      <c r="E3153" s="44" t="n">
        <v>52620.449</v>
      </c>
    </row>
    <row r="3154">
      <c r="A3154" s="39">
        <f>_xlfn.XLOOKUP(17846,Trip[shape_id],Trip[shape_id],"Não encontrado")</f>
        <v/>
      </c>
      <c r="B3154" s="40" t="n">
        <v>-23.209566</v>
      </c>
      <c r="C3154" s="40" t="n">
        <v>-46.836819</v>
      </c>
      <c r="D3154" s="40" t="n">
        <v>501</v>
      </c>
      <c r="E3154" s="41" t="n">
        <v>53144.879</v>
      </c>
    </row>
    <row r="3155">
      <c r="A3155" s="42">
        <f>_xlfn.XLOOKUP(17846,Trip[shape_id],Trip[shape_id],"Não encontrado")</f>
        <v/>
      </c>
      <c r="B3155" s="43" t="n">
        <v>-23.206857</v>
      </c>
      <c r="C3155" s="43" t="n">
        <v>-46.841021</v>
      </c>
      <c r="D3155" s="43" t="n">
        <v>502</v>
      </c>
      <c r="E3155" s="44" t="n">
        <v>53490.523</v>
      </c>
    </row>
    <row r="3156">
      <c r="A3156" s="39">
        <f>_xlfn.XLOOKUP(17846,Trip[shape_id],Trip[shape_id],"Não encontrado")</f>
        <v/>
      </c>
      <c r="B3156" s="40" t="n">
        <v>-23.204298</v>
      </c>
      <c r="C3156" s="40" t="n">
        <v>-46.842954</v>
      </c>
      <c r="D3156" s="40" t="n">
        <v>503</v>
      </c>
      <c r="E3156" s="41" t="n">
        <v>53562.207</v>
      </c>
    </row>
    <row r="3157">
      <c r="A3157" s="42">
        <f>_xlfn.XLOOKUP(17846,Trip[shape_id],Trip[shape_id],"Não encontrado")</f>
        <v/>
      </c>
      <c r="B3157" s="43" t="n">
        <v>-23.203922</v>
      </c>
      <c r="C3157" s="43" t="n">
        <v>-46.843524</v>
      </c>
      <c r="D3157" s="43" t="n">
        <v>504</v>
      </c>
      <c r="E3157" s="44" t="n">
        <v>53704.023</v>
      </c>
    </row>
    <row r="3158">
      <c r="A3158" s="39">
        <f>_xlfn.XLOOKUP(17846,Trip[shape_id],Trip[shape_id],"Não encontrado")</f>
        <v/>
      </c>
      <c r="B3158" s="40" t="n">
        <v>-23.203176</v>
      </c>
      <c r="C3158" s="40" t="n">
        <v>-46.84465</v>
      </c>
      <c r="D3158" s="40" t="n">
        <v>505</v>
      </c>
      <c r="E3158" s="41" t="n">
        <v>53863.621</v>
      </c>
    </row>
    <row r="3159">
      <c r="A3159" s="42">
        <f>_xlfn.XLOOKUP(17846,Trip[shape_id],Trip[shape_id],"Não encontrado")</f>
        <v/>
      </c>
      <c r="B3159" s="43" t="n">
        <v>-23.202761</v>
      </c>
      <c r="C3159" s="43" t="n">
        <v>-46.846143</v>
      </c>
      <c r="D3159" s="43" t="n">
        <v>506</v>
      </c>
      <c r="E3159" s="44" t="n">
        <v>54000</v>
      </c>
    </row>
    <row r="3160">
      <c r="A3160" s="39">
        <f>_xlfn.XLOOKUP(17846,Trip[shape_id],Trip[shape_id],"Não encontrado")</f>
        <v/>
      </c>
      <c r="B3160" s="40" t="n">
        <v>-23.202889</v>
      </c>
      <c r="C3160" s="40" t="n">
        <v>-46.847468</v>
      </c>
      <c r="D3160" s="40" t="n">
        <v>507</v>
      </c>
      <c r="E3160" s="41" t="n">
        <v>54513.566</v>
      </c>
    </row>
    <row r="3161">
      <c r="A3161" s="42">
        <f>_xlfn.XLOOKUP(17846,Trip[shape_id],Trip[shape_id],"Não encontrado")</f>
        <v/>
      </c>
      <c r="B3161" s="43" t="n">
        <v>-23.203649</v>
      </c>
      <c r="C3161" s="43" t="n">
        <v>-46.852417</v>
      </c>
      <c r="D3161" s="43" t="n">
        <v>508</v>
      </c>
      <c r="E3161" s="44" t="n">
        <v>54908.211</v>
      </c>
    </row>
    <row r="3162">
      <c r="A3162" s="39">
        <f>_xlfn.XLOOKUP(17846,Trip[shape_id],Trip[shape_id],"Não encontrado")</f>
        <v/>
      </c>
      <c r="B3162" s="40" t="n">
        <v>-23.204162</v>
      </c>
      <c r="C3162" s="40" t="n">
        <v>-46.856232</v>
      </c>
      <c r="D3162" s="40" t="n">
        <v>509</v>
      </c>
      <c r="E3162" s="41" t="n">
        <v>55082.109</v>
      </c>
    </row>
    <row r="3163">
      <c r="A3163" s="42">
        <f>_xlfn.XLOOKUP(17846,Trip[shape_id],Trip[shape_id],"Não encontrado")</f>
        <v/>
      </c>
      <c r="B3163" s="43" t="n">
        <v>-23.204354</v>
      </c>
      <c r="C3163" s="43" t="n">
        <v>-46.857918</v>
      </c>
      <c r="D3163" s="43" t="n">
        <v>510</v>
      </c>
      <c r="E3163" s="44" t="n">
        <v>55221.527</v>
      </c>
    </row>
    <row r="3164">
      <c r="A3164" s="39">
        <f>_xlfn.XLOOKUP(17846,Trip[shape_id],Trip[shape_id],"Não encontrado")</f>
        <v/>
      </c>
      <c r="B3164" s="40" t="n">
        <v>-23.204421</v>
      </c>
      <c r="C3164" s="40" t="n">
        <v>-46.859278</v>
      </c>
      <c r="D3164" s="40" t="n">
        <v>511</v>
      </c>
      <c r="E3164" s="41" t="n">
        <v>55287.145</v>
      </c>
    </row>
    <row r="3165">
      <c r="A3165" s="42">
        <f>_xlfn.XLOOKUP(17846,Trip[shape_id],Trip[shape_id],"Não encontrado")</f>
        <v/>
      </c>
      <c r="B3165" s="43" t="n">
        <v>-23.204454</v>
      </c>
      <c r="C3165" s="43" t="n">
        <v>-46.859918</v>
      </c>
      <c r="D3165" s="43" t="n">
        <v>512</v>
      </c>
      <c r="E3165" s="44" t="n">
        <v>55399.969</v>
      </c>
    </row>
    <row r="3166">
      <c r="A3166" s="39">
        <f>_xlfn.XLOOKUP(17846,Trip[shape_id],Trip[shape_id],"Não encontrado")</f>
        <v/>
      </c>
      <c r="B3166" s="40" t="n">
        <v>-23.204265</v>
      </c>
      <c r="C3166" s="40" t="n">
        <v>-46.861001</v>
      </c>
      <c r="D3166" s="40" t="n">
        <v>513</v>
      </c>
      <c r="E3166" s="41" t="n">
        <v>55563.438</v>
      </c>
    </row>
    <row r="3167">
      <c r="A3167" s="42">
        <f>_xlfn.XLOOKUP(17846,Trip[shape_id],Trip[shape_id],"Não encontrado")</f>
        <v/>
      </c>
      <c r="B3167" s="43" t="n">
        <v>-23.203597</v>
      </c>
      <c r="C3167" s="43" t="n">
        <v>-46.862425</v>
      </c>
      <c r="D3167" s="43" t="n">
        <v>514</v>
      </c>
      <c r="E3167" s="44" t="n">
        <v>55643.656</v>
      </c>
    </row>
    <row r="3168">
      <c r="A3168" s="39">
        <f>_xlfn.XLOOKUP(17846,Trip[shape_id],Trip[shape_id],"Não encontrado")</f>
        <v/>
      </c>
      <c r="B3168" s="40" t="n">
        <v>-23.20317</v>
      </c>
      <c r="C3168" s="40" t="n">
        <v>-46.863058</v>
      </c>
      <c r="D3168" s="40" t="n">
        <v>515</v>
      </c>
      <c r="E3168" s="41" t="n">
        <v>56130.773</v>
      </c>
    </row>
    <row r="3169">
      <c r="A3169" s="42">
        <f>_xlfn.XLOOKUP(17846,Trip[shape_id],Trip[shape_id],"Não encontrado")</f>
        <v/>
      </c>
      <c r="B3169" s="43" t="n">
        <v>-23.200612</v>
      </c>
      <c r="C3169" s="43" t="n">
        <v>-46.866929</v>
      </c>
      <c r="D3169" s="43" t="n">
        <v>516</v>
      </c>
      <c r="E3169" s="44" t="n">
        <v>56559.445</v>
      </c>
    </row>
    <row r="3170">
      <c r="A3170" s="39">
        <f>_xlfn.XLOOKUP(17846,Trip[shape_id],Trip[shape_id],"Não encontrado")</f>
        <v/>
      </c>
      <c r="B3170" s="40" t="n">
        <v>-23.198152</v>
      </c>
      <c r="C3170" s="40" t="n">
        <v>-46.870162</v>
      </c>
      <c r="D3170" s="40" t="n">
        <v>517</v>
      </c>
      <c r="E3170" s="41" t="n">
        <v>56761.563</v>
      </c>
    </row>
    <row r="3171">
      <c r="A3171" s="42">
        <f>_xlfn.XLOOKUP(17846,Trip[shape_id],Trip[shape_id],"Não encontrado")</f>
        <v/>
      </c>
      <c r="B3171" s="43" t="n">
        <v>-23.19662</v>
      </c>
      <c r="C3171" s="43" t="n">
        <v>-46.871235</v>
      </c>
      <c r="D3171" s="43" t="n">
        <v>518</v>
      </c>
      <c r="E3171" s="44" t="n">
        <v>57009.441</v>
      </c>
    </row>
    <row r="3172">
      <c r="A3172" s="39">
        <f>_xlfn.XLOOKUP(17846,Trip[shape_id],Trip[shape_id],"Não encontrado")</f>
        <v/>
      </c>
      <c r="B3172" s="40" t="n">
        <v>-23.194743</v>
      </c>
      <c r="C3172" s="40" t="n">
        <v>-46.872554</v>
      </c>
      <c r="D3172" s="40" t="n">
        <v>519</v>
      </c>
      <c r="E3172" s="41" t="n">
        <v>57009.441</v>
      </c>
    </row>
    <row r="3173">
      <c r="A3173" s="42">
        <f>_xlfn.XLOOKUP(17847,Trip[shape_id],Trip[shape_id],"Não encontrado")</f>
        <v/>
      </c>
      <c r="B3173" s="43" t="n">
        <v>-23.194743</v>
      </c>
      <c r="C3173" s="43" t="n">
        <v>-46.872554</v>
      </c>
      <c r="D3173" s="43" t="n">
        <v>1</v>
      </c>
      <c r="E3173" s="44" t="n">
        <v>0</v>
      </c>
    </row>
    <row r="3174">
      <c r="A3174" s="39">
        <f>_xlfn.XLOOKUP(17847,Trip[shape_id],Trip[shape_id],"Não encontrado")</f>
        <v/>
      </c>
      <c r="B3174" s="40" t="n">
        <v>-23.19662</v>
      </c>
      <c r="C3174" s="40" t="n">
        <v>-46.871235</v>
      </c>
      <c r="D3174" s="40" t="n">
        <v>2</v>
      </c>
      <c r="E3174" s="41" t="n">
        <v>247.87926</v>
      </c>
    </row>
    <row r="3175">
      <c r="A3175" s="42">
        <f>_xlfn.XLOOKUP(17847,Trip[shape_id],Trip[shape_id],"Não encontrado")</f>
        <v/>
      </c>
      <c r="B3175" s="43" t="n">
        <v>-23.198152</v>
      </c>
      <c r="C3175" s="43" t="n">
        <v>-46.870162</v>
      </c>
      <c r="D3175" s="43" t="n">
        <v>3</v>
      </c>
      <c r="E3175" s="44" t="n">
        <v>449.99817</v>
      </c>
    </row>
    <row r="3176">
      <c r="A3176" s="39">
        <f>_xlfn.XLOOKUP(17847,Trip[shape_id],Trip[shape_id],"Não encontrado")</f>
        <v/>
      </c>
      <c r="B3176" s="40" t="n">
        <v>-23.200612</v>
      </c>
      <c r="C3176" s="40" t="n">
        <v>-46.866929</v>
      </c>
      <c r="D3176" s="40" t="n">
        <v>4</v>
      </c>
      <c r="E3176" s="41" t="n">
        <v>878.67151</v>
      </c>
    </row>
    <row r="3177">
      <c r="A3177" s="42">
        <f>_xlfn.XLOOKUP(17847,Trip[shape_id],Trip[shape_id],"Não encontrado")</f>
        <v/>
      </c>
      <c r="B3177" s="43" t="n">
        <v>-23.20317</v>
      </c>
      <c r="C3177" s="43" t="n">
        <v>-46.863058</v>
      </c>
      <c r="D3177" s="43" t="n">
        <v>5</v>
      </c>
      <c r="E3177" s="44" t="n">
        <v>1365.7905</v>
      </c>
    </row>
    <row r="3178">
      <c r="A3178" s="39">
        <f>_xlfn.XLOOKUP(17847,Trip[shape_id],Trip[shape_id],"Não encontrado")</f>
        <v/>
      </c>
      <c r="B3178" s="40" t="n">
        <v>-23.203597</v>
      </c>
      <c r="C3178" s="40" t="n">
        <v>-46.862425</v>
      </c>
      <c r="D3178" s="40" t="n">
        <v>6</v>
      </c>
      <c r="E3178" s="41" t="n">
        <v>1446.01</v>
      </c>
    </row>
    <row r="3179">
      <c r="A3179" s="42">
        <f>_xlfn.XLOOKUP(17847,Trip[shape_id],Trip[shape_id],"Não encontrado")</f>
        <v/>
      </c>
      <c r="B3179" s="43" t="n">
        <v>-23.204265</v>
      </c>
      <c r="C3179" s="43" t="n">
        <v>-46.861001</v>
      </c>
      <c r="D3179" s="43" t="n">
        <v>7</v>
      </c>
      <c r="E3179" s="44" t="n">
        <v>1609.4796</v>
      </c>
    </row>
    <row r="3180">
      <c r="A3180" s="39">
        <f>_xlfn.XLOOKUP(17847,Trip[shape_id],Trip[shape_id],"Não encontrado")</f>
        <v/>
      </c>
      <c r="B3180" s="40" t="n">
        <v>-23.204454</v>
      </c>
      <c r="C3180" s="40" t="n">
        <v>-46.859918</v>
      </c>
      <c r="D3180" s="40" t="n">
        <v>8</v>
      </c>
      <c r="E3180" s="41" t="n">
        <v>1722.3022</v>
      </c>
    </row>
    <row r="3181">
      <c r="A3181" s="42">
        <f>_xlfn.XLOOKUP(17847,Trip[shape_id],Trip[shape_id],"Não encontrado")</f>
        <v/>
      </c>
      <c r="B3181" s="43" t="n">
        <v>-23.204421</v>
      </c>
      <c r="C3181" s="43" t="n">
        <v>-46.859278</v>
      </c>
      <c r="D3181" s="43" t="n">
        <v>9</v>
      </c>
      <c r="E3181" s="44" t="n">
        <v>1787.9192</v>
      </c>
    </row>
    <row r="3182">
      <c r="A3182" s="39">
        <f>_xlfn.XLOOKUP(17847,Trip[shape_id],Trip[shape_id],"Não encontrado")</f>
        <v/>
      </c>
      <c r="B3182" s="40" t="n">
        <v>-23.204354</v>
      </c>
      <c r="C3182" s="40" t="n">
        <v>-46.857918</v>
      </c>
      <c r="D3182" s="40" t="n">
        <v>10</v>
      </c>
      <c r="E3182" s="41" t="n">
        <v>1927.3367</v>
      </c>
    </row>
    <row r="3183">
      <c r="A3183" s="42">
        <f>_xlfn.XLOOKUP(17847,Trip[shape_id],Trip[shape_id],"Não encontrado")</f>
        <v/>
      </c>
      <c r="B3183" s="43" t="n">
        <v>-23.204162</v>
      </c>
      <c r="C3183" s="43" t="n">
        <v>-46.856232</v>
      </c>
      <c r="D3183" s="43" t="n">
        <v>11</v>
      </c>
      <c r="E3183" s="44" t="n">
        <v>2101.2334</v>
      </c>
    </row>
    <row r="3184">
      <c r="A3184" s="39">
        <f>_xlfn.XLOOKUP(17847,Trip[shape_id],Trip[shape_id],"Não encontrado")</f>
        <v/>
      </c>
      <c r="B3184" s="40" t="n">
        <v>-23.203649</v>
      </c>
      <c r="C3184" s="40" t="n">
        <v>-46.852417</v>
      </c>
      <c r="D3184" s="40" t="n">
        <v>12</v>
      </c>
      <c r="E3184" s="41" t="n">
        <v>2495.8777</v>
      </c>
    </row>
    <row r="3185">
      <c r="A3185" s="42">
        <f>_xlfn.XLOOKUP(17847,Trip[shape_id],Trip[shape_id],"Não encontrado")</f>
        <v/>
      </c>
      <c r="B3185" s="43" t="n">
        <v>-23.202889</v>
      </c>
      <c r="C3185" s="43" t="n">
        <v>-46.847468</v>
      </c>
      <c r="D3185" s="43" t="n">
        <v>13</v>
      </c>
      <c r="E3185" s="44" t="n">
        <v>3009.4429</v>
      </c>
    </row>
    <row r="3186">
      <c r="A3186" s="39">
        <f>_xlfn.XLOOKUP(17847,Trip[shape_id],Trip[shape_id],"Não encontrado")</f>
        <v/>
      </c>
      <c r="B3186" s="40" t="n">
        <v>-23.202761</v>
      </c>
      <c r="C3186" s="40" t="n">
        <v>-46.846143</v>
      </c>
      <c r="D3186" s="40" t="n">
        <v>14</v>
      </c>
      <c r="E3186" s="41" t="n">
        <v>3145.8201</v>
      </c>
    </row>
    <row r="3187">
      <c r="A3187" s="42">
        <f>_xlfn.XLOOKUP(17847,Trip[shape_id],Trip[shape_id],"Não encontrado")</f>
        <v/>
      </c>
      <c r="B3187" s="43" t="n">
        <v>-23.203176</v>
      </c>
      <c r="C3187" s="43" t="n">
        <v>-46.84465</v>
      </c>
      <c r="D3187" s="43" t="n">
        <v>15</v>
      </c>
      <c r="E3187" s="44" t="n">
        <v>3305.4172</v>
      </c>
    </row>
    <row r="3188">
      <c r="A3188" s="39">
        <f>_xlfn.XLOOKUP(17847,Trip[shape_id],Trip[shape_id],"Não encontrado")</f>
        <v/>
      </c>
      <c r="B3188" s="40" t="n">
        <v>-23.203922</v>
      </c>
      <c r="C3188" s="40" t="n">
        <v>-46.843524</v>
      </c>
      <c r="D3188" s="40" t="n">
        <v>16</v>
      </c>
      <c r="E3188" s="41" t="n">
        <v>3447.2339</v>
      </c>
    </row>
    <row r="3189">
      <c r="A3189" s="42">
        <f>_xlfn.XLOOKUP(17847,Trip[shape_id],Trip[shape_id],"Não encontrado")</f>
        <v/>
      </c>
      <c r="B3189" s="43" t="n">
        <v>-23.204298</v>
      </c>
      <c r="C3189" s="43" t="n">
        <v>-46.842954</v>
      </c>
      <c r="D3189" s="43" t="n">
        <v>17</v>
      </c>
      <c r="E3189" s="44" t="n">
        <v>3518.9182</v>
      </c>
    </row>
    <row r="3190">
      <c r="A3190" s="39">
        <f>_xlfn.XLOOKUP(17847,Trip[shape_id],Trip[shape_id],"Não encontrado")</f>
        <v/>
      </c>
      <c r="B3190" s="40" t="n">
        <v>-23.206857</v>
      </c>
      <c r="C3190" s="40" t="n">
        <v>-46.841021</v>
      </c>
      <c r="D3190" s="40" t="n">
        <v>18</v>
      </c>
      <c r="E3190" s="41" t="n">
        <v>3864.5635</v>
      </c>
    </row>
    <row r="3191">
      <c r="A3191" s="42">
        <f>_xlfn.XLOOKUP(17847,Trip[shape_id],Trip[shape_id],"Não encontrado")</f>
        <v/>
      </c>
      <c r="B3191" s="43" t="n">
        <v>-23.209566</v>
      </c>
      <c r="C3191" s="43" t="n">
        <v>-46.836819</v>
      </c>
      <c r="D3191" s="43" t="n">
        <v>19</v>
      </c>
      <c r="E3191" s="44" t="n">
        <v>4388.9917</v>
      </c>
    </row>
    <row r="3192">
      <c r="A3192" s="39">
        <f>_xlfn.XLOOKUP(17847,Trip[shape_id],Trip[shape_id],"Não encontrado")</f>
        <v/>
      </c>
      <c r="B3192" s="40" t="n">
        <v>-23.210293</v>
      </c>
      <c r="C3192" s="40" t="n">
        <v>-46.83451</v>
      </c>
      <c r="D3192" s="40" t="n">
        <v>20</v>
      </c>
      <c r="E3192" s="41" t="n">
        <v>4638.6855</v>
      </c>
    </row>
    <row r="3193">
      <c r="A3193" s="42">
        <f>_xlfn.XLOOKUP(17847,Trip[shape_id],Trip[shape_id],"Não encontrado")</f>
        <v/>
      </c>
      <c r="B3193" s="43" t="n">
        <v>-23.210119</v>
      </c>
      <c r="C3193" s="43" t="n">
        <v>-46.833128</v>
      </c>
      <c r="D3193" s="43" t="n">
        <v>21</v>
      </c>
      <c r="E3193" s="44" t="n">
        <v>4781.458</v>
      </c>
    </row>
    <row r="3194">
      <c r="A3194" s="39">
        <f>_xlfn.XLOOKUP(17847,Trip[shape_id],Trip[shape_id],"Não encontrado")</f>
        <v/>
      </c>
      <c r="B3194" s="40" t="n">
        <v>-23.209805</v>
      </c>
      <c r="C3194" s="40" t="n">
        <v>-46.831895</v>
      </c>
      <c r="D3194" s="40" t="n">
        <v>22</v>
      </c>
      <c r="E3194" s="41" t="n">
        <v>4912.375</v>
      </c>
    </row>
    <row r="3195">
      <c r="A3195" s="42">
        <f>_xlfn.XLOOKUP(17847,Trip[shape_id],Trip[shape_id],"Não encontrado")</f>
        <v/>
      </c>
      <c r="B3195" s="43" t="n">
        <v>-23.208931</v>
      </c>
      <c r="C3195" s="43" t="n">
        <v>-46.829365</v>
      </c>
      <c r="D3195" s="43" t="n">
        <v>23</v>
      </c>
      <c r="E3195" s="44" t="n">
        <v>5188.8521</v>
      </c>
    </row>
    <row r="3196">
      <c r="A3196" s="39">
        <f>_xlfn.XLOOKUP(17847,Trip[shape_id],Trip[shape_id],"Não encontrado")</f>
        <v/>
      </c>
      <c r="B3196" s="40" t="n">
        <v>-23.208107</v>
      </c>
      <c r="C3196" s="40" t="n">
        <v>-46.826971</v>
      </c>
      <c r="D3196" s="40" t="n">
        <v>24</v>
      </c>
      <c r="E3196" s="41" t="n">
        <v>5450.3516</v>
      </c>
    </row>
    <row r="3197">
      <c r="A3197" s="42">
        <f>_xlfn.XLOOKUP(17847,Trip[shape_id],Trip[shape_id],"Não encontrado")</f>
        <v/>
      </c>
      <c r="B3197" s="43" t="n">
        <v>-23.205991</v>
      </c>
      <c r="C3197" s="43" t="n">
        <v>-46.823518</v>
      </c>
      <c r="D3197" s="43" t="n">
        <v>25</v>
      </c>
      <c r="E3197" s="44" t="n">
        <v>5874.4448</v>
      </c>
    </row>
    <row r="3198">
      <c r="A3198" s="39">
        <f>_xlfn.XLOOKUP(17847,Trip[shape_id],Trip[shape_id],"Não encontrado")</f>
        <v/>
      </c>
      <c r="B3198" s="40" t="n">
        <v>-23.204771</v>
      </c>
      <c r="C3198" s="40" t="n">
        <v>-46.822017</v>
      </c>
      <c r="D3198" s="40" t="n">
        <v>26</v>
      </c>
      <c r="E3198" s="41" t="n">
        <v>6079.0522</v>
      </c>
    </row>
    <row r="3199">
      <c r="A3199" s="42">
        <f>_xlfn.XLOOKUP(17847,Trip[shape_id],Trip[shape_id],"Não encontrado")</f>
        <v/>
      </c>
      <c r="B3199" s="43" t="n">
        <v>-23.201981</v>
      </c>
      <c r="C3199" s="43" t="n">
        <v>-46.81953</v>
      </c>
      <c r="D3199" s="43" t="n">
        <v>27</v>
      </c>
      <c r="E3199" s="44" t="n">
        <v>6479.4106</v>
      </c>
    </row>
    <row r="3200">
      <c r="A3200" s="39">
        <f>_xlfn.XLOOKUP(17847,Trip[shape_id],Trip[shape_id],"Não encontrado")</f>
        <v/>
      </c>
      <c r="B3200" s="40" t="n">
        <v>-23.201062</v>
      </c>
      <c r="C3200" s="40" t="n">
        <v>-46.81776</v>
      </c>
      <c r="D3200" s="40" t="n">
        <v>28</v>
      </c>
      <c r="E3200" s="41" t="n">
        <v>6687.2324</v>
      </c>
    </row>
    <row r="3201">
      <c r="A3201" s="42">
        <f>_xlfn.XLOOKUP(17847,Trip[shape_id],Trip[shape_id],"Não encontrado")</f>
        <v/>
      </c>
      <c r="B3201" s="43" t="n">
        <v>-23.201093</v>
      </c>
      <c r="C3201" s="43" t="n">
        <v>-46.815823</v>
      </c>
      <c r="D3201" s="43" t="n">
        <v>29</v>
      </c>
      <c r="E3201" s="44" t="n">
        <v>6885.5527</v>
      </c>
    </row>
    <row r="3202">
      <c r="A3202" s="39">
        <f>_xlfn.XLOOKUP(17847,Trip[shape_id],Trip[shape_id],"Não encontrado")</f>
        <v/>
      </c>
      <c r="B3202" s="40" t="n">
        <v>-23.201644</v>
      </c>
      <c r="C3202" s="40" t="n">
        <v>-46.81449</v>
      </c>
      <c r="D3202" s="40" t="n">
        <v>30</v>
      </c>
      <c r="E3202" s="41" t="n">
        <v>7035.0342</v>
      </c>
    </row>
    <row r="3203">
      <c r="A3203" s="42">
        <f>_xlfn.XLOOKUP(17847,Trip[shape_id],Trip[shape_id],"Não encontrado")</f>
        <v/>
      </c>
      <c r="B3203" s="43" t="n">
        <v>-23.202965</v>
      </c>
      <c r="C3203" s="43" t="n">
        <v>-46.813307</v>
      </c>
      <c r="D3203" s="43" t="n">
        <v>31</v>
      </c>
      <c r="E3203" s="44" t="n">
        <v>7224.9512</v>
      </c>
    </row>
    <row r="3204">
      <c r="A3204" s="39">
        <f>_xlfn.XLOOKUP(17847,Trip[shape_id],Trip[shape_id],"Não encontrado")</f>
        <v/>
      </c>
      <c r="B3204" s="40" t="n">
        <v>-23.204174</v>
      </c>
      <c r="C3204" s="40" t="n">
        <v>-46.812883</v>
      </c>
      <c r="D3204" s="40" t="n">
        <v>32</v>
      </c>
      <c r="E3204" s="41" t="n">
        <v>7365.7036</v>
      </c>
    </row>
    <row r="3205">
      <c r="A3205" s="42">
        <f>_xlfn.XLOOKUP(17847,Trip[shape_id],Trip[shape_id],"Não encontrado")</f>
        <v/>
      </c>
      <c r="B3205" s="43" t="n">
        <v>-23.205805</v>
      </c>
      <c r="C3205" s="43" t="n">
        <v>-46.812447</v>
      </c>
      <c r="D3205" s="43" t="n">
        <v>33</v>
      </c>
      <c r="E3205" s="44" t="n">
        <v>7551.7642</v>
      </c>
    </row>
    <row r="3206">
      <c r="A3206" s="39">
        <f>_xlfn.XLOOKUP(17847,Trip[shape_id],Trip[shape_id],"Não encontrado")</f>
        <v/>
      </c>
      <c r="B3206" s="40" t="n">
        <v>-23.206309</v>
      </c>
      <c r="C3206" s="40" t="n">
        <v>-46.812116</v>
      </c>
      <c r="D3206" s="40" t="n">
        <v>34</v>
      </c>
      <c r="E3206" s="41" t="n">
        <v>7617.0601</v>
      </c>
    </row>
    <row r="3207">
      <c r="A3207" s="42">
        <f>_xlfn.XLOOKUP(17847,Trip[shape_id],Trip[shape_id],"Não encontrado")</f>
        <v/>
      </c>
      <c r="B3207" s="43" t="n">
        <v>-23.207207</v>
      </c>
      <c r="C3207" s="43" t="n">
        <v>-46.811517</v>
      </c>
      <c r="D3207" s="43" t="n">
        <v>35</v>
      </c>
      <c r="E3207" s="44" t="n">
        <v>7733.894</v>
      </c>
    </row>
    <row r="3208">
      <c r="A3208" s="39">
        <f>_xlfn.XLOOKUP(17847,Trip[shape_id],Trip[shape_id],"Não encontrado")</f>
        <v/>
      </c>
      <c r="B3208" s="40" t="n">
        <v>-23.207554</v>
      </c>
      <c r="C3208" s="40" t="n">
        <v>-46.811163</v>
      </c>
      <c r="D3208" s="40" t="n">
        <v>36</v>
      </c>
      <c r="E3208" s="41" t="n">
        <v>7786.7139</v>
      </c>
    </row>
    <row r="3209">
      <c r="A3209" s="42">
        <f>_xlfn.XLOOKUP(17847,Trip[shape_id],Trip[shape_id],"Não encontrado")</f>
        <v/>
      </c>
      <c r="B3209" s="43" t="n">
        <v>-23.208139</v>
      </c>
      <c r="C3209" s="43" t="n">
        <v>-46.810569</v>
      </c>
      <c r="D3209" s="43" t="n">
        <v>37</v>
      </c>
      <c r="E3209" s="44" t="n">
        <v>7875.5654</v>
      </c>
    </row>
    <row r="3210">
      <c r="A3210" s="39">
        <f>_xlfn.XLOOKUP(17847,Trip[shape_id],Trip[shape_id],"Não encontrado")</f>
        <v/>
      </c>
      <c r="B3210" s="40" t="n">
        <v>-23.208757</v>
      </c>
      <c r="C3210" s="40" t="n">
        <v>-46.809274</v>
      </c>
      <c r="D3210" s="40" t="n">
        <v>38</v>
      </c>
      <c r="E3210" s="41" t="n">
        <v>8024.7529</v>
      </c>
    </row>
    <row r="3211">
      <c r="A3211" s="42">
        <f>_xlfn.XLOOKUP(17847,Trip[shape_id],Trip[shape_id],"Não encontrado")</f>
        <v/>
      </c>
      <c r="B3211" s="43" t="n">
        <v>-23.208958</v>
      </c>
      <c r="C3211" s="43" t="n">
        <v>-46.807714</v>
      </c>
      <c r="D3211" s="43" t="n">
        <v>39</v>
      </c>
      <c r="E3211" s="44" t="n">
        <v>8185.9849</v>
      </c>
    </row>
    <row r="3212">
      <c r="A3212" s="39">
        <f>_xlfn.XLOOKUP(17847,Trip[shape_id],Trip[shape_id],"Não encontrado")</f>
        <v/>
      </c>
      <c r="B3212" s="40" t="n">
        <v>-23.208454</v>
      </c>
      <c r="C3212" s="40" t="n">
        <v>-46.805783</v>
      </c>
      <c r="D3212" s="40" t="n">
        <v>40</v>
      </c>
      <c r="E3212" s="41" t="n">
        <v>8391.3799</v>
      </c>
    </row>
    <row r="3213">
      <c r="A3213" s="42">
        <f>_xlfn.XLOOKUP(17847,Trip[shape_id],Trip[shape_id],"Não encontrado")</f>
        <v/>
      </c>
      <c r="B3213" s="43" t="n">
        <v>-23.207769</v>
      </c>
      <c r="C3213" s="43" t="n">
        <v>-46.804444</v>
      </c>
      <c r="D3213" s="43" t="n">
        <v>41</v>
      </c>
      <c r="E3213" s="44" t="n">
        <v>8548.0391</v>
      </c>
    </row>
    <row r="3214">
      <c r="A3214" s="39">
        <f>_xlfn.XLOOKUP(17847,Trip[shape_id],Trip[shape_id],"Não encontrado")</f>
        <v/>
      </c>
      <c r="B3214" s="40" t="n">
        <v>-23.206736</v>
      </c>
      <c r="C3214" s="40" t="n">
        <v>-46.803218</v>
      </c>
      <c r="D3214" s="40" t="n">
        <v>42</v>
      </c>
      <c r="E3214" s="41" t="n">
        <v>8717.856400000001</v>
      </c>
    </row>
    <row r="3215">
      <c r="A3215" s="42">
        <f>_xlfn.XLOOKUP(17847,Trip[shape_id],Trip[shape_id],"Não encontrado")</f>
        <v/>
      </c>
      <c r="B3215" s="43" t="n">
        <v>-23.206207</v>
      </c>
      <c r="C3215" s="43" t="n">
        <v>-46.802631</v>
      </c>
      <c r="D3215" s="43" t="n">
        <v>43</v>
      </c>
      <c r="E3215" s="44" t="n">
        <v>8801.7783</v>
      </c>
    </row>
    <row r="3216">
      <c r="A3216" s="39">
        <f>_xlfn.XLOOKUP(17847,Trip[shape_id],Trip[shape_id],"Não encontrado")</f>
        <v/>
      </c>
      <c r="B3216" s="40" t="n">
        <v>-23.20511</v>
      </c>
      <c r="C3216" s="40" t="n">
        <v>-46.801414</v>
      </c>
      <c r="D3216" s="40" t="n">
        <v>44</v>
      </c>
      <c r="E3216" s="41" t="n">
        <v>8975.7891</v>
      </c>
    </row>
    <row r="3217">
      <c r="A3217" s="42">
        <f>_xlfn.XLOOKUP(17847,Trip[shape_id],Trip[shape_id],"Não encontrado")</f>
        <v/>
      </c>
      <c r="B3217" s="43" t="n">
        <v>-23.204664</v>
      </c>
      <c r="C3217" s="43" t="n">
        <v>-46.800921</v>
      </c>
      <c r="D3217" s="43" t="n">
        <v>45</v>
      </c>
      <c r="E3217" s="44" t="n">
        <v>9046.4053</v>
      </c>
    </row>
    <row r="3218">
      <c r="A3218" s="39">
        <f>_xlfn.XLOOKUP(17847,Trip[shape_id],Trip[shape_id],"Não encontrado")</f>
        <v/>
      </c>
      <c r="B3218" s="40" t="n">
        <v>-23.203854</v>
      </c>
      <c r="C3218" s="40" t="n">
        <v>-46.799668</v>
      </c>
      <c r="D3218" s="40" t="n">
        <v>46</v>
      </c>
      <c r="E3218" s="41" t="n">
        <v>9202.9277</v>
      </c>
    </row>
    <row r="3219">
      <c r="A3219" s="42">
        <f>_xlfn.XLOOKUP(17847,Trip[shape_id],Trip[shape_id],"Não encontrado")</f>
        <v/>
      </c>
      <c r="B3219" s="43" t="n">
        <v>-23.203311</v>
      </c>
      <c r="C3219" s="43" t="n">
        <v>-46.797705</v>
      </c>
      <c r="D3219" s="43" t="n">
        <v>47</v>
      </c>
      <c r="E3219" s="44" t="n">
        <v>9412.6816</v>
      </c>
    </row>
    <row r="3220">
      <c r="A3220" s="39">
        <f>_xlfn.XLOOKUP(17847,Trip[shape_id],Trip[shape_id],"Não encontrado")</f>
        <v/>
      </c>
      <c r="B3220" s="40" t="n">
        <v>-23.202796</v>
      </c>
      <c r="C3220" s="40" t="n">
        <v>-46.79655</v>
      </c>
      <c r="D3220" s="40" t="n">
        <v>48</v>
      </c>
      <c r="E3220" s="41" t="n">
        <v>9543.955099999999</v>
      </c>
    </row>
    <row r="3221">
      <c r="A3221" s="42">
        <f>_xlfn.XLOOKUP(17847,Trip[shape_id],Trip[shape_id],"Não encontrado")</f>
        <v/>
      </c>
      <c r="B3221" s="43" t="n">
        <v>-23.202314</v>
      </c>
      <c r="C3221" s="43" t="n">
        <v>-46.795773</v>
      </c>
      <c r="D3221" s="43" t="n">
        <v>49</v>
      </c>
      <c r="E3221" s="44" t="n">
        <v>9639.747100000001</v>
      </c>
    </row>
    <row r="3222">
      <c r="A3222" s="39">
        <f>_xlfn.XLOOKUP(17847,Trip[shape_id],Trip[shape_id],"Não encontrado")</f>
        <v/>
      </c>
      <c r="B3222" s="40" t="n">
        <v>-23.200894</v>
      </c>
      <c r="C3222" s="40" t="n">
        <v>-46.794271</v>
      </c>
      <c r="D3222" s="40" t="n">
        <v>50</v>
      </c>
      <c r="E3222" s="41" t="n">
        <v>9859.6855</v>
      </c>
    </row>
    <row r="3223">
      <c r="A3223" s="42">
        <f>_xlfn.XLOOKUP(17847,Trip[shape_id],Trip[shape_id],"Não encontrado")</f>
        <v/>
      </c>
      <c r="B3223" s="43" t="n">
        <v>-23.200413</v>
      </c>
      <c r="C3223" s="43" t="n">
        <v>-46.792921</v>
      </c>
      <c r="D3223" s="43" t="n">
        <v>51</v>
      </c>
      <c r="E3223" s="44" t="n">
        <v>10007.797</v>
      </c>
    </row>
    <row r="3224">
      <c r="A3224" s="39">
        <f>_xlfn.XLOOKUP(17847,Trip[shape_id],Trip[shape_id],"Não encontrado")</f>
        <v/>
      </c>
      <c r="B3224" s="40" t="n">
        <v>-23.200415</v>
      </c>
      <c r="C3224" s="40" t="n">
        <v>-46.791448</v>
      </c>
      <c r="D3224" s="40" t="n">
        <v>52</v>
      </c>
      <c r="E3224" s="41" t="n">
        <v>10158.589</v>
      </c>
    </row>
    <row r="3225">
      <c r="A3225" s="42">
        <f>_xlfn.XLOOKUP(17847,Trip[shape_id],Trip[shape_id],"Não encontrado")</f>
        <v/>
      </c>
      <c r="B3225" s="43" t="n">
        <v>-23.200636</v>
      </c>
      <c r="C3225" s="43" t="n">
        <v>-46.790935</v>
      </c>
      <c r="D3225" s="43" t="n">
        <v>53</v>
      </c>
      <c r="E3225" s="44" t="n">
        <v>10216.528</v>
      </c>
    </row>
    <row r="3226">
      <c r="A3226" s="39">
        <f>_xlfn.XLOOKUP(17847,Trip[shape_id],Trip[shape_id],"Não encontrado")</f>
        <v/>
      </c>
      <c r="B3226" s="40" t="n">
        <v>-23.200895</v>
      </c>
      <c r="C3226" s="40" t="n">
        <v>-46.790326</v>
      </c>
      <c r="D3226" s="40" t="n">
        <v>54</v>
      </c>
      <c r="E3226" s="41" t="n">
        <v>10285.153</v>
      </c>
    </row>
    <row r="3227">
      <c r="A3227" s="42">
        <f>_xlfn.XLOOKUP(17847,Trip[shape_id],Trip[shape_id],"Não encontrado")</f>
        <v/>
      </c>
      <c r="B3227" s="43" t="n">
        <v>-23.201543</v>
      </c>
      <c r="C3227" s="43" t="n">
        <v>-46.789181</v>
      </c>
      <c r="D3227" s="43" t="n">
        <v>55</v>
      </c>
      <c r="E3227" s="44" t="n">
        <v>10422.591</v>
      </c>
    </row>
    <row r="3228">
      <c r="A3228" s="39">
        <f>_xlfn.XLOOKUP(17847,Trip[shape_id],Trip[shape_id],"Não encontrado")</f>
        <v/>
      </c>
      <c r="B3228" s="40" t="n">
        <v>-23.202821</v>
      </c>
      <c r="C3228" s="40" t="n">
        <v>-46.788313</v>
      </c>
      <c r="D3228" s="40" t="n">
        <v>56</v>
      </c>
      <c r="E3228" s="41" t="n">
        <v>10589.706</v>
      </c>
    </row>
    <row r="3229">
      <c r="A3229" s="42">
        <f>_xlfn.XLOOKUP(17847,Trip[shape_id],Trip[shape_id],"Não encontrado")</f>
        <v/>
      </c>
      <c r="B3229" s="43" t="n">
        <v>-23.204319</v>
      </c>
      <c r="C3229" s="43" t="n">
        <v>-46.787302</v>
      </c>
      <c r="D3229" s="43" t="n">
        <v>57</v>
      </c>
      <c r="E3229" s="44" t="n">
        <v>10785.24</v>
      </c>
    </row>
    <row r="3230">
      <c r="A3230" s="39">
        <f>_xlfn.XLOOKUP(17847,Trip[shape_id],Trip[shape_id],"Não encontrado")</f>
        <v/>
      </c>
      <c r="B3230" s="40" t="n">
        <v>-23.205669</v>
      </c>
      <c r="C3230" s="40" t="n">
        <v>-46.786387</v>
      </c>
      <c r="D3230" s="40" t="n">
        <v>58</v>
      </c>
      <c r="E3230" s="41" t="n">
        <v>10961.666</v>
      </c>
    </row>
    <row r="3231">
      <c r="A3231" s="42">
        <f>_xlfn.XLOOKUP(17847,Trip[shape_id],Trip[shape_id],"Não encontrado")</f>
        <v/>
      </c>
      <c r="B3231" s="43" t="n">
        <v>-23.205873</v>
      </c>
      <c r="C3231" s="43" t="n">
        <v>-46.786198</v>
      </c>
      <c r="D3231" s="43" t="n">
        <v>59</v>
      </c>
      <c r="E3231" s="44" t="n">
        <v>10991.41</v>
      </c>
    </row>
    <row r="3232">
      <c r="A3232" s="39">
        <f>_xlfn.XLOOKUP(17847,Trip[shape_id],Trip[shape_id],"Não encontrado")</f>
        <v/>
      </c>
      <c r="B3232" s="40" t="n">
        <v>-23.206705</v>
      </c>
      <c r="C3232" s="40" t="n">
        <v>-46.785374</v>
      </c>
      <c r="D3232" s="40" t="n">
        <v>60</v>
      </c>
      <c r="E3232" s="41" t="n">
        <v>11116.33</v>
      </c>
    </row>
    <row r="3233">
      <c r="A3233" s="42">
        <f>_xlfn.XLOOKUP(17847,Trip[shape_id],Trip[shape_id],"Não encontrado")</f>
        <v/>
      </c>
      <c r="B3233" s="43" t="n">
        <v>-23.206853</v>
      </c>
      <c r="C3233" s="43" t="n">
        <v>-46.785183</v>
      </c>
      <c r="D3233" s="43" t="n">
        <v>61</v>
      </c>
      <c r="E3233" s="44" t="n">
        <v>11141.843</v>
      </c>
    </row>
    <row r="3234">
      <c r="A3234" s="39">
        <f>_xlfn.XLOOKUP(17847,Trip[shape_id],Trip[shape_id],"Não encontrado")</f>
        <v/>
      </c>
      <c r="B3234" s="40" t="n">
        <v>-23.207605</v>
      </c>
      <c r="C3234" s="40" t="n">
        <v>-46.784141</v>
      </c>
      <c r="D3234" s="40" t="n">
        <v>62</v>
      </c>
      <c r="E3234" s="41" t="n">
        <v>11277.169</v>
      </c>
    </row>
    <row r="3235">
      <c r="A3235" s="42">
        <f>_xlfn.XLOOKUP(17847,Trip[shape_id],Trip[shape_id],"Não encontrado")</f>
        <v/>
      </c>
      <c r="B3235" s="43" t="n">
        <v>-23.20949</v>
      </c>
      <c r="C3235" s="43" t="n">
        <v>-46.782635</v>
      </c>
      <c r="D3235" s="43" t="n">
        <v>63</v>
      </c>
      <c r="E3235" s="44" t="n">
        <v>11536.679</v>
      </c>
    </row>
    <row r="3236">
      <c r="A3236" s="39">
        <f>_xlfn.XLOOKUP(17847,Trip[shape_id],Trip[shape_id],"Não encontrado")</f>
        <v/>
      </c>
      <c r="B3236" s="40" t="n">
        <v>-23.209994</v>
      </c>
      <c r="C3236" s="40" t="n">
        <v>-46.782235</v>
      </c>
      <c r="D3236" s="40" t="n">
        <v>64</v>
      </c>
      <c r="E3236" s="41" t="n">
        <v>11605.903</v>
      </c>
    </row>
    <row r="3237">
      <c r="A3237" s="42">
        <f>_xlfn.XLOOKUP(17847,Trip[shape_id],Trip[shape_id],"Não encontrado")</f>
        <v/>
      </c>
      <c r="B3237" s="43" t="n">
        <v>-23.21069</v>
      </c>
      <c r="C3237" s="43" t="n">
        <v>-46.78171</v>
      </c>
      <c r="D3237" s="43" t="n">
        <v>65</v>
      </c>
      <c r="E3237" s="44" t="n">
        <v>11699.868</v>
      </c>
    </row>
    <row r="3238">
      <c r="A3238" s="39">
        <f>_xlfn.XLOOKUP(17847,Trip[shape_id],Trip[shape_id],"Não encontrado")</f>
        <v/>
      </c>
      <c r="B3238" s="40" t="n">
        <v>-23.21135</v>
      </c>
      <c r="C3238" s="40" t="n">
        <v>-46.781213</v>
      </c>
      <c r="D3238" s="40" t="n">
        <v>66</v>
      </c>
      <c r="E3238" s="41" t="n">
        <v>11788.923</v>
      </c>
    </row>
    <row r="3239">
      <c r="A3239" s="42">
        <f>_xlfn.XLOOKUP(17847,Trip[shape_id],Trip[shape_id],"Não encontrado")</f>
        <v/>
      </c>
      <c r="B3239" s="43" t="n">
        <v>-23.212127</v>
      </c>
      <c r="C3239" s="43" t="n">
        <v>-46.780597</v>
      </c>
      <c r="D3239" s="43" t="n">
        <v>67</v>
      </c>
      <c r="E3239" s="44" t="n">
        <v>11895.603</v>
      </c>
    </row>
    <row r="3240">
      <c r="A3240" s="39">
        <f>_xlfn.XLOOKUP(17847,Trip[shape_id],Trip[shape_id],"Não encontrado")</f>
        <v/>
      </c>
      <c r="B3240" s="40" t="n">
        <v>-23.212603</v>
      </c>
      <c r="C3240" s="40" t="n">
        <v>-46.780206</v>
      </c>
      <c r="D3240" s="40" t="n">
        <v>68</v>
      </c>
      <c r="E3240" s="41" t="n">
        <v>11961.79</v>
      </c>
    </row>
    <row r="3241">
      <c r="A3241" s="42">
        <f>_xlfn.XLOOKUP(17847,Trip[shape_id],Trip[shape_id],"Não encontrado")</f>
        <v/>
      </c>
      <c r="B3241" s="43" t="n">
        <v>-23.214125</v>
      </c>
      <c r="C3241" s="43" t="n">
        <v>-46.778995</v>
      </c>
      <c r="D3241" s="43" t="n">
        <v>69</v>
      </c>
      <c r="E3241" s="44" t="n">
        <v>12171.021</v>
      </c>
    </row>
    <row r="3242">
      <c r="A3242" s="39">
        <f>_xlfn.XLOOKUP(17847,Trip[shape_id],Trip[shape_id],"Não encontrado")</f>
        <v/>
      </c>
      <c r="B3242" s="40" t="n">
        <v>-23.215156</v>
      </c>
      <c r="C3242" s="40" t="n">
        <v>-46.778291</v>
      </c>
      <c r="D3242" s="40" t="n">
        <v>70</v>
      </c>
      <c r="E3242" s="41" t="n">
        <v>12306.039</v>
      </c>
    </row>
    <row r="3243">
      <c r="A3243" s="42">
        <f>_xlfn.XLOOKUP(17847,Trip[shape_id],Trip[shape_id],"Não encontrado")</f>
        <v/>
      </c>
      <c r="B3243" s="43" t="n">
        <v>-23.216615</v>
      </c>
      <c r="C3243" s="43" t="n">
        <v>-46.777886</v>
      </c>
      <c r="D3243" s="43" t="n">
        <v>71</v>
      </c>
      <c r="E3243" s="44" t="n">
        <v>12472.853</v>
      </c>
    </row>
    <row r="3244">
      <c r="A3244" s="39">
        <f>_xlfn.XLOOKUP(17847,Trip[shape_id],Trip[shape_id],"Não encontrado")</f>
        <v/>
      </c>
      <c r="B3244" s="40" t="n">
        <v>-23.217749</v>
      </c>
      <c r="C3244" s="40" t="n">
        <v>-46.777658</v>
      </c>
      <c r="D3244" s="40" t="n">
        <v>72</v>
      </c>
      <c r="E3244" s="41" t="n">
        <v>12600.59</v>
      </c>
    </row>
    <row r="3245">
      <c r="A3245" s="42">
        <f>_xlfn.XLOOKUP(17847,Trip[shape_id],Trip[shape_id],"Não encontrado")</f>
        <v/>
      </c>
      <c r="B3245" s="43" t="n">
        <v>-23.218342</v>
      </c>
      <c r="C3245" s="43" t="n">
        <v>-46.777415</v>
      </c>
      <c r="D3245" s="43" t="n">
        <v>73</v>
      </c>
      <c r="E3245" s="44" t="n">
        <v>12670.815</v>
      </c>
    </row>
    <row r="3246">
      <c r="A3246" s="39">
        <f>_xlfn.XLOOKUP(17847,Trip[shape_id],Trip[shape_id],"Não encontrado")</f>
        <v/>
      </c>
      <c r="B3246" s="40" t="n">
        <v>-23.219177</v>
      </c>
      <c r="C3246" s="40" t="n">
        <v>-46.777072</v>
      </c>
      <c r="D3246" s="40" t="n">
        <v>74</v>
      </c>
      <c r="E3246" s="41" t="n">
        <v>12769.729</v>
      </c>
    </row>
    <row r="3247">
      <c r="A3247" s="42">
        <f>_xlfn.XLOOKUP(17847,Trip[shape_id],Trip[shape_id],"Não encontrado")</f>
        <v/>
      </c>
      <c r="B3247" s="43" t="n">
        <v>-23.220594</v>
      </c>
      <c r="C3247" s="43" t="n">
        <v>-46.77607</v>
      </c>
      <c r="D3247" s="43" t="n">
        <v>75</v>
      </c>
      <c r="E3247" s="44" t="n">
        <v>12957.2</v>
      </c>
    </row>
    <row r="3248">
      <c r="A3248" s="39">
        <f>_xlfn.XLOOKUP(17847,Trip[shape_id],Trip[shape_id],"Não encontrado")</f>
        <v/>
      </c>
      <c r="B3248" s="40" t="n">
        <v>-23.222395</v>
      </c>
      <c r="C3248" s="40" t="n">
        <v>-46.77515</v>
      </c>
      <c r="D3248" s="40" t="n">
        <v>76</v>
      </c>
      <c r="E3248" s="41" t="n">
        <v>13177.768</v>
      </c>
    </row>
    <row r="3249">
      <c r="A3249" s="42">
        <f>_xlfn.XLOOKUP(17847,Trip[shape_id],Trip[shape_id],"Não encontrado")</f>
        <v/>
      </c>
      <c r="B3249" s="43" t="n">
        <v>-23.222529</v>
      </c>
      <c r="C3249" s="43" t="n">
        <v>-46.775078</v>
      </c>
      <c r="D3249" s="43" t="n">
        <v>77</v>
      </c>
      <c r="E3249" s="44" t="n">
        <v>13194.337</v>
      </c>
    </row>
    <row r="3250">
      <c r="A3250" s="39">
        <f>_xlfn.XLOOKUP(17847,Trip[shape_id],Trip[shape_id],"Não encontrado")</f>
        <v/>
      </c>
      <c r="B3250" s="40" t="n">
        <v>-23.224397</v>
      </c>
      <c r="C3250" s="40" t="n">
        <v>-46.773985</v>
      </c>
      <c r="D3250" s="40" t="n">
        <v>78</v>
      </c>
      <c r="E3250" s="41" t="n">
        <v>13429.523</v>
      </c>
    </row>
    <row r="3251">
      <c r="A3251" s="42">
        <f>_xlfn.XLOOKUP(17847,Trip[shape_id],Trip[shape_id],"Não encontrado")</f>
        <v/>
      </c>
      <c r="B3251" s="43" t="n">
        <v>-23.224823</v>
      </c>
      <c r="C3251" s="43" t="n">
        <v>-46.77374</v>
      </c>
      <c r="D3251" s="43" t="n">
        <v>79</v>
      </c>
      <c r="E3251" s="44" t="n">
        <v>13482.952</v>
      </c>
    </row>
    <row r="3252">
      <c r="A3252" s="39">
        <f>_xlfn.XLOOKUP(17847,Trip[shape_id],Trip[shape_id],"Não encontrado")</f>
        <v/>
      </c>
      <c r="B3252" s="40" t="n">
        <v>-23.225068</v>
      </c>
      <c r="C3252" s="40" t="n">
        <v>-46.773488</v>
      </c>
      <c r="D3252" s="40" t="n">
        <v>80</v>
      </c>
      <c r="E3252" s="41" t="n">
        <v>13520.389</v>
      </c>
    </row>
    <row r="3253">
      <c r="A3253" s="42">
        <f>_xlfn.XLOOKUP(17847,Trip[shape_id],Trip[shape_id],"Não encontrado")</f>
        <v/>
      </c>
      <c r="B3253" s="43" t="n">
        <v>-23.225635</v>
      </c>
      <c r="C3253" s="43" t="n">
        <v>-46.772895</v>
      </c>
      <c r="D3253" s="43" t="n">
        <v>81</v>
      </c>
      <c r="E3253" s="44" t="n">
        <v>13607.721</v>
      </c>
    </row>
    <row r="3254">
      <c r="A3254" s="39">
        <f>_xlfn.XLOOKUP(17847,Trip[shape_id],Trip[shape_id],"Não encontrado")</f>
        <v/>
      </c>
      <c r="B3254" s="40" t="n">
        <v>-23.227154</v>
      </c>
      <c r="C3254" s="40" t="n">
        <v>-46.77025</v>
      </c>
      <c r="D3254" s="40" t="n">
        <v>82</v>
      </c>
      <c r="E3254" s="41" t="n">
        <v>13926.449</v>
      </c>
    </row>
    <row r="3255">
      <c r="A3255" s="42">
        <f>_xlfn.XLOOKUP(17847,Trip[shape_id],Trip[shape_id],"Não encontrado")</f>
        <v/>
      </c>
      <c r="B3255" s="43" t="n">
        <v>-23.228637</v>
      </c>
      <c r="C3255" s="43" t="n">
        <v>-46.768607</v>
      </c>
      <c r="D3255" s="43" t="n">
        <v>83</v>
      </c>
      <c r="E3255" s="44" t="n">
        <v>14161.507</v>
      </c>
    </row>
    <row r="3256">
      <c r="A3256" s="39">
        <f>_xlfn.XLOOKUP(17847,Trip[shape_id],Trip[shape_id],"Não encontrado")</f>
        <v/>
      </c>
      <c r="B3256" s="40" t="n">
        <v>-23.229593</v>
      </c>
      <c r="C3256" s="40" t="n">
        <v>-46.76788</v>
      </c>
      <c r="D3256" s="40" t="n">
        <v>84</v>
      </c>
      <c r="E3256" s="41" t="n">
        <v>14290.912</v>
      </c>
    </row>
    <row r="3257">
      <c r="A3257" s="42">
        <f>_xlfn.XLOOKUP(17847,Trip[shape_id],Trip[shape_id],"Não encontrado")</f>
        <v/>
      </c>
      <c r="B3257" s="43" t="n">
        <v>-23.230551</v>
      </c>
      <c r="C3257" s="43" t="n">
        <v>-46.767512</v>
      </c>
      <c r="D3257" s="43" t="n">
        <v>85</v>
      </c>
      <c r="E3257" s="44" t="n">
        <v>14403.495</v>
      </c>
    </row>
    <row r="3258">
      <c r="A3258" s="39">
        <f>_xlfn.XLOOKUP(17847,Trip[shape_id],Trip[shape_id],"Não encontrado")</f>
        <v/>
      </c>
      <c r="B3258" s="40" t="n">
        <v>-23.231785</v>
      </c>
      <c r="C3258" s="40" t="n">
        <v>-46.767583</v>
      </c>
      <c r="D3258" s="40" t="n">
        <v>86</v>
      </c>
      <c r="E3258" s="41" t="n">
        <v>14540.351</v>
      </c>
    </row>
    <row r="3259">
      <c r="A3259" s="42">
        <f>_xlfn.XLOOKUP(17847,Trip[shape_id],Trip[shape_id],"Não encontrado")</f>
        <v/>
      </c>
      <c r="B3259" s="43" t="n">
        <v>-23.233196</v>
      </c>
      <c r="C3259" s="43" t="n">
        <v>-46.768138</v>
      </c>
      <c r="D3259" s="43" t="n">
        <v>87</v>
      </c>
      <c r="E3259" s="44" t="n">
        <v>14706.618</v>
      </c>
    </row>
    <row r="3260">
      <c r="A3260" s="39">
        <f>_xlfn.XLOOKUP(17847,Trip[shape_id],Trip[shape_id],"Não encontrado")</f>
        <v/>
      </c>
      <c r="B3260" s="40" t="n">
        <v>-23.233867</v>
      </c>
      <c r="C3260" s="40" t="n">
        <v>-46.768248</v>
      </c>
      <c r="D3260" s="40" t="n">
        <v>88</v>
      </c>
      <c r="E3260" s="41" t="n">
        <v>14781.777</v>
      </c>
    </row>
    <row r="3261">
      <c r="A3261" s="42">
        <f>_xlfn.XLOOKUP(17847,Trip[shape_id],Trip[shape_id],"Não encontrado")</f>
        <v/>
      </c>
      <c r="B3261" s="43" t="n">
        <v>-23.234611</v>
      </c>
      <c r="C3261" s="43" t="n">
        <v>-46.768191</v>
      </c>
      <c r="D3261" s="43" t="n">
        <v>89</v>
      </c>
      <c r="E3261" s="44" t="n">
        <v>14864.38</v>
      </c>
    </row>
    <row r="3262">
      <c r="A3262" s="39">
        <f>_xlfn.XLOOKUP(17847,Trip[shape_id],Trip[shape_id],"Não encontrado")</f>
        <v/>
      </c>
      <c r="B3262" s="40" t="n">
        <v>-23.235289</v>
      </c>
      <c r="C3262" s="40" t="n">
        <v>-46.767955</v>
      </c>
      <c r="D3262" s="40" t="n">
        <v>90</v>
      </c>
      <c r="E3262" s="41" t="n">
        <v>14943.256</v>
      </c>
    </row>
    <row r="3263">
      <c r="A3263" s="42">
        <f>_xlfn.XLOOKUP(17847,Trip[shape_id],Trip[shape_id],"Não encontrado")</f>
        <v/>
      </c>
      <c r="B3263" s="43" t="n">
        <v>-23.235891</v>
      </c>
      <c r="C3263" s="43" t="n">
        <v>-46.767556</v>
      </c>
      <c r="D3263" s="43" t="n">
        <v>91</v>
      </c>
      <c r="E3263" s="44" t="n">
        <v>15021.438</v>
      </c>
    </row>
    <row r="3264">
      <c r="A3264" s="39">
        <f>_xlfn.XLOOKUP(17847,Trip[shape_id],Trip[shape_id],"Não encontrado")</f>
        <v/>
      </c>
      <c r="B3264" s="40" t="n">
        <v>-23.236242</v>
      </c>
      <c r="C3264" s="40" t="n">
        <v>-46.76732</v>
      </c>
      <c r="D3264" s="40" t="n">
        <v>92</v>
      </c>
      <c r="E3264" s="41" t="n">
        <v>15067.202</v>
      </c>
    </row>
    <row r="3265">
      <c r="A3265" s="42">
        <f>_xlfn.XLOOKUP(17847,Trip[shape_id],Trip[shape_id],"Não encontrado")</f>
        <v/>
      </c>
      <c r="B3265" s="43" t="n">
        <v>-23.236384</v>
      </c>
      <c r="C3265" s="43" t="n">
        <v>-46.76716</v>
      </c>
      <c r="D3265" s="43" t="n">
        <v>93</v>
      </c>
      <c r="E3265" s="44" t="n">
        <v>15089.906</v>
      </c>
    </row>
    <row r="3266">
      <c r="A3266" s="39">
        <f>_xlfn.XLOOKUP(17847,Trip[shape_id],Trip[shape_id],"Não encontrado")</f>
        <v/>
      </c>
      <c r="B3266" s="40" t="n">
        <v>-23.236791</v>
      </c>
      <c r="C3266" s="40" t="n">
        <v>-46.766702</v>
      </c>
      <c r="D3266" s="40" t="n">
        <v>94</v>
      </c>
      <c r="E3266" s="41" t="n">
        <v>15154.936</v>
      </c>
    </row>
    <row r="3267">
      <c r="A3267" s="42">
        <f>_xlfn.XLOOKUP(17847,Trip[shape_id],Trip[shape_id],"Não encontrado")</f>
        <v/>
      </c>
      <c r="B3267" s="43" t="n">
        <v>-23.237097</v>
      </c>
      <c r="C3267" s="43" t="n">
        <v>-46.76635</v>
      </c>
      <c r="D3267" s="43" t="n">
        <v>95</v>
      </c>
      <c r="E3267" s="44" t="n">
        <v>15204.395</v>
      </c>
    </row>
    <row r="3268">
      <c r="A3268" s="39">
        <f>_xlfn.XLOOKUP(17847,Trip[shape_id],Trip[shape_id],"Não encontrado")</f>
        <v/>
      </c>
      <c r="B3268" s="40" t="n">
        <v>-23.237543</v>
      </c>
      <c r="C3268" s="40" t="n">
        <v>-46.765783</v>
      </c>
      <c r="D3268" s="40" t="n">
        <v>96</v>
      </c>
      <c r="E3268" s="41" t="n">
        <v>15280.598</v>
      </c>
    </row>
    <row r="3269">
      <c r="A3269" s="42">
        <f>_xlfn.XLOOKUP(17847,Trip[shape_id],Trip[shape_id],"Não encontrado")</f>
        <v/>
      </c>
      <c r="B3269" s="43" t="n">
        <v>-23.238141</v>
      </c>
      <c r="C3269" s="43" t="n">
        <v>-46.765425</v>
      </c>
      <c r="D3269" s="43" t="n">
        <v>97</v>
      </c>
      <c r="E3269" s="44" t="n">
        <v>15356.283</v>
      </c>
    </row>
    <row r="3270">
      <c r="A3270" s="39">
        <f>_xlfn.XLOOKUP(17847,Trip[shape_id],Trip[shape_id],"Não encontrado")</f>
        <v/>
      </c>
      <c r="B3270" s="40" t="n">
        <v>-23.238818</v>
      </c>
      <c r="C3270" s="40" t="n">
        <v>-46.765195</v>
      </c>
      <c r="D3270" s="40" t="n">
        <v>98</v>
      </c>
      <c r="E3270" s="41" t="n">
        <v>15434.867</v>
      </c>
    </row>
    <row r="3271">
      <c r="A3271" s="42">
        <f>_xlfn.XLOOKUP(17847,Trip[shape_id],Trip[shape_id],"Não encontrado")</f>
        <v/>
      </c>
      <c r="B3271" s="43" t="n">
        <v>-23.239636</v>
      </c>
      <c r="C3271" s="43" t="n">
        <v>-46.765068</v>
      </c>
      <c r="D3271" s="43" t="n">
        <v>99</v>
      </c>
      <c r="E3271" s="44" t="n">
        <v>15526.386</v>
      </c>
    </row>
    <row r="3272">
      <c r="A3272" s="39">
        <f>_xlfn.XLOOKUP(17847,Trip[shape_id],Trip[shape_id],"Não encontrado")</f>
        <v/>
      </c>
      <c r="B3272" s="40" t="n">
        <v>-23.240232</v>
      </c>
      <c r="C3272" s="40" t="n">
        <v>-46.765068</v>
      </c>
      <c r="D3272" s="40" t="n">
        <v>100</v>
      </c>
      <c r="E3272" s="41" t="n">
        <v>15592.392</v>
      </c>
    </row>
    <row r="3273">
      <c r="A3273" s="42">
        <f>_xlfn.XLOOKUP(17847,Trip[shape_id],Trip[shape_id],"Não encontrado")</f>
        <v/>
      </c>
      <c r="B3273" s="43" t="n">
        <v>-23.240967</v>
      </c>
      <c r="C3273" s="43" t="n">
        <v>-46.765171</v>
      </c>
      <c r="D3273" s="43" t="n">
        <v>101</v>
      </c>
      <c r="E3273" s="44" t="n">
        <v>15674.471</v>
      </c>
    </row>
    <row r="3274">
      <c r="A3274" s="39">
        <f>_xlfn.XLOOKUP(17847,Trip[shape_id],Trip[shape_id],"Não encontrado")</f>
        <v/>
      </c>
      <c r="B3274" s="40" t="n">
        <v>-23.241769</v>
      </c>
      <c r="C3274" s="40" t="n">
        <v>-46.765028</v>
      </c>
      <c r="D3274" s="40" t="n">
        <v>102</v>
      </c>
      <c r="E3274" s="41" t="n">
        <v>15764.487</v>
      </c>
    </row>
    <row r="3275">
      <c r="A3275" s="42">
        <f>_xlfn.XLOOKUP(17847,Trip[shape_id],Trip[shape_id],"Não encontrado")</f>
        <v/>
      </c>
      <c r="B3275" s="43" t="n">
        <v>-23.24285</v>
      </c>
      <c r="C3275" s="43" t="n">
        <v>-46.7646</v>
      </c>
      <c r="D3275" s="43" t="n">
        <v>103</v>
      </c>
      <c r="E3275" s="44" t="n">
        <v>15891.967</v>
      </c>
    </row>
    <row r="3276">
      <c r="A3276" s="39">
        <f>_xlfn.XLOOKUP(17847,Trip[shape_id],Trip[shape_id],"Não encontrado")</f>
        <v/>
      </c>
      <c r="B3276" s="40" t="n">
        <v>-23.243506</v>
      </c>
      <c r="C3276" s="40" t="n">
        <v>-46.76426</v>
      </c>
      <c r="D3276" s="40" t="n">
        <v>104</v>
      </c>
      <c r="E3276" s="41" t="n">
        <v>15972.52</v>
      </c>
    </row>
    <row r="3277">
      <c r="A3277" s="42">
        <f>_xlfn.XLOOKUP(17847,Trip[shape_id],Trip[shape_id],"Não encontrado")</f>
        <v/>
      </c>
      <c r="B3277" s="43" t="n">
        <v>-23.244278</v>
      </c>
      <c r="C3277" s="43" t="n">
        <v>-46.764114</v>
      </c>
      <c r="D3277" s="43" t="n">
        <v>105</v>
      </c>
      <c r="E3277" s="44" t="n">
        <v>16059.313</v>
      </c>
    </row>
    <row r="3278">
      <c r="A3278" s="39">
        <f>_xlfn.XLOOKUP(17847,Trip[shape_id],Trip[shape_id],"Não encontrado")</f>
        <v/>
      </c>
      <c r="B3278" s="40" t="n">
        <v>-23.245036</v>
      </c>
      <c r="C3278" s="40" t="n">
        <v>-46.764006</v>
      </c>
      <c r="D3278" s="40" t="n">
        <v>106</v>
      </c>
      <c r="E3278" s="41" t="n">
        <v>16143.983</v>
      </c>
    </row>
    <row r="3279">
      <c r="A3279" s="42">
        <f>_xlfn.XLOOKUP(17847,Trip[shape_id],Trip[shape_id],"Não encontrado")</f>
        <v/>
      </c>
      <c r="B3279" s="43" t="n">
        <v>-23.24638</v>
      </c>
      <c r="C3279" s="43" t="n">
        <v>-46.763862</v>
      </c>
      <c r="D3279" s="43" t="n">
        <v>107</v>
      </c>
      <c r="E3279" s="44" t="n">
        <v>16293.556</v>
      </c>
    </row>
    <row r="3280">
      <c r="A3280" s="39">
        <f>_xlfn.XLOOKUP(17847,Trip[shape_id],Trip[shape_id],"Não encontrado")</f>
        <v/>
      </c>
      <c r="B3280" s="40" t="n">
        <v>-23.247034</v>
      </c>
      <c r="C3280" s="40" t="n">
        <v>-46.763771</v>
      </c>
      <c r="D3280" s="40" t="n">
        <v>108</v>
      </c>
      <c r="E3280" s="41" t="n">
        <v>16366.581</v>
      </c>
    </row>
    <row r="3281">
      <c r="A3281" s="42">
        <f>_xlfn.XLOOKUP(17847,Trip[shape_id],Trip[shape_id],"Não encontrado")</f>
        <v/>
      </c>
      <c r="B3281" s="43" t="n">
        <v>-23.248046</v>
      </c>
      <c r="C3281" s="43" t="n">
        <v>-46.763682</v>
      </c>
      <c r="D3281" s="43" t="n">
        <v>109</v>
      </c>
      <c r="E3281" s="44" t="n">
        <v>16479.027</v>
      </c>
    </row>
    <row r="3282">
      <c r="A3282" s="39">
        <f>_xlfn.XLOOKUP(17847,Trip[shape_id],Trip[shape_id],"Não encontrado")</f>
        <v/>
      </c>
      <c r="B3282" s="40" t="n">
        <v>-23.248744</v>
      </c>
      <c r="C3282" s="40" t="n">
        <v>-46.763736</v>
      </c>
      <c r="D3282" s="40" t="n">
        <v>110</v>
      </c>
      <c r="E3282" s="41" t="n">
        <v>16556.525</v>
      </c>
    </row>
    <row r="3283">
      <c r="A3283" s="42">
        <f>_xlfn.XLOOKUP(17847,Trip[shape_id],Trip[shape_id],"Não encontrado")</f>
        <v/>
      </c>
      <c r="B3283" s="43" t="n">
        <v>-23.249376</v>
      </c>
      <c r="C3283" s="43" t="n">
        <v>-46.763827</v>
      </c>
      <c r="D3283" s="43" t="n">
        <v>111</v>
      </c>
      <c r="E3283" s="44" t="n">
        <v>16627.135</v>
      </c>
    </row>
    <row r="3284">
      <c r="A3284" s="39">
        <f>_xlfn.XLOOKUP(17847,Trip[shape_id],Trip[shape_id],"Não encontrado")</f>
        <v/>
      </c>
      <c r="B3284" s="40" t="n">
        <v>-23.249955</v>
      </c>
      <c r="C3284" s="40" t="n">
        <v>-46.763774</v>
      </c>
      <c r="D3284" s="40" t="n">
        <v>112</v>
      </c>
      <c r="E3284" s="41" t="n">
        <v>16691.486</v>
      </c>
    </row>
    <row r="3285">
      <c r="A3285" s="42">
        <f>_xlfn.XLOOKUP(17847,Trip[shape_id],Trip[shape_id],"Não encontrado")</f>
        <v/>
      </c>
      <c r="B3285" s="43" t="n">
        <v>-23.250559</v>
      </c>
      <c r="C3285" s="43" t="n">
        <v>-46.763556</v>
      </c>
      <c r="D3285" s="43" t="n">
        <v>113</v>
      </c>
      <c r="E3285" s="44" t="n">
        <v>16762</v>
      </c>
    </row>
    <row r="3286">
      <c r="A3286" s="39">
        <f>_xlfn.XLOOKUP(17847,Trip[shape_id],Trip[shape_id],"Não encontrado")</f>
        <v/>
      </c>
      <c r="B3286" s="40" t="n">
        <v>-23.251475</v>
      </c>
      <c r="C3286" s="40" t="n">
        <v>-46.763039</v>
      </c>
      <c r="D3286" s="40" t="n">
        <v>114</v>
      </c>
      <c r="E3286" s="41" t="n">
        <v>16876.412</v>
      </c>
    </row>
    <row r="3287">
      <c r="A3287" s="42">
        <f>_xlfn.XLOOKUP(17847,Trip[shape_id],Trip[shape_id],"Não encontrado")</f>
        <v/>
      </c>
      <c r="B3287" s="43" t="n">
        <v>-23.252377</v>
      </c>
      <c r="C3287" s="43" t="n">
        <v>-46.762642</v>
      </c>
      <c r="D3287" s="43" t="n">
        <v>115</v>
      </c>
      <c r="E3287" s="44" t="n">
        <v>16984.252</v>
      </c>
    </row>
    <row r="3288">
      <c r="A3288" s="39">
        <f>_xlfn.XLOOKUP(17847,Trip[shape_id],Trip[shape_id],"Não encontrado")</f>
        <v/>
      </c>
      <c r="B3288" s="40" t="n">
        <v>-23.254524</v>
      </c>
      <c r="C3288" s="40" t="n">
        <v>-46.762163</v>
      </c>
      <c r="D3288" s="40" t="n">
        <v>116</v>
      </c>
      <c r="E3288" s="41" t="n">
        <v>17227.027</v>
      </c>
    </row>
    <row r="3289">
      <c r="A3289" s="42">
        <f>_xlfn.XLOOKUP(17847,Trip[shape_id],Trip[shape_id],"Não encontrado")</f>
        <v/>
      </c>
      <c r="B3289" s="43" t="n">
        <v>-23.256596</v>
      </c>
      <c r="C3289" s="43" t="n">
        <v>-46.762088</v>
      </c>
      <c r="D3289" s="43" t="n">
        <v>117</v>
      </c>
      <c r="E3289" s="44" t="n">
        <v>17456.625</v>
      </c>
    </row>
    <row r="3290">
      <c r="A3290" s="39">
        <f>_xlfn.XLOOKUP(17847,Trip[shape_id],Trip[shape_id],"Não encontrado")</f>
        <v/>
      </c>
      <c r="B3290" s="40" t="n">
        <v>-23.257231</v>
      </c>
      <c r="C3290" s="40" t="n">
        <v>-46.762067</v>
      </c>
      <c r="D3290" s="40" t="n">
        <v>118</v>
      </c>
      <c r="E3290" s="41" t="n">
        <v>17526.982</v>
      </c>
    </row>
    <row r="3291">
      <c r="A3291" s="42">
        <f>_xlfn.XLOOKUP(17847,Trip[shape_id],Trip[shape_id],"Não encontrado")</f>
        <v/>
      </c>
      <c r="B3291" s="43" t="n">
        <v>-23.259447</v>
      </c>
      <c r="C3291" s="43" t="n">
        <v>-46.761981</v>
      </c>
      <c r="D3291" s="43" t="n">
        <v>119</v>
      </c>
      <c r="E3291" s="44" t="n">
        <v>17772.557</v>
      </c>
    </row>
    <row r="3292">
      <c r="A3292" s="39">
        <f>_xlfn.XLOOKUP(17847,Trip[shape_id],Trip[shape_id],"Não encontrado")</f>
        <v/>
      </c>
      <c r="B3292" s="40" t="n">
        <v>-23.260151</v>
      </c>
      <c r="C3292" s="40" t="n">
        <v>-46.761896</v>
      </c>
      <c r="D3292" s="40" t="n">
        <v>120</v>
      </c>
      <c r="E3292" s="41" t="n">
        <v>17851.006</v>
      </c>
    </row>
    <row r="3293">
      <c r="A3293" s="42">
        <f>_xlfn.XLOOKUP(17847,Trip[shape_id],Trip[shape_id],"Não encontrado")</f>
        <v/>
      </c>
      <c r="B3293" s="43" t="n">
        <v>-23.260725</v>
      </c>
      <c r="C3293" s="43" t="n">
        <v>-46.761734</v>
      </c>
      <c r="D3293" s="43" t="n">
        <v>121</v>
      </c>
      <c r="E3293" s="44" t="n">
        <v>17916.701</v>
      </c>
    </row>
    <row r="3294">
      <c r="A3294" s="39">
        <f>_xlfn.XLOOKUP(17847,Trip[shape_id],Trip[shape_id],"Não encontrado")</f>
        <v/>
      </c>
      <c r="B3294" s="40" t="n">
        <v>-23.261346</v>
      </c>
      <c r="C3294" s="40" t="n">
        <v>-46.761288</v>
      </c>
      <c r="D3294" s="40" t="n">
        <v>122</v>
      </c>
      <c r="E3294" s="41" t="n">
        <v>17999.24</v>
      </c>
    </row>
    <row r="3295">
      <c r="A3295" s="42">
        <f>_xlfn.XLOOKUP(17847,Trip[shape_id],Trip[shape_id],"Não encontrado")</f>
        <v/>
      </c>
      <c r="B3295" s="43" t="n">
        <v>-23.261756</v>
      </c>
      <c r="C3295" s="43" t="n">
        <v>-46.76073</v>
      </c>
      <c r="D3295" s="43" t="n">
        <v>123</v>
      </c>
      <c r="E3295" s="44" t="n">
        <v>18072.191</v>
      </c>
    </row>
    <row r="3296">
      <c r="A3296" s="39">
        <f>_xlfn.XLOOKUP(17847,Trip[shape_id],Trip[shape_id],"Não encontrado")</f>
        <v/>
      </c>
      <c r="B3296" s="40" t="n">
        <v>-23.261984</v>
      </c>
      <c r="C3296" s="40" t="n">
        <v>-46.760229</v>
      </c>
      <c r="D3296" s="40" t="n">
        <v>124</v>
      </c>
      <c r="E3296" s="41" t="n">
        <v>18129.336</v>
      </c>
    </row>
    <row r="3297">
      <c r="A3297" s="42">
        <f>_xlfn.XLOOKUP(17847,Trip[shape_id],Trip[shape_id],"Não encontrado")</f>
        <v/>
      </c>
      <c r="B3297" s="43" t="n">
        <v>-23.26214</v>
      </c>
      <c r="C3297" s="43" t="n">
        <v>-46.75988</v>
      </c>
      <c r="D3297" s="43" t="n">
        <v>125</v>
      </c>
      <c r="E3297" s="44" t="n">
        <v>18169.006</v>
      </c>
    </row>
    <row r="3298">
      <c r="A3298" s="39">
        <f>_xlfn.XLOOKUP(17847,Trip[shape_id],Trip[shape_id],"Não encontrado")</f>
        <v/>
      </c>
      <c r="B3298" s="40" t="n">
        <v>-23.262318</v>
      </c>
      <c r="C3298" s="40" t="n">
        <v>-46.758819</v>
      </c>
      <c r="D3298" s="40" t="n">
        <v>126</v>
      </c>
      <c r="E3298" s="41" t="n">
        <v>18279.346</v>
      </c>
    </row>
    <row r="3299">
      <c r="A3299" s="42">
        <f>_xlfn.XLOOKUP(17847,Trip[shape_id],Trip[shape_id],"Não encontrado")</f>
        <v/>
      </c>
      <c r="B3299" s="43" t="n">
        <v>-23.26219</v>
      </c>
      <c r="C3299" s="43" t="n">
        <v>-46.757769</v>
      </c>
      <c r="D3299" s="43" t="n">
        <v>127</v>
      </c>
      <c r="E3299" s="44" t="n">
        <v>18387.717</v>
      </c>
    </row>
    <row r="3300">
      <c r="A3300" s="39">
        <f>_xlfn.XLOOKUP(17847,Trip[shape_id],Trip[shape_id],"Não encontrado")</f>
        <v/>
      </c>
      <c r="B3300" s="40" t="n">
        <v>-23.261641</v>
      </c>
      <c r="C3300" s="40" t="n">
        <v>-46.756493</v>
      </c>
      <c r="D3300" s="40" t="n">
        <v>128</v>
      </c>
      <c r="E3300" s="41" t="n">
        <v>18531.744</v>
      </c>
    </row>
    <row r="3301">
      <c r="A3301" s="42">
        <f>_xlfn.XLOOKUP(17847,Trip[shape_id],Trip[shape_id],"Não encontrado")</f>
        <v/>
      </c>
      <c r="B3301" s="43" t="n">
        <v>-23.261416</v>
      </c>
      <c r="C3301" s="43" t="n">
        <v>-46.75559</v>
      </c>
      <c r="D3301" s="43" t="n">
        <v>129</v>
      </c>
      <c r="E3301" s="44" t="n">
        <v>18627.443</v>
      </c>
    </row>
    <row r="3302">
      <c r="A3302" s="39">
        <f>_xlfn.XLOOKUP(17847,Trip[shape_id],Trip[shape_id],"Não encontrado")</f>
        <v/>
      </c>
      <c r="B3302" s="40" t="n">
        <v>-23.26143</v>
      </c>
      <c r="C3302" s="40" t="n">
        <v>-46.754612</v>
      </c>
      <c r="D3302" s="40" t="n">
        <v>130</v>
      </c>
      <c r="E3302" s="41" t="n">
        <v>18727.527</v>
      </c>
    </row>
    <row r="3303">
      <c r="A3303" s="42">
        <f>_xlfn.XLOOKUP(17847,Trip[shape_id],Trip[shape_id],"Não encontrado")</f>
        <v/>
      </c>
      <c r="B3303" s="43" t="n">
        <v>-23.261725</v>
      </c>
      <c r="C3303" s="43" t="n">
        <v>-46.753715</v>
      </c>
      <c r="D3303" s="43" t="n">
        <v>131</v>
      </c>
      <c r="E3303" s="44" t="n">
        <v>18824.953</v>
      </c>
    </row>
    <row r="3304">
      <c r="A3304" s="39">
        <f>_xlfn.XLOOKUP(17847,Trip[shape_id],Trip[shape_id],"Não encontrado")</f>
        <v/>
      </c>
      <c r="B3304" s="40" t="n">
        <v>-23.262318</v>
      </c>
      <c r="C3304" s="40" t="n">
        <v>-46.752606</v>
      </c>
      <c r="D3304" s="40" t="n">
        <v>132</v>
      </c>
      <c r="E3304" s="41" t="n">
        <v>18956.064</v>
      </c>
    </row>
    <row r="3305">
      <c r="A3305" s="42">
        <f>_xlfn.XLOOKUP(17847,Trip[shape_id],Trip[shape_id],"Não encontrado")</f>
        <v/>
      </c>
      <c r="B3305" s="43" t="n">
        <v>-23.263153</v>
      </c>
      <c r="C3305" s="43" t="n">
        <v>-46.75181</v>
      </c>
      <c r="D3305" s="43" t="n">
        <v>133</v>
      </c>
      <c r="E3305" s="44" t="n">
        <v>19079.293</v>
      </c>
    </row>
    <row r="3306">
      <c r="A3306" s="39">
        <f>_xlfn.XLOOKUP(17847,Trip[shape_id],Trip[shape_id],"Não encontrado")</f>
        <v/>
      </c>
      <c r="B3306" s="40" t="n">
        <v>-23.2641</v>
      </c>
      <c r="C3306" s="40" t="n">
        <v>-46.751328</v>
      </c>
      <c r="D3306" s="40" t="n">
        <v>134</v>
      </c>
      <c r="E3306" s="41" t="n">
        <v>19195.189</v>
      </c>
    </row>
    <row r="3307">
      <c r="A3307" s="42">
        <f>_xlfn.XLOOKUP(17847,Trip[shape_id],Trip[shape_id],"Não encontrado")</f>
        <v/>
      </c>
      <c r="B3307" s="43" t="n">
        <v>-23.264823</v>
      </c>
      <c r="C3307" s="43" t="n">
        <v>-46.751218</v>
      </c>
      <c r="D3307" s="43" t="n">
        <v>135</v>
      </c>
      <c r="E3307" s="44" t="n">
        <v>19276.047</v>
      </c>
    </row>
    <row r="3308">
      <c r="A3308" s="39">
        <f>_xlfn.XLOOKUP(17847,Trip[shape_id],Trip[shape_id],"Não encontrado")</f>
        <v/>
      </c>
      <c r="B3308" s="40" t="n">
        <v>-23.265444</v>
      </c>
      <c r="C3308" s="40" t="n">
        <v>-46.751257</v>
      </c>
      <c r="D3308" s="40" t="n">
        <v>136</v>
      </c>
      <c r="E3308" s="41" t="n">
        <v>19344.938</v>
      </c>
    </row>
    <row r="3309">
      <c r="A3309" s="42">
        <f>_xlfn.XLOOKUP(17847,Trip[shape_id],Trip[shape_id],"Não encontrado")</f>
        <v/>
      </c>
      <c r="B3309" s="43" t="n">
        <v>-23.266297</v>
      </c>
      <c r="C3309" s="43" t="n">
        <v>-46.751394</v>
      </c>
      <c r="D3309" s="43" t="n">
        <v>137</v>
      </c>
      <c r="E3309" s="44" t="n">
        <v>19440.439</v>
      </c>
    </row>
    <row r="3310">
      <c r="A3310" s="39">
        <f>_xlfn.XLOOKUP(17847,Trip[shape_id],Trip[shape_id],"Não encontrado")</f>
        <v/>
      </c>
      <c r="B3310" s="40" t="n">
        <v>-23.266661</v>
      </c>
      <c r="C3310" s="40" t="n">
        <v>-46.751464</v>
      </c>
      <c r="D3310" s="40" t="n">
        <v>138</v>
      </c>
      <c r="E3310" s="41" t="n">
        <v>19481.383</v>
      </c>
    </row>
    <row r="3311">
      <c r="A3311" s="42">
        <f>_xlfn.XLOOKUP(17847,Trip[shape_id],Trip[shape_id],"Não encontrado")</f>
        <v/>
      </c>
      <c r="B3311" s="43" t="n">
        <v>-23.267004</v>
      </c>
      <c r="C3311" s="43" t="n">
        <v>-46.751479</v>
      </c>
      <c r="D3311" s="43" t="n">
        <v>139</v>
      </c>
      <c r="E3311" s="44" t="n">
        <v>19519.4</v>
      </c>
    </row>
    <row r="3312">
      <c r="A3312" s="39">
        <f>_xlfn.XLOOKUP(17847,Trip[shape_id],Trip[shape_id],"Não encontrado")</f>
        <v/>
      </c>
      <c r="B3312" s="40" t="n">
        <v>-23.267614</v>
      </c>
      <c r="C3312" s="40" t="n">
        <v>-46.75144</v>
      </c>
      <c r="D3312" s="40" t="n">
        <v>140</v>
      </c>
      <c r="E3312" s="41" t="n">
        <v>19587.074</v>
      </c>
    </row>
    <row r="3313">
      <c r="A3313" s="42">
        <f>_xlfn.XLOOKUP(17847,Trip[shape_id],Trip[shape_id],"Não encontrado")</f>
        <v/>
      </c>
      <c r="B3313" s="43" t="n">
        <v>-23.269285</v>
      </c>
      <c r="C3313" s="43" t="n">
        <v>-46.751244</v>
      </c>
      <c r="D3313" s="43" t="n">
        <v>141</v>
      </c>
      <c r="E3313" s="44" t="n">
        <v>19773.217</v>
      </c>
    </row>
    <row r="3314">
      <c r="A3314" s="39">
        <f>_xlfn.XLOOKUP(17847,Trip[shape_id],Trip[shape_id],"Não encontrado")</f>
        <v/>
      </c>
      <c r="B3314" s="40" t="n">
        <v>-23.270502</v>
      </c>
      <c r="C3314" s="40" t="n">
        <v>-46.751109</v>
      </c>
      <c r="D3314" s="40" t="n">
        <v>142</v>
      </c>
      <c r="E3314" s="41" t="n">
        <v>19908.703</v>
      </c>
    </row>
    <row r="3315">
      <c r="A3315" s="42">
        <f>_xlfn.XLOOKUP(17847,Trip[shape_id],Trip[shape_id],"Não encontrado")</f>
        <v/>
      </c>
      <c r="B3315" s="43" t="n">
        <v>-23.270995</v>
      </c>
      <c r="C3315" s="43" t="n">
        <v>-46.750994</v>
      </c>
      <c r="D3315" s="43" t="n">
        <v>143</v>
      </c>
      <c r="E3315" s="44" t="n">
        <v>19964.555</v>
      </c>
    </row>
    <row r="3316">
      <c r="A3316" s="39">
        <f>_xlfn.XLOOKUP(17847,Trip[shape_id],Trip[shape_id],"Não encontrado")</f>
        <v/>
      </c>
      <c r="B3316" s="40" t="n">
        <v>-23.271889</v>
      </c>
      <c r="C3316" s="40" t="n">
        <v>-46.750614</v>
      </c>
      <c r="D3316" s="40" t="n">
        <v>144</v>
      </c>
      <c r="E3316" s="41" t="n">
        <v>20070.924</v>
      </c>
    </row>
    <row r="3317">
      <c r="A3317" s="42">
        <f>_xlfn.XLOOKUP(17847,Trip[shape_id],Trip[shape_id],"Não encontrado")</f>
        <v/>
      </c>
      <c r="B3317" s="43" t="n">
        <v>-23.272872</v>
      </c>
      <c r="C3317" s="43" t="n">
        <v>-46.750167</v>
      </c>
      <c r="D3317" s="43" t="n">
        <v>145</v>
      </c>
      <c r="E3317" s="44" t="n">
        <v>20189.006</v>
      </c>
    </row>
    <row r="3318">
      <c r="A3318" s="39">
        <f>_xlfn.XLOOKUP(17847,Trip[shape_id],Trip[shape_id],"Não encontrado")</f>
        <v/>
      </c>
      <c r="B3318" s="40" t="n">
        <v>-23.273465</v>
      </c>
      <c r="C3318" s="40" t="n">
        <v>-46.749794</v>
      </c>
      <c r="D3318" s="40" t="n">
        <v>146</v>
      </c>
      <c r="E3318" s="41" t="n">
        <v>20264.963</v>
      </c>
    </row>
    <row r="3319">
      <c r="A3319" s="42">
        <f>_xlfn.XLOOKUP(17847,Trip[shape_id],Trip[shape_id],"Não encontrado")</f>
        <v/>
      </c>
      <c r="B3319" s="43" t="n">
        <v>-23.27383</v>
      </c>
      <c r="C3319" s="43" t="n">
        <v>-46.749488</v>
      </c>
      <c r="D3319" s="43" t="n">
        <v>147</v>
      </c>
      <c r="E3319" s="44" t="n">
        <v>20316.092</v>
      </c>
    </row>
    <row r="3320">
      <c r="A3320" s="39">
        <f>_xlfn.XLOOKUP(17847,Trip[shape_id],Trip[shape_id],"Não encontrado")</f>
        <v/>
      </c>
      <c r="B3320" s="40" t="n">
        <v>-23.274144</v>
      </c>
      <c r="C3320" s="40" t="n">
        <v>-46.749149</v>
      </c>
      <c r="D3320" s="40" t="n">
        <v>148</v>
      </c>
      <c r="E3320" s="41" t="n">
        <v>20365.207</v>
      </c>
    </row>
    <row r="3321">
      <c r="A3321" s="42">
        <f>_xlfn.XLOOKUP(17847,Trip[shape_id],Trip[shape_id],"Não encontrado")</f>
        <v/>
      </c>
      <c r="B3321" s="43" t="n">
        <v>-23.274631</v>
      </c>
      <c r="C3321" s="43" t="n">
        <v>-46.74832</v>
      </c>
      <c r="D3321" s="43" t="n">
        <v>149</v>
      </c>
      <c r="E3321" s="44" t="n">
        <v>20465.721</v>
      </c>
    </row>
    <row r="3322">
      <c r="A3322" s="39">
        <f>_xlfn.XLOOKUP(17847,Trip[shape_id],Trip[shape_id],"Não encontrado")</f>
        <v/>
      </c>
      <c r="B3322" s="40" t="n">
        <v>-23.274762</v>
      </c>
      <c r="C3322" s="40" t="n">
        <v>-46.747859</v>
      </c>
      <c r="D3322" s="40" t="n">
        <v>150</v>
      </c>
      <c r="E3322" s="41" t="n">
        <v>20515.068</v>
      </c>
    </row>
    <row r="3323">
      <c r="A3323" s="42">
        <f>_xlfn.XLOOKUP(17847,Trip[shape_id],Trip[shape_id],"Não encontrado")</f>
        <v/>
      </c>
      <c r="B3323" s="43" t="n">
        <v>-23.274907</v>
      </c>
      <c r="C3323" s="43" t="n">
        <v>-46.747271</v>
      </c>
      <c r="D3323" s="43" t="n">
        <v>151</v>
      </c>
      <c r="E3323" s="44" t="n">
        <v>20577.336</v>
      </c>
    </row>
    <row r="3324">
      <c r="A3324" s="39">
        <f>_xlfn.XLOOKUP(17847,Trip[shape_id],Trip[shape_id],"Não encontrado")</f>
        <v/>
      </c>
      <c r="B3324" s="40" t="n">
        <v>-23.274901</v>
      </c>
      <c r="C3324" s="40" t="n">
        <v>-46.746517</v>
      </c>
      <c r="D3324" s="40" t="n">
        <v>152</v>
      </c>
      <c r="E3324" s="41" t="n">
        <v>20654.484</v>
      </c>
    </row>
    <row r="3325">
      <c r="A3325" s="42">
        <f>_xlfn.XLOOKUP(17847,Trip[shape_id],Trip[shape_id],"Não encontrado")</f>
        <v/>
      </c>
      <c r="B3325" s="43" t="n">
        <v>-23.274929</v>
      </c>
      <c r="C3325" s="43" t="n">
        <v>-46.746041</v>
      </c>
      <c r="D3325" s="43" t="n">
        <v>153</v>
      </c>
      <c r="E3325" s="44" t="n">
        <v>20703.285</v>
      </c>
    </row>
    <row r="3326">
      <c r="A3326" s="39">
        <f>_xlfn.XLOOKUP(17847,Trip[shape_id],Trip[shape_id],"Não encontrado")</f>
        <v/>
      </c>
      <c r="B3326" s="40" t="n">
        <v>-23.275002</v>
      </c>
      <c r="C3326" s="40" t="n">
        <v>-46.745589</v>
      </c>
      <c r="D3326" s="40" t="n">
        <v>154</v>
      </c>
      <c r="E3326" s="41" t="n">
        <v>20750.232</v>
      </c>
    </row>
    <row r="3327">
      <c r="A3327" s="42">
        <f>_xlfn.XLOOKUP(17847,Trip[shape_id],Trip[shape_id],"Não encontrado")</f>
        <v/>
      </c>
      <c r="B3327" s="43" t="n">
        <v>-23.275158</v>
      </c>
      <c r="C3327" s="43" t="n">
        <v>-46.745019</v>
      </c>
      <c r="D3327" s="43" t="n">
        <v>155</v>
      </c>
      <c r="E3327" s="44" t="n">
        <v>20811.057</v>
      </c>
    </row>
    <row r="3328">
      <c r="A3328" s="39">
        <f>_xlfn.XLOOKUP(17847,Trip[shape_id],Trip[shape_id],"Não encontrado")</f>
        <v/>
      </c>
      <c r="B3328" s="40" t="n">
        <v>-23.275434</v>
      </c>
      <c r="C3328" s="40" t="n">
        <v>-46.74447</v>
      </c>
      <c r="D3328" s="40" t="n">
        <v>156</v>
      </c>
      <c r="E3328" s="41" t="n">
        <v>20875.006</v>
      </c>
    </row>
    <row r="3329">
      <c r="A3329" s="42">
        <f>_xlfn.XLOOKUP(17847,Trip[shape_id],Trip[shape_id],"Não encontrado")</f>
        <v/>
      </c>
      <c r="B3329" s="43" t="n">
        <v>-23.275751</v>
      </c>
      <c r="C3329" s="43" t="n">
        <v>-46.744063</v>
      </c>
      <c r="D3329" s="43" t="n">
        <v>157</v>
      </c>
      <c r="E3329" s="44" t="n">
        <v>20929.471</v>
      </c>
    </row>
    <row r="3330">
      <c r="A3330" s="39">
        <f>_xlfn.XLOOKUP(17847,Trip[shape_id],Trip[shape_id],"Não encontrado")</f>
        <v/>
      </c>
      <c r="B3330" s="40" t="n">
        <v>-23.27616</v>
      </c>
      <c r="C3330" s="40" t="n">
        <v>-46.743642</v>
      </c>
      <c r="D3330" s="40" t="n">
        <v>158</v>
      </c>
      <c r="E3330" s="41" t="n">
        <v>20991.977</v>
      </c>
    </row>
    <row r="3331">
      <c r="A3331" s="42">
        <f>_xlfn.XLOOKUP(17847,Trip[shape_id],Trip[shape_id],"Não encontrado")</f>
        <v/>
      </c>
      <c r="B3331" s="43" t="n">
        <v>-23.276491</v>
      </c>
      <c r="C3331" s="43" t="n">
        <v>-46.743373</v>
      </c>
      <c r="D3331" s="43" t="n">
        <v>159</v>
      </c>
      <c r="E3331" s="44" t="n">
        <v>21037.816</v>
      </c>
    </row>
    <row r="3332">
      <c r="A3332" s="39">
        <f>_xlfn.XLOOKUP(17847,Trip[shape_id],Trip[shape_id],"Não encontrado")</f>
        <v/>
      </c>
      <c r="B3332" s="40" t="n">
        <v>-23.276784</v>
      </c>
      <c r="C3332" s="40" t="n">
        <v>-46.743234</v>
      </c>
      <c r="D3332" s="40" t="n">
        <v>160</v>
      </c>
      <c r="E3332" s="41" t="n">
        <v>21073.244</v>
      </c>
    </row>
    <row r="3333">
      <c r="A3333" s="42">
        <f>_xlfn.XLOOKUP(17847,Trip[shape_id],Trip[shape_id],"Não encontrado")</f>
        <v/>
      </c>
      <c r="B3333" s="43" t="n">
        <v>-23.277173</v>
      </c>
      <c r="C3333" s="43" t="n">
        <v>-46.743052</v>
      </c>
      <c r="D3333" s="43" t="n">
        <v>161</v>
      </c>
      <c r="E3333" s="44" t="n">
        <v>21120.178</v>
      </c>
    </row>
    <row r="3334">
      <c r="A3334" s="39">
        <f>_xlfn.XLOOKUP(17847,Trip[shape_id],Trip[shape_id],"Não encontrado")</f>
        <v/>
      </c>
      <c r="B3334" s="40" t="n">
        <v>-23.277613</v>
      </c>
      <c r="C3334" s="40" t="n">
        <v>-46.742898</v>
      </c>
      <c r="D3334" s="40" t="n">
        <v>162</v>
      </c>
      <c r="E3334" s="41" t="n">
        <v>21171.391</v>
      </c>
    </row>
    <row r="3335">
      <c r="A3335" s="42">
        <f>_xlfn.XLOOKUP(17847,Trip[shape_id],Trip[shape_id],"Não encontrado")</f>
        <v/>
      </c>
      <c r="B3335" s="43" t="n">
        <v>-23.278232</v>
      </c>
      <c r="C3335" s="43" t="n">
        <v>-46.742854</v>
      </c>
      <c r="D3335" s="43" t="n">
        <v>163</v>
      </c>
      <c r="E3335" s="44" t="n">
        <v>21240.092</v>
      </c>
    </row>
    <row r="3336">
      <c r="A3336" s="39">
        <f>_xlfn.XLOOKUP(17847,Trip[shape_id],Trip[shape_id],"Não encontrado")</f>
        <v/>
      </c>
      <c r="B3336" s="40" t="n">
        <v>-23.280281</v>
      </c>
      <c r="C3336" s="40" t="n">
        <v>-46.742619</v>
      </c>
      <c r="D3336" s="40" t="n">
        <v>164</v>
      </c>
      <c r="E3336" s="41" t="n">
        <v>21468.285</v>
      </c>
    </row>
    <row r="3337">
      <c r="A3337" s="42">
        <f>_xlfn.XLOOKUP(17847,Trip[shape_id],Trip[shape_id],"Não encontrado")</f>
        <v/>
      </c>
      <c r="B3337" s="43" t="n">
        <v>-23.282299</v>
      </c>
      <c r="C3337" s="43" t="n">
        <v>-46.742499</v>
      </c>
      <c r="D3337" s="43" t="n">
        <v>165</v>
      </c>
      <c r="E3337" s="44" t="n">
        <v>21692.111</v>
      </c>
    </row>
    <row r="3338">
      <c r="A3338" s="39">
        <f>_xlfn.XLOOKUP(17847,Trip[shape_id],Trip[shape_id],"Não encontrado")</f>
        <v/>
      </c>
      <c r="B3338" s="40" t="n">
        <v>-23.283851</v>
      </c>
      <c r="C3338" s="40" t="n">
        <v>-46.742346</v>
      </c>
      <c r="D3338" s="40" t="n">
        <v>166</v>
      </c>
      <c r="E3338" s="41" t="n">
        <v>21864.703</v>
      </c>
    </row>
    <row r="3339">
      <c r="A3339" s="42">
        <f>_xlfn.XLOOKUP(17847,Trip[shape_id],Trip[shape_id],"Não encontrado")</f>
        <v/>
      </c>
      <c r="B3339" s="43" t="n">
        <v>-23.284104</v>
      </c>
      <c r="C3339" s="43" t="n">
        <v>-46.742322</v>
      </c>
      <c r="D3339" s="43" t="n">
        <v>167</v>
      </c>
      <c r="E3339" s="44" t="n">
        <v>21892.83</v>
      </c>
    </row>
    <row r="3340">
      <c r="A3340" s="39">
        <f>_xlfn.XLOOKUP(17847,Trip[shape_id],Trip[shape_id],"Não encontrado")</f>
        <v/>
      </c>
      <c r="B3340" s="40" t="n">
        <v>-23.284758</v>
      </c>
      <c r="C3340" s="40" t="n">
        <v>-46.742152</v>
      </c>
      <c r="D3340" s="40" t="n">
        <v>168</v>
      </c>
      <c r="E3340" s="41" t="n">
        <v>21967.318</v>
      </c>
    </row>
    <row r="3341">
      <c r="A3341" s="42">
        <f>_xlfn.XLOOKUP(17847,Trip[shape_id],Trip[shape_id],"Não encontrado")</f>
        <v/>
      </c>
      <c r="B3341" s="43" t="n">
        <v>-23.285334</v>
      </c>
      <c r="C3341" s="43" t="n">
        <v>-46.741961</v>
      </c>
      <c r="D3341" s="43" t="n">
        <v>169</v>
      </c>
      <c r="E3341" s="44" t="n">
        <v>22034.035</v>
      </c>
    </row>
    <row r="3342">
      <c r="A3342" s="39">
        <f>_xlfn.XLOOKUP(17847,Trip[shape_id],Trip[shape_id],"Não encontrado")</f>
        <v/>
      </c>
      <c r="B3342" s="40" t="n">
        <v>-23.286462</v>
      </c>
      <c r="C3342" s="40" t="n">
        <v>-46.741409</v>
      </c>
      <c r="D3342" s="40" t="n">
        <v>170</v>
      </c>
      <c r="E3342" s="41" t="n">
        <v>22171.131</v>
      </c>
    </row>
    <row r="3343">
      <c r="A3343" s="42">
        <f>_xlfn.XLOOKUP(17847,Trip[shape_id],Trip[shape_id],"Não encontrado")</f>
        <v/>
      </c>
      <c r="B3343" s="43" t="n">
        <v>-23.288136</v>
      </c>
      <c r="C3343" s="43" t="n">
        <v>-46.74054</v>
      </c>
      <c r="D3343" s="43" t="n">
        <v>171</v>
      </c>
      <c r="E3343" s="44" t="n">
        <v>22376.736</v>
      </c>
    </row>
    <row r="3344">
      <c r="A3344" s="39">
        <f>_xlfn.XLOOKUP(17847,Trip[shape_id],Trip[shape_id],"Não encontrado")</f>
        <v/>
      </c>
      <c r="B3344" s="40" t="n">
        <v>-23.289584</v>
      </c>
      <c r="C3344" s="40" t="n">
        <v>-46.739823</v>
      </c>
      <c r="D3344" s="40" t="n">
        <v>172</v>
      </c>
      <c r="E3344" s="41" t="n">
        <v>22553.078</v>
      </c>
    </row>
    <row r="3345">
      <c r="A3345" s="42">
        <f>_xlfn.XLOOKUP(17847,Trip[shape_id],Trip[shape_id],"Não encontrado")</f>
        <v/>
      </c>
      <c r="B3345" s="43" t="n">
        <v>-23.289974</v>
      </c>
      <c r="C3345" s="43" t="n">
        <v>-46.73962</v>
      </c>
      <c r="D3345" s="43" t="n">
        <v>173</v>
      </c>
      <c r="E3345" s="44" t="n">
        <v>22601.004</v>
      </c>
    </row>
    <row r="3346">
      <c r="A3346" s="39">
        <f>_xlfn.XLOOKUP(17847,Trip[shape_id],Trip[shape_id],"Não encontrado")</f>
        <v/>
      </c>
      <c r="B3346" s="40" t="n">
        <v>-23.290845</v>
      </c>
      <c r="C3346" s="40" t="n">
        <v>-46.73915</v>
      </c>
      <c r="D3346" s="40" t="n">
        <v>174</v>
      </c>
      <c r="E3346" s="41" t="n">
        <v>22708.785</v>
      </c>
    </row>
    <row r="3347">
      <c r="A3347" s="42">
        <f>_xlfn.XLOOKUP(17847,Trip[shape_id],Trip[shape_id],"Não encontrado")</f>
        <v/>
      </c>
      <c r="B3347" s="43" t="n">
        <v>-23.292143</v>
      </c>
      <c r="C3347" s="43" t="n">
        <v>-46.738461</v>
      </c>
      <c r="D3347" s="43" t="n">
        <v>175</v>
      </c>
      <c r="E3347" s="44" t="n">
        <v>22868.887</v>
      </c>
    </row>
    <row r="3348">
      <c r="A3348" s="39">
        <f>_xlfn.XLOOKUP(17847,Trip[shape_id],Trip[shape_id],"Não encontrado")</f>
        <v/>
      </c>
      <c r="B3348" s="40" t="n">
        <v>-23.293394</v>
      </c>
      <c r="C3348" s="40" t="n">
        <v>-46.737814</v>
      </c>
      <c r="D3348" s="40" t="n">
        <v>176</v>
      </c>
      <c r="E3348" s="41" t="n">
        <v>23022.432</v>
      </c>
    </row>
    <row r="3349">
      <c r="A3349" s="42">
        <f>_xlfn.XLOOKUP(17847,Trip[shape_id],Trip[shape_id],"Não encontrado")</f>
        <v/>
      </c>
      <c r="B3349" s="43" t="n">
        <v>-23.294023</v>
      </c>
      <c r="C3349" s="43" t="n">
        <v>-46.737489</v>
      </c>
      <c r="D3349" s="43" t="n">
        <v>177</v>
      </c>
      <c r="E3349" s="44" t="n">
        <v>23099.619</v>
      </c>
    </row>
    <row r="3350">
      <c r="A3350" s="39">
        <f>_xlfn.XLOOKUP(17847,Trip[shape_id],Trip[shape_id],"Não encontrado")</f>
        <v/>
      </c>
      <c r="B3350" s="40" t="n">
        <v>-23.294427</v>
      </c>
      <c r="C3350" s="40" t="n">
        <v>-46.737298</v>
      </c>
      <c r="D3350" s="40" t="n">
        <v>178</v>
      </c>
      <c r="E3350" s="41" t="n">
        <v>23148.441</v>
      </c>
    </row>
    <row r="3351">
      <c r="A3351" s="42">
        <f>_xlfn.XLOOKUP(17847,Trip[shape_id],Trip[shape_id],"Não encontrado")</f>
        <v/>
      </c>
      <c r="B3351" s="43" t="n">
        <v>-23.295766</v>
      </c>
      <c r="C3351" s="43" t="n">
        <v>-46.736866</v>
      </c>
      <c r="D3351" s="43" t="n">
        <v>179</v>
      </c>
      <c r="E3351" s="44" t="n">
        <v>23303.178</v>
      </c>
    </row>
    <row r="3352">
      <c r="A3352" s="39">
        <f>_xlfn.XLOOKUP(17847,Trip[shape_id],Trip[shape_id],"Não encontrado")</f>
        <v/>
      </c>
      <c r="B3352" s="40" t="n">
        <v>-23.295994</v>
      </c>
      <c r="C3352" s="40" t="n">
        <v>-46.736793</v>
      </c>
      <c r="D3352" s="40" t="n">
        <v>180</v>
      </c>
      <c r="E3352" s="41" t="n">
        <v>23329.51</v>
      </c>
    </row>
    <row r="3353">
      <c r="A3353" s="42">
        <f>_xlfn.XLOOKUP(17847,Trip[shape_id],Trip[shape_id],"Não encontrado")</f>
        <v/>
      </c>
      <c r="B3353" s="43" t="n">
        <v>-23.296551</v>
      </c>
      <c r="C3353" s="43" t="n">
        <v>-46.736519</v>
      </c>
      <c r="D3353" s="43" t="n">
        <v>181</v>
      </c>
      <c r="E3353" s="44" t="n">
        <v>23397.266</v>
      </c>
    </row>
    <row r="3354">
      <c r="A3354" s="39">
        <f>_xlfn.XLOOKUP(17847,Trip[shape_id],Trip[shape_id],"Não encontrado")</f>
        <v/>
      </c>
      <c r="B3354" s="40" t="n">
        <v>-23.297258</v>
      </c>
      <c r="C3354" s="40" t="n">
        <v>-46.736146</v>
      </c>
      <c r="D3354" s="40" t="n">
        <v>182</v>
      </c>
      <c r="E3354" s="41" t="n">
        <v>23484.367</v>
      </c>
    </row>
    <row r="3355">
      <c r="A3355" s="42">
        <f>_xlfn.XLOOKUP(17847,Trip[shape_id],Trip[shape_id],"Não encontrado")</f>
        <v/>
      </c>
      <c r="B3355" s="43" t="n">
        <v>-23.298099</v>
      </c>
      <c r="C3355" s="43" t="n">
        <v>-46.735353</v>
      </c>
      <c r="D3355" s="43" t="n">
        <v>183</v>
      </c>
      <c r="E3355" s="44" t="n">
        <v>23607.881</v>
      </c>
    </row>
    <row r="3356">
      <c r="A3356" s="39">
        <f>_xlfn.XLOOKUP(17847,Trip[shape_id],Trip[shape_id],"Não encontrado")</f>
        <v/>
      </c>
      <c r="B3356" s="40" t="n">
        <v>-23.298228</v>
      </c>
      <c r="C3356" s="40" t="n">
        <v>-46.735213</v>
      </c>
      <c r="D3356" s="40" t="n">
        <v>184</v>
      </c>
      <c r="E3356" s="41" t="n">
        <v>23628.109</v>
      </c>
    </row>
    <row r="3357">
      <c r="A3357" s="42">
        <f>_xlfn.XLOOKUP(17847,Trip[shape_id],Trip[shape_id],"Não encontrado")</f>
        <v/>
      </c>
      <c r="B3357" s="43" t="n">
        <v>-23.298484</v>
      </c>
      <c r="C3357" s="43" t="n">
        <v>-46.734865</v>
      </c>
      <c r="D3357" s="43" t="n">
        <v>185</v>
      </c>
      <c r="E3357" s="44" t="n">
        <v>23673.619</v>
      </c>
    </row>
    <row r="3358">
      <c r="A3358" s="39">
        <f>_xlfn.XLOOKUP(17847,Trip[shape_id],Trip[shape_id],"Não encontrado")</f>
        <v/>
      </c>
      <c r="B3358" s="40" t="n">
        <v>-23.299013</v>
      </c>
      <c r="C3358" s="40" t="n">
        <v>-46.734044</v>
      </c>
      <c r="D3358" s="40" t="n">
        <v>186</v>
      </c>
      <c r="E3358" s="41" t="n">
        <v>23776.02</v>
      </c>
    </row>
    <row r="3359">
      <c r="A3359" s="42">
        <f>_xlfn.XLOOKUP(17847,Trip[shape_id],Trip[shape_id],"Não encontrado")</f>
        <v/>
      </c>
      <c r="B3359" s="43" t="n">
        <v>-23.299643</v>
      </c>
      <c r="C3359" s="43" t="n">
        <v>-46.733171</v>
      </c>
      <c r="D3359" s="43" t="n">
        <v>187</v>
      </c>
      <c r="E3359" s="44" t="n">
        <v>23889.348</v>
      </c>
    </row>
    <row r="3360">
      <c r="A3360" s="39">
        <f>_xlfn.XLOOKUP(17847,Trip[shape_id],Trip[shape_id],"Não encontrado")</f>
        <v/>
      </c>
      <c r="B3360" s="40" t="n">
        <v>-23.300038</v>
      </c>
      <c r="C3360" s="40" t="n">
        <v>-46.732724</v>
      </c>
      <c r="D3360" s="40" t="n">
        <v>188</v>
      </c>
      <c r="E3360" s="41" t="n">
        <v>23952.629</v>
      </c>
    </row>
    <row r="3361">
      <c r="A3361" s="42">
        <f>_xlfn.XLOOKUP(17847,Trip[shape_id],Trip[shape_id],"Não encontrado")</f>
        <v/>
      </c>
      <c r="B3361" s="43" t="n">
        <v>-23.300584</v>
      </c>
      <c r="C3361" s="43" t="n">
        <v>-46.73232</v>
      </c>
      <c r="D3361" s="43" t="n">
        <v>189</v>
      </c>
      <c r="E3361" s="44" t="n">
        <v>24025.871</v>
      </c>
    </row>
    <row r="3362">
      <c r="A3362" s="39">
        <f>_xlfn.XLOOKUP(17847,Trip[shape_id],Trip[shape_id],"Não encontrado")</f>
        <v/>
      </c>
      <c r="B3362" s="40" t="n">
        <v>-23.301185</v>
      </c>
      <c r="C3362" s="40" t="n">
        <v>-46.731893</v>
      </c>
      <c r="D3362" s="40" t="n">
        <v>190</v>
      </c>
      <c r="E3362" s="41" t="n">
        <v>24105.482</v>
      </c>
    </row>
    <row r="3363">
      <c r="A3363" s="42">
        <f>_xlfn.XLOOKUP(17847,Trip[shape_id],Trip[shape_id],"Não encontrado")</f>
        <v/>
      </c>
      <c r="B3363" s="43" t="n">
        <v>-23.301457</v>
      </c>
      <c r="C3363" s="43" t="n">
        <v>-46.731725</v>
      </c>
      <c r="D3363" s="43" t="n">
        <v>191</v>
      </c>
      <c r="E3363" s="44" t="n">
        <v>24140.164</v>
      </c>
    </row>
    <row r="3364">
      <c r="A3364" s="39">
        <f>_xlfn.XLOOKUP(17847,Trip[shape_id],Trip[shape_id],"Não encontrado")</f>
        <v/>
      </c>
      <c r="B3364" s="40" t="n">
        <v>-23.302809</v>
      </c>
      <c r="C3364" s="40" t="n">
        <v>-46.730909</v>
      </c>
      <c r="D3364" s="40" t="n">
        <v>192</v>
      </c>
      <c r="E3364" s="41" t="n">
        <v>24311.59</v>
      </c>
    </row>
    <row r="3365">
      <c r="A3365" s="42">
        <f>_xlfn.XLOOKUP(17847,Trip[shape_id],Trip[shape_id],"Não encontrado")</f>
        <v/>
      </c>
      <c r="B3365" s="43" t="n">
        <v>-23.303508</v>
      </c>
      <c r="C3365" s="43" t="n">
        <v>-46.730462</v>
      </c>
      <c r="D3365" s="43" t="n">
        <v>193</v>
      </c>
      <c r="E3365" s="44" t="n">
        <v>24401.498</v>
      </c>
    </row>
    <row r="3366">
      <c r="A3366" s="39">
        <f>_xlfn.XLOOKUP(17847,Trip[shape_id],Trip[shape_id],"Não encontrado")</f>
        <v/>
      </c>
      <c r="B3366" s="40" t="n">
        <v>-23.304034</v>
      </c>
      <c r="C3366" s="40" t="n">
        <v>-46.73001</v>
      </c>
      <c r="D3366" s="40" t="n">
        <v>194</v>
      </c>
      <c r="E3366" s="41" t="n">
        <v>24475.871</v>
      </c>
    </row>
    <row r="3367">
      <c r="A3367" s="42">
        <f>_xlfn.XLOOKUP(17847,Trip[shape_id],Trip[shape_id],"Não encontrado")</f>
        <v/>
      </c>
      <c r="B3367" s="43" t="n">
        <v>-23.304516</v>
      </c>
      <c r="C3367" s="43" t="n">
        <v>-46.729454</v>
      </c>
      <c r="D3367" s="43" t="n">
        <v>195</v>
      </c>
      <c r="E3367" s="44" t="n">
        <v>24553.871</v>
      </c>
    </row>
    <row r="3368">
      <c r="A3368" s="39">
        <f>_xlfn.XLOOKUP(17847,Trip[shape_id],Trip[shape_id],"Não encontrado")</f>
        <v/>
      </c>
      <c r="B3368" s="40" t="n">
        <v>-23.305516</v>
      </c>
      <c r="C3368" s="40" t="n">
        <v>-46.727999</v>
      </c>
      <c r="D3368" s="40" t="n">
        <v>196</v>
      </c>
      <c r="E3368" s="41" t="n">
        <v>24739.389</v>
      </c>
    </row>
    <row r="3369">
      <c r="A3369" s="42">
        <f>_xlfn.XLOOKUP(17847,Trip[shape_id],Trip[shape_id],"Não encontrado")</f>
        <v/>
      </c>
      <c r="B3369" s="43" t="n">
        <v>-23.306243</v>
      </c>
      <c r="C3369" s="43" t="n">
        <v>-46.727264</v>
      </c>
      <c r="D3369" s="43" t="n">
        <v>197</v>
      </c>
      <c r="E3369" s="44" t="n">
        <v>24849.547</v>
      </c>
    </row>
    <row r="3370">
      <c r="A3370" s="39">
        <f>_xlfn.XLOOKUP(17847,Trip[shape_id],Trip[shape_id],"Não encontrado")</f>
        <v/>
      </c>
      <c r="B3370" s="40" t="n">
        <v>-23.306995</v>
      </c>
      <c r="C3370" s="40" t="n">
        <v>-46.726791</v>
      </c>
      <c r="D3370" s="40" t="n">
        <v>198</v>
      </c>
      <c r="E3370" s="41" t="n">
        <v>24945.863</v>
      </c>
    </row>
    <row r="3371">
      <c r="A3371" s="42">
        <f>_xlfn.XLOOKUP(17847,Trip[shape_id],Trip[shape_id],"Não encontrado")</f>
        <v/>
      </c>
      <c r="B3371" s="43" t="n">
        <v>-23.308</v>
      </c>
      <c r="C3371" s="43" t="n">
        <v>-46.726095</v>
      </c>
      <c r="D3371" s="43" t="n">
        <v>199</v>
      </c>
      <c r="E3371" s="44" t="n">
        <v>25077.986</v>
      </c>
    </row>
    <row r="3372">
      <c r="A3372" s="39">
        <f>_xlfn.XLOOKUP(17847,Trip[shape_id],Trip[shape_id],"Não encontrado")</f>
        <v/>
      </c>
      <c r="B3372" s="40" t="n">
        <v>-23.308387</v>
      </c>
      <c r="C3372" s="40" t="n">
        <v>-46.725747</v>
      </c>
      <c r="D3372" s="40" t="n">
        <v>200</v>
      </c>
      <c r="E3372" s="41" t="n">
        <v>25133.701</v>
      </c>
    </row>
    <row r="3373">
      <c r="A3373" s="42">
        <f>_xlfn.XLOOKUP(17847,Trip[shape_id],Trip[shape_id],"Não encontrado")</f>
        <v/>
      </c>
      <c r="B3373" s="43" t="n">
        <v>-23.308687</v>
      </c>
      <c r="C3373" s="43" t="n">
        <v>-46.725358</v>
      </c>
      <c r="D3373" s="43" t="n">
        <v>201</v>
      </c>
      <c r="E3373" s="44" t="n">
        <v>25185.539</v>
      </c>
    </row>
    <row r="3374">
      <c r="A3374" s="39">
        <f>_xlfn.XLOOKUP(17847,Trip[shape_id],Trip[shape_id],"Não encontrado")</f>
        <v/>
      </c>
      <c r="B3374" s="40" t="n">
        <v>-23.308927</v>
      </c>
      <c r="C3374" s="40" t="n">
        <v>-46.725055</v>
      </c>
      <c r="D3374" s="40" t="n">
        <v>202</v>
      </c>
      <c r="E3374" s="41" t="n">
        <v>25226.369</v>
      </c>
    </row>
    <row r="3375">
      <c r="A3375" s="42">
        <f>_xlfn.XLOOKUP(17847,Trip[shape_id],Trip[shape_id],"Não encontrado")</f>
        <v/>
      </c>
      <c r="B3375" s="43" t="n">
        <v>-23.309537</v>
      </c>
      <c r="C3375" s="43" t="n">
        <v>-46.724214</v>
      </c>
      <c r="D3375" s="43" t="n">
        <v>203</v>
      </c>
      <c r="E3375" s="44" t="n">
        <v>25335.75</v>
      </c>
    </row>
    <row r="3376">
      <c r="A3376" s="39">
        <f>_xlfn.XLOOKUP(17847,Trip[shape_id],Trip[shape_id],"Não encontrado")</f>
        <v/>
      </c>
      <c r="B3376" s="40" t="n">
        <v>-23.310163</v>
      </c>
      <c r="C3376" s="40" t="n">
        <v>-46.723277</v>
      </c>
      <c r="D3376" s="40" t="n">
        <v>204</v>
      </c>
      <c r="E3376" s="41" t="n">
        <v>25454.039</v>
      </c>
    </row>
    <row r="3377">
      <c r="A3377" s="42">
        <f>_xlfn.XLOOKUP(17847,Trip[shape_id],Trip[shape_id],"Não encontrado")</f>
        <v/>
      </c>
      <c r="B3377" s="43" t="n">
        <v>-23.310428</v>
      </c>
      <c r="C3377" s="43" t="n">
        <v>-46.722876</v>
      </c>
      <c r="D3377" s="43" t="n">
        <v>205</v>
      </c>
      <c r="E3377" s="44" t="n">
        <v>25504.475</v>
      </c>
    </row>
    <row r="3378">
      <c r="A3378" s="39">
        <f>_xlfn.XLOOKUP(17847,Trip[shape_id],Trip[shape_id],"Não encontrado")</f>
        <v/>
      </c>
      <c r="B3378" s="40" t="n">
        <v>-23.310948</v>
      </c>
      <c r="C3378" s="40" t="n">
        <v>-46.722106</v>
      </c>
      <c r="D3378" s="40" t="n">
        <v>206</v>
      </c>
      <c r="E3378" s="41" t="n">
        <v>25602.043</v>
      </c>
    </row>
    <row r="3379">
      <c r="A3379" s="42">
        <f>_xlfn.XLOOKUP(17847,Trip[shape_id],Trip[shape_id],"Não encontrado")</f>
        <v/>
      </c>
      <c r="B3379" s="43" t="n">
        <v>-23.311515</v>
      </c>
      <c r="C3379" s="43" t="n">
        <v>-46.721292</v>
      </c>
      <c r="D3379" s="43" t="n">
        <v>207</v>
      </c>
      <c r="E3379" s="44" t="n">
        <v>25706.328</v>
      </c>
    </row>
    <row r="3380">
      <c r="A3380" s="39">
        <f>_xlfn.XLOOKUP(17847,Trip[shape_id],Trip[shape_id],"Não encontrado")</f>
        <v/>
      </c>
      <c r="B3380" s="40" t="n">
        <v>-23.311697</v>
      </c>
      <c r="C3380" s="40" t="n">
        <v>-46.721077</v>
      </c>
      <c r="D3380" s="40" t="n">
        <v>208</v>
      </c>
      <c r="E3380" s="41" t="n">
        <v>25736.158</v>
      </c>
    </row>
    <row r="3381">
      <c r="A3381" s="42">
        <f>_xlfn.XLOOKUP(17847,Trip[shape_id],Trip[shape_id],"Não encontrado")</f>
        <v/>
      </c>
      <c r="B3381" s="43" t="n">
        <v>-23.312056</v>
      </c>
      <c r="C3381" s="43" t="n">
        <v>-46.720628</v>
      </c>
      <c r="D3381" s="43" t="n">
        <v>209</v>
      </c>
      <c r="E3381" s="44" t="n">
        <v>25796.902</v>
      </c>
    </row>
    <row r="3382">
      <c r="A3382" s="39">
        <f>_xlfn.XLOOKUP(17847,Trip[shape_id],Trip[shape_id],"Não encontrado")</f>
        <v/>
      </c>
      <c r="B3382" s="40" t="n">
        <v>-23.312401</v>
      </c>
      <c r="C3382" s="40" t="n">
        <v>-46.720347</v>
      </c>
      <c r="D3382" s="40" t="n">
        <v>210</v>
      </c>
      <c r="E3382" s="41" t="n">
        <v>25844.715</v>
      </c>
    </row>
    <row r="3383">
      <c r="A3383" s="42">
        <f>_xlfn.XLOOKUP(17847,Trip[shape_id],Trip[shape_id],"Não encontrado")</f>
        <v/>
      </c>
      <c r="B3383" s="43" t="n">
        <v>-23.312699</v>
      </c>
      <c r="C3383" s="43" t="n">
        <v>-46.720104</v>
      </c>
      <c r="D3383" s="43" t="n">
        <v>211</v>
      </c>
      <c r="E3383" s="44" t="n">
        <v>25886.031</v>
      </c>
    </row>
    <row r="3384">
      <c r="A3384" s="39">
        <f>_xlfn.XLOOKUP(17847,Trip[shape_id],Trip[shape_id],"Não encontrado")</f>
        <v/>
      </c>
      <c r="B3384" s="40" t="n">
        <v>-23.313429</v>
      </c>
      <c r="C3384" s="40" t="n">
        <v>-46.719768</v>
      </c>
      <c r="D3384" s="40" t="n">
        <v>212</v>
      </c>
      <c r="E3384" s="41" t="n">
        <v>25973.879</v>
      </c>
    </row>
    <row r="3385">
      <c r="A3385" s="42">
        <f>_xlfn.XLOOKUP(17847,Trip[shape_id],Trip[shape_id],"Não encontrado")</f>
        <v/>
      </c>
      <c r="B3385" s="43" t="n">
        <v>-23.314008</v>
      </c>
      <c r="C3385" s="43" t="n">
        <v>-46.719664</v>
      </c>
      <c r="D3385" s="43" t="n">
        <v>213</v>
      </c>
      <c r="E3385" s="44" t="n">
        <v>26038.879</v>
      </c>
    </row>
    <row r="3386">
      <c r="A3386" s="39">
        <f>_xlfn.XLOOKUP(17847,Trip[shape_id],Trip[shape_id],"Não encontrado")</f>
        <v/>
      </c>
      <c r="B3386" s="40" t="n">
        <v>-23.314487</v>
      </c>
      <c r="C3386" s="40" t="n">
        <v>-46.719642</v>
      </c>
      <c r="D3386" s="40" t="n">
        <v>214</v>
      </c>
      <c r="E3386" s="41" t="n">
        <v>26091.975</v>
      </c>
    </row>
    <row r="3387">
      <c r="A3387" s="42">
        <f>_xlfn.XLOOKUP(17847,Trip[shape_id],Trip[shape_id],"Não encontrado")</f>
        <v/>
      </c>
      <c r="B3387" s="43" t="n">
        <v>-23.315052</v>
      </c>
      <c r="C3387" s="43" t="n">
        <v>-46.7197</v>
      </c>
      <c r="D3387" s="43" t="n">
        <v>215</v>
      </c>
      <c r="E3387" s="44" t="n">
        <v>26154.828</v>
      </c>
    </row>
    <row r="3388">
      <c r="A3388" s="39">
        <f>_xlfn.XLOOKUP(17847,Trip[shape_id],Trip[shape_id],"Não encontrado")</f>
        <v/>
      </c>
      <c r="B3388" s="40" t="n">
        <v>-23.315459</v>
      </c>
      <c r="C3388" s="40" t="n">
        <v>-46.719832</v>
      </c>
      <c r="D3388" s="40" t="n">
        <v>216</v>
      </c>
      <c r="E3388" s="41" t="n">
        <v>26201.881</v>
      </c>
    </row>
    <row r="3389">
      <c r="A3389" s="42">
        <f>_xlfn.XLOOKUP(17847,Trip[shape_id],Trip[shape_id],"Não encontrado")</f>
        <v/>
      </c>
      <c r="B3389" s="43" t="n">
        <v>-23.315891</v>
      </c>
      <c r="C3389" s="43" t="n">
        <v>-46.720002</v>
      </c>
      <c r="D3389" s="43" t="n">
        <v>217</v>
      </c>
      <c r="E3389" s="44" t="n">
        <v>26252.785</v>
      </c>
    </row>
    <row r="3390">
      <c r="A3390" s="39">
        <f>_xlfn.XLOOKUP(17847,Trip[shape_id],Trip[shape_id],"Não encontrado")</f>
        <v/>
      </c>
      <c r="B3390" s="40" t="n">
        <v>-23.316492</v>
      </c>
      <c r="C3390" s="40" t="n">
        <v>-46.720445</v>
      </c>
      <c r="D3390" s="40" t="n">
        <v>218</v>
      </c>
      <c r="E3390" s="41" t="n">
        <v>26333.305</v>
      </c>
    </row>
    <row r="3391">
      <c r="A3391" s="42">
        <f>_xlfn.XLOOKUP(17847,Trip[shape_id],Trip[shape_id],"Não encontrado")</f>
        <v/>
      </c>
      <c r="B3391" s="43" t="n">
        <v>-23.316984</v>
      </c>
      <c r="C3391" s="43" t="n">
        <v>-46.720904</v>
      </c>
      <c r="D3391" s="43" t="n">
        <v>219</v>
      </c>
      <c r="E3391" s="44" t="n">
        <v>26405.229</v>
      </c>
    </row>
    <row r="3392">
      <c r="A3392" s="39">
        <f>_xlfn.XLOOKUP(17847,Trip[shape_id],Trip[shape_id],"Não encontrado")</f>
        <v/>
      </c>
      <c r="B3392" s="40" t="n">
        <v>-23.317333</v>
      </c>
      <c r="C3392" s="40" t="n">
        <v>-46.721313</v>
      </c>
      <c r="D3392" s="40" t="n">
        <v>220</v>
      </c>
      <c r="E3392" s="41" t="n">
        <v>26462.184</v>
      </c>
    </row>
    <row r="3393">
      <c r="A3393" s="42">
        <f>_xlfn.XLOOKUP(17847,Trip[shape_id],Trip[shape_id],"Não encontrado")</f>
        <v/>
      </c>
      <c r="B3393" s="43" t="n">
        <v>-23.31764</v>
      </c>
      <c r="C3393" s="43" t="n">
        <v>-46.721644</v>
      </c>
      <c r="D3393" s="43" t="n">
        <v>221</v>
      </c>
      <c r="E3393" s="44" t="n">
        <v>26510.164</v>
      </c>
    </row>
    <row r="3394">
      <c r="A3394" s="39">
        <f>_xlfn.XLOOKUP(17847,Trip[shape_id],Trip[shape_id],"Não encontrado")</f>
        <v/>
      </c>
      <c r="B3394" s="40" t="n">
        <v>-23.317887</v>
      </c>
      <c r="C3394" s="40" t="n">
        <v>-46.72191</v>
      </c>
      <c r="D3394" s="40" t="n">
        <v>222</v>
      </c>
      <c r="E3394" s="41" t="n">
        <v>26548.744</v>
      </c>
    </row>
    <row r="3395">
      <c r="A3395" s="42">
        <f>_xlfn.XLOOKUP(17847,Trip[shape_id],Trip[shape_id],"Não encontrado")</f>
        <v/>
      </c>
      <c r="B3395" s="43" t="n">
        <v>-23.318106</v>
      </c>
      <c r="C3395" s="43" t="n">
        <v>-46.722088</v>
      </c>
      <c r="D3395" s="43" t="n">
        <v>223</v>
      </c>
      <c r="E3395" s="44" t="n">
        <v>26579.07</v>
      </c>
    </row>
    <row r="3396">
      <c r="A3396" s="39">
        <f>_xlfn.XLOOKUP(17847,Trip[shape_id],Trip[shape_id],"Não encontrado")</f>
        <v/>
      </c>
      <c r="B3396" s="40" t="n">
        <v>-23.318271</v>
      </c>
      <c r="C3396" s="40" t="n">
        <v>-46.722231</v>
      </c>
      <c r="D3396" s="40" t="n">
        <v>224</v>
      </c>
      <c r="E3396" s="41" t="n">
        <v>26602.477</v>
      </c>
    </row>
    <row r="3397">
      <c r="A3397" s="42">
        <f>_xlfn.XLOOKUP(17847,Trip[shape_id],Trip[shape_id],"Não encontrado")</f>
        <v/>
      </c>
      <c r="B3397" s="43" t="n">
        <v>-23.31934</v>
      </c>
      <c r="C3397" s="43" t="n">
        <v>-46.722776</v>
      </c>
      <c r="D3397" s="43" t="n">
        <v>225</v>
      </c>
      <c r="E3397" s="44" t="n">
        <v>26733.334</v>
      </c>
    </row>
    <row r="3398">
      <c r="A3398" s="39">
        <f>_xlfn.XLOOKUP(17847,Trip[shape_id],Trip[shape_id],"Não encontrado")</f>
        <v/>
      </c>
      <c r="B3398" s="40" t="n">
        <v>-23.320267</v>
      </c>
      <c r="C3398" s="40" t="n">
        <v>-46.722963</v>
      </c>
      <c r="D3398" s="40" t="n">
        <v>226</v>
      </c>
      <c r="E3398" s="41" t="n">
        <v>26837.764</v>
      </c>
    </row>
    <row r="3399">
      <c r="A3399" s="42">
        <f>_xlfn.XLOOKUP(17847,Trip[shape_id],Trip[shape_id],"Não encontrado")</f>
        <v/>
      </c>
      <c r="B3399" s="43" t="n">
        <v>-23.320913</v>
      </c>
      <c r="C3399" s="43" t="n">
        <v>-46.723124</v>
      </c>
      <c r="D3399" s="43" t="n">
        <v>227</v>
      </c>
      <c r="E3399" s="44" t="n">
        <v>26911.178</v>
      </c>
    </row>
    <row r="3400">
      <c r="A3400" s="39">
        <f>_xlfn.XLOOKUP(17847,Trip[shape_id],Trip[shape_id],"Não encontrado")</f>
        <v/>
      </c>
      <c r="B3400" s="40" t="n">
        <v>-23.321729</v>
      </c>
      <c r="C3400" s="40" t="n">
        <v>-46.723335</v>
      </c>
      <c r="D3400" s="40" t="n">
        <v>228</v>
      </c>
      <c r="E3400" s="41" t="n">
        <v>27004.09</v>
      </c>
    </row>
    <row r="3401">
      <c r="A3401" s="42">
        <f>_xlfn.XLOOKUP(17847,Trip[shape_id],Trip[shape_id],"Não encontrado")</f>
        <v/>
      </c>
      <c r="B3401" s="43" t="n">
        <v>-23.322199</v>
      </c>
      <c r="C3401" s="43" t="n">
        <v>-46.723447</v>
      </c>
      <c r="D3401" s="43" t="n">
        <v>229</v>
      </c>
      <c r="E3401" s="44" t="n">
        <v>27057.387</v>
      </c>
    </row>
    <row r="3402">
      <c r="A3402" s="39">
        <f>_xlfn.XLOOKUP(17847,Trip[shape_id],Trip[shape_id],"Não encontrado")</f>
        <v/>
      </c>
      <c r="B3402" s="40" t="n">
        <v>-23.324488</v>
      </c>
      <c r="C3402" s="40" t="n">
        <v>-46.723991</v>
      </c>
      <c r="D3402" s="40" t="n">
        <v>230</v>
      </c>
      <c r="E3402" s="41" t="n">
        <v>27316.924</v>
      </c>
    </row>
    <row r="3403">
      <c r="A3403" s="42">
        <f>_xlfn.XLOOKUP(17847,Trip[shape_id],Trip[shape_id],"Não encontrado")</f>
        <v/>
      </c>
      <c r="B3403" s="43" t="n">
        <v>-23.325201</v>
      </c>
      <c r="C3403" s="43" t="n">
        <v>-46.724251</v>
      </c>
      <c r="D3403" s="43" t="n">
        <v>231</v>
      </c>
      <c r="E3403" s="44" t="n">
        <v>27400.244</v>
      </c>
    </row>
    <row r="3404">
      <c r="A3404" s="39">
        <f>_xlfn.XLOOKUP(17847,Trip[shape_id],Trip[shape_id],"Não encontrado")</f>
        <v/>
      </c>
      <c r="B3404" s="40" t="n">
        <v>-23.32625</v>
      </c>
      <c r="C3404" s="40" t="n">
        <v>-46.724648</v>
      </c>
      <c r="D3404" s="40" t="n">
        <v>232</v>
      </c>
      <c r="E3404" s="41" t="n">
        <v>27523.311</v>
      </c>
    </row>
    <row r="3405">
      <c r="A3405" s="42">
        <f>_xlfn.XLOOKUP(17847,Trip[shape_id],Trip[shape_id],"Não encontrado")</f>
        <v/>
      </c>
      <c r="B3405" s="43" t="n">
        <v>-23.327091</v>
      </c>
      <c r="C3405" s="43" t="n">
        <v>-46.725053</v>
      </c>
      <c r="D3405" s="43" t="n">
        <v>233</v>
      </c>
      <c r="E3405" s="44" t="n">
        <v>27625.246</v>
      </c>
    </row>
    <row r="3406">
      <c r="A3406" s="39">
        <f>_xlfn.XLOOKUP(17847,Trip[shape_id],Trip[shape_id],"Não encontrado")</f>
        <v/>
      </c>
      <c r="B3406" s="40" t="n">
        <v>-23.328238</v>
      </c>
      <c r="C3406" s="40" t="n">
        <v>-46.725564</v>
      </c>
      <c r="D3406" s="40" t="n">
        <v>234</v>
      </c>
      <c r="E3406" s="41" t="n">
        <v>27762.605</v>
      </c>
    </row>
    <row r="3407">
      <c r="A3407" s="42">
        <f>_xlfn.XLOOKUP(17847,Trip[shape_id],Trip[shape_id],"Não encontrado")</f>
        <v/>
      </c>
      <c r="B3407" s="43" t="n">
        <v>-23.328394</v>
      </c>
      <c r="C3407" s="43" t="n">
        <v>-46.725649</v>
      </c>
      <c r="D3407" s="43" t="n">
        <v>235</v>
      </c>
      <c r="E3407" s="44" t="n">
        <v>27781.945</v>
      </c>
    </row>
    <row r="3408">
      <c r="A3408" s="39">
        <f>_xlfn.XLOOKUP(17847,Trip[shape_id],Trip[shape_id],"Não encontrado")</f>
        <v/>
      </c>
      <c r="B3408" s="40" t="n">
        <v>-23.32955</v>
      </c>
      <c r="C3408" s="40" t="n">
        <v>-46.726277</v>
      </c>
      <c r="D3408" s="40" t="n">
        <v>236</v>
      </c>
      <c r="E3408" s="41" t="n">
        <v>27925.178</v>
      </c>
    </row>
    <row r="3409">
      <c r="A3409" s="42">
        <f>_xlfn.XLOOKUP(17847,Trip[shape_id],Trip[shape_id],"Não encontrado")</f>
        <v/>
      </c>
      <c r="B3409" s="43" t="n">
        <v>-23.330466</v>
      </c>
      <c r="C3409" s="43" t="n">
        <v>-46.726765</v>
      </c>
      <c r="D3409" s="43" t="n">
        <v>237</v>
      </c>
      <c r="E3409" s="44" t="n">
        <v>28038.236</v>
      </c>
    </row>
    <row r="3410">
      <c r="A3410" s="39">
        <f>_xlfn.XLOOKUP(17847,Trip[shape_id],Trip[shape_id],"Não encontrado")</f>
        <v/>
      </c>
      <c r="B3410" s="40" t="n">
        <v>-23.330719</v>
      </c>
      <c r="C3410" s="40" t="n">
        <v>-46.726906</v>
      </c>
      <c r="D3410" s="40" t="n">
        <v>238</v>
      </c>
      <c r="E3410" s="41" t="n">
        <v>28069.748</v>
      </c>
    </row>
    <row r="3411">
      <c r="A3411" s="42">
        <f>_xlfn.XLOOKUP(17847,Trip[shape_id],Trip[shape_id],"Não encontrado")</f>
        <v/>
      </c>
      <c r="B3411" s="43" t="n">
        <v>-23.331134</v>
      </c>
      <c r="C3411" s="43" t="n">
        <v>-46.727191</v>
      </c>
      <c r="D3411" s="43" t="n">
        <v>239</v>
      </c>
      <c r="E3411" s="44" t="n">
        <v>28124.172</v>
      </c>
    </row>
    <row r="3412">
      <c r="A3412" s="39">
        <f>_xlfn.XLOOKUP(17847,Trip[shape_id],Trip[shape_id],"Não encontrado")</f>
        <v/>
      </c>
      <c r="B3412" s="40" t="n">
        <v>-23.331788</v>
      </c>
      <c r="C3412" s="40" t="n">
        <v>-46.727645</v>
      </c>
      <c r="D3412" s="40" t="n">
        <v>240</v>
      </c>
      <c r="E3412" s="41" t="n">
        <v>28210.205</v>
      </c>
    </row>
    <row r="3413">
      <c r="A3413" s="42">
        <f>_xlfn.XLOOKUP(17847,Trip[shape_id],Trip[shape_id],"Não encontrado")</f>
        <v/>
      </c>
      <c r="B3413" s="43" t="n">
        <v>-23.33188</v>
      </c>
      <c r="C3413" s="43" t="n">
        <v>-46.727708</v>
      </c>
      <c r="D3413" s="43" t="n">
        <v>241</v>
      </c>
      <c r="E3413" s="44" t="n">
        <v>28222.26</v>
      </c>
    </row>
    <row r="3414">
      <c r="A3414" s="39">
        <f>_xlfn.XLOOKUP(17847,Trip[shape_id],Trip[shape_id],"Não encontrado")</f>
        <v/>
      </c>
      <c r="B3414" s="40" t="n">
        <v>-23.332292</v>
      </c>
      <c r="C3414" s="40" t="n">
        <v>-46.728123</v>
      </c>
      <c r="D3414" s="40" t="n">
        <v>242</v>
      </c>
      <c r="E3414" s="41" t="n">
        <v>28284.576</v>
      </c>
    </row>
    <row r="3415">
      <c r="A3415" s="42">
        <f>_xlfn.XLOOKUP(17847,Trip[shape_id],Trip[shape_id],"Não encontrado")</f>
        <v/>
      </c>
      <c r="B3415" s="43" t="n">
        <v>-23.33291</v>
      </c>
      <c r="C3415" s="43" t="n">
        <v>-46.729142</v>
      </c>
      <c r="D3415" s="43" t="n">
        <v>243</v>
      </c>
      <c r="E3415" s="44" t="n">
        <v>28409.254</v>
      </c>
    </row>
    <row r="3416">
      <c r="A3416" s="39">
        <f>_xlfn.XLOOKUP(17847,Trip[shape_id],Trip[shape_id],"Não encontrado")</f>
        <v/>
      </c>
      <c r="B3416" s="40" t="n">
        <v>-23.333281</v>
      </c>
      <c r="C3416" s="40" t="n">
        <v>-46.730052</v>
      </c>
      <c r="D3416" s="40" t="n">
        <v>244</v>
      </c>
      <c r="E3416" s="41" t="n">
        <v>28510.986</v>
      </c>
    </row>
    <row r="3417">
      <c r="A3417" s="42">
        <f>_xlfn.XLOOKUP(17847,Trip[shape_id],Trip[shape_id],"Não encontrado")</f>
        <v/>
      </c>
      <c r="B3417" s="43" t="n">
        <v>-23.333542</v>
      </c>
      <c r="C3417" s="43" t="n">
        <v>-46.730627</v>
      </c>
      <c r="D3417" s="43" t="n">
        <v>245</v>
      </c>
      <c r="E3417" s="44" t="n">
        <v>28576.512</v>
      </c>
    </row>
    <row r="3418">
      <c r="A3418" s="39">
        <f>_xlfn.XLOOKUP(17847,Trip[shape_id],Trip[shape_id],"Não encontrado")</f>
        <v/>
      </c>
      <c r="B3418" s="40" t="n">
        <v>-23.334107</v>
      </c>
      <c r="C3418" s="40" t="n">
        <v>-46.731818</v>
      </c>
      <c r="D3418" s="40" t="n">
        <v>246</v>
      </c>
      <c r="E3418" s="41" t="n">
        <v>28713.447</v>
      </c>
    </row>
    <row r="3419">
      <c r="A3419" s="42">
        <f>_xlfn.XLOOKUP(17847,Trip[shape_id],Trip[shape_id],"Não encontrado")</f>
        <v/>
      </c>
      <c r="B3419" s="43" t="n">
        <v>-23.334825</v>
      </c>
      <c r="C3419" s="43" t="n">
        <v>-46.73328</v>
      </c>
      <c r="D3419" s="43" t="n">
        <v>247</v>
      </c>
      <c r="E3419" s="44" t="n">
        <v>28882.793</v>
      </c>
    </row>
    <row r="3420">
      <c r="A3420" s="39">
        <f>_xlfn.XLOOKUP(17847,Trip[shape_id],Trip[shape_id],"Não encontrado")</f>
        <v/>
      </c>
      <c r="B3420" s="40" t="n">
        <v>-23.335448</v>
      </c>
      <c r="C3420" s="40" t="n">
        <v>-46.734125</v>
      </c>
      <c r="D3420" s="40" t="n">
        <v>248</v>
      </c>
      <c r="E3420" s="41" t="n">
        <v>28993.375</v>
      </c>
    </row>
    <row r="3421">
      <c r="A3421" s="42">
        <f>_xlfn.XLOOKUP(17847,Trip[shape_id],Trip[shape_id],"Não encontrado")</f>
        <v/>
      </c>
      <c r="B3421" s="43" t="n">
        <v>-23.335856</v>
      </c>
      <c r="C3421" s="43" t="n">
        <v>-46.734473</v>
      </c>
      <c r="D3421" s="43" t="n">
        <v>249</v>
      </c>
      <c r="E3421" s="44" t="n">
        <v>29050.893</v>
      </c>
    </row>
    <row r="3422">
      <c r="A3422" s="39">
        <f>_xlfn.XLOOKUP(17847,Trip[shape_id],Trip[shape_id],"Não encontrado")</f>
        <v/>
      </c>
      <c r="B3422" s="40" t="n">
        <v>-23.336802</v>
      </c>
      <c r="C3422" s="40" t="n">
        <v>-46.735107</v>
      </c>
      <c r="D3422" s="40" t="n">
        <v>250</v>
      </c>
      <c r="E3422" s="41" t="n">
        <v>29174.102</v>
      </c>
    </row>
    <row r="3423">
      <c r="A3423" s="42">
        <f>_xlfn.XLOOKUP(17847,Trip[shape_id],Trip[shape_id],"Não encontrado")</f>
        <v/>
      </c>
      <c r="B3423" s="43" t="n">
        <v>-23.338553</v>
      </c>
      <c r="C3423" s="43" t="n">
        <v>-46.736178</v>
      </c>
      <c r="D3423" s="43" t="n">
        <v>251</v>
      </c>
      <c r="E3423" s="44" t="n">
        <v>29396.816</v>
      </c>
    </row>
    <row r="3424">
      <c r="A3424" s="39">
        <f>_xlfn.XLOOKUP(17847,Trip[shape_id],Trip[shape_id],"Não encontrado")</f>
        <v/>
      </c>
      <c r="B3424" s="40" t="n">
        <v>-23.339222</v>
      </c>
      <c r="C3424" s="40" t="n">
        <v>-46.736563</v>
      </c>
      <c r="D3424" s="40" t="n">
        <v>252</v>
      </c>
      <c r="E3424" s="41" t="n">
        <v>29480.719</v>
      </c>
    </row>
    <row r="3425">
      <c r="A3425" s="42">
        <f>_xlfn.XLOOKUP(17847,Trip[shape_id],Trip[shape_id],"Não encontrado")</f>
        <v/>
      </c>
      <c r="B3425" s="43" t="n">
        <v>-23.340318</v>
      </c>
      <c r="C3425" s="43" t="n">
        <v>-46.737205</v>
      </c>
      <c r="D3425" s="43" t="n">
        <v>253</v>
      </c>
      <c r="E3425" s="44" t="n">
        <v>29618.717</v>
      </c>
    </row>
    <row r="3426">
      <c r="A3426" s="39">
        <f>_xlfn.XLOOKUP(17847,Trip[shape_id],Trip[shape_id],"Não encontrado")</f>
        <v/>
      </c>
      <c r="B3426" s="40" t="n">
        <v>-23.341162</v>
      </c>
      <c r="C3426" s="40" t="n">
        <v>-46.737693</v>
      </c>
      <c r="D3426" s="40" t="n">
        <v>254</v>
      </c>
      <c r="E3426" s="41" t="n">
        <v>29724.676</v>
      </c>
    </row>
    <row r="3427">
      <c r="A3427" s="42">
        <f>_xlfn.XLOOKUP(17847,Trip[shape_id],Trip[shape_id],"Não encontrado")</f>
        <v/>
      </c>
      <c r="B3427" s="43" t="n">
        <v>-23.341726</v>
      </c>
      <c r="C3427" s="43" t="n">
        <v>-46.737942</v>
      </c>
      <c r="D3427" s="43" t="n">
        <v>255</v>
      </c>
      <c r="E3427" s="44" t="n">
        <v>29792.129</v>
      </c>
    </row>
    <row r="3428">
      <c r="A3428" s="39">
        <f>_xlfn.XLOOKUP(17847,Trip[shape_id],Trip[shape_id],"Não encontrado")</f>
        <v/>
      </c>
      <c r="B3428" s="40" t="n">
        <v>-23.342279</v>
      </c>
      <c r="C3428" s="40" t="n">
        <v>-46.738031</v>
      </c>
      <c r="D3428" s="40" t="n">
        <v>256</v>
      </c>
      <c r="E3428" s="41" t="n">
        <v>29854.045</v>
      </c>
    </row>
    <row r="3429">
      <c r="A3429" s="42">
        <f>_xlfn.XLOOKUP(17847,Trip[shape_id],Trip[shape_id],"Não encontrado")</f>
        <v/>
      </c>
      <c r="B3429" s="43" t="n">
        <v>-23.343437</v>
      </c>
      <c r="C3429" s="43" t="n">
        <v>-46.738292</v>
      </c>
      <c r="D3429" s="43" t="n">
        <v>257</v>
      </c>
      <c r="E3429" s="44" t="n">
        <v>29985.039</v>
      </c>
    </row>
    <row r="3430">
      <c r="A3430" s="39">
        <f>_xlfn.XLOOKUP(17847,Trip[shape_id],Trip[shape_id],"Não encontrado")</f>
        <v/>
      </c>
      <c r="B3430" s="40" t="n">
        <v>-23.344038</v>
      </c>
      <c r="C3430" s="40" t="n">
        <v>-46.738387</v>
      </c>
      <c r="D3430" s="40" t="n">
        <v>258</v>
      </c>
      <c r="E3430" s="41" t="n">
        <v>30052.305</v>
      </c>
    </row>
    <row r="3431">
      <c r="A3431" s="42">
        <f>_xlfn.XLOOKUP(17847,Trip[shape_id],Trip[shape_id],"Não encontrado")</f>
        <v/>
      </c>
      <c r="B3431" s="43" t="n">
        <v>-23.344328</v>
      </c>
      <c r="C3431" s="43" t="n">
        <v>-46.738468</v>
      </c>
      <c r="D3431" s="43" t="n">
        <v>259</v>
      </c>
      <c r="E3431" s="44" t="n">
        <v>30085.473</v>
      </c>
    </row>
    <row r="3432">
      <c r="A3432" s="39">
        <f>_xlfn.XLOOKUP(17847,Trip[shape_id],Trip[shape_id],"Não encontrado")</f>
        <v/>
      </c>
      <c r="B3432" s="40" t="n">
        <v>-23.344642</v>
      </c>
      <c r="C3432" s="40" t="n">
        <v>-46.738557</v>
      </c>
      <c r="D3432" s="40" t="n">
        <v>260</v>
      </c>
      <c r="E3432" s="41" t="n">
        <v>30121.418</v>
      </c>
    </row>
    <row r="3433">
      <c r="A3433" s="42">
        <f>_xlfn.XLOOKUP(17847,Trip[shape_id],Trip[shape_id],"Não encontrado")</f>
        <v/>
      </c>
      <c r="B3433" s="43" t="n">
        <v>-23.345948</v>
      </c>
      <c r="C3433" s="43" t="n">
        <v>-46.738992</v>
      </c>
      <c r="D3433" s="43" t="n">
        <v>261</v>
      </c>
      <c r="E3433" s="44" t="n">
        <v>30272.742</v>
      </c>
    </row>
    <row r="3434">
      <c r="A3434" s="39">
        <f>_xlfn.XLOOKUP(17847,Trip[shape_id],Trip[shape_id],"Não encontrado")</f>
        <v/>
      </c>
      <c r="B3434" s="40" t="n">
        <v>-23.346661</v>
      </c>
      <c r="C3434" s="40" t="n">
        <v>-46.739207</v>
      </c>
      <c r="D3434" s="40" t="n">
        <v>262</v>
      </c>
      <c r="E3434" s="41" t="n">
        <v>30354.709</v>
      </c>
    </row>
    <row r="3435">
      <c r="A3435" s="42">
        <f>_xlfn.XLOOKUP(17847,Trip[shape_id],Trip[shape_id],"Não encontrado")</f>
        <v/>
      </c>
      <c r="B3435" s="43" t="n">
        <v>-23.347461</v>
      </c>
      <c r="C3435" s="43" t="n">
        <v>-46.739548</v>
      </c>
      <c r="D3435" s="43" t="n">
        <v>263</v>
      </c>
      <c r="E3435" s="44" t="n">
        <v>30449.924</v>
      </c>
    </row>
    <row r="3436">
      <c r="A3436" s="39">
        <f>_xlfn.XLOOKUP(17847,Trip[shape_id],Trip[shape_id],"Não encontrado")</f>
        <v/>
      </c>
      <c r="B3436" s="40" t="n">
        <v>-23.34804</v>
      </c>
      <c r="C3436" s="40" t="n">
        <v>-46.739709</v>
      </c>
      <c r="D3436" s="40" t="n">
        <v>264</v>
      </c>
      <c r="E3436" s="41" t="n">
        <v>30516.127</v>
      </c>
    </row>
    <row r="3437">
      <c r="A3437" s="42">
        <f>_xlfn.XLOOKUP(17847,Trip[shape_id],Trip[shape_id],"Não encontrado")</f>
        <v/>
      </c>
      <c r="B3437" s="43" t="n">
        <v>-23.348655</v>
      </c>
      <c r="C3437" s="43" t="n">
        <v>-46.739885</v>
      </c>
      <c r="D3437" s="43" t="n">
        <v>265</v>
      </c>
      <c r="E3437" s="44" t="n">
        <v>30586.576</v>
      </c>
    </row>
    <row r="3438">
      <c r="A3438" s="39">
        <f>_xlfn.XLOOKUP(17847,Trip[shape_id],Trip[shape_id],"Não encontrado")</f>
        <v/>
      </c>
      <c r="B3438" s="40" t="n">
        <v>-23.350287</v>
      </c>
      <c r="C3438" s="40" t="n">
        <v>-46.740458</v>
      </c>
      <c r="D3438" s="40" t="n">
        <v>266</v>
      </c>
      <c r="E3438" s="41" t="n">
        <v>30776.578</v>
      </c>
    </row>
    <row r="3439">
      <c r="A3439" s="42">
        <f>_xlfn.XLOOKUP(17847,Trip[shape_id],Trip[shape_id],"Não encontrado")</f>
        <v/>
      </c>
      <c r="B3439" s="43" t="n">
        <v>-23.35259</v>
      </c>
      <c r="C3439" s="43" t="n">
        <v>-46.741214</v>
      </c>
      <c r="D3439" s="43" t="n">
        <v>267</v>
      </c>
      <c r="E3439" s="44" t="n">
        <v>31043.09</v>
      </c>
    </row>
    <row r="3440">
      <c r="A3440" s="39">
        <f>_xlfn.XLOOKUP(17847,Trip[shape_id],Trip[shape_id],"Não encontrado")</f>
        <v/>
      </c>
      <c r="B3440" s="40" t="n">
        <v>-23.353779</v>
      </c>
      <c r="C3440" s="40" t="n">
        <v>-46.741692</v>
      </c>
      <c r="D3440" s="40" t="n">
        <v>268</v>
      </c>
      <c r="E3440" s="41" t="n">
        <v>31183.549</v>
      </c>
    </row>
    <row r="3441">
      <c r="A3441" s="42">
        <f>_xlfn.XLOOKUP(17847,Trip[shape_id],Trip[shape_id],"Não encontrado")</f>
        <v/>
      </c>
      <c r="B3441" s="43" t="n">
        <v>-23.354592</v>
      </c>
      <c r="C3441" s="43" t="n">
        <v>-46.742053</v>
      </c>
      <c r="D3441" s="43" t="n">
        <v>269</v>
      </c>
      <c r="E3441" s="44" t="n">
        <v>31280.861</v>
      </c>
    </row>
    <row r="3442">
      <c r="A3442" s="39">
        <f>_xlfn.XLOOKUP(17847,Trip[shape_id],Trip[shape_id],"Não encontrado")</f>
        <v/>
      </c>
      <c r="B3442" s="40" t="n">
        <v>-23.355653</v>
      </c>
      <c r="C3442" s="40" t="n">
        <v>-46.742506</v>
      </c>
      <c r="D3442" s="40" t="n">
        <v>270</v>
      </c>
      <c r="E3442" s="41" t="n">
        <v>31407.166</v>
      </c>
    </row>
    <row r="3443">
      <c r="A3443" s="42">
        <f>_xlfn.XLOOKUP(17847,Trip[shape_id],Trip[shape_id],"Não encontrado")</f>
        <v/>
      </c>
      <c r="B3443" s="43" t="n">
        <v>-23.356803</v>
      </c>
      <c r="C3443" s="43" t="n">
        <v>-46.742991</v>
      </c>
      <c r="D3443" s="43" t="n">
        <v>271</v>
      </c>
      <c r="E3443" s="44" t="n">
        <v>31543.842</v>
      </c>
    </row>
    <row r="3444">
      <c r="A3444" s="39">
        <f>_xlfn.XLOOKUP(17847,Trip[shape_id],Trip[shape_id],"Não encontrado")</f>
        <v/>
      </c>
      <c r="B3444" s="40" t="n">
        <v>-23.357688</v>
      </c>
      <c r="C3444" s="40" t="n">
        <v>-46.743433</v>
      </c>
      <c r="D3444" s="40" t="n">
        <v>272</v>
      </c>
      <c r="E3444" s="41" t="n">
        <v>31651.773</v>
      </c>
    </row>
    <row r="3445">
      <c r="A3445" s="42">
        <f>_xlfn.XLOOKUP(17847,Trip[shape_id],Trip[shape_id],"Não encontrado")</f>
        <v/>
      </c>
      <c r="B3445" s="43" t="n">
        <v>-23.358315</v>
      </c>
      <c r="C3445" s="43" t="n">
        <v>-46.743776</v>
      </c>
      <c r="D3445" s="43" t="n">
        <v>273</v>
      </c>
      <c r="E3445" s="44" t="n">
        <v>31729.566</v>
      </c>
    </row>
    <row r="3446">
      <c r="A3446" s="39">
        <f>_xlfn.XLOOKUP(17847,Trip[shape_id],Trip[shape_id],"Não encontrado")</f>
        <v/>
      </c>
      <c r="B3446" s="40" t="n">
        <v>-23.358942</v>
      </c>
      <c r="C3446" s="40" t="n">
        <v>-46.74429</v>
      </c>
      <c r="D3446" s="40" t="n">
        <v>274</v>
      </c>
      <c r="E3446" s="41" t="n">
        <v>31816.652</v>
      </c>
    </row>
    <row r="3447">
      <c r="A3447" s="42">
        <f>_xlfn.XLOOKUP(17847,Trip[shape_id],Trip[shape_id],"Não encontrado")</f>
        <v/>
      </c>
      <c r="B3447" s="43" t="n">
        <v>-23.359101</v>
      </c>
      <c r="C3447" s="43" t="n">
        <v>-46.744445</v>
      </c>
      <c r="D3447" s="43" t="n">
        <v>275</v>
      </c>
      <c r="E3447" s="44" t="n">
        <v>31840.344</v>
      </c>
    </row>
    <row r="3448">
      <c r="A3448" s="39">
        <f>_xlfn.XLOOKUP(17847,Trip[shape_id],Trip[shape_id],"Não encontrado")</f>
        <v/>
      </c>
      <c r="B3448" s="40" t="n">
        <v>-23.359259</v>
      </c>
      <c r="C3448" s="40" t="n">
        <v>-46.744606</v>
      </c>
      <c r="D3448" s="40" t="n">
        <v>276</v>
      </c>
      <c r="E3448" s="41" t="n">
        <v>31864.369</v>
      </c>
    </row>
    <row r="3449">
      <c r="A3449" s="42">
        <f>_xlfn.XLOOKUP(17847,Trip[shape_id],Trip[shape_id],"Não encontrado")</f>
        <v/>
      </c>
      <c r="B3449" s="43" t="n">
        <v>-23.359791</v>
      </c>
      <c r="C3449" s="43" t="n">
        <v>-46.745428</v>
      </c>
      <c r="D3449" s="43" t="n">
        <v>277</v>
      </c>
      <c r="E3449" s="44" t="n">
        <v>31967.012</v>
      </c>
    </row>
    <row r="3450">
      <c r="A3450" s="39">
        <f>_xlfn.XLOOKUP(17847,Trip[shape_id],Trip[shape_id],"Não encontrado")</f>
        <v/>
      </c>
      <c r="B3450" s="40" t="n">
        <v>-23.360189</v>
      </c>
      <c r="C3450" s="40" t="n">
        <v>-46.746049</v>
      </c>
      <c r="D3450" s="40" t="n">
        <v>278</v>
      </c>
      <c r="E3450" s="41" t="n">
        <v>32044.309</v>
      </c>
    </row>
    <row r="3451">
      <c r="A3451" s="42">
        <f>_xlfn.XLOOKUP(17847,Trip[shape_id],Trip[shape_id],"Não encontrado")</f>
        <v/>
      </c>
      <c r="B3451" s="43" t="n">
        <v>-23.360699</v>
      </c>
      <c r="C3451" s="43" t="n">
        <v>-46.746729</v>
      </c>
      <c r="D3451" s="43" t="n">
        <v>279</v>
      </c>
      <c r="E3451" s="44" t="n">
        <v>32133.889</v>
      </c>
    </row>
    <row r="3452">
      <c r="A3452" s="39">
        <f>_xlfn.XLOOKUP(17847,Trip[shape_id],Trip[shape_id],"Não encontrado")</f>
        <v/>
      </c>
      <c r="B3452" s="40" t="n">
        <v>-23.360936</v>
      </c>
      <c r="C3452" s="40" t="n">
        <v>-46.747003</v>
      </c>
      <c r="D3452" s="40" t="n">
        <v>280</v>
      </c>
      <c r="E3452" s="41" t="n">
        <v>32172.279</v>
      </c>
    </row>
    <row r="3453">
      <c r="A3453" s="42">
        <f>_xlfn.XLOOKUP(17847,Trip[shape_id],Trip[shape_id],"Não encontrado")</f>
        <v/>
      </c>
      <c r="B3453" s="43" t="n">
        <v>-23.361298</v>
      </c>
      <c r="C3453" s="43" t="n">
        <v>-46.747358</v>
      </c>
      <c r="D3453" s="43" t="n">
        <v>281</v>
      </c>
      <c r="E3453" s="44" t="n">
        <v>32226.361</v>
      </c>
    </row>
    <row r="3454">
      <c r="A3454" s="39">
        <f>_xlfn.XLOOKUP(17847,Trip[shape_id],Trip[shape_id],"Não encontrado")</f>
        <v/>
      </c>
      <c r="B3454" s="40" t="n">
        <v>-23.361994</v>
      </c>
      <c r="C3454" s="40" t="n">
        <v>-46.747798</v>
      </c>
      <c r="D3454" s="40" t="n">
        <v>282</v>
      </c>
      <c r="E3454" s="41" t="n">
        <v>32315.611</v>
      </c>
    </row>
    <row r="3455">
      <c r="A3455" s="42">
        <f>_xlfn.XLOOKUP(17847,Trip[shape_id],Trip[shape_id],"Não encontrado")</f>
        <v/>
      </c>
      <c r="B3455" s="43" t="n">
        <v>-23.362414</v>
      </c>
      <c r="C3455" s="43" t="n">
        <v>-46.748045</v>
      </c>
      <c r="D3455" s="43" t="n">
        <v>283</v>
      </c>
      <c r="E3455" s="44" t="n">
        <v>32368.539</v>
      </c>
    </row>
    <row r="3456">
      <c r="A3456" s="39">
        <f>_xlfn.XLOOKUP(17847,Trip[shape_id],Trip[shape_id],"Não encontrado")</f>
        <v/>
      </c>
      <c r="B3456" s="40" t="n">
        <v>-23.362938</v>
      </c>
      <c r="C3456" s="40" t="n">
        <v>-46.748312</v>
      </c>
      <c r="D3456" s="40" t="n">
        <v>284</v>
      </c>
      <c r="E3456" s="41" t="n">
        <v>32432.672</v>
      </c>
    </row>
    <row r="3457">
      <c r="A3457" s="42">
        <f>_xlfn.XLOOKUP(17847,Trip[shape_id],Trip[shape_id],"Não encontrado")</f>
        <v/>
      </c>
      <c r="B3457" s="43" t="n">
        <v>-23.363419</v>
      </c>
      <c r="C3457" s="43" t="n">
        <v>-46.748661</v>
      </c>
      <c r="D3457" s="43" t="n">
        <v>285</v>
      </c>
      <c r="E3457" s="44" t="n">
        <v>32496.789</v>
      </c>
    </row>
    <row r="3458">
      <c r="A3458" s="39">
        <f>_xlfn.XLOOKUP(17847,Trip[shape_id],Trip[shape_id],"Não encontrado")</f>
        <v/>
      </c>
      <c r="B3458" s="40" t="n">
        <v>-23.363843</v>
      </c>
      <c r="C3458" s="40" t="n">
        <v>-46.748979</v>
      </c>
      <c r="D3458" s="40" t="n">
        <v>286</v>
      </c>
      <c r="E3458" s="41" t="n">
        <v>32553.904</v>
      </c>
    </row>
    <row r="3459">
      <c r="A3459" s="42">
        <f>_xlfn.XLOOKUP(17847,Trip[shape_id],Trip[shape_id],"Não encontrado")</f>
        <v/>
      </c>
      <c r="B3459" s="43" t="n">
        <v>-23.364207</v>
      </c>
      <c r="C3459" s="43" t="n">
        <v>-46.749293</v>
      </c>
      <c r="D3459" s="43" t="n">
        <v>287</v>
      </c>
      <c r="E3459" s="44" t="n">
        <v>32605.439</v>
      </c>
    </row>
    <row r="3460">
      <c r="A3460" s="39">
        <f>_xlfn.XLOOKUP(17847,Trip[shape_id],Trip[shape_id],"Não encontrado")</f>
        <v/>
      </c>
      <c r="B3460" s="40" t="n">
        <v>-23.364611</v>
      </c>
      <c r="C3460" s="40" t="n">
        <v>-46.749806</v>
      </c>
      <c r="D3460" s="40" t="n">
        <v>288</v>
      </c>
      <c r="E3460" s="41" t="n">
        <v>32674.383</v>
      </c>
    </row>
    <row r="3461">
      <c r="A3461" s="42">
        <f>_xlfn.XLOOKUP(17847,Trip[shape_id],Trip[shape_id],"Não encontrado")</f>
        <v/>
      </c>
      <c r="B3461" s="43" t="n">
        <v>-23.364876</v>
      </c>
      <c r="C3461" s="43" t="n">
        <v>-46.750127</v>
      </c>
      <c r="D3461" s="43" t="n">
        <v>289</v>
      </c>
      <c r="E3461" s="44" t="n">
        <v>32718.412</v>
      </c>
    </row>
    <row r="3462">
      <c r="A3462" s="39">
        <f>_xlfn.XLOOKUP(17847,Trip[shape_id],Trip[shape_id],"Não encontrado")</f>
        <v/>
      </c>
      <c r="B3462" s="40" t="n">
        <v>-23.365825</v>
      </c>
      <c r="C3462" s="40" t="n">
        <v>-46.751281</v>
      </c>
      <c r="D3462" s="40" t="n">
        <v>290</v>
      </c>
      <c r="E3462" s="41" t="n">
        <v>32876.426</v>
      </c>
    </row>
    <row r="3463">
      <c r="A3463" s="42">
        <f>_xlfn.XLOOKUP(17847,Trip[shape_id],Trip[shape_id],"Não encontrado")</f>
        <v/>
      </c>
      <c r="B3463" s="43" t="n">
        <v>-23.366187</v>
      </c>
      <c r="C3463" s="43" t="n">
        <v>-46.751706</v>
      </c>
      <c r="D3463" s="43" t="n">
        <v>291</v>
      </c>
      <c r="E3463" s="44" t="n">
        <v>32935.547</v>
      </c>
    </row>
    <row r="3464">
      <c r="A3464" s="39">
        <f>_xlfn.XLOOKUP(17847,Trip[shape_id],Trip[shape_id],"Não encontrado")</f>
        <v/>
      </c>
      <c r="B3464" s="40" t="n">
        <v>-23.366616</v>
      </c>
      <c r="C3464" s="40" t="n">
        <v>-46.752209</v>
      </c>
      <c r="D3464" s="40" t="n">
        <v>292</v>
      </c>
      <c r="E3464" s="41" t="n">
        <v>33005.563</v>
      </c>
    </row>
    <row r="3465">
      <c r="A3465" s="42">
        <f>_xlfn.XLOOKUP(17847,Trip[shape_id],Trip[shape_id],"Não encontrado")</f>
        <v/>
      </c>
      <c r="B3465" s="43" t="n">
        <v>-23.367682</v>
      </c>
      <c r="C3465" s="43" t="n">
        <v>-46.753271</v>
      </c>
      <c r="D3465" s="43" t="n">
        <v>293</v>
      </c>
      <c r="E3465" s="44" t="n">
        <v>33165.961</v>
      </c>
    </row>
    <row r="3466">
      <c r="A3466" s="39">
        <f>_xlfn.XLOOKUP(17847,Trip[shape_id],Trip[shape_id],"Não encontrado")</f>
        <v/>
      </c>
      <c r="B3466" s="40" t="n">
        <v>-23.368192</v>
      </c>
      <c r="C3466" s="40" t="n">
        <v>-46.753801</v>
      </c>
      <c r="D3466" s="40" t="n">
        <v>294</v>
      </c>
      <c r="E3466" s="41" t="n">
        <v>33244.234</v>
      </c>
    </row>
    <row r="3467">
      <c r="A3467" s="42">
        <f>_xlfn.XLOOKUP(17847,Trip[shape_id],Trip[shape_id],"Não encontrado")</f>
        <v/>
      </c>
      <c r="B3467" s="43" t="n">
        <v>-23.368521</v>
      </c>
      <c r="C3467" s="43" t="n">
        <v>-46.754132</v>
      </c>
      <c r="D3467" s="43" t="n">
        <v>295</v>
      </c>
      <c r="E3467" s="44" t="n">
        <v>33293.961</v>
      </c>
    </row>
    <row r="3468">
      <c r="A3468" s="39">
        <f>_xlfn.XLOOKUP(17847,Trip[shape_id],Trip[shape_id],"Não encontrado")</f>
        <v/>
      </c>
      <c r="B3468" s="40" t="n">
        <v>-23.368969</v>
      </c>
      <c r="C3468" s="40" t="n">
        <v>-46.754528</v>
      </c>
      <c r="D3468" s="40" t="n">
        <v>296</v>
      </c>
      <c r="E3468" s="41" t="n">
        <v>33358</v>
      </c>
    </row>
    <row r="3469">
      <c r="A3469" s="42">
        <f>_xlfn.XLOOKUP(17847,Trip[shape_id],Trip[shape_id],"Não encontrado")</f>
        <v/>
      </c>
      <c r="B3469" s="43" t="n">
        <v>-23.369353</v>
      </c>
      <c r="C3469" s="43" t="n">
        <v>-46.754819</v>
      </c>
      <c r="D3469" s="43" t="n">
        <v>297</v>
      </c>
      <c r="E3469" s="44" t="n">
        <v>33409.902</v>
      </c>
    </row>
    <row r="3470">
      <c r="A3470" s="39">
        <f>_xlfn.XLOOKUP(17847,Trip[shape_id],Trip[shape_id],"Não encontrado")</f>
        <v/>
      </c>
      <c r="B3470" s="40" t="n">
        <v>-23.369821</v>
      </c>
      <c r="C3470" s="40" t="n">
        <v>-46.755095</v>
      </c>
      <c r="D3470" s="40" t="n">
        <v>298</v>
      </c>
      <c r="E3470" s="41" t="n">
        <v>33468.918</v>
      </c>
    </row>
    <row r="3471">
      <c r="A3471" s="42">
        <f>_xlfn.XLOOKUP(17847,Trip[shape_id],Trip[shape_id],"Não encontrado")</f>
        <v/>
      </c>
      <c r="B3471" s="43" t="n">
        <v>-23.370408</v>
      </c>
      <c r="C3471" s="43" t="n">
        <v>-46.75538</v>
      </c>
      <c r="D3471" s="43" t="n">
        <v>299</v>
      </c>
      <c r="E3471" s="44" t="n">
        <v>33540.16</v>
      </c>
    </row>
    <row r="3472">
      <c r="A3472" s="39">
        <f>_xlfn.XLOOKUP(17847,Trip[shape_id],Trip[shape_id],"Não encontrado")</f>
        <v/>
      </c>
      <c r="B3472" s="40" t="n">
        <v>-23.371303</v>
      </c>
      <c r="C3472" s="40" t="n">
        <v>-46.75571</v>
      </c>
      <c r="D3472" s="40" t="n">
        <v>300</v>
      </c>
      <c r="E3472" s="41" t="n">
        <v>33644.867</v>
      </c>
    </row>
    <row r="3473">
      <c r="A3473" s="42">
        <f>_xlfn.XLOOKUP(17847,Trip[shape_id],Trip[shape_id],"Não encontrado")</f>
        <v/>
      </c>
      <c r="B3473" s="43" t="n">
        <v>-23.372052</v>
      </c>
      <c r="C3473" s="43" t="n">
        <v>-46.755898</v>
      </c>
      <c r="D3473" s="43" t="n">
        <v>301</v>
      </c>
      <c r="E3473" s="44" t="n">
        <v>33730.016</v>
      </c>
    </row>
    <row r="3474">
      <c r="A3474" s="39">
        <f>_xlfn.XLOOKUP(17847,Trip[shape_id],Trip[shape_id],"Não encontrado")</f>
        <v/>
      </c>
      <c r="B3474" s="40" t="n">
        <v>-23.372975</v>
      </c>
      <c r="C3474" s="40" t="n">
        <v>-46.756018</v>
      </c>
      <c r="D3474" s="40" t="n">
        <v>302</v>
      </c>
      <c r="E3474" s="41" t="n">
        <v>33832.973</v>
      </c>
    </row>
    <row r="3475">
      <c r="A3475" s="42">
        <f>_xlfn.XLOOKUP(17847,Trip[shape_id],Trip[shape_id],"Não encontrado")</f>
        <v/>
      </c>
      <c r="B3475" s="43" t="n">
        <v>-23.373613</v>
      </c>
      <c r="C3475" s="43" t="n">
        <v>-46.755997</v>
      </c>
      <c r="D3475" s="43" t="n">
        <v>303</v>
      </c>
      <c r="E3475" s="44" t="n">
        <v>33903.664</v>
      </c>
    </row>
    <row r="3476">
      <c r="A3476" s="39">
        <f>_xlfn.XLOOKUP(17847,Trip[shape_id],Trip[shape_id],"Não encontrado")</f>
        <v/>
      </c>
      <c r="B3476" s="40" t="n">
        <v>-23.374507</v>
      </c>
      <c r="C3476" s="40" t="n">
        <v>-46.755796</v>
      </c>
      <c r="D3476" s="40" t="n">
        <v>304</v>
      </c>
      <c r="E3476" s="41" t="n">
        <v>34004.785</v>
      </c>
    </row>
    <row r="3477">
      <c r="A3477" s="42">
        <f>_xlfn.XLOOKUP(17847,Trip[shape_id],Trip[shape_id],"Não encontrado")</f>
        <v/>
      </c>
      <c r="B3477" s="43" t="n">
        <v>-23.374744</v>
      </c>
      <c r="C3477" s="43" t="n">
        <v>-46.755734</v>
      </c>
      <c r="D3477" s="43" t="n">
        <v>305</v>
      </c>
      <c r="E3477" s="44" t="n">
        <v>34031.789</v>
      </c>
    </row>
    <row r="3478">
      <c r="A3478" s="39">
        <f>_xlfn.XLOOKUP(17847,Trip[shape_id],Trip[shape_id],"Não encontrado")</f>
        <v/>
      </c>
      <c r="B3478" s="40" t="n">
        <v>-23.375223</v>
      </c>
      <c r="C3478" s="40" t="n">
        <v>-46.755604</v>
      </c>
      <c r="D3478" s="40" t="n">
        <v>306</v>
      </c>
      <c r="E3478" s="41" t="n">
        <v>34086.477</v>
      </c>
    </row>
    <row r="3479">
      <c r="A3479" s="42">
        <f>_xlfn.XLOOKUP(17847,Trip[shape_id],Trip[shape_id],"Não encontrado")</f>
        <v/>
      </c>
      <c r="B3479" s="43" t="n">
        <v>-23.376108</v>
      </c>
      <c r="C3479" s="43" t="n">
        <v>-46.755382</v>
      </c>
      <c r="D3479" s="43" t="n">
        <v>307</v>
      </c>
      <c r="E3479" s="44" t="n">
        <v>34187.082</v>
      </c>
    </row>
    <row r="3480">
      <c r="A3480" s="39">
        <f>_xlfn.XLOOKUP(17847,Trip[shape_id],Trip[shape_id],"Não encontrado")</f>
        <v/>
      </c>
      <c r="B3480" s="40" t="n">
        <v>-23.376994</v>
      </c>
      <c r="C3480" s="40" t="n">
        <v>-46.755331</v>
      </c>
      <c r="D3480" s="40" t="n">
        <v>308</v>
      </c>
      <c r="E3480" s="41" t="n">
        <v>34285.344</v>
      </c>
    </row>
    <row r="3481">
      <c r="A3481" s="42">
        <f>_xlfn.XLOOKUP(17847,Trip[shape_id],Trip[shape_id],"Não encontrado")</f>
        <v/>
      </c>
      <c r="B3481" s="43" t="n">
        <v>-23.377412</v>
      </c>
      <c r="C3481" s="43" t="n">
        <v>-46.755353</v>
      </c>
      <c r="D3481" s="43" t="n">
        <v>309</v>
      </c>
      <c r="E3481" s="44" t="n">
        <v>34331.691</v>
      </c>
    </row>
    <row r="3482">
      <c r="A3482" s="39">
        <f>_xlfn.XLOOKUP(17847,Trip[shape_id],Trip[shape_id],"Não encontrado")</f>
        <v/>
      </c>
      <c r="B3482" s="40" t="n">
        <v>-23.379057</v>
      </c>
      <c r="C3482" s="40" t="n">
        <v>-46.755452</v>
      </c>
      <c r="D3482" s="40" t="n">
        <v>310</v>
      </c>
      <c r="E3482" s="41" t="n">
        <v>34514.156</v>
      </c>
    </row>
    <row r="3483">
      <c r="A3483" s="42">
        <f>_xlfn.XLOOKUP(17847,Trip[shape_id],Trip[shape_id],"Não encontrado")</f>
        <v/>
      </c>
      <c r="B3483" s="43" t="n">
        <v>-23.379712</v>
      </c>
      <c r="C3483" s="43" t="n">
        <v>-46.755479</v>
      </c>
      <c r="D3483" s="43" t="n">
        <v>311</v>
      </c>
      <c r="E3483" s="44" t="n">
        <v>34586.75</v>
      </c>
    </row>
    <row r="3484">
      <c r="A3484" s="39">
        <f>_xlfn.XLOOKUP(17847,Trip[shape_id],Trip[shape_id],"Não encontrado")</f>
        <v/>
      </c>
      <c r="B3484" s="40" t="n">
        <v>-23.380305</v>
      </c>
      <c r="C3484" s="40" t="n">
        <v>-46.755504</v>
      </c>
      <c r="D3484" s="40" t="n">
        <v>312</v>
      </c>
      <c r="E3484" s="41" t="n">
        <v>34652.473</v>
      </c>
    </row>
    <row r="3485">
      <c r="A3485" s="42">
        <f>_xlfn.XLOOKUP(17847,Trip[shape_id],Trip[shape_id],"Não encontrado")</f>
        <v/>
      </c>
      <c r="B3485" s="43" t="n">
        <v>-23.381073</v>
      </c>
      <c r="C3485" s="43" t="n">
        <v>-46.755514</v>
      </c>
      <c r="D3485" s="43" t="n">
        <v>313</v>
      </c>
      <c r="E3485" s="44" t="n">
        <v>34737.535</v>
      </c>
    </row>
    <row r="3486">
      <c r="A3486" s="39">
        <f>_xlfn.XLOOKUP(17847,Trip[shape_id],Trip[shape_id],"Não encontrado")</f>
        <v/>
      </c>
      <c r="B3486" s="40" t="n">
        <v>-23.381435</v>
      </c>
      <c r="C3486" s="40" t="n">
        <v>-46.755523</v>
      </c>
      <c r="D3486" s="40" t="n">
        <v>314</v>
      </c>
      <c r="E3486" s="41" t="n">
        <v>34777.637</v>
      </c>
    </row>
    <row r="3487">
      <c r="A3487" s="42">
        <f>_xlfn.XLOOKUP(17847,Trip[shape_id],Trip[shape_id],"Não encontrado")</f>
        <v/>
      </c>
      <c r="B3487" s="43" t="n">
        <v>-23.382579</v>
      </c>
      <c r="C3487" s="43" t="n">
        <v>-46.755595</v>
      </c>
      <c r="D3487" s="43" t="n">
        <v>315</v>
      </c>
      <c r="E3487" s="44" t="n">
        <v>34904.547</v>
      </c>
    </row>
    <row r="3488">
      <c r="A3488" s="39">
        <f>_xlfn.XLOOKUP(17847,Trip[shape_id],Trip[shape_id],"Não encontrado")</f>
        <v/>
      </c>
      <c r="B3488" s="40" t="n">
        <v>-23.383679</v>
      </c>
      <c r="C3488" s="40" t="n">
        <v>-46.755498</v>
      </c>
      <c r="D3488" s="40" t="n">
        <v>316</v>
      </c>
      <c r="E3488" s="41" t="n">
        <v>35026.773</v>
      </c>
    </row>
    <row r="3489">
      <c r="A3489" s="42">
        <f>_xlfn.XLOOKUP(17847,Trip[shape_id],Trip[shape_id],"Não encontrado")</f>
        <v/>
      </c>
      <c r="B3489" s="43" t="n">
        <v>-23.38509</v>
      </c>
      <c r="C3489" s="43" t="n">
        <v>-46.755029</v>
      </c>
      <c r="D3489" s="43" t="n">
        <v>317</v>
      </c>
      <c r="E3489" s="44" t="n">
        <v>35190.23</v>
      </c>
    </row>
    <row r="3490">
      <c r="A3490" s="39">
        <f>_xlfn.XLOOKUP(17847,Trip[shape_id],Trip[shape_id],"Não encontrado")</f>
        <v/>
      </c>
      <c r="B3490" s="40" t="n">
        <v>-23.3857</v>
      </c>
      <c r="C3490" s="40" t="n">
        <v>-46.754877</v>
      </c>
      <c r="D3490" s="40" t="n">
        <v>318</v>
      </c>
      <c r="E3490" s="41" t="n">
        <v>35259.551</v>
      </c>
    </row>
    <row r="3491">
      <c r="A3491" s="42">
        <f>_xlfn.XLOOKUP(17847,Trip[shape_id],Trip[shape_id],"Não encontrado")</f>
        <v/>
      </c>
      <c r="B3491" s="43" t="n">
        <v>-23.385877</v>
      </c>
      <c r="C3491" s="43" t="n">
        <v>-46.754861</v>
      </c>
      <c r="D3491" s="43" t="n">
        <v>319</v>
      </c>
      <c r="E3491" s="44" t="n">
        <v>35279.223</v>
      </c>
    </row>
    <row r="3492">
      <c r="A3492" s="39">
        <f>_xlfn.XLOOKUP(17847,Trip[shape_id],Trip[shape_id],"Não encontrado")</f>
        <v/>
      </c>
      <c r="B3492" s="40" t="n">
        <v>-23.38634</v>
      </c>
      <c r="C3492" s="40" t="n">
        <v>-46.754846</v>
      </c>
      <c r="D3492" s="40" t="n">
        <v>320</v>
      </c>
      <c r="E3492" s="41" t="n">
        <v>35330.523</v>
      </c>
    </row>
    <row r="3493">
      <c r="A3493" s="42">
        <f>_xlfn.XLOOKUP(17847,Trip[shape_id],Trip[shape_id],"Não encontrado")</f>
        <v/>
      </c>
      <c r="B3493" s="43" t="n">
        <v>-23.386975</v>
      </c>
      <c r="C3493" s="43" t="n">
        <v>-46.754937</v>
      </c>
      <c r="D3493" s="43" t="n">
        <v>321</v>
      </c>
      <c r="E3493" s="44" t="n">
        <v>35401.461</v>
      </c>
    </row>
    <row r="3494">
      <c r="A3494" s="39">
        <f>_xlfn.XLOOKUP(17847,Trip[shape_id],Trip[shape_id],"Não encontrado")</f>
        <v/>
      </c>
      <c r="B3494" s="40" t="n">
        <v>-23.387493</v>
      </c>
      <c r="C3494" s="40" t="n">
        <v>-46.755121</v>
      </c>
      <c r="D3494" s="40" t="n">
        <v>322</v>
      </c>
      <c r="E3494" s="41" t="n">
        <v>35461.836</v>
      </c>
    </row>
    <row r="3495">
      <c r="A3495" s="42">
        <f>_xlfn.XLOOKUP(17847,Trip[shape_id],Trip[shape_id],"Não encontrado")</f>
        <v/>
      </c>
      <c r="B3495" s="43" t="n">
        <v>-23.387693</v>
      </c>
      <c r="C3495" s="43" t="n">
        <v>-46.755193</v>
      </c>
      <c r="D3495" s="43" t="n">
        <v>323</v>
      </c>
      <c r="E3495" s="44" t="n">
        <v>35485.176</v>
      </c>
    </row>
    <row r="3496">
      <c r="A3496" s="39">
        <f>_xlfn.XLOOKUP(17847,Trip[shape_id],Trip[shape_id],"Não encontrado")</f>
        <v/>
      </c>
      <c r="B3496" s="40" t="n">
        <v>-23.388573</v>
      </c>
      <c r="C3496" s="40" t="n">
        <v>-46.755844</v>
      </c>
      <c r="D3496" s="40" t="n">
        <v>324</v>
      </c>
      <c r="E3496" s="41" t="n">
        <v>35603.191</v>
      </c>
    </row>
    <row r="3497">
      <c r="A3497" s="42">
        <f>_xlfn.XLOOKUP(17847,Trip[shape_id],Trip[shape_id],"Não encontrado")</f>
        <v/>
      </c>
      <c r="B3497" s="43" t="n">
        <v>-23.388832</v>
      </c>
      <c r="C3497" s="43" t="n">
        <v>-46.756025</v>
      </c>
      <c r="D3497" s="43" t="n">
        <v>325</v>
      </c>
      <c r="E3497" s="44" t="n">
        <v>35637.324</v>
      </c>
    </row>
    <row r="3498">
      <c r="A3498" s="39">
        <f>_xlfn.XLOOKUP(17847,Trip[shape_id],Trip[shape_id],"Não encontrado")</f>
        <v/>
      </c>
      <c r="B3498" s="40" t="n">
        <v>-23.389645</v>
      </c>
      <c r="C3498" s="40" t="n">
        <v>-46.756557</v>
      </c>
      <c r="D3498" s="40" t="n">
        <v>326</v>
      </c>
      <c r="E3498" s="41" t="n">
        <v>35742.512</v>
      </c>
    </row>
    <row r="3499">
      <c r="A3499" s="42">
        <f>_xlfn.XLOOKUP(17847,Trip[shape_id],Trip[shape_id],"Não encontrado")</f>
        <v/>
      </c>
      <c r="B3499" s="43" t="n">
        <v>-23.389871</v>
      </c>
      <c r="C3499" s="43" t="n">
        <v>-46.756672</v>
      </c>
      <c r="D3499" s="43" t="n">
        <v>327</v>
      </c>
      <c r="E3499" s="44" t="n">
        <v>35770.164</v>
      </c>
    </row>
    <row r="3500">
      <c r="A3500" s="39">
        <f>_xlfn.XLOOKUP(17847,Trip[shape_id],Trip[shape_id],"Não encontrado")</f>
        <v/>
      </c>
      <c r="B3500" s="40" t="n">
        <v>-23.390793</v>
      </c>
      <c r="C3500" s="40" t="n">
        <v>-46.757127</v>
      </c>
      <c r="D3500" s="40" t="n">
        <v>328</v>
      </c>
      <c r="E3500" s="41" t="n">
        <v>35882.371</v>
      </c>
    </row>
    <row r="3501">
      <c r="A3501" s="42">
        <f>_xlfn.XLOOKUP(17847,Trip[shape_id],Trip[shape_id],"Não encontrado")</f>
        <v/>
      </c>
      <c r="B3501" s="43" t="n">
        <v>-23.391984</v>
      </c>
      <c r="C3501" s="43" t="n">
        <v>-46.757705</v>
      </c>
      <c r="D3501" s="43" t="n">
        <v>329</v>
      </c>
      <c r="E3501" s="44" t="n">
        <v>36026.902</v>
      </c>
    </row>
    <row r="3502">
      <c r="A3502" s="39">
        <f>_xlfn.XLOOKUP(17847,Trip[shape_id],Trip[shape_id],"Não encontrado")</f>
        <v/>
      </c>
      <c r="B3502" s="40" t="n">
        <v>-23.392563</v>
      </c>
      <c r="C3502" s="40" t="n">
        <v>-46.757919</v>
      </c>
      <c r="D3502" s="40" t="n">
        <v>330</v>
      </c>
      <c r="E3502" s="41" t="n">
        <v>36094.656</v>
      </c>
    </row>
    <row r="3503">
      <c r="A3503" s="42">
        <f>_xlfn.XLOOKUP(17847,Trip[shape_id],Trip[shape_id],"Não encontrado")</f>
        <v/>
      </c>
      <c r="B3503" s="43" t="n">
        <v>-23.393028</v>
      </c>
      <c r="C3503" s="43" t="n">
        <v>-46.75797</v>
      </c>
      <c r="D3503" s="43" t="n">
        <v>331</v>
      </c>
      <c r="E3503" s="44" t="n">
        <v>36146.418</v>
      </c>
    </row>
    <row r="3504">
      <c r="A3504" s="39">
        <f>_xlfn.XLOOKUP(17847,Trip[shape_id],Trip[shape_id],"Não encontrado")</f>
        <v/>
      </c>
      <c r="B3504" s="40" t="n">
        <v>-23.393457</v>
      </c>
      <c r="C3504" s="40" t="n">
        <v>-46.75801</v>
      </c>
      <c r="D3504" s="40" t="n">
        <v>332</v>
      </c>
      <c r="E3504" s="41" t="n">
        <v>36194.105</v>
      </c>
    </row>
    <row r="3505">
      <c r="A3505" s="42">
        <f>_xlfn.XLOOKUP(17847,Trip[shape_id],Trip[shape_id],"Não encontrado")</f>
        <v/>
      </c>
      <c r="B3505" s="43" t="n">
        <v>-23.39419</v>
      </c>
      <c r="C3505" s="43" t="n">
        <v>-46.758041</v>
      </c>
      <c r="D3505" s="43" t="n">
        <v>333</v>
      </c>
      <c r="E3505" s="44" t="n">
        <v>36275.348</v>
      </c>
    </row>
    <row r="3506">
      <c r="A3506" s="39">
        <f>_xlfn.XLOOKUP(17847,Trip[shape_id],Trip[shape_id],"Não encontrado")</f>
        <v/>
      </c>
      <c r="B3506" s="40" t="n">
        <v>-23.396348</v>
      </c>
      <c r="C3506" s="40" t="n">
        <v>-46.758131</v>
      </c>
      <c r="D3506" s="40" t="n">
        <v>334</v>
      </c>
      <c r="E3506" s="41" t="n">
        <v>36514.523</v>
      </c>
    </row>
    <row r="3507">
      <c r="A3507" s="42">
        <f>_xlfn.XLOOKUP(17847,Trip[shape_id],Trip[shape_id],"Não encontrado")</f>
        <v/>
      </c>
      <c r="B3507" s="43" t="n">
        <v>-23.396735</v>
      </c>
      <c r="C3507" s="43" t="n">
        <v>-46.758112</v>
      </c>
      <c r="D3507" s="43" t="n">
        <v>335</v>
      </c>
      <c r="E3507" s="44" t="n">
        <v>36557.426</v>
      </c>
    </row>
    <row r="3508">
      <c r="A3508" s="39">
        <f>_xlfn.XLOOKUP(17847,Trip[shape_id],Trip[shape_id],"Não encontrado")</f>
        <v/>
      </c>
      <c r="B3508" s="40" t="n">
        <v>-23.397314</v>
      </c>
      <c r="C3508" s="40" t="n">
        <v>-46.75807</v>
      </c>
      <c r="D3508" s="40" t="n">
        <v>336</v>
      </c>
      <c r="E3508" s="41" t="n">
        <v>36621.691</v>
      </c>
    </row>
    <row r="3509">
      <c r="A3509" s="42">
        <f>_xlfn.XLOOKUP(17847,Trip[shape_id],Trip[shape_id],"Não encontrado")</f>
        <v/>
      </c>
      <c r="B3509" s="43" t="n">
        <v>-23.398102</v>
      </c>
      <c r="C3509" s="43" t="n">
        <v>-46.757908</v>
      </c>
      <c r="D3509" s="43" t="n">
        <v>337</v>
      </c>
      <c r="E3509" s="44" t="n">
        <v>36710.52</v>
      </c>
    </row>
    <row r="3510">
      <c r="A3510" s="39">
        <f>_xlfn.XLOOKUP(17847,Trip[shape_id],Trip[shape_id],"Não encontrado")</f>
        <v/>
      </c>
      <c r="B3510" s="40" t="n">
        <v>-23.398183</v>
      </c>
      <c r="C3510" s="40" t="n">
        <v>-46.757887</v>
      </c>
      <c r="D3510" s="40" t="n">
        <v>338</v>
      </c>
      <c r="E3510" s="41" t="n">
        <v>36719.742</v>
      </c>
    </row>
    <row r="3511">
      <c r="A3511" s="42">
        <f>_xlfn.XLOOKUP(17847,Trip[shape_id],Trip[shape_id],"Não encontrado")</f>
        <v/>
      </c>
      <c r="B3511" s="43" t="n">
        <v>-23.39899</v>
      </c>
      <c r="C3511" s="43" t="n">
        <v>-46.757426</v>
      </c>
      <c r="D3511" s="43" t="n">
        <v>339</v>
      </c>
      <c r="E3511" s="44" t="n">
        <v>36820.777</v>
      </c>
    </row>
    <row r="3512">
      <c r="A3512" s="39">
        <f>_xlfn.XLOOKUP(17847,Trip[shape_id],Trip[shape_id],"Não encontrado")</f>
        <v/>
      </c>
      <c r="B3512" s="40" t="n">
        <v>-23.399689</v>
      </c>
      <c r="C3512" s="40" t="n">
        <v>-46.756829</v>
      </c>
      <c r="D3512" s="40" t="n">
        <v>340</v>
      </c>
      <c r="E3512" s="41" t="n">
        <v>36919.352</v>
      </c>
    </row>
    <row r="3513">
      <c r="A3513" s="42">
        <f>_xlfn.XLOOKUP(17847,Trip[shape_id],Trip[shape_id],"Não encontrado")</f>
        <v/>
      </c>
      <c r="B3513" s="43" t="n">
        <v>-23.399956</v>
      </c>
      <c r="C3513" s="43" t="n">
        <v>-46.756508</v>
      </c>
      <c r="D3513" s="43" t="n">
        <v>341</v>
      </c>
      <c r="E3513" s="44" t="n">
        <v>36963.523</v>
      </c>
    </row>
    <row r="3514">
      <c r="A3514" s="39">
        <f>_xlfn.XLOOKUP(17847,Trip[shape_id],Trip[shape_id],"Não encontrado")</f>
        <v/>
      </c>
      <c r="B3514" s="40" t="n">
        <v>-23.400431</v>
      </c>
      <c r="C3514" s="40" t="n">
        <v>-46.755957</v>
      </c>
      <c r="D3514" s="40" t="n">
        <v>342</v>
      </c>
      <c r="E3514" s="41" t="n">
        <v>37040.594</v>
      </c>
    </row>
    <row r="3515">
      <c r="A3515" s="42">
        <f>_xlfn.XLOOKUP(17847,Trip[shape_id],Trip[shape_id],"Não encontrado")</f>
        <v/>
      </c>
      <c r="B3515" s="43" t="n">
        <v>-23.401253</v>
      </c>
      <c r="C3515" s="43" t="n">
        <v>-46.755329</v>
      </c>
      <c r="D3515" s="43" t="n">
        <v>343</v>
      </c>
      <c r="E3515" s="44" t="n">
        <v>37151.984</v>
      </c>
    </row>
    <row r="3516">
      <c r="A3516" s="39">
        <f>_xlfn.XLOOKUP(17847,Trip[shape_id],Trip[shape_id],"Não encontrado")</f>
        <v/>
      </c>
      <c r="B3516" s="40" t="n">
        <v>-23.40144</v>
      </c>
      <c r="C3516" s="40" t="n">
        <v>-46.755183</v>
      </c>
      <c r="D3516" s="40" t="n">
        <v>344</v>
      </c>
      <c r="E3516" s="41" t="n">
        <v>37177.512</v>
      </c>
    </row>
    <row r="3517">
      <c r="A3517" s="42">
        <f>_xlfn.XLOOKUP(17847,Trip[shape_id],Trip[shape_id],"Não encontrado")</f>
        <v/>
      </c>
      <c r="B3517" s="43" t="n">
        <v>-23.401902</v>
      </c>
      <c r="C3517" s="43" t="n">
        <v>-46.75494</v>
      </c>
      <c r="D3517" s="43" t="n">
        <v>345</v>
      </c>
      <c r="E3517" s="44" t="n">
        <v>37234.387</v>
      </c>
    </row>
    <row r="3518">
      <c r="A3518" s="39">
        <f>_xlfn.XLOOKUP(17847,Trip[shape_id],Trip[shape_id],"Não encontrado")</f>
        <v/>
      </c>
      <c r="B3518" s="40" t="n">
        <v>-23.402166</v>
      </c>
      <c r="C3518" s="40" t="n">
        <v>-46.75481</v>
      </c>
      <c r="D3518" s="40" t="n">
        <v>346</v>
      </c>
      <c r="E3518" s="41" t="n">
        <v>37266.504</v>
      </c>
    </row>
    <row r="3519">
      <c r="A3519" s="42">
        <f>_xlfn.XLOOKUP(17847,Trip[shape_id],Trip[shape_id],"Não encontrado")</f>
        <v/>
      </c>
      <c r="B3519" s="43" t="n">
        <v>-23.404413</v>
      </c>
      <c r="C3519" s="43" t="n">
        <v>-46.754045</v>
      </c>
      <c r="D3519" s="43" t="n">
        <v>347</v>
      </c>
      <c r="E3519" s="44" t="n">
        <v>37527.355</v>
      </c>
    </row>
    <row r="3520">
      <c r="A3520" s="39">
        <f>_xlfn.XLOOKUP(17847,Trip[shape_id],Trip[shape_id],"Não encontrado")</f>
        <v/>
      </c>
      <c r="B3520" s="40" t="n">
        <v>-23.405043</v>
      </c>
      <c r="C3520" s="40" t="n">
        <v>-46.753583</v>
      </c>
      <c r="D3520" s="40" t="n">
        <v>348</v>
      </c>
      <c r="E3520" s="41" t="n">
        <v>37611.605</v>
      </c>
    </row>
    <row r="3521">
      <c r="A3521" s="42">
        <f>_xlfn.XLOOKUP(17847,Trip[shape_id],Trip[shape_id],"Não encontrado")</f>
        <v/>
      </c>
      <c r="B3521" s="43" t="n">
        <v>-23.405953</v>
      </c>
      <c r="C3521" s="43" t="n">
        <v>-46.752913</v>
      </c>
      <c r="D3521" s="43" t="n">
        <v>349</v>
      </c>
      <c r="E3521" s="44" t="n">
        <v>37783.246</v>
      </c>
    </row>
    <row r="3522">
      <c r="A3522" s="39">
        <f>_xlfn.XLOOKUP(17847,Trip[shape_id],Trip[shape_id],"Não encontrado")</f>
        <v/>
      </c>
      <c r="B3522" s="40" t="n">
        <v>-23.406326</v>
      </c>
      <c r="C3522" s="40" t="n">
        <v>-46.752641</v>
      </c>
      <c r="D3522" s="40" t="n">
        <v>350</v>
      </c>
      <c r="E3522" s="41" t="n">
        <v>37808.453</v>
      </c>
    </row>
    <row r="3523">
      <c r="A3523" s="42">
        <f>_xlfn.XLOOKUP(17847,Trip[shape_id],Trip[shape_id],"Não encontrado")</f>
        <v/>
      </c>
      <c r="B3523" s="43" t="n">
        <v>-23.406514</v>
      </c>
      <c r="C3523" s="43" t="n">
        <v>-46.752502</v>
      </c>
      <c r="D3523" s="43" t="n">
        <v>351</v>
      </c>
      <c r="E3523" s="44" t="n">
        <v>37879.203</v>
      </c>
    </row>
    <row r="3524">
      <c r="A3524" s="39">
        <f>_xlfn.XLOOKUP(17847,Trip[shape_id],Trip[shape_id],"Não encontrado")</f>
        <v/>
      </c>
      <c r="B3524" s="40" t="n">
        <v>-23.407079</v>
      </c>
      <c r="C3524" s="40" t="n">
        <v>-46.752179</v>
      </c>
      <c r="D3524" s="40" t="n">
        <v>352</v>
      </c>
      <c r="E3524" s="41" t="n">
        <v>37951.754</v>
      </c>
    </row>
    <row r="3525">
      <c r="A3525" s="42">
        <f>_xlfn.XLOOKUP(17847,Trip[shape_id],Trip[shape_id],"Não encontrado")</f>
        <v/>
      </c>
      <c r="B3525" s="43" t="n">
        <v>-23.407659</v>
      </c>
      <c r="C3525" s="43" t="n">
        <v>-46.751849</v>
      </c>
      <c r="D3525" s="43" t="n">
        <v>353</v>
      </c>
      <c r="E3525" s="44" t="n">
        <v>37968.172</v>
      </c>
    </row>
    <row r="3526">
      <c r="A3526" s="39">
        <f>_xlfn.XLOOKUP(17847,Trip[shape_id],Trip[shape_id],"Não encontrado")</f>
        <v/>
      </c>
      <c r="B3526" s="40" t="n">
        <v>-23.407787</v>
      </c>
      <c r="C3526" s="40" t="n">
        <v>-46.751768</v>
      </c>
      <c r="D3526" s="40" t="n">
        <v>354</v>
      </c>
      <c r="E3526" s="41" t="n">
        <v>38029.809</v>
      </c>
    </row>
    <row r="3527">
      <c r="A3527" s="42">
        <f>_xlfn.XLOOKUP(17847,Trip[shape_id],Trip[shape_id],"Não encontrado")</f>
        <v/>
      </c>
      <c r="B3527" s="43" t="n">
        <v>-23.408246</v>
      </c>
      <c r="C3527" s="43" t="n">
        <v>-46.751427</v>
      </c>
      <c r="D3527" s="43" t="n">
        <v>355</v>
      </c>
      <c r="E3527" s="44" t="n">
        <v>38094.258</v>
      </c>
    </row>
    <row r="3528">
      <c r="A3528" s="39">
        <f>_xlfn.XLOOKUP(17847,Trip[shape_id],Trip[shape_id],"Não encontrado")</f>
        <v/>
      </c>
      <c r="B3528" s="40" t="n">
        <v>-23.408637</v>
      </c>
      <c r="C3528" s="40" t="n">
        <v>-46.75096</v>
      </c>
      <c r="D3528" s="40" t="n">
        <v>356</v>
      </c>
      <c r="E3528" s="41" t="n">
        <v>38181.996</v>
      </c>
    </row>
    <row r="3529">
      <c r="A3529" s="42">
        <f>_xlfn.XLOOKUP(17847,Trip[shape_id],Trip[shape_id],"Não encontrado")</f>
        <v/>
      </c>
      <c r="B3529" s="43" t="n">
        <v>-23.409167</v>
      </c>
      <c r="C3529" s="43" t="n">
        <v>-46.750322</v>
      </c>
      <c r="D3529" s="43" t="n">
        <v>357</v>
      </c>
      <c r="E3529" s="44" t="n">
        <v>38277.031</v>
      </c>
    </row>
    <row r="3530">
      <c r="A3530" s="39">
        <f>_xlfn.XLOOKUP(17847,Trip[shape_id],Trip[shape_id],"Não encontrado")</f>
        <v/>
      </c>
      <c r="B3530" s="40" t="n">
        <v>-23.40959</v>
      </c>
      <c r="C3530" s="40" t="n">
        <v>-46.749513</v>
      </c>
      <c r="D3530" s="40" t="n">
        <v>358</v>
      </c>
      <c r="E3530" s="41" t="n">
        <v>38373.563</v>
      </c>
    </row>
    <row r="3531">
      <c r="A3531" s="42">
        <f>_xlfn.XLOOKUP(17847,Trip[shape_id],Trip[shape_id],"Não encontrado")</f>
        <v/>
      </c>
      <c r="B3531" s="43" t="n">
        <v>-23.410076</v>
      </c>
      <c r="C3531" s="43" t="n">
        <v>-46.748729</v>
      </c>
      <c r="D3531" s="43" t="n">
        <v>359</v>
      </c>
      <c r="E3531" s="44" t="n">
        <v>38520.25</v>
      </c>
    </row>
    <row r="3532">
      <c r="A3532" s="39">
        <f>_xlfn.XLOOKUP(17847,Trip[shape_id],Trip[shape_id],"Não encontrado")</f>
        <v/>
      </c>
      <c r="B3532" s="40" t="n">
        <v>-23.410944</v>
      </c>
      <c r="C3532" s="40" t="n">
        <v>-46.747645</v>
      </c>
      <c r="D3532" s="40" t="n">
        <v>360</v>
      </c>
      <c r="E3532" s="41" t="n">
        <v>38674.246</v>
      </c>
    </row>
    <row r="3533">
      <c r="A3533" s="42">
        <f>_xlfn.XLOOKUP(17847,Trip[shape_id],Trip[shape_id],"Não encontrado")</f>
        <v/>
      </c>
      <c r="B3533" s="43" t="n">
        <v>-23.412055</v>
      </c>
      <c r="C3533" s="43" t="n">
        <v>-46.746739</v>
      </c>
      <c r="D3533" s="43" t="n">
        <v>361</v>
      </c>
      <c r="E3533" s="44" t="n">
        <v>38761.906</v>
      </c>
    </row>
    <row r="3534">
      <c r="A3534" s="39">
        <f>_xlfn.XLOOKUP(17847,Trip[shape_id],Trip[shape_id],"Não encontrado")</f>
        <v/>
      </c>
      <c r="B3534" s="40" t="n">
        <v>-23.41269</v>
      </c>
      <c r="C3534" s="40" t="n">
        <v>-46.746227</v>
      </c>
      <c r="D3534" s="40" t="n">
        <v>362</v>
      </c>
      <c r="E3534" s="41" t="n">
        <v>38859.496</v>
      </c>
    </row>
    <row r="3535">
      <c r="A3535" s="42">
        <f>_xlfn.XLOOKUP(17847,Trip[shape_id],Trip[shape_id],"Não encontrado")</f>
        <v/>
      </c>
      <c r="B3535" s="43" t="n">
        <v>-23.413401</v>
      </c>
      <c r="C3535" s="43" t="n">
        <v>-46.745663</v>
      </c>
      <c r="D3535" s="43" t="n">
        <v>363</v>
      </c>
      <c r="E3535" s="44" t="n">
        <v>38941.078</v>
      </c>
    </row>
    <row r="3536">
      <c r="A3536" s="39">
        <f>_xlfn.XLOOKUP(17847,Trip[shape_id],Trip[shape_id],"Não encontrado")</f>
        <v/>
      </c>
      <c r="B3536" s="40" t="n">
        <v>-23.414028</v>
      </c>
      <c r="C3536" s="40" t="n">
        <v>-46.745244</v>
      </c>
      <c r="D3536" s="40" t="n">
        <v>364</v>
      </c>
      <c r="E3536" s="41" t="n">
        <v>39017.863</v>
      </c>
    </row>
    <row r="3537">
      <c r="A3537" s="42">
        <f>_xlfn.XLOOKUP(17847,Trip[shape_id],Trip[shape_id],"Não encontrado")</f>
        <v/>
      </c>
      <c r="B3537" s="43" t="n">
        <v>-23.414685</v>
      </c>
      <c r="C3537" s="43" t="n">
        <v>-46.745004</v>
      </c>
      <c r="D3537" s="43" t="n">
        <v>365</v>
      </c>
      <c r="E3537" s="44" t="n">
        <v>39092.828</v>
      </c>
    </row>
    <row r="3538">
      <c r="A3538" s="39">
        <f>_xlfn.XLOOKUP(17847,Trip[shape_id],Trip[shape_id],"Não encontrado")</f>
        <v/>
      </c>
      <c r="B3538" s="40" t="n">
        <v>-23.415351</v>
      </c>
      <c r="C3538" s="40" t="n">
        <v>-46.744873</v>
      </c>
      <c r="D3538" s="40" t="n">
        <v>366</v>
      </c>
      <c r="E3538" s="41" t="n">
        <v>39159.23</v>
      </c>
    </row>
    <row r="3539">
      <c r="A3539" s="42">
        <f>_xlfn.XLOOKUP(17847,Trip[shape_id],Trip[shape_id],"Não encontrado")</f>
        <v/>
      </c>
      <c r="B3539" s="43" t="n">
        <v>-23.415949</v>
      </c>
      <c r="C3539" s="43" t="n">
        <v>-46.744826</v>
      </c>
      <c r="D3539" s="43" t="n">
        <v>367</v>
      </c>
      <c r="E3539" s="44" t="n">
        <v>39286.254</v>
      </c>
    </row>
    <row r="3540">
      <c r="A3540" s="39">
        <f>_xlfn.XLOOKUP(17847,Trip[shape_id],Trip[shape_id],"Não encontrado")</f>
        <v/>
      </c>
      <c r="B3540" s="40" t="n">
        <v>-23.417088</v>
      </c>
      <c r="C3540" s="40" t="n">
        <v>-46.744972</v>
      </c>
      <c r="D3540" s="40" t="n">
        <v>368</v>
      </c>
      <c r="E3540" s="41" t="n">
        <v>39316.406</v>
      </c>
    </row>
    <row r="3541">
      <c r="A3541" s="42">
        <f>_xlfn.XLOOKUP(17847,Trip[shape_id],Trip[shape_id],"Não encontrado")</f>
        <v/>
      </c>
      <c r="B3541" s="43" t="n">
        <v>-23.417358</v>
      </c>
      <c r="C3541" s="43" t="n">
        <v>-46.74501</v>
      </c>
      <c r="D3541" s="43" t="n">
        <v>369</v>
      </c>
      <c r="E3541" s="44" t="n">
        <v>39434.504</v>
      </c>
    </row>
    <row r="3542">
      <c r="A3542" s="39">
        <f>_xlfn.XLOOKUP(17847,Trip[shape_id],Trip[shape_id],"Não encontrado")</f>
        <v/>
      </c>
      <c r="B3542" s="40" t="n">
        <v>-23.418424</v>
      </c>
      <c r="C3542" s="40" t="n">
        <v>-46.744981</v>
      </c>
      <c r="D3542" s="40" t="n">
        <v>370</v>
      </c>
      <c r="E3542" s="41" t="n">
        <v>39461.195</v>
      </c>
    </row>
    <row r="3543">
      <c r="A3543" s="42">
        <f>_xlfn.XLOOKUP(17847,Trip[shape_id],Trip[shape_id],"Não encontrado")</f>
        <v/>
      </c>
      <c r="B3543" s="43" t="n">
        <v>-23.418659</v>
      </c>
      <c r="C3543" s="43" t="n">
        <v>-46.744923</v>
      </c>
      <c r="D3543" s="43" t="n">
        <v>371</v>
      </c>
      <c r="E3543" s="44" t="n">
        <v>39573.813</v>
      </c>
    </row>
    <row r="3544">
      <c r="A3544" s="39">
        <f>_xlfn.XLOOKUP(17847,Trip[shape_id],Trip[shape_id],"Não encontrado")</f>
        <v/>
      </c>
      <c r="B3544" s="40" t="n">
        <v>-23.419646</v>
      </c>
      <c r="C3544" s="40" t="n">
        <v>-46.744658</v>
      </c>
      <c r="D3544" s="40" t="n">
        <v>372</v>
      </c>
      <c r="E3544" s="41" t="n">
        <v>39690.969</v>
      </c>
    </row>
    <row r="3545">
      <c r="A3545" s="42">
        <f>_xlfn.XLOOKUP(17847,Trip[shape_id],Trip[shape_id],"Não encontrado")</f>
        <v/>
      </c>
      <c r="B3545" s="43" t="n">
        <v>-23.420637</v>
      </c>
      <c r="C3545" s="43" t="n">
        <v>-46.744257</v>
      </c>
      <c r="D3545" s="43" t="n">
        <v>373</v>
      </c>
      <c r="E3545" s="44" t="n">
        <v>39782.918</v>
      </c>
    </row>
    <row r="3546">
      <c r="A3546" s="39">
        <f>_xlfn.XLOOKUP(17847,Trip[shape_id],Trip[shape_id],"Não encontrado")</f>
        <v/>
      </c>
      <c r="B3546" s="40" t="n">
        <v>-23.421414</v>
      </c>
      <c r="C3546" s="40" t="n">
        <v>-46.74394</v>
      </c>
      <c r="D3546" s="40" t="n">
        <v>374</v>
      </c>
      <c r="E3546" s="41" t="n">
        <v>39895.449</v>
      </c>
    </row>
    <row r="3547">
      <c r="A3547" s="42">
        <f>_xlfn.XLOOKUP(17847,Trip[shape_id],Trip[shape_id],"Não encontrado")</f>
        <v/>
      </c>
      <c r="B3547" s="43" t="n">
        <v>-23.422389</v>
      </c>
      <c r="C3547" s="43" t="n">
        <v>-46.74363</v>
      </c>
      <c r="D3547" s="43" t="n">
        <v>375</v>
      </c>
      <c r="E3547" s="44" t="n">
        <v>40002.875</v>
      </c>
    </row>
    <row r="3548">
      <c r="A3548" s="39">
        <f>_xlfn.XLOOKUP(17847,Trip[shape_id],Trip[shape_id],"Não encontrado")</f>
        <v/>
      </c>
      <c r="B3548" s="40" t="n">
        <v>-23.423359</v>
      </c>
      <c r="C3548" s="40" t="n">
        <v>-46.743631</v>
      </c>
      <c r="D3548" s="40" t="n">
        <v>376</v>
      </c>
      <c r="E3548" s="41" t="n">
        <v>40067.355</v>
      </c>
    </row>
    <row r="3549">
      <c r="A3549" s="42">
        <f>_xlfn.XLOOKUP(17847,Trip[shape_id],Trip[shape_id],"Não encontrado")</f>
        <v/>
      </c>
      <c r="B3549" s="43" t="n">
        <v>-23.423913</v>
      </c>
      <c r="C3549" s="43" t="n">
        <v>-46.743825</v>
      </c>
      <c r="D3549" s="43" t="n">
        <v>377</v>
      </c>
      <c r="E3549" s="44" t="n">
        <v>40133.383</v>
      </c>
    </row>
    <row r="3550">
      <c r="A3550" s="39">
        <f>_xlfn.XLOOKUP(17847,Trip[shape_id],Trip[shape_id],"Não encontrado")</f>
        <v/>
      </c>
      <c r="B3550" s="40" t="n">
        <v>-23.424479</v>
      </c>
      <c r="C3550" s="40" t="n">
        <v>-46.744028</v>
      </c>
      <c r="D3550" s="40" t="n">
        <v>378</v>
      </c>
      <c r="E3550" s="41" t="n">
        <v>40298.488</v>
      </c>
    </row>
    <row r="3551">
      <c r="A3551" s="42">
        <f>_xlfn.XLOOKUP(17847,Trip[shape_id],Trip[shape_id],"Não encontrado")</f>
        <v/>
      </c>
      <c r="B3551" s="43" t="n">
        <v>-23.425725</v>
      </c>
      <c r="C3551" s="43" t="n">
        <v>-46.744915</v>
      </c>
      <c r="D3551" s="43" t="n">
        <v>379</v>
      </c>
      <c r="E3551" s="44" t="n">
        <v>40338.762</v>
      </c>
    </row>
    <row r="3552">
      <c r="A3552" s="39">
        <f>_xlfn.XLOOKUP(17847,Trip[shape_id],Trip[shape_id],"Não encontrado")</f>
        <v/>
      </c>
      <c r="B3552" s="40" t="n">
        <v>-23.426035</v>
      </c>
      <c r="C3552" s="40" t="n">
        <v>-46.745121</v>
      </c>
      <c r="D3552" s="40" t="n">
        <v>380</v>
      </c>
      <c r="E3552" s="41" t="n">
        <v>40385.93</v>
      </c>
    </row>
    <row r="3553">
      <c r="A3553" s="42">
        <f>_xlfn.XLOOKUP(17847,Trip[shape_id],Trip[shape_id],"Não encontrado")</f>
        <v/>
      </c>
      <c r="B3553" s="43" t="n">
        <v>-23.426401</v>
      </c>
      <c r="C3553" s="43" t="n">
        <v>-46.745357</v>
      </c>
      <c r="D3553" s="43" t="n">
        <v>381</v>
      </c>
      <c r="E3553" s="44" t="n">
        <v>40461.832</v>
      </c>
    </row>
    <row r="3554">
      <c r="A3554" s="39">
        <f>_xlfn.XLOOKUP(17847,Trip[shape_id],Trip[shape_id],"Não encontrado")</f>
        <v/>
      </c>
      <c r="B3554" s="40" t="n">
        <v>-23.427047</v>
      </c>
      <c r="C3554" s="40" t="n">
        <v>-46.745605</v>
      </c>
      <c r="D3554" s="40" t="n">
        <v>382</v>
      </c>
      <c r="E3554" s="41" t="n">
        <v>40661.02</v>
      </c>
    </row>
    <row r="3555">
      <c r="A3555" s="42">
        <f>_xlfn.XLOOKUP(17847,Trip[shape_id],Trip[shape_id],"Não encontrado")</f>
        <v/>
      </c>
      <c r="B3555" s="43" t="n">
        <v>-23.428827</v>
      </c>
      <c r="C3555" s="43" t="n">
        <v>-46.745884</v>
      </c>
      <c r="D3555" s="43" t="n">
        <v>383</v>
      </c>
      <c r="E3555" s="44" t="n">
        <v>40813.215</v>
      </c>
    </row>
    <row r="3556">
      <c r="A3556" s="39">
        <f>_xlfn.XLOOKUP(17847,Trip[shape_id],Trip[shape_id],"Não encontrado")</f>
        <v/>
      </c>
      <c r="B3556" s="40" t="n">
        <v>-23.430152</v>
      </c>
      <c r="C3556" s="40" t="n">
        <v>-46.746279</v>
      </c>
      <c r="D3556" s="40" t="n">
        <v>384</v>
      </c>
      <c r="E3556" s="41" t="n">
        <v>40943.234</v>
      </c>
    </row>
    <row r="3557">
      <c r="A3557" s="42">
        <f>_xlfn.XLOOKUP(17847,Trip[shape_id],Trip[shape_id],"Não encontrado")</f>
        <v/>
      </c>
      <c r="B3557" s="43" t="n">
        <v>-23.431248</v>
      </c>
      <c r="C3557" s="43" t="n">
        <v>-46.746735</v>
      </c>
      <c r="D3557" s="43" t="n">
        <v>385</v>
      </c>
      <c r="E3557" s="44" t="n">
        <v>41089.621</v>
      </c>
    </row>
    <row r="3558">
      <c r="A3558" s="39">
        <f>_xlfn.XLOOKUP(17847,Trip[shape_id],Trip[shape_id],"Não encontrado")</f>
        <v/>
      </c>
      <c r="B3558" s="40" t="n">
        <v>-23.432457</v>
      </c>
      <c r="C3558" s="40" t="n">
        <v>-46.747314</v>
      </c>
      <c r="D3558" s="40" t="n">
        <v>386</v>
      </c>
      <c r="E3558" s="41" t="n">
        <v>41162.746</v>
      </c>
    </row>
    <row r="3559">
      <c r="A3559" s="42">
        <f>_xlfn.XLOOKUP(17847,Trip[shape_id],Trip[shape_id],"Não encontrado")</f>
        <v/>
      </c>
      <c r="B3559" s="43" t="n">
        <v>-23.433102</v>
      </c>
      <c r="C3559" s="43" t="n">
        <v>-46.747467</v>
      </c>
      <c r="D3559" s="43" t="n">
        <v>387</v>
      </c>
      <c r="E3559" s="44" t="n">
        <v>41240.328</v>
      </c>
    </row>
    <row r="3560">
      <c r="A3560" s="39">
        <f>_xlfn.XLOOKUP(17847,Trip[shape_id],Trip[shape_id],"Não encontrado")</f>
        <v/>
      </c>
      <c r="B3560" s="40" t="n">
        <v>-23.433777</v>
      </c>
      <c r="C3560" s="40" t="n">
        <v>-46.74767</v>
      </c>
      <c r="D3560" s="40" t="n">
        <v>388</v>
      </c>
      <c r="E3560" s="41" t="n">
        <v>41340.102</v>
      </c>
    </row>
    <row r="3561">
      <c r="A3561" s="42">
        <f>_xlfn.XLOOKUP(17847,Trip[shape_id],Trip[shape_id],"Não encontrado")</f>
        <v/>
      </c>
      <c r="B3561" s="43" t="n">
        <v>-23.434675</v>
      </c>
      <c r="C3561" s="43" t="n">
        <v>-46.747748</v>
      </c>
      <c r="D3561" s="43" t="n">
        <v>389</v>
      </c>
      <c r="E3561" s="44" t="n">
        <v>41464.777</v>
      </c>
    </row>
    <row r="3562">
      <c r="A3562" s="39">
        <f>_xlfn.XLOOKUP(17847,Trip[shape_id],Trip[shape_id],"Não encontrado")</f>
        <v/>
      </c>
      <c r="B3562" s="40" t="n">
        <v>-23.435798</v>
      </c>
      <c r="C3562" s="40" t="n">
        <v>-46.747663</v>
      </c>
      <c r="D3562" s="40" t="n">
        <v>390</v>
      </c>
      <c r="E3562" s="41" t="n">
        <v>41499.02</v>
      </c>
    </row>
    <row r="3563">
      <c r="A3563" s="42">
        <f>_xlfn.XLOOKUP(17847,Trip[shape_id],Trip[shape_id],"Não encontrado")</f>
        <v/>
      </c>
      <c r="B3563" s="43" t="n">
        <v>-23.436104</v>
      </c>
      <c r="C3563" s="43" t="n">
        <v>-46.747615</v>
      </c>
      <c r="D3563" s="43" t="n">
        <v>391</v>
      </c>
      <c r="E3563" s="44" t="n">
        <v>41603.086</v>
      </c>
    </row>
    <row r="3564">
      <c r="A3564" s="39">
        <f>_xlfn.XLOOKUP(17847,Trip[shape_id],Trip[shape_id],"Não encontrado")</f>
        <v/>
      </c>
      <c r="B3564" s="40" t="n">
        <v>-23.43703</v>
      </c>
      <c r="C3564" s="40" t="n">
        <v>-46.747442</v>
      </c>
      <c r="D3564" s="40" t="n">
        <v>392</v>
      </c>
      <c r="E3564" s="41" t="n">
        <v>41655.203</v>
      </c>
    </row>
    <row r="3565">
      <c r="A3565" s="42">
        <f>_xlfn.XLOOKUP(17847,Trip[shape_id],Trip[shape_id],"Não encontrado")</f>
        <v/>
      </c>
      <c r="B3565" s="43" t="n">
        <v>-23.437494</v>
      </c>
      <c r="C3565" s="43" t="n">
        <v>-46.747357</v>
      </c>
      <c r="D3565" s="43" t="n">
        <v>393</v>
      </c>
      <c r="E3565" s="44" t="n">
        <v>41655.203</v>
      </c>
    </row>
    <row r="3566">
      <c r="A3566" s="39">
        <f>_xlfn.XLOOKUP(17847,Trip[shape_id],Trip[shape_id],"Não encontrado")</f>
        <v/>
      </c>
      <c r="B3566" s="40" t="n">
        <v>-23.438241</v>
      </c>
      <c r="C3566" s="40" t="n">
        <v>-46.747206</v>
      </c>
      <c r="D3566" s="40" t="n">
        <v>394</v>
      </c>
      <c r="E3566" s="41" t="n">
        <v>41827.027</v>
      </c>
    </row>
    <row r="3567">
      <c r="A3567" s="42">
        <f>_xlfn.XLOOKUP(17847,Trip[shape_id],Trip[shape_id],"Não encontrado")</f>
        <v/>
      </c>
      <c r="B3567" s="43" t="n">
        <v>-23.439018</v>
      </c>
      <c r="C3567" s="43" t="n">
        <v>-46.747042</v>
      </c>
      <c r="D3567" s="43" t="n">
        <v>395</v>
      </c>
      <c r="E3567" s="44" t="n">
        <v>41875.426</v>
      </c>
    </row>
    <row r="3568">
      <c r="A3568" s="39">
        <f>_xlfn.XLOOKUP(17847,Trip[shape_id],Trip[shape_id],"Não encontrado")</f>
        <v/>
      </c>
      <c r="B3568" s="40" t="n">
        <v>-23.439441</v>
      </c>
      <c r="C3568" s="40" t="n">
        <v>-46.746923</v>
      </c>
      <c r="D3568" s="40" t="n">
        <v>396</v>
      </c>
      <c r="E3568" s="41" t="n">
        <v>41915.871</v>
      </c>
    </row>
    <row r="3569">
      <c r="A3569" s="42">
        <f>_xlfn.XLOOKUP(17847,Trip[shape_id],Trip[shape_id],"Não encontrado")</f>
        <v/>
      </c>
      <c r="B3569" s="43" t="n">
        <v>-23.439791</v>
      </c>
      <c r="C3569" s="43" t="n">
        <v>-46.74681</v>
      </c>
      <c r="D3569" s="43" t="n">
        <v>397</v>
      </c>
      <c r="E3569" s="44" t="n">
        <v>41982.98</v>
      </c>
    </row>
    <row r="3570">
      <c r="A3570" s="39">
        <f>_xlfn.XLOOKUP(17847,Trip[shape_id],Trip[shape_id],"Não encontrado")</f>
        <v/>
      </c>
      <c r="B3570" s="40" t="n">
        <v>-23.440299</v>
      </c>
      <c r="C3570" s="40" t="n">
        <v>-46.746452</v>
      </c>
      <c r="D3570" s="40" t="n">
        <v>398</v>
      </c>
      <c r="E3570" s="41" t="n">
        <v>42051.113</v>
      </c>
    </row>
    <row r="3571">
      <c r="A3571" s="42">
        <f>_xlfn.XLOOKUP(17847,Trip[shape_id],Trip[shape_id],"Não encontrado")</f>
        <v/>
      </c>
      <c r="B3571" s="43" t="n">
        <v>-23.440766</v>
      </c>
      <c r="C3571" s="43" t="n">
        <v>-46.746018</v>
      </c>
      <c r="D3571" s="43" t="n">
        <v>399</v>
      </c>
      <c r="E3571" s="44" t="n">
        <v>42125.539</v>
      </c>
    </row>
    <row r="3572">
      <c r="A3572" s="39">
        <f>_xlfn.XLOOKUP(17847,Trip[shape_id],Trip[shape_id],"Não encontrado")</f>
        <v/>
      </c>
      <c r="B3572" s="40" t="n">
        <v>-23.441219</v>
      </c>
      <c r="C3572" s="40" t="n">
        <v>-46.74548</v>
      </c>
      <c r="D3572" s="40" t="n">
        <v>400</v>
      </c>
      <c r="E3572" s="41" t="n">
        <v>42273.98</v>
      </c>
    </row>
    <row r="3573">
      <c r="A3573" s="42">
        <f>_xlfn.XLOOKUP(17847,Trip[shape_id],Trip[shape_id],"Não encontrado")</f>
        <v/>
      </c>
      <c r="B3573" s="43" t="n">
        <v>-23.441886</v>
      </c>
      <c r="C3573" s="43" t="n">
        <v>-46.74422</v>
      </c>
      <c r="D3573" s="43" t="n">
        <v>401</v>
      </c>
      <c r="E3573" s="44" t="n">
        <v>42409.559</v>
      </c>
    </row>
    <row r="3574">
      <c r="A3574" s="39">
        <f>_xlfn.XLOOKUP(17847,Trip[shape_id],Trip[shape_id],"Não encontrado")</f>
        <v/>
      </c>
      <c r="B3574" s="40" t="n">
        <v>-23.442788</v>
      </c>
      <c r="C3574" s="40" t="n">
        <v>-46.743323</v>
      </c>
      <c r="D3574" s="40" t="n">
        <v>402</v>
      </c>
      <c r="E3574" s="41" t="n">
        <v>42479.59</v>
      </c>
    </row>
    <row r="3575">
      <c r="A3575" s="42">
        <f>_xlfn.XLOOKUP(17847,Trip[shape_id],Trip[shape_id],"Não encontrado")</f>
        <v/>
      </c>
      <c r="B3575" s="43" t="n">
        <v>-23.443351</v>
      </c>
      <c r="C3575" s="43" t="n">
        <v>-46.743011</v>
      </c>
      <c r="D3575" s="43" t="n">
        <v>403</v>
      </c>
      <c r="E3575" s="44" t="n">
        <v>42520.105</v>
      </c>
    </row>
    <row r="3576">
      <c r="A3576" s="39">
        <f>_xlfn.XLOOKUP(17847,Trip[shape_id],Trip[shape_id],"Não encontrado")</f>
        <v/>
      </c>
      <c r="B3576" s="40" t="n">
        <v>-23.443676</v>
      </c>
      <c r="C3576" s="40" t="n">
        <v>-46.742829</v>
      </c>
      <c r="D3576" s="40" t="n">
        <v>404</v>
      </c>
      <c r="E3576" s="41" t="n">
        <v>42550.074</v>
      </c>
    </row>
    <row r="3577">
      <c r="A3577" s="42">
        <f>_xlfn.XLOOKUP(17847,Trip[shape_id],Trip[shape_id],"Não encontrado")</f>
        <v/>
      </c>
      <c r="B3577" s="43" t="n">
        <v>-23.443935</v>
      </c>
      <c r="C3577" s="43" t="n">
        <v>-46.742744</v>
      </c>
      <c r="D3577" s="43" t="n">
        <v>405</v>
      </c>
      <c r="E3577" s="44" t="n">
        <v>42691.848</v>
      </c>
    </row>
    <row r="3578">
      <c r="A3578" s="39">
        <f>_xlfn.XLOOKUP(17847,Trip[shape_id],Trip[shape_id],"Não encontrado")</f>
        <v/>
      </c>
      <c r="B3578" s="40" t="n">
        <v>-23.445153</v>
      </c>
      <c r="C3578" s="40" t="n">
        <v>-46.742317</v>
      </c>
      <c r="D3578" s="40" t="n">
        <v>406</v>
      </c>
      <c r="E3578" s="41" t="n">
        <v>42804.805</v>
      </c>
    </row>
    <row r="3579">
      <c r="A3579" s="42">
        <f>_xlfn.XLOOKUP(17847,Trip[shape_id],Trip[shape_id],"Não encontrado")</f>
        <v/>
      </c>
      <c r="B3579" s="43" t="n">
        <v>-23.446149</v>
      </c>
      <c r="C3579" s="43" t="n">
        <v>-46.742079</v>
      </c>
      <c r="D3579" s="43" t="n">
        <v>407</v>
      </c>
      <c r="E3579" s="44" t="n">
        <v>42974.336</v>
      </c>
    </row>
    <row r="3580">
      <c r="A3580" s="39">
        <f>_xlfn.XLOOKUP(17847,Trip[shape_id],Trip[shape_id],"Não encontrado")</f>
        <v/>
      </c>
      <c r="B3580" s="40" t="n">
        <v>-23.447679</v>
      </c>
      <c r="C3580" s="40" t="n">
        <v>-46.742027</v>
      </c>
      <c r="D3580" s="40" t="n">
        <v>408</v>
      </c>
      <c r="E3580" s="41" t="n">
        <v>43156.426</v>
      </c>
    </row>
    <row r="3581">
      <c r="A3581" s="42">
        <f>_xlfn.XLOOKUP(17847,Trip[shape_id],Trip[shape_id],"Não encontrado")</f>
        <v/>
      </c>
      <c r="B3581" s="43" t="n">
        <v>-23.449315</v>
      </c>
      <c r="C3581" s="43" t="n">
        <v>-46.742204</v>
      </c>
      <c r="D3581" s="43" t="n">
        <v>409</v>
      </c>
      <c r="E3581" s="44" t="n">
        <v>43321.809</v>
      </c>
    </row>
    <row r="3582">
      <c r="A3582" s="39">
        <f>_xlfn.XLOOKUP(17847,Trip[shape_id],Trip[shape_id],"Não encontrado")</f>
        <v/>
      </c>
      <c r="B3582" s="40" t="n">
        <v>-23.450781</v>
      </c>
      <c r="C3582" s="40" t="n">
        <v>-46.742512</v>
      </c>
      <c r="D3582" s="40" t="n">
        <v>410</v>
      </c>
      <c r="E3582" s="41" t="n">
        <v>43424.539</v>
      </c>
    </row>
    <row r="3583">
      <c r="A3583" s="42">
        <f>_xlfn.XLOOKUP(17847,Trip[shape_id],Trip[shape_id],"Não encontrado")</f>
        <v/>
      </c>
      <c r="B3583" s="43" t="n">
        <v>-23.451703</v>
      </c>
      <c r="C3583" s="43" t="n">
        <v>-46.742402</v>
      </c>
      <c r="D3583" s="43" t="n">
        <v>411</v>
      </c>
      <c r="E3583" s="44" t="n">
        <v>43505.719</v>
      </c>
    </row>
    <row r="3584">
      <c r="A3584" s="39">
        <f>_xlfn.XLOOKUP(17847,Trip[shape_id],Trip[shape_id],"Não encontrado")</f>
        <v/>
      </c>
      <c r="B3584" s="40" t="n">
        <v>-23.452395</v>
      </c>
      <c r="C3584" s="40" t="n">
        <v>-46.74214</v>
      </c>
      <c r="D3584" s="40" t="n">
        <v>412</v>
      </c>
      <c r="E3584" s="41" t="n">
        <v>43611.469</v>
      </c>
    </row>
    <row r="3585">
      <c r="A3585" s="42">
        <f>_xlfn.XLOOKUP(17847,Trip[shape_id],Trip[shape_id],"Não encontrado")</f>
        <v/>
      </c>
      <c r="B3585" s="43" t="n">
        <v>-23.453205</v>
      </c>
      <c r="C3585" s="43" t="n">
        <v>-46.741592</v>
      </c>
      <c r="D3585" s="43" t="n">
        <v>413</v>
      </c>
      <c r="E3585" s="44" t="n">
        <v>43718.75</v>
      </c>
    </row>
    <row r="3586">
      <c r="A3586" s="39">
        <f>_xlfn.XLOOKUP(17847,Trip[shape_id],Trip[shape_id],"Não encontrado")</f>
        <v/>
      </c>
      <c r="B3586" s="40" t="n">
        <v>-23.453803</v>
      </c>
      <c r="C3586" s="40" t="n">
        <v>-46.740766</v>
      </c>
      <c r="D3586" s="40" t="n">
        <v>414</v>
      </c>
      <c r="E3586" s="41" t="n">
        <v>43755.422</v>
      </c>
    </row>
    <row r="3587">
      <c r="A3587" s="42">
        <f>_xlfn.XLOOKUP(17847,Trip[shape_id],Trip[shape_id],"Não encontrado")</f>
        <v/>
      </c>
      <c r="B3587" s="43" t="n">
        <v>-23.454009</v>
      </c>
      <c r="C3587" s="43" t="n">
        <v>-46.740485</v>
      </c>
      <c r="D3587" s="43" t="n">
        <v>415</v>
      </c>
      <c r="E3587" s="44" t="n">
        <v>43870.098</v>
      </c>
    </row>
    <row r="3588">
      <c r="A3588" s="39">
        <f>_xlfn.XLOOKUP(17847,Trip[shape_id],Trip[shape_id],"Não encontrado")</f>
        <v/>
      </c>
      <c r="B3588" s="40" t="n">
        <v>-23.454533</v>
      </c>
      <c r="C3588" s="40" t="n">
        <v>-46.739517</v>
      </c>
      <c r="D3588" s="40" t="n">
        <v>416</v>
      </c>
      <c r="E3588" s="41" t="n">
        <v>43972.684</v>
      </c>
    </row>
    <row r="3589">
      <c r="A3589" s="42">
        <f>_xlfn.XLOOKUP(17847,Trip[shape_id],Trip[shape_id],"Não encontrado")</f>
        <v/>
      </c>
      <c r="B3589" s="43" t="n">
        <v>-23.455134</v>
      </c>
      <c r="C3589" s="43" t="n">
        <v>-46.738753</v>
      </c>
      <c r="D3589" s="43" t="n">
        <v>417</v>
      </c>
      <c r="E3589" s="44" t="n">
        <v>44021.898</v>
      </c>
    </row>
    <row r="3590">
      <c r="A3590" s="39">
        <f>_xlfn.XLOOKUP(17847,Trip[shape_id],Trip[shape_id],"Não encontrado")</f>
        <v/>
      </c>
      <c r="B3590" s="40" t="n">
        <v>-23.455502</v>
      </c>
      <c r="C3590" s="40" t="n">
        <v>-46.738483</v>
      </c>
      <c r="D3590" s="40" t="n">
        <v>418</v>
      </c>
      <c r="E3590" s="41" t="n">
        <v>44021.898</v>
      </c>
    </row>
    <row r="3591">
      <c r="A3591" s="42">
        <f>_xlfn.XLOOKUP(17847,Trip[shape_id],Trip[shape_id],"Não encontrado")</f>
        <v/>
      </c>
      <c r="B3591" s="43" t="n">
        <v>-23.455881</v>
      </c>
      <c r="C3591" s="43" t="n">
        <v>-46.73821</v>
      </c>
      <c r="D3591" s="43" t="n">
        <v>419</v>
      </c>
      <c r="E3591" s="44" t="n">
        <v>44145.051</v>
      </c>
    </row>
    <row r="3592">
      <c r="A3592" s="39">
        <f>_xlfn.XLOOKUP(17847,Trip[shape_id],Trip[shape_id],"Não encontrado")</f>
        <v/>
      </c>
      <c r="B3592" s="40" t="n">
        <v>-23.456509</v>
      </c>
      <c r="C3592" s="40" t="n">
        <v>-46.738001</v>
      </c>
      <c r="D3592" s="40" t="n">
        <v>420</v>
      </c>
      <c r="E3592" s="41" t="n">
        <v>44215.789</v>
      </c>
    </row>
    <row r="3593">
      <c r="A3593" s="42">
        <f>_xlfn.XLOOKUP(17847,Trip[shape_id],Trip[shape_id],"Não encontrado")</f>
        <v/>
      </c>
      <c r="B3593" s="43" t="n">
        <v>-23.457139</v>
      </c>
      <c r="C3593" s="43" t="n">
        <v>-46.737887</v>
      </c>
      <c r="D3593" s="43" t="n">
        <v>421</v>
      </c>
      <c r="E3593" s="44" t="n">
        <v>44300.023</v>
      </c>
    </row>
    <row r="3594">
      <c r="A3594" s="39">
        <f>_xlfn.XLOOKUP(17847,Trip[shape_id],Trip[shape_id],"Não encontrado")</f>
        <v/>
      </c>
      <c r="B3594" s="40" t="n">
        <v>-23.457899</v>
      </c>
      <c r="C3594" s="40" t="n">
        <v>-46.737919</v>
      </c>
      <c r="D3594" s="40" t="n">
        <v>422</v>
      </c>
      <c r="E3594" s="41" t="n">
        <v>44320.176</v>
      </c>
    </row>
    <row r="3595">
      <c r="A3595" s="42">
        <f>_xlfn.XLOOKUP(17847,Trip[shape_id],Trip[shape_id],"Não encontrado")</f>
        <v/>
      </c>
      <c r="B3595" s="43" t="n">
        <v>-23.458074</v>
      </c>
      <c r="C3595" s="43" t="n">
        <v>-46.737973</v>
      </c>
      <c r="D3595" s="43" t="n">
        <v>423</v>
      </c>
      <c r="E3595" s="44" t="n">
        <v>44411.27</v>
      </c>
    </row>
    <row r="3596">
      <c r="A3596" s="39">
        <f>_xlfn.XLOOKUP(17847,Trip[shape_id],Trip[shape_id],"Não encontrado")</f>
        <v/>
      </c>
      <c r="B3596" s="40" t="n">
        <v>-23.458857</v>
      </c>
      <c r="C3596" s="40" t="n">
        <v>-46.738246</v>
      </c>
      <c r="D3596" s="40" t="n">
        <v>424</v>
      </c>
      <c r="E3596" s="41" t="n">
        <v>44541.383</v>
      </c>
    </row>
    <row r="3597">
      <c r="A3597" s="42">
        <f>_xlfn.XLOOKUP(17847,Trip[shape_id],Trip[shape_id],"Não encontrado")</f>
        <v/>
      </c>
      <c r="B3597" s="43" t="n">
        <v>-23.459848</v>
      </c>
      <c r="C3597" s="43" t="n">
        <v>-46.73893</v>
      </c>
      <c r="D3597" s="43" t="n">
        <v>425</v>
      </c>
      <c r="E3597" s="44" t="n">
        <v>44723.91</v>
      </c>
    </row>
    <row r="3598">
      <c r="A3598" s="39">
        <f>_xlfn.XLOOKUP(17847,Trip[shape_id],Trip[shape_id],"Não encontrado")</f>
        <v/>
      </c>
      <c r="B3598" s="40" t="n">
        <v>-23.460889</v>
      </c>
      <c r="C3598" s="40" t="n">
        <v>-46.740315</v>
      </c>
      <c r="D3598" s="40" t="n">
        <v>426</v>
      </c>
      <c r="E3598" s="41" t="n">
        <v>44837.27</v>
      </c>
    </row>
    <row r="3599">
      <c r="A3599" s="42">
        <f>_xlfn.XLOOKUP(17847,Trip[shape_id],Trip[shape_id],"Não encontrado")</f>
        <v/>
      </c>
      <c r="B3599" s="43" t="n">
        <v>-23.46153</v>
      </c>
      <c r="C3599" s="43" t="n">
        <v>-46.74118</v>
      </c>
      <c r="D3599" s="43" t="n">
        <v>427</v>
      </c>
      <c r="E3599" s="44" t="n">
        <v>44884.277</v>
      </c>
    </row>
    <row r="3600">
      <c r="A3600" s="39">
        <f>_xlfn.XLOOKUP(17847,Trip[shape_id],Trip[shape_id],"Não encontrado")</f>
        <v/>
      </c>
      <c r="B3600" s="40" t="n">
        <v>-23.4618</v>
      </c>
      <c r="C3600" s="40" t="n">
        <v>-46.741535</v>
      </c>
      <c r="D3600" s="40" t="n">
        <v>428</v>
      </c>
      <c r="E3600" s="41" t="n">
        <v>44964.895</v>
      </c>
    </row>
    <row r="3601">
      <c r="A3601" s="42">
        <f>_xlfn.XLOOKUP(17847,Trip[shape_id],Trip[shape_id],"Não encontrado")</f>
        <v/>
      </c>
      <c r="B3601" s="43" t="n">
        <v>-23.462277</v>
      </c>
      <c r="C3601" s="43" t="n">
        <v>-46.742131</v>
      </c>
      <c r="D3601" s="43" t="n">
        <v>429</v>
      </c>
      <c r="E3601" s="44" t="n">
        <v>45124.434</v>
      </c>
    </row>
    <row r="3602">
      <c r="A3602" s="39">
        <f>_xlfn.XLOOKUP(17847,Trip[shape_id],Trip[shape_id],"Não encontrado")</f>
        <v/>
      </c>
      <c r="B3602" s="40" t="n">
        <v>-23.463231</v>
      </c>
      <c r="C3602" s="40" t="n">
        <v>-46.743301</v>
      </c>
      <c r="D3602" s="40" t="n">
        <v>430</v>
      </c>
      <c r="E3602" s="41" t="n">
        <v>45302.645</v>
      </c>
    </row>
    <row r="3603">
      <c r="A3603" s="42">
        <f>_xlfn.XLOOKUP(17847,Trip[shape_id],Trip[shape_id],"Não encontrado")</f>
        <v/>
      </c>
      <c r="B3603" s="43" t="n">
        <v>-23.464271</v>
      </c>
      <c r="C3603" s="43" t="n">
        <v>-46.744632</v>
      </c>
      <c r="D3603" s="43" t="n">
        <v>431</v>
      </c>
      <c r="E3603" s="44" t="n">
        <v>45433.617</v>
      </c>
    </row>
    <row r="3604">
      <c r="A3604" s="39">
        <f>_xlfn.XLOOKUP(17847,Trip[shape_id],Trip[shape_id],"Não encontrado")</f>
        <v/>
      </c>
      <c r="B3604" s="40" t="n">
        <v>-23.46518</v>
      </c>
      <c r="C3604" s="40" t="n">
        <v>-46.745452</v>
      </c>
      <c r="D3604" s="40" t="n">
        <v>432</v>
      </c>
      <c r="E3604" s="41" t="n">
        <v>45510.934</v>
      </c>
    </row>
    <row r="3605">
      <c r="A3605" s="42">
        <f>_xlfn.XLOOKUP(17847,Trip[shape_id],Trip[shape_id],"Não encontrado")</f>
        <v/>
      </c>
      <c r="B3605" s="43" t="n">
        <v>-23.465843</v>
      </c>
      <c r="C3605" s="43" t="n">
        <v>-46.745689</v>
      </c>
      <c r="D3605" s="43" t="n">
        <v>433</v>
      </c>
      <c r="E3605" s="44" t="n">
        <v>45592.523</v>
      </c>
    </row>
    <row r="3606">
      <c r="A3606" s="39">
        <f>_xlfn.XLOOKUP(17847,Trip[shape_id],Trip[shape_id],"Não encontrado")</f>
        <v/>
      </c>
      <c r="B3606" s="40" t="n">
        <v>-23.466562</v>
      </c>
      <c r="C3606" s="40" t="n">
        <v>-46.745863</v>
      </c>
      <c r="D3606" s="40" t="n">
        <v>434</v>
      </c>
      <c r="E3606" s="41" t="n">
        <v>45645.168</v>
      </c>
    </row>
    <row r="3607">
      <c r="A3607" s="42">
        <f>_xlfn.XLOOKUP(17847,Trip[shape_id],Trip[shape_id],"Não encontrado")</f>
        <v/>
      </c>
      <c r="B3607" s="43" t="n">
        <v>-23.467037</v>
      </c>
      <c r="C3607" s="43" t="n">
        <v>-46.745843</v>
      </c>
      <c r="D3607" s="43" t="n">
        <v>435</v>
      </c>
      <c r="E3607" s="44" t="n">
        <v>45672.984</v>
      </c>
    </row>
    <row r="3608">
      <c r="A3608" s="39">
        <f>_xlfn.XLOOKUP(17847,Trip[shape_id],Trip[shape_id],"Não encontrado")</f>
        <v/>
      </c>
      <c r="B3608" s="40" t="n">
        <v>-23.467288</v>
      </c>
      <c r="C3608" s="40" t="n">
        <v>-46.745833</v>
      </c>
      <c r="D3608" s="40" t="n">
        <v>436</v>
      </c>
      <c r="E3608" s="41" t="n">
        <v>45696.785</v>
      </c>
    </row>
    <row r="3609">
      <c r="A3609" s="42">
        <f>_xlfn.XLOOKUP(17847,Trip[shape_id],Trip[shape_id],"Não encontrado")</f>
        <v/>
      </c>
      <c r="B3609" s="43" t="n">
        <v>-23.467501</v>
      </c>
      <c r="C3609" s="43" t="n">
        <v>-46.745802</v>
      </c>
      <c r="D3609" s="43" t="n">
        <v>437</v>
      </c>
      <c r="E3609" s="44" t="n">
        <v>45759.766</v>
      </c>
    </row>
    <row r="3610">
      <c r="A3610" s="39">
        <f>_xlfn.XLOOKUP(17847,Trip[shape_id],Trip[shape_id],"Não encontrado")</f>
        <v/>
      </c>
      <c r="B3610" s="40" t="n">
        <v>-23.468066</v>
      </c>
      <c r="C3610" s="40" t="n">
        <v>-46.745732</v>
      </c>
      <c r="D3610" s="40" t="n">
        <v>438</v>
      </c>
      <c r="E3610" s="41" t="n">
        <v>45848.762</v>
      </c>
    </row>
    <row r="3611">
      <c r="A3611" s="42">
        <f>_xlfn.XLOOKUP(17847,Trip[shape_id],Trip[shape_id],"Não encontrado")</f>
        <v/>
      </c>
      <c r="B3611" s="43" t="n">
        <v>-23.468785</v>
      </c>
      <c r="C3611" s="43" t="n">
        <v>-46.745343</v>
      </c>
      <c r="D3611" s="43" t="n">
        <v>439</v>
      </c>
      <c r="E3611" s="44" t="n">
        <v>45943.734</v>
      </c>
    </row>
    <row r="3612">
      <c r="A3612" s="39">
        <f>_xlfn.XLOOKUP(17847,Trip[shape_id],Trip[shape_id],"Não encontrado")</f>
        <v/>
      </c>
      <c r="B3612" s="40" t="n">
        <v>-23.469485</v>
      </c>
      <c r="C3612" s="40" t="n">
        <v>-46.744806</v>
      </c>
      <c r="D3612" s="40" t="n">
        <v>440</v>
      </c>
      <c r="E3612" s="41" t="n">
        <v>45993.484</v>
      </c>
    </row>
    <row r="3613">
      <c r="A3613" s="42">
        <f>_xlfn.XLOOKUP(17847,Trip[shape_id],Trip[shape_id],"Não encontrado")</f>
        <v/>
      </c>
      <c r="B3613" s="43" t="n">
        <v>-23.469802</v>
      </c>
      <c r="C3613" s="43" t="n">
        <v>-46.744461</v>
      </c>
      <c r="D3613" s="43" t="n">
        <v>441</v>
      </c>
      <c r="E3613" s="44" t="n">
        <v>45993.484</v>
      </c>
    </row>
    <row r="3614">
      <c r="A3614" s="39">
        <f>_xlfn.XLOOKUP(17847,Trip[shape_id],Trip[shape_id],"Não encontrado")</f>
        <v/>
      </c>
      <c r="B3614" s="40" t="n">
        <v>-23.46988</v>
      </c>
      <c r="C3614" s="40" t="n">
        <v>-46.744367</v>
      </c>
      <c r="D3614" s="40" t="n">
        <v>442</v>
      </c>
      <c r="E3614" s="41" t="n">
        <v>46077.652</v>
      </c>
    </row>
    <row r="3615">
      <c r="A3615" s="42">
        <f>_xlfn.XLOOKUP(17847,Trip[shape_id],Trip[shape_id],"Não encontrado")</f>
        <v/>
      </c>
      <c r="B3615" s="43" t="n">
        <v>-23.470211</v>
      </c>
      <c r="C3615" s="43" t="n">
        <v>-46.743769</v>
      </c>
      <c r="D3615" s="43" t="n">
        <v>443</v>
      </c>
      <c r="E3615" s="44" t="n">
        <v>46270.301</v>
      </c>
    </row>
    <row r="3616">
      <c r="A3616" s="39">
        <f>_xlfn.XLOOKUP(17847,Trip[shape_id],Trip[shape_id],"Não encontrado")</f>
        <v/>
      </c>
      <c r="B3616" s="40" t="n">
        <v>-23.470877</v>
      </c>
      <c r="C3616" s="40" t="n">
        <v>-46.742027</v>
      </c>
      <c r="D3616" s="40" t="n">
        <v>444</v>
      </c>
      <c r="E3616" s="41" t="n">
        <v>46526.152</v>
      </c>
    </row>
    <row r="3617">
      <c r="A3617" s="42">
        <f>_xlfn.XLOOKUP(17847,Trip[shape_id],Trip[shape_id],"Não encontrado")</f>
        <v/>
      </c>
      <c r="B3617" s="43" t="n">
        <v>-23.472196</v>
      </c>
      <c r="C3617" s="43" t="n">
        <v>-46.739971</v>
      </c>
      <c r="D3617" s="43" t="n">
        <v>445</v>
      </c>
      <c r="E3617" s="44" t="n">
        <v>46786.676</v>
      </c>
    </row>
    <row r="3618">
      <c r="A3618" s="39">
        <f>_xlfn.XLOOKUP(17847,Trip[shape_id],Trip[shape_id],"Não encontrado")</f>
        <v/>
      </c>
      <c r="B3618" s="40" t="n">
        <v>-23.473667</v>
      </c>
      <c r="C3618" s="40" t="n">
        <v>-46.737981</v>
      </c>
      <c r="D3618" s="40" t="n">
        <v>446</v>
      </c>
      <c r="E3618" s="41" t="n">
        <v>46918.949</v>
      </c>
    </row>
    <row r="3619">
      <c r="A3619" s="42">
        <f>_xlfn.XLOOKUP(17847,Trip[shape_id],Trip[shape_id],"Não encontrado")</f>
        <v/>
      </c>
      <c r="B3619" s="43" t="n">
        <v>-23.474429</v>
      </c>
      <c r="C3619" s="43" t="n">
        <v>-46.736984</v>
      </c>
      <c r="D3619" s="43" t="n">
        <v>447</v>
      </c>
      <c r="E3619" s="44" t="n">
        <v>47043.828</v>
      </c>
    </row>
    <row r="3620">
      <c r="A3620" s="39">
        <f>_xlfn.XLOOKUP(17847,Trip[shape_id],Trip[shape_id],"Não encontrado")</f>
        <v/>
      </c>
      <c r="B3620" s="40" t="n">
        <v>-23.475291</v>
      </c>
      <c r="C3620" s="40" t="n">
        <v>-46.736196</v>
      </c>
      <c r="D3620" s="40" t="n">
        <v>448</v>
      </c>
      <c r="E3620" s="41" t="n">
        <v>47107.313</v>
      </c>
    </row>
    <row r="3621">
      <c r="A3621" s="42">
        <f>_xlfn.XLOOKUP(17847,Trip[shape_id],Trip[shape_id],"Não encontrado")</f>
        <v/>
      </c>
      <c r="B3621" s="43" t="n">
        <v>-23.475797</v>
      </c>
      <c r="C3621" s="43" t="n">
        <v>-46.735904</v>
      </c>
      <c r="D3621" s="43" t="n">
        <v>449</v>
      </c>
      <c r="E3621" s="44" t="n">
        <v>47267.727</v>
      </c>
    </row>
    <row r="3622">
      <c r="A3622" s="39">
        <f>_xlfn.XLOOKUP(17847,Trip[shape_id],Trip[shape_id],"Não encontrado")</f>
        <v/>
      </c>
      <c r="B3622" s="40" t="n">
        <v>-23.477067</v>
      </c>
      <c r="C3622" s="40" t="n">
        <v>-46.735149</v>
      </c>
      <c r="D3622" s="40" t="n">
        <v>450</v>
      </c>
      <c r="E3622" s="41" t="n">
        <v>47463.383</v>
      </c>
    </row>
    <row r="3623">
      <c r="A3623" s="42">
        <f>_xlfn.XLOOKUP(17847,Trip[shape_id],Trip[shape_id],"Não encontrado")</f>
        <v/>
      </c>
      <c r="B3623" s="43" t="n">
        <v>-23.478656</v>
      </c>
      <c r="C3623" s="43" t="n">
        <v>-46.734312</v>
      </c>
      <c r="D3623" s="43" t="n">
        <v>451</v>
      </c>
      <c r="E3623" s="44" t="n">
        <v>47581.504</v>
      </c>
    </row>
    <row r="3624">
      <c r="A3624" s="39">
        <f>_xlfn.XLOOKUP(17847,Trip[shape_id],Trip[shape_id],"Não encontrado")</f>
        <v/>
      </c>
      <c r="B3624" s="40" t="n">
        <v>-23.479615</v>
      </c>
      <c r="C3624" s="40" t="n">
        <v>-46.733806</v>
      </c>
      <c r="D3624" s="40" t="n">
        <v>452</v>
      </c>
      <c r="E3624" s="41" t="n">
        <v>47740.703</v>
      </c>
    </row>
    <row r="3625">
      <c r="A3625" s="42">
        <f>_xlfn.XLOOKUP(17847,Trip[shape_id],Trip[shape_id],"Não encontrado")</f>
        <v/>
      </c>
      <c r="B3625" s="43" t="n">
        <v>-23.480915</v>
      </c>
      <c r="C3625" s="43" t="n">
        <v>-46.733141</v>
      </c>
      <c r="D3625" s="43" t="n">
        <v>453</v>
      </c>
      <c r="E3625" s="44" t="n">
        <v>47915.656</v>
      </c>
    </row>
    <row r="3626">
      <c r="A3626" s="39">
        <f>_xlfn.XLOOKUP(17847,Trip[shape_id],Trip[shape_id],"Não encontrado")</f>
        <v/>
      </c>
      <c r="B3626" s="40" t="n">
        <v>-23.482404</v>
      </c>
      <c r="C3626" s="40" t="n">
        <v>-46.732569</v>
      </c>
      <c r="D3626" s="40" t="n">
        <v>454</v>
      </c>
      <c r="E3626" s="41" t="n">
        <v>48049.469</v>
      </c>
    </row>
    <row r="3627">
      <c r="A3627" s="42">
        <f>_xlfn.XLOOKUP(17847,Trip[shape_id],Trip[shape_id],"Não encontrado")</f>
        <v/>
      </c>
      <c r="B3627" s="43" t="n">
        <v>-23.483453</v>
      </c>
      <c r="C3627" s="43" t="n">
        <v>-46.731919</v>
      </c>
      <c r="D3627" s="43" t="n">
        <v>455</v>
      </c>
      <c r="E3627" s="44" t="n">
        <v>48162.359</v>
      </c>
    </row>
    <row r="3628">
      <c r="A3628" s="39">
        <f>_xlfn.XLOOKUP(17847,Trip[shape_id],Trip[shape_id],"Não encontrado")</f>
        <v/>
      </c>
      <c r="B3628" s="40" t="n">
        <v>-23.484162</v>
      </c>
      <c r="C3628" s="40" t="n">
        <v>-46.731125</v>
      </c>
      <c r="D3628" s="40" t="n">
        <v>456</v>
      </c>
      <c r="E3628" s="41" t="n">
        <v>48288.988</v>
      </c>
    </row>
    <row r="3629">
      <c r="A3629" s="42">
        <f>_xlfn.XLOOKUP(17847,Trip[shape_id],Trip[shape_id],"Não encontrado")</f>
        <v/>
      </c>
      <c r="B3629" s="43" t="n">
        <v>-23.484955</v>
      </c>
      <c r="C3629" s="43" t="n">
        <v>-46.730232</v>
      </c>
      <c r="D3629" s="43" t="n">
        <v>457</v>
      </c>
      <c r="E3629" s="44" t="n">
        <v>48536.035</v>
      </c>
    </row>
    <row r="3630">
      <c r="A3630" s="39">
        <f>_xlfn.XLOOKUP(17847,Trip[shape_id],Trip[shape_id],"Não encontrado")</f>
        <v/>
      </c>
      <c r="B3630" s="40" t="n">
        <v>-23.486477</v>
      </c>
      <c r="C3630" s="40" t="n">
        <v>-46.728464</v>
      </c>
      <c r="D3630" s="40" t="n">
        <v>458</v>
      </c>
      <c r="E3630" s="41" t="n">
        <v>48689.527</v>
      </c>
    </row>
    <row r="3631">
      <c r="A3631" s="42">
        <f>_xlfn.XLOOKUP(17847,Trip[shape_id],Trip[shape_id],"Não encontrado")</f>
        <v/>
      </c>
      <c r="B3631" s="43" t="n">
        <v>-23.487472</v>
      </c>
      <c r="C3631" s="43" t="n">
        <v>-46.727418</v>
      </c>
      <c r="D3631" s="43" t="n">
        <v>459</v>
      </c>
      <c r="E3631" s="44" t="n">
        <v>48859.082</v>
      </c>
    </row>
    <row r="3632">
      <c r="A3632" s="39">
        <f>_xlfn.XLOOKUP(17847,Trip[shape_id],Trip[shape_id],"Não encontrado")</f>
        <v/>
      </c>
      <c r="B3632" s="40" t="n">
        <v>-23.488432</v>
      </c>
      <c r="C3632" s="40" t="n">
        <v>-46.726125</v>
      </c>
      <c r="D3632" s="40" t="n">
        <v>460</v>
      </c>
      <c r="E3632" s="41" t="n">
        <v>48859.082</v>
      </c>
    </row>
    <row r="3633">
      <c r="A3633" s="42">
        <f>_xlfn.XLOOKUP(17847,Trip[shape_id],Trip[shape_id],"Não encontrado")</f>
        <v/>
      </c>
      <c r="B3633" s="43" t="n">
        <v>-23.488492</v>
      </c>
      <c r="C3633" s="43" t="n">
        <v>-46.726018</v>
      </c>
      <c r="D3633" s="43" t="n">
        <v>461</v>
      </c>
      <c r="E3633" s="44" t="n">
        <v>48891.488</v>
      </c>
    </row>
    <row r="3634">
      <c r="A3634" s="39">
        <f>_xlfn.XLOOKUP(17847,Trip[shape_id],Trip[shape_id],"Não encontrado")</f>
        <v/>
      </c>
      <c r="B3634" s="40" t="n">
        <v>-23.488581</v>
      </c>
      <c r="C3634" s="40" t="n">
        <v>-46.725852</v>
      </c>
      <c r="D3634" s="40" t="n">
        <v>462</v>
      </c>
      <c r="E3634" s="41" t="n">
        <v>48921.84</v>
      </c>
    </row>
    <row r="3635">
      <c r="A3635" s="42">
        <f>_xlfn.XLOOKUP(17847,Trip[shape_id],Trip[shape_id],"Não encontrado")</f>
        <v/>
      </c>
      <c r="B3635" s="43" t="n">
        <v>-23.488712</v>
      </c>
      <c r="C3635" s="43" t="n">
        <v>-46.725591</v>
      </c>
      <c r="D3635" s="43" t="n">
        <v>463</v>
      </c>
      <c r="E3635" s="44" t="n">
        <v>49028.883</v>
      </c>
    </row>
    <row r="3636">
      <c r="A3636" s="39">
        <f>_xlfn.XLOOKUP(17847,Trip[shape_id],Trip[shape_id],"Não encontrado")</f>
        <v/>
      </c>
      <c r="B3636" s="40" t="n">
        <v>-23.489347</v>
      </c>
      <c r="C3636" s="40" t="n">
        <v>-46.724801</v>
      </c>
      <c r="D3636" s="40" t="n">
        <v>464</v>
      </c>
      <c r="E3636" s="41" t="n">
        <v>49077.414</v>
      </c>
    </row>
    <row r="3637">
      <c r="A3637" s="42">
        <f>_xlfn.XLOOKUP(17847,Trip[shape_id],Trip[shape_id],"Não encontrado")</f>
        <v/>
      </c>
      <c r="B3637" s="43" t="n">
        <v>-23.489634</v>
      </c>
      <c r="C3637" s="43" t="n">
        <v>-46.724442</v>
      </c>
      <c r="D3637" s="43" t="n">
        <v>465</v>
      </c>
      <c r="E3637" s="44" t="n">
        <v>49149.57</v>
      </c>
    </row>
    <row r="3638">
      <c r="A3638" s="39">
        <f>_xlfn.XLOOKUP(17847,Trip[shape_id],Trip[shape_id],"Não encontrado")</f>
        <v/>
      </c>
      <c r="B3638" s="40" t="n">
        <v>-23.49013</v>
      </c>
      <c r="C3638" s="40" t="n">
        <v>-46.723984</v>
      </c>
      <c r="D3638" s="40" t="n">
        <v>466</v>
      </c>
      <c r="E3638" s="41" t="n">
        <v>49247.586</v>
      </c>
    </row>
    <row r="3639">
      <c r="A3639" s="42">
        <f>_xlfn.XLOOKUP(17847,Trip[shape_id],Trip[shape_id],"Não encontrado")</f>
        <v/>
      </c>
      <c r="B3639" s="43" t="n">
        <v>-23.490872</v>
      </c>
      <c r="C3639" s="43" t="n">
        <v>-46.723461</v>
      </c>
      <c r="D3639" s="43" t="n">
        <v>467</v>
      </c>
      <c r="E3639" s="44" t="n">
        <v>49333.926</v>
      </c>
    </row>
    <row r="3640">
      <c r="A3640" s="39">
        <f>_xlfn.XLOOKUP(17847,Trip[shape_id],Trip[shape_id],"Não encontrado")</f>
        <v/>
      </c>
      <c r="B3640" s="40" t="n">
        <v>-23.491493</v>
      </c>
      <c r="C3640" s="40" t="n">
        <v>-46.72295</v>
      </c>
      <c r="D3640" s="40" t="n">
        <v>468</v>
      </c>
      <c r="E3640" s="41" t="n">
        <v>49526.504</v>
      </c>
    </row>
    <row r="3641">
      <c r="A3641" s="42">
        <f>_xlfn.XLOOKUP(17847,Trip[shape_id],Trip[shape_id],"Não encontrado")</f>
        <v/>
      </c>
      <c r="B3641" s="43" t="n">
        <v>-23.49273</v>
      </c>
      <c r="C3641" s="43" t="n">
        <v>-46.721625</v>
      </c>
      <c r="D3641" s="43" t="n">
        <v>469</v>
      </c>
      <c r="E3641" s="44" t="n">
        <v>49560.617</v>
      </c>
    </row>
    <row r="3642">
      <c r="A3642" s="39">
        <f>_xlfn.XLOOKUP(17847,Trip[shape_id],Trip[shape_id],"Não encontrado")</f>
        <v/>
      </c>
      <c r="B3642" s="40" t="n">
        <v>-23.492921</v>
      </c>
      <c r="C3642" s="40" t="n">
        <v>-46.721363</v>
      </c>
      <c r="D3642" s="40" t="n">
        <v>470</v>
      </c>
      <c r="E3642" s="41" t="n">
        <v>49560.617</v>
      </c>
    </row>
    <row r="3643">
      <c r="A3643" s="42">
        <f>_xlfn.XLOOKUP(17847,Trip[shape_id],Trip[shape_id],"Não encontrado")</f>
        <v/>
      </c>
      <c r="B3643" s="43" t="n">
        <v>-23.493597</v>
      </c>
      <c r="C3643" s="43" t="n">
        <v>-46.720484</v>
      </c>
      <c r="D3643" s="43" t="n">
        <v>471</v>
      </c>
      <c r="E3643" s="44" t="n">
        <v>49917.52</v>
      </c>
    </row>
    <row r="3644">
      <c r="A3644" s="39">
        <f>_xlfn.XLOOKUP(17847,Trip[shape_id],Trip[shape_id],"Não encontrado")</f>
        <v/>
      </c>
      <c r="B3644" s="40" t="n">
        <v>-23.4952</v>
      </c>
      <c r="C3644" s="40" t="n">
        <v>-46.718903</v>
      </c>
      <c r="D3644" s="40" t="n">
        <v>472</v>
      </c>
      <c r="E3644" s="41" t="n">
        <v>50214.141</v>
      </c>
    </row>
    <row r="3645">
      <c r="A3645" s="42">
        <f>_xlfn.XLOOKUP(17847,Trip[shape_id],Trip[shape_id],"Não encontrado")</f>
        <v/>
      </c>
      <c r="B3645" s="43" t="n">
        <v>-23.497314</v>
      </c>
      <c r="C3645" s="43" t="n">
        <v>-46.71712</v>
      </c>
      <c r="D3645" s="43" t="n">
        <v>473</v>
      </c>
      <c r="E3645" s="44" t="n">
        <v>50392.273</v>
      </c>
    </row>
    <row r="3646">
      <c r="A3646" s="39">
        <f>_xlfn.XLOOKUP(17847,Trip[shape_id],Trip[shape_id],"Não encontrado")</f>
        <v/>
      </c>
      <c r="B3646" s="40" t="n">
        <v>-23.498633</v>
      </c>
      <c r="C3646" s="40" t="n">
        <v>-46.716122</v>
      </c>
      <c r="D3646" s="40" t="n">
        <v>474</v>
      </c>
      <c r="E3646" s="41" t="n">
        <v>50516.188</v>
      </c>
    </row>
    <row r="3647">
      <c r="A3647" s="42">
        <f>_xlfn.XLOOKUP(17847,Trip[shape_id],Trip[shape_id],"Não encontrado")</f>
        <v/>
      </c>
      <c r="B3647" s="43" t="n">
        <v>-23.499626</v>
      </c>
      <c r="C3647" s="43" t="n">
        <v>-46.715563</v>
      </c>
      <c r="D3647" s="43" t="n">
        <v>475</v>
      </c>
      <c r="E3647" s="44" t="n">
        <v>50614.648</v>
      </c>
    </row>
    <row r="3648">
      <c r="A3648" s="39">
        <f>_xlfn.XLOOKUP(17847,Trip[shape_id],Trip[shape_id],"Não encontrado")</f>
        <v/>
      </c>
      <c r="B3648" s="40" t="n">
        <v>-23.500454</v>
      </c>
      <c r="C3648" s="40" t="n">
        <v>-46.715212</v>
      </c>
      <c r="D3648" s="40" t="n">
        <v>476</v>
      </c>
      <c r="E3648" s="41" t="n">
        <v>50755.883</v>
      </c>
    </row>
    <row r="3649">
      <c r="A3649" s="42">
        <f>_xlfn.XLOOKUP(17847,Trip[shape_id],Trip[shape_id],"Não encontrado")</f>
        <v/>
      </c>
      <c r="B3649" s="43" t="n">
        <v>-23.501697</v>
      </c>
      <c r="C3649" s="43" t="n">
        <v>-46.714903</v>
      </c>
      <c r="D3649" s="43" t="n">
        <v>477</v>
      </c>
      <c r="E3649" s="44" t="n">
        <v>50828.25</v>
      </c>
    </row>
    <row r="3650">
      <c r="A3650" s="39">
        <f>_xlfn.XLOOKUP(17847,Trip[shape_id],Trip[shape_id],"Não encontrado")</f>
        <v/>
      </c>
      <c r="B3650" s="40" t="n">
        <v>-23.502349</v>
      </c>
      <c r="C3650" s="40" t="n">
        <v>-46.71495</v>
      </c>
      <c r="D3650" s="40" t="n">
        <v>478</v>
      </c>
      <c r="E3650" s="41" t="n">
        <v>50828.25</v>
      </c>
    </row>
    <row r="3651">
      <c r="A3651" s="42">
        <f>_xlfn.XLOOKUP(17847,Trip[shape_id],Trip[shape_id],"Não encontrado")</f>
        <v/>
      </c>
      <c r="B3651" s="43" t="n">
        <v>-23.503343</v>
      </c>
      <c r="C3651" s="43" t="n">
        <v>-46.715009</v>
      </c>
      <c r="D3651" s="43" t="n">
        <v>479</v>
      </c>
      <c r="E3651" s="44" t="n">
        <v>51069.973</v>
      </c>
    </row>
    <row r="3652">
      <c r="A3652" s="39">
        <f>_xlfn.XLOOKUP(17847,Trip[shape_id],Trip[shape_id],"Não encontrado")</f>
        <v/>
      </c>
      <c r="B3652" s="40" t="n">
        <v>-23.50453</v>
      </c>
      <c r="C3652" s="40" t="n">
        <v>-46.715026</v>
      </c>
      <c r="D3652" s="40" t="n">
        <v>480</v>
      </c>
      <c r="E3652" s="41" t="n">
        <v>51194.055</v>
      </c>
    </row>
    <row r="3653">
      <c r="A3653" s="42">
        <f>_xlfn.XLOOKUP(17847,Trip[shape_id],Trip[shape_id],"Não encontrado")</f>
        <v/>
      </c>
      <c r="B3653" s="43" t="n">
        <v>-23.505648</v>
      </c>
      <c r="C3653" s="43" t="n">
        <v>-46.714947</v>
      </c>
      <c r="D3653" s="43" t="n">
        <v>481</v>
      </c>
      <c r="E3653" s="44" t="n">
        <v>51479.516</v>
      </c>
    </row>
    <row r="3654">
      <c r="A3654" s="39">
        <f>_xlfn.XLOOKUP(17847,Trip[shape_id],Trip[shape_id],"Não encontrado")</f>
        <v/>
      </c>
      <c r="B3654" s="40" t="n">
        <v>-23.508138</v>
      </c>
      <c r="C3654" s="40" t="n">
        <v>-46.714225</v>
      </c>
      <c r="D3654" s="40" t="n">
        <v>482</v>
      </c>
      <c r="E3654" s="41" t="n">
        <v>51803.078</v>
      </c>
    </row>
    <row r="3655">
      <c r="A3655" s="42">
        <f>_xlfn.XLOOKUP(17847,Trip[shape_id],Trip[shape_id],"Não encontrado")</f>
        <v/>
      </c>
      <c r="B3655" s="43" t="n">
        <v>-23.510921</v>
      </c>
      <c r="C3655" s="43" t="n">
        <v>-46.713261</v>
      </c>
      <c r="D3655" s="43" t="n">
        <v>483</v>
      </c>
      <c r="E3655" s="44" t="n">
        <v>51942.723</v>
      </c>
    </row>
    <row r="3656">
      <c r="A3656" s="39">
        <f>_xlfn.XLOOKUP(17847,Trip[shape_id],Trip[shape_id],"Não encontrado")</f>
        <v/>
      </c>
      <c r="B3656" s="40" t="n">
        <v>-23.512077</v>
      </c>
      <c r="C3656" s="40" t="n">
        <v>-46.712715</v>
      </c>
      <c r="D3656" s="40" t="n">
        <v>484</v>
      </c>
      <c r="E3656" s="41" t="n">
        <v>52216.168</v>
      </c>
    </row>
    <row r="3657">
      <c r="A3657" s="42">
        <f>_xlfn.XLOOKUP(17847,Trip[shape_id],Trip[shape_id],"Não encontrado")</f>
        <v/>
      </c>
      <c r="B3657" s="43" t="n">
        <v>-23.513973</v>
      </c>
      <c r="C3657" s="43" t="n">
        <v>-46.711</v>
      </c>
      <c r="D3657" s="43" t="n">
        <v>485</v>
      </c>
      <c r="E3657" s="44" t="n">
        <v>52387.027</v>
      </c>
    </row>
    <row r="3658">
      <c r="A3658" s="39">
        <f>_xlfn.XLOOKUP(17847,Trip[shape_id],Trip[shape_id],"Não encontrado")</f>
        <v/>
      </c>
      <c r="B3658" s="40" t="n">
        <v>-23.514944</v>
      </c>
      <c r="C3658" s="40" t="n">
        <v>-46.7097</v>
      </c>
      <c r="D3658" s="40" t="n">
        <v>486</v>
      </c>
      <c r="E3658" s="41" t="n">
        <v>52636.02</v>
      </c>
    </row>
    <row r="3659">
      <c r="A3659" s="42">
        <f>_xlfn.XLOOKUP(17847,Trip[shape_id],Trip[shape_id],"Não encontrado")</f>
        <v/>
      </c>
      <c r="B3659" s="43" t="n">
        <v>-23.516016</v>
      </c>
      <c r="C3659" s="43" t="n">
        <v>-46.707557</v>
      </c>
      <c r="D3659" s="43" t="n">
        <v>487</v>
      </c>
      <c r="E3659" s="44" t="n">
        <v>53033.805</v>
      </c>
    </row>
    <row r="3660">
      <c r="A3660" s="39">
        <f>_xlfn.XLOOKUP(17847,Trip[shape_id],Trip[shape_id],"Não encontrado")</f>
        <v/>
      </c>
      <c r="B3660" s="40" t="n">
        <v>-23.517512</v>
      </c>
      <c r="C3660" s="40" t="n">
        <v>-46.704016</v>
      </c>
      <c r="D3660" s="40" t="n">
        <v>488</v>
      </c>
      <c r="E3660" s="41" t="n">
        <v>53033.805</v>
      </c>
    </row>
    <row r="3661">
      <c r="A3661" s="42">
        <f>_xlfn.XLOOKUP(17847,Trip[shape_id],Trip[shape_id],"Não encontrado")</f>
        <v/>
      </c>
      <c r="B3661" s="43" t="n">
        <v>-23.52061</v>
      </c>
      <c r="C3661" s="43" t="n">
        <v>-46.696862</v>
      </c>
      <c r="D3661" s="43" t="n">
        <v>489</v>
      </c>
      <c r="E3661" s="44" t="n">
        <v>53840.969</v>
      </c>
    </row>
    <row r="3662">
      <c r="A3662" s="39">
        <f>_xlfn.XLOOKUP(17847,Trip[shape_id],Trip[shape_id],"Não encontrado")</f>
        <v/>
      </c>
      <c r="B3662" s="40" t="n">
        <v>-23.520968</v>
      </c>
      <c r="C3662" s="40" t="n">
        <v>-46.696052</v>
      </c>
      <c r="D3662" s="40" t="n">
        <v>490</v>
      </c>
      <c r="E3662" s="41" t="n">
        <v>53932.703</v>
      </c>
    </row>
    <row r="3663">
      <c r="A3663" s="42">
        <f>_xlfn.XLOOKUP(17847,Trip[shape_id],Trip[shape_id],"Não encontrado")</f>
        <v/>
      </c>
      <c r="B3663" s="43" t="n">
        <v>-23.521123</v>
      </c>
      <c r="C3663" s="43" t="n">
        <v>-46.695549</v>
      </c>
      <c r="D3663" s="43" t="n">
        <v>491</v>
      </c>
      <c r="E3663" s="44" t="n">
        <v>53986.863</v>
      </c>
    </row>
    <row r="3664">
      <c r="A3664" s="39">
        <f>_xlfn.XLOOKUP(17847,Trip[shape_id],Trip[shape_id],"Não encontrado")</f>
        <v/>
      </c>
      <c r="B3664" s="40" t="n">
        <v>-23.521282</v>
      </c>
      <c r="C3664" s="40" t="n">
        <v>-46.694846</v>
      </c>
      <c r="D3664" s="40" t="n">
        <v>492</v>
      </c>
      <c r="E3664" s="41" t="n">
        <v>54060.785</v>
      </c>
    </row>
    <row r="3665">
      <c r="A3665" s="42">
        <f>_xlfn.XLOOKUP(17847,Trip[shape_id],Trip[shape_id],"Não encontrado")</f>
        <v/>
      </c>
      <c r="B3665" s="43" t="n">
        <v>-23.521361</v>
      </c>
      <c r="C3665" s="43" t="n">
        <v>-46.693856</v>
      </c>
      <c r="D3665" s="43" t="n">
        <v>493</v>
      </c>
      <c r="E3665" s="44" t="n">
        <v>54162.266</v>
      </c>
    </row>
    <row r="3666">
      <c r="A3666" s="39">
        <f>_xlfn.XLOOKUP(17847,Trip[shape_id],Trip[shape_id],"Não encontrado")</f>
        <v/>
      </c>
      <c r="B3666" s="40" t="n">
        <v>-23.521368</v>
      </c>
      <c r="C3666" s="40" t="n">
        <v>-46.693218</v>
      </c>
      <c r="D3666" s="40" t="n">
        <v>494</v>
      </c>
      <c r="E3666" s="41" t="n">
        <v>54227.426</v>
      </c>
    </row>
    <row r="3667">
      <c r="A3667" s="42">
        <f>_xlfn.XLOOKUP(17847,Trip[shape_id],Trip[shape_id],"Não encontrado")</f>
        <v/>
      </c>
      <c r="B3667" s="43" t="n">
        <v>-23.521349</v>
      </c>
      <c r="C3667" s="43" t="n">
        <v>-46.688643</v>
      </c>
      <c r="D3667" s="43" t="n">
        <v>495</v>
      </c>
      <c r="E3667" s="44" t="n">
        <v>54694.652</v>
      </c>
    </row>
    <row r="3668">
      <c r="A3668" s="39">
        <f>_xlfn.XLOOKUP(17847,Trip[shape_id],Trip[shape_id],"Não encontrado")</f>
        <v/>
      </c>
      <c r="B3668" s="40" t="n">
        <v>-23.521342</v>
      </c>
      <c r="C3668" s="40" t="n">
        <v>-46.687135</v>
      </c>
      <c r="D3668" s="40" t="n">
        <v>496</v>
      </c>
      <c r="E3668" s="41" t="n">
        <v>54848.656</v>
      </c>
    </row>
    <row r="3669">
      <c r="A3669" s="42">
        <f>_xlfn.XLOOKUP(17847,Trip[shape_id],Trip[shape_id],"Não encontrado")</f>
        <v/>
      </c>
      <c r="B3669" s="43" t="n">
        <v>-23.52134</v>
      </c>
      <c r="C3669" s="43" t="n">
        <v>-46.686865</v>
      </c>
      <c r="D3669" s="43" t="n">
        <v>497</v>
      </c>
      <c r="E3669" s="44" t="n">
        <v>54876.23</v>
      </c>
    </row>
    <row r="3670">
      <c r="A3670" s="39">
        <f>_xlfn.XLOOKUP(17847,Trip[shape_id],Trip[shape_id],"Não encontrado")</f>
        <v/>
      </c>
      <c r="B3670" s="40" t="n">
        <v>-23.521397</v>
      </c>
      <c r="C3670" s="40" t="n">
        <v>-46.685844</v>
      </c>
      <c r="D3670" s="40" t="n">
        <v>498</v>
      </c>
      <c r="E3670" s="41" t="n">
        <v>54980.691</v>
      </c>
    </row>
    <row r="3671">
      <c r="A3671" s="42">
        <f>_xlfn.XLOOKUP(17847,Trip[shape_id],Trip[shape_id],"Não encontrado")</f>
        <v/>
      </c>
      <c r="B3671" s="43" t="n">
        <v>-23.521608</v>
      </c>
      <c r="C3671" s="43" t="n">
        <v>-46.684785</v>
      </c>
      <c r="D3671" s="43" t="n">
        <v>499</v>
      </c>
      <c r="E3671" s="44" t="n">
        <v>55091.336</v>
      </c>
    </row>
    <row r="3672">
      <c r="A3672" s="39">
        <f>_xlfn.XLOOKUP(17847,Trip[shape_id],Trip[shape_id],"Não encontrado")</f>
        <v/>
      </c>
      <c r="B3672" s="40" t="n">
        <v>-23.522316</v>
      </c>
      <c r="C3672" s="40" t="n">
        <v>-46.682889</v>
      </c>
      <c r="D3672" s="40" t="n">
        <v>500</v>
      </c>
      <c r="E3672" s="41" t="n">
        <v>55300.238</v>
      </c>
    </row>
    <row r="3673">
      <c r="A3673" s="42">
        <f>_xlfn.XLOOKUP(17847,Trip[shape_id],Trip[shape_id],"Não encontrado")</f>
        <v/>
      </c>
      <c r="B3673" s="43" t="n">
        <v>-23.523332</v>
      </c>
      <c r="C3673" s="43" t="n">
        <v>-46.680864</v>
      </c>
      <c r="D3673" s="43" t="n">
        <v>501</v>
      </c>
      <c r="E3673" s="44" t="n">
        <v>55535.668</v>
      </c>
    </row>
    <row r="3674">
      <c r="A3674" s="39">
        <f>_xlfn.XLOOKUP(17847,Trip[shape_id],Trip[shape_id],"Não encontrado")</f>
        <v/>
      </c>
      <c r="B3674" s="40" t="n">
        <v>-23.523467</v>
      </c>
      <c r="C3674" s="40" t="n">
        <v>-46.680586</v>
      </c>
      <c r="D3674" s="40" t="n">
        <v>502</v>
      </c>
      <c r="E3674" s="41" t="n">
        <v>55567.754</v>
      </c>
    </row>
    <row r="3675">
      <c r="A3675" s="42">
        <f>_xlfn.XLOOKUP(17847,Trip[shape_id],Trip[shape_id],"Não encontrado")</f>
        <v/>
      </c>
      <c r="B3675" s="43" t="n">
        <v>-23.523872</v>
      </c>
      <c r="C3675" s="43" t="n">
        <v>-46.679723</v>
      </c>
      <c r="D3675" s="43" t="n">
        <v>503</v>
      </c>
      <c r="E3675" s="44" t="n">
        <v>55666.645</v>
      </c>
    </row>
    <row r="3676">
      <c r="A3676" s="39">
        <f>_xlfn.XLOOKUP(17847,Trip[shape_id],Trip[shape_id],"Não encontrado")</f>
        <v/>
      </c>
      <c r="B3676" s="40" t="n">
        <v>-23.523939</v>
      </c>
      <c r="C3676" s="40" t="n">
        <v>-46.679581</v>
      </c>
      <c r="D3676" s="40" t="n">
        <v>504</v>
      </c>
      <c r="E3676" s="41" t="n">
        <v>55682.934</v>
      </c>
    </row>
    <row r="3677">
      <c r="A3677" s="42">
        <f>_xlfn.XLOOKUP(17847,Trip[shape_id],Trip[shape_id],"Não encontrado")</f>
        <v/>
      </c>
      <c r="B3677" s="43" t="n">
        <v>-23.524256</v>
      </c>
      <c r="C3677" s="43" t="n">
        <v>-46.678697</v>
      </c>
      <c r="D3677" s="43" t="n">
        <v>505</v>
      </c>
      <c r="E3677" s="44" t="n">
        <v>55779.797</v>
      </c>
    </row>
    <row r="3678">
      <c r="A3678" s="39">
        <f>_xlfn.XLOOKUP(17847,Trip[shape_id],Trip[shape_id],"Não encontrado")</f>
        <v/>
      </c>
      <c r="B3678" s="40" t="n">
        <v>-23.524407</v>
      </c>
      <c r="C3678" s="40" t="n">
        <v>-46.678131</v>
      </c>
      <c r="D3678" s="40" t="n">
        <v>506</v>
      </c>
      <c r="E3678" s="41" t="n">
        <v>55839.969</v>
      </c>
    </row>
    <row r="3679">
      <c r="A3679" s="42">
        <f>_xlfn.XLOOKUP(17847,Trip[shape_id],Trip[shape_id],"Não encontrado")</f>
        <v/>
      </c>
      <c r="B3679" s="43" t="n">
        <v>-23.524559</v>
      </c>
      <c r="C3679" s="43" t="n">
        <v>-46.677557</v>
      </c>
      <c r="D3679" s="43" t="n">
        <v>507</v>
      </c>
      <c r="E3679" s="44" t="n">
        <v>55900.957</v>
      </c>
    </row>
    <row r="3680">
      <c r="A3680" s="39">
        <f>_xlfn.XLOOKUP(17847,Trip[shape_id],Trip[shape_id],"Não encontrado")</f>
        <v/>
      </c>
      <c r="B3680" s="40" t="n">
        <v>-23.524708</v>
      </c>
      <c r="C3680" s="40" t="n">
        <v>-46.676285</v>
      </c>
      <c r="D3680" s="40" t="n">
        <v>508</v>
      </c>
      <c r="E3680" s="41" t="n">
        <v>56031.898</v>
      </c>
    </row>
    <row r="3681">
      <c r="A3681" s="42">
        <f>_xlfn.XLOOKUP(17847,Trip[shape_id],Trip[shape_id],"Não encontrado")</f>
        <v/>
      </c>
      <c r="B3681" s="43" t="n">
        <v>-23.524726</v>
      </c>
      <c r="C3681" s="43" t="n">
        <v>-46.675859</v>
      </c>
      <c r="D3681" s="43" t="n">
        <v>509</v>
      </c>
      <c r="E3681" s="44" t="n">
        <v>56075.449</v>
      </c>
    </row>
    <row r="3682">
      <c r="A3682" s="39">
        <f>_xlfn.XLOOKUP(17847,Trip[shape_id],Trip[shape_id],"Não encontrado")</f>
        <v/>
      </c>
      <c r="B3682" s="40" t="n">
        <v>-23.524762</v>
      </c>
      <c r="C3682" s="40" t="n">
        <v>-46.674901</v>
      </c>
      <c r="D3682" s="40" t="n">
        <v>510</v>
      </c>
      <c r="E3682" s="41" t="n">
        <v>56173.363</v>
      </c>
    </row>
    <row r="3683">
      <c r="A3683" s="42">
        <f>_xlfn.XLOOKUP(17847,Trip[shape_id],Trip[shape_id],"Não encontrado")</f>
        <v/>
      </c>
      <c r="B3683" s="43" t="n">
        <v>-23.524815</v>
      </c>
      <c r="C3683" s="43" t="n">
        <v>-46.67376</v>
      </c>
      <c r="D3683" s="43" t="n">
        <v>511</v>
      </c>
      <c r="E3683" s="44" t="n">
        <v>56290.031</v>
      </c>
    </row>
    <row r="3684">
      <c r="A3684" s="39">
        <f>_xlfn.XLOOKUP(17847,Trip[shape_id],Trip[shape_id],"Não encontrado")</f>
        <v/>
      </c>
      <c r="B3684" s="40" t="n">
        <v>-23.524866</v>
      </c>
      <c r="C3684" s="40" t="n">
        <v>-46.673153</v>
      </c>
      <c r="D3684" s="40" t="n">
        <v>512</v>
      </c>
      <c r="E3684" s="41" t="n">
        <v>56352.277</v>
      </c>
    </row>
    <row r="3685">
      <c r="A3685" s="42">
        <f>_xlfn.XLOOKUP(17847,Trip[shape_id],Trip[shape_id],"Não encontrado")</f>
        <v/>
      </c>
      <c r="B3685" s="43" t="n">
        <v>-23.524935</v>
      </c>
      <c r="C3685" s="43" t="n">
        <v>-46.672368</v>
      </c>
      <c r="D3685" s="43" t="n">
        <v>513</v>
      </c>
      <c r="E3685" s="44" t="n">
        <v>56432.805</v>
      </c>
    </row>
    <row r="3686">
      <c r="A3686" s="39">
        <f>_xlfn.XLOOKUP(17847,Trip[shape_id],Trip[shape_id],"Não encontrado")</f>
        <v/>
      </c>
      <c r="B3686" s="40" t="n">
        <v>-23.524979</v>
      </c>
      <c r="C3686" s="40" t="n">
        <v>-46.671748</v>
      </c>
      <c r="D3686" s="40" t="n">
        <v>514</v>
      </c>
      <c r="E3686" s="41" t="n">
        <v>56496.309</v>
      </c>
    </row>
    <row r="3687">
      <c r="A3687" s="42">
        <f>_xlfn.XLOOKUP(17847,Trip[shape_id],Trip[shape_id],"Não encontrado")</f>
        <v/>
      </c>
      <c r="B3687" s="43" t="n">
        <v>-23.525046</v>
      </c>
      <c r="C3687" s="43" t="n">
        <v>-46.670807</v>
      </c>
      <c r="D3687" s="43" t="n">
        <v>515</v>
      </c>
      <c r="E3687" s="44" t="n">
        <v>56592.691</v>
      </c>
    </row>
    <row r="3688">
      <c r="A3688" s="39">
        <f>_xlfn.XLOOKUP(17847,Trip[shape_id],Trip[shape_id],"Não encontrado")</f>
        <v/>
      </c>
      <c r="B3688" s="40" t="n">
        <v>-23.525065</v>
      </c>
      <c r="C3688" s="40" t="n">
        <v>-46.670419</v>
      </c>
      <c r="D3688" s="40" t="n">
        <v>516</v>
      </c>
      <c r="E3688" s="41" t="n">
        <v>56632.371</v>
      </c>
    </row>
    <row r="3689">
      <c r="A3689" s="42">
        <f>_xlfn.XLOOKUP(17847,Trip[shape_id],Trip[shape_id],"Não encontrado")</f>
        <v/>
      </c>
      <c r="B3689" s="43" t="n">
        <v>-23.525155</v>
      </c>
      <c r="C3689" s="43" t="n">
        <v>-46.66857</v>
      </c>
      <c r="D3689" s="43" t="n">
        <v>517</v>
      </c>
      <c r="E3689" s="44" t="n">
        <v>56821.457</v>
      </c>
    </row>
    <row r="3690">
      <c r="A3690" s="39">
        <f>_xlfn.XLOOKUP(17847,Trip[shape_id],Trip[shape_id],"Não encontrado")</f>
        <v/>
      </c>
      <c r="B3690" s="40" t="n">
        <v>-23.525223</v>
      </c>
      <c r="C3690" s="40" t="n">
        <v>-46.667188</v>
      </c>
      <c r="D3690" s="40" t="n">
        <v>518</v>
      </c>
      <c r="E3690" s="41" t="n">
        <v>56962.789</v>
      </c>
    </row>
    <row r="3691">
      <c r="A3691" s="42">
        <f>_xlfn.XLOOKUP(17847,Trip[shape_id],Trip[shape_id],"Não encontrado")</f>
        <v/>
      </c>
      <c r="B3691" s="43" t="n">
        <v>-23.52559</v>
      </c>
      <c r="C3691" s="43" t="n">
        <v>-46.666964</v>
      </c>
      <c r="D3691" s="43" t="n">
        <v>519</v>
      </c>
      <c r="E3691" s="44" t="n">
        <v>57009.43</v>
      </c>
    </row>
    <row r="3692">
      <c r="A3692" s="39">
        <f>_xlfn.XLOOKUP(17848,Trip[shape_id],Trip[shape_id],"Não encontrado")</f>
        <v/>
      </c>
      <c r="B3692" s="40" t="n">
        <v>-23.533024</v>
      </c>
      <c r="C3692" s="40" t="n">
        <v>-46.640735</v>
      </c>
      <c r="D3692" s="40" t="n">
        <v>1</v>
      </c>
      <c r="E3692" s="41" t="n">
        <v>0</v>
      </c>
    </row>
    <row r="3693">
      <c r="A3693" s="42">
        <f>_xlfn.XLOOKUP(17848,Trip[shape_id],Trip[shape_id],"Não encontrado")</f>
        <v/>
      </c>
      <c r="B3693" s="43" t="n">
        <v>-23.532953</v>
      </c>
      <c r="C3693" s="43" t="n">
        <v>-46.640777</v>
      </c>
      <c r="D3693" s="43" t="n">
        <v>2</v>
      </c>
      <c r="E3693" s="44" t="n">
        <v>8.956747999999999</v>
      </c>
    </row>
    <row r="3694">
      <c r="A3694" s="39">
        <f>_xlfn.XLOOKUP(17848,Trip[shape_id],Trip[shape_id],"Não encontrado")</f>
        <v/>
      </c>
      <c r="B3694" s="40" t="n">
        <v>-23.531809</v>
      </c>
      <c r="C3694" s="40" t="n">
        <v>-46.641484</v>
      </c>
      <c r="D3694" s="40" t="n">
        <v>3</v>
      </c>
      <c r="E3694" s="41" t="n">
        <v>154.78229</v>
      </c>
    </row>
    <row r="3695">
      <c r="A3695" s="42">
        <f>_xlfn.XLOOKUP(17848,Trip[shape_id],Trip[shape_id],"Não encontrado")</f>
        <v/>
      </c>
      <c r="B3695" s="43" t="n">
        <v>-23.531343</v>
      </c>
      <c r="C3695" s="43" t="n">
        <v>-46.641657</v>
      </c>
      <c r="D3695" s="43" t="n">
        <v>4</v>
      </c>
      <c r="E3695" s="44" t="n">
        <v>209.33234</v>
      </c>
    </row>
    <row r="3696">
      <c r="A3696" s="39">
        <f>_xlfn.XLOOKUP(17848,Trip[shape_id],Trip[shape_id],"Não encontrado")</f>
        <v/>
      </c>
      <c r="B3696" s="40" t="n">
        <v>-23.531161</v>
      </c>
      <c r="C3696" s="40" t="n">
        <v>-46.641731</v>
      </c>
      <c r="D3696" s="40" t="n">
        <v>5</v>
      </c>
      <c r="E3696" s="41" t="n">
        <v>230.85904</v>
      </c>
    </row>
    <row r="3697">
      <c r="A3697" s="42">
        <f>_xlfn.XLOOKUP(17848,Trip[shape_id],Trip[shape_id],"Não encontrado")</f>
        <v/>
      </c>
      <c r="B3697" s="43" t="n">
        <v>-23.530952</v>
      </c>
      <c r="C3697" s="43" t="n">
        <v>-46.641882</v>
      </c>
      <c r="D3697" s="43" t="n">
        <v>6</v>
      </c>
      <c r="E3697" s="44" t="n">
        <v>258.672</v>
      </c>
    </row>
    <row r="3698">
      <c r="A3698" s="39">
        <f>_xlfn.XLOOKUP(17848,Trip[shape_id],Trip[shape_id],"Não encontrado")</f>
        <v/>
      </c>
      <c r="B3698" s="40" t="n">
        <v>-23.530093</v>
      </c>
      <c r="C3698" s="40" t="n">
        <v>-46.642486</v>
      </c>
      <c r="D3698" s="40" t="n">
        <v>7</v>
      </c>
      <c r="E3698" s="41" t="n">
        <v>372.05215</v>
      </c>
    </row>
    <row r="3699">
      <c r="A3699" s="42">
        <f>_xlfn.XLOOKUP(17848,Trip[shape_id],Trip[shape_id],"Não encontrado")</f>
        <v/>
      </c>
      <c r="B3699" s="43" t="n">
        <v>-23.529878</v>
      </c>
      <c r="C3699" s="43" t="n">
        <v>-46.642716</v>
      </c>
      <c r="D3699" s="43" t="n">
        <v>8</v>
      </c>
      <c r="E3699" s="44" t="n">
        <v>405.49823</v>
      </c>
    </row>
    <row r="3700">
      <c r="A3700" s="39">
        <f>_xlfn.XLOOKUP(17848,Trip[shape_id],Trip[shape_id],"Não encontrado")</f>
        <v/>
      </c>
      <c r="B3700" s="40" t="n">
        <v>-23.529628</v>
      </c>
      <c r="C3700" s="40" t="n">
        <v>-46.642953</v>
      </c>
      <c r="D3700" s="40" t="n">
        <v>9</v>
      </c>
      <c r="E3700" s="41" t="n">
        <v>442.27249</v>
      </c>
    </row>
    <row r="3701">
      <c r="A3701" s="42">
        <f>_xlfn.XLOOKUP(17848,Trip[shape_id],Trip[shape_id],"Não encontrado")</f>
        <v/>
      </c>
      <c r="B3701" s="43" t="n">
        <v>-23.529348</v>
      </c>
      <c r="C3701" s="43" t="n">
        <v>-46.643309</v>
      </c>
      <c r="D3701" s="43" t="n">
        <v>10</v>
      </c>
      <c r="E3701" s="44" t="n">
        <v>490.05612</v>
      </c>
    </row>
    <row r="3702">
      <c r="A3702" s="39">
        <f>_xlfn.XLOOKUP(17848,Trip[shape_id],Trip[shape_id],"Não encontrado")</f>
        <v/>
      </c>
      <c r="B3702" s="40" t="n">
        <v>-23.528992</v>
      </c>
      <c r="C3702" s="40" t="n">
        <v>-46.643875</v>
      </c>
      <c r="D3702" s="40" t="n">
        <v>11</v>
      </c>
      <c r="E3702" s="41" t="n">
        <v>560.02234</v>
      </c>
    </row>
    <row r="3703">
      <c r="A3703" s="42">
        <f>_xlfn.XLOOKUP(17848,Trip[shape_id],Trip[shape_id],"Não encontrado")</f>
        <v/>
      </c>
      <c r="B3703" s="43" t="n">
        <v>-23.528814</v>
      </c>
      <c r="C3703" s="43" t="n">
        <v>-46.644306</v>
      </c>
      <c r="D3703" s="43" t="n">
        <v>12</v>
      </c>
      <c r="E3703" s="44" t="n">
        <v>608.24884</v>
      </c>
    </row>
    <row r="3704">
      <c r="A3704" s="39">
        <f>_xlfn.XLOOKUP(17848,Trip[shape_id],Trip[shape_id],"Não encontrado")</f>
        <v/>
      </c>
      <c r="B3704" s="40" t="n">
        <v>-23.528618</v>
      </c>
      <c r="C3704" s="40" t="n">
        <v>-46.644975</v>
      </c>
      <c r="D3704" s="40" t="n">
        <v>13</v>
      </c>
      <c r="E3704" s="41" t="n">
        <v>679.93207</v>
      </c>
    </row>
    <row r="3705">
      <c r="A3705" s="42">
        <f>_xlfn.XLOOKUP(17848,Trip[shape_id],Trip[shape_id],"Não encontrado")</f>
        <v/>
      </c>
      <c r="B3705" s="43" t="n">
        <v>-23.528585</v>
      </c>
      <c r="C3705" s="43" t="n">
        <v>-46.645323</v>
      </c>
      <c r="D3705" s="43" t="n">
        <v>14</v>
      </c>
      <c r="E3705" s="44" t="n">
        <v>715.6568</v>
      </c>
    </row>
    <row r="3706">
      <c r="A3706" s="39">
        <f>_xlfn.XLOOKUP(17848,Trip[shape_id],Trip[shape_id],"Não encontrado")</f>
        <v/>
      </c>
      <c r="B3706" s="40" t="n">
        <v>-23.528546</v>
      </c>
      <c r="C3706" s="40" t="n">
        <v>-46.645866</v>
      </c>
      <c r="D3706" s="40" t="n">
        <v>15</v>
      </c>
      <c r="E3706" s="41" t="n">
        <v>771.27545</v>
      </c>
    </row>
    <row r="3707">
      <c r="A3707" s="42">
        <f>_xlfn.XLOOKUP(17848,Trip[shape_id],Trip[shape_id],"Não encontrado")</f>
        <v/>
      </c>
      <c r="B3707" s="43" t="n">
        <v>-23.528595</v>
      </c>
      <c r="C3707" s="43" t="n">
        <v>-46.646995</v>
      </c>
      <c r="D3707" s="43" t="n">
        <v>16</v>
      </c>
      <c r="E3707" s="44" t="n">
        <v>886.69543</v>
      </c>
    </row>
    <row r="3708">
      <c r="A3708" s="39">
        <f>_xlfn.XLOOKUP(17848,Trip[shape_id],Trip[shape_id],"Não encontrado")</f>
        <v/>
      </c>
      <c r="B3708" s="40" t="n">
        <v>-23.528768</v>
      </c>
      <c r="C3708" s="40" t="n">
        <v>-46.648311</v>
      </c>
      <c r="D3708" s="40" t="n">
        <v>17</v>
      </c>
      <c r="E3708" s="41" t="n">
        <v>1022.4429</v>
      </c>
    </row>
    <row r="3709">
      <c r="A3709" s="42">
        <f>_xlfn.XLOOKUP(17848,Trip[shape_id],Trip[shape_id],"Não encontrado")</f>
        <v/>
      </c>
      <c r="B3709" s="43" t="n">
        <v>-23.528842</v>
      </c>
      <c r="C3709" s="43" t="n">
        <v>-46.649104</v>
      </c>
      <c r="D3709" s="43" t="n">
        <v>18</v>
      </c>
      <c r="E3709" s="44" t="n">
        <v>1103.8369</v>
      </c>
    </row>
    <row r="3710">
      <c r="A3710" s="39">
        <f>_xlfn.XLOOKUP(17848,Trip[shape_id],Trip[shape_id],"Não encontrado")</f>
        <v/>
      </c>
      <c r="B3710" s="40" t="n">
        <v>-23.528871</v>
      </c>
      <c r="C3710" s="40" t="n">
        <v>-46.650275</v>
      </c>
      <c r="D3710" s="40" t="n">
        <v>19</v>
      </c>
      <c r="E3710" s="41" t="n">
        <v>1223.4612</v>
      </c>
    </row>
    <row r="3711">
      <c r="A3711" s="42">
        <f>_xlfn.XLOOKUP(17848,Trip[shape_id],Trip[shape_id],"Não encontrado")</f>
        <v/>
      </c>
      <c r="B3711" s="43" t="n">
        <v>-23.528426</v>
      </c>
      <c r="C3711" s="43" t="n">
        <v>-46.652102</v>
      </c>
      <c r="D3711" s="43" t="n">
        <v>20</v>
      </c>
      <c r="E3711" s="44" t="n">
        <v>1416.4321</v>
      </c>
    </row>
    <row r="3712">
      <c r="A3712" s="39">
        <f>_xlfn.XLOOKUP(17848,Trip[shape_id],Trip[shape_id],"Não encontrado")</f>
        <v/>
      </c>
      <c r="B3712" s="40" t="n">
        <v>-23.528041</v>
      </c>
      <c r="C3712" s="40" t="n">
        <v>-46.653382</v>
      </c>
      <c r="D3712" s="40" t="n">
        <v>21</v>
      </c>
      <c r="E3712" s="41" t="n">
        <v>1553.9236</v>
      </c>
    </row>
    <row r="3713">
      <c r="A3713" s="42">
        <f>_xlfn.XLOOKUP(17848,Trip[shape_id],Trip[shape_id],"Não encontrado")</f>
        <v/>
      </c>
      <c r="B3713" s="43" t="n">
        <v>-23.527337</v>
      </c>
      <c r="C3713" s="43" t="n">
        <v>-46.655916</v>
      </c>
      <c r="D3713" s="43" t="n">
        <v>22</v>
      </c>
      <c r="E3713" s="44" t="n">
        <v>1824.1859</v>
      </c>
    </row>
    <row r="3714">
      <c r="A3714" s="39">
        <f>_xlfn.XLOOKUP(17848,Trip[shape_id],Trip[shape_id],"Não encontrado")</f>
        <v/>
      </c>
      <c r="B3714" s="40" t="n">
        <v>-23.526584</v>
      </c>
      <c r="C3714" s="40" t="n">
        <v>-46.658721</v>
      </c>
      <c r="D3714" s="40" t="n">
        <v>23</v>
      </c>
      <c r="E3714" s="41" t="n">
        <v>2122.5261</v>
      </c>
    </row>
    <row r="3715">
      <c r="A3715" s="42">
        <f>_xlfn.XLOOKUP(17848,Trip[shape_id],Trip[shape_id],"Não encontrado")</f>
        <v/>
      </c>
      <c r="B3715" s="43" t="n">
        <v>-23.526236</v>
      </c>
      <c r="C3715" s="43" t="n">
        <v>-46.660427</v>
      </c>
      <c r="D3715" s="43" t="n">
        <v>24</v>
      </c>
      <c r="E3715" s="44" t="n">
        <v>2300.9563</v>
      </c>
    </row>
    <row r="3716">
      <c r="A3716" s="39">
        <f>_xlfn.XLOOKUP(17848,Trip[shape_id],Trip[shape_id],"Não encontrado")</f>
        <v/>
      </c>
      <c r="B3716" s="40" t="n">
        <v>-23.52559</v>
      </c>
      <c r="C3716" s="40" t="n">
        <v>-46.666964</v>
      </c>
      <c r="D3716" s="40" t="n">
        <v>25</v>
      </c>
      <c r="E3716" s="41" t="n">
        <v>2972.3445</v>
      </c>
    </row>
    <row r="3717">
      <c r="A3717" s="42">
        <f>_xlfn.XLOOKUP(17848,Trip[shape_id],Trip[shape_id],"Não encontrado")</f>
        <v/>
      </c>
      <c r="B3717" s="43" t="n">
        <v>-23.525413</v>
      </c>
      <c r="C3717" s="43" t="n">
        <v>-46.668648</v>
      </c>
      <c r="D3717" s="43" t="n">
        <v>26</v>
      </c>
      <c r="E3717" s="44" t="n">
        <v>3145.4304</v>
      </c>
    </row>
    <row r="3718">
      <c r="A3718" s="39">
        <f>_xlfn.XLOOKUP(17848,Trip[shape_id],Trip[shape_id],"Não encontrado")</f>
        <v/>
      </c>
      <c r="B3718" s="40" t="n">
        <v>-23.525336</v>
      </c>
      <c r="C3718" s="40" t="n">
        <v>-46.669702</v>
      </c>
      <c r="D3718" s="40" t="n">
        <v>27</v>
      </c>
      <c r="E3718" s="41" t="n">
        <v>3253.4038</v>
      </c>
    </row>
    <row r="3719">
      <c r="A3719" s="42">
        <f>_xlfn.XLOOKUP(17848,Trip[shape_id],Trip[shape_id],"Não encontrado")</f>
        <v/>
      </c>
      <c r="B3719" s="43" t="n">
        <v>-23.525136</v>
      </c>
      <c r="C3719" s="43" t="n">
        <v>-46.672506</v>
      </c>
      <c r="D3719" s="43" t="n">
        <v>28</v>
      </c>
      <c r="E3719" s="44" t="n">
        <v>3540.6082</v>
      </c>
    </row>
    <row r="3720">
      <c r="A3720" s="39">
        <f>_xlfn.XLOOKUP(17848,Trip[shape_id],Trip[shape_id],"Não encontrado")</f>
        <v/>
      </c>
      <c r="B3720" s="40" t="n">
        <v>-23.525071</v>
      </c>
      <c r="C3720" s="40" t="n">
        <v>-46.673401</v>
      </c>
      <c r="D3720" s="40" t="n">
        <v>29</v>
      </c>
      <c r="E3720" s="41" t="n">
        <v>3632.29</v>
      </c>
    </row>
    <row r="3721">
      <c r="A3721" s="42">
        <f>_xlfn.XLOOKUP(17848,Trip[shape_id],Trip[shape_id],"Não encontrado")</f>
        <v/>
      </c>
      <c r="B3721" s="43" t="n">
        <v>-23.524975</v>
      </c>
      <c r="C3721" s="43" t="n">
        <v>-46.674791</v>
      </c>
      <c r="D3721" s="43" t="n">
        <v>30</v>
      </c>
      <c r="E3721" s="44" t="n">
        <v>3774.637</v>
      </c>
    </row>
    <row r="3722">
      <c r="A3722" s="39">
        <f>_xlfn.XLOOKUP(17848,Trip[shape_id],Trip[shape_id],"Não encontrado")</f>
        <v/>
      </c>
      <c r="B3722" s="40" t="n">
        <v>-23.524883</v>
      </c>
      <c r="C3722" s="40" t="n">
        <v>-46.676948</v>
      </c>
      <c r="D3722" s="40" t="n">
        <v>31</v>
      </c>
      <c r="E3722" s="41" t="n">
        <v>3995.1492</v>
      </c>
    </row>
    <row r="3723">
      <c r="A3723" s="42">
        <f>_xlfn.XLOOKUP(17848,Trip[shape_id],Trip[shape_id],"Não encontrado")</f>
        <v/>
      </c>
      <c r="B3723" s="43" t="n">
        <v>-23.524894</v>
      </c>
      <c r="C3723" s="43" t="n">
        <v>-46.677929</v>
      </c>
      <c r="D3723" s="43" t="n">
        <v>32</v>
      </c>
      <c r="E3723" s="44" t="n">
        <v>4095.3381</v>
      </c>
    </row>
    <row r="3724">
      <c r="A3724" s="39">
        <f>_xlfn.XLOOKUP(17848,Trip[shape_id],Trip[shape_id],"Não encontrado")</f>
        <v/>
      </c>
      <c r="B3724" s="40" t="n">
        <v>-23.524846</v>
      </c>
      <c r="C3724" s="40" t="n">
        <v>-46.678213</v>
      </c>
      <c r="D3724" s="40" t="n">
        <v>33</v>
      </c>
      <c r="E3724" s="41" t="n">
        <v>4124.8242</v>
      </c>
    </row>
    <row r="3725">
      <c r="A3725" s="42">
        <f>_xlfn.XLOOKUP(17848,Trip[shape_id],Trip[shape_id],"Não encontrado")</f>
        <v/>
      </c>
      <c r="B3725" s="43" t="n">
        <v>-23.524757</v>
      </c>
      <c r="C3725" s="43" t="n">
        <v>-46.678582</v>
      </c>
      <c r="D3725" s="43" t="n">
        <v>34</v>
      </c>
      <c r="E3725" s="44" t="n">
        <v>4163.7749</v>
      </c>
    </row>
    <row r="3726">
      <c r="A3726" s="39">
        <f>_xlfn.XLOOKUP(17848,Trip[shape_id],Trip[shape_id],"Não encontrado")</f>
        <v/>
      </c>
      <c r="B3726" s="40" t="n">
        <v>-23.524661</v>
      </c>
      <c r="C3726" s="40" t="n">
        <v>-46.679001</v>
      </c>
      <c r="D3726" s="40" t="n">
        <v>35</v>
      </c>
      <c r="E3726" s="41" t="n">
        <v>4207.8652</v>
      </c>
    </row>
    <row r="3727">
      <c r="A3727" s="42">
        <f>_xlfn.XLOOKUP(17848,Trip[shape_id],Trip[shape_id],"Não encontrado")</f>
        <v/>
      </c>
      <c r="B3727" s="43" t="n">
        <v>-23.524559</v>
      </c>
      <c r="C3727" s="43" t="n">
        <v>-46.679327</v>
      </c>
      <c r="D3727" s="43" t="n">
        <v>36</v>
      </c>
      <c r="E3727" s="44" t="n">
        <v>4243.0215</v>
      </c>
    </row>
    <row r="3728">
      <c r="A3728" s="39">
        <f>_xlfn.XLOOKUP(17848,Trip[shape_id],Trip[shape_id],"Não encontrado")</f>
        <v/>
      </c>
      <c r="B3728" s="40" t="n">
        <v>-23.524291</v>
      </c>
      <c r="C3728" s="40" t="n">
        <v>-46.679923</v>
      </c>
      <c r="D3728" s="40" t="n">
        <v>37</v>
      </c>
      <c r="E3728" s="41" t="n">
        <v>4310.7378</v>
      </c>
    </row>
    <row r="3729">
      <c r="A3729" s="42">
        <f>_xlfn.XLOOKUP(17848,Trip[shape_id],Trip[shape_id],"Não encontrado")</f>
        <v/>
      </c>
      <c r="B3729" s="43" t="n">
        <v>-23.52422</v>
      </c>
      <c r="C3729" s="43" t="n">
        <v>-46.680077</v>
      </c>
      <c r="D3729" s="43" t="n">
        <v>38</v>
      </c>
      <c r="E3729" s="44" t="n">
        <v>4328.3213</v>
      </c>
    </row>
    <row r="3730">
      <c r="A3730" s="39">
        <f>_xlfn.XLOOKUP(17848,Trip[shape_id],Trip[shape_id],"Não encontrado")</f>
        <v/>
      </c>
      <c r="B3730" s="40" t="n">
        <v>-23.523923</v>
      </c>
      <c r="C3730" s="40" t="n">
        <v>-46.680628</v>
      </c>
      <c r="D3730" s="40" t="n">
        <v>39</v>
      </c>
      <c r="E3730" s="41" t="n">
        <v>4393.4995</v>
      </c>
    </row>
    <row r="3731">
      <c r="A3731" s="42">
        <f>_xlfn.XLOOKUP(17848,Trip[shape_id],Trip[shape_id],"Não encontrado")</f>
        <v/>
      </c>
      <c r="B3731" s="43" t="n">
        <v>-23.523653</v>
      </c>
      <c r="C3731" s="43" t="n">
        <v>-46.681099</v>
      </c>
      <c r="D3731" s="43" t="n">
        <v>40</v>
      </c>
      <c r="E3731" s="44" t="n">
        <v>4450.1367</v>
      </c>
    </row>
    <row r="3732">
      <c r="A3732" s="39">
        <f>_xlfn.XLOOKUP(17848,Trip[shape_id],Trip[shape_id],"Não encontrado")</f>
        <v/>
      </c>
      <c r="B3732" s="40" t="n">
        <v>-23.523123</v>
      </c>
      <c r="C3732" s="40" t="n">
        <v>-46.682031</v>
      </c>
      <c r="D3732" s="40" t="n">
        <v>41</v>
      </c>
      <c r="E3732" s="41" t="n">
        <v>4561.96</v>
      </c>
    </row>
    <row r="3733">
      <c r="A3733" s="42">
        <f>_xlfn.XLOOKUP(17848,Trip[shape_id],Trip[shape_id],"Não encontrado")</f>
        <v/>
      </c>
      <c r="B3733" s="43" t="n">
        <v>-23.522874</v>
      </c>
      <c r="C3733" s="43" t="n">
        <v>-46.682591</v>
      </c>
      <c r="D3733" s="43" t="n">
        <v>42</v>
      </c>
      <c r="E3733" s="44" t="n">
        <v>4625.4507</v>
      </c>
    </row>
    <row r="3734">
      <c r="A3734" s="39">
        <f>_xlfn.XLOOKUP(17848,Trip[shape_id],Trip[shape_id],"Não encontrado")</f>
        <v/>
      </c>
      <c r="B3734" s="40" t="n">
        <v>-23.522651</v>
      </c>
      <c r="C3734" s="40" t="n">
        <v>-46.6833</v>
      </c>
      <c r="D3734" s="40" t="n">
        <v>43</v>
      </c>
      <c r="E3734" s="41" t="n">
        <v>4701.9526</v>
      </c>
    </row>
    <row r="3735">
      <c r="A3735" s="42">
        <f>_xlfn.XLOOKUP(17848,Trip[shape_id],Trip[shape_id],"Não encontrado")</f>
        <v/>
      </c>
      <c r="B3735" s="43" t="n">
        <v>-23.522524</v>
      </c>
      <c r="C3735" s="43" t="n">
        <v>-46.683961</v>
      </c>
      <c r="D3735" s="43" t="n">
        <v>44</v>
      </c>
      <c r="E3735" s="44" t="n">
        <v>4770.9063</v>
      </c>
    </row>
    <row r="3736">
      <c r="A3736" s="39">
        <f>_xlfn.XLOOKUP(17848,Trip[shape_id],Trip[shape_id],"Não encontrado")</f>
        <v/>
      </c>
      <c r="B3736" s="40" t="n">
        <v>-23.522448</v>
      </c>
      <c r="C3736" s="40" t="n">
        <v>-46.684985</v>
      </c>
      <c r="D3736" s="40" t="n">
        <v>45</v>
      </c>
      <c r="E3736" s="41" t="n">
        <v>4875.8193</v>
      </c>
    </row>
    <row r="3737">
      <c r="A3737" s="42">
        <f>_xlfn.XLOOKUP(17848,Trip[shape_id],Trip[shape_id],"Não encontrado")</f>
        <v/>
      </c>
      <c r="B3737" s="43" t="n">
        <v>-23.522394</v>
      </c>
      <c r="C3737" s="43" t="n">
        <v>-46.686302</v>
      </c>
      <c r="D3737" s="43" t="n">
        <v>46</v>
      </c>
      <c r="E3737" s="44" t="n">
        <v>5010.4492</v>
      </c>
    </row>
    <row r="3738">
      <c r="A3738" s="39">
        <f>_xlfn.XLOOKUP(17848,Trip[shape_id],Trip[shape_id],"Não encontrado")</f>
        <v/>
      </c>
      <c r="B3738" s="40" t="n">
        <v>-23.522344</v>
      </c>
      <c r="C3738" s="40" t="n">
        <v>-46.687449</v>
      </c>
      <c r="D3738" s="40" t="n">
        <v>47</v>
      </c>
      <c r="E3738" s="41" t="n">
        <v>5127.7158</v>
      </c>
    </row>
    <row r="3739">
      <c r="A3739" s="42">
        <f>_xlfn.XLOOKUP(17848,Trip[shape_id],Trip[shape_id],"Não encontrado")</f>
        <v/>
      </c>
      <c r="B3739" s="43" t="n">
        <v>-23.52226</v>
      </c>
      <c r="C3739" s="43" t="n">
        <v>-46.688647</v>
      </c>
      <c r="D3739" s="43" t="n">
        <v>48</v>
      </c>
      <c r="E3739" s="44" t="n">
        <v>5250.4136</v>
      </c>
    </row>
    <row r="3740">
      <c r="A3740" s="39">
        <f>_xlfn.XLOOKUP(17848,Trip[shape_id],Trip[shape_id],"Não encontrado")</f>
        <v/>
      </c>
      <c r="B3740" s="40" t="n">
        <v>-23.52204</v>
      </c>
      <c r="C3740" s="40" t="n">
        <v>-46.693531</v>
      </c>
      <c r="D3740" s="40" t="n">
        <v>49</v>
      </c>
      <c r="E3740" s="41" t="n">
        <v>5749.7817</v>
      </c>
    </row>
    <row r="3741">
      <c r="A3741" s="42">
        <f>_xlfn.XLOOKUP(17848,Trip[shape_id],Trip[shape_id],"Não encontrado")</f>
        <v/>
      </c>
      <c r="B3741" s="43" t="n">
        <v>-23.521937</v>
      </c>
      <c r="C3741" s="43" t="n">
        <v>-46.694535</v>
      </c>
      <c r="D3741" s="43" t="n">
        <v>50</v>
      </c>
      <c r="E3741" s="44" t="n">
        <v>5852.9468</v>
      </c>
    </row>
    <row r="3742">
      <c r="A3742" s="39">
        <f>_xlfn.XLOOKUP(17848,Trip[shape_id],Trip[shape_id],"Não encontrado")</f>
        <v/>
      </c>
      <c r="B3742" s="40" t="n">
        <v>-23.52164</v>
      </c>
      <c r="C3742" s="40" t="n">
        <v>-46.695455</v>
      </c>
      <c r="D3742" s="40" t="n">
        <v>51</v>
      </c>
      <c r="E3742" s="41" t="n">
        <v>5952.4927</v>
      </c>
    </row>
    <row r="3743">
      <c r="A3743" s="42">
        <f>_xlfn.XLOOKUP(17848,Trip[shape_id],Trip[shape_id],"Não encontrado")</f>
        <v/>
      </c>
      <c r="B3743" s="43" t="n">
        <v>-23.521338</v>
      </c>
      <c r="C3743" s="43" t="n">
        <v>-46.696122</v>
      </c>
      <c r="D3743" s="43" t="n">
        <v>52</v>
      </c>
      <c r="E3743" s="44" t="n">
        <v>6028.3784</v>
      </c>
    </row>
    <row r="3744">
      <c r="A3744" s="39">
        <f>_xlfn.XLOOKUP(17848,Trip[shape_id],Trip[shape_id],"Não encontrado")</f>
        <v/>
      </c>
      <c r="B3744" s="40" t="n">
        <v>-23.52108</v>
      </c>
      <c r="C3744" s="40" t="n">
        <v>-46.696689</v>
      </c>
      <c r="D3744" s="40" t="n">
        <v>53</v>
      </c>
      <c r="E3744" s="41" t="n">
        <v>6092.9492</v>
      </c>
    </row>
    <row r="3745">
      <c r="A3745" s="42">
        <f>_xlfn.XLOOKUP(17848,Trip[shape_id],Trip[shape_id],"Não encontrado")</f>
        <v/>
      </c>
      <c r="B3745" s="43" t="n">
        <v>-23.520295</v>
      </c>
      <c r="C3745" s="43" t="n">
        <v>-46.698485</v>
      </c>
      <c r="D3745" s="43" t="n">
        <v>54</v>
      </c>
      <c r="E3745" s="44" t="n">
        <v>6295.9277</v>
      </c>
    </row>
    <row r="3746">
      <c r="A3746" s="39">
        <f>_xlfn.XLOOKUP(17848,Trip[shape_id],Trip[shape_id],"Não encontrado")</f>
        <v/>
      </c>
      <c r="B3746" s="40" t="n">
        <v>-23.51963</v>
      </c>
      <c r="C3746" s="40" t="n">
        <v>-46.700036</v>
      </c>
      <c r="D3746" s="40" t="n">
        <v>55</v>
      </c>
      <c r="E3746" s="41" t="n">
        <v>6470.6099</v>
      </c>
    </row>
    <row r="3747">
      <c r="A3747" s="42">
        <f>_xlfn.XLOOKUP(17848,Trip[shape_id],Trip[shape_id],"Não encontrado")</f>
        <v/>
      </c>
      <c r="B3747" s="43" t="n">
        <v>-23.517949</v>
      </c>
      <c r="C3747" s="43" t="n">
        <v>-46.70374</v>
      </c>
      <c r="D3747" s="43" t="n">
        <v>56</v>
      </c>
      <c r="E3747" s="44" t="n">
        <v>7053.7642</v>
      </c>
    </row>
    <row r="3748">
      <c r="A3748" s="39">
        <f>_xlfn.XLOOKUP(17848,Trip[shape_id],Trip[shape_id],"Não encontrado")</f>
        <v/>
      </c>
      <c r="B3748" s="40" t="n">
        <v>-23.517312</v>
      </c>
      <c r="C3748" s="40" t="n">
        <v>-46.705163</v>
      </c>
      <c r="D3748" s="40" t="n">
        <v>57</v>
      </c>
      <c r="E3748" s="41" t="n">
        <v>7095.8062</v>
      </c>
    </row>
    <row r="3749">
      <c r="A3749" s="42">
        <f>_xlfn.XLOOKUP(17848,Trip[shape_id],Trip[shape_id],"Não encontrado")</f>
        <v/>
      </c>
      <c r="B3749" s="43" t="n">
        <v>-23.517202</v>
      </c>
      <c r="C3749" s="43" t="n">
        <v>-46.705557</v>
      </c>
      <c r="D3749" s="43" t="n">
        <v>58</v>
      </c>
      <c r="E3749" s="44" t="n">
        <v>7118.418</v>
      </c>
    </row>
    <row r="3750">
      <c r="A3750" s="39">
        <f>_xlfn.XLOOKUP(17848,Trip[shape_id],Trip[shape_id],"Não encontrado")</f>
        <v/>
      </c>
      <c r="B3750" s="40" t="n">
        <v>-23.517179</v>
      </c>
      <c r="C3750" s="40" t="n">
        <v>-46.705777</v>
      </c>
      <c r="D3750" s="40" t="n">
        <v>59</v>
      </c>
      <c r="E3750" s="41" t="n">
        <v>7137.9395</v>
      </c>
    </row>
    <row r="3751">
      <c r="A3751" s="42">
        <f>_xlfn.XLOOKUP(17848,Trip[shape_id],Trip[shape_id],"Não encontrado")</f>
        <v/>
      </c>
      <c r="B3751" s="43" t="n">
        <v>-23.517172</v>
      </c>
      <c r="C3751" s="43" t="n">
        <v>-46.705968</v>
      </c>
      <c r="D3751" s="43" t="n">
        <v>60</v>
      </c>
      <c r="E3751" s="44" t="n">
        <v>7154.1812</v>
      </c>
    </row>
    <row r="3752">
      <c r="A3752" s="39">
        <f>_xlfn.XLOOKUP(17848,Trip[shape_id],Trip[shape_id],"Não encontrado")</f>
        <v/>
      </c>
      <c r="B3752" s="40" t="n">
        <v>-23.517175</v>
      </c>
      <c r="C3752" s="40" t="n">
        <v>-46.706127</v>
      </c>
      <c r="D3752" s="40" t="n">
        <v>61</v>
      </c>
      <c r="E3752" s="41" t="n">
        <v>7168.5889</v>
      </c>
    </row>
    <row r="3753">
      <c r="A3753" s="42">
        <f>_xlfn.XLOOKUP(17848,Trip[shape_id],Trip[shape_id],"Não encontrado")</f>
        <v/>
      </c>
      <c r="B3753" s="43" t="n">
        <v>-23.517191</v>
      </c>
      <c r="C3753" s="43" t="n">
        <v>-46.706267</v>
      </c>
      <c r="D3753" s="43" t="n">
        <v>62</v>
      </c>
      <c r="E3753" s="44" t="n">
        <v>7184.3638</v>
      </c>
    </row>
    <row r="3754">
      <c r="A3754" s="39">
        <f>_xlfn.XLOOKUP(17848,Trip[shape_id],Trip[shape_id],"Não encontrado")</f>
        <v/>
      </c>
      <c r="B3754" s="40" t="n">
        <v>-23.517221</v>
      </c>
      <c r="C3754" s="40" t="n">
        <v>-46.706418</v>
      </c>
      <c r="D3754" s="40" t="n">
        <v>63</v>
      </c>
      <c r="E3754" s="41" t="n">
        <v>7203.4399</v>
      </c>
    </row>
    <row r="3755">
      <c r="A3755" s="42">
        <f>_xlfn.XLOOKUP(17848,Trip[shape_id],Trip[shape_id],"Não encontrado")</f>
        <v/>
      </c>
      <c r="B3755" s="43" t="n">
        <v>-23.517267</v>
      </c>
      <c r="C3755" s="43" t="n">
        <v>-46.706598</v>
      </c>
      <c r="D3755" s="43" t="n">
        <v>64</v>
      </c>
      <c r="E3755" s="44" t="n">
        <v>7216.8931</v>
      </c>
    </row>
    <row r="3756">
      <c r="A3756" s="39">
        <f>_xlfn.XLOOKUP(17848,Trip[shape_id],Trip[shape_id],"Não encontrado")</f>
        <v/>
      </c>
      <c r="B3756" s="40" t="n">
        <v>-23.517308</v>
      </c>
      <c r="C3756" s="40" t="n">
        <v>-46.706722</v>
      </c>
      <c r="D3756" s="40" t="n">
        <v>65</v>
      </c>
      <c r="E3756" s="41" t="n">
        <v>7249.4521</v>
      </c>
    </row>
    <row r="3757">
      <c r="A3757" s="42">
        <f>_xlfn.XLOOKUP(17848,Trip[shape_id],Trip[shape_id],"Não encontrado")</f>
        <v/>
      </c>
      <c r="B3757" s="43" t="n">
        <v>-23.517436</v>
      </c>
      <c r="C3757" s="43" t="n">
        <v>-46.707009</v>
      </c>
      <c r="D3757" s="43" t="n">
        <v>66</v>
      </c>
      <c r="E3757" s="44" t="n">
        <v>7487.9414</v>
      </c>
    </row>
    <row r="3758">
      <c r="A3758" s="39">
        <f>_xlfn.XLOOKUP(17848,Trip[shape_id],Trip[shape_id],"Não encontrado")</f>
        <v/>
      </c>
      <c r="B3758" s="40" t="n">
        <v>-23.518651</v>
      </c>
      <c r="C3758" s="40" t="n">
        <v>-46.708937</v>
      </c>
      <c r="D3758" s="40" t="n">
        <v>67</v>
      </c>
      <c r="E3758" s="41" t="n">
        <v>7776.4536</v>
      </c>
    </row>
    <row r="3759">
      <c r="A3759" s="42">
        <f>_xlfn.XLOOKUP(17848,Trip[shape_id],Trip[shape_id],"Não encontrado")</f>
        <v/>
      </c>
      <c r="B3759" s="43" t="n">
        <v>-23.520116</v>
      </c>
      <c r="C3759" s="43" t="n">
        <v>-46.711273</v>
      </c>
      <c r="D3759" s="43" t="n">
        <v>68</v>
      </c>
      <c r="E3759" s="44" t="n">
        <v>7853.5884</v>
      </c>
    </row>
    <row r="3760">
      <c r="A3760" s="39">
        <f>_xlfn.XLOOKUP(17848,Trip[shape_id],Trip[shape_id],"Não encontrado")</f>
        <v/>
      </c>
      <c r="B3760" s="40" t="n">
        <v>-23.520351</v>
      </c>
      <c r="C3760" s="40" t="n">
        <v>-46.711984</v>
      </c>
      <c r="D3760" s="40" t="n">
        <v>69</v>
      </c>
      <c r="E3760" s="41" t="n">
        <v>8021.5435</v>
      </c>
    </row>
    <row r="3761">
      <c r="A3761" s="42">
        <f>_xlfn.XLOOKUP(17848,Trip[shape_id],Trip[shape_id],"Não encontrado")</f>
        <v/>
      </c>
      <c r="B3761" s="43" t="n">
        <v>-23.520226</v>
      </c>
      <c r="C3761" s="43" t="n">
        <v>-46.713623</v>
      </c>
      <c r="D3761" s="43" t="n">
        <v>70</v>
      </c>
      <c r="E3761" s="44" t="n">
        <v>8117.1323</v>
      </c>
    </row>
    <row r="3762">
      <c r="A3762" s="39">
        <f>_xlfn.XLOOKUP(17848,Trip[shape_id],Trip[shape_id],"Não encontrado")</f>
        <v/>
      </c>
      <c r="B3762" s="40" t="n">
        <v>-23.520053</v>
      </c>
      <c r="C3762" s="40" t="n">
        <v>-46.71454</v>
      </c>
      <c r="D3762" s="40" t="n">
        <v>71</v>
      </c>
      <c r="E3762" s="41" t="n">
        <v>8157.3755</v>
      </c>
    </row>
    <row r="3763">
      <c r="A3763" s="42">
        <f>_xlfn.XLOOKUP(17848,Trip[shape_id],Trip[shape_id],"Não encontrado")</f>
        <v/>
      </c>
      <c r="B3763" s="43" t="n">
        <v>-23.519995</v>
      </c>
      <c r="C3763" s="43" t="n">
        <v>-46.714929</v>
      </c>
      <c r="D3763" s="43" t="n">
        <v>72</v>
      </c>
      <c r="E3763" s="44" t="n">
        <v>8200.588900000001</v>
      </c>
    </row>
    <row r="3764">
      <c r="A3764" s="39">
        <f>_xlfn.XLOOKUP(17848,Trip[shape_id],Trip[shape_id],"Não encontrado")</f>
        <v/>
      </c>
      <c r="B3764" s="40" t="n">
        <v>-23.519882</v>
      </c>
      <c r="C3764" s="40" t="n">
        <v>-46.715334</v>
      </c>
      <c r="D3764" s="40" t="n">
        <v>73</v>
      </c>
      <c r="E3764" s="41" t="n">
        <v>8266.8115</v>
      </c>
    </row>
    <row r="3765">
      <c r="A3765" s="42">
        <f>_xlfn.XLOOKUP(17848,Trip[shape_id],Trip[shape_id],"Não encontrado")</f>
        <v/>
      </c>
      <c r="B3765" s="43" t="n">
        <v>-23.519638</v>
      </c>
      <c r="C3765" s="43" t="n">
        <v>-46.715926</v>
      </c>
      <c r="D3765" s="43" t="n">
        <v>74</v>
      </c>
      <c r="E3765" s="44" t="n">
        <v>8301.675800000001</v>
      </c>
    </row>
    <row r="3766">
      <c r="A3766" s="39">
        <f>_xlfn.XLOOKUP(17848,Trip[shape_id],Trip[shape_id],"Não encontrado")</f>
        <v/>
      </c>
      <c r="B3766" s="40" t="n">
        <v>-23.519478</v>
      </c>
      <c r="C3766" s="40" t="n">
        <v>-46.71622</v>
      </c>
      <c r="D3766" s="40" t="n">
        <v>75</v>
      </c>
      <c r="E3766" s="41" t="n">
        <v>8375.651400000001</v>
      </c>
    </row>
    <row r="3767">
      <c r="A3767" s="42">
        <f>_xlfn.XLOOKUP(17848,Trip[shape_id],Trip[shape_id],"Não encontrado")</f>
        <v/>
      </c>
      <c r="B3767" s="43" t="n">
        <v>-23.51915</v>
      </c>
      <c r="C3767" s="43" t="n">
        <v>-46.716851</v>
      </c>
      <c r="D3767" s="43" t="n">
        <v>76</v>
      </c>
      <c r="E3767" s="44" t="n">
        <v>8426.0625</v>
      </c>
    </row>
    <row r="3768">
      <c r="A3768" s="39">
        <f>_xlfn.XLOOKUP(17848,Trip[shape_id],Trip[shape_id],"Não encontrado")</f>
        <v/>
      </c>
      <c r="B3768" s="40" t="n">
        <v>-23.518965</v>
      </c>
      <c r="C3768" s="40" t="n">
        <v>-46.717302</v>
      </c>
      <c r="D3768" s="40" t="n">
        <v>77</v>
      </c>
      <c r="E3768" s="41" t="n">
        <v>8450.043</v>
      </c>
    </row>
    <row r="3769">
      <c r="A3769" s="42">
        <f>_xlfn.XLOOKUP(17848,Trip[shape_id],Trip[shape_id],"Não encontrado")</f>
        <v/>
      </c>
      <c r="B3769" s="43" t="n">
        <v>-23.51887</v>
      </c>
      <c r="C3769" s="43" t="n">
        <v>-46.717513</v>
      </c>
      <c r="D3769" s="43" t="n">
        <v>78</v>
      </c>
      <c r="E3769" s="44" t="n">
        <v>8492.7217</v>
      </c>
    </row>
    <row r="3770">
      <c r="A3770" s="39">
        <f>_xlfn.XLOOKUP(17848,Trip[shape_id],Trip[shape_id],"Não encontrado")</f>
        <v/>
      </c>
      <c r="B3770" s="40" t="n">
        <v>-23.518775</v>
      </c>
      <c r="C3770" s="40" t="n">
        <v>-46.717918</v>
      </c>
      <c r="D3770" s="40" t="n">
        <v>79</v>
      </c>
      <c r="E3770" s="41" t="n">
        <v>8525.426799999999</v>
      </c>
    </row>
    <row r="3771">
      <c r="A3771" s="42">
        <f>_xlfn.XLOOKUP(17848,Trip[shape_id],Trip[shape_id],"Não encontrado")</f>
        <v/>
      </c>
      <c r="B3771" s="43" t="n">
        <v>-23.518717</v>
      </c>
      <c r="C3771" s="43" t="n">
        <v>-46.718232</v>
      </c>
      <c r="D3771" s="43" t="n">
        <v>80</v>
      </c>
      <c r="E3771" s="44" t="n">
        <v>8558.3262</v>
      </c>
    </row>
    <row r="3772">
      <c r="A3772" s="39">
        <f>_xlfn.XLOOKUP(17848,Trip[shape_id],Trip[shape_id],"Não encontrado")</f>
        <v/>
      </c>
      <c r="B3772" s="40" t="n">
        <v>-23.518692</v>
      </c>
      <c r="C3772" s="40" t="n">
        <v>-46.718553</v>
      </c>
      <c r="D3772" s="40" t="n">
        <v>81</v>
      </c>
      <c r="E3772" s="41" t="n">
        <v>8596.132799999999</v>
      </c>
    </row>
    <row r="3773">
      <c r="A3773" s="42">
        <f>_xlfn.XLOOKUP(17848,Trip[shape_id],Trip[shape_id],"Não encontrado")</f>
        <v/>
      </c>
      <c r="B3773" s="43" t="n">
        <v>-23.518703</v>
      </c>
      <c r="C3773" s="43" t="n">
        <v>-46.718923</v>
      </c>
      <c r="D3773" s="43" t="n">
        <v>82</v>
      </c>
      <c r="E3773" s="44" t="n">
        <v>8608.4287</v>
      </c>
    </row>
    <row r="3774">
      <c r="A3774" s="39">
        <f>_xlfn.XLOOKUP(17848,Trip[shape_id],Trip[shape_id],"Não encontrado")</f>
        <v/>
      </c>
      <c r="B3774" s="40" t="n">
        <v>-23.518712</v>
      </c>
      <c r="C3774" s="40" t="n">
        <v>-46.719043</v>
      </c>
      <c r="D3774" s="40" t="n">
        <v>83</v>
      </c>
      <c r="E3774" s="41" t="n">
        <v>8648.2021</v>
      </c>
    </row>
    <row r="3775">
      <c r="A3775" s="42">
        <f>_xlfn.XLOOKUP(17848,Trip[shape_id],Trip[shape_id],"Não encontrado")</f>
        <v/>
      </c>
      <c r="B3775" s="43" t="n">
        <v>-23.518743</v>
      </c>
      <c r="C3775" s="43" t="n">
        <v>-46.719431</v>
      </c>
      <c r="D3775" s="43" t="n">
        <v>84</v>
      </c>
      <c r="E3775" s="44" t="n">
        <v>8719.598599999999</v>
      </c>
    </row>
    <row r="3776">
      <c r="A3776" s="39">
        <f>_xlfn.XLOOKUP(17848,Trip[shape_id],Trip[shape_id],"Não encontrado")</f>
        <v/>
      </c>
      <c r="B3776" s="40" t="n">
        <v>-23.518754</v>
      </c>
      <c r="C3776" s="40" t="n">
        <v>-46.72013</v>
      </c>
      <c r="D3776" s="40" t="n">
        <v>85</v>
      </c>
      <c r="E3776" s="41" t="n">
        <v>8861.604499999999</v>
      </c>
    </row>
    <row r="3777">
      <c r="A3777" s="42">
        <f>_xlfn.XLOOKUP(17848,Trip[shape_id],Trip[shape_id],"Não encontrado")</f>
        <v/>
      </c>
      <c r="B3777" s="43" t="n">
        <v>-23.518788</v>
      </c>
      <c r="C3777" s="43" t="n">
        <v>-46.72152</v>
      </c>
      <c r="D3777" s="43" t="n">
        <v>86</v>
      </c>
      <c r="E3777" s="44" t="n">
        <v>8861.604499999999</v>
      </c>
    </row>
    <row r="3778">
      <c r="A3778" s="39">
        <f>_xlfn.XLOOKUP(17848,Trip[shape_id],Trip[shape_id],"Não encontrado")</f>
        <v/>
      </c>
      <c r="B3778" s="40" t="n">
        <v>-23.518863</v>
      </c>
      <c r="C3778" s="40" t="n">
        <v>-46.723607</v>
      </c>
      <c r="D3778" s="40" t="n">
        <v>87</v>
      </c>
      <c r="E3778" s="41" t="n">
        <v>9174.3447</v>
      </c>
    </row>
    <row r="3779">
      <c r="A3779" s="42">
        <f>_xlfn.XLOOKUP(17848,Trip[shape_id],Trip[shape_id],"Não encontrado")</f>
        <v/>
      </c>
      <c r="B3779" s="43" t="n">
        <v>-23.518897</v>
      </c>
      <c r="C3779" s="43" t="n">
        <v>-46.72458</v>
      </c>
      <c r="D3779" s="43" t="n">
        <v>88</v>
      </c>
      <c r="E3779" s="44" t="n">
        <v>9247.6445</v>
      </c>
    </row>
    <row r="3780">
      <c r="A3780" s="39">
        <f>_xlfn.XLOOKUP(17848,Trip[shape_id],Trip[shape_id],"Não encontrado")</f>
        <v/>
      </c>
      <c r="B3780" s="40" t="n">
        <v>-23.518927</v>
      </c>
      <c r="C3780" s="40" t="n">
        <v>-46.725297</v>
      </c>
      <c r="D3780" s="40" t="n">
        <v>89</v>
      </c>
      <c r="E3780" s="41" t="n">
        <v>9385.626</v>
      </c>
    </row>
    <row r="3781">
      <c r="A3781" s="42">
        <f>_xlfn.XLOOKUP(17848,Trip[shape_id],Trip[shape_id],"Não encontrado")</f>
        <v/>
      </c>
      <c r="B3781" s="43" t="n">
        <v>-23.5191</v>
      </c>
      <c r="C3781" s="43" t="n">
        <v>-46.726635</v>
      </c>
      <c r="D3781" s="43" t="n">
        <v>90</v>
      </c>
      <c r="E3781" s="44" t="n">
        <v>9505.8262</v>
      </c>
    </row>
    <row r="3782">
      <c r="A3782" s="39">
        <f>_xlfn.XLOOKUP(17848,Trip[shape_id],Trip[shape_id],"Não encontrado")</f>
        <v/>
      </c>
      <c r="B3782" s="40" t="n">
        <v>-23.519304</v>
      </c>
      <c r="C3782" s="40" t="n">
        <v>-46.727791</v>
      </c>
      <c r="D3782" s="40" t="n">
        <v>91</v>
      </c>
      <c r="E3782" s="41" t="n">
        <v>9598.5859</v>
      </c>
    </row>
    <row r="3783">
      <c r="A3783" s="42">
        <f>_xlfn.XLOOKUP(17848,Trip[shape_id],Trip[shape_id],"Não encontrado")</f>
        <v/>
      </c>
      <c r="B3783" s="43" t="n">
        <v>-23.519457</v>
      </c>
      <c r="C3783" s="43" t="n">
        <v>-46.728684</v>
      </c>
      <c r="D3783" s="43" t="n">
        <v>92</v>
      </c>
      <c r="E3783" s="44" t="n">
        <v>9659.6592</v>
      </c>
    </row>
    <row r="3784">
      <c r="A3784" s="39">
        <f>_xlfn.XLOOKUP(17848,Trip[shape_id],Trip[shape_id],"Não encontrado")</f>
        <v/>
      </c>
      <c r="B3784" s="40" t="n">
        <v>-23.519453</v>
      </c>
      <c r="C3784" s="40" t="n">
        <v>-46.729282</v>
      </c>
      <c r="D3784" s="40" t="n">
        <v>93</v>
      </c>
      <c r="E3784" s="41" t="n">
        <v>9761.8506</v>
      </c>
    </row>
    <row r="3785">
      <c r="A3785" s="42">
        <f>_xlfn.XLOOKUP(17848,Trip[shape_id],Trip[shape_id],"Não encontrado")</f>
        <v/>
      </c>
      <c r="B3785" s="43" t="n">
        <v>-23.51942</v>
      </c>
      <c r="C3785" s="43" t="n">
        <v>-46.730282</v>
      </c>
      <c r="D3785" s="43" t="n">
        <v>94</v>
      </c>
      <c r="E3785" s="44" t="n">
        <v>9844.3428</v>
      </c>
    </row>
    <row r="3786">
      <c r="A3786" s="39">
        <f>_xlfn.XLOOKUP(17848,Trip[shape_id],Trip[shape_id],"Não encontrado")</f>
        <v/>
      </c>
      <c r="B3786" s="40" t="n">
        <v>-23.519388</v>
      </c>
      <c r="C3786" s="40" t="n">
        <v>-46.731089</v>
      </c>
      <c r="D3786" s="40" t="n">
        <v>95</v>
      </c>
      <c r="E3786" s="41" t="n">
        <v>9937.4951</v>
      </c>
    </row>
    <row r="3787">
      <c r="A3787" s="42">
        <f>_xlfn.XLOOKUP(17848,Trip[shape_id],Trip[shape_id],"Não encontrado")</f>
        <v/>
      </c>
      <c r="B3787" s="43" t="n">
        <v>-23.519519</v>
      </c>
      <c r="C3787" s="43" t="n">
        <v>-46.73199</v>
      </c>
      <c r="D3787" s="43" t="n">
        <v>96</v>
      </c>
      <c r="E3787" s="44" t="n">
        <v>10009.471</v>
      </c>
    </row>
    <row r="3788">
      <c r="A3788" s="39">
        <f>_xlfn.XLOOKUP(17848,Trip[shape_id],Trip[shape_id],"Não encontrado")</f>
        <v/>
      </c>
      <c r="B3788" s="40" t="n">
        <v>-23.519799</v>
      </c>
      <c r="C3788" s="40" t="n">
        <v>-46.732626</v>
      </c>
      <c r="D3788" s="40" t="n">
        <v>97</v>
      </c>
      <c r="E3788" s="41" t="n">
        <v>10131.871</v>
      </c>
    </row>
    <row r="3789">
      <c r="A3789" s="42">
        <f>_xlfn.XLOOKUP(17848,Trip[shape_id],Trip[shape_id],"Não encontrado")</f>
        <v/>
      </c>
      <c r="B3789" s="43" t="n">
        <v>-23.520515</v>
      </c>
      <c r="C3789" s="43" t="n">
        <v>-46.733539</v>
      </c>
      <c r="D3789" s="43" t="n">
        <v>98</v>
      </c>
      <c r="E3789" s="44" t="n">
        <v>10243.412</v>
      </c>
    </row>
    <row r="3790">
      <c r="A3790" s="39">
        <f>_xlfn.XLOOKUP(17848,Trip[shape_id],Trip[shape_id],"Não encontrado")</f>
        <v/>
      </c>
      <c r="B3790" s="40" t="n">
        <v>-23.521144</v>
      </c>
      <c r="C3790" s="40" t="n">
        <v>-46.734392</v>
      </c>
      <c r="D3790" s="40" t="n">
        <v>99</v>
      </c>
      <c r="E3790" s="41" t="n">
        <v>10321.38</v>
      </c>
    </row>
    <row r="3791">
      <c r="A3791" s="42">
        <f>_xlfn.XLOOKUP(17848,Trip[shape_id],Trip[shape_id],"Não encontrado")</f>
        <v/>
      </c>
      <c r="B3791" s="43" t="n">
        <v>-23.521605</v>
      </c>
      <c r="C3791" s="43" t="n">
        <v>-46.734969</v>
      </c>
      <c r="D3791" s="43" t="n">
        <v>100</v>
      </c>
      <c r="E3791" s="44" t="n">
        <v>10533.043</v>
      </c>
    </row>
    <row r="3792">
      <c r="A3792" s="39">
        <f>_xlfn.XLOOKUP(17848,Trip[shape_id],Trip[shape_id],"Não encontrado")</f>
        <v/>
      </c>
      <c r="B3792" s="40" t="n">
        <v>-23.522858</v>
      </c>
      <c r="C3792" s="40" t="n">
        <v>-46.736534</v>
      </c>
      <c r="D3792" s="40" t="n">
        <v>101</v>
      </c>
      <c r="E3792" s="41" t="n">
        <v>10684.726</v>
      </c>
    </row>
    <row r="3793">
      <c r="A3793" s="42">
        <f>_xlfn.XLOOKUP(17848,Trip[shape_id],Trip[shape_id],"Não encontrado")</f>
        <v/>
      </c>
      <c r="B3793" s="43" t="n">
        <v>-23.523749</v>
      </c>
      <c r="C3793" s="43" t="n">
        <v>-46.737662</v>
      </c>
      <c r="D3793" s="43" t="n">
        <v>102</v>
      </c>
      <c r="E3793" s="44" t="n">
        <v>10684.726</v>
      </c>
    </row>
    <row r="3794">
      <c r="A3794" s="39">
        <f>_xlfn.XLOOKUP(17848,Trip[shape_id],Trip[shape_id],"Não encontrado")</f>
        <v/>
      </c>
      <c r="B3794" s="40" t="n">
        <v>-23.524041</v>
      </c>
      <c r="C3794" s="40" t="n">
        <v>-46.738037</v>
      </c>
      <c r="D3794" s="40" t="n">
        <v>103</v>
      </c>
      <c r="E3794" s="41" t="n">
        <v>10889.277</v>
      </c>
    </row>
    <row r="3795">
      <c r="A3795" s="42">
        <f>_xlfn.XLOOKUP(17848,Trip[shape_id],Trip[shape_id],"Não encontrado")</f>
        <v/>
      </c>
      <c r="B3795" s="43" t="n">
        <v>-23.524955</v>
      </c>
      <c r="C3795" s="43" t="n">
        <v>-46.739179</v>
      </c>
      <c r="D3795" s="43" t="n">
        <v>104</v>
      </c>
      <c r="E3795" s="44" t="n">
        <v>11139.561</v>
      </c>
    </row>
    <row r="3796">
      <c r="A3796" s="39">
        <f>_xlfn.XLOOKUP(17848,Trip[shape_id],Trip[shape_id],"Não encontrado")</f>
        <v/>
      </c>
      <c r="B3796" s="40" t="n">
        <v>-23.526433</v>
      </c>
      <c r="C3796" s="40" t="n">
        <v>-46.741033</v>
      </c>
      <c r="D3796" s="40" t="n">
        <v>105</v>
      </c>
      <c r="E3796" s="41" t="n">
        <v>11335.241</v>
      </c>
    </row>
    <row r="3797">
      <c r="A3797" s="42">
        <f>_xlfn.XLOOKUP(17848,Trip[shape_id],Trip[shape_id],"Não encontrado")</f>
        <v/>
      </c>
      <c r="B3797" s="43" t="n">
        <v>-23.527587</v>
      </c>
      <c r="C3797" s="43" t="n">
        <v>-46.742484</v>
      </c>
      <c r="D3797" s="43" t="n">
        <v>106</v>
      </c>
      <c r="E3797" s="44" t="n">
        <v>11511.375</v>
      </c>
    </row>
    <row r="3798">
      <c r="A3798" s="39">
        <f>_xlfn.XLOOKUP(17848,Trip[shape_id],Trip[shape_id],"Não encontrado")</f>
        <v/>
      </c>
      <c r="B3798" s="40" t="n">
        <v>-23.528629</v>
      </c>
      <c r="C3798" s="40" t="n">
        <v>-46.743787</v>
      </c>
      <c r="D3798" s="40" t="n">
        <v>107</v>
      </c>
      <c r="E3798" s="41" t="n">
        <v>11549.525</v>
      </c>
    </row>
    <row r="3799">
      <c r="A3799" s="42">
        <f>_xlfn.XLOOKUP(17848,Trip[shape_id],Trip[shape_id],"Não encontrado")</f>
        <v/>
      </c>
      <c r="B3799" s="43" t="n">
        <v>-23.528856</v>
      </c>
      <c r="C3799" s="43" t="n">
        <v>-46.744068</v>
      </c>
      <c r="D3799" s="43" t="n">
        <v>108</v>
      </c>
      <c r="E3799" s="44" t="n">
        <v>11596.28</v>
      </c>
    </row>
    <row r="3800">
      <c r="A3800" s="39">
        <f>_xlfn.XLOOKUP(17848,Trip[shape_id],Trip[shape_id],"Não encontrado")</f>
        <v/>
      </c>
      <c r="B3800" s="40" t="n">
        <v>-23.529118</v>
      </c>
      <c r="C3800" s="40" t="n">
        <v>-46.744427</v>
      </c>
      <c r="D3800" s="40" t="n">
        <v>109</v>
      </c>
      <c r="E3800" s="41" t="n">
        <v>11733.745</v>
      </c>
    </row>
    <row r="3801">
      <c r="A3801" s="42">
        <f>_xlfn.XLOOKUP(17848,Trip[shape_id],Trip[shape_id],"Não encontrado")</f>
        <v/>
      </c>
      <c r="B3801" s="43" t="n">
        <v>-23.529897</v>
      </c>
      <c r="C3801" s="43" t="n">
        <v>-46.745475</v>
      </c>
      <c r="D3801" s="43" t="n">
        <v>110</v>
      </c>
      <c r="E3801" s="44" t="n">
        <v>11770.086</v>
      </c>
    </row>
    <row r="3802">
      <c r="A3802" s="39">
        <f>_xlfn.XLOOKUP(17848,Trip[shape_id],Trip[shape_id],"Não encontrado")</f>
        <v/>
      </c>
      <c r="B3802" s="40" t="n">
        <v>-23.530103</v>
      </c>
      <c r="C3802" s="40" t="n">
        <v>-46.745752</v>
      </c>
      <c r="D3802" s="40" t="n">
        <v>111</v>
      </c>
      <c r="E3802" s="41" t="n">
        <v>11819.987</v>
      </c>
    </row>
    <row r="3803">
      <c r="A3803" s="42">
        <f>_xlfn.XLOOKUP(17848,Trip[shape_id],Trip[shape_id],"Não encontrado")</f>
        <v/>
      </c>
      <c r="B3803" s="43" t="n">
        <v>-23.530327</v>
      </c>
      <c r="C3803" s="43" t="n">
        <v>-46.746176</v>
      </c>
      <c r="D3803" s="43" t="n">
        <v>112</v>
      </c>
      <c r="E3803" s="44" t="n">
        <v>11873.843</v>
      </c>
    </row>
    <row r="3804">
      <c r="A3804" s="39">
        <f>_xlfn.XLOOKUP(17848,Trip[shape_id],Trip[shape_id],"Não encontrado")</f>
        <v/>
      </c>
      <c r="B3804" s="40" t="n">
        <v>-23.530518</v>
      </c>
      <c r="C3804" s="40" t="n">
        <v>-46.746661</v>
      </c>
      <c r="D3804" s="40" t="n">
        <v>113</v>
      </c>
      <c r="E3804" s="41" t="n">
        <v>11925.384</v>
      </c>
    </row>
    <row r="3805">
      <c r="A3805" s="42">
        <f>_xlfn.XLOOKUP(17848,Trip[shape_id],Trip[shape_id],"Não encontrado")</f>
        <v/>
      </c>
      <c r="B3805" s="43" t="n">
        <v>-23.530659</v>
      </c>
      <c r="C3805" s="43" t="n">
        <v>-46.747142</v>
      </c>
      <c r="D3805" s="43" t="n">
        <v>114</v>
      </c>
      <c r="E3805" s="44" t="n">
        <v>11973.254</v>
      </c>
    </row>
    <row r="3806">
      <c r="A3806" s="39">
        <f>_xlfn.XLOOKUP(17848,Trip[shape_id],Trip[shape_id],"Não encontrado")</f>
        <v/>
      </c>
      <c r="B3806" s="40" t="n">
        <v>-23.530706</v>
      </c>
      <c r="C3806" s="40" t="n">
        <v>-46.747608</v>
      </c>
      <c r="D3806" s="40" t="n">
        <v>115</v>
      </c>
      <c r="E3806" s="41" t="n">
        <v>12040.629</v>
      </c>
    </row>
    <row r="3807">
      <c r="A3807" s="42">
        <f>_xlfn.XLOOKUP(17848,Trip[shape_id],Trip[shape_id],"Não encontrado")</f>
        <v/>
      </c>
      <c r="B3807" s="43" t="n">
        <v>-23.530771</v>
      </c>
      <c r="C3807" s="43" t="n">
        <v>-46.748264</v>
      </c>
      <c r="D3807" s="43" t="n">
        <v>116</v>
      </c>
      <c r="E3807" s="44" t="n">
        <v>12232.518</v>
      </c>
    </row>
    <row r="3808">
      <c r="A3808" s="39">
        <f>_xlfn.XLOOKUP(17848,Trip[shape_id],Trip[shape_id],"Não encontrado")</f>
        <v/>
      </c>
      <c r="B3808" s="40" t="n">
        <v>-23.530789</v>
      </c>
      <c r="C3808" s="40" t="n">
        <v>-46.750143</v>
      </c>
      <c r="D3808" s="40" t="n">
        <v>117</v>
      </c>
      <c r="E3808" s="41" t="n">
        <v>12241.402</v>
      </c>
    </row>
    <row r="3809">
      <c r="A3809" s="42">
        <f>_xlfn.XLOOKUP(17848,Trip[shape_id],Trip[shape_id],"Não encontrado")</f>
        <v/>
      </c>
      <c r="B3809" s="43" t="n">
        <v>-23.53079</v>
      </c>
      <c r="C3809" s="43" t="n">
        <v>-46.75023</v>
      </c>
      <c r="D3809" s="43" t="n">
        <v>118</v>
      </c>
      <c r="E3809" s="44" t="n">
        <v>12294.712</v>
      </c>
    </row>
    <row r="3810">
      <c r="A3810" s="39">
        <f>_xlfn.XLOOKUP(17848,Trip[shape_id],Trip[shape_id],"Não encontrado")</f>
        <v/>
      </c>
      <c r="B3810" s="40" t="n">
        <v>-23.530717</v>
      </c>
      <c r="C3810" s="40" t="n">
        <v>-46.750746</v>
      </c>
      <c r="D3810" s="40" t="n">
        <v>119</v>
      </c>
      <c r="E3810" s="41" t="n">
        <v>12428.768</v>
      </c>
    </row>
    <row r="3811">
      <c r="A3811" s="42">
        <f>_xlfn.XLOOKUP(17848,Trip[shape_id],Trip[shape_id],"Não encontrado")</f>
        <v/>
      </c>
      <c r="B3811" s="43" t="n">
        <v>-23.53053</v>
      </c>
      <c r="C3811" s="43" t="n">
        <v>-46.752043</v>
      </c>
      <c r="D3811" s="43" t="n">
        <v>120</v>
      </c>
      <c r="E3811" s="44" t="n">
        <v>12532.243</v>
      </c>
    </row>
    <row r="3812">
      <c r="A3812" s="39">
        <f>_xlfn.XLOOKUP(17848,Trip[shape_id],Trip[shape_id],"Não encontrado")</f>
        <v/>
      </c>
      <c r="B3812" s="40" t="n">
        <v>-23.530245</v>
      </c>
      <c r="C3812" s="40" t="n">
        <v>-46.753008</v>
      </c>
      <c r="D3812" s="40" t="n">
        <v>121</v>
      </c>
      <c r="E3812" s="41" t="n">
        <v>12597.996</v>
      </c>
    </row>
    <row r="3813">
      <c r="A3813" s="42">
        <f>_xlfn.XLOOKUP(17848,Trip[shape_id],Trip[shape_id],"Não encontrado")</f>
        <v/>
      </c>
      <c r="B3813" s="43" t="n">
        <v>-23.530001</v>
      </c>
      <c r="C3813" s="43" t="n">
        <v>-46.753595</v>
      </c>
      <c r="D3813" s="43" t="n">
        <v>122</v>
      </c>
      <c r="E3813" s="44" t="n">
        <v>12647.657</v>
      </c>
    </row>
    <row r="3814">
      <c r="A3814" s="39">
        <f>_xlfn.XLOOKUP(17848,Trip[shape_id],Trip[shape_id],"Não encontrado")</f>
        <v/>
      </c>
      <c r="B3814" s="40" t="n">
        <v>-23.529812</v>
      </c>
      <c r="C3814" s="40" t="n">
        <v>-46.754036</v>
      </c>
      <c r="D3814" s="40" t="n">
        <v>123</v>
      </c>
      <c r="E3814" s="41" t="n">
        <v>12728.365</v>
      </c>
    </row>
    <row r="3815">
      <c r="A3815" s="42">
        <f>_xlfn.XLOOKUP(17848,Trip[shape_id],Trip[shape_id],"Não encontrado")</f>
        <v/>
      </c>
      <c r="B3815" s="43" t="n">
        <v>-23.52949</v>
      </c>
      <c r="C3815" s="43" t="n">
        <v>-46.754745</v>
      </c>
      <c r="D3815" s="43" t="n">
        <v>124</v>
      </c>
      <c r="E3815" s="44" t="n">
        <v>12839.703</v>
      </c>
    </row>
    <row r="3816">
      <c r="A3816" s="39">
        <f>_xlfn.XLOOKUP(17848,Trip[shape_id],Trip[shape_id],"Não encontrado")</f>
        <v/>
      </c>
      <c r="B3816" s="40" t="n">
        <v>-23.529059</v>
      </c>
      <c r="C3816" s="40" t="n">
        <v>-46.75573</v>
      </c>
      <c r="D3816" s="40" t="n">
        <v>125</v>
      </c>
      <c r="E3816" s="41" t="n">
        <v>12939.199</v>
      </c>
    </row>
    <row r="3817">
      <c r="A3817" s="42">
        <f>_xlfn.XLOOKUP(17848,Trip[shape_id],Trip[shape_id],"Não encontrado")</f>
        <v/>
      </c>
      <c r="B3817" s="43" t="n">
        <v>-23.528738</v>
      </c>
      <c r="C3817" s="43" t="n">
        <v>-46.75664</v>
      </c>
      <c r="D3817" s="43" t="n">
        <v>126</v>
      </c>
      <c r="E3817" s="44" t="n">
        <v>13002.385</v>
      </c>
    </row>
    <row r="3818">
      <c r="A3818" s="39">
        <f>_xlfn.XLOOKUP(17848,Trip[shape_id],Trip[shape_id],"Não encontrado")</f>
        <v/>
      </c>
      <c r="B3818" s="40" t="n">
        <v>-23.528648</v>
      </c>
      <c r="C3818" s="40" t="n">
        <v>-46.757251</v>
      </c>
      <c r="D3818" s="40" t="n">
        <v>127</v>
      </c>
      <c r="E3818" s="41" t="n">
        <v>13063.123</v>
      </c>
    </row>
    <row r="3819">
      <c r="A3819" s="42">
        <f>_xlfn.XLOOKUP(17848,Trip[shape_id],Trip[shape_id],"Não encontrado")</f>
        <v/>
      </c>
      <c r="B3819" s="43" t="n">
        <v>-23.528701</v>
      </c>
      <c r="C3819" s="43" t="n">
        <v>-46.757843</v>
      </c>
      <c r="D3819" s="43" t="n">
        <v>128</v>
      </c>
      <c r="E3819" s="44" t="n">
        <v>13117.551</v>
      </c>
    </row>
    <row r="3820">
      <c r="A3820" s="39">
        <f>_xlfn.XLOOKUP(17848,Trip[shape_id],Trip[shape_id],"Não encontrado")</f>
        <v/>
      </c>
      <c r="B3820" s="40" t="n">
        <v>-23.528831</v>
      </c>
      <c r="C3820" s="40" t="n">
        <v>-46.758357</v>
      </c>
      <c r="D3820" s="40" t="n">
        <v>129</v>
      </c>
      <c r="E3820" s="41" t="n">
        <v>13169.251</v>
      </c>
    </row>
    <row r="3821">
      <c r="A3821" s="42">
        <f>_xlfn.XLOOKUP(17848,Trip[shape_id],Trip[shape_id],"Não encontrado")</f>
        <v/>
      </c>
      <c r="B3821" s="43" t="n">
        <v>-23.52899</v>
      </c>
      <c r="C3821" s="43" t="n">
        <v>-46.758833</v>
      </c>
      <c r="D3821" s="43" t="n">
        <v>130</v>
      </c>
      <c r="E3821" s="44" t="n">
        <v>13213.508</v>
      </c>
    </row>
    <row r="3822">
      <c r="A3822" s="39">
        <f>_xlfn.XLOOKUP(17848,Trip[shape_id],Trip[shape_id],"Não encontrado")</f>
        <v/>
      </c>
      <c r="B3822" s="40" t="n">
        <v>-23.529146</v>
      </c>
      <c r="C3822" s="40" t="n">
        <v>-46.759232</v>
      </c>
      <c r="D3822" s="40" t="n">
        <v>131</v>
      </c>
      <c r="E3822" s="41" t="n">
        <v>13243.62</v>
      </c>
    </row>
    <row r="3823">
      <c r="A3823" s="42">
        <f>_xlfn.XLOOKUP(17848,Trip[shape_id],Trip[shape_id],"Não encontrado")</f>
        <v/>
      </c>
      <c r="B3823" s="43" t="n">
        <v>-23.529251</v>
      </c>
      <c r="C3823" s="43" t="n">
        <v>-46.759504</v>
      </c>
      <c r="D3823" s="43" t="n">
        <v>132</v>
      </c>
      <c r="E3823" s="44" t="n">
        <v>13309.595</v>
      </c>
    </row>
    <row r="3824">
      <c r="A3824" s="39">
        <f>_xlfn.XLOOKUP(17848,Trip[shape_id],Trip[shape_id],"Não encontrado")</f>
        <v/>
      </c>
      <c r="B3824" s="40" t="n">
        <v>-23.529559</v>
      </c>
      <c r="C3824" s="40" t="n">
        <v>-46.760057</v>
      </c>
      <c r="D3824" s="40" t="n">
        <v>133</v>
      </c>
      <c r="E3824" s="41" t="n">
        <v>13398.758</v>
      </c>
    </row>
    <row r="3825">
      <c r="A3825" s="42">
        <f>_xlfn.XLOOKUP(17848,Trip[shape_id],Trip[shape_id],"Não encontrado")</f>
        <v/>
      </c>
      <c r="B3825" s="43" t="n">
        <v>-23.530124</v>
      </c>
      <c r="C3825" s="43" t="n">
        <v>-46.760679</v>
      </c>
      <c r="D3825" s="43" t="n">
        <v>134</v>
      </c>
      <c r="E3825" s="44" t="n">
        <v>13559.408</v>
      </c>
    </row>
    <row r="3826">
      <c r="A3826" s="39">
        <f>_xlfn.XLOOKUP(17848,Trip[shape_id],Trip[shape_id],"Não encontrado")</f>
        <v/>
      </c>
      <c r="B3826" s="40" t="n">
        <v>-23.531195</v>
      </c>
      <c r="C3826" s="40" t="n">
        <v>-46.76174</v>
      </c>
      <c r="D3826" s="40" t="n">
        <v>135</v>
      </c>
      <c r="E3826" s="41" t="n">
        <v>13559.408</v>
      </c>
    </row>
    <row r="3827">
      <c r="A3827" s="42">
        <f>_xlfn.XLOOKUP(17848,Trip[shape_id],Trip[shape_id],"Não encontrado")</f>
        <v/>
      </c>
      <c r="B3827" s="43" t="n">
        <v>-23.53245</v>
      </c>
      <c r="C3827" s="43" t="n">
        <v>-46.763056</v>
      </c>
      <c r="D3827" s="43" t="n">
        <v>136</v>
      </c>
      <c r="E3827" s="44" t="n">
        <v>13850.248</v>
      </c>
    </row>
    <row r="3828">
      <c r="A3828" s="39">
        <f>_xlfn.XLOOKUP(17848,Trip[shape_id],Trip[shape_id],"Não encontrado")</f>
        <v/>
      </c>
      <c r="B3828" s="40" t="n">
        <v>-23.533024</v>
      </c>
      <c r="C3828" s="40" t="n">
        <v>-46.76378</v>
      </c>
      <c r="D3828" s="40" t="n">
        <v>137</v>
      </c>
      <c r="E3828" s="41" t="n">
        <v>13929.452</v>
      </c>
    </row>
    <row r="3829">
      <c r="A3829" s="42">
        <f>_xlfn.XLOOKUP(17848,Trip[shape_id],Trip[shape_id],"Não encontrado")</f>
        <v/>
      </c>
      <c r="B3829" s="43" t="n">
        <v>-23.533299</v>
      </c>
      <c r="C3829" s="43" t="n">
        <v>-46.764496</v>
      </c>
      <c r="D3829" s="43" t="n">
        <v>138</v>
      </c>
      <c r="E3829" s="44" t="n">
        <v>13997.835</v>
      </c>
    </row>
    <row r="3830">
      <c r="A3830" s="39">
        <f>_xlfn.XLOOKUP(17848,Trip[shape_id],Trip[shape_id],"Não encontrado")</f>
        <v/>
      </c>
      <c r="B3830" s="40" t="n">
        <v>-23.533398</v>
      </c>
      <c r="C3830" s="40" t="n">
        <v>-46.765157</v>
      </c>
      <c r="D3830" s="40" t="n">
        <v>139</v>
      </c>
      <c r="E3830" s="41" t="n">
        <v>14077.635</v>
      </c>
    </row>
    <row r="3831">
      <c r="A3831" s="42">
        <f>_xlfn.XLOOKUP(17848,Trip[shape_id],Trip[shape_id],"Não encontrado")</f>
        <v/>
      </c>
      <c r="B3831" s="43" t="n">
        <v>-23.533275</v>
      </c>
      <c r="C3831" s="43" t="n">
        <v>-46.765927</v>
      </c>
      <c r="D3831" s="43" t="n">
        <v>140</v>
      </c>
      <c r="E3831" s="44" t="n">
        <v>14150.102</v>
      </c>
    </row>
    <row r="3832">
      <c r="A3832" s="39">
        <f>_xlfn.XLOOKUP(17848,Trip[shape_id],Trip[shape_id],"Não encontrado")</f>
        <v/>
      </c>
      <c r="B3832" s="40" t="n">
        <v>-23.533062</v>
      </c>
      <c r="C3832" s="40" t="n">
        <v>-46.766598</v>
      </c>
      <c r="D3832" s="40" t="n">
        <v>141</v>
      </c>
      <c r="E3832" s="41" t="n">
        <v>14257.706</v>
      </c>
    </row>
    <row r="3833">
      <c r="A3833" s="42">
        <f>_xlfn.XLOOKUP(17848,Trip[shape_id],Trip[shape_id],"Não encontrado")</f>
        <v/>
      </c>
      <c r="B3833" s="43" t="n">
        <v>-23.532698</v>
      </c>
      <c r="C3833" s="43" t="n">
        <v>-46.767575</v>
      </c>
      <c r="D3833" s="43" t="n">
        <v>142</v>
      </c>
      <c r="E3833" s="44" t="n">
        <v>14380.788</v>
      </c>
    </row>
    <row r="3834">
      <c r="A3834" s="39">
        <f>_xlfn.XLOOKUP(17848,Trip[shape_id],Trip[shape_id],"Não encontrado")</f>
        <v/>
      </c>
      <c r="B3834" s="40" t="n">
        <v>-23.532285</v>
      </c>
      <c r="C3834" s="40" t="n">
        <v>-46.768694</v>
      </c>
      <c r="D3834" s="40" t="n">
        <v>143</v>
      </c>
      <c r="E3834" s="41" t="n">
        <v>14380.788</v>
      </c>
    </row>
    <row r="3835">
      <c r="A3835" s="42">
        <f>_xlfn.XLOOKUP(17848,Trip[shape_id],Trip[shape_id],"Não encontrado")</f>
        <v/>
      </c>
      <c r="B3835" s="43" t="n">
        <v>-23.531932</v>
      </c>
      <c r="C3835" s="43" t="n">
        <v>-46.769648</v>
      </c>
      <c r="D3835" s="43" t="n">
        <v>144</v>
      </c>
      <c r="E3835" s="44" t="n">
        <v>14485.759</v>
      </c>
    </row>
    <row r="3836">
      <c r="A3836" s="39">
        <f>_xlfn.XLOOKUP(17848,Trip[shape_id],Trip[shape_id],"Não encontrado")</f>
        <v/>
      </c>
      <c r="B3836" s="40" t="n">
        <v>-23.531813</v>
      </c>
      <c r="C3836" s="40" t="n">
        <v>-46.76995</v>
      </c>
      <c r="D3836" s="40" t="n">
        <v>145</v>
      </c>
      <c r="E3836" s="41" t="n">
        <v>14519.296</v>
      </c>
    </row>
    <row r="3837">
      <c r="A3837" s="42">
        <f>_xlfn.XLOOKUP(17848,Trip[shape_id],Trip[shape_id],"Não encontrado")</f>
        <v/>
      </c>
      <c r="B3837" s="43" t="n">
        <v>-23.531406</v>
      </c>
      <c r="C3837" s="43" t="n">
        <v>-46.770946</v>
      </c>
      <c r="D3837" s="43" t="n">
        <v>146</v>
      </c>
      <c r="E3837" s="44" t="n">
        <v>14630.545</v>
      </c>
    </row>
    <row r="3838">
      <c r="A3838" s="39">
        <f>_xlfn.XLOOKUP(17848,Trip[shape_id],Trip[shape_id],"Não encontrado")</f>
        <v/>
      </c>
      <c r="B3838" s="40" t="n">
        <v>-23.531039</v>
      </c>
      <c r="C3838" s="40" t="n">
        <v>-46.771462</v>
      </c>
      <c r="D3838" s="40" t="n">
        <v>147</v>
      </c>
      <c r="E3838" s="41" t="n">
        <v>14697.093</v>
      </c>
    </row>
    <row r="3839">
      <c r="A3839" s="42">
        <f>_xlfn.XLOOKUP(17848,Trip[shape_id],Trip[shape_id],"Não encontrado")</f>
        <v/>
      </c>
      <c r="B3839" s="43" t="n">
        <v>-23.530675</v>
      </c>
      <c r="C3839" s="43" t="n">
        <v>-46.77197</v>
      </c>
      <c r="D3839" s="43" t="n">
        <v>148</v>
      </c>
      <c r="E3839" s="44" t="n">
        <v>14762.791</v>
      </c>
    </row>
    <row r="3840">
      <c r="A3840" s="39">
        <f>_xlfn.XLOOKUP(17848,Trip[shape_id],Trip[shape_id],"Não encontrado")</f>
        <v/>
      </c>
      <c r="B3840" s="40" t="n">
        <v>-23.530318</v>
      </c>
      <c r="C3840" s="40" t="n">
        <v>-46.772466</v>
      </c>
      <c r="D3840" s="40" t="n">
        <v>149</v>
      </c>
      <c r="E3840" s="41" t="n">
        <v>14827.046</v>
      </c>
    </row>
    <row r="3841">
      <c r="A3841" s="42">
        <f>_xlfn.XLOOKUP(17848,Trip[shape_id],Trip[shape_id],"Não encontrado")</f>
        <v/>
      </c>
      <c r="B3841" s="43" t="n">
        <v>-23.530089</v>
      </c>
      <c r="C3841" s="43" t="n">
        <v>-46.772763</v>
      </c>
      <c r="D3841" s="43" t="n">
        <v>150</v>
      </c>
      <c r="E3841" s="44" t="n">
        <v>14866.582</v>
      </c>
    </row>
    <row r="3842">
      <c r="A3842" s="39">
        <f>_xlfn.XLOOKUP(17848,Trip[shape_id],Trip[shape_id],"Não encontrado")</f>
        <v/>
      </c>
      <c r="B3842" s="40" t="n">
        <v>-23.528566</v>
      </c>
      <c r="C3842" s="40" t="n">
        <v>-46.774704</v>
      </c>
      <c r="D3842" s="40" t="n">
        <v>151</v>
      </c>
      <c r="E3842" s="41" t="n">
        <v>15126.85</v>
      </c>
    </row>
    <row r="3843">
      <c r="A3843" s="42">
        <f>_xlfn.XLOOKUP(17848,Trip[shape_id],Trip[shape_id],"Não encontrado")</f>
        <v/>
      </c>
      <c r="B3843" s="43" t="n">
        <v>-23.527709</v>
      </c>
      <c r="C3843" s="43" t="n">
        <v>-46.775906</v>
      </c>
      <c r="D3843" s="43" t="n">
        <v>152</v>
      </c>
      <c r="E3843" s="44" t="n">
        <v>15282.013</v>
      </c>
    </row>
    <row r="3844">
      <c r="A3844" s="39">
        <f>_xlfn.XLOOKUP(17848,Trip[shape_id],Trip[shape_id],"Não encontrado")</f>
        <v/>
      </c>
      <c r="B3844" s="40" t="n">
        <v>-23.527618</v>
      </c>
      <c r="C3844" s="40" t="n">
        <v>-46.776038</v>
      </c>
      <c r="D3844" s="40" t="n">
        <v>153</v>
      </c>
      <c r="E3844" s="41" t="n">
        <v>15298.844</v>
      </c>
    </row>
    <row r="3845">
      <c r="A3845" s="42">
        <f>_xlfn.XLOOKUP(17848,Trip[shape_id],Trip[shape_id],"Não encontrado")</f>
        <v/>
      </c>
      <c r="B3845" s="43" t="n">
        <v>-23.526461</v>
      </c>
      <c r="C3845" s="43" t="n">
        <v>-46.777651</v>
      </c>
      <c r="D3845" s="43" t="n">
        <v>154</v>
      </c>
      <c r="E3845" s="44" t="n">
        <v>15507.536</v>
      </c>
    </row>
    <row r="3846">
      <c r="A3846" s="39">
        <f>_xlfn.XLOOKUP(17848,Trip[shape_id],Trip[shape_id],"Não encontrado")</f>
        <v/>
      </c>
      <c r="B3846" s="40" t="n">
        <v>-23.525689</v>
      </c>
      <c r="C3846" s="40" t="n">
        <v>-46.77905</v>
      </c>
      <c r="D3846" s="40" t="n">
        <v>155</v>
      </c>
      <c r="E3846" s="41" t="n">
        <v>15674.033</v>
      </c>
    </row>
    <row r="3847">
      <c r="A3847" s="42">
        <f>_xlfn.XLOOKUP(17848,Trip[shape_id],Trip[shape_id],"Não encontrado")</f>
        <v/>
      </c>
      <c r="B3847" s="43" t="n">
        <v>-23.525235</v>
      </c>
      <c r="C3847" s="43" t="n">
        <v>-46.780001</v>
      </c>
      <c r="D3847" s="43" t="n">
        <v>156</v>
      </c>
      <c r="E3847" s="44" t="n">
        <v>15783.395</v>
      </c>
    </row>
    <row r="3848">
      <c r="A3848" s="39">
        <f>_xlfn.XLOOKUP(17848,Trip[shape_id],Trip[shape_id],"Não encontrado")</f>
        <v/>
      </c>
      <c r="B3848" s="40" t="n">
        <v>-23.524819</v>
      </c>
      <c r="C3848" s="40" t="n">
        <v>-46.781194</v>
      </c>
      <c r="D3848" s="40" t="n">
        <v>157</v>
      </c>
      <c r="E3848" s="41" t="n">
        <v>15913.646</v>
      </c>
    </row>
    <row r="3849">
      <c r="A3849" s="42">
        <f>_xlfn.XLOOKUP(17848,Trip[shape_id],Trip[shape_id],"Não encontrado")</f>
        <v/>
      </c>
      <c r="B3849" s="43" t="n">
        <v>-23.524086</v>
      </c>
      <c r="C3849" s="43" t="n">
        <v>-46.783633</v>
      </c>
      <c r="D3849" s="43" t="n">
        <v>158</v>
      </c>
      <c r="E3849" s="44" t="n">
        <v>16175.618</v>
      </c>
    </row>
    <row r="3850">
      <c r="A3850" s="39">
        <f>_xlfn.XLOOKUP(17848,Trip[shape_id],Trip[shape_id],"Não encontrado")</f>
        <v/>
      </c>
      <c r="B3850" s="40" t="n">
        <v>-23.523838</v>
      </c>
      <c r="C3850" s="40" t="n">
        <v>-46.78447</v>
      </c>
      <c r="D3850" s="40" t="n">
        <v>159</v>
      </c>
      <c r="E3850" s="41" t="n">
        <v>16265.399</v>
      </c>
    </row>
    <row r="3851">
      <c r="A3851" s="42">
        <f>_xlfn.XLOOKUP(17848,Trip[shape_id],Trip[shape_id],"Não encontrado")</f>
        <v/>
      </c>
      <c r="B3851" s="43" t="n">
        <v>-23.523736</v>
      </c>
      <c r="C3851" s="43" t="n">
        <v>-46.784818</v>
      </c>
      <c r="D3851" s="43" t="n">
        <v>160</v>
      </c>
      <c r="E3851" s="44" t="n">
        <v>16302.69</v>
      </c>
    </row>
    <row r="3852">
      <c r="A3852" s="39">
        <f>_xlfn.XLOOKUP(17848,Trip[shape_id],Trip[shape_id],"Não encontrado")</f>
        <v/>
      </c>
      <c r="B3852" s="40" t="n">
        <v>-23.523386</v>
      </c>
      <c r="C3852" s="40" t="n">
        <v>-46.78598</v>
      </c>
      <c r="D3852" s="40" t="n">
        <v>161</v>
      </c>
      <c r="E3852" s="41" t="n">
        <v>16427.527</v>
      </c>
    </row>
    <row r="3853">
      <c r="A3853" s="42">
        <f>_xlfn.XLOOKUP(17848,Trip[shape_id],Trip[shape_id],"Não encontrado")</f>
        <v/>
      </c>
      <c r="B3853" s="43" t="n">
        <v>-23.523031</v>
      </c>
      <c r="C3853" s="43" t="n">
        <v>-46.787287</v>
      </c>
      <c r="D3853" s="43" t="n">
        <v>162</v>
      </c>
      <c r="E3853" s="44" t="n">
        <v>16566.672</v>
      </c>
    </row>
    <row r="3854">
      <c r="A3854" s="39">
        <f>_xlfn.XLOOKUP(17848,Trip[shape_id],Trip[shape_id],"Não encontrado")</f>
        <v/>
      </c>
      <c r="B3854" s="40" t="n">
        <v>-23.523026</v>
      </c>
      <c r="C3854" s="40" t="n">
        <v>-46.788017</v>
      </c>
      <c r="D3854" s="40" t="n">
        <v>163</v>
      </c>
      <c r="E3854" s="41" t="n">
        <v>16641.225</v>
      </c>
    </row>
    <row r="3855">
      <c r="A3855" s="42">
        <f>_xlfn.XLOOKUP(17848,Trip[shape_id],Trip[shape_id],"Não encontrado")</f>
        <v/>
      </c>
      <c r="B3855" s="43" t="n">
        <v>-23.523299</v>
      </c>
      <c r="C3855" s="43" t="n">
        <v>-46.788841</v>
      </c>
      <c r="D3855" s="43" t="n">
        <v>164</v>
      </c>
      <c r="E3855" s="44" t="n">
        <v>16730.641</v>
      </c>
    </row>
    <row r="3856">
      <c r="A3856" s="39">
        <f>_xlfn.XLOOKUP(17848,Trip[shape_id],Trip[shape_id],"Não encontrado")</f>
        <v/>
      </c>
      <c r="B3856" s="40" t="n">
        <v>-23.52381</v>
      </c>
      <c r="C3856" s="40" t="n">
        <v>-46.789544</v>
      </c>
      <c r="D3856" s="40" t="n">
        <v>165</v>
      </c>
      <c r="E3856" s="41" t="n">
        <v>16822.057</v>
      </c>
    </row>
    <row r="3857">
      <c r="A3857" s="42">
        <f>_xlfn.XLOOKUP(17848,Trip[shape_id],Trip[shape_id],"Não encontrado")</f>
        <v/>
      </c>
      <c r="B3857" s="43" t="n">
        <v>-23.52416</v>
      </c>
      <c r="C3857" s="43" t="n">
        <v>-46.789846</v>
      </c>
      <c r="D3857" s="43" t="n">
        <v>166</v>
      </c>
      <c r="E3857" s="44" t="n">
        <v>16871.592</v>
      </c>
    </row>
    <row r="3858">
      <c r="A3858" s="39">
        <f>_xlfn.XLOOKUP(17848,Trip[shape_id],Trip[shape_id],"Não encontrado")</f>
        <v/>
      </c>
      <c r="B3858" s="40" t="n">
        <v>-23.524736</v>
      </c>
      <c r="C3858" s="40" t="n">
        <v>-46.790333</v>
      </c>
      <c r="D3858" s="40" t="n">
        <v>167</v>
      </c>
      <c r="E3858" s="41" t="n">
        <v>16952.48</v>
      </c>
    </row>
    <row r="3859">
      <c r="A3859" s="42">
        <f>_xlfn.XLOOKUP(17848,Trip[shape_id],Trip[shape_id],"Não encontrado")</f>
        <v/>
      </c>
      <c r="B3859" s="43" t="n">
        <v>-23.525078</v>
      </c>
      <c r="C3859" s="43" t="n">
        <v>-46.790619</v>
      </c>
      <c r="D3859" s="43" t="n">
        <v>168</v>
      </c>
      <c r="E3859" s="44" t="n">
        <v>17000.311</v>
      </c>
    </row>
    <row r="3860">
      <c r="A3860" s="39">
        <f>_xlfn.XLOOKUP(17848,Trip[shape_id],Trip[shape_id],"Não encontrado")</f>
        <v/>
      </c>
      <c r="B3860" s="40" t="n">
        <v>-23.525577</v>
      </c>
      <c r="C3860" s="40" t="n">
        <v>-46.791185</v>
      </c>
      <c r="D3860" s="40" t="n">
        <v>169</v>
      </c>
      <c r="E3860" s="41" t="n">
        <v>17080.279</v>
      </c>
    </row>
    <row r="3861">
      <c r="A3861" s="42">
        <f>_xlfn.XLOOKUP(17848,Trip[shape_id],Trip[shape_id],"Não encontrado")</f>
        <v/>
      </c>
      <c r="B3861" s="43" t="n">
        <v>-23.525894</v>
      </c>
      <c r="C3861" s="43" t="n">
        <v>-46.792002</v>
      </c>
      <c r="D3861" s="43" t="n">
        <v>170</v>
      </c>
      <c r="E3861" s="44" t="n">
        <v>17170.799</v>
      </c>
    </row>
    <row r="3862">
      <c r="A3862" s="39">
        <f>_xlfn.XLOOKUP(17848,Trip[shape_id],Trip[shape_id],"Não encontrado")</f>
        <v/>
      </c>
      <c r="B3862" s="40" t="n">
        <v>-23.526</v>
      </c>
      <c r="C3862" s="40" t="n">
        <v>-46.792723</v>
      </c>
      <c r="D3862" s="40" t="n">
        <v>171</v>
      </c>
      <c r="E3862" s="41" t="n">
        <v>17245.357</v>
      </c>
    </row>
    <row r="3863">
      <c r="A3863" s="42">
        <f>_xlfn.XLOOKUP(17848,Trip[shape_id],Trip[shape_id],"Não encontrado")</f>
        <v/>
      </c>
      <c r="B3863" s="43" t="n">
        <v>-23.525919</v>
      </c>
      <c r="C3863" s="43" t="n">
        <v>-46.793457</v>
      </c>
      <c r="D3863" s="43" t="n">
        <v>172</v>
      </c>
      <c r="E3863" s="44" t="n">
        <v>17320.85</v>
      </c>
    </row>
    <row r="3864">
      <c r="A3864" s="39">
        <f>_xlfn.XLOOKUP(17848,Trip[shape_id],Trip[shape_id],"Não encontrado")</f>
        <v/>
      </c>
      <c r="B3864" s="40" t="n">
        <v>-23.525667</v>
      </c>
      <c r="C3864" s="40" t="n">
        <v>-46.795844</v>
      </c>
      <c r="D3864" s="40" t="n">
        <v>173</v>
      </c>
      <c r="E3864" s="41" t="n">
        <v>17566.205</v>
      </c>
    </row>
    <row r="3865">
      <c r="A3865" s="42">
        <f>_xlfn.XLOOKUP(17848,Trip[shape_id],Trip[shape_id],"Não encontrado")</f>
        <v/>
      </c>
      <c r="B3865" s="43" t="n">
        <v>-23.525602</v>
      </c>
      <c r="C3865" s="43" t="n">
        <v>-46.796512</v>
      </c>
      <c r="D3865" s="43" t="n">
        <v>174</v>
      </c>
      <c r="E3865" s="44" t="n">
        <v>17634.801</v>
      </c>
    </row>
    <row r="3866">
      <c r="A3866" s="39">
        <f>_xlfn.XLOOKUP(17848,Trip[shape_id],Trip[shape_id],"Não encontrado")</f>
        <v/>
      </c>
      <c r="B3866" s="40" t="n">
        <v>-23.52545</v>
      </c>
      <c r="C3866" s="40" t="n">
        <v>-46.798027</v>
      </c>
      <c r="D3866" s="40" t="n">
        <v>175</v>
      </c>
      <c r="E3866" s="41" t="n">
        <v>17790.428</v>
      </c>
    </row>
    <row r="3867">
      <c r="A3867" s="42">
        <f>_xlfn.XLOOKUP(17848,Trip[shape_id],Trip[shape_id],"Não encontrado")</f>
        <v/>
      </c>
      <c r="B3867" s="43" t="n">
        <v>-23.525385</v>
      </c>
      <c r="C3867" s="43" t="n">
        <v>-46.798828</v>
      </c>
      <c r="D3867" s="43" t="n">
        <v>176</v>
      </c>
      <c r="E3867" s="44" t="n">
        <v>17872.543</v>
      </c>
    </row>
    <row r="3868">
      <c r="A3868" s="39">
        <f>_xlfn.XLOOKUP(17848,Trip[shape_id],Trip[shape_id],"Não encontrado")</f>
        <v/>
      </c>
      <c r="B3868" s="40" t="n">
        <v>-23.525304</v>
      </c>
      <c r="C3868" s="40" t="n">
        <v>-46.799718</v>
      </c>
      <c r="D3868" s="40" t="n">
        <v>177</v>
      </c>
      <c r="E3868" s="41" t="n">
        <v>17963.873</v>
      </c>
    </row>
    <row r="3869">
      <c r="A3869" s="42">
        <f>_xlfn.XLOOKUP(17848,Trip[shape_id],Trip[shape_id],"Não encontrado")</f>
        <v/>
      </c>
      <c r="B3869" s="43" t="n">
        <v>-23.525125</v>
      </c>
      <c r="C3869" s="43" t="n">
        <v>-46.800719</v>
      </c>
      <c r="D3869" s="43" t="n">
        <v>178</v>
      </c>
      <c r="E3869" s="44" t="n">
        <v>18068.002</v>
      </c>
    </row>
    <row r="3870">
      <c r="A3870" s="39">
        <f>_xlfn.XLOOKUP(17848,Trip[shape_id],Trip[shape_id],"Não encontrado")</f>
        <v/>
      </c>
      <c r="B3870" s="40" t="n">
        <v>-23.524827</v>
      </c>
      <c r="C3870" s="40" t="n">
        <v>-46.801631</v>
      </c>
      <c r="D3870" s="40" t="n">
        <v>179</v>
      </c>
      <c r="E3870" s="41" t="n">
        <v>18166.813</v>
      </c>
    </row>
    <row r="3871">
      <c r="A3871" s="42">
        <f>_xlfn.XLOOKUP(17848,Trip[shape_id],Trip[shape_id],"Não encontrado")</f>
        <v/>
      </c>
      <c r="B3871" s="43" t="n">
        <v>-23.524217</v>
      </c>
      <c r="C3871" s="43" t="n">
        <v>-46.802828</v>
      </c>
      <c r="D3871" s="43" t="n">
        <v>180</v>
      </c>
      <c r="E3871" s="44" t="n">
        <v>18306.479</v>
      </c>
    </row>
    <row r="3872">
      <c r="A3872" s="39">
        <f>_xlfn.XLOOKUP(17848,Trip[shape_id],Trip[shape_id],"Não encontrado")</f>
        <v/>
      </c>
      <c r="B3872" s="40" t="n">
        <v>-23.523944</v>
      </c>
      <c r="C3872" s="40" t="n">
        <v>-46.803324</v>
      </c>
      <c r="D3872" s="40" t="n">
        <v>181</v>
      </c>
      <c r="E3872" s="41" t="n">
        <v>18365.469</v>
      </c>
    </row>
    <row r="3873">
      <c r="A3873" s="42">
        <f>_xlfn.XLOOKUP(17848,Trip[shape_id],Trip[shape_id],"Não encontrado")</f>
        <v/>
      </c>
      <c r="B3873" s="43" t="n">
        <v>-23.523498</v>
      </c>
      <c r="C3873" s="43" t="n">
        <v>-46.804098</v>
      </c>
      <c r="D3873" s="43" t="n">
        <v>182</v>
      </c>
      <c r="E3873" s="44" t="n">
        <v>18458.676</v>
      </c>
    </row>
    <row r="3874">
      <c r="A3874" s="39">
        <f>_xlfn.XLOOKUP(17848,Trip[shape_id],Trip[shape_id],"Não encontrado")</f>
        <v/>
      </c>
      <c r="B3874" s="40" t="n">
        <v>-23.523106</v>
      </c>
      <c r="C3874" s="40" t="n">
        <v>-46.804953</v>
      </c>
      <c r="D3874" s="40" t="n">
        <v>183</v>
      </c>
      <c r="E3874" s="41" t="n">
        <v>18556.189</v>
      </c>
    </row>
    <row r="3875">
      <c r="A3875" s="42">
        <f>_xlfn.XLOOKUP(17848,Trip[shape_id],Trip[shape_id],"Não encontrado")</f>
        <v/>
      </c>
      <c r="B3875" s="43" t="n">
        <v>-23.522851</v>
      </c>
      <c r="C3875" s="43" t="n">
        <v>-46.805691</v>
      </c>
      <c r="D3875" s="43" t="n">
        <v>184</v>
      </c>
      <c r="E3875" s="44" t="n">
        <v>18636.674</v>
      </c>
    </row>
    <row r="3876">
      <c r="A3876" s="39">
        <f>_xlfn.XLOOKUP(17848,Trip[shape_id],Trip[shape_id],"Não encontrado")</f>
        <v/>
      </c>
      <c r="B3876" s="40" t="n">
        <v>-23.522688</v>
      </c>
      <c r="C3876" s="40" t="n">
        <v>-46.807011</v>
      </c>
      <c r="D3876" s="40" t="n">
        <v>185</v>
      </c>
      <c r="E3876" s="41" t="n">
        <v>18772.68</v>
      </c>
    </row>
    <row r="3877">
      <c r="A3877" s="42">
        <f>_xlfn.XLOOKUP(17848,Trip[shape_id],Trip[shape_id],"Não encontrado")</f>
        <v/>
      </c>
      <c r="B3877" s="43" t="n">
        <v>-23.522695</v>
      </c>
      <c r="C3877" s="43" t="n">
        <v>-46.807109</v>
      </c>
      <c r="D3877" s="43" t="n">
        <v>186</v>
      </c>
      <c r="E3877" s="44" t="n">
        <v>18782.719</v>
      </c>
    </row>
    <row r="3878">
      <c r="A3878" s="39">
        <f>_xlfn.XLOOKUP(17848,Trip[shape_id],Trip[shape_id],"Não encontrado")</f>
        <v/>
      </c>
      <c r="B3878" s="40" t="n">
        <v>-23.522754</v>
      </c>
      <c r="C3878" s="40" t="n">
        <v>-46.808078</v>
      </c>
      <c r="D3878" s="40" t="n">
        <v>187</v>
      </c>
      <c r="E3878" s="41" t="n">
        <v>18881.893</v>
      </c>
    </row>
    <row r="3879">
      <c r="A3879" s="42">
        <f>_xlfn.XLOOKUP(17848,Trip[shape_id],Trip[shape_id],"Não encontrado")</f>
        <v/>
      </c>
      <c r="B3879" s="43" t="n">
        <v>-23.523065</v>
      </c>
      <c r="C3879" s="43" t="n">
        <v>-46.809507</v>
      </c>
      <c r="D3879" s="43" t="n">
        <v>188</v>
      </c>
      <c r="E3879" s="44" t="n">
        <v>19031.836</v>
      </c>
    </row>
    <row r="3880">
      <c r="A3880" s="39">
        <f>_xlfn.XLOOKUP(17848,Trip[shape_id],Trip[shape_id],"Não encontrado")</f>
        <v/>
      </c>
      <c r="B3880" s="40" t="n">
        <v>-23.523673</v>
      </c>
      <c r="C3880" s="40" t="n">
        <v>-46.811828</v>
      </c>
      <c r="D3880" s="40" t="n">
        <v>189</v>
      </c>
      <c r="E3880" s="41" t="n">
        <v>19278.242</v>
      </c>
    </row>
    <row r="3881">
      <c r="A3881" s="42">
        <f>_xlfn.XLOOKUP(17848,Trip[shape_id],Trip[shape_id],"Não encontrado")</f>
        <v/>
      </c>
      <c r="B3881" s="43" t="n">
        <v>-23.523554</v>
      </c>
      <c r="C3881" s="43" t="n">
        <v>-46.813951</v>
      </c>
      <c r="D3881" s="43" t="n">
        <v>190</v>
      </c>
      <c r="E3881" s="44" t="n">
        <v>19495.449</v>
      </c>
    </row>
    <row r="3882">
      <c r="A3882" s="39">
        <f>_xlfn.XLOOKUP(17848,Trip[shape_id],Trip[shape_id],"Não encontrado")</f>
        <v/>
      </c>
      <c r="B3882" s="40" t="n">
        <v>-23.523443</v>
      </c>
      <c r="C3882" s="40" t="n">
        <v>-46.815962</v>
      </c>
      <c r="D3882" s="40" t="n">
        <v>191</v>
      </c>
      <c r="E3882" s="41" t="n">
        <v>19701.186</v>
      </c>
    </row>
    <row r="3883">
      <c r="A3883" s="42">
        <f>_xlfn.XLOOKUP(17848,Trip[shape_id],Trip[shape_id],"Não encontrado")</f>
        <v/>
      </c>
      <c r="B3883" s="43" t="n">
        <v>-23.523389</v>
      </c>
      <c r="C3883" s="43" t="n">
        <v>-46.816948</v>
      </c>
      <c r="D3883" s="43" t="n">
        <v>192</v>
      </c>
      <c r="E3883" s="44" t="n">
        <v>19802.057</v>
      </c>
    </row>
    <row r="3884">
      <c r="A3884" s="39">
        <f>_xlfn.XLOOKUP(17848,Trip[shape_id],Trip[shape_id],"Não encontrado")</f>
        <v/>
      </c>
      <c r="B3884" s="40" t="n">
        <v>-23.523365</v>
      </c>
      <c r="C3884" s="40" t="n">
        <v>-46.817446</v>
      </c>
      <c r="D3884" s="40" t="n">
        <v>193</v>
      </c>
      <c r="E3884" s="41" t="n">
        <v>19852.982</v>
      </c>
    </row>
    <row r="3885">
      <c r="A3885" s="42">
        <f>_xlfn.XLOOKUP(17848,Trip[shape_id],Trip[shape_id],"Não encontrado")</f>
        <v/>
      </c>
      <c r="B3885" s="43" t="n">
        <v>-23.523352</v>
      </c>
      <c r="C3885" s="43" t="n">
        <v>-46.818005</v>
      </c>
      <c r="D3885" s="43" t="n">
        <v>194</v>
      </c>
      <c r="E3885" s="44" t="n">
        <v>19910.088</v>
      </c>
    </row>
    <row r="3886">
      <c r="A3886" s="39">
        <f>_xlfn.XLOOKUP(17848,Trip[shape_id],Trip[shape_id],"Não encontrado")</f>
        <v/>
      </c>
      <c r="B3886" s="40" t="n">
        <v>-23.523312</v>
      </c>
      <c r="C3886" s="40" t="n">
        <v>-46.819688</v>
      </c>
      <c r="D3886" s="40" t="n">
        <v>195</v>
      </c>
      <c r="E3886" s="41" t="n">
        <v>20082.018</v>
      </c>
    </row>
    <row r="3887">
      <c r="A3887" s="42">
        <f>_xlfn.XLOOKUP(17848,Trip[shape_id],Trip[shape_id],"Não encontrado")</f>
        <v/>
      </c>
      <c r="B3887" s="43" t="n">
        <v>-23.523277</v>
      </c>
      <c r="C3887" s="43" t="n">
        <v>-46.820829</v>
      </c>
      <c r="D3887" s="43" t="n">
        <v>196</v>
      </c>
      <c r="E3887" s="44" t="n">
        <v>20198.604</v>
      </c>
    </row>
    <row r="3888">
      <c r="A3888" s="39">
        <f>_xlfn.XLOOKUP(17848,Trip[shape_id],Trip[shape_id],"Não encontrado")</f>
        <v/>
      </c>
      <c r="B3888" s="40" t="n">
        <v>-23.522623</v>
      </c>
      <c r="C3888" s="40" t="n">
        <v>-46.82235</v>
      </c>
      <c r="D3888" s="40" t="n">
        <v>197</v>
      </c>
      <c r="E3888" s="41" t="n">
        <v>20369.99</v>
      </c>
    </row>
    <row r="3889">
      <c r="A3889" s="42">
        <f>_xlfn.XLOOKUP(17848,Trip[shape_id],Trip[shape_id],"Não encontrado")</f>
        <v/>
      </c>
      <c r="B3889" s="43" t="n">
        <v>-23.522411</v>
      </c>
      <c r="C3889" s="43" t="n">
        <v>-46.823062</v>
      </c>
      <c r="D3889" s="43" t="n">
        <v>198</v>
      </c>
      <c r="E3889" s="44" t="n">
        <v>20446.398</v>
      </c>
    </row>
    <row r="3890">
      <c r="A3890" s="39">
        <f>_xlfn.XLOOKUP(17848,Trip[shape_id],Trip[shape_id],"Não encontrado")</f>
        <v/>
      </c>
      <c r="B3890" s="40" t="n">
        <v>-23.522304</v>
      </c>
      <c r="C3890" s="40" t="n">
        <v>-46.824247</v>
      </c>
      <c r="D3890" s="40" t="n">
        <v>199</v>
      </c>
      <c r="E3890" s="41" t="n">
        <v>20567.994</v>
      </c>
    </row>
    <row r="3891">
      <c r="A3891" s="42">
        <f>_xlfn.XLOOKUP(17848,Trip[shape_id],Trip[shape_id],"Não encontrado")</f>
        <v/>
      </c>
      <c r="B3891" s="43" t="n">
        <v>-23.52227</v>
      </c>
      <c r="C3891" s="43" t="n">
        <v>-46.825276</v>
      </c>
      <c r="D3891" s="43" t="n">
        <v>200</v>
      </c>
      <c r="E3891" s="44" t="n">
        <v>20673.146</v>
      </c>
    </row>
    <row r="3892">
      <c r="A3892" s="39">
        <f>_xlfn.XLOOKUP(17848,Trip[shape_id],Trip[shape_id],"Não encontrado")</f>
        <v/>
      </c>
      <c r="B3892" s="40" t="n">
        <v>-23.522058</v>
      </c>
      <c r="C3892" s="40" t="n">
        <v>-46.826012</v>
      </c>
      <c r="D3892" s="40" t="n">
        <v>201</v>
      </c>
      <c r="E3892" s="41" t="n">
        <v>20751.891</v>
      </c>
    </row>
    <row r="3893">
      <c r="A3893" s="42">
        <f>_xlfn.XLOOKUP(17848,Trip[shape_id],Trip[shape_id],"Não encontrado")</f>
        <v/>
      </c>
      <c r="B3893" s="43" t="n">
        <v>-23.521587</v>
      </c>
      <c r="C3893" s="43" t="n">
        <v>-46.826814</v>
      </c>
      <c r="D3893" s="43" t="n">
        <v>202</v>
      </c>
      <c r="E3893" s="44" t="n">
        <v>20848.994</v>
      </c>
    </row>
    <row r="3894">
      <c r="A3894" s="39">
        <f>_xlfn.XLOOKUP(17848,Trip[shape_id],Trip[shape_id],"Não encontrado")</f>
        <v/>
      </c>
      <c r="B3894" s="40" t="n">
        <v>-23.52124</v>
      </c>
      <c r="C3894" s="40" t="n">
        <v>-46.827431</v>
      </c>
      <c r="D3894" s="40" t="n">
        <v>203</v>
      </c>
      <c r="E3894" s="41" t="n">
        <v>20922.801</v>
      </c>
    </row>
    <row r="3895">
      <c r="A3895" s="42">
        <f>_xlfn.XLOOKUP(17848,Trip[shape_id],Trip[shape_id],"Não encontrado")</f>
        <v/>
      </c>
      <c r="B3895" s="43" t="n">
        <v>-23.521054</v>
      </c>
      <c r="C3895" s="43" t="n">
        <v>-46.827966</v>
      </c>
      <c r="D3895" s="43" t="n">
        <v>204</v>
      </c>
      <c r="E3895" s="44" t="n">
        <v>20981.191</v>
      </c>
    </row>
    <row r="3896">
      <c r="A3896" s="39">
        <f>_xlfn.XLOOKUP(17848,Trip[shape_id],Trip[shape_id],"Não encontrado")</f>
        <v/>
      </c>
      <c r="B3896" s="40" t="n">
        <v>-23.520986</v>
      </c>
      <c r="C3896" s="40" t="n">
        <v>-46.828173</v>
      </c>
      <c r="D3896" s="40" t="n">
        <v>205</v>
      </c>
      <c r="E3896" s="41" t="n">
        <v>21003.633</v>
      </c>
    </row>
    <row r="3897">
      <c r="A3897" s="42">
        <f>_xlfn.XLOOKUP(17848,Trip[shape_id],Trip[shape_id],"Não encontrado")</f>
        <v/>
      </c>
      <c r="B3897" s="43" t="n">
        <v>-23.520804</v>
      </c>
      <c r="C3897" s="43" t="n">
        <v>-46.829647</v>
      </c>
      <c r="D3897" s="43" t="n">
        <v>206</v>
      </c>
      <c r="E3897" s="44" t="n">
        <v>21155.508</v>
      </c>
    </row>
    <row r="3898">
      <c r="A3898" s="39">
        <f>_xlfn.XLOOKUP(17848,Trip[shape_id],Trip[shape_id],"Não encontrado")</f>
        <v/>
      </c>
      <c r="B3898" s="40" t="n">
        <v>-23.520645</v>
      </c>
      <c r="C3898" s="40" t="n">
        <v>-46.831124</v>
      </c>
      <c r="D3898" s="40" t="n">
        <v>207</v>
      </c>
      <c r="E3898" s="41" t="n">
        <v>21307.371</v>
      </c>
    </row>
    <row r="3899">
      <c r="A3899" s="42">
        <f>_xlfn.XLOOKUP(17848,Trip[shape_id],Trip[shape_id],"Não encontrado")</f>
        <v/>
      </c>
      <c r="B3899" s="43" t="n">
        <v>-23.520527</v>
      </c>
      <c r="C3899" s="43" t="n">
        <v>-46.831872</v>
      </c>
      <c r="D3899" s="43" t="n">
        <v>208</v>
      </c>
      <c r="E3899" s="44" t="n">
        <v>21384.871</v>
      </c>
    </row>
    <row r="3900">
      <c r="A3900" s="39">
        <f>_xlfn.XLOOKUP(17848,Trip[shape_id],Trip[shape_id],"Não encontrado")</f>
        <v/>
      </c>
      <c r="B3900" s="40" t="n">
        <v>-23.520272</v>
      </c>
      <c r="C3900" s="40" t="n">
        <v>-46.832623</v>
      </c>
      <c r="D3900" s="40" t="n">
        <v>209</v>
      </c>
      <c r="E3900" s="41" t="n">
        <v>21466.602</v>
      </c>
    </row>
    <row r="3901">
      <c r="A3901" s="42">
        <f>_xlfn.XLOOKUP(17848,Trip[shape_id],Trip[shape_id],"Não encontrado")</f>
        <v/>
      </c>
      <c r="B3901" s="43" t="n">
        <v>-23.519284</v>
      </c>
      <c r="C3901" s="43" t="n">
        <v>-46.834125</v>
      </c>
      <c r="D3901" s="43" t="n">
        <v>210</v>
      </c>
      <c r="E3901" s="44" t="n">
        <v>21655.023</v>
      </c>
    </row>
    <row r="3902">
      <c r="A3902" s="39">
        <f>_xlfn.XLOOKUP(17848,Trip[shape_id],Trip[shape_id],"Não encontrado")</f>
        <v/>
      </c>
      <c r="B3902" s="40" t="n">
        <v>-23.518493</v>
      </c>
      <c r="C3902" s="40" t="n">
        <v>-46.835322</v>
      </c>
      <c r="D3902" s="40" t="n">
        <v>211</v>
      </c>
      <c r="E3902" s="41" t="n">
        <v>21805.418</v>
      </c>
    </row>
    <row r="3903">
      <c r="A3903" s="42">
        <f>_xlfn.XLOOKUP(17848,Trip[shape_id],Trip[shape_id],"Não encontrado")</f>
        <v/>
      </c>
      <c r="B3903" s="43" t="n">
        <v>-23.517855</v>
      </c>
      <c r="C3903" s="43" t="n">
        <v>-46.836307</v>
      </c>
      <c r="D3903" s="43" t="n">
        <v>212</v>
      </c>
      <c r="E3903" s="44" t="n">
        <v>21928.35</v>
      </c>
    </row>
    <row r="3904">
      <c r="A3904" s="39">
        <f>_xlfn.XLOOKUP(17848,Trip[shape_id],Trip[shape_id],"Não encontrado")</f>
        <v/>
      </c>
      <c r="B3904" s="40" t="n">
        <v>-23.516956</v>
      </c>
      <c r="C3904" s="40" t="n">
        <v>-46.838335</v>
      </c>
      <c r="D3904" s="40" t="n">
        <v>213</v>
      </c>
      <c r="E3904" s="41" t="n">
        <v>22158.154</v>
      </c>
    </row>
    <row r="3905">
      <c r="A3905" s="42">
        <f>_xlfn.XLOOKUP(17848,Trip[shape_id],Trip[shape_id],"Não encontrado")</f>
        <v/>
      </c>
      <c r="B3905" s="43" t="n">
        <v>-23.516546</v>
      </c>
      <c r="C3905" s="43" t="n">
        <v>-46.840132</v>
      </c>
      <c r="D3905" s="43" t="n">
        <v>214</v>
      </c>
      <c r="E3905" s="44" t="n">
        <v>22347.213</v>
      </c>
    </row>
    <row r="3906">
      <c r="A3906" s="39">
        <f>_xlfn.XLOOKUP(17848,Trip[shape_id],Trip[shape_id],"Não encontrado")</f>
        <v/>
      </c>
      <c r="B3906" s="40" t="n">
        <v>-23.516333</v>
      </c>
      <c r="C3906" s="40" t="n">
        <v>-46.841331</v>
      </c>
      <c r="D3906" s="40" t="n">
        <v>215</v>
      </c>
      <c r="E3906" s="41" t="n">
        <v>22471.916</v>
      </c>
    </row>
    <row r="3907">
      <c r="A3907" s="42">
        <f>_xlfn.XLOOKUP(17848,Trip[shape_id],Trip[shape_id],"Não encontrado")</f>
        <v/>
      </c>
      <c r="B3907" s="43" t="n">
        <v>-23.516233</v>
      </c>
      <c r="C3907" s="43" t="n">
        <v>-46.842499</v>
      </c>
      <c r="D3907" s="43" t="n">
        <v>216</v>
      </c>
      <c r="E3907" s="44" t="n">
        <v>22591.715</v>
      </c>
    </row>
    <row r="3908">
      <c r="A3908" s="39">
        <f>_xlfn.XLOOKUP(17848,Trip[shape_id],Trip[shape_id],"Não encontrado")</f>
        <v/>
      </c>
      <c r="B3908" s="40" t="n">
        <v>-23.516149</v>
      </c>
      <c r="C3908" s="40" t="n">
        <v>-46.843516</v>
      </c>
      <c r="D3908" s="40" t="n">
        <v>217</v>
      </c>
      <c r="E3908" s="41" t="n">
        <v>22695.996</v>
      </c>
    </row>
    <row r="3909">
      <c r="A3909" s="42">
        <f>_xlfn.XLOOKUP(17848,Trip[shape_id],Trip[shape_id],"Não encontrado")</f>
        <v/>
      </c>
      <c r="B3909" s="43" t="n">
        <v>-23.516299</v>
      </c>
      <c r="C3909" s="43" t="n">
        <v>-46.844618</v>
      </c>
      <c r="D3909" s="43" t="n">
        <v>218</v>
      </c>
      <c r="E3909" s="44" t="n">
        <v>22809.762</v>
      </c>
    </row>
    <row r="3910">
      <c r="A3910" s="39">
        <f>_xlfn.XLOOKUP(17848,Trip[shape_id],Trip[shape_id],"Não encontrado")</f>
        <v/>
      </c>
      <c r="B3910" s="40" t="n">
        <v>-23.516336</v>
      </c>
      <c r="C3910" s="40" t="n">
        <v>-46.845579</v>
      </c>
      <c r="D3910" s="40" t="n">
        <v>219</v>
      </c>
      <c r="E3910" s="41" t="n">
        <v>22907.992</v>
      </c>
    </row>
    <row r="3911">
      <c r="A3911" s="42">
        <f>_xlfn.XLOOKUP(17848,Trip[shape_id],Trip[shape_id],"Não encontrado")</f>
        <v/>
      </c>
      <c r="B3911" s="43" t="n">
        <v>-23.516519</v>
      </c>
      <c r="C3911" s="43" t="n">
        <v>-46.846867</v>
      </c>
      <c r="D3911" s="43" t="n">
        <v>220</v>
      </c>
      <c r="E3911" s="44" t="n">
        <v>23041.086</v>
      </c>
    </row>
    <row r="3912">
      <c r="A3912" s="39">
        <f>_xlfn.XLOOKUP(17848,Trip[shape_id],Trip[shape_id],"Não encontrado")</f>
        <v/>
      </c>
      <c r="B3912" s="40" t="n">
        <v>-23.516606</v>
      </c>
      <c r="C3912" s="40" t="n">
        <v>-46.848128</v>
      </c>
      <c r="D3912" s="40" t="n">
        <v>221</v>
      </c>
      <c r="E3912" s="41" t="n">
        <v>23170.23</v>
      </c>
    </row>
    <row r="3913">
      <c r="A3913" s="42">
        <f>_xlfn.XLOOKUP(17848,Trip[shape_id],Trip[shape_id],"Não encontrado")</f>
        <v/>
      </c>
      <c r="B3913" s="43" t="n">
        <v>-23.516675</v>
      </c>
      <c r="C3913" s="43" t="n">
        <v>-46.849118</v>
      </c>
      <c r="D3913" s="43" t="n">
        <v>222</v>
      </c>
      <c r="E3913" s="44" t="n">
        <v>23271.625</v>
      </c>
    </row>
    <row r="3914">
      <c r="A3914" s="39">
        <f>_xlfn.XLOOKUP(17848,Trip[shape_id],Trip[shape_id],"Não encontrado")</f>
        <v/>
      </c>
      <c r="B3914" s="40" t="n">
        <v>-23.516769</v>
      </c>
      <c r="C3914" s="40" t="n">
        <v>-46.851864</v>
      </c>
      <c r="D3914" s="40" t="n">
        <v>223</v>
      </c>
      <c r="E3914" s="41" t="n">
        <v>23552.262</v>
      </c>
    </row>
    <row r="3915">
      <c r="A3915" s="42">
        <f>_xlfn.XLOOKUP(17848,Trip[shape_id],Trip[shape_id],"Não encontrado")</f>
        <v/>
      </c>
      <c r="B3915" s="43" t="n">
        <v>-23.517133</v>
      </c>
      <c r="C3915" s="43" t="n">
        <v>-46.853479</v>
      </c>
      <c r="D3915" s="43" t="n">
        <v>224</v>
      </c>
      <c r="E3915" s="44" t="n">
        <v>23722.053</v>
      </c>
    </row>
    <row r="3916">
      <c r="A3916" s="39">
        <f>_xlfn.XLOOKUP(17848,Trip[shape_id],Trip[shape_id],"Não encontrado")</f>
        <v/>
      </c>
      <c r="B3916" s="40" t="n">
        <v>-23.517604</v>
      </c>
      <c r="C3916" s="40" t="n">
        <v>-46.854805</v>
      </c>
      <c r="D3916" s="40" t="n">
        <v>225</v>
      </c>
      <c r="E3916" s="41" t="n">
        <v>23867.174</v>
      </c>
    </row>
    <row r="3917">
      <c r="A3917" s="42">
        <f>_xlfn.XLOOKUP(17848,Trip[shape_id],Trip[shape_id],"Não encontrado")</f>
        <v/>
      </c>
      <c r="B3917" s="43" t="n">
        <v>-23.517958</v>
      </c>
      <c r="C3917" s="43" t="n">
        <v>-46.855958</v>
      </c>
      <c r="D3917" s="43" t="n">
        <v>226</v>
      </c>
      <c r="E3917" s="44" t="n">
        <v>23991.281</v>
      </c>
    </row>
    <row r="3918">
      <c r="A3918" s="39">
        <f>_xlfn.XLOOKUP(17848,Trip[shape_id],Trip[shape_id],"Não encontrado")</f>
        <v/>
      </c>
      <c r="B3918" s="40" t="n">
        <v>-23.517613</v>
      </c>
      <c r="C3918" s="40" t="n">
        <v>-46.857361</v>
      </c>
      <c r="D3918" s="40" t="n">
        <v>227</v>
      </c>
      <c r="E3918" s="41" t="n">
        <v>24139.572</v>
      </c>
    </row>
    <row r="3919">
      <c r="A3919" s="42">
        <f>_xlfn.XLOOKUP(17848,Trip[shape_id],Trip[shape_id],"Não encontrado")</f>
        <v/>
      </c>
      <c r="B3919" s="43" t="n">
        <v>-23.517603</v>
      </c>
      <c r="C3919" s="43" t="n">
        <v>-46.857399</v>
      </c>
      <c r="D3919" s="43" t="n">
        <v>228</v>
      </c>
      <c r="E3919" s="44" t="n">
        <v>24143.607</v>
      </c>
    </row>
    <row r="3920">
      <c r="A3920" s="39">
        <f>_xlfn.XLOOKUP(17848,Trip[shape_id],Trip[shape_id],"Não encontrado")</f>
        <v/>
      </c>
      <c r="B3920" s="40" t="n">
        <v>-23.516859</v>
      </c>
      <c r="C3920" s="40" t="n">
        <v>-46.858803</v>
      </c>
      <c r="D3920" s="40" t="n">
        <v>229</v>
      </c>
      <c r="E3920" s="41" t="n">
        <v>24308.984</v>
      </c>
    </row>
    <row r="3921">
      <c r="A3921" s="42">
        <f>_xlfn.XLOOKUP(17848,Trip[shape_id],Trip[shape_id],"Não encontrado")</f>
        <v/>
      </c>
      <c r="B3921" s="43" t="n">
        <v>-23.515959</v>
      </c>
      <c r="C3921" s="43" t="n">
        <v>-46.860497</v>
      </c>
      <c r="D3921" s="43" t="n">
        <v>230</v>
      </c>
      <c r="E3921" s="44" t="n">
        <v>24508.65</v>
      </c>
    </row>
    <row r="3922">
      <c r="A3922" s="39">
        <f>_xlfn.XLOOKUP(17848,Trip[shape_id],Trip[shape_id],"Não encontrado")</f>
        <v/>
      </c>
      <c r="B3922" s="40" t="n">
        <v>-23.515369</v>
      </c>
      <c r="C3922" s="40" t="n">
        <v>-46.861632</v>
      </c>
      <c r="D3922" s="40" t="n">
        <v>231</v>
      </c>
      <c r="E3922" s="41" t="n">
        <v>24641.715</v>
      </c>
    </row>
    <row r="3923">
      <c r="A3923" s="42">
        <f>_xlfn.XLOOKUP(17848,Trip[shape_id],Trip[shape_id],"Não encontrado")</f>
        <v/>
      </c>
      <c r="B3923" s="43" t="n">
        <v>-23.513839</v>
      </c>
      <c r="C3923" s="43" t="n">
        <v>-46.864577</v>
      </c>
      <c r="D3923" s="43" t="n">
        <v>232</v>
      </c>
      <c r="E3923" s="44" t="n">
        <v>24986.936</v>
      </c>
    </row>
    <row r="3924">
      <c r="A3924" s="39">
        <f>_xlfn.XLOOKUP(17848,Trip[shape_id],Trip[shape_id],"Não encontrado")</f>
        <v/>
      </c>
      <c r="B3924" s="40" t="n">
        <v>-23.51278</v>
      </c>
      <c r="C3924" s="40" t="n">
        <v>-46.865476</v>
      </c>
      <c r="D3924" s="40" t="n">
        <v>233</v>
      </c>
      <c r="E3924" s="41" t="n">
        <v>25135.885</v>
      </c>
    </row>
    <row r="3925">
      <c r="A3925" s="42">
        <f>_xlfn.XLOOKUP(17848,Trip[shape_id],Trip[shape_id],"Não encontrado")</f>
        <v/>
      </c>
      <c r="B3925" s="43" t="n">
        <v>-23.510935</v>
      </c>
      <c r="C3925" s="43" t="n">
        <v>-46.86629</v>
      </c>
      <c r="D3925" s="43" t="n">
        <v>234</v>
      </c>
      <c r="E3925" s="44" t="n">
        <v>25356.486</v>
      </c>
    </row>
    <row r="3926">
      <c r="A3926" s="39">
        <f>_xlfn.XLOOKUP(17848,Trip[shape_id],Trip[shape_id],"Não encontrado")</f>
        <v/>
      </c>
      <c r="B3926" s="40" t="n">
        <v>-23.510288</v>
      </c>
      <c r="C3926" s="40" t="n">
        <v>-46.866969</v>
      </c>
      <c r="D3926" s="40" t="n">
        <v>235</v>
      </c>
      <c r="E3926" s="41" t="n">
        <v>25456.205</v>
      </c>
    </row>
    <row r="3927">
      <c r="A3927" s="42">
        <f>_xlfn.XLOOKUP(17848,Trip[shape_id],Trip[shape_id],"Não encontrado")</f>
        <v/>
      </c>
      <c r="B3927" s="43" t="n">
        <v>-23.509732</v>
      </c>
      <c r="C3927" s="43" t="n">
        <v>-46.867548</v>
      </c>
      <c r="D3927" s="43" t="n">
        <v>236</v>
      </c>
      <c r="E3927" s="44" t="n">
        <v>25541.58</v>
      </c>
    </row>
    <row r="3928">
      <c r="A3928" s="39">
        <f>_xlfn.XLOOKUP(17848,Trip[shape_id],Trip[shape_id],"Não encontrado")</f>
        <v/>
      </c>
      <c r="B3928" s="40" t="n">
        <v>-23.50964</v>
      </c>
      <c r="C3928" s="40" t="n">
        <v>-46.868044</v>
      </c>
      <c r="D3928" s="40" t="n">
        <v>237</v>
      </c>
      <c r="E3928" s="41" t="n">
        <v>25593.252</v>
      </c>
    </row>
    <row r="3929">
      <c r="A3929" s="42">
        <f>_xlfn.XLOOKUP(17848,Trip[shape_id],Trip[shape_id],"Não encontrado")</f>
        <v/>
      </c>
      <c r="B3929" s="43" t="n">
        <v>-23.509514</v>
      </c>
      <c r="C3929" s="43" t="n">
        <v>-46.868735</v>
      </c>
      <c r="D3929" s="43" t="n">
        <v>238</v>
      </c>
      <c r="E3929" s="44" t="n">
        <v>25665.193</v>
      </c>
    </row>
    <row r="3930">
      <c r="A3930" s="39">
        <f>_xlfn.XLOOKUP(17848,Trip[shape_id],Trip[shape_id],"Não encontrado")</f>
        <v/>
      </c>
      <c r="B3930" s="40" t="n">
        <v>-23.509837</v>
      </c>
      <c r="C3930" s="40" t="n">
        <v>-46.869668</v>
      </c>
      <c r="D3930" s="40" t="n">
        <v>239</v>
      </c>
      <c r="E3930" s="41" t="n">
        <v>25766.977</v>
      </c>
    </row>
    <row r="3931">
      <c r="A3931" s="42">
        <f>_xlfn.XLOOKUP(17848,Trip[shape_id],Trip[shape_id],"Não encontrado")</f>
        <v/>
      </c>
      <c r="B3931" s="43" t="n">
        <v>-23.510633</v>
      </c>
      <c r="C3931" s="43" t="n">
        <v>-46.87067</v>
      </c>
      <c r="D3931" s="43" t="n">
        <v>240</v>
      </c>
      <c r="E3931" s="44" t="n">
        <v>25902.049</v>
      </c>
    </row>
    <row r="3932">
      <c r="A3932" s="39">
        <f>_xlfn.XLOOKUP(17848,Trip[shape_id],Trip[shape_id],"Não encontrado")</f>
        <v/>
      </c>
      <c r="B3932" s="40" t="n">
        <v>-23.512154</v>
      </c>
      <c r="C3932" s="40" t="n">
        <v>-46.872361</v>
      </c>
      <c r="D3932" s="40" t="n">
        <v>241</v>
      </c>
      <c r="E3932" s="41" t="n">
        <v>26143.303</v>
      </c>
    </row>
    <row r="3933">
      <c r="A3933" s="42">
        <f>_xlfn.XLOOKUP(17848,Trip[shape_id],Trip[shape_id],"Não encontrado")</f>
        <v/>
      </c>
      <c r="B3933" s="43" t="n">
        <v>-23.512471</v>
      </c>
      <c r="C3933" s="43" t="n">
        <v>-46.874312</v>
      </c>
      <c r="D3933" s="43" t="n">
        <v>242</v>
      </c>
      <c r="E3933" s="44" t="n">
        <v>26345.631</v>
      </c>
    </row>
    <row r="3934">
      <c r="A3934" s="39">
        <f>_xlfn.XLOOKUP(17848,Trip[shape_id],Trip[shape_id],"Não encontrado")</f>
        <v/>
      </c>
      <c r="B3934" s="40" t="n">
        <v>-23.512555</v>
      </c>
      <c r="C3934" s="40" t="n">
        <v>-46.874856</v>
      </c>
      <c r="D3934" s="40" t="n">
        <v>243</v>
      </c>
      <c r="E3934" s="41" t="n">
        <v>26401.963</v>
      </c>
    </row>
    <row r="3935">
      <c r="A3935" s="42">
        <f>_xlfn.XLOOKUP(17848,Trip[shape_id],Trip[shape_id],"Não encontrado")</f>
        <v/>
      </c>
      <c r="B3935" s="43" t="n">
        <v>-23.512593</v>
      </c>
      <c r="C3935" s="43" t="n">
        <v>-46.875152</v>
      </c>
      <c r="D3935" s="43" t="n">
        <v>244</v>
      </c>
      <c r="E3935" s="44" t="n">
        <v>26432.486</v>
      </c>
    </row>
    <row r="3936">
      <c r="A3936" s="39">
        <f>_xlfn.XLOOKUP(17848,Trip[shape_id],Trip[shape_id],"Não encontrado")</f>
        <v/>
      </c>
      <c r="B3936" s="40" t="n">
        <v>-23.512649</v>
      </c>
      <c r="C3936" s="40" t="n">
        <v>-46.875556</v>
      </c>
      <c r="D3936" s="40" t="n">
        <v>245</v>
      </c>
      <c r="E3936" s="41" t="n">
        <v>26474.211</v>
      </c>
    </row>
    <row r="3937">
      <c r="A3937" s="42">
        <f>_xlfn.XLOOKUP(17848,Trip[shape_id],Trip[shape_id],"Não encontrado")</f>
        <v/>
      </c>
      <c r="B3937" s="43" t="n">
        <v>-23.512828</v>
      </c>
      <c r="C3937" s="43" t="n">
        <v>-46.876927</v>
      </c>
      <c r="D3937" s="43" t="n">
        <v>246</v>
      </c>
      <c r="E3937" s="44" t="n">
        <v>26615.629</v>
      </c>
    </row>
    <row r="3938">
      <c r="A3938" s="39">
        <f>_xlfn.XLOOKUP(17848,Trip[shape_id],Trip[shape_id],"Não encontrado")</f>
        <v/>
      </c>
      <c r="B3938" s="40" t="n">
        <v>-23.513006</v>
      </c>
      <c r="C3938" s="40" t="n">
        <v>-46.87862</v>
      </c>
      <c r="D3938" s="40" t="n">
        <v>247</v>
      </c>
      <c r="E3938" s="41" t="n">
        <v>26789.656</v>
      </c>
    </row>
    <row r="3939">
      <c r="A3939" s="42">
        <f>_xlfn.XLOOKUP(17848,Trip[shape_id],Trip[shape_id],"Não encontrado")</f>
        <v/>
      </c>
      <c r="B3939" s="43" t="n">
        <v>-23.51227</v>
      </c>
      <c r="C3939" s="43" t="n">
        <v>-46.880697</v>
      </c>
      <c r="D3939" s="43" t="n">
        <v>248</v>
      </c>
      <c r="E3939" s="44" t="n">
        <v>27016.904</v>
      </c>
    </row>
    <row r="3940">
      <c r="A3940" s="39">
        <f>_xlfn.XLOOKUP(17848,Trip[shape_id],Trip[shape_id],"Não encontrado")</f>
        <v/>
      </c>
      <c r="B3940" s="40" t="n">
        <v>-23.512198</v>
      </c>
      <c r="C3940" s="40" t="n">
        <v>-46.880894</v>
      </c>
      <c r="D3940" s="40" t="n">
        <v>249</v>
      </c>
      <c r="E3940" s="41" t="n">
        <v>27038.547</v>
      </c>
    </row>
    <row r="3941">
      <c r="A3941" s="42">
        <f>_xlfn.XLOOKUP(17848,Trip[shape_id],Trip[shape_id],"Não encontrado")</f>
        <v/>
      </c>
      <c r="B3941" s="43" t="n">
        <v>-23.512113</v>
      </c>
      <c r="C3941" s="43" t="n">
        <v>-46.881123</v>
      </c>
      <c r="D3941" s="43" t="n">
        <v>250</v>
      </c>
      <c r="E3941" s="44" t="n">
        <v>27063.758</v>
      </c>
    </row>
    <row r="3942">
      <c r="A3942" s="39">
        <f>_xlfn.XLOOKUP(17848,Trip[shape_id],Trip[shape_id],"Não encontrado")</f>
        <v/>
      </c>
      <c r="B3942" s="40" t="n">
        <v>-23.511614</v>
      </c>
      <c r="C3942" s="40" t="n">
        <v>-46.882419</v>
      </c>
      <c r="D3942" s="40" t="n">
        <v>251</v>
      </c>
      <c r="E3942" s="41" t="n">
        <v>27207.195</v>
      </c>
    </row>
    <row r="3943">
      <c r="A3943" s="42">
        <f>_xlfn.XLOOKUP(17848,Trip[shape_id],Trip[shape_id],"Não encontrado")</f>
        <v/>
      </c>
      <c r="B3943" s="43" t="n">
        <v>-23.511148</v>
      </c>
      <c r="C3943" s="43" t="n">
        <v>-46.883628</v>
      </c>
      <c r="D3943" s="43" t="n">
        <v>252</v>
      </c>
      <c r="E3943" s="44" t="n">
        <v>27341.025</v>
      </c>
    </row>
    <row r="3944">
      <c r="A3944" s="39">
        <f>_xlfn.XLOOKUP(17848,Trip[shape_id],Trip[shape_id],"Não encontrado")</f>
        <v/>
      </c>
      <c r="B3944" s="40" t="n">
        <v>-23.510254</v>
      </c>
      <c r="C3944" s="40" t="n">
        <v>-46.885953</v>
      </c>
      <c r="D3944" s="40" t="n">
        <v>253</v>
      </c>
      <c r="E3944" s="41" t="n">
        <v>27598.299</v>
      </c>
    </row>
    <row r="3945">
      <c r="A3945" s="42">
        <f>_xlfn.XLOOKUP(17848,Trip[shape_id],Trip[shape_id],"Não encontrado")</f>
        <v/>
      </c>
      <c r="B3945" s="43" t="n">
        <v>-23.510229</v>
      </c>
      <c r="C3945" s="43" t="n">
        <v>-46.887269</v>
      </c>
      <c r="D3945" s="43" t="n">
        <v>254</v>
      </c>
      <c r="E3945" s="44" t="n">
        <v>27732.734</v>
      </c>
    </row>
    <row r="3946">
      <c r="A3946" s="39">
        <f>_xlfn.XLOOKUP(17848,Trip[shape_id],Trip[shape_id],"Não encontrado")</f>
        <v/>
      </c>
      <c r="B3946" s="40" t="n">
        <v>-23.510692</v>
      </c>
      <c r="C3946" s="40" t="n">
        <v>-46.888319</v>
      </c>
      <c r="D3946" s="40" t="n">
        <v>255</v>
      </c>
      <c r="E3946" s="41" t="n">
        <v>27851.604</v>
      </c>
    </row>
    <row r="3947">
      <c r="A3947" s="42">
        <f>_xlfn.XLOOKUP(17848,Trip[shape_id],Trip[shape_id],"Não encontrado")</f>
        <v/>
      </c>
      <c r="B3947" s="43" t="n">
        <v>-23.511653</v>
      </c>
      <c r="C3947" s="43" t="n">
        <v>-46.888927</v>
      </c>
      <c r="D3947" s="43" t="n">
        <v>256</v>
      </c>
      <c r="E3947" s="44" t="n">
        <v>27974.826</v>
      </c>
    </row>
    <row r="3948">
      <c r="A3948" s="39">
        <f>_xlfn.XLOOKUP(17848,Trip[shape_id],Trip[shape_id],"Não encontrado")</f>
        <v/>
      </c>
      <c r="B3948" s="40" t="n">
        <v>-23.512876</v>
      </c>
      <c r="C3948" s="40" t="n">
        <v>-46.889109</v>
      </c>
      <c r="D3948" s="40" t="n">
        <v>257</v>
      </c>
      <c r="E3948" s="41" t="n">
        <v>28111.545</v>
      </c>
    </row>
    <row r="3949">
      <c r="A3949" s="42">
        <f>_xlfn.XLOOKUP(17848,Trip[shape_id],Trip[shape_id],"Não encontrado")</f>
        <v/>
      </c>
      <c r="B3949" s="43" t="n">
        <v>-23.513571</v>
      </c>
      <c r="C3949" s="43" t="n">
        <v>-46.889209</v>
      </c>
      <c r="D3949" s="43" t="n">
        <v>258</v>
      </c>
      <c r="E3949" s="44" t="n">
        <v>28189.191</v>
      </c>
    </row>
    <row r="3950">
      <c r="A3950" s="39">
        <f>_xlfn.XLOOKUP(17848,Trip[shape_id],Trip[shape_id],"Não encontrado")</f>
        <v/>
      </c>
      <c r="B3950" s="40" t="n">
        <v>-23.513825</v>
      </c>
      <c r="C3950" s="40" t="n">
        <v>-46.889249</v>
      </c>
      <c r="D3950" s="40" t="n">
        <v>259</v>
      </c>
      <c r="E3950" s="41" t="n">
        <v>28217.617</v>
      </c>
    </row>
    <row r="3951">
      <c r="A3951" s="42">
        <f>_xlfn.XLOOKUP(17848,Trip[shape_id],Trip[shape_id],"Não encontrado")</f>
        <v/>
      </c>
      <c r="B3951" s="43" t="n">
        <v>-23.514319</v>
      </c>
      <c r="C3951" s="43" t="n">
        <v>-46.889336</v>
      </c>
      <c r="D3951" s="43" t="n">
        <v>260</v>
      </c>
      <c r="E3951" s="44" t="n">
        <v>28273.045</v>
      </c>
    </row>
    <row r="3952">
      <c r="A3952" s="39">
        <f>_xlfn.XLOOKUP(17848,Trip[shape_id],Trip[shape_id],"Não encontrado")</f>
        <v/>
      </c>
      <c r="B3952" s="40" t="n">
        <v>-23.515306</v>
      </c>
      <c r="C3952" s="40" t="n">
        <v>-46.889519</v>
      </c>
      <c r="D3952" s="40" t="n">
        <v>261</v>
      </c>
      <c r="E3952" s="41" t="n">
        <v>28383.943</v>
      </c>
    </row>
    <row r="3953">
      <c r="A3953" s="42">
        <f>_xlfn.XLOOKUP(17848,Trip[shape_id],Trip[shape_id],"Não encontrado")</f>
        <v/>
      </c>
      <c r="B3953" s="43" t="n">
        <v>-23.516427</v>
      </c>
      <c r="C3953" s="43" t="n">
        <v>-46.889666</v>
      </c>
      <c r="D3953" s="43" t="n">
        <v>262</v>
      </c>
      <c r="E3953" s="44" t="n">
        <v>28509</v>
      </c>
    </row>
    <row r="3954">
      <c r="A3954" s="39">
        <f>_xlfn.XLOOKUP(17848,Trip[shape_id],Trip[shape_id],"Não encontrado")</f>
        <v/>
      </c>
      <c r="B3954" s="40" t="n">
        <v>-23.518039</v>
      </c>
      <c r="C3954" s="40" t="n">
        <v>-46.890031</v>
      </c>
      <c r="D3954" s="40" t="n">
        <v>263</v>
      </c>
      <c r="E3954" s="41" t="n">
        <v>28691.381</v>
      </c>
    </row>
    <row r="3955">
      <c r="A3955" s="42">
        <f>_xlfn.XLOOKUP(17848,Trip[shape_id],Trip[shape_id],"Não encontrado")</f>
        <v/>
      </c>
      <c r="B3955" s="43" t="n">
        <v>-23.518433</v>
      </c>
      <c r="C3955" s="43" t="n">
        <v>-46.890234</v>
      </c>
      <c r="D3955" s="43" t="n">
        <v>264</v>
      </c>
      <c r="E3955" s="44" t="n">
        <v>28739.691</v>
      </c>
    </row>
    <row r="3956">
      <c r="A3956" s="39">
        <f>_xlfn.XLOOKUP(17848,Trip[shape_id],Trip[shape_id],"Não encontrado")</f>
        <v/>
      </c>
      <c r="B3956" s="40" t="n">
        <v>-23.519312</v>
      </c>
      <c r="C3956" s="40" t="n">
        <v>-46.890695</v>
      </c>
      <c r="D3956" s="40" t="n">
        <v>265</v>
      </c>
      <c r="E3956" s="41" t="n">
        <v>28847.828</v>
      </c>
    </row>
    <row r="3957">
      <c r="A3957" s="42">
        <f>_xlfn.XLOOKUP(17848,Trip[shape_id],Trip[shape_id],"Não encontrado")</f>
        <v/>
      </c>
      <c r="B3957" s="43" t="n">
        <v>-23.520481</v>
      </c>
      <c r="C3957" s="43" t="n">
        <v>-46.89182</v>
      </c>
      <c r="D3957" s="43" t="n">
        <v>266</v>
      </c>
      <c r="E3957" s="44" t="n">
        <v>29020.924</v>
      </c>
    </row>
    <row r="3958">
      <c r="A3958" s="39">
        <f>_xlfn.XLOOKUP(17848,Trip[shape_id],Trip[shape_id],"Não encontrado")</f>
        <v/>
      </c>
      <c r="B3958" s="40" t="n">
        <v>-23.521757</v>
      </c>
      <c r="C3958" s="40" t="n">
        <v>-46.892766</v>
      </c>
      <c r="D3958" s="40" t="n">
        <v>267</v>
      </c>
      <c r="E3958" s="41" t="n">
        <v>29192.109</v>
      </c>
    </row>
    <row r="3959">
      <c r="A3959" s="42">
        <f>_xlfn.XLOOKUP(17848,Trip[shape_id],Trip[shape_id],"Não encontrado")</f>
        <v/>
      </c>
      <c r="B3959" s="43" t="n">
        <v>-23.522477</v>
      </c>
      <c r="C3959" s="43" t="n">
        <v>-46.893289</v>
      </c>
      <c r="D3959" s="43" t="n">
        <v>268</v>
      </c>
      <c r="E3959" s="44" t="n">
        <v>29288.086</v>
      </c>
    </row>
    <row r="3960">
      <c r="A3960" s="39">
        <f>_xlfn.XLOOKUP(17848,Trip[shape_id],Trip[shape_id],"Não encontrado")</f>
        <v/>
      </c>
      <c r="B3960" s="40" t="n">
        <v>-23.523618</v>
      </c>
      <c r="C3960" s="40" t="n">
        <v>-46.893624</v>
      </c>
      <c r="D3960" s="40" t="n">
        <v>269</v>
      </c>
      <c r="E3960" s="41" t="n">
        <v>29419.002</v>
      </c>
    </row>
    <row r="3961">
      <c r="A3961" s="42">
        <f>_xlfn.XLOOKUP(17848,Trip[shape_id],Trip[shape_id],"Não encontrado")</f>
        <v/>
      </c>
      <c r="B3961" s="43" t="n">
        <v>-23.524676</v>
      </c>
      <c r="C3961" s="43" t="n">
        <v>-46.893928</v>
      </c>
      <c r="D3961" s="43" t="n">
        <v>270</v>
      </c>
      <c r="E3961" s="44" t="n">
        <v>29540.221</v>
      </c>
    </row>
    <row r="3962">
      <c r="A3962" s="39">
        <f>_xlfn.XLOOKUP(17848,Trip[shape_id],Trip[shape_id],"Não encontrado")</f>
        <v/>
      </c>
      <c r="B3962" s="40" t="n">
        <v>-23.525643</v>
      </c>
      <c r="C3962" s="40" t="n">
        <v>-46.894733</v>
      </c>
      <c r="D3962" s="40" t="n">
        <v>271</v>
      </c>
      <c r="E3962" s="41" t="n">
        <v>29675.23</v>
      </c>
    </row>
    <row r="3963">
      <c r="A3963" s="42">
        <f>_xlfn.XLOOKUP(17848,Trip[shape_id],Trip[shape_id],"Não encontrado")</f>
        <v/>
      </c>
      <c r="B3963" s="43" t="n">
        <v>-23.526377</v>
      </c>
      <c r="C3963" s="43" t="n">
        <v>-46.896136</v>
      </c>
      <c r="D3963" s="43" t="n">
        <v>272</v>
      </c>
      <c r="E3963" s="44" t="n">
        <v>29839.961</v>
      </c>
    </row>
    <row r="3964">
      <c r="A3964" s="39">
        <f>_xlfn.XLOOKUP(17848,Trip[shape_id],Trip[shape_id],"Não encontrado")</f>
        <v/>
      </c>
      <c r="B3964" s="40" t="n">
        <v>-23.526503</v>
      </c>
      <c r="C3964" s="40" t="n">
        <v>-46.897374</v>
      </c>
      <c r="D3964" s="40" t="n">
        <v>273</v>
      </c>
      <c r="E3964" s="41" t="n">
        <v>29967.154</v>
      </c>
    </row>
    <row r="3965">
      <c r="A3965" s="42">
        <f>_xlfn.XLOOKUP(17848,Trip[shape_id],Trip[shape_id],"Não encontrado")</f>
        <v/>
      </c>
      <c r="B3965" s="43" t="n">
        <v>-23.526167</v>
      </c>
      <c r="C3965" s="43" t="n">
        <v>-46.899145</v>
      </c>
      <c r="D3965" s="43" t="n">
        <v>274</v>
      </c>
      <c r="E3965" s="44" t="n">
        <v>30151.799</v>
      </c>
    </row>
    <row r="3966">
      <c r="A3966" s="39">
        <f>_xlfn.XLOOKUP(17848,Trip[shape_id],Trip[shape_id],"Não encontrado")</f>
        <v/>
      </c>
      <c r="B3966" s="40" t="n">
        <v>-23.52653</v>
      </c>
      <c r="C3966" s="40" t="n">
        <v>-46.90042</v>
      </c>
      <c r="D3966" s="40" t="n">
        <v>275</v>
      </c>
      <c r="E3966" s="41" t="n">
        <v>30288.068</v>
      </c>
    </row>
    <row r="3967">
      <c r="A3967" s="42">
        <f>_xlfn.XLOOKUP(17848,Trip[shape_id],Trip[shape_id],"Não encontrado")</f>
        <v/>
      </c>
      <c r="B3967" s="43" t="n">
        <v>-23.527714</v>
      </c>
      <c r="C3967" s="43" t="n">
        <v>-46.902527</v>
      </c>
      <c r="D3967" s="43" t="n">
        <v>276</v>
      </c>
      <c r="E3967" s="44" t="n">
        <v>30540.045</v>
      </c>
    </row>
    <row r="3968">
      <c r="A3968" s="39">
        <f>_xlfn.XLOOKUP(17848,Trip[shape_id],Trip[shape_id],"Não encontrado")</f>
        <v/>
      </c>
      <c r="B3968" s="40" t="n">
        <v>-23.527901</v>
      </c>
      <c r="C3968" s="40" t="n">
        <v>-46.902869</v>
      </c>
      <c r="D3968" s="40" t="n">
        <v>277</v>
      </c>
      <c r="E3968" s="41" t="n">
        <v>30580.648</v>
      </c>
    </row>
    <row r="3969">
      <c r="A3969" s="42">
        <f>_xlfn.XLOOKUP(17848,Trip[shape_id],Trip[shape_id],"Não encontrado")</f>
        <v/>
      </c>
      <c r="B3969" s="43" t="n">
        <v>-23.528676</v>
      </c>
      <c r="C3969" s="43" t="n">
        <v>-46.904456</v>
      </c>
      <c r="D3969" s="43" t="n">
        <v>278</v>
      </c>
      <c r="E3969" s="44" t="n">
        <v>30764.037</v>
      </c>
    </row>
    <row r="3970">
      <c r="A3970" s="39">
        <f>_xlfn.XLOOKUP(17848,Trip[shape_id],Trip[shape_id],"Não encontrado")</f>
        <v/>
      </c>
      <c r="B3970" s="40" t="n">
        <v>-23.529056</v>
      </c>
      <c r="C3970" s="40" t="n">
        <v>-46.907237</v>
      </c>
      <c r="D3970" s="40" t="n">
        <v>279</v>
      </c>
      <c r="E3970" s="41" t="n">
        <v>31051.131</v>
      </c>
    </row>
    <row r="3971">
      <c r="A3971" s="42">
        <f>_xlfn.XLOOKUP(17848,Trip[shape_id],Trip[shape_id],"Não encontrado")</f>
        <v/>
      </c>
      <c r="B3971" s="43" t="n">
        <v>-23.529459</v>
      </c>
      <c r="C3971" s="43" t="n">
        <v>-46.908125</v>
      </c>
      <c r="D3971" s="43" t="n">
        <v>280</v>
      </c>
      <c r="E3971" s="44" t="n">
        <v>31152.201</v>
      </c>
    </row>
    <row r="3972">
      <c r="A3972" s="39">
        <f>_xlfn.XLOOKUP(17848,Trip[shape_id],Trip[shape_id],"Não encontrado")</f>
        <v/>
      </c>
      <c r="B3972" s="40" t="n">
        <v>-23.530541</v>
      </c>
      <c r="C3972" s="40" t="n">
        <v>-46.910478</v>
      </c>
      <c r="D3972" s="40" t="n">
        <v>281</v>
      </c>
      <c r="E3972" s="41" t="n">
        <v>31420.709</v>
      </c>
    </row>
    <row r="3973">
      <c r="A3973" s="42">
        <f>_xlfn.XLOOKUP(17848,Trip[shape_id],Trip[shape_id],"Não encontrado")</f>
        <v/>
      </c>
      <c r="B3973" s="43" t="n">
        <v>-23.530602</v>
      </c>
      <c r="C3973" s="43" t="n">
        <v>-46.911356</v>
      </c>
      <c r="D3973" s="43" t="n">
        <v>282</v>
      </c>
      <c r="E3973" s="44" t="n">
        <v>31510.623</v>
      </c>
    </row>
    <row r="3974">
      <c r="A3974" s="39">
        <f>_xlfn.XLOOKUP(17848,Trip[shape_id],Trip[shape_id],"Não encontrado")</f>
        <v/>
      </c>
      <c r="B3974" s="40" t="n">
        <v>-23.530407</v>
      </c>
      <c r="C3974" s="40" t="n">
        <v>-46.91226</v>
      </c>
      <c r="D3974" s="40" t="n">
        <v>283</v>
      </c>
      <c r="E3974" s="41" t="n">
        <v>31605.43</v>
      </c>
    </row>
    <row r="3975">
      <c r="A3975" s="42">
        <f>_xlfn.XLOOKUP(17848,Trip[shape_id],Trip[shape_id],"Não encontrado")</f>
        <v/>
      </c>
      <c r="B3975" s="43" t="n">
        <v>-23.530169</v>
      </c>
      <c r="C3975" s="43" t="n">
        <v>-46.913139</v>
      </c>
      <c r="D3975" s="43" t="n">
        <v>284</v>
      </c>
      <c r="E3975" s="44" t="n">
        <v>31698.98</v>
      </c>
    </row>
    <row r="3976">
      <c r="A3976" s="39">
        <f>_xlfn.XLOOKUP(17848,Trip[shape_id],Trip[shape_id],"Não encontrado")</f>
        <v/>
      </c>
      <c r="B3976" s="40" t="n">
        <v>-23.529749</v>
      </c>
      <c r="C3976" s="40" t="n">
        <v>-46.913904</v>
      </c>
      <c r="D3976" s="40" t="n">
        <v>285</v>
      </c>
      <c r="E3976" s="41" t="n">
        <v>31789.9</v>
      </c>
    </row>
    <row r="3977">
      <c r="A3977" s="42">
        <f>_xlfn.XLOOKUP(17848,Trip[shape_id],Trip[shape_id],"Não encontrado")</f>
        <v/>
      </c>
      <c r="B3977" s="43" t="n">
        <v>-23.529261</v>
      </c>
      <c r="C3977" s="43" t="n">
        <v>-46.915104</v>
      </c>
      <c r="D3977" s="43" t="n">
        <v>286</v>
      </c>
      <c r="E3977" s="44" t="n">
        <v>31923.832</v>
      </c>
    </row>
    <row r="3978">
      <c r="A3978" s="39">
        <f>_xlfn.XLOOKUP(17848,Trip[shape_id],Trip[shape_id],"Não encontrado")</f>
        <v/>
      </c>
      <c r="B3978" s="40" t="n">
        <v>-23.529208</v>
      </c>
      <c r="C3978" s="40" t="n">
        <v>-46.916158</v>
      </c>
      <c r="D3978" s="40" t="n">
        <v>287</v>
      </c>
      <c r="E3978" s="41" t="n">
        <v>32031.625</v>
      </c>
    </row>
    <row r="3979">
      <c r="A3979" s="42">
        <f>_xlfn.XLOOKUP(17848,Trip[shape_id],Trip[shape_id],"Não encontrado")</f>
        <v/>
      </c>
      <c r="B3979" s="43" t="n">
        <v>-23.529093</v>
      </c>
      <c r="C3979" s="43" t="n">
        <v>-46.917388</v>
      </c>
      <c r="D3979" s="43" t="n">
        <v>288</v>
      </c>
      <c r="E3979" s="44" t="n">
        <v>32157.875</v>
      </c>
    </row>
    <row r="3980">
      <c r="A3980" s="39">
        <f>_xlfn.XLOOKUP(17848,Trip[shape_id],Trip[shape_id],"Não encontrado")</f>
        <v/>
      </c>
      <c r="B3980" s="40" t="n">
        <v>-23.528956</v>
      </c>
      <c r="C3980" s="40" t="n">
        <v>-46.918854</v>
      </c>
      <c r="D3980" s="40" t="n">
        <v>289</v>
      </c>
      <c r="E3980" s="41" t="n">
        <v>32308.348</v>
      </c>
    </row>
    <row r="3981">
      <c r="A3981" s="42">
        <f>_xlfn.XLOOKUP(17848,Trip[shape_id],Trip[shape_id],"Não encontrado")</f>
        <v/>
      </c>
      <c r="B3981" s="43" t="n">
        <v>-23.529277</v>
      </c>
      <c r="C3981" s="43" t="n">
        <v>-46.920403</v>
      </c>
      <c r="D3981" s="43" t="n">
        <v>290</v>
      </c>
      <c r="E3981" s="44" t="n">
        <v>32470.475</v>
      </c>
    </row>
    <row r="3982">
      <c r="A3982" s="39">
        <f>_xlfn.XLOOKUP(17848,Trip[shape_id],Trip[shape_id],"Não encontrado")</f>
        <v/>
      </c>
      <c r="B3982" s="40" t="n">
        <v>-23.529879</v>
      </c>
      <c r="C3982" s="40" t="n">
        <v>-46.921249</v>
      </c>
      <c r="D3982" s="40" t="n">
        <v>291</v>
      </c>
      <c r="E3982" s="41" t="n">
        <v>32579.602</v>
      </c>
    </row>
    <row r="3983">
      <c r="A3983" s="42">
        <f>_xlfn.XLOOKUP(17848,Trip[shape_id],Trip[shape_id],"Não encontrado")</f>
        <v/>
      </c>
      <c r="B3983" s="43" t="n">
        <v>-23.531551</v>
      </c>
      <c r="C3983" s="43" t="n">
        <v>-46.922125</v>
      </c>
      <c r="D3983" s="43" t="n">
        <v>292</v>
      </c>
      <c r="E3983" s="44" t="n">
        <v>32785.254</v>
      </c>
    </row>
    <row r="3984">
      <c r="A3984" s="39">
        <f>_xlfn.XLOOKUP(17848,Trip[shape_id],Trip[shape_id],"Não encontrado")</f>
        <v/>
      </c>
      <c r="B3984" s="40" t="n">
        <v>-23.532148</v>
      </c>
      <c r="C3984" s="40" t="n">
        <v>-46.922403</v>
      </c>
      <c r="D3984" s="40" t="n">
        <v>293</v>
      </c>
      <c r="E3984" s="41" t="n">
        <v>32857.211</v>
      </c>
    </row>
    <row r="3985">
      <c r="A3985" s="42">
        <f>_xlfn.XLOOKUP(17848,Trip[shape_id],Trip[shape_id],"Não encontrado")</f>
        <v/>
      </c>
      <c r="B3985" s="43" t="n">
        <v>-23.533101</v>
      </c>
      <c r="C3985" s="43" t="n">
        <v>-46.922833</v>
      </c>
      <c r="D3985" s="43" t="n">
        <v>294</v>
      </c>
      <c r="E3985" s="44" t="n">
        <v>32971.527</v>
      </c>
    </row>
    <row r="3986">
      <c r="A3986" s="39">
        <f>_xlfn.XLOOKUP(17848,Trip[shape_id],Trip[shape_id],"Não encontrado")</f>
        <v/>
      </c>
      <c r="B3986" s="40" t="n">
        <v>-23.534167</v>
      </c>
      <c r="C3986" s="40" t="n">
        <v>-46.923506</v>
      </c>
      <c r="D3986" s="40" t="n">
        <v>295</v>
      </c>
      <c r="E3986" s="41" t="n">
        <v>33108.133</v>
      </c>
    </row>
    <row r="3987">
      <c r="A3987" s="42">
        <f>_xlfn.XLOOKUP(17848,Trip[shape_id],Trip[shape_id],"Não encontrado")</f>
        <v/>
      </c>
      <c r="B3987" s="43" t="n">
        <v>-23.535008</v>
      </c>
      <c r="C3987" s="43" t="n">
        <v>-46.924168</v>
      </c>
      <c r="D3987" s="43" t="n">
        <v>296</v>
      </c>
      <c r="E3987" s="44" t="n">
        <v>33223.219</v>
      </c>
    </row>
    <row r="3988">
      <c r="A3988" s="39">
        <f>_xlfn.XLOOKUP(17848,Trip[shape_id],Trip[shape_id],"Não encontrado")</f>
        <v/>
      </c>
      <c r="B3988" s="40" t="n">
        <v>-23.535501</v>
      </c>
      <c r="C3988" s="40" t="n">
        <v>-46.925108</v>
      </c>
      <c r="D3988" s="40" t="n">
        <v>297</v>
      </c>
      <c r="E3988" s="41" t="n">
        <v>33333.648</v>
      </c>
    </row>
    <row r="3989">
      <c r="A3989" s="42">
        <f>_xlfn.XLOOKUP(17848,Trip[shape_id],Trip[shape_id],"Não encontrado")</f>
        <v/>
      </c>
      <c r="B3989" s="43" t="n">
        <v>-23.535516</v>
      </c>
      <c r="C3989" s="43" t="n">
        <v>-46.925281</v>
      </c>
      <c r="D3989" s="43" t="n">
        <v>298</v>
      </c>
      <c r="E3989" s="44" t="n">
        <v>33351.391</v>
      </c>
    </row>
    <row r="3990">
      <c r="A3990" s="39">
        <f>_xlfn.XLOOKUP(17848,Trip[shape_id],Trip[shape_id],"Não encontrado")</f>
        <v/>
      </c>
      <c r="B3990" s="40" t="n">
        <v>-23.535535</v>
      </c>
      <c r="C3990" s="40" t="n">
        <v>-46.92546</v>
      </c>
      <c r="D3990" s="40" t="n">
        <v>299</v>
      </c>
      <c r="E3990" s="41" t="n">
        <v>33369.789</v>
      </c>
    </row>
    <row r="3991">
      <c r="A3991" s="42">
        <f>_xlfn.XLOOKUP(17848,Trip[shape_id],Trip[shape_id],"Não encontrado")</f>
        <v/>
      </c>
      <c r="B3991" s="43" t="n">
        <v>-23.53564</v>
      </c>
      <c r="C3991" s="43" t="n">
        <v>-46.926516</v>
      </c>
      <c r="D3991" s="43" t="n">
        <v>300</v>
      </c>
      <c r="E3991" s="44" t="n">
        <v>33478.246</v>
      </c>
    </row>
    <row r="3992">
      <c r="A3992" s="39">
        <f>_xlfn.XLOOKUP(17848,Trip[shape_id],Trip[shape_id],"Não encontrado")</f>
        <v/>
      </c>
      <c r="B3992" s="40" t="n">
        <v>-23.53528</v>
      </c>
      <c r="C3992" s="40" t="n">
        <v>-46.928452</v>
      </c>
      <c r="D3992" s="40" t="n">
        <v>301</v>
      </c>
      <c r="E3992" s="41" t="n">
        <v>33679.918</v>
      </c>
    </row>
    <row r="3993">
      <c r="A3993" s="42">
        <f>_xlfn.XLOOKUP(17848,Trip[shape_id],Trip[shape_id],"Não encontrado")</f>
        <v/>
      </c>
      <c r="B3993" s="43" t="n">
        <v>-23.535219</v>
      </c>
      <c r="C3993" s="43" t="n">
        <v>-46.928679</v>
      </c>
      <c r="D3993" s="43" t="n">
        <v>302</v>
      </c>
      <c r="E3993" s="44" t="n">
        <v>33704.063</v>
      </c>
    </row>
    <row r="3994">
      <c r="A3994" s="39">
        <f>_xlfn.XLOOKUP(17848,Trip[shape_id],Trip[shape_id],"Não encontrado")</f>
        <v/>
      </c>
      <c r="B3994" s="40" t="n">
        <v>-23.535192</v>
      </c>
      <c r="C3994" s="40" t="n">
        <v>-46.928779</v>
      </c>
      <c r="D3994" s="40" t="n">
        <v>303</v>
      </c>
      <c r="E3994" s="41" t="n">
        <v>33714.703</v>
      </c>
    </row>
    <row r="3995">
      <c r="A3995" s="42">
        <f>_xlfn.XLOOKUP(17848,Trip[shape_id],Trip[shape_id],"Não encontrado")</f>
        <v/>
      </c>
      <c r="B3995" s="43" t="n">
        <v>-23.534908</v>
      </c>
      <c r="C3995" s="43" t="n">
        <v>-46.929866</v>
      </c>
      <c r="D3995" s="43" t="n">
        <v>304</v>
      </c>
      <c r="E3995" s="44" t="n">
        <v>33830.07</v>
      </c>
    </row>
    <row r="3996">
      <c r="A3996" s="39">
        <f>_xlfn.XLOOKUP(17848,Trip[shape_id],Trip[shape_id],"Não encontrado")</f>
        <v/>
      </c>
      <c r="B3996" s="40" t="n">
        <v>-23.534656</v>
      </c>
      <c r="C3996" s="40" t="n">
        <v>-46.930778</v>
      </c>
      <c r="D3996" s="40" t="n">
        <v>305</v>
      </c>
      <c r="E3996" s="41" t="n">
        <v>33927.289</v>
      </c>
    </row>
    <row r="3997">
      <c r="A3997" s="42">
        <f>_xlfn.XLOOKUP(17848,Trip[shape_id],Trip[shape_id],"Não encontrado")</f>
        <v/>
      </c>
      <c r="B3997" s="43" t="n">
        <v>-23.534873</v>
      </c>
      <c r="C3997" s="43" t="n">
        <v>-46.932124</v>
      </c>
      <c r="D3997" s="43" t="n">
        <v>306</v>
      </c>
      <c r="E3997" s="44" t="n">
        <v>34066.82</v>
      </c>
    </row>
    <row r="3998">
      <c r="A3998" s="39">
        <f>_xlfn.XLOOKUP(17848,Trip[shape_id],Trip[shape_id],"Não encontrado")</f>
        <v/>
      </c>
      <c r="B3998" s="40" t="n">
        <v>-23.535388</v>
      </c>
      <c r="C3998" s="40" t="n">
        <v>-46.933003</v>
      </c>
      <c r="D3998" s="40" t="n">
        <v>307</v>
      </c>
      <c r="E3998" s="41" t="n">
        <v>34173.168</v>
      </c>
    </row>
    <row r="3999">
      <c r="A3999" s="42">
        <f>_xlfn.XLOOKUP(17848,Trip[shape_id],Trip[shape_id],"Não encontrado")</f>
        <v/>
      </c>
      <c r="B3999" s="43" t="n">
        <v>-23.536211</v>
      </c>
      <c r="C3999" s="43" t="n">
        <v>-46.933456</v>
      </c>
      <c r="D3999" s="43" t="n">
        <v>308</v>
      </c>
      <c r="E3999" s="44" t="n">
        <v>34275.383</v>
      </c>
    </row>
    <row r="4000">
      <c r="A4000" s="39">
        <f>_xlfn.XLOOKUP(17848,Trip[shape_id],Trip[shape_id],"Não encontrado")</f>
        <v/>
      </c>
      <c r="B4000" s="40" t="n">
        <v>-23.537342</v>
      </c>
      <c r="C4000" s="40" t="n">
        <v>-46.933496</v>
      </c>
      <c r="D4000" s="40" t="n">
        <v>309</v>
      </c>
      <c r="E4000" s="41" t="n">
        <v>34400.711</v>
      </c>
    </row>
    <row r="4001">
      <c r="A4001" s="42">
        <f>_xlfn.XLOOKUP(17848,Trip[shape_id],Trip[shape_id],"Não encontrado")</f>
        <v/>
      </c>
      <c r="B4001" s="43" t="n">
        <v>-23.538697</v>
      </c>
      <c r="C4001" s="43" t="n">
        <v>-46.933425</v>
      </c>
      <c r="D4001" s="43" t="n">
        <v>310</v>
      </c>
      <c r="E4001" s="44" t="n">
        <v>34550.953</v>
      </c>
    </row>
    <row r="4002">
      <c r="A4002" s="39">
        <f>_xlfn.XLOOKUP(17848,Trip[shape_id],Trip[shape_id],"Não encontrado")</f>
        <v/>
      </c>
      <c r="B4002" s="40" t="n">
        <v>-23.540833</v>
      </c>
      <c r="C4002" s="40" t="n">
        <v>-46.933291</v>
      </c>
      <c r="D4002" s="40" t="n">
        <v>311</v>
      </c>
      <c r="E4002" s="41" t="n">
        <v>34787.914</v>
      </c>
    </row>
    <row r="4003">
      <c r="A4003" s="42">
        <f>_xlfn.XLOOKUP(17848,Trip[shape_id],Trip[shape_id],"Não encontrado")</f>
        <v/>
      </c>
      <c r="B4003" s="43" t="n">
        <v>-23.541534</v>
      </c>
      <c r="C4003" s="43" t="n">
        <v>-46.933258</v>
      </c>
      <c r="D4003" s="43" t="n">
        <v>312</v>
      </c>
      <c r="E4003" s="44" t="n">
        <v>34865.625</v>
      </c>
    </row>
    <row r="4004">
      <c r="A4004" s="39">
        <f>_xlfn.XLOOKUP(17848,Trip[shape_id],Trip[shape_id],"Não encontrado")</f>
        <v/>
      </c>
      <c r="B4004" s="40" t="n">
        <v>-23.542088</v>
      </c>
      <c r="C4004" s="40" t="n">
        <v>-46.933228</v>
      </c>
      <c r="D4004" s="40" t="n">
        <v>313</v>
      </c>
      <c r="E4004" s="41" t="n">
        <v>34927.059</v>
      </c>
    </row>
    <row r="4005">
      <c r="A4005" s="42">
        <f>_xlfn.XLOOKUP(17848,Trip[shape_id],Trip[shape_id],"Não encontrado")</f>
        <v/>
      </c>
      <c r="B4005" s="43" t="n">
        <v>-23.54347</v>
      </c>
      <c r="C4005" s="43" t="n">
        <v>-46.933535</v>
      </c>
      <c r="D4005" s="43" t="n">
        <v>314</v>
      </c>
      <c r="E4005" s="44" t="n">
        <v>35083.293</v>
      </c>
    </row>
    <row r="4006">
      <c r="A4006" s="39">
        <f>_xlfn.XLOOKUP(17848,Trip[shape_id],Trip[shape_id],"Não encontrado")</f>
        <v/>
      </c>
      <c r="B4006" s="40" t="n">
        <v>-23.545306</v>
      </c>
      <c r="C4006" s="40" t="n">
        <v>-46.935105</v>
      </c>
      <c r="D4006" s="40" t="n">
        <v>315</v>
      </c>
      <c r="E4006" s="41" t="n">
        <v>35342.227</v>
      </c>
    </row>
    <row r="4007">
      <c r="A4007" s="42">
        <f>_xlfn.XLOOKUP(17848,Trip[shape_id],Trip[shape_id],"Não encontrado")</f>
        <v/>
      </c>
      <c r="B4007" s="43" t="n">
        <v>-23.54573</v>
      </c>
      <c r="C4007" s="43" t="n">
        <v>-46.935418</v>
      </c>
      <c r="D4007" s="43" t="n">
        <v>316</v>
      </c>
      <c r="E4007" s="44" t="n">
        <v>35399.027</v>
      </c>
    </row>
    <row r="4008">
      <c r="A4008" s="39">
        <f>_xlfn.XLOOKUP(17848,Trip[shape_id],Trip[shape_id],"Não encontrado")</f>
        <v/>
      </c>
      <c r="B4008" s="40" t="n">
        <v>-23.546341</v>
      </c>
      <c r="C4008" s="40" t="n">
        <v>-46.935887</v>
      </c>
      <c r="D4008" s="40" t="n">
        <v>317</v>
      </c>
      <c r="E4008" s="41" t="n">
        <v>35481.926</v>
      </c>
    </row>
    <row r="4009">
      <c r="A4009" s="42">
        <f>_xlfn.XLOOKUP(17848,Trip[shape_id],Trip[shape_id],"Não encontrado")</f>
        <v/>
      </c>
      <c r="B4009" s="43" t="n">
        <v>-23.547424</v>
      </c>
      <c r="C4009" s="43" t="n">
        <v>-46.936892</v>
      </c>
      <c r="D4009" s="43" t="n">
        <v>318</v>
      </c>
      <c r="E4009" s="44" t="n">
        <v>35639.777</v>
      </c>
    </row>
    <row r="4010">
      <c r="A4010" s="39">
        <f>_xlfn.XLOOKUP(17848,Trip[shape_id],Trip[shape_id],"Não encontrado")</f>
        <v/>
      </c>
      <c r="B4010" s="40" t="n">
        <v>-23.547658</v>
      </c>
      <c r="C4010" s="40" t="n">
        <v>-46.937119</v>
      </c>
      <c r="D4010" s="40" t="n">
        <v>319</v>
      </c>
      <c r="E4010" s="41" t="n">
        <v>35674.547</v>
      </c>
    </row>
    <row r="4011">
      <c r="A4011" s="42">
        <f>_xlfn.XLOOKUP(17848,Trip[shape_id],Trip[shape_id],"Não encontrado")</f>
        <v/>
      </c>
      <c r="B4011" s="43" t="n">
        <v>-23.548108</v>
      </c>
      <c r="C4011" s="43" t="n">
        <v>-46.93759</v>
      </c>
      <c r="D4011" s="43" t="n">
        <v>320</v>
      </c>
      <c r="E4011" s="44" t="n">
        <v>35743.805</v>
      </c>
    </row>
    <row r="4012">
      <c r="A4012" s="39">
        <f>_xlfn.XLOOKUP(17848,Trip[shape_id],Trip[shape_id],"Não encontrado")</f>
        <v/>
      </c>
      <c r="B4012" s="40" t="n">
        <v>-23.54842</v>
      </c>
      <c r="C4012" s="40" t="n">
        <v>-46.93853</v>
      </c>
      <c r="D4012" s="40" t="n">
        <v>321</v>
      </c>
      <c r="E4012" s="41" t="n">
        <v>35845.813</v>
      </c>
    </row>
    <row r="4013">
      <c r="A4013" s="42">
        <f>_xlfn.XLOOKUP(17848,Trip[shape_id],Trip[shape_id],"Não encontrado")</f>
        <v/>
      </c>
      <c r="B4013" s="43" t="n">
        <v>-23.548285</v>
      </c>
      <c r="C4013" s="43" t="n">
        <v>-46.939678</v>
      </c>
      <c r="D4013" s="43" t="n">
        <v>322</v>
      </c>
      <c r="E4013" s="44" t="n">
        <v>35963.977</v>
      </c>
    </row>
    <row r="4014">
      <c r="A4014" s="39">
        <f>_xlfn.XLOOKUP(17848,Trip[shape_id],Trip[shape_id],"Não encontrado")</f>
        <v/>
      </c>
      <c r="B4014" s="40" t="n">
        <v>-23.547502</v>
      </c>
      <c r="C4014" s="40" t="n">
        <v>-46.941099</v>
      </c>
      <c r="D4014" s="40" t="n">
        <v>323</v>
      </c>
      <c r="E4014" s="41" t="n">
        <v>36133.008</v>
      </c>
    </row>
    <row r="4015">
      <c r="A4015" s="42">
        <f>_xlfn.XLOOKUP(17848,Trip[shape_id],Trip[shape_id],"Não encontrado")</f>
        <v/>
      </c>
      <c r="B4015" s="43" t="n">
        <v>-23.546043</v>
      </c>
      <c r="C4015" s="43" t="n">
        <v>-46.943226</v>
      </c>
      <c r="D4015" s="43" t="n">
        <v>324</v>
      </c>
      <c r="E4015" s="44" t="n">
        <v>36403.703</v>
      </c>
    </row>
    <row r="4016">
      <c r="A4016" s="39">
        <f>_xlfn.XLOOKUP(17848,Trip[shape_id],Trip[shape_id],"Não encontrado")</f>
        <v/>
      </c>
      <c r="B4016" s="40" t="n">
        <v>-23.545601</v>
      </c>
      <c r="C4016" s="40" t="n">
        <v>-46.944539</v>
      </c>
      <c r="D4016" s="40" t="n">
        <v>325</v>
      </c>
      <c r="E4016" s="41" t="n">
        <v>36546.426</v>
      </c>
    </row>
    <row r="4017">
      <c r="A4017" s="42">
        <f>_xlfn.XLOOKUP(17848,Trip[shape_id],Trip[shape_id],"Não encontrado")</f>
        <v/>
      </c>
      <c r="B4017" s="43" t="n">
        <v>-23.545072</v>
      </c>
      <c r="C4017" s="43" t="n">
        <v>-46.946764</v>
      </c>
      <c r="D4017" s="43" t="n">
        <v>326</v>
      </c>
      <c r="E4017" s="44" t="n">
        <v>36781.043</v>
      </c>
    </row>
    <row r="4018">
      <c r="A4018" s="39">
        <f>_xlfn.XLOOKUP(17848,Trip[shape_id],Trip[shape_id],"Não encontrado")</f>
        <v/>
      </c>
      <c r="B4018" s="40" t="n">
        <v>-23.544847</v>
      </c>
      <c r="C4018" s="40" t="n">
        <v>-46.9476</v>
      </c>
      <c r="D4018" s="40" t="n">
        <v>327</v>
      </c>
      <c r="E4018" s="41" t="n">
        <v>36869.969</v>
      </c>
    </row>
    <row r="4019">
      <c r="A4019" s="42">
        <f>_xlfn.XLOOKUP(17848,Trip[shape_id],Trip[shape_id],"Não encontrado")</f>
        <v/>
      </c>
      <c r="B4019" s="43" t="n">
        <v>-23.544587</v>
      </c>
      <c r="C4019" s="43" t="n">
        <v>-46.948638</v>
      </c>
      <c r="D4019" s="43" t="n">
        <v>328</v>
      </c>
      <c r="E4019" s="44" t="n">
        <v>36979.797</v>
      </c>
    </row>
    <row r="4020">
      <c r="A4020" s="39">
        <f>_xlfn.XLOOKUP(17848,Trip[shape_id],Trip[shape_id],"Não encontrado")</f>
        <v/>
      </c>
      <c r="B4020" s="40" t="n">
        <v>-23.544086</v>
      </c>
      <c r="C4020" s="40" t="n">
        <v>-46.950497</v>
      </c>
      <c r="D4020" s="40" t="n">
        <v>329</v>
      </c>
      <c r="E4020" s="41" t="n">
        <v>37177.559</v>
      </c>
    </row>
    <row r="4021">
      <c r="A4021" s="42">
        <f>_xlfn.XLOOKUP(17848,Trip[shape_id],Trip[shape_id],"Não encontrado")</f>
        <v/>
      </c>
      <c r="B4021" s="43" t="n">
        <v>-23.544025</v>
      </c>
      <c r="C4021" s="43" t="n">
        <v>-46.951804</v>
      </c>
      <c r="D4021" s="43" t="n">
        <v>330</v>
      </c>
      <c r="E4021" s="44" t="n">
        <v>37311.184</v>
      </c>
    </row>
    <row r="4022">
      <c r="A4022" s="39">
        <f>_xlfn.XLOOKUP(17848,Trip[shape_id],Trip[shape_id],"Não encontrado")</f>
        <v/>
      </c>
      <c r="B4022" s="40" t="n">
        <v>-23.544175</v>
      </c>
      <c r="C4022" s="40" t="n">
        <v>-46.953245</v>
      </c>
      <c r="D4022" s="40" t="n">
        <v>331</v>
      </c>
      <c r="E4022" s="41" t="n">
        <v>37459.254</v>
      </c>
    </row>
    <row r="4023">
      <c r="A4023" s="42">
        <f>_xlfn.XLOOKUP(17848,Trip[shape_id],Trip[shape_id],"Não encontrado")</f>
        <v/>
      </c>
      <c r="B4023" s="43" t="n">
        <v>-23.544068</v>
      </c>
      <c r="C4023" s="43" t="n">
        <v>-46.954095</v>
      </c>
      <c r="D4023" s="43" t="n">
        <v>332</v>
      </c>
      <c r="E4023" s="44" t="n">
        <v>37546.852</v>
      </c>
    </row>
    <row r="4024">
      <c r="A4024" s="39">
        <f>_xlfn.XLOOKUP(17848,Trip[shape_id],Trip[shape_id],"Não encontrado")</f>
        <v/>
      </c>
      <c r="B4024" s="40" t="n">
        <v>-23.543951</v>
      </c>
      <c r="C4024" s="40" t="n">
        <v>-46.954974</v>
      </c>
      <c r="D4024" s="40" t="n">
        <v>333</v>
      </c>
      <c r="E4024" s="41" t="n">
        <v>37637.535</v>
      </c>
    </row>
    <row r="4025">
      <c r="A4025" s="42">
        <f>_xlfn.XLOOKUP(17848,Trip[shape_id],Trip[shape_id],"Não encontrado")</f>
        <v/>
      </c>
      <c r="B4025" s="43" t="n">
        <v>-23.543778</v>
      </c>
      <c r="C4025" s="43" t="n">
        <v>-46.955257</v>
      </c>
      <c r="D4025" s="43" t="n">
        <v>334</v>
      </c>
      <c r="E4025" s="44" t="n">
        <v>37672.207</v>
      </c>
    </row>
    <row r="4026">
      <c r="A4026" s="39">
        <f>_xlfn.XLOOKUP(17848,Trip[shape_id],Trip[shape_id],"Não encontrado")</f>
        <v/>
      </c>
      <c r="B4026" s="40" t="n">
        <v>-23.543475</v>
      </c>
      <c r="C4026" s="40" t="n">
        <v>-46.955739</v>
      </c>
      <c r="D4026" s="40" t="n">
        <v>335</v>
      </c>
      <c r="E4026" s="41" t="n">
        <v>37731.773</v>
      </c>
    </row>
    <row r="4027">
      <c r="A4027" s="42">
        <f>_xlfn.XLOOKUP(17848,Trip[shape_id],Trip[shape_id],"Não encontrado")</f>
        <v/>
      </c>
      <c r="B4027" s="43" t="n">
        <v>-23.542561</v>
      </c>
      <c r="C4027" s="43" t="n">
        <v>-46.956767</v>
      </c>
      <c r="D4027" s="43" t="n">
        <v>336</v>
      </c>
      <c r="E4027" s="44" t="n">
        <v>37877.598</v>
      </c>
    </row>
    <row r="4028">
      <c r="A4028" s="39">
        <f>_xlfn.XLOOKUP(17848,Trip[shape_id],Trip[shape_id],"Não encontrado")</f>
        <v/>
      </c>
      <c r="B4028" s="40" t="n">
        <v>-23.541725</v>
      </c>
      <c r="C4028" s="40" t="n">
        <v>-46.958132</v>
      </c>
      <c r="D4028" s="40" t="n">
        <v>337</v>
      </c>
      <c r="E4028" s="41" t="n">
        <v>38044.926</v>
      </c>
    </row>
    <row r="4029">
      <c r="A4029" s="42">
        <f>_xlfn.XLOOKUP(17848,Trip[shape_id],Trip[shape_id],"Não encontrado")</f>
        <v/>
      </c>
      <c r="B4029" s="43" t="n">
        <v>-23.541483</v>
      </c>
      <c r="C4029" s="43" t="n">
        <v>-46.95963</v>
      </c>
      <c r="D4029" s="43" t="n">
        <v>338</v>
      </c>
      <c r="E4029" s="44" t="n">
        <v>38200.215</v>
      </c>
    </row>
    <row r="4030">
      <c r="A4030" s="39">
        <f>_xlfn.XLOOKUP(17848,Trip[shape_id],Trip[shape_id],"Não encontrado")</f>
        <v/>
      </c>
      <c r="B4030" s="40" t="n">
        <v>-23.541262</v>
      </c>
      <c r="C4030" s="40" t="n">
        <v>-46.961679</v>
      </c>
      <c r="D4030" s="40" t="n">
        <v>339</v>
      </c>
      <c r="E4030" s="41" t="n">
        <v>38410.863</v>
      </c>
    </row>
    <row r="4031">
      <c r="A4031" s="42">
        <f>_xlfn.XLOOKUP(17848,Trip[shape_id],Trip[shape_id],"Não encontrado")</f>
        <v/>
      </c>
      <c r="B4031" s="43" t="n">
        <v>-23.540909</v>
      </c>
      <c r="C4031" s="43" t="n">
        <v>-46.96274</v>
      </c>
      <c r="D4031" s="43" t="n">
        <v>340</v>
      </c>
      <c r="E4031" s="44" t="n">
        <v>38526.039</v>
      </c>
    </row>
    <row r="4032">
      <c r="A4032" s="39">
        <f>_xlfn.XLOOKUP(17848,Trip[shape_id],Trip[shape_id],"Não encontrado")</f>
        <v/>
      </c>
      <c r="B4032" s="40" t="n">
        <v>-23.539789</v>
      </c>
      <c r="C4032" s="40" t="n">
        <v>-46.964549</v>
      </c>
      <c r="D4032" s="40" t="n">
        <v>341</v>
      </c>
      <c r="E4032" s="41" t="n">
        <v>38748.539</v>
      </c>
    </row>
    <row r="4033">
      <c r="A4033" s="42">
        <f>_xlfn.XLOOKUP(17848,Trip[shape_id],Trip[shape_id],"Não encontrado")</f>
        <v/>
      </c>
      <c r="B4033" s="43" t="n">
        <v>-23.538711</v>
      </c>
      <c r="C4033" s="43" t="n">
        <v>-46.965038</v>
      </c>
      <c r="D4033" s="43" t="n">
        <v>342</v>
      </c>
      <c r="E4033" s="44" t="n">
        <v>38877.949</v>
      </c>
    </row>
    <row r="4034">
      <c r="A4034" s="39">
        <f>_xlfn.XLOOKUP(17848,Trip[shape_id],Trip[shape_id],"Não encontrado")</f>
        <v/>
      </c>
      <c r="B4034" s="40" t="n">
        <v>-23.538274</v>
      </c>
      <c r="C4034" s="40" t="n">
        <v>-46.965225</v>
      </c>
      <c r="D4034" s="40" t="n">
        <v>343</v>
      </c>
      <c r="E4034" s="41" t="n">
        <v>38929.977</v>
      </c>
    </row>
    <row r="4035">
      <c r="A4035" s="42">
        <f>_xlfn.XLOOKUP(17848,Trip[shape_id],Trip[shape_id],"Não encontrado")</f>
        <v/>
      </c>
      <c r="B4035" s="43" t="n">
        <v>-23.537282</v>
      </c>
      <c r="C4035" s="43" t="n">
        <v>-46.965177</v>
      </c>
      <c r="D4035" s="43" t="n">
        <v>344</v>
      </c>
      <c r="E4035" s="44" t="n">
        <v>39039.953</v>
      </c>
    </row>
    <row r="4036">
      <c r="A4036" s="39">
        <f>_xlfn.XLOOKUP(17848,Trip[shape_id],Trip[shape_id],"Não encontrado")</f>
        <v/>
      </c>
      <c r="B4036" s="40" t="n">
        <v>-23.536117</v>
      </c>
      <c r="C4036" s="40" t="n">
        <v>-46.964812</v>
      </c>
      <c r="D4036" s="40" t="n">
        <v>345</v>
      </c>
      <c r="E4036" s="41" t="n">
        <v>39174.254</v>
      </c>
    </row>
    <row r="4037">
      <c r="A4037" s="42">
        <f>_xlfn.XLOOKUP(17848,Trip[shape_id],Trip[shape_id],"Não encontrado")</f>
        <v/>
      </c>
      <c r="B4037" s="43" t="n">
        <v>-23.535844</v>
      </c>
      <c r="C4037" s="43" t="n">
        <v>-46.96475</v>
      </c>
      <c r="D4037" s="43" t="n">
        <v>346</v>
      </c>
      <c r="E4037" s="44" t="n">
        <v>39205.145</v>
      </c>
    </row>
    <row r="4038">
      <c r="A4038" s="39">
        <f>_xlfn.XLOOKUP(17848,Trip[shape_id],Trip[shape_id],"Não encontrado")</f>
        <v/>
      </c>
      <c r="B4038" s="40" t="n">
        <v>-23.534922</v>
      </c>
      <c r="C4038" s="40" t="n">
        <v>-46.964505</v>
      </c>
      <c r="D4038" s="40" t="n">
        <v>347</v>
      </c>
      <c r="E4038" s="41" t="n">
        <v>39310.277</v>
      </c>
    </row>
    <row r="4039">
      <c r="A4039" s="42">
        <f>_xlfn.XLOOKUP(17848,Trip[shape_id],Trip[shape_id],"Não encontrado")</f>
        <v/>
      </c>
      <c r="B4039" s="43" t="n">
        <v>-23.533804</v>
      </c>
      <c r="C4039" s="43" t="n">
        <v>-46.964781</v>
      </c>
      <c r="D4039" s="43" t="n">
        <v>348</v>
      </c>
      <c r="E4039" s="44" t="n">
        <v>39437.266</v>
      </c>
    </row>
    <row r="4040">
      <c r="A4040" s="39">
        <f>_xlfn.XLOOKUP(17848,Trip[shape_id],Trip[shape_id],"Não encontrado")</f>
        <v/>
      </c>
      <c r="B4040" s="40" t="n">
        <v>-23.532947</v>
      </c>
      <c r="C4040" s="40" t="n">
        <v>-46.965461</v>
      </c>
      <c r="D4040" s="40" t="n">
        <v>349</v>
      </c>
      <c r="E4040" s="41" t="n">
        <v>39554.867</v>
      </c>
    </row>
    <row r="4041">
      <c r="A4041" s="42">
        <f>_xlfn.XLOOKUP(17848,Trip[shape_id],Trip[shape_id],"Não encontrado")</f>
        <v/>
      </c>
      <c r="B4041" s="43" t="n">
        <v>-23.532492</v>
      </c>
      <c r="C4041" s="43" t="n">
        <v>-46.966189</v>
      </c>
      <c r="D4041" s="43" t="n">
        <v>350</v>
      </c>
      <c r="E4041" s="44" t="n">
        <v>39644.676</v>
      </c>
    </row>
    <row r="4042">
      <c r="A4042" s="39">
        <f>_xlfn.XLOOKUP(17848,Trip[shape_id],Trip[shape_id],"Não encontrado")</f>
        <v/>
      </c>
      <c r="B4042" s="40" t="n">
        <v>-23.532423</v>
      </c>
      <c r="C4042" s="40" t="n">
        <v>-46.966765</v>
      </c>
      <c r="D4042" s="40" t="n">
        <v>351</v>
      </c>
      <c r="E4042" s="41" t="n">
        <v>39703.988</v>
      </c>
    </row>
    <row r="4043">
      <c r="A4043" s="42">
        <f>_xlfn.XLOOKUP(17848,Trip[shape_id],Trip[shape_id],"Não encontrado")</f>
        <v/>
      </c>
      <c r="B4043" s="43" t="n">
        <v>-23.532301</v>
      </c>
      <c r="C4043" s="43" t="n">
        <v>-46.967847</v>
      </c>
      <c r="D4043" s="43" t="n">
        <v>352</v>
      </c>
      <c r="E4043" s="44" t="n">
        <v>39815.301</v>
      </c>
    </row>
    <row r="4044">
      <c r="A4044" s="39">
        <f>_xlfn.XLOOKUP(17848,Trip[shape_id],Trip[shape_id],"Não encontrado")</f>
        <v/>
      </c>
      <c r="B4044" s="40" t="n">
        <v>-23.531934</v>
      </c>
      <c r="C4044" s="40" t="n">
        <v>-46.969287</v>
      </c>
      <c r="D4044" s="40" t="n">
        <v>353</v>
      </c>
      <c r="E4044" s="41" t="n">
        <v>39967.863</v>
      </c>
    </row>
    <row r="4045">
      <c r="A4045" s="42">
        <f>_xlfn.XLOOKUP(17848,Trip[shape_id],Trip[shape_id],"Não encontrado")</f>
        <v/>
      </c>
      <c r="B4045" s="43" t="n">
        <v>-23.531912</v>
      </c>
      <c r="C4045" s="43" t="n">
        <v>-46.969424</v>
      </c>
      <c r="D4045" s="43" t="n">
        <v>354</v>
      </c>
      <c r="E4045" s="44" t="n">
        <v>39982.063</v>
      </c>
    </row>
    <row r="4046">
      <c r="A4046" s="39">
        <f>_xlfn.XLOOKUP(17848,Trip[shape_id],Trip[shape_id],"Não encontrado")</f>
        <v/>
      </c>
      <c r="B4046" s="40" t="n">
        <v>-23.531618</v>
      </c>
      <c r="C4046" s="40" t="n">
        <v>-46.971465</v>
      </c>
      <c r="D4046" s="40" t="n">
        <v>355</v>
      </c>
      <c r="E4046" s="41" t="n">
        <v>40193.012</v>
      </c>
    </row>
    <row r="4047">
      <c r="A4047" s="42">
        <f>_xlfn.XLOOKUP(17848,Trip[shape_id],Trip[shape_id],"Não encontrado")</f>
        <v/>
      </c>
      <c r="B4047" s="43" t="n">
        <v>-23.531094</v>
      </c>
      <c r="C4047" s="43" t="n">
        <v>-46.972244</v>
      </c>
      <c r="D4047" s="43" t="n">
        <v>356</v>
      </c>
      <c r="E4047" s="44" t="n">
        <v>40291.48</v>
      </c>
    </row>
    <row r="4048">
      <c r="A4048" s="39">
        <f>_xlfn.XLOOKUP(17848,Trip[shape_id],Trip[shape_id],"Não encontrado")</f>
        <v/>
      </c>
      <c r="B4048" s="40" t="n">
        <v>-23.530189</v>
      </c>
      <c r="C4048" s="40" t="n">
        <v>-46.972773</v>
      </c>
      <c r="D4048" s="40" t="n">
        <v>357</v>
      </c>
      <c r="E4048" s="41" t="n">
        <v>40405.34</v>
      </c>
    </row>
    <row r="4049">
      <c r="A4049" s="42">
        <f>_xlfn.XLOOKUP(17848,Trip[shape_id],Trip[shape_id],"Não encontrado")</f>
        <v/>
      </c>
      <c r="B4049" s="43" t="n">
        <v>-23.53005</v>
      </c>
      <c r="C4049" s="43" t="n">
        <v>-46.972856</v>
      </c>
      <c r="D4049" s="43" t="n">
        <v>358</v>
      </c>
      <c r="E4049" s="44" t="n">
        <v>40422.914</v>
      </c>
    </row>
    <row r="4050">
      <c r="A4050" s="39">
        <f>_xlfn.XLOOKUP(17848,Trip[shape_id],Trip[shape_id],"Não encontrado")</f>
        <v/>
      </c>
      <c r="B4050" s="40" t="n">
        <v>-23.528894</v>
      </c>
      <c r="C4050" s="40" t="n">
        <v>-46.973767</v>
      </c>
      <c r="D4050" s="40" t="n">
        <v>359</v>
      </c>
      <c r="E4050" s="41" t="n">
        <v>40581.172</v>
      </c>
    </row>
    <row r="4051">
      <c r="A4051" s="42">
        <f>_xlfn.XLOOKUP(17848,Trip[shape_id],Trip[shape_id],"Não encontrado")</f>
        <v/>
      </c>
      <c r="B4051" s="43" t="n">
        <v>-23.528504</v>
      </c>
      <c r="C4051" s="43" t="n">
        <v>-46.974755</v>
      </c>
      <c r="D4051" s="43" t="n">
        <v>360</v>
      </c>
      <c r="E4051" s="44" t="n">
        <v>40690.922</v>
      </c>
    </row>
    <row r="4052">
      <c r="A4052" s="39">
        <f>_xlfn.XLOOKUP(17848,Trip[shape_id],Trip[shape_id],"Não encontrado")</f>
        <v/>
      </c>
      <c r="B4052" s="40" t="n">
        <v>-23.528348</v>
      </c>
      <c r="C4052" s="40" t="n">
        <v>-46.975118</v>
      </c>
      <c r="D4052" s="40" t="n">
        <v>361</v>
      </c>
      <c r="E4052" s="41" t="n">
        <v>40731.82</v>
      </c>
    </row>
    <row r="4053">
      <c r="A4053" s="42">
        <f>_xlfn.XLOOKUP(17848,Trip[shape_id],Trip[shape_id],"Não encontrado")</f>
        <v/>
      </c>
      <c r="B4053" s="43" t="n">
        <v>-23.528028</v>
      </c>
      <c r="C4053" s="43" t="n">
        <v>-46.976077</v>
      </c>
      <c r="D4053" s="43" t="n">
        <v>362</v>
      </c>
      <c r="E4053" s="44" t="n">
        <v>40835.969</v>
      </c>
    </row>
    <row r="4054">
      <c r="A4054" s="39">
        <f>_xlfn.XLOOKUP(17848,Trip[shape_id],Trip[shape_id],"Não encontrado")</f>
        <v/>
      </c>
      <c r="B4054" s="40" t="n">
        <v>-23.527408</v>
      </c>
      <c r="C4054" s="40" t="n">
        <v>-46.977877</v>
      </c>
      <c r="D4054" s="40" t="n">
        <v>363</v>
      </c>
      <c r="E4054" s="41" t="n">
        <v>41032.191</v>
      </c>
    </row>
    <row r="4055">
      <c r="A4055" s="42">
        <f>_xlfn.XLOOKUP(17848,Trip[shape_id],Trip[shape_id],"Não encontrado")</f>
        <v/>
      </c>
      <c r="B4055" s="43" t="n">
        <v>-23.52747</v>
      </c>
      <c r="C4055" s="43" t="n">
        <v>-46.979188</v>
      </c>
      <c r="D4055" s="43" t="n">
        <v>364</v>
      </c>
      <c r="E4055" s="44" t="n">
        <v>41166.246</v>
      </c>
    </row>
    <row r="4056">
      <c r="A4056" s="39">
        <f>_xlfn.XLOOKUP(17848,Trip[shape_id],Trip[shape_id],"Não encontrado")</f>
        <v/>
      </c>
      <c r="B4056" s="40" t="n">
        <v>-23.527864</v>
      </c>
      <c r="C4056" s="40" t="n">
        <v>-46.97999</v>
      </c>
      <c r="D4056" s="40" t="n">
        <v>365</v>
      </c>
      <c r="E4056" s="41" t="n">
        <v>41259.047</v>
      </c>
    </row>
    <row r="4057">
      <c r="A4057" s="42">
        <f>_xlfn.XLOOKUP(17848,Trip[shape_id],Trip[shape_id],"Não encontrado")</f>
        <v/>
      </c>
      <c r="B4057" s="43" t="n">
        <v>-23.528565</v>
      </c>
      <c r="C4057" s="43" t="n">
        <v>-46.980586</v>
      </c>
      <c r="D4057" s="43" t="n">
        <v>366</v>
      </c>
      <c r="E4057" s="44" t="n">
        <v>41357.695</v>
      </c>
    </row>
    <row r="4058">
      <c r="A4058" s="39">
        <f>_xlfn.XLOOKUP(17848,Trip[shape_id],Trip[shape_id],"Não encontrado")</f>
        <v/>
      </c>
      <c r="B4058" s="40" t="n">
        <v>-23.529262</v>
      </c>
      <c r="C4058" s="40" t="n">
        <v>-46.980978</v>
      </c>
      <c r="D4058" s="40" t="n">
        <v>367</v>
      </c>
      <c r="E4058" s="41" t="n">
        <v>41444.652</v>
      </c>
    </row>
    <row r="4059">
      <c r="A4059" s="42">
        <f>_xlfn.XLOOKUP(17848,Trip[shape_id],Trip[shape_id],"Não encontrado")</f>
        <v/>
      </c>
      <c r="B4059" s="43" t="n">
        <v>-23.529912</v>
      </c>
      <c r="C4059" s="43" t="n">
        <v>-46.981681</v>
      </c>
      <c r="D4059" s="43" t="n">
        <v>368</v>
      </c>
      <c r="E4059" s="44" t="n">
        <v>41546.32</v>
      </c>
    </row>
    <row r="4060">
      <c r="A4060" s="39">
        <f>_xlfn.XLOOKUP(17848,Trip[shape_id],Trip[shape_id],"Não encontrado")</f>
        <v/>
      </c>
      <c r="B4060" s="40" t="n">
        <v>-23.53028</v>
      </c>
      <c r="C4060" s="40" t="n">
        <v>-46.983004</v>
      </c>
      <c r="D4060" s="40" t="n">
        <v>369</v>
      </c>
      <c r="E4060" s="41" t="n">
        <v>41687.438</v>
      </c>
    </row>
    <row r="4061">
      <c r="A4061" s="42">
        <f>_xlfn.XLOOKUP(17848,Trip[shape_id],Trip[shape_id],"Não encontrado")</f>
        <v/>
      </c>
      <c r="B4061" s="43" t="n">
        <v>-23.530649</v>
      </c>
      <c r="C4061" s="43" t="n">
        <v>-46.983926</v>
      </c>
      <c r="D4061" s="43" t="n">
        <v>370</v>
      </c>
      <c r="E4061" s="44" t="n">
        <v>41790.078</v>
      </c>
    </row>
    <row r="4062">
      <c r="A4062" s="39">
        <f>_xlfn.XLOOKUP(17848,Trip[shape_id],Trip[shape_id],"Não encontrado")</f>
        <v/>
      </c>
      <c r="B4062" s="40" t="n">
        <v>-23.530688</v>
      </c>
      <c r="C4062" s="40" t="n">
        <v>-46.984037</v>
      </c>
      <c r="D4062" s="40" t="n">
        <v>371</v>
      </c>
      <c r="E4062" s="41" t="n">
        <v>41802.207</v>
      </c>
    </row>
    <row r="4063">
      <c r="A4063" s="42">
        <f>_xlfn.XLOOKUP(17849,Trip[shape_id],Trip[shape_id],"Não encontrado")</f>
        <v/>
      </c>
      <c r="B4063" s="43" t="n">
        <v>-23.530688</v>
      </c>
      <c r="C4063" s="43" t="n">
        <v>-46.984037</v>
      </c>
      <c r="D4063" s="43" t="n">
        <v>1</v>
      </c>
      <c r="E4063" s="44" t="n">
        <v>12.12975</v>
      </c>
    </row>
    <row r="4064">
      <c r="A4064" s="39">
        <f>_xlfn.XLOOKUP(17849,Trip[shape_id],Trip[shape_id],"Não encontrado")</f>
        <v/>
      </c>
      <c r="B4064" s="40" t="n">
        <v>-23.530649</v>
      </c>
      <c r="C4064" s="40" t="n">
        <v>-46.983926</v>
      </c>
      <c r="D4064" s="40" t="n">
        <v>2</v>
      </c>
      <c r="E4064" s="41" t="n">
        <v>114.76894</v>
      </c>
    </row>
    <row r="4065">
      <c r="A4065" s="42">
        <f>_xlfn.XLOOKUP(17849,Trip[shape_id],Trip[shape_id],"Não encontrado")</f>
        <v/>
      </c>
      <c r="B4065" s="43" t="n">
        <v>-23.53028</v>
      </c>
      <c r="C4065" s="43" t="n">
        <v>-46.983004</v>
      </c>
      <c r="D4065" s="43" t="n">
        <v>3</v>
      </c>
      <c r="E4065" s="44" t="n">
        <v>255.88458</v>
      </c>
    </row>
    <row r="4066">
      <c r="A4066" s="39">
        <f>_xlfn.XLOOKUP(17849,Trip[shape_id],Trip[shape_id],"Não encontrado")</f>
        <v/>
      </c>
      <c r="B4066" s="40" t="n">
        <v>-23.529912</v>
      </c>
      <c r="C4066" s="40" t="n">
        <v>-46.981681</v>
      </c>
      <c r="D4066" s="40" t="n">
        <v>4</v>
      </c>
      <c r="E4066" s="41" t="n">
        <v>357.55078</v>
      </c>
    </row>
    <row r="4067">
      <c r="A4067" s="42">
        <f>_xlfn.XLOOKUP(17849,Trip[shape_id],Trip[shape_id],"Não encontrado")</f>
        <v/>
      </c>
      <c r="B4067" s="43" t="n">
        <v>-23.529262</v>
      </c>
      <c r="C4067" s="43" t="n">
        <v>-46.980978</v>
      </c>
      <c r="D4067" s="43" t="n">
        <v>5</v>
      </c>
      <c r="E4067" s="44" t="n">
        <v>444.50671</v>
      </c>
    </row>
    <row r="4068">
      <c r="A4068" s="39">
        <f>_xlfn.XLOOKUP(17849,Trip[shape_id],Trip[shape_id],"Não encontrado")</f>
        <v/>
      </c>
      <c r="B4068" s="40" t="n">
        <v>-23.528565</v>
      </c>
      <c r="C4068" s="40" t="n">
        <v>-46.980586</v>
      </c>
      <c r="D4068" s="40" t="n">
        <v>6</v>
      </c>
      <c r="E4068" s="41" t="n">
        <v>543.15656</v>
      </c>
    </row>
    <row r="4069">
      <c r="A4069" s="42">
        <f>_xlfn.XLOOKUP(17849,Trip[shape_id],Trip[shape_id],"Não encontrado")</f>
        <v/>
      </c>
      <c r="B4069" s="43" t="n">
        <v>-23.527864</v>
      </c>
      <c r="C4069" s="43" t="n">
        <v>-46.97999</v>
      </c>
      <c r="D4069" s="43" t="n">
        <v>7</v>
      </c>
      <c r="E4069" s="44" t="n">
        <v>635.95581</v>
      </c>
    </row>
    <row r="4070">
      <c r="A4070" s="39">
        <f>_xlfn.XLOOKUP(17849,Trip[shape_id],Trip[shape_id],"Não encontrado")</f>
        <v/>
      </c>
      <c r="B4070" s="40" t="n">
        <v>-23.52747</v>
      </c>
      <c r="C4070" s="40" t="n">
        <v>-46.979188</v>
      </c>
      <c r="D4070" s="40" t="n">
        <v>8</v>
      </c>
      <c r="E4070" s="41" t="n">
        <v>770.01093</v>
      </c>
    </row>
    <row r="4071">
      <c r="A4071" s="42">
        <f>_xlfn.XLOOKUP(17849,Trip[shape_id],Trip[shape_id],"Não encontrado")</f>
        <v/>
      </c>
      <c r="B4071" s="43" t="n">
        <v>-23.527408</v>
      </c>
      <c r="C4071" s="43" t="n">
        <v>-46.977877</v>
      </c>
      <c r="D4071" s="43" t="n">
        <v>9</v>
      </c>
      <c r="E4071" s="44" t="n">
        <v>966.23297</v>
      </c>
    </row>
    <row r="4072">
      <c r="A4072" s="39">
        <f>_xlfn.XLOOKUP(17849,Trip[shape_id],Trip[shape_id],"Não encontrado")</f>
        <v/>
      </c>
      <c r="B4072" s="40" t="n">
        <v>-23.528028</v>
      </c>
      <c r="C4072" s="40" t="n">
        <v>-46.976077</v>
      </c>
      <c r="D4072" s="40" t="n">
        <v>10</v>
      </c>
      <c r="E4072" s="41" t="n">
        <v>1070.3809</v>
      </c>
    </row>
    <row r="4073">
      <c r="A4073" s="42">
        <f>_xlfn.XLOOKUP(17849,Trip[shape_id],Trip[shape_id],"Não encontrado")</f>
        <v/>
      </c>
      <c r="B4073" s="43" t="n">
        <v>-23.528348</v>
      </c>
      <c r="C4073" s="43" t="n">
        <v>-46.975118</v>
      </c>
      <c r="D4073" s="43" t="n">
        <v>11</v>
      </c>
      <c r="E4073" s="44" t="n">
        <v>1111.2787</v>
      </c>
    </row>
    <row r="4074">
      <c r="A4074" s="39">
        <f>_xlfn.XLOOKUP(17849,Trip[shape_id],Trip[shape_id],"Não encontrado")</f>
        <v/>
      </c>
      <c r="B4074" s="40" t="n">
        <v>-23.528504</v>
      </c>
      <c r="C4074" s="40" t="n">
        <v>-46.974755</v>
      </c>
      <c r="D4074" s="40" t="n">
        <v>12</v>
      </c>
      <c r="E4074" s="41" t="n">
        <v>1221.0291</v>
      </c>
    </row>
    <row r="4075">
      <c r="A4075" s="42">
        <f>_xlfn.XLOOKUP(17849,Trip[shape_id],Trip[shape_id],"Não encontrado")</f>
        <v/>
      </c>
      <c r="B4075" s="43" t="n">
        <v>-23.528894</v>
      </c>
      <c r="C4075" s="43" t="n">
        <v>-46.973767</v>
      </c>
      <c r="D4075" s="43" t="n">
        <v>13</v>
      </c>
      <c r="E4075" s="44" t="n">
        <v>1379.288</v>
      </c>
    </row>
    <row r="4076">
      <c r="A4076" s="39">
        <f>_xlfn.XLOOKUP(17849,Trip[shape_id],Trip[shape_id],"Não encontrado")</f>
        <v/>
      </c>
      <c r="B4076" s="40" t="n">
        <v>-23.53005</v>
      </c>
      <c r="C4076" s="40" t="n">
        <v>-46.972856</v>
      </c>
      <c r="D4076" s="40" t="n">
        <v>14</v>
      </c>
      <c r="E4076" s="41" t="n">
        <v>1396.8616</v>
      </c>
    </row>
    <row r="4077">
      <c r="A4077" s="42">
        <f>_xlfn.XLOOKUP(17849,Trip[shape_id],Trip[shape_id],"Não encontrado")</f>
        <v/>
      </c>
      <c r="B4077" s="43" t="n">
        <v>-23.530189</v>
      </c>
      <c r="C4077" s="43" t="n">
        <v>-46.972773</v>
      </c>
      <c r="D4077" s="43" t="n">
        <v>15</v>
      </c>
      <c r="E4077" s="44" t="n">
        <v>1510.7222</v>
      </c>
    </row>
    <row r="4078">
      <c r="A4078" s="39">
        <f>_xlfn.XLOOKUP(17849,Trip[shape_id],Trip[shape_id],"Não encontrado")</f>
        <v/>
      </c>
      <c r="B4078" s="40" t="n">
        <v>-23.531094</v>
      </c>
      <c r="C4078" s="40" t="n">
        <v>-46.972244</v>
      </c>
      <c r="D4078" s="40" t="n">
        <v>16</v>
      </c>
      <c r="E4078" s="41" t="n">
        <v>1609.1903</v>
      </c>
    </row>
    <row r="4079">
      <c r="A4079" s="42">
        <f>_xlfn.XLOOKUP(17849,Trip[shape_id],Trip[shape_id],"Não encontrado")</f>
        <v/>
      </c>
      <c r="B4079" s="43" t="n">
        <v>-23.531618</v>
      </c>
      <c r="C4079" s="43" t="n">
        <v>-46.971465</v>
      </c>
      <c r="D4079" s="43" t="n">
        <v>17</v>
      </c>
      <c r="E4079" s="44" t="n">
        <v>1820.1383</v>
      </c>
    </row>
    <row r="4080">
      <c r="A4080" s="39">
        <f>_xlfn.XLOOKUP(17849,Trip[shape_id],Trip[shape_id],"Não encontrado")</f>
        <v/>
      </c>
      <c r="B4080" s="40" t="n">
        <v>-23.531912</v>
      </c>
      <c r="C4080" s="40" t="n">
        <v>-46.969424</v>
      </c>
      <c r="D4080" s="40" t="n">
        <v>18</v>
      </c>
      <c r="E4080" s="41" t="n">
        <v>1820.1383</v>
      </c>
    </row>
    <row r="4081">
      <c r="A4081" s="42">
        <f>_xlfn.XLOOKUP(17849,Trip[shape_id],Trip[shape_id],"Não encontrado")</f>
        <v/>
      </c>
      <c r="B4081" s="43" t="n">
        <v>-23.531934</v>
      </c>
      <c r="C4081" s="43" t="n">
        <v>-46.969287</v>
      </c>
      <c r="D4081" s="43" t="n">
        <v>19</v>
      </c>
      <c r="E4081" s="44" t="n">
        <v>1986.9003</v>
      </c>
    </row>
    <row r="4082">
      <c r="A4082" s="39">
        <f>_xlfn.XLOOKUP(17849,Trip[shape_id],Trip[shape_id],"Não encontrado")</f>
        <v/>
      </c>
      <c r="B4082" s="40" t="n">
        <v>-23.532301</v>
      </c>
      <c r="C4082" s="40" t="n">
        <v>-46.967847</v>
      </c>
      <c r="D4082" s="40" t="n">
        <v>20</v>
      </c>
      <c r="E4082" s="41" t="n">
        <v>2098.2129</v>
      </c>
    </row>
    <row r="4083">
      <c r="A4083" s="42">
        <f>_xlfn.XLOOKUP(17849,Trip[shape_id],Trip[shape_id],"Não encontrado")</f>
        <v/>
      </c>
      <c r="B4083" s="43" t="n">
        <v>-23.532423</v>
      </c>
      <c r="C4083" s="43" t="n">
        <v>-46.966765</v>
      </c>
      <c r="D4083" s="43" t="n">
        <v>21</v>
      </c>
      <c r="E4083" s="44" t="n">
        <v>2157.5259</v>
      </c>
    </row>
    <row r="4084">
      <c r="A4084" s="39">
        <f>_xlfn.XLOOKUP(17849,Trip[shape_id],Trip[shape_id],"Não encontrado")</f>
        <v/>
      </c>
      <c r="B4084" s="40" t="n">
        <v>-23.532492</v>
      </c>
      <c r="C4084" s="40" t="n">
        <v>-46.966189</v>
      </c>
      <c r="D4084" s="40" t="n">
        <v>22</v>
      </c>
      <c r="E4084" s="41" t="n">
        <v>2247.3359</v>
      </c>
    </row>
    <row r="4085">
      <c r="A4085" s="42">
        <f>_xlfn.XLOOKUP(17849,Trip[shape_id],Trip[shape_id],"Não encontrado")</f>
        <v/>
      </c>
      <c r="B4085" s="43" t="n">
        <v>-23.532947</v>
      </c>
      <c r="C4085" s="43" t="n">
        <v>-46.965461</v>
      </c>
      <c r="D4085" s="43" t="n">
        <v>23</v>
      </c>
      <c r="E4085" s="44" t="n">
        <v>2364.9385</v>
      </c>
    </row>
    <row r="4086">
      <c r="A4086" s="39">
        <f>_xlfn.XLOOKUP(17849,Trip[shape_id],Trip[shape_id],"Não encontrado")</f>
        <v/>
      </c>
      <c r="B4086" s="40" t="n">
        <v>-23.533804</v>
      </c>
      <c r="C4086" s="40" t="n">
        <v>-46.964781</v>
      </c>
      <c r="D4086" s="40" t="n">
        <v>24</v>
      </c>
      <c r="E4086" s="41" t="n">
        <v>2491.9258</v>
      </c>
    </row>
    <row r="4087">
      <c r="A4087" s="42">
        <f>_xlfn.XLOOKUP(17849,Trip[shape_id],Trip[shape_id],"Não encontrado")</f>
        <v/>
      </c>
      <c r="B4087" s="43" t="n">
        <v>-23.534922</v>
      </c>
      <c r="C4087" s="43" t="n">
        <v>-46.964505</v>
      </c>
      <c r="D4087" s="43" t="n">
        <v>25</v>
      </c>
      <c r="E4087" s="44" t="n">
        <v>2597.0588</v>
      </c>
    </row>
    <row r="4088">
      <c r="A4088" s="39">
        <f>_xlfn.XLOOKUP(17849,Trip[shape_id],Trip[shape_id],"Não encontrado")</f>
        <v/>
      </c>
      <c r="B4088" s="40" t="n">
        <v>-23.535844</v>
      </c>
      <c r="C4088" s="40" t="n">
        <v>-46.96475</v>
      </c>
      <c r="D4088" s="40" t="n">
        <v>26</v>
      </c>
      <c r="E4088" s="41" t="n">
        <v>2627.9497</v>
      </c>
    </row>
    <row r="4089">
      <c r="A4089" s="42">
        <f>_xlfn.XLOOKUP(17849,Trip[shape_id],Trip[shape_id],"Não encontrado")</f>
        <v/>
      </c>
      <c r="B4089" s="43" t="n">
        <v>-23.536117</v>
      </c>
      <c r="C4089" s="43" t="n">
        <v>-46.964812</v>
      </c>
      <c r="D4089" s="43" t="n">
        <v>27</v>
      </c>
      <c r="E4089" s="44" t="n">
        <v>2762.2507</v>
      </c>
    </row>
    <row r="4090">
      <c r="A4090" s="39">
        <f>_xlfn.XLOOKUP(17849,Trip[shape_id],Trip[shape_id],"Não encontrado")</f>
        <v/>
      </c>
      <c r="B4090" s="40" t="n">
        <v>-23.537282</v>
      </c>
      <c r="C4090" s="40" t="n">
        <v>-46.965177</v>
      </c>
      <c r="D4090" s="40" t="n">
        <v>28</v>
      </c>
      <c r="E4090" s="41" t="n">
        <v>2872.2256</v>
      </c>
    </row>
    <row r="4091">
      <c r="A4091" s="42">
        <f>_xlfn.XLOOKUP(17849,Trip[shape_id],Trip[shape_id],"Não encontrado")</f>
        <v/>
      </c>
      <c r="B4091" s="43" t="n">
        <v>-23.538274</v>
      </c>
      <c r="C4091" s="43" t="n">
        <v>-46.965225</v>
      </c>
      <c r="D4091" s="43" t="n">
        <v>29</v>
      </c>
      <c r="E4091" s="44" t="n">
        <v>2924.2546</v>
      </c>
    </row>
    <row r="4092">
      <c r="A4092" s="39">
        <f>_xlfn.XLOOKUP(17849,Trip[shape_id],Trip[shape_id],"Não encontrado")</f>
        <v/>
      </c>
      <c r="B4092" s="40" t="n">
        <v>-23.538711</v>
      </c>
      <c r="C4092" s="40" t="n">
        <v>-46.965038</v>
      </c>
      <c r="D4092" s="40" t="n">
        <v>30</v>
      </c>
      <c r="E4092" s="41" t="n">
        <v>3053.6658</v>
      </c>
    </row>
    <row r="4093">
      <c r="A4093" s="42">
        <f>_xlfn.XLOOKUP(17849,Trip[shape_id],Trip[shape_id],"Não encontrado")</f>
        <v/>
      </c>
      <c r="B4093" s="43" t="n">
        <v>-23.539789</v>
      </c>
      <c r="C4093" s="43" t="n">
        <v>-46.964549</v>
      </c>
      <c r="D4093" s="43" t="n">
        <v>31</v>
      </c>
      <c r="E4093" s="44" t="n">
        <v>3276.1667</v>
      </c>
    </row>
    <row r="4094">
      <c r="A4094" s="39">
        <f>_xlfn.XLOOKUP(17849,Trip[shape_id],Trip[shape_id],"Não encontrado")</f>
        <v/>
      </c>
      <c r="B4094" s="40" t="n">
        <v>-23.540909</v>
      </c>
      <c r="C4094" s="40" t="n">
        <v>-46.96274</v>
      </c>
      <c r="D4094" s="40" t="n">
        <v>32</v>
      </c>
      <c r="E4094" s="41" t="n">
        <v>3391.343</v>
      </c>
    </row>
    <row r="4095">
      <c r="A4095" s="42">
        <f>_xlfn.XLOOKUP(17849,Trip[shape_id],Trip[shape_id],"Não encontrado")</f>
        <v/>
      </c>
      <c r="B4095" s="43" t="n">
        <v>-23.541262</v>
      </c>
      <c r="C4095" s="43" t="n">
        <v>-46.961679</v>
      </c>
      <c r="D4095" s="43" t="n">
        <v>33</v>
      </c>
      <c r="E4095" s="44" t="n">
        <v>3391.343</v>
      </c>
    </row>
    <row r="4096">
      <c r="A4096" s="39">
        <f>_xlfn.XLOOKUP(17849,Trip[shape_id],Trip[shape_id],"Não encontrado")</f>
        <v/>
      </c>
      <c r="B4096" s="40" t="n">
        <v>-23.541483</v>
      </c>
      <c r="C4096" s="40" t="n">
        <v>-46.95963</v>
      </c>
      <c r="D4096" s="40" t="n">
        <v>34</v>
      </c>
      <c r="E4096" s="41" t="n">
        <v>3757.281</v>
      </c>
    </row>
    <row r="4097">
      <c r="A4097" s="42">
        <f>_xlfn.XLOOKUP(17849,Trip[shape_id],Trip[shape_id],"Não encontrado")</f>
        <v/>
      </c>
      <c r="B4097" s="43" t="n">
        <v>-23.541725</v>
      </c>
      <c r="C4097" s="43" t="n">
        <v>-46.958132</v>
      </c>
      <c r="D4097" s="43" t="n">
        <v>35</v>
      </c>
      <c r="E4097" s="44" t="n">
        <v>3924.6096</v>
      </c>
    </row>
    <row r="4098">
      <c r="A4098" s="39">
        <f>_xlfn.XLOOKUP(17849,Trip[shape_id],Trip[shape_id],"Não encontrado")</f>
        <v/>
      </c>
      <c r="B4098" s="40" t="n">
        <v>-23.542561</v>
      </c>
      <c r="C4098" s="40" t="n">
        <v>-46.956767</v>
      </c>
      <c r="D4098" s="40" t="n">
        <v>36</v>
      </c>
      <c r="E4098" s="41" t="n">
        <v>4070.4346</v>
      </c>
    </row>
    <row r="4099">
      <c r="A4099" s="42">
        <f>_xlfn.XLOOKUP(17849,Trip[shape_id],Trip[shape_id],"Não encontrado")</f>
        <v/>
      </c>
      <c r="B4099" s="43" t="n">
        <v>-23.543475</v>
      </c>
      <c r="C4099" s="43" t="n">
        <v>-46.955739</v>
      </c>
      <c r="D4099" s="43" t="n">
        <v>37</v>
      </c>
      <c r="E4099" s="44" t="n">
        <v>4130.0024</v>
      </c>
    </row>
    <row r="4100">
      <c r="A4100" s="39">
        <f>_xlfn.XLOOKUP(17849,Trip[shape_id],Trip[shape_id],"Não encontrado")</f>
        <v/>
      </c>
      <c r="B4100" s="40" t="n">
        <v>-23.543778</v>
      </c>
      <c r="C4100" s="40" t="n">
        <v>-46.955257</v>
      </c>
      <c r="D4100" s="40" t="n">
        <v>38</v>
      </c>
      <c r="E4100" s="41" t="n">
        <v>4164.6738</v>
      </c>
    </row>
    <row r="4101">
      <c r="A4101" s="42">
        <f>_xlfn.XLOOKUP(17849,Trip[shape_id],Trip[shape_id],"Não encontrado")</f>
        <v/>
      </c>
      <c r="B4101" s="43" t="n">
        <v>-23.543951</v>
      </c>
      <c r="C4101" s="43" t="n">
        <v>-46.954974</v>
      </c>
      <c r="D4101" s="43" t="n">
        <v>39</v>
      </c>
      <c r="E4101" s="44" t="n">
        <v>4255.3564</v>
      </c>
    </row>
    <row r="4102">
      <c r="A4102" s="39">
        <f>_xlfn.XLOOKUP(17849,Trip[shape_id],Trip[shape_id],"Não encontrado")</f>
        <v/>
      </c>
      <c r="B4102" s="40" t="n">
        <v>-23.544068</v>
      </c>
      <c r="C4102" s="40" t="n">
        <v>-46.954095</v>
      </c>
      <c r="D4102" s="40" t="n">
        <v>40</v>
      </c>
      <c r="E4102" s="41" t="n">
        <v>4342.9526</v>
      </c>
    </row>
    <row r="4103">
      <c r="A4103" s="42">
        <f>_xlfn.XLOOKUP(17849,Trip[shape_id],Trip[shape_id],"Não encontrado")</f>
        <v/>
      </c>
      <c r="B4103" s="43" t="n">
        <v>-23.544175</v>
      </c>
      <c r="C4103" s="43" t="n">
        <v>-46.953245</v>
      </c>
      <c r="D4103" s="43" t="n">
        <v>41</v>
      </c>
      <c r="E4103" s="44" t="n">
        <v>4491.0239</v>
      </c>
    </row>
    <row r="4104">
      <c r="A4104" s="39">
        <f>_xlfn.XLOOKUP(17849,Trip[shape_id],Trip[shape_id],"Não encontrado")</f>
        <v/>
      </c>
      <c r="B4104" s="40" t="n">
        <v>-23.544025</v>
      </c>
      <c r="C4104" s="40" t="n">
        <v>-46.951804</v>
      </c>
      <c r="D4104" s="40" t="n">
        <v>42</v>
      </c>
      <c r="E4104" s="41" t="n">
        <v>4624.6489</v>
      </c>
    </row>
    <row r="4105">
      <c r="A4105" s="42">
        <f>_xlfn.XLOOKUP(17849,Trip[shape_id],Trip[shape_id],"Não encontrado")</f>
        <v/>
      </c>
      <c r="B4105" s="43" t="n">
        <v>-23.544086</v>
      </c>
      <c r="C4105" s="43" t="n">
        <v>-46.950497</v>
      </c>
      <c r="D4105" s="43" t="n">
        <v>43</v>
      </c>
      <c r="E4105" s="44" t="n">
        <v>4822.4092</v>
      </c>
    </row>
    <row r="4106">
      <c r="A4106" s="39">
        <f>_xlfn.XLOOKUP(17849,Trip[shape_id],Trip[shape_id],"Não encontrado")</f>
        <v/>
      </c>
      <c r="B4106" s="40" t="n">
        <v>-23.544587</v>
      </c>
      <c r="C4106" s="40" t="n">
        <v>-46.948638</v>
      </c>
      <c r="D4106" s="40" t="n">
        <v>44</v>
      </c>
      <c r="E4106" s="41" t="n">
        <v>4932.2378</v>
      </c>
    </row>
    <row r="4107">
      <c r="A4107" s="42">
        <f>_xlfn.XLOOKUP(17849,Trip[shape_id],Trip[shape_id],"Não encontrado")</f>
        <v/>
      </c>
      <c r="B4107" s="43" t="n">
        <v>-23.544847</v>
      </c>
      <c r="C4107" s="43" t="n">
        <v>-46.9476</v>
      </c>
      <c r="D4107" s="43" t="n">
        <v>45</v>
      </c>
      <c r="E4107" s="44" t="n">
        <v>4932.2378</v>
      </c>
    </row>
    <row r="4108">
      <c r="A4108" s="39">
        <f>_xlfn.XLOOKUP(17849,Trip[shape_id],Trip[shape_id],"Não encontrado")</f>
        <v/>
      </c>
      <c r="B4108" s="40" t="n">
        <v>-23.545072</v>
      </c>
      <c r="C4108" s="40" t="n">
        <v>-46.946764</v>
      </c>
      <c r="D4108" s="40" t="n">
        <v>46</v>
      </c>
      <c r="E4108" s="41" t="n">
        <v>5255.7803</v>
      </c>
    </row>
    <row r="4109">
      <c r="A4109" s="42">
        <f>_xlfn.XLOOKUP(17849,Trip[shape_id],Trip[shape_id],"Não encontrado")</f>
        <v/>
      </c>
      <c r="B4109" s="43" t="n">
        <v>-23.545601</v>
      </c>
      <c r="C4109" s="43" t="n">
        <v>-46.944539</v>
      </c>
      <c r="D4109" s="43" t="n">
        <v>47</v>
      </c>
      <c r="E4109" s="44" t="n">
        <v>5398.5029</v>
      </c>
    </row>
    <row r="4110">
      <c r="A4110" s="39">
        <f>_xlfn.XLOOKUP(17849,Trip[shape_id],Trip[shape_id],"Não encontrado")</f>
        <v/>
      </c>
      <c r="B4110" s="40" t="n">
        <v>-23.546043</v>
      </c>
      <c r="C4110" s="40" t="n">
        <v>-46.943226</v>
      </c>
      <c r="D4110" s="40" t="n">
        <v>48</v>
      </c>
      <c r="E4110" s="41" t="n">
        <v>5669.1987</v>
      </c>
    </row>
    <row r="4111">
      <c r="A4111" s="42">
        <f>_xlfn.XLOOKUP(17849,Trip[shape_id],Trip[shape_id],"Não encontrado")</f>
        <v/>
      </c>
      <c r="B4111" s="43" t="n">
        <v>-23.547502</v>
      </c>
      <c r="C4111" s="43" t="n">
        <v>-46.941099</v>
      </c>
      <c r="D4111" s="43" t="n">
        <v>49</v>
      </c>
      <c r="E4111" s="44" t="n">
        <v>5838.229</v>
      </c>
    </row>
    <row r="4112">
      <c r="A4112" s="39">
        <f>_xlfn.XLOOKUP(17849,Trip[shape_id],Trip[shape_id],"Não encontrado")</f>
        <v/>
      </c>
      <c r="B4112" s="40" t="n">
        <v>-23.548285</v>
      </c>
      <c r="C4112" s="40" t="n">
        <v>-46.939678</v>
      </c>
      <c r="D4112" s="40" t="n">
        <v>50</v>
      </c>
      <c r="E4112" s="41" t="n">
        <v>5956.3936</v>
      </c>
    </row>
    <row r="4113">
      <c r="A4113" s="42">
        <f>_xlfn.XLOOKUP(17849,Trip[shape_id],Trip[shape_id],"Não encontrado")</f>
        <v/>
      </c>
      <c r="B4113" s="43" t="n">
        <v>-23.54842</v>
      </c>
      <c r="C4113" s="43" t="n">
        <v>-46.93853</v>
      </c>
      <c r="D4113" s="43" t="n">
        <v>51</v>
      </c>
      <c r="E4113" s="44" t="n">
        <v>6058.4019</v>
      </c>
    </row>
    <row r="4114">
      <c r="A4114" s="39">
        <f>_xlfn.XLOOKUP(17849,Trip[shape_id],Trip[shape_id],"Não encontrado")</f>
        <v/>
      </c>
      <c r="B4114" s="40" t="n">
        <v>-23.548108</v>
      </c>
      <c r="C4114" s="40" t="n">
        <v>-46.93759</v>
      </c>
      <c r="D4114" s="40" t="n">
        <v>52</v>
      </c>
      <c r="E4114" s="41" t="n">
        <v>6127.6592</v>
      </c>
    </row>
    <row r="4115">
      <c r="A4115" s="42">
        <f>_xlfn.XLOOKUP(17849,Trip[shape_id],Trip[shape_id],"Não encontrado")</f>
        <v/>
      </c>
      <c r="B4115" s="43" t="n">
        <v>-23.547658</v>
      </c>
      <c r="C4115" s="43" t="n">
        <v>-46.937119</v>
      </c>
      <c r="D4115" s="43" t="n">
        <v>53</v>
      </c>
      <c r="E4115" s="44" t="n">
        <v>6162.4277</v>
      </c>
    </row>
    <row r="4116">
      <c r="A4116" s="39">
        <f>_xlfn.XLOOKUP(17849,Trip[shape_id],Trip[shape_id],"Não encontrado")</f>
        <v/>
      </c>
      <c r="B4116" s="40" t="n">
        <v>-23.547424</v>
      </c>
      <c r="C4116" s="40" t="n">
        <v>-46.936892</v>
      </c>
      <c r="D4116" s="40" t="n">
        <v>54</v>
      </c>
      <c r="E4116" s="41" t="n">
        <v>6320.2773</v>
      </c>
    </row>
    <row r="4117">
      <c r="A4117" s="42">
        <f>_xlfn.XLOOKUP(17849,Trip[shape_id],Trip[shape_id],"Não encontrado")</f>
        <v/>
      </c>
      <c r="B4117" s="43" t="n">
        <v>-23.546341</v>
      </c>
      <c r="C4117" s="43" t="n">
        <v>-46.935887</v>
      </c>
      <c r="D4117" s="43" t="n">
        <v>55</v>
      </c>
      <c r="E4117" s="44" t="n">
        <v>6403.1768</v>
      </c>
    </row>
    <row r="4118">
      <c r="A4118" s="39">
        <f>_xlfn.XLOOKUP(17849,Trip[shape_id],Trip[shape_id],"Não encontrado")</f>
        <v/>
      </c>
      <c r="B4118" s="40" t="n">
        <v>-23.54573</v>
      </c>
      <c r="C4118" s="40" t="n">
        <v>-46.935418</v>
      </c>
      <c r="D4118" s="40" t="n">
        <v>56</v>
      </c>
      <c r="E4118" s="41" t="n">
        <v>6403.1768</v>
      </c>
    </row>
    <row r="4119">
      <c r="A4119" s="42">
        <f>_xlfn.XLOOKUP(17849,Trip[shape_id],Trip[shape_id],"Não encontrado")</f>
        <v/>
      </c>
      <c r="B4119" s="43" t="n">
        <v>-23.545306</v>
      </c>
      <c r="C4119" s="43" t="n">
        <v>-46.935105</v>
      </c>
      <c r="D4119" s="43" t="n">
        <v>57</v>
      </c>
      <c r="E4119" s="44" t="n">
        <v>6718.9111</v>
      </c>
    </row>
    <row r="4120">
      <c r="A4120" s="39">
        <f>_xlfn.XLOOKUP(17849,Trip[shape_id],Trip[shape_id],"Não encontrado")</f>
        <v/>
      </c>
      <c r="B4120" s="40" t="n">
        <v>-23.54347</v>
      </c>
      <c r="C4120" s="40" t="n">
        <v>-46.933535</v>
      </c>
      <c r="D4120" s="40" t="n">
        <v>58</v>
      </c>
      <c r="E4120" s="41" t="n">
        <v>6875.147</v>
      </c>
    </row>
    <row r="4121">
      <c r="A4121" s="42">
        <f>_xlfn.XLOOKUP(17849,Trip[shape_id],Trip[shape_id],"Não encontrado")</f>
        <v/>
      </c>
      <c r="B4121" s="43" t="n">
        <v>-23.542088</v>
      </c>
      <c r="C4121" s="43" t="n">
        <v>-46.933228</v>
      </c>
      <c r="D4121" s="43" t="n">
        <v>59</v>
      </c>
      <c r="E4121" s="44" t="n">
        <v>6936.5801</v>
      </c>
    </row>
    <row r="4122">
      <c r="A4122" s="39">
        <f>_xlfn.XLOOKUP(17849,Trip[shape_id],Trip[shape_id],"Não encontrado")</f>
        <v/>
      </c>
      <c r="B4122" s="40" t="n">
        <v>-23.541534</v>
      </c>
      <c r="C4122" s="40" t="n">
        <v>-46.933258</v>
      </c>
      <c r="D4122" s="40" t="n">
        <v>60</v>
      </c>
      <c r="E4122" s="41" t="n">
        <v>7014.29</v>
      </c>
    </row>
    <row r="4123">
      <c r="A4123" s="42">
        <f>_xlfn.XLOOKUP(17849,Trip[shape_id],Trip[shape_id],"Não encontrado")</f>
        <v/>
      </c>
      <c r="B4123" s="43" t="n">
        <v>-23.540833</v>
      </c>
      <c r="C4123" s="43" t="n">
        <v>-46.933291</v>
      </c>
      <c r="D4123" s="43" t="n">
        <v>61</v>
      </c>
      <c r="E4123" s="44" t="n">
        <v>7251.251</v>
      </c>
    </row>
    <row r="4124">
      <c r="A4124" s="39">
        <f>_xlfn.XLOOKUP(17849,Trip[shape_id],Trip[shape_id],"Não encontrado")</f>
        <v/>
      </c>
      <c r="B4124" s="40" t="n">
        <v>-23.538697</v>
      </c>
      <c r="C4124" s="40" t="n">
        <v>-46.933425</v>
      </c>
      <c r="D4124" s="40" t="n">
        <v>62</v>
      </c>
      <c r="E4124" s="41" t="n">
        <v>7401.4941</v>
      </c>
    </row>
    <row r="4125">
      <c r="A4125" s="42">
        <f>_xlfn.XLOOKUP(17849,Trip[shape_id],Trip[shape_id],"Não encontrado")</f>
        <v/>
      </c>
      <c r="B4125" s="43" t="n">
        <v>-23.537342</v>
      </c>
      <c r="C4125" s="43" t="n">
        <v>-46.933496</v>
      </c>
      <c r="D4125" s="43" t="n">
        <v>63</v>
      </c>
      <c r="E4125" s="44" t="n">
        <v>7401.4941</v>
      </c>
    </row>
    <row r="4126">
      <c r="A4126" s="39">
        <f>_xlfn.XLOOKUP(17849,Trip[shape_id],Trip[shape_id],"Não encontrado")</f>
        <v/>
      </c>
      <c r="B4126" s="40" t="n">
        <v>-23.536211</v>
      </c>
      <c r="C4126" s="40" t="n">
        <v>-46.933456</v>
      </c>
      <c r="D4126" s="40" t="n">
        <v>64</v>
      </c>
      <c r="E4126" s="41" t="n">
        <v>7629.0352</v>
      </c>
    </row>
    <row r="4127">
      <c r="A4127" s="42">
        <f>_xlfn.XLOOKUP(17849,Trip[shape_id],Trip[shape_id],"Não encontrado")</f>
        <v/>
      </c>
      <c r="B4127" s="43" t="n">
        <v>-23.535388</v>
      </c>
      <c r="C4127" s="43" t="n">
        <v>-46.933003</v>
      </c>
      <c r="D4127" s="43" t="n">
        <v>65</v>
      </c>
      <c r="E4127" s="44" t="n">
        <v>7735.3823</v>
      </c>
    </row>
    <row r="4128">
      <c r="A4128" s="39">
        <f>_xlfn.XLOOKUP(17849,Trip[shape_id],Trip[shape_id],"Não encontrado")</f>
        <v/>
      </c>
      <c r="B4128" s="40" t="n">
        <v>-23.534873</v>
      </c>
      <c r="C4128" s="40" t="n">
        <v>-46.932124</v>
      </c>
      <c r="D4128" s="40" t="n">
        <v>66</v>
      </c>
      <c r="E4128" s="41" t="n">
        <v>7874.9136</v>
      </c>
    </row>
    <row r="4129">
      <c r="A4129" s="42">
        <f>_xlfn.XLOOKUP(17849,Trip[shape_id],Trip[shape_id],"Não encontrado")</f>
        <v/>
      </c>
      <c r="B4129" s="43" t="n">
        <v>-23.534656</v>
      </c>
      <c r="C4129" s="43" t="n">
        <v>-46.930778</v>
      </c>
      <c r="D4129" s="43" t="n">
        <v>67</v>
      </c>
      <c r="E4129" s="44" t="n">
        <v>7972.1338</v>
      </c>
    </row>
    <row r="4130">
      <c r="A4130" s="39">
        <f>_xlfn.XLOOKUP(17849,Trip[shape_id],Trip[shape_id],"Não encontrado")</f>
        <v/>
      </c>
      <c r="B4130" s="40" t="n">
        <v>-23.534908</v>
      </c>
      <c r="C4130" s="40" t="n">
        <v>-46.929866</v>
      </c>
      <c r="D4130" s="40" t="n">
        <v>68</v>
      </c>
      <c r="E4130" s="41" t="n">
        <v>8087.502</v>
      </c>
    </row>
    <row r="4131">
      <c r="A4131" s="42">
        <f>_xlfn.XLOOKUP(17849,Trip[shape_id],Trip[shape_id],"Não encontrado")</f>
        <v/>
      </c>
      <c r="B4131" s="43" t="n">
        <v>-23.535192</v>
      </c>
      <c r="C4131" s="43" t="n">
        <v>-46.928779</v>
      </c>
      <c r="D4131" s="43" t="n">
        <v>69</v>
      </c>
      <c r="E4131" s="44" t="n">
        <v>8087.502</v>
      </c>
    </row>
    <row r="4132">
      <c r="A4132" s="39">
        <f>_xlfn.XLOOKUP(17849,Trip[shape_id],Trip[shape_id],"Não encontrado")</f>
        <v/>
      </c>
      <c r="B4132" s="40" t="n">
        <v>-23.535219</v>
      </c>
      <c r="C4132" s="40" t="n">
        <v>-46.928679</v>
      </c>
      <c r="D4132" s="40" t="n">
        <v>70</v>
      </c>
      <c r="E4132" s="41" t="n">
        <v>8122.2866</v>
      </c>
    </row>
    <row r="4133">
      <c r="A4133" s="42">
        <f>_xlfn.XLOOKUP(17849,Trip[shape_id],Trip[shape_id],"Não encontrado")</f>
        <v/>
      </c>
      <c r="B4133" s="43" t="n">
        <v>-23.53528</v>
      </c>
      <c r="C4133" s="43" t="n">
        <v>-46.928452</v>
      </c>
      <c r="D4133" s="43" t="n">
        <v>71</v>
      </c>
      <c r="E4133" s="44" t="n">
        <v>8323.959000000001</v>
      </c>
    </row>
    <row r="4134">
      <c r="A4134" s="39">
        <f>_xlfn.XLOOKUP(17849,Trip[shape_id],Trip[shape_id],"Não encontrado")</f>
        <v/>
      </c>
      <c r="B4134" s="40" t="n">
        <v>-23.53564</v>
      </c>
      <c r="C4134" s="40" t="n">
        <v>-46.926516</v>
      </c>
      <c r="D4134" s="40" t="n">
        <v>72</v>
      </c>
      <c r="E4134" s="41" t="n">
        <v>8432.415999999999</v>
      </c>
    </row>
    <row r="4135">
      <c r="A4135" s="42">
        <f>_xlfn.XLOOKUP(17849,Trip[shape_id],Trip[shape_id],"Não encontrado")</f>
        <v/>
      </c>
      <c r="B4135" s="43" t="n">
        <v>-23.535535</v>
      </c>
      <c r="C4135" s="43" t="n">
        <v>-46.92546</v>
      </c>
      <c r="D4135" s="43" t="n">
        <v>73</v>
      </c>
      <c r="E4135" s="44" t="n">
        <v>8450.815399999999</v>
      </c>
    </row>
    <row r="4136">
      <c r="A4136" s="39">
        <f>_xlfn.XLOOKUP(17849,Trip[shape_id],Trip[shape_id],"Não encontrado")</f>
        <v/>
      </c>
      <c r="B4136" s="40" t="n">
        <v>-23.535516</v>
      </c>
      <c r="C4136" s="40" t="n">
        <v>-46.925281</v>
      </c>
      <c r="D4136" s="40" t="n">
        <v>74</v>
      </c>
      <c r="E4136" s="41" t="n">
        <v>8468.5586</v>
      </c>
    </row>
    <row r="4137">
      <c r="A4137" s="42">
        <f>_xlfn.XLOOKUP(17849,Trip[shape_id],Trip[shape_id],"Não encontrado")</f>
        <v/>
      </c>
      <c r="B4137" s="43" t="n">
        <v>-23.535501</v>
      </c>
      <c r="C4137" s="43" t="n">
        <v>-46.925108</v>
      </c>
      <c r="D4137" s="43" t="n">
        <v>75</v>
      </c>
      <c r="E4137" s="44" t="n">
        <v>8578.988300000001</v>
      </c>
    </row>
    <row r="4138">
      <c r="A4138" s="39">
        <f>_xlfn.XLOOKUP(17849,Trip[shape_id],Trip[shape_id],"Não encontrado")</f>
        <v/>
      </c>
      <c r="B4138" s="40" t="n">
        <v>-23.535008</v>
      </c>
      <c r="C4138" s="40" t="n">
        <v>-46.924168</v>
      </c>
      <c r="D4138" s="40" t="n">
        <v>76</v>
      </c>
      <c r="E4138" s="41" t="n">
        <v>8694.0762</v>
      </c>
    </row>
    <row r="4139">
      <c r="A4139" s="42">
        <f>_xlfn.XLOOKUP(17849,Trip[shape_id],Trip[shape_id],"Não encontrado")</f>
        <v/>
      </c>
      <c r="B4139" s="43" t="n">
        <v>-23.534167</v>
      </c>
      <c r="C4139" s="43" t="n">
        <v>-46.923506</v>
      </c>
      <c r="D4139" s="43" t="n">
        <v>77</v>
      </c>
      <c r="E4139" s="44" t="n">
        <v>8694.0762</v>
      </c>
    </row>
    <row r="4140">
      <c r="A4140" s="39">
        <f>_xlfn.XLOOKUP(17849,Trip[shape_id],Trip[shape_id],"Não encontrado")</f>
        <v/>
      </c>
      <c r="B4140" s="40" t="n">
        <v>-23.533101</v>
      </c>
      <c r="C4140" s="40" t="n">
        <v>-46.922833</v>
      </c>
      <c r="D4140" s="40" t="n">
        <v>78</v>
      </c>
      <c r="E4140" s="41" t="n">
        <v>8944.998</v>
      </c>
    </row>
    <row r="4141">
      <c r="A4141" s="42">
        <f>_xlfn.XLOOKUP(17849,Trip[shape_id],Trip[shape_id],"Não encontrado")</f>
        <v/>
      </c>
      <c r="B4141" s="43" t="n">
        <v>-23.532148</v>
      </c>
      <c r="C4141" s="43" t="n">
        <v>-46.922403</v>
      </c>
      <c r="D4141" s="43" t="n">
        <v>79</v>
      </c>
      <c r="E4141" s="44" t="n">
        <v>9016.953100000001</v>
      </c>
    </row>
    <row r="4142">
      <c r="A4142" s="39">
        <f>_xlfn.XLOOKUP(17849,Trip[shape_id],Trip[shape_id],"Não encontrado")</f>
        <v/>
      </c>
      <c r="B4142" s="40" t="n">
        <v>-23.531551</v>
      </c>
      <c r="C4142" s="40" t="n">
        <v>-46.922125</v>
      </c>
      <c r="D4142" s="40" t="n">
        <v>80</v>
      </c>
      <c r="E4142" s="41" t="n">
        <v>9222.604499999999</v>
      </c>
    </row>
    <row r="4143">
      <c r="A4143" s="42">
        <f>_xlfn.XLOOKUP(17849,Trip[shape_id],Trip[shape_id],"Não encontrado")</f>
        <v/>
      </c>
      <c r="B4143" s="43" t="n">
        <v>-23.529879</v>
      </c>
      <c r="C4143" s="43" t="n">
        <v>-46.921249</v>
      </c>
      <c r="D4143" s="43" t="n">
        <v>81</v>
      </c>
      <c r="E4143" s="44" t="n">
        <v>9222.604499999999</v>
      </c>
    </row>
    <row r="4144">
      <c r="A4144" s="39">
        <f>_xlfn.XLOOKUP(17849,Trip[shape_id],Trip[shape_id],"Não encontrado")</f>
        <v/>
      </c>
      <c r="B4144" s="40" t="n">
        <v>-23.529277</v>
      </c>
      <c r="C4144" s="40" t="n">
        <v>-46.920403</v>
      </c>
      <c r="D4144" s="40" t="n">
        <v>82</v>
      </c>
      <c r="E4144" s="41" t="n">
        <v>9493.859399999999</v>
      </c>
    </row>
    <row r="4145">
      <c r="A4145" s="42">
        <f>_xlfn.XLOOKUP(17849,Trip[shape_id],Trip[shape_id],"Não encontrado")</f>
        <v/>
      </c>
      <c r="B4145" s="43" t="n">
        <v>-23.528956</v>
      </c>
      <c r="C4145" s="43" t="n">
        <v>-46.918854</v>
      </c>
      <c r="D4145" s="43" t="n">
        <v>83</v>
      </c>
      <c r="E4145" s="44" t="n">
        <v>9644.332</v>
      </c>
    </row>
    <row r="4146">
      <c r="A4146" s="39">
        <f>_xlfn.XLOOKUP(17849,Trip[shape_id],Trip[shape_id],"Não encontrado")</f>
        <v/>
      </c>
      <c r="B4146" s="40" t="n">
        <v>-23.529093</v>
      </c>
      <c r="C4146" s="40" t="n">
        <v>-46.917388</v>
      </c>
      <c r="D4146" s="40" t="n">
        <v>84</v>
      </c>
      <c r="E4146" s="41" t="n">
        <v>9644.332</v>
      </c>
    </row>
    <row r="4147">
      <c r="A4147" s="42">
        <f>_xlfn.XLOOKUP(17849,Trip[shape_id],Trip[shape_id],"Não encontrado")</f>
        <v/>
      </c>
      <c r="B4147" s="43" t="n">
        <v>-23.529208</v>
      </c>
      <c r="C4147" s="43" t="n">
        <v>-46.916158</v>
      </c>
      <c r="D4147" s="43" t="n">
        <v>85</v>
      </c>
      <c r="E4147" s="44" t="n">
        <v>9878.375</v>
      </c>
    </row>
    <row r="4148">
      <c r="A4148" s="39">
        <f>_xlfn.XLOOKUP(17849,Trip[shape_id],Trip[shape_id],"Não encontrado")</f>
        <v/>
      </c>
      <c r="B4148" s="40" t="n">
        <v>-23.529261</v>
      </c>
      <c r="C4148" s="40" t="n">
        <v>-46.915104</v>
      </c>
      <c r="D4148" s="40" t="n">
        <v>86</v>
      </c>
      <c r="E4148" s="41" t="n">
        <v>10012.307</v>
      </c>
    </row>
    <row r="4149">
      <c r="A4149" s="42">
        <f>_xlfn.XLOOKUP(17849,Trip[shape_id],Trip[shape_id],"Não encontrado")</f>
        <v/>
      </c>
      <c r="B4149" s="43" t="n">
        <v>-23.529749</v>
      </c>
      <c r="C4149" s="43" t="n">
        <v>-46.913904</v>
      </c>
      <c r="D4149" s="43" t="n">
        <v>87</v>
      </c>
      <c r="E4149" s="44" t="n">
        <v>10103.227</v>
      </c>
    </row>
    <row r="4150">
      <c r="A4150" s="39">
        <f>_xlfn.XLOOKUP(17849,Trip[shape_id],Trip[shape_id],"Não encontrado")</f>
        <v/>
      </c>
      <c r="B4150" s="40" t="n">
        <v>-23.530169</v>
      </c>
      <c r="C4150" s="40" t="n">
        <v>-46.913139</v>
      </c>
      <c r="D4150" s="40" t="n">
        <v>88</v>
      </c>
      <c r="E4150" s="41" t="n">
        <v>10196.778</v>
      </c>
    </row>
    <row r="4151">
      <c r="A4151" s="42">
        <f>_xlfn.XLOOKUP(17849,Trip[shape_id],Trip[shape_id],"Não encontrado")</f>
        <v/>
      </c>
      <c r="B4151" s="43" t="n">
        <v>-23.530407</v>
      </c>
      <c r="C4151" s="43" t="n">
        <v>-46.91226</v>
      </c>
      <c r="D4151" s="43" t="n">
        <v>89</v>
      </c>
      <c r="E4151" s="44" t="n">
        <v>10291.585</v>
      </c>
    </row>
    <row r="4152">
      <c r="A4152" s="39">
        <f>_xlfn.XLOOKUP(17849,Trip[shape_id],Trip[shape_id],"Não encontrado")</f>
        <v/>
      </c>
      <c r="B4152" s="40" t="n">
        <v>-23.530602</v>
      </c>
      <c r="C4152" s="40" t="n">
        <v>-46.911356</v>
      </c>
      <c r="D4152" s="40" t="n">
        <v>90</v>
      </c>
      <c r="E4152" s="41" t="n">
        <v>10381.498</v>
      </c>
    </row>
    <row r="4153">
      <c r="A4153" s="42">
        <f>_xlfn.XLOOKUP(17849,Trip[shape_id],Trip[shape_id],"Não encontrado")</f>
        <v/>
      </c>
      <c r="B4153" s="43" t="n">
        <v>-23.530541</v>
      </c>
      <c r="C4153" s="43" t="n">
        <v>-46.910478</v>
      </c>
      <c r="D4153" s="43" t="n">
        <v>91</v>
      </c>
      <c r="E4153" s="44" t="n">
        <v>10650.005</v>
      </c>
    </row>
    <row r="4154">
      <c r="A4154" s="39">
        <f>_xlfn.XLOOKUP(17849,Trip[shape_id],Trip[shape_id],"Não encontrado")</f>
        <v/>
      </c>
      <c r="B4154" s="40" t="n">
        <v>-23.529459</v>
      </c>
      <c r="C4154" s="40" t="n">
        <v>-46.908125</v>
      </c>
      <c r="D4154" s="40" t="n">
        <v>92</v>
      </c>
      <c r="E4154" s="41" t="n">
        <v>10751.075</v>
      </c>
    </row>
    <row r="4155">
      <c r="A4155" s="42">
        <f>_xlfn.XLOOKUP(17849,Trip[shape_id],Trip[shape_id],"Não encontrado")</f>
        <v/>
      </c>
      <c r="B4155" s="43" t="n">
        <v>-23.529056</v>
      </c>
      <c r="C4155" s="43" t="n">
        <v>-46.907237</v>
      </c>
      <c r="D4155" s="43" t="n">
        <v>93</v>
      </c>
      <c r="E4155" s="44" t="n">
        <v>11038.169</v>
      </c>
    </row>
    <row r="4156">
      <c r="A4156" s="39">
        <f>_xlfn.XLOOKUP(17849,Trip[shape_id],Trip[shape_id],"Não encontrado")</f>
        <v/>
      </c>
      <c r="B4156" s="40" t="n">
        <v>-23.528676</v>
      </c>
      <c r="C4156" s="40" t="n">
        <v>-46.904456</v>
      </c>
      <c r="D4156" s="40" t="n">
        <v>94</v>
      </c>
      <c r="E4156" s="41" t="n">
        <v>11221.559</v>
      </c>
    </row>
    <row r="4157">
      <c r="A4157" s="42">
        <f>_xlfn.XLOOKUP(17849,Trip[shape_id],Trip[shape_id],"Não encontrado")</f>
        <v/>
      </c>
      <c r="B4157" s="43" t="n">
        <v>-23.527901</v>
      </c>
      <c r="C4157" s="43" t="n">
        <v>-46.902869</v>
      </c>
      <c r="D4157" s="43" t="n">
        <v>95</v>
      </c>
      <c r="E4157" s="44" t="n">
        <v>11262.162</v>
      </c>
    </row>
    <row r="4158">
      <c r="A4158" s="39">
        <f>_xlfn.XLOOKUP(17849,Trip[shape_id],Trip[shape_id],"Não encontrado")</f>
        <v/>
      </c>
      <c r="B4158" s="40" t="n">
        <v>-23.527714</v>
      </c>
      <c r="C4158" s="40" t="n">
        <v>-46.902527</v>
      </c>
      <c r="D4158" s="40" t="n">
        <v>96</v>
      </c>
      <c r="E4158" s="41" t="n">
        <v>11262.162</v>
      </c>
    </row>
    <row r="4159">
      <c r="A4159" s="42">
        <f>_xlfn.XLOOKUP(17849,Trip[shape_id],Trip[shape_id],"Não encontrado")</f>
        <v/>
      </c>
      <c r="B4159" s="43" t="n">
        <v>-23.52653</v>
      </c>
      <c r="C4159" s="43" t="n">
        <v>-46.90042</v>
      </c>
      <c r="D4159" s="43" t="n">
        <v>97</v>
      </c>
      <c r="E4159" s="44" t="n">
        <v>11650.407</v>
      </c>
    </row>
    <row r="4160">
      <c r="A4160" s="39">
        <f>_xlfn.XLOOKUP(17849,Trip[shape_id],Trip[shape_id],"Não encontrado")</f>
        <v/>
      </c>
      <c r="B4160" s="40" t="n">
        <v>-23.526167</v>
      </c>
      <c r="C4160" s="40" t="n">
        <v>-46.899145</v>
      </c>
      <c r="D4160" s="40" t="n">
        <v>98</v>
      </c>
      <c r="E4160" s="41" t="n">
        <v>11835.052</v>
      </c>
    </row>
    <row r="4161">
      <c r="A4161" s="42">
        <f>_xlfn.XLOOKUP(17849,Trip[shape_id],Trip[shape_id],"Não encontrado")</f>
        <v/>
      </c>
      <c r="B4161" s="43" t="n">
        <v>-23.526503</v>
      </c>
      <c r="C4161" s="43" t="n">
        <v>-46.897374</v>
      </c>
      <c r="D4161" s="43" t="n">
        <v>99</v>
      </c>
      <c r="E4161" s="44" t="n">
        <v>11962.245</v>
      </c>
    </row>
    <row r="4162">
      <c r="A4162" s="39">
        <f>_xlfn.XLOOKUP(17849,Trip[shape_id],Trip[shape_id],"Não encontrado")</f>
        <v/>
      </c>
      <c r="B4162" s="40" t="n">
        <v>-23.526377</v>
      </c>
      <c r="C4162" s="40" t="n">
        <v>-46.896136</v>
      </c>
      <c r="D4162" s="40" t="n">
        <v>100</v>
      </c>
      <c r="E4162" s="41" t="n">
        <v>12126.976</v>
      </c>
    </row>
    <row r="4163">
      <c r="A4163" s="42">
        <f>_xlfn.XLOOKUP(17849,Trip[shape_id],Trip[shape_id],"Não encontrado")</f>
        <v/>
      </c>
      <c r="B4163" s="43" t="n">
        <v>-23.525643</v>
      </c>
      <c r="C4163" s="43" t="n">
        <v>-46.894733</v>
      </c>
      <c r="D4163" s="43" t="n">
        <v>101</v>
      </c>
      <c r="E4163" s="44" t="n">
        <v>12261.986</v>
      </c>
    </row>
    <row r="4164">
      <c r="A4164" s="39">
        <f>_xlfn.XLOOKUP(17849,Trip[shape_id],Trip[shape_id],"Não encontrado")</f>
        <v/>
      </c>
      <c r="B4164" s="40" t="n">
        <v>-23.524676</v>
      </c>
      <c r="C4164" s="40" t="n">
        <v>-46.893928</v>
      </c>
      <c r="D4164" s="40" t="n">
        <v>102</v>
      </c>
      <c r="E4164" s="41" t="n">
        <v>12383.204</v>
      </c>
    </row>
    <row r="4165">
      <c r="A4165" s="42">
        <f>_xlfn.XLOOKUP(17849,Trip[shape_id],Trip[shape_id],"Não encontrado")</f>
        <v/>
      </c>
      <c r="B4165" s="43" t="n">
        <v>-23.523618</v>
      </c>
      <c r="C4165" s="43" t="n">
        <v>-46.893624</v>
      </c>
      <c r="D4165" s="43" t="n">
        <v>103</v>
      </c>
      <c r="E4165" s="44" t="n">
        <v>12383.204</v>
      </c>
    </row>
    <row r="4166">
      <c r="A4166" s="39">
        <f>_xlfn.XLOOKUP(17849,Trip[shape_id],Trip[shape_id],"Não encontrado")</f>
        <v/>
      </c>
      <c r="B4166" s="40" t="n">
        <v>-23.522477</v>
      </c>
      <c r="C4166" s="40" t="n">
        <v>-46.893289</v>
      </c>
      <c r="D4166" s="40" t="n">
        <v>104</v>
      </c>
      <c r="E4166" s="41" t="n">
        <v>12610.096</v>
      </c>
    </row>
    <row r="4167">
      <c r="A4167" s="42">
        <f>_xlfn.XLOOKUP(17849,Trip[shape_id],Trip[shape_id],"Não encontrado")</f>
        <v/>
      </c>
      <c r="B4167" s="43" t="n">
        <v>-23.521757</v>
      </c>
      <c r="C4167" s="43" t="n">
        <v>-46.892766</v>
      </c>
      <c r="D4167" s="43" t="n">
        <v>105</v>
      </c>
      <c r="E4167" s="44" t="n">
        <v>12781.281</v>
      </c>
    </row>
    <row r="4168">
      <c r="A4168" s="39">
        <f>_xlfn.XLOOKUP(17849,Trip[shape_id],Trip[shape_id],"Não encontrado")</f>
        <v/>
      </c>
      <c r="B4168" s="40" t="n">
        <v>-23.520481</v>
      </c>
      <c r="C4168" s="40" t="n">
        <v>-46.89182</v>
      </c>
      <c r="D4168" s="40" t="n">
        <v>106</v>
      </c>
      <c r="E4168" s="41" t="n">
        <v>12954.377</v>
      </c>
    </row>
    <row r="4169">
      <c r="A4169" s="42">
        <f>_xlfn.XLOOKUP(17849,Trip[shape_id],Trip[shape_id],"Não encontrado")</f>
        <v/>
      </c>
      <c r="B4169" s="43" t="n">
        <v>-23.519312</v>
      </c>
      <c r="C4169" s="43" t="n">
        <v>-46.890695</v>
      </c>
      <c r="D4169" s="43" t="n">
        <v>107</v>
      </c>
      <c r="E4169" s="44" t="n">
        <v>13062.515</v>
      </c>
    </row>
    <row r="4170">
      <c r="A4170" s="39">
        <f>_xlfn.XLOOKUP(17849,Trip[shape_id],Trip[shape_id],"Não encontrado")</f>
        <v/>
      </c>
      <c r="B4170" s="40" t="n">
        <v>-23.518433</v>
      </c>
      <c r="C4170" s="40" t="n">
        <v>-46.890234</v>
      </c>
      <c r="D4170" s="40" t="n">
        <v>108</v>
      </c>
      <c r="E4170" s="41" t="n">
        <v>13110.825</v>
      </c>
    </row>
    <row r="4171">
      <c r="A4171" s="42">
        <f>_xlfn.XLOOKUP(17849,Trip[shape_id],Trip[shape_id],"Não encontrado")</f>
        <v/>
      </c>
      <c r="B4171" s="43" t="n">
        <v>-23.518039</v>
      </c>
      <c r="C4171" s="43" t="n">
        <v>-46.890031</v>
      </c>
      <c r="D4171" s="43" t="n">
        <v>109</v>
      </c>
      <c r="E4171" s="44" t="n">
        <v>13293.206</v>
      </c>
    </row>
    <row r="4172">
      <c r="A4172" s="39">
        <f>_xlfn.XLOOKUP(17849,Trip[shape_id],Trip[shape_id],"Não encontrado")</f>
        <v/>
      </c>
      <c r="B4172" s="40" t="n">
        <v>-23.516427</v>
      </c>
      <c r="C4172" s="40" t="n">
        <v>-46.889666</v>
      </c>
      <c r="D4172" s="40" t="n">
        <v>110</v>
      </c>
      <c r="E4172" s="41" t="n">
        <v>13418.263</v>
      </c>
    </row>
    <row r="4173">
      <c r="A4173" s="42">
        <f>_xlfn.XLOOKUP(17849,Trip[shape_id],Trip[shape_id],"Não encontrado")</f>
        <v/>
      </c>
      <c r="B4173" s="43" t="n">
        <v>-23.515306</v>
      </c>
      <c r="C4173" s="43" t="n">
        <v>-46.889519</v>
      </c>
      <c r="D4173" s="43" t="n">
        <v>111</v>
      </c>
      <c r="E4173" s="44" t="n">
        <v>13529.16</v>
      </c>
    </row>
    <row r="4174">
      <c r="A4174" s="39">
        <f>_xlfn.XLOOKUP(17849,Trip[shape_id],Trip[shape_id],"Não encontrado")</f>
        <v/>
      </c>
      <c r="B4174" s="40" t="n">
        <v>-23.514319</v>
      </c>
      <c r="C4174" s="40" t="n">
        <v>-46.889336</v>
      </c>
      <c r="D4174" s="40" t="n">
        <v>112</v>
      </c>
      <c r="E4174" s="41" t="n">
        <v>13529.16</v>
      </c>
    </row>
    <row r="4175">
      <c r="A4175" s="42">
        <f>_xlfn.XLOOKUP(17849,Trip[shape_id],Trip[shape_id],"Não encontrado")</f>
        <v/>
      </c>
      <c r="B4175" s="43" t="n">
        <v>-23.513825</v>
      </c>
      <c r="C4175" s="43" t="n">
        <v>-46.889249</v>
      </c>
      <c r="D4175" s="43" t="n">
        <v>113</v>
      </c>
      <c r="E4175" s="44" t="n">
        <v>13613.014</v>
      </c>
    </row>
    <row r="4176">
      <c r="A4176" s="39">
        <f>_xlfn.XLOOKUP(17849,Trip[shape_id],Trip[shape_id],"Não encontrado")</f>
        <v/>
      </c>
      <c r="B4176" s="40" t="n">
        <v>-23.513571</v>
      </c>
      <c r="C4176" s="40" t="n">
        <v>-46.889209</v>
      </c>
      <c r="D4176" s="40" t="n">
        <v>114</v>
      </c>
      <c r="E4176" s="41" t="n">
        <v>13690.66</v>
      </c>
    </row>
    <row r="4177">
      <c r="A4177" s="42">
        <f>_xlfn.XLOOKUP(17849,Trip[shape_id],Trip[shape_id],"Não encontrado")</f>
        <v/>
      </c>
      <c r="B4177" s="43" t="n">
        <v>-23.512876</v>
      </c>
      <c r="C4177" s="43" t="n">
        <v>-46.889109</v>
      </c>
      <c r="D4177" s="43" t="n">
        <v>115</v>
      </c>
      <c r="E4177" s="44" t="n">
        <v>13827.379</v>
      </c>
    </row>
    <row r="4178">
      <c r="A4178" s="39">
        <f>_xlfn.XLOOKUP(17849,Trip[shape_id],Trip[shape_id],"Não encontrado")</f>
        <v/>
      </c>
      <c r="B4178" s="40" t="n">
        <v>-23.511653</v>
      </c>
      <c r="C4178" s="40" t="n">
        <v>-46.888927</v>
      </c>
      <c r="D4178" s="40" t="n">
        <v>116</v>
      </c>
      <c r="E4178" s="41" t="n">
        <v>13950.602</v>
      </c>
    </row>
    <row r="4179">
      <c r="A4179" s="42">
        <f>_xlfn.XLOOKUP(17849,Trip[shape_id],Trip[shape_id],"Não encontrado")</f>
        <v/>
      </c>
      <c r="B4179" s="43" t="n">
        <v>-23.510692</v>
      </c>
      <c r="C4179" s="43" t="n">
        <v>-46.888319</v>
      </c>
      <c r="D4179" s="43" t="n">
        <v>117</v>
      </c>
      <c r="E4179" s="44" t="n">
        <v>14069.471</v>
      </c>
    </row>
    <row r="4180">
      <c r="A4180" s="39">
        <f>_xlfn.XLOOKUP(17849,Trip[shape_id],Trip[shape_id],"Não encontrado")</f>
        <v/>
      </c>
      <c r="B4180" s="40" t="n">
        <v>-23.510229</v>
      </c>
      <c r="C4180" s="40" t="n">
        <v>-46.887269</v>
      </c>
      <c r="D4180" s="40" t="n">
        <v>118</v>
      </c>
      <c r="E4180" s="41" t="n">
        <v>14203.906</v>
      </c>
    </row>
    <row r="4181">
      <c r="A4181" s="42">
        <f>_xlfn.XLOOKUP(17849,Trip[shape_id],Trip[shape_id],"Não encontrado")</f>
        <v/>
      </c>
      <c r="B4181" s="43" t="n">
        <v>-23.510254</v>
      </c>
      <c r="C4181" s="43" t="n">
        <v>-46.885953</v>
      </c>
      <c r="D4181" s="43" t="n">
        <v>119</v>
      </c>
      <c r="E4181" s="44" t="n">
        <v>14461.181</v>
      </c>
    </row>
    <row r="4182">
      <c r="A4182" s="39">
        <f>_xlfn.XLOOKUP(17849,Trip[shape_id],Trip[shape_id],"Não encontrado")</f>
        <v/>
      </c>
      <c r="B4182" s="40" t="n">
        <v>-23.511148</v>
      </c>
      <c r="C4182" s="40" t="n">
        <v>-46.883628</v>
      </c>
      <c r="D4182" s="40" t="n">
        <v>120</v>
      </c>
      <c r="E4182" s="41" t="n">
        <v>14595.011</v>
      </c>
    </row>
    <row r="4183">
      <c r="A4183" s="42">
        <f>_xlfn.XLOOKUP(17849,Trip[shape_id],Trip[shape_id],"Não encontrado")</f>
        <v/>
      </c>
      <c r="B4183" s="43" t="n">
        <v>-23.511614</v>
      </c>
      <c r="C4183" s="43" t="n">
        <v>-46.882419</v>
      </c>
      <c r="D4183" s="43" t="n">
        <v>121</v>
      </c>
      <c r="E4183" s="44" t="n">
        <v>14738.447</v>
      </c>
    </row>
    <row r="4184">
      <c r="A4184" s="39">
        <f>_xlfn.XLOOKUP(17849,Trip[shape_id],Trip[shape_id],"Não encontrado")</f>
        <v/>
      </c>
      <c r="B4184" s="40" t="n">
        <v>-23.512113</v>
      </c>
      <c r="C4184" s="40" t="n">
        <v>-46.881123</v>
      </c>
      <c r="D4184" s="40" t="n">
        <v>122</v>
      </c>
      <c r="E4184" s="41" t="n">
        <v>14763.659</v>
      </c>
    </row>
    <row r="4185">
      <c r="A4185" s="42">
        <f>_xlfn.XLOOKUP(17849,Trip[shape_id],Trip[shape_id],"Não encontrado")</f>
        <v/>
      </c>
      <c r="B4185" s="43" t="n">
        <v>-23.512198</v>
      </c>
      <c r="C4185" s="43" t="n">
        <v>-46.880894</v>
      </c>
      <c r="D4185" s="43" t="n">
        <v>123</v>
      </c>
      <c r="E4185" s="44" t="n">
        <v>14785.302</v>
      </c>
    </row>
    <row r="4186">
      <c r="A4186" s="39">
        <f>_xlfn.XLOOKUP(17849,Trip[shape_id],Trip[shape_id],"Não encontrado")</f>
        <v/>
      </c>
      <c r="B4186" s="40" t="n">
        <v>-23.51227</v>
      </c>
      <c r="C4186" s="40" t="n">
        <v>-46.880697</v>
      </c>
      <c r="D4186" s="40" t="n">
        <v>124</v>
      </c>
      <c r="E4186" s="41" t="n">
        <v>15012.551</v>
      </c>
    </row>
    <row r="4187">
      <c r="A4187" s="42">
        <f>_xlfn.XLOOKUP(17849,Trip[shape_id],Trip[shape_id],"Não encontrado")</f>
        <v/>
      </c>
      <c r="B4187" s="43" t="n">
        <v>-23.513006</v>
      </c>
      <c r="C4187" s="43" t="n">
        <v>-46.87862</v>
      </c>
      <c r="D4187" s="43" t="n">
        <v>125</v>
      </c>
      <c r="E4187" s="44" t="n">
        <v>15186.579</v>
      </c>
    </row>
    <row r="4188">
      <c r="A4188" s="39">
        <f>_xlfn.XLOOKUP(17849,Trip[shape_id],Trip[shape_id],"Não encontrado")</f>
        <v/>
      </c>
      <c r="B4188" s="40" t="n">
        <v>-23.512828</v>
      </c>
      <c r="C4188" s="40" t="n">
        <v>-46.876927</v>
      </c>
      <c r="D4188" s="40" t="n">
        <v>126</v>
      </c>
      <c r="E4188" s="41" t="n">
        <v>15327.997</v>
      </c>
    </row>
    <row r="4189">
      <c r="A4189" s="42">
        <f>_xlfn.XLOOKUP(17849,Trip[shape_id],Trip[shape_id],"Não encontrado")</f>
        <v/>
      </c>
      <c r="B4189" s="43" t="n">
        <v>-23.512649</v>
      </c>
      <c r="C4189" s="43" t="n">
        <v>-46.875556</v>
      </c>
      <c r="D4189" s="43" t="n">
        <v>127</v>
      </c>
      <c r="E4189" s="44" t="n">
        <v>15369.722</v>
      </c>
    </row>
    <row r="4190">
      <c r="A4190" s="39">
        <f>_xlfn.XLOOKUP(17849,Trip[shape_id],Trip[shape_id],"Não encontrado")</f>
        <v/>
      </c>
      <c r="B4190" s="40" t="n">
        <v>-23.512593</v>
      </c>
      <c r="C4190" s="40" t="n">
        <v>-46.875152</v>
      </c>
      <c r="D4190" s="40" t="n">
        <v>128</v>
      </c>
      <c r="E4190" s="41" t="n">
        <v>15369.722</v>
      </c>
    </row>
    <row r="4191">
      <c r="A4191" s="42">
        <f>_xlfn.XLOOKUP(17849,Trip[shape_id],Trip[shape_id],"Não encontrado")</f>
        <v/>
      </c>
      <c r="B4191" s="43" t="n">
        <v>-23.512555</v>
      </c>
      <c r="C4191" s="43" t="n">
        <v>-46.874856</v>
      </c>
      <c r="D4191" s="43" t="n">
        <v>129</v>
      </c>
      <c r="E4191" s="44" t="n">
        <v>15456.577</v>
      </c>
    </row>
    <row r="4192">
      <c r="A4192" s="39">
        <f>_xlfn.XLOOKUP(17849,Trip[shape_id],Trip[shape_id],"Não encontrado")</f>
        <v/>
      </c>
      <c r="B4192" s="40" t="n">
        <v>-23.512471</v>
      </c>
      <c r="C4192" s="40" t="n">
        <v>-46.874312</v>
      </c>
      <c r="D4192" s="40" t="n">
        <v>130</v>
      </c>
      <c r="E4192" s="41" t="n">
        <v>15658.905</v>
      </c>
    </row>
    <row r="4193">
      <c r="A4193" s="42">
        <f>_xlfn.XLOOKUP(17849,Trip[shape_id],Trip[shape_id],"Não encontrado")</f>
        <v/>
      </c>
      <c r="B4193" s="43" t="n">
        <v>-23.512154</v>
      </c>
      <c r="C4193" s="43" t="n">
        <v>-46.872361</v>
      </c>
      <c r="D4193" s="43" t="n">
        <v>131</v>
      </c>
      <c r="E4193" s="44" t="n">
        <v>15900.159</v>
      </c>
    </row>
    <row r="4194">
      <c r="A4194" s="39">
        <f>_xlfn.XLOOKUP(17849,Trip[shape_id],Trip[shape_id],"Não encontrado")</f>
        <v/>
      </c>
      <c r="B4194" s="40" t="n">
        <v>-23.510633</v>
      </c>
      <c r="C4194" s="40" t="n">
        <v>-46.87067</v>
      </c>
      <c r="D4194" s="40" t="n">
        <v>132</v>
      </c>
      <c r="E4194" s="41" t="n">
        <v>16035.232</v>
      </c>
    </row>
    <row r="4195">
      <c r="A4195" s="42">
        <f>_xlfn.XLOOKUP(17849,Trip[shape_id],Trip[shape_id],"Não encontrado")</f>
        <v/>
      </c>
      <c r="B4195" s="43" t="n">
        <v>-23.509837</v>
      </c>
      <c r="C4195" s="43" t="n">
        <v>-46.869668</v>
      </c>
      <c r="D4195" s="43" t="n">
        <v>133</v>
      </c>
      <c r="E4195" s="44" t="n">
        <v>16137.017</v>
      </c>
    </row>
    <row r="4196">
      <c r="A4196" s="39">
        <f>_xlfn.XLOOKUP(17849,Trip[shape_id],Trip[shape_id],"Não encontrado")</f>
        <v/>
      </c>
      <c r="B4196" s="40" t="n">
        <v>-23.509514</v>
      </c>
      <c r="C4196" s="40" t="n">
        <v>-46.868735</v>
      </c>
      <c r="D4196" s="40" t="n">
        <v>134</v>
      </c>
      <c r="E4196" s="41" t="n">
        <v>16208.957</v>
      </c>
    </row>
    <row r="4197">
      <c r="A4197" s="42">
        <f>_xlfn.XLOOKUP(17849,Trip[shape_id],Trip[shape_id],"Não encontrado")</f>
        <v/>
      </c>
      <c r="B4197" s="43" t="n">
        <v>-23.50964</v>
      </c>
      <c r="C4197" s="43" t="n">
        <v>-46.868044</v>
      </c>
      <c r="D4197" s="43" t="n">
        <v>135</v>
      </c>
      <c r="E4197" s="44" t="n">
        <v>16260.63</v>
      </c>
    </row>
    <row r="4198">
      <c r="A4198" s="39">
        <f>_xlfn.XLOOKUP(17849,Trip[shape_id],Trip[shape_id],"Não encontrado")</f>
        <v/>
      </c>
      <c r="B4198" s="40" t="n">
        <v>-23.509732</v>
      </c>
      <c r="C4198" s="40" t="n">
        <v>-46.867548</v>
      </c>
      <c r="D4198" s="40" t="n">
        <v>136</v>
      </c>
      <c r="E4198" s="41" t="n">
        <v>16346.004</v>
      </c>
    </row>
    <row r="4199">
      <c r="A4199" s="42">
        <f>_xlfn.XLOOKUP(17849,Trip[shape_id],Trip[shape_id],"Não encontrado")</f>
        <v/>
      </c>
      <c r="B4199" s="43" t="n">
        <v>-23.510288</v>
      </c>
      <c r="C4199" s="43" t="n">
        <v>-46.866969</v>
      </c>
      <c r="D4199" s="43" t="n">
        <v>137</v>
      </c>
      <c r="E4199" s="44" t="n">
        <v>16445.723</v>
      </c>
    </row>
    <row r="4200">
      <c r="A4200" s="39">
        <f>_xlfn.XLOOKUP(17849,Trip[shape_id],Trip[shape_id],"Não encontrado")</f>
        <v/>
      </c>
      <c r="B4200" s="40" t="n">
        <v>-23.510935</v>
      </c>
      <c r="C4200" s="40" t="n">
        <v>-46.86629</v>
      </c>
      <c r="D4200" s="40" t="n">
        <v>138</v>
      </c>
      <c r="E4200" s="41" t="n">
        <v>16666.324</v>
      </c>
    </row>
    <row r="4201">
      <c r="A4201" s="42">
        <f>_xlfn.XLOOKUP(17849,Trip[shape_id],Trip[shape_id],"Não encontrado")</f>
        <v/>
      </c>
      <c r="B4201" s="43" t="n">
        <v>-23.51278</v>
      </c>
      <c r="C4201" s="43" t="n">
        <v>-46.865476</v>
      </c>
      <c r="D4201" s="43" t="n">
        <v>139</v>
      </c>
      <c r="E4201" s="44" t="n">
        <v>16815.273</v>
      </c>
    </row>
    <row r="4202">
      <c r="A4202" s="39">
        <f>_xlfn.XLOOKUP(17849,Trip[shape_id],Trip[shape_id],"Não encontrado")</f>
        <v/>
      </c>
      <c r="B4202" s="40" t="n">
        <v>-23.513839</v>
      </c>
      <c r="C4202" s="40" t="n">
        <v>-46.864577</v>
      </c>
      <c r="D4202" s="40" t="n">
        <v>140</v>
      </c>
      <c r="E4202" s="41" t="n">
        <v>17160.494</v>
      </c>
    </row>
    <row r="4203">
      <c r="A4203" s="42">
        <f>_xlfn.XLOOKUP(17849,Trip[shape_id],Trip[shape_id],"Não encontrado")</f>
        <v/>
      </c>
      <c r="B4203" s="43" t="n">
        <v>-23.515369</v>
      </c>
      <c r="C4203" s="43" t="n">
        <v>-46.861632</v>
      </c>
      <c r="D4203" s="43" t="n">
        <v>141</v>
      </c>
      <c r="E4203" s="44" t="n">
        <v>17293.559</v>
      </c>
    </row>
    <row r="4204">
      <c r="A4204" s="39">
        <f>_xlfn.XLOOKUP(17849,Trip[shape_id],Trip[shape_id],"Não encontrado")</f>
        <v/>
      </c>
      <c r="B4204" s="40" t="n">
        <v>-23.515959</v>
      </c>
      <c r="C4204" s="40" t="n">
        <v>-46.860497</v>
      </c>
      <c r="D4204" s="40" t="n">
        <v>142</v>
      </c>
      <c r="E4204" s="41" t="n">
        <v>17493.225</v>
      </c>
    </row>
    <row r="4205">
      <c r="A4205" s="42">
        <f>_xlfn.XLOOKUP(17849,Trip[shape_id],Trip[shape_id],"Não encontrado")</f>
        <v/>
      </c>
      <c r="B4205" s="43" t="n">
        <v>-23.516859</v>
      </c>
      <c r="C4205" s="43" t="n">
        <v>-46.858803</v>
      </c>
      <c r="D4205" s="43" t="n">
        <v>143</v>
      </c>
      <c r="E4205" s="44" t="n">
        <v>17493.225</v>
      </c>
    </row>
    <row r="4206">
      <c r="A4206" s="39">
        <f>_xlfn.XLOOKUP(17849,Trip[shape_id],Trip[shape_id],"Não encontrado")</f>
        <v/>
      </c>
      <c r="B4206" s="40" t="n">
        <v>-23.517603</v>
      </c>
      <c r="C4206" s="40" t="n">
        <v>-46.857399</v>
      </c>
      <c r="D4206" s="40" t="n">
        <v>144</v>
      </c>
      <c r="E4206" s="41" t="n">
        <v>17662.637</v>
      </c>
    </row>
    <row r="4207">
      <c r="A4207" s="42">
        <f>_xlfn.XLOOKUP(17849,Trip[shape_id],Trip[shape_id],"Não encontrado")</f>
        <v/>
      </c>
      <c r="B4207" s="43" t="n">
        <v>-23.517613</v>
      </c>
      <c r="C4207" s="43" t="n">
        <v>-46.857361</v>
      </c>
      <c r="D4207" s="43" t="n">
        <v>145</v>
      </c>
      <c r="E4207" s="44" t="n">
        <v>17810.928</v>
      </c>
    </row>
    <row r="4208">
      <c r="A4208" s="39">
        <f>_xlfn.XLOOKUP(17849,Trip[shape_id],Trip[shape_id],"Não encontrado")</f>
        <v/>
      </c>
      <c r="B4208" s="40" t="n">
        <v>-23.517958</v>
      </c>
      <c r="C4208" s="40" t="n">
        <v>-46.855958</v>
      </c>
      <c r="D4208" s="40" t="n">
        <v>146</v>
      </c>
      <c r="E4208" s="41" t="n">
        <v>17935.035</v>
      </c>
    </row>
    <row r="4209">
      <c r="A4209" s="42">
        <f>_xlfn.XLOOKUP(17849,Trip[shape_id],Trip[shape_id],"Não encontrado")</f>
        <v/>
      </c>
      <c r="B4209" s="43" t="n">
        <v>-23.517604</v>
      </c>
      <c r="C4209" s="43" t="n">
        <v>-46.854805</v>
      </c>
      <c r="D4209" s="43" t="n">
        <v>147</v>
      </c>
      <c r="E4209" s="44" t="n">
        <v>18080.156</v>
      </c>
    </row>
    <row r="4210">
      <c r="A4210" s="39">
        <f>_xlfn.XLOOKUP(17849,Trip[shape_id],Trip[shape_id],"Não encontrado")</f>
        <v/>
      </c>
      <c r="B4210" s="40" t="n">
        <v>-23.517133</v>
      </c>
      <c r="C4210" s="40" t="n">
        <v>-46.853479</v>
      </c>
      <c r="D4210" s="40" t="n">
        <v>148</v>
      </c>
      <c r="E4210" s="41" t="n">
        <v>18249.947</v>
      </c>
    </row>
    <row r="4211">
      <c r="A4211" s="42">
        <f>_xlfn.XLOOKUP(17849,Trip[shape_id],Trip[shape_id],"Não encontrado")</f>
        <v/>
      </c>
      <c r="B4211" s="43" t="n">
        <v>-23.516769</v>
      </c>
      <c r="C4211" s="43" t="n">
        <v>-46.851864</v>
      </c>
      <c r="D4211" s="43" t="n">
        <v>149</v>
      </c>
      <c r="E4211" s="44" t="n">
        <v>18530.584</v>
      </c>
    </row>
    <row r="4212">
      <c r="A4212" s="39">
        <f>_xlfn.XLOOKUP(17849,Trip[shape_id],Trip[shape_id],"Não encontrado")</f>
        <v/>
      </c>
      <c r="B4212" s="40" t="n">
        <v>-23.516675</v>
      </c>
      <c r="C4212" s="40" t="n">
        <v>-46.849118</v>
      </c>
      <c r="D4212" s="40" t="n">
        <v>150</v>
      </c>
      <c r="E4212" s="41" t="n">
        <v>18631.979</v>
      </c>
    </row>
    <row r="4213">
      <c r="A4213" s="42">
        <f>_xlfn.XLOOKUP(17849,Trip[shape_id],Trip[shape_id],"Não encontrado")</f>
        <v/>
      </c>
      <c r="B4213" s="43" t="n">
        <v>-23.516606</v>
      </c>
      <c r="C4213" s="43" t="n">
        <v>-46.848128</v>
      </c>
      <c r="D4213" s="43" t="n">
        <v>151</v>
      </c>
      <c r="E4213" s="44" t="n">
        <v>18631.979</v>
      </c>
    </row>
    <row r="4214">
      <c r="A4214" s="39">
        <f>_xlfn.XLOOKUP(17849,Trip[shape_id],Trip[shape_id],"Não encontrado")</f>
        <v/>
      </c>
      <c r="B4214" s="40" t="n">
        <v>-23.516519</v>
      </c>
      <c r="C4214" s="40" t="n">
        <v>-46.846867</v>
      </c>
      <c r="D4214" s="40" t="n">
        <v>152</v>
      </c>
      <c r="E4214" s="41" t="n">
        <v>18894.217</v>
      </c>
    </row>
    <row r="4215">
      <c r="A4215" s="42">
        <f>_xlfn.XLOOKUP(17849,Trip[shape_id],Trip[shape_id],"Não encontrado")</f>
        <v/>
      </c>
      <c r="B4215" s="43" t="n">
        <v>-23.516336</v>
      </c>
      <c r="C4215" s="43" t="n">
        <v>-46.845579</v>
      </c>
      <c r="D4215" s="43" t="n">
        <v>153</v>
      </c>
      <c r="E4215" s="44" t="n">
        <v>18992.447</v>
      </c>
    </row>
    <row r="4216">
      <c r="A4216" s="39">
        <f>_xlfn.XLOOKUP(17849,Trip[shape_id],Trip[shape_id],"Não encontrado")</f>
        <v/>
      </c>
      <c r="B4216" s="40" t="n">
        <v>-23.516299</v>
      </c>
      <c r="C4216" s="40" t="n">
        <v>-46.844618</v>
      </c>
      <c r="D4216" s="40" t="n">
        <v>154</v>
      </c>
      <c r="E4216" s="41" t="n">
        <v>19106.213</v>
      </c>
    </row>
    <row r="4217">
      <c r="A4217" s="42">
        <f>_xlfn.XLOOKUP(17849,Trip[shape_id],Trip[shape_id],"Não encontrado")</f>
        <v/>
      </c>
      <c r="B4217" s="43" t="n">
        <v>-23.516149</v>
      </c>
      <c r="C4217" s="43" t="n">
        <v>-46.843516</v>
      </c>
      <c r="D4217" s="43" t="n">
        <v>155</v>
      </c>
      <c r="E4217" s="44" t="n">
        <v>19210.494</v>
      </c>
    </row>
    <row r="4218">
      <c r="A4218" s="39">
        <f>_xlfn.XLOOKUP(17849,Trip[shape_id],Trip[shape_id],"Não encontrado")</f>
        <v/>
      </c>
      <c r="B4218" s="40" t="n">
        <v>-23.516233</v>
      </c>
      <c r="C4218" s="40" t="n">
        <v>-46.842499</v>
      </c>
      <c r="D4218" s="40" t="n">
        <v>156</v>
      </c>
      <c r="E4218" s="41" t="n">
        <v>19210.494</v>
      </c>
    </row>
    <row r="4219">
      <c r="A4219" s="42">
        <f>_xlfn.XLOOKUP(17849,Trip[shape_id],Trip[shape_id],"Não encontrado")</f>
        <v/>
      </c>
      <c r="B4219" s="43" t="n">
        <v>-23.516333</v>
      </c>
      <c r="C4219" s="43" t="n">
        <v>-46.841331</v>
      </c>
      <c r="D4219" s="43" t="n">
        <v>157</v>
      </c>
      <c r="E4219" s="44" t="n">
        <v>19454.996</v>
      </c>
    </row>
    <row r="4220">
      <c r="A4220" s="39">
        <f>_xlfn.XLOOKUP(17849,Trip[shape_id],Trip[shape_id],"Não encontrado")</f>
        <v/>
      </c>
      <c r="B4220" s="40" t="n">
        <v>-23.516546</v>
      </c>
      <c r="C4220" s="40" t="n">
        <v>-46.840132</v>
      </c>
      <c r="D4220" s="40" t="n">
        <v>158</v>
      </c>
      <c r="E4220" s="41" t="n">
        <v>19644.055</v>
      </c>
    </row>
    <row r="4221">
      <c r="A4221" s="42">
        <f>_xlfn.XLOOKUP(17849,Trip[shape_id],Trip[shape_id],"Não encontrado")</f>
        <v/>
      </c>
      <c r="B4221" s="43" t="n">
        <v>-23.516956</v>
      </c>
      <c r="C4221" s="43" t="n">
        <v>-46.838335</v>
      </c>
      <c r="D4221" s="43" t="n">
        <v>159</v>
      </c>
      <c r="E4221" s="44" t="n">
        <v>19873.859</v>
      </c>
    </row>
    <row r="4222">
      <c r="A4222" s="39">
        <f>_xlfn.XLOOKUP(17849,Trip[shape_id],Trip[shape_id],"Não encontrado")</f>
        <v/>
      </c>
      <c r="B4222" s="40" t="n">
        <v>-23.517855</v>
      </c>
      <c r="C4222" s="40" t="n">
        <v>-46.836307</v>
      </c>
      <c r="D4222" s="40" t="n">
        <v>160</v>
      </c>
      <c r="E4222" s="41" t="n">
        <v>19996.791</v>
      </c>
    </row>
    <row r="4223">
      <c r="A4223" s="42">
        <f>_xlfn.XLOOKUP(17849,Trip[shape_id],Trip[shape_id],"Não encontrado")</f>
        <v/>
      </c>
      <c r="B4223" s="43" t="n">
        <v>-23.518493</v>
      </c>
      <c r="C4223" s="43" t="n">
        <v>-46.835322</v>
      </c>
      <c r="D4223" s="43" t="n">
        <v>161</v>
      </c>
      <c r="E4223" s="44" t="n">
        <v>19996.791</v>
      </c>
    </row>
    <row r="4224">
      <c r="A4224" s="39">
        <f>_xlfn.XLOOKUP(17849,Trip[shape_id],Trip[shape_id],"Não encontrado")</f>
        <v/>
      </c>
      <c r="B4224" s="40" t="n">
        <v>-23.519284</v>
      </c>
      <c r="C4224" s="40" t="n">
        <v>-46.834125</v>
      </c>
      <c r="D4224" s="40" t="n">
        <v>162</v>
      </c>
      <c r="E4224" s="41" t="n">
        <v>20335.607</v>
      </c>
    </row>
    <row r="4225">
      <c r="A4225" s="42">
        <f>_xlfn.XLOOKUP(17849,Trip[shape_id],Trip[shape_id],"Não encontrado")</f>
        <v/>
      </c>
      <c r="B4225" s="43" t="n">
        <v>-23.520272</v>
      </c>
      <c r="C4225" s="43" t="n">
        <v>-46.832623</v>
      </c>
      <c r="D4225" s="43" t="n">
        <v>163</v>
      </c>
      <c r="E4225" s="44" t="n">
        <v>20417.338</v>
      </c>
    </row>
    <row r="4226">
      <c r="A4226" s="39">
        <f>_xlfn.XLOOKUP(17849,Trip[shape_id],Trip[shape_id],"Não encontrado")</f>
        <v/>
      </c>
      <c r="B4226" s="40" t="n">
        <v>-23.520527</v>
      </c>
      <c r="C4226" s="40" t="n">
        <v>-46.831872</v>
      </c>
      <c r="D4226" s="40" t="n">
        <v>164</v>
      </c>
      <c r="E4226" s="41" t="n">
        <v>20494.838</v>
      </c>
    </row>
    <row r="4227">
      <c r="A4227" s="42">
        <f>_xlfn.XLOOKUP(17849,Trip[shape_id],Trip[shape_id],"Não encontrado")</f>
        <v/>
      </c>
      <c r="B4227" s="43" t="n">
        <v>-23.520645</v>
      </c>
      <c r="C4227" s="43" t="n">
        <v>-46.831124</v>
      </c>
      <c r="D4227" s="43" t="n">
        <v>165</v>
      </c>
      <c r="E4227" s="44" t="n">
        <v>20646.701</v>
      </c>
    </row>
    <row r="4228">
      <c r="A4228" s="39">
        <f>_xlfn.XLOOKUP(17849,Trip[shape_id],Trip[shape_id],"Não encontrado")</f>
        <v/>
      </c>
      <c r="B4228" s="40" t="n">
        <v>-23.520804</v>
      </c>
      <c r="C4228" s="40" t="n">
        <v>-46.829647</v>
      </c>
      <c r="D4228" s="40" t="n">
        <v>166</v>
      </c>
      <c r="E4228" s="41" t="n">
        <v>20798.576</v>
      </c>
    </row>
    <row r="4229">
      <c r="A4229" s="42">
        <f>_xlfn.XLOOKUP(17849,Trip[shape_id],Trip[shape_id],"Não encontrado")</f>
        <v/>
      </c>
      <c r="B4229" s="43" t="n">
        <v>-23.520986</v>
      </c>
      <c r="C4229" s="43" t="n">
        <v>-46.828173</v>
      </c>
      <c r="D4229" s="43" t="n">
        <v>167</v>
      </c>
      <c r="E4229" s="44" t="n">
        <v>20821.018</v>
      </c>
    </row>
    <row r="4230">
      <c r="A4230" s="39">
        <f>_xlfn.XLOOKUP(17849,Trip[shape_id],Trip[shape_id],"Não encontrado")</f>
        <v/>
      </c>
      <c r="B4230" s="40" t="n">
        <v>-23.521054</v>
      </c>
      <c r="C4230" s="40" t="n">
        <v>-46.827966</v>
      </c>
      <c r="D4230" s="40" t="n">
        <v>168</v>
      </c>
      <c r="E4230" s="41" t="n">
        <v>20879.408</v>
      </c>
    </row>
    <row r="4231">
      <c r="A4231" s="42">
        <f>_xlfn.XLOOKUP(17849,Trip[shape_id],Trip[shape_id],"Não encontrado")</f>
        <v/>
      </c>
      <c r="B4231" s="43" t="n">
        <v>-23.52124</v>
      </c>
      <c r="C4231" s="43" t="n">
        <v>-46.827431</v>
      </c>
      <c r="D4231" s="43" t="n">
        <v>169</v>
      </c>
      <c r="E4231" s="44" t="n">
        <v>20953.215</v>
      </c>
    </row>
    <row r="4232">
      <c r="A4232" s="39">
        <f>_xlfn.XLOOKUP(17849,Trip[shape_id],Trip[shape_id],"Não encontrado")</f>
        <v/>
      </c>
      <c r="B4232" s="40" t="n">
        <v>-23.521587</v>
      </c>
      <c r="C4232" s="40" t="n">
        <v>-46.826814</v>
      </c>
      <c r="D4232" s="40" t="n">
        <v>170</v>
      </c>
      <c r="E4232" s="41" t="n">
        <v>21050.318</v>
      </c>
    </row>
    <row r="4233">
      <c r="A4233" s="42">
        <f>_xlfn.XLOOKUP(17849,Trip[shape_id],Trip[shape_id],"Não encontrado")</f>
        <v/>
      </c>
      <c r="B4233" s="43" t="n">
        <v>-23.522058</v>
      </c>
      <c r="C4233" s="43" t="n">
        <v>-46.826012</v>
      </c>
      <c r="D4233" s="43" t="n">
        <v>171</v>
      </c>
      <c r="E4233" s="44" t="n">
        <v>21129.063</v>
      </c>
    </row>
    <row r="4234">
      <c r="A4234" s="39">
        <f>_xlfn.XLOOKUP(17849,Trip[shape_id],Trip[shape_id],"Não encontrado")</f>
        <v/>
      </c>
      <c r="B4234" s="40" t="n">
        <v>-23.52227</v>
      </c>
      <c r="C4234" s="40" t="n">
        <v>-46.825276</v>
      </c>
      <c r="D4234" s="40" t="n">
        <v>172</v>
      </c>
      <c r="E4234" s="41" t="n">
        <v>21234.215</v>
      </c>
    </row>
    <row r="4235">
      <c r="A4235" s="42">
        <f>_xlfn.XLOOKUP(17849,Trip[shape_id],Trip[shape_id],"Não encontrado")</f>
        <v/>
      </c>
      <c r="B4235" s="43" t="n">
        <v>-23.522304</v>
      </c>
      <c r="C4235" s="43" t="n">
        <v>-46.824247</v>
      </c>
      <c r="D4235" s="43" t="n">
        <v>173</v>
      </c>
      <c r="E4235" s="44" t="n">
        <v>21355.811</v>
      </c>
    </row>
    <row r="4236">
      <c r="A4236" s="39">
        <f>_xlfn.XLOOKUP(17849,Trip[shape_id],Trip[shape_id],"Não encontrado")</f>
        <v/>
      </c>
      <c r="B4236" s="40" t="n">
        <v>-23.522411</v>
      </c>
      <c r="C4236" s="40" t="n">
        <v>-46.823062</v>
      </c>
      <c r="D4236" s="40" t="n">
        <v>174</v>
      </c>
      <c r="E4236" s="41" t="n">
        <v>21432.219</v>
      </c>
    </row>
    <row r="4237">
      <c r="A4237" s="42">
        <f>_xlfn.XLOOKUP(17849,Trip[shape_id],Trip[shape_id],"Não encontrado")</f>
        <v/>
      </c>
      <c r="B4237" s="43" t="n">
        <v>-23.522623</v>
      </c>
      <c r="C4237" s="43" t="n">
        <v>-46.82235</v>
      </c>
      <c r="D4237" s="43" t="n">
        <v>175</v>
      </c>
      <c r="E4237" s="44" t="n">
        <v>21603.605</v>
      </c>
    </row>
    <row r="4238">
      <c r="A4238" s="39">
        <f>_xlfn.XLOOKUP(17849,Trip[shape_id],Trip[shape_id],"Não encontrado")</f>
        <v/>
      </c>
      <c r="B4238" s="40" t="n">
        <v>-23.523277</v>
      </c>
      <c r="C4238" s="40" t="n">
        <v>-46.820829</v>
      </c>
      <c r="D4238" s="40" t="n">
        <v>176</v>
      </c>
      <c r="E4238" s="41" t="n">
        <v>21720.191</v>
      </c>
    </row>
    <row r="4239">
      <c r="A4239" s="42">
        <f>_xlfn.XLOOKUP(17849,Trip[shape_id],Trip[shape_id],"Não encontrado")</f>
        <v/>
      </c>
      <c r="B4239" s="43" t="n">
        <v>-23.523312</v>
      </c>
      <c r="C4239" s="43" t="n">
        <v>-46.819688</v>
      </c>
      <c r="D4239" s="43" t="n">
        <v>177</v>
      </c>
      <c r="E4239" s="44" t="n">
        <v>21892.121</v>
      </c>
    </row>
    <row r="4240">
      <c r="A4240" s="39">
        <f>_xlfn.XLOOKUP(17849,Trip[shape_id],Trip[shape_id],"Não encontrado")</f>
        <v/>
      </c>
      <c r="B4240" s="40" t="n">
        <v>-23.523352</v>
      </c>
      <c r="C4240" s="40" t="n">
        <v>-46.818005</v>
      </c>
      <c r="D4240" s="40" t="n">
        <v>178</v>
      </c>
      <c r="E4240" s="41" t="n">
        <v>21949.227</v>
      </c>
    </row>
    <row r="4241">
      <c r="A4241" s="42">
        <f>_xlfn.XLOOKUP(17849,Trip[shape_id],Trip[shape_id],"Não encontrado")</f>
        <v/>
      </c>
      <c r="B4241" s="43" t="n">
        <v>-23.523365</v>
      </c>
      <c r="C4241" s="43" t="n">
        <v>-46.817446</v>
      </c>
      <c r="D4241" s="43" t="n">
        <v>179</v>
      </c>
      <c r="E4241" s="44" t="n">
        <v>22000.152</v>
      </c>
    </row>
    <row r="4242">
      <c r="A4242" s="39">
        <f>_xlfn.XLOOKUP(17849,Trip[shape_id],Trip[shape_id],"Não encontrado")</f>
        <v/>
      </c>
      <c r="B4242" s="40" t="n">
        <v>-23.523389</v>
      </c>
      <c r="C4242" s="40" t="n">
        <v>-46.816948</v>
      </c>
      <c r="D4242" s="40" t="n">
        <v>180</v>
      </c>
      <c r="E4242" s="41" t="n">
        <v>22101.023</v>
      </c>
    </row>
    <row r="4243">
      <c r="A4243" s="42">
        <f>_xlfn.XLOOKUP(17849,Trip[shape_id],Trip[shape_id],"Não encontrado")</f>
        <v/>
      </c>
      <c r="B4243" s="43" t="n">
        <v>-23.523443</v>
      </c>
      <c r="C4243" s="43" t="n">
        <v>-46.815962</v>
      </c>
      <c r="D4243" s="43" t="n">
        <v>181</v>
      </c>
      <c r="E4243" s="44" t="n">
        <v>22101.023</v>
      </c>
    </row>
    <row r="4244">
      <c r="A4244" s="39">
        <f>_xlfn.XLOOKUP(17849,Trip[shape_id],Trip[shape_id],"Não encontrado")</f>
        <v/>
      </c>
      <c r="B4244" s="40" t="n">
        <v>-23.523554</v>
      </c>
      <c r="C4244" s="40" t="n">
        <v>-46.813951</v>
      </c>
      <c r="D4244" s="40" t="n">
        <v>182</v>
      </c>
      <c r="E4244" s="41" t="n">
        <v>22523.967</v>
      </c>
    </row>
    <row r="4245">
      <c r="A4245" s="42">
        <f>_xlfn.XLOOKUP(17849,Trip[shape_id],Trip[shape_id],"Não encontrado")</f>
        <v/>
      </c>
      <c r="B4245" s="43" t="n">
        <v>-23.523673</v>
      </c>
      <c r="C4245" s="43" t="n">
        <v>-46.811828</v>
      </c>
      <c r="D4245" s="43" t="n">
        <v>183</v>
      </c>
      <c r="E4245" s="44" t="n">
        <v>22770.373</v>
      </c>
    </row>
    <row r="4246">
      <c r="A4246" s="39">
        <f>_xlfn.XLOOKUP(17849,Trip[shape_id],Trip[shape_id],"Não encontrado")</f>
        <v/>
      </c>
      <c r="B4246" s="40" t="n">
        <v>-23.523065</v>
      </c>
      <c r="C4246" s="40" t="n">
        <v>-46.809507</v>
      </c>
      <c r="D4246" s="40" t="n">
        <v>184</v>
      </c>
      <c r="E4246" s="41" t="n">
        <v>22920.316</v>
      </c>
    </row>
    <row r="4247">
      <c r="A4247" s="42">
        <f>_xlfn.XLOOKUP(17849,Trip[shape_id],Trip[shape_id],"Não encontrado")</f>
        <v/>
      </c>
      <c r="B4247" s="43" t="n">
        <v>-23.522754</v>
      </c>
      <c r="C4247" s="43" t="n">
        <v>-46.808078</v>
      </c>
      <c r="D4247" s="43" t="n">
        <v>185</v>
      </c>
      <c r="E4247" s="44" t="n">
        <v>23019.49</v>
      </c>
    </row>
    <row r="4248">
      <c r="A4248" s="39">
        <f>_xlfn.XLOOKUP(17849,Trip[shape_id],Trip[shape_id],"Não encontrado")</f>
        <v/>
      </c>
      <c r="B4248" s="40" t="n">
        <v>-23.522695</v>
      </c>
      <c r="C4248" s="40" t="n">
        <v>-46.807109</v>
      </c>
      <c r="D4248" s="40" t="n">
        <v>186</v>
      </c>
      <c r="E4248" s="41" t="n">
        <v>23019.49</v>
      </c>
    </row>
    <row r="4249">
      <c r="A4249" s="42">
        <f>_xlfn.XLOOKUP(17849,Trip[shape_id],Trip[shape_id],"Não encontrado")</f>
        <v/>
      </c>
      <c r="B4249" s="43" t="n">
        <v>-23.522688</v>
      </c>
      <c r="C4249" s="43" t="n">
        <v>-46.807011</v>
      </c>
      <c r="D4249" s="43" t="n">
        <v>187</v>
      </c>
      <c r="E4249" s="44" t="n">
        <v>23165.535</v>
      </c>
    </row>
    <row r="4250">
      <c r="A4250" s="39">
        <f>_xlfn.XLOOKUP(17849,Trip[shape_id],Trip[shape_id],"Não encontrado")</f>
        <v/>
      </c>
      <c r="B4250" s="40" t="n">
        <v>-23.522851</v>
      </c>
      <c r="C4250" s="40" t="n">
        <v>-46.805691</v>
      </c>
      <c r="D4250" s="40" t="n">
        <v>188</v>
      </c>
      <c r="E4250" s="41" t="n">
        <v>23246.02</v>
      </c>
    </row>
    <row r="4251">
      <c r="A4251" s="42">
        <f>_xlfn.XLOOKUP(17849,Trip[shape_id],Trip[shape_id],"Não encontrado")</f>
        <v/>
      </c>
      <c r="B4251" s="43" t="n">
        <v>-23.523106</v>
      </c>
      <c r="C4251" s="43" t="n">
        <v>-46.804953</v>
      </c>
      <c r="D4251" s="43" t="n">
        <v>189</v>
      </c>
      <c r="E4251" s="44" t="n">
        <v>23343.533</v>
      </c>
    </row>
    <row r="4252">
      <c r="A4252" s="39">
        <f>_xlfn.XLOOKUP(17849,Trip[shape_id],Trip[shape_id],"Não encontrado")</f>
        <v/>
      </c>
      <c r="B4252" s="40" t="n">
        <v>-23.523498</v>
      </c>
      <c r="C4252" s="40" t="n">
        <v>-46.804098</v>
      </c>
      <c r="D4252" s="40" t="n">
        <v>190</v>
      </c>
      <c r="E4252" s="41" t="n">
        <v>23436.74</v>
      </c>
    </row>
    <row r="4253">
      <c r="A4253" s="42">
        <f>_xlfn.XLOOKUP(17849,Trip[shape_id],Trip[shape_id],"Não encontrado")</f>
        <v/>
      </c>
      <c r="B4253" s="43" t="n">
        <v>-23.523944</v>
      </c>
      <c r="C4253" s="43" t="n">
        <v>-46.803324</v>
      </c>
      <c r="D4253" s="43" t="n">
        <v>191</v>
      </c>
      <c r="E4253" s="44" t="n">
        <v>23495.73</v>
      </c>
    </row>
    <row r="4254">
      <c r="A4254" s="39">
        <f>_xlfn.XLOOKUP(17849,Trip[shape_id],Trip[shape_id],"Não encontrado")</f>
        <v/>
      </c>
      <c r="B4254" s="40" t="n">
        <v>-23.524217</v>
      </c>
      <c r="C4254" s="40" t="n">
        <v>-46.802828</v>
      </c>
      <c r="D4254" s="40" t="n">
        <v>192</v>
      </c>
      <c r="E4254" s="41" t="n">
        <v>23635.396</v>
      </c>
    </row>
    <row r="4255">
      <c r="A4255" s="42">
        <f>_xlfn.XLOOKUP(17849,Trip[shape_id],Trip[shape_id],"Não encontrado")</f>
        <v/>
      </c>
      <c r="B4255" s="43" t="n">
        <v>-23.524827</v>
      </c>
      <c r="C4255" s="43" t="n">
        <v>-46.801631</v>
      </c>
      <c r="D4255" s="43" t="n">
        <v>193</v>
      </c>
      <c r="E4255" s="44" t="n">
        <v>23734.207</v>
      </c>
    </row>
    <row r="4256">
      <c r="A4256" s="39">
        <f>_xlfn.XLOOKUP(17849,Trip[shape_id],Trip[shape_id],"Não encontrado")</f>
        <v/>
      </c>
      <c r="B4256" s="40" t="n">
        <v>-23.525125</v>
      </c>
      <c r="C4256" s="40" t="n">
        <v>-46.800719</v>
      </c>
      <c r="D4256" s="40" t="n">
        <v>194</v>
      </c>
      <c r="E4256" s="41" t="n">
        <v>23838.336</v>
      </c>
    </row>
    <row r="4257">
      <c r="A4257" s="42">
        <f>_xlfn.XLOOKUP(17849,Trip[shape_id],Trip[shape_id],"Não encontrado")</f>
        <v/>
      </c>
      <c r="B4257" s="43" t="n">
        <v>-23.525304</v>
      </c>
      <c r="C4257" s="43" t="n">
        <v>-46.799718</v>
      </c>
      <c r="D4257" s="43" t="n">
        <v>195</v>
      </c>
      <c r="E4257" s="44" t="n">
        <v>23929.666</v>
      </c>
    </row>
    <row r="4258">
      <c r="A4258" s="39">
        <f>_xlfn.XLOOKUP(17849,Trip[shape_id],Trip[shape_id],"Não encontrado")</f>
        <v/>
      </c>
      <c r="B4258" s="40" t="n">
        <v>-23.525385</v>
      </c>
      <c r="C4258" s="40" t="n">
        <v>-46.798828</v>
      </c>
      <c r="D4258" s="40" t="n">
        <v>196</v>
      </c>
      <c r="E4258" s="41" t="n">
        <v>24011.781</v>
      </c>
    </row>
    <row r="4259">
      <c r="A4259" s="42">
        <f>_xlfn.XLOOKUP(17849,Trip[shape_id],Trip[shape_id],"Não encontrado")</f>
        <v/>
      </c>
      <c r="B4259" s="43" t="n">
        <v>-23.52545</v>
      </c>
      <c r="C4259" s="43" t="n">
        <v>-46.798027</v>
      </c>
      <c r="D4259" s="43" t="n">
        <v>197</v>
      </c>
      <c r="E4259" s="44" t="n">
        <v>24167.408</v>
      </c>
    </row>
    <row r="4260">
      <c r="A4260" s="39">
        <f>_xlfn.XLOOKUP(17849,Trip[shape_id],Trip[shape_id],"Não encontrado")</f>
        <v/>
      </c>
      <c r="B4260" s="40" t="n">
        <v>-23.525602</v>
      </c>
      <c r="C4260" s="40" t="n">
        <v>-46.796512</v>
      </c>
      <c r="D4260" s="40" t="n">
        <v>198</v>
      </c>
      <c r="E4260" s="41" t="n">
        <v>24236.004</v>
      </c>
    </row>
    <row r="4261">
      <c r="A4261" s="42">
        <f>_xlfn.XLOOKUP(17849,Trip[shape_id],Trip[shape_id],"Não encontrado")</f>
        <v/>
      </c>
      <c r="B4261" s="43" t="n">
        <v>-23.525667</v>
      </c>
      <c r="C4261" s="43" t="n">
        <v>-46.795844</v>
      </c>
      <c r="D4261" s="43" t="n">
        <v>199</v>
      </c>
      <c r="E4261" s="44" t="n">
        <v>24236.004</v>
      </c>
    </row>
    <row r="4262">
      <c r="A4262" s="39">
        <f>_xlfn.XLOOKUP(17849,Trip[shape_id],Trip[shape_id],"Não encontrado")</f>
        <v/>
      </c>
      <c r="B4262" s="40" t="n">
        <v>-23.525919</v>
      </c>
      <c r="C4262" s="40" t="n">
        <v>-46.793457</v>
      </c>
      <c r="D4262" s="40" t="n">
        <v>200</v>
      </c>
      <c r="E4262" s="41" t="n">
        <v>24556.852</v>
      </c>
    </row>
    <row r="4263">
      <c r="A4263" s="42">
        <f>_xlfn.XLOOKUP(17849,Trip[shape_id],Trip[shape_id],"Não encontrado")</f>
        <v/>
      </c>
      <c r="B4263" s="43" t="n">
        <v>-23.526</v>
      </c>
      <c r="C4263" s="43" t="n">
        <v>-46.792723</v>
      </c>
      <c r="D4263" s="43" t="n">
        <v>201</v>
      </c>
      <c r="E4263" s="44" t="n">
        <v>24631.41</v>
      </c>
    </row>
    <row r="4264">
      <c r="A4264" s="39">
        <f>_xlfn.XLOOKUP(17849,Trip[shape_id],Trip[shape_id],"Não encontrado")</f>
        <v/>
      </c>
      <c r="B4264" s="40" t="n">
        <v>-23.525894</v>
      </c>
      <c r="C4264" s="40" t="n">
        <v>-46.792002</v>
      </c>
      <c r="D4264" s="40" t="n">
        <v>202</v>
      </c>
      <c r="E4264" s="41" t="n">
        <v>24721.93</v>
      </c>
    </row>
    <row r="4265">
      <c r="A4265" s="42">
        <f>_xlfn.XLOOKUP(17849,Trip[shape_id],Trip[shape_id],"Não encontrado")</f>
        <v/>
      </c>
      <c r="B4265" s="43" t="n">
        <v>-23.525577</v>
      </c>
      <c r="C4265" s="43" t="n">
        <v>-46.791185</v>
      </c>
      <c r="D4265" s="43" t="n">
        <v>203</v>
      </c>
      <c r="E4265" s="44" t="n">
        <v>24801.898</v>
      </c>
    </row>
    <row r="4266">
      <c r="A4266" s="39">
        <f>_xlfn.XLOOKUP(17849,Trip[shape_id],Trip[shape_id],"Não encontrado")</f>
        <v/>
      </c>
      <c r="B4266" s="40" t="n">
        <v>-23.525078</v>
      </c>
      <c r="C4266" s="40" t="n">
        <v>-46.790619</v>
      </c>
      <c r="D4266" s="40" t="n">
        <v>204</v>
      </c>
      <c r="E4266" s="41" t="n">
        <v>24849.729</v>
      </c>
    </row>
    <row r="4267">
      <c r="A4267" s="42">
        <f>_xlfn.XLOOKUP(17849,Trip[shape_id],Trip[shape_id],"Não encontrado")</f>
        <v/>
      </c>
      <c r="B4267" s="43" t="n">
        <v>-23.524736</v>
      </c>
      <c r="C4267" s="43" t="n">
        <v>-46.790333</v>
      </c>
      <c r="D4267" s="43" t="n">
        <v>205</v>
      </c>
      <c r="E4267" s="44" t="n">
        <v>24930.617</v>
      </c>
    </row>
    <row r="4268">
      <c r="A4268" s="39">
        <f>_xlfn.XLOOKUP(17849,Trip[shape_id],Trip[shape_id],"Não encontrado")</f>
        <v/>
      </c>
      <c r="B4268" s="40" t="n">
        <v>-23.52416</v>
      </c>
      <c r="C4268" s="40" t="n">
        <v>-46.789846</v>
      </c>
      <c r="D4268" s="40" t="n">
        <v>206</v>
      </c>
      <c r="E4268" s="41" t="n">
        <v>24980.152</v>
      </c>
    </row>
    <row r="4269">
      <c r="A4269" s="42">
        <f>_xlfn.XLOOKUP(17849,Trip[shape_id],Trip[shape_id],"Não encontrado")</f>
        <v/>
      </c>
      <c r="B4269" s="43" t="n">
        <v>-23.52381</v>
      </c>
      <c r="C4269" s="43" t="n">
        <v>-46.789544</v>
      </c>
      <c r="D4269" s="43" t="n">
        <v>207</v>
      </c>
      <c r="E4269" s="44" t="n">
        <v>25071.568</v>
      </c>
    </row>
    <row r="4270">
      <c r="A4270" s="39">
        <f>_xlfn.XLOOKUP(17849,Trip[shape_id],Trip[shape_id],"Não encontrado")</f>
        <v/>
      </c>
      <c r="B4270" s="40" t="n">
        <v>-23.523299</v>
      </c>
      <c r="C4270" s="40" t="n">
        <v>-46.788841</v>
      </c>
      <c r="D4270" s="40" t="n">
        <v>208</v>
      </c>
      <c r="E4270" s="41" t="n">
        <v>25160.984</v>
      </c>
    </row>
    <row r="4271">
      <c r="A4271" s="42">
        <f>_xlfn.XLOOKUP(17849,Trip[shape_id],Trip[shape_id],"Não encontrado")</f>
        <v/>
      </c>
      <c r="B4271" s="43" t="n">
        <v>-23.523026</v>
      </c>
      <c r="C4271" s="43" t="n">
        <v>-46.788017</v>
      </c>
      <c r="D4271" s="43" t="n">
        <v>209</v>
      </c>
      <c r="E4271" s="44" t="n">
        <v>25235.537</v>
      </c>
    </row>
    <row r="4272">
      <c r="A4272" s="39">
        <f>_xlfn.XLOOKUP(17849,Trip[shape_id],Trip[shape_id],"Não encontrado")</f>
        <v/>
      </c>
      <c r="B4272" s="40" t="n">
        <v>-23.523031</v>
      </c>
      <c r="C4272" s="40" t="n">
        <v>-46.787287</v>
      </c>
      <c r="D4272" s="40" t="n">
        <v>210</v>
      </c>
      <c r="E4272" s="41" t="n">
        <v>25374.682</v>
      </c>
    </row>
    <row r="4273">
      <c r="A4273" s="42">
        <f>_xlfn.XLOOKUP(17849,Trip[shape_id],Trip[shape_id],"Não encontrado")</f>
        <v/>
      </c>
      <c r="B4273" s="43" t="n">
        <v>-23.523386</v>
      </c>
      <c r="C4273" s="43" t="n">
        <v>-46.78598</v>
      </c>
      <c r="D4273" s="43" t="n">
        <v>211</v>
      </c>
      <c r="E4273" s="44" t="n">
        <v>25499.52</v>
      </c>
    </row>
    <row r="4274">
      <c r="A4274" s="39">
        <f>_xlfn.XLOOKUP(17849,Trip[shape_id],Trip[shape_id],"Não encontrado")</f>
        <v/>
      </c>
      <c r="B4274" s="40" t="n">
        <v>-23.523736</v>
      </c>
      <c r="C4274" s="40" t="n">
        <v>-46.784818</v>
      </c>
      <c r="D4274" s="40" t="n">
        <v>212</v>
      </c>
      <c r="E4274" s="41" t="n">
        <v>25536.811</v>
      </c>
    </row>
    <row r="4275">
      <c r="A4275" s="42">
        <f>_xlfn.XLOOKUP(17849,Trip[shape_id],Trip[shape_id],"Não encontrado")</f>
        <v/>
      </c>
      <c r="B4275" s="43" t="n">
        <v>-23.523838</v>
      </c>
      <c r="C4275" s="43" t="n">
        <v>-46.78447</v>
      </c>
      <c r="D4275" s="43" t="n">
        <v>213</v>
      </c>
      <c r="E4275" s="44" t="n">
        <v>25626.592</v>
      </c>
    </row>
    <row r="4276">
      <c r="A4276" s="39">
        <f>_xlfn.XLOOKUP(17849,Trip[shape_id],Trip[shape_id],"Não encontrado")</f>
        <v/>
      </c>
      <c r="B4276" s="40" t="n">
        <v>-23.524086</v>
      </c>
      <c r="C4276" s="40" t="n">
        <v>-46.783633</v>
      </c>
      <c r="D4276" s="40" t="n">
        <v>214</v>
      </c>
      <c r="E4276" s="41" t="n">
        <v>25888.563</v>
      </c>
    </row>
    <row r="4277">
      <c r="A4277" s="42">
        <f>_xlfn.XLOOKUP(17849,Trip[shape_id],Trip[shape_id],"Não encontrado")</f>
        <v/>
      </c>
      <c r="B4277" s="43" t="n">
        <v>-23.524819</v>
      </c>
      <c r="C4277" s="43" t="n">
        <v>-46.781194</v>
      </c>
      <c r="D4277" s="43" t="n">
        <v>215</v>
      </c>
      <c r="E4277" s="44" t="n">
        <v>26018.814</v>
      </c>
    </row>
    <row r="4278">
      <c r="A4278" s="39">
        <f>_xlfn.XLOOKUP(17849,Trip[shape_id],Trip[shape_id],"Não encontrado")</f>
        <v/>
      </c>
      <c r="B4278" s="40" t="n">
        <v>-23.525235</v>
      </c>
      <c r="C4278" s="40" t="n">
        <v>-46.780001</v>
      </c>
      <c r="D4278" s="40" t="n">
        <v>216</v>
      </c>
      <c r="E4278" s="41" t="n">
        <v>26128.176</v>
      </c>
    </row>
    <row r="4279">
      <c r="A4279" s="42">
        <f>_xlfn.XLOOKUP(17849,Trip[shape_id],Trip[shape_id],"Não encontrado")</f>
        <v/>
      </c>
      <c r="B4279" s="43" t="n">
        <v>-23.525689</v>
      </c>
      <c r="C4279" s="43" t="n">
        <v>-46.77905</v>
      </c>
      <c r="D4279" s="43" t="n">
        <v>217</v>
      </c>
      <c r="E4279" s="44" t="n">
        <v>26294.674</v>
      </c>
    </row>
    <row r="4280">
      <c r="A4280" s="39">
        <f>_xlfn.XLOOKUP(17849,Trip[shape_id],Trip[shape_id],"Não encontrado")</f>
        <v/>
      </c>
      <c r="B4280" s="40" t="n">
        <v>-23.526461</v>
      </c>
      <c r="C4280" s="40" t="n">
        <v>-46.777651</v>
      </c>
      <c r="D4280" s="40" t="n">
        <v>218</v>
      </c>
      <c r="E4280" s="41" t="n">
        <v>26503.365</v>
      </c>
    </row>
    <row r="4281">
      <c r="A4281" s="42">
        <f>_xlfn.XLOOKUP(17849,Trip[shape_id],Trip[shape_id],"Não encontrado")</f>
        <v/>
      </c>
      <c r="B4281" s="43" t="n">
        <v>-23.527618</v>
      </c>
      <c r="C4281" s="43" t="n">
        <v>-46.776038</v>
      </c>
      <c r="D4281" s="43" t="n">
        <v>219</v>
      </c>
      <c r="E4281" s="44" t="n">
        <v>26503.365</v>
      </c>
    </row>
    <row r="4282">
      <c r="A4282" s="39">
        <f>_xlfn.XLOOKUP(17849,Trip[shape_id],Trip[shape_id],"Não encontrado")</f>
        <v/>
      </c>
      <c r="B4282" s="40" t="n">
        <v>-23.527709</v>
      </c>
      <c r="C4282" s="40" t="n">
        <v>-46.775906</v>
      </c>
      <c r="D4282" s="40" t="n">
        <v>220</v>
      </c>
      <c r="E4282" s="41" t="n">
        <v>26675.359</v>
      </c>
    </row>
    <row r="4283">
      <c r="A4283" s="42">
        <f>_xlfn.XLOOKUP(17849,Trip[shape_id],Trip[shape_id],"Não encontrado")</f>
        <v/>
      </c>
      <c r="B4283" s="43" t="n">
        <v>-23.528566</v>
      </c>
      <c r="C4283" s="43" t="n">
        <v>-46.774704</v>
      </c>
      <c r="D4283" s="43" t="n">
        <v>221</v>
      </c>
      <c r="E4283" s="44" t="n">
        <v>26935.627</v>
      </c>
    </row>
    <row r="4284">
      <c r="A4284" s="39">
        <f>_xlfn.XLOOKUP(17849,Trip[shape_id],Trip[shape_id],"Não encontrado")</f>
        <v/>
      </c>
      <c r="B4284" s="40" t="n">
        <v>-23.530089</v>
      </c>
      <c r="C4284" s="40" t="n">
        <v>-46.772763</v>
      </c>
      <c r="D4284" s="40" t="n">
        <v>222</v>
      </c>
      <c r="E4284" s="41" t="n">
        <v>26975.162</v>
      </c>
    </row>
    <row r="4285">
      <c r="A4285" s="42">
        <f>_xlfn.XLOOKUP(17849,Trip[shape_id],Trip[shape_id],"Não encontrado")</f>
        <v/>
      </c>
      <c r="B4285" s="43" t="n">
        <v>-23.530318</v>
      </c>
      <c r="C4285" s="43" t="n">
        <v>-46.772466</v>
      </c>
      <c r="D4285" s="43" t="n">
        <v>223</v>
      </c>
      <c r="E4285" s="44" t="n">
        <v>27039.418</v>
      </c>
    </row>
    <row r="4286">
      <c r="A4286" s="39">
        <f>_xlfn.XLOOKUP(17849,Trip[shape_id],Trip[shape_id],"Não encontrado")</f>
        <v/>
      </c>
      <c r="B4286" s="40" t="n">
        <v>-23.530675</v>
      </c>
      <c r="C4286" s="40" t="n">
        <v>-46.77197</v>
      </c>
      <c r="D4286" s="40" t="n">
        <v>224</v>
      </c>
      <c r="E4286" s="41" t="n">
        <v>27105.115</v>
      </c>
    </row>
    <row r="4287">
      <c r="A4287" s="42">
        <f>_xlfn.XLOOKUP(17849,Trip[shape_id],Trip[shape_id],"Não encontrado")</f>
        <v/>
      </c>
      <c r="B4287" s="43" t="n">
        <v>-23.531039</v>
      </c>
      <c r="C4287" s="43" t="n">
        <v>-46.771462</v>
      </c>
      <c r="D4287" s="43" t="n">
        <v>225</v>
      </c>
      <c r="E4287" s="44" t="n">
        <v>27171.662</v>
      </c>
    </row>
    <row r="4288">
      <c r="A4288" s="39">
        <f>_xlfn.XLOOKUP(17849,Trip[shape_id],Trip[shape_id],"Não encontrado")</f>
        <v/>
      </c>
      <c r="B4288" s="40" t="n">
        <v>-23.531406</v>
      </c>
      <c r="C4288" s="40" t="n">
        <v>-46.770946</v>
      </c>
      <c r="D4288" s="40" t="n">
        <v>226</v>
      </c>
      <c r="E4288" s="41" t="n">
        <v>27282.912</v>
      </c>
    </row>
    <row r="4289">
      <c r="A4289" s="42">
        <f>_xlfn.XLOOKUP(17849,Trip[shape_id],Trip[shape_id],"Não encontrado")</f>
        <v/>
      </c>
      <c r="B4289" s="43" t="n">
        <v>-23.531813</v>
      </c>
      <c r="C4289" s="43" t="n">
        <v>-46.76995</v>
      </c>
      <c r="D4289" s="43" t="n">
        <v>227</v>
      </c>
      <c r="E4289" s="44" t="n">
        <v>27316.449</v>
      </c>
    </row>
    <row r="4290">
      <c r="A4290" s="39">
        <f>_xlfn.XLOOKUP(17849,Trip[shape_id],Trip[shape_id],"Não encontrado")</f>
        <v/>
      </c>
      <c r="B4290" s="40" t="n">
        <v>-23.531932</v>
      </c>
      <c r="C4290" s="40" t="n">
        <v>-46.769648</v>
      </c>
      <c r="D4290" s="40" t="n">
        <v>228</v>
      </c>
      <c r="E4290" s="41" t="n">
        <v>27421.42</v>
      </c>
    </row>
    <row r="4291">
      <c r="A4291" s="42">
        <f>_xlfn.XLOOKUP(17849,Trip[shape_id],Trip[shape_id],"Não encontrado")</f>
        <v/>
      </c>
      <c r="B4291" s="43" t="n">
        <v>-23.532285</v>
      </c>
      <c r="C4291" s="43" t="n">
        <v>-46.768694</v>
      </c>
      <c r="D4291" s="43" t="n">
        <v>229</v>
      </c>
      <c r="E4291" s="44" t="n">
        <v>27421.42</v>
      </c>
    </row>
    <row r="4292">
      <c r="A4292" s="39">
        <f>_xlfn.XLOOKUP(17849,Trip[shape_id],Trip[shape_id],"Não encontrado")</f>
        <v/>
      </c>
      <c r="B4292" s="40" t="n">
        <v>-23.532698</v>
      </c>
      <c r="C4292" s="40" t="n">
        <v>-46.767575</v>
      </c>
      <c r="D4292" s="40" t="n">
        <v>230</v>
      </c>
      <c r="E4292" s="41" t="n">
        <v>27544.502</v>
      </c>
    </row>
    <row r="4293">
      <c r="A4293" s="42">
        <f>_xlfn.XLOOKUP(17849,Trip[shape_id],Trip[shape_id],"Não encontrado")</f>
        <v/>
      </c>
      <c r="B4293" s="43" t="n">
        <v>-23.533062</v>
      </c>
      <c r="C4293" s="43" t="n">
        <v>-46.766598</v>
      </c>
      <c r="D4293" s="43" t="n">
        <v>231</v>
      </c>
      <c r="E4293" s="44" t="n">
        <v>27652.105</v>
      </c>
    </row>
    <row r="4294">
      <c r="A4294" s="39">
        <f>_xlfn.XLOOKUP(17849,Trip[shape_id],Trip[shape_id],"Não encontrado")</f>
        <v/>
      </c>
      <c r="B4294" s="40" t="n">
        <v>-23.533275</v>
      </c>
      <c r="C4294" s="40" t="n">
        <v>-46.765927</v>
      </c>
      <c r="D4294" s="40" t="n">
        <v>232</v>
      </c>
      <c r="E4294" s="41" t="n">
        <v>27724.572</v>
      </c>
    </row>
    <row r="4295">
      <c r="A4295" s="42">
        <f>_xlfn.XLOOKUP(17849,Trip[shape_id],Trip[shape_id],"Não encontrado")</f>
        <v/>
      </c>
      <c r="B4295" s="43" t="n">
        <v>-23.533398</v>
      </c>
      <c r="C4295" s="43" t="n">
        <v>-46.765157</v>
      </c>
      <c r="D4295" s="43" t="n">
        <v>233</v>
      </c>
      <c r="E4295" s="44" t="n">
        <v>27804.373</v>
      </c>
    </row>
    <row r="4296">
      <c r="A4296" s="39">
        <f>_xlfn.XLOOKUP(17849,Trip[shape_id],Trip[shape_id],"Não encontrado")</f>
        <v/>
      </c>
      <c r="B4296" s="40" t="n">
        <v>-23.533299</v>
      </c>
      <c r="C4296" s="40" t="n">
        <v>-46.764496</v>
      </c>
      <c r="D4296" s="40" t="n">
        <v>234</v>
      </c>
      <c r="E4296" s="41" t="n">
        <v>27872.756</v>
      </c>
    </row>
    <row r="4297">
      <c r="A4297" s="42">
        <f>_xlfn.XLOOKUP(17849,Trip[shape_id],Trip[shape_id],"Não encontrado")</f>
        <v/>
      </c>
      <c r="B4297" s="43" t="n">
        <v>-23.533024</v>
      </c>
      <c r="C4297" s="43" t="n">
        <v>-46.76378</v>
      </c>
      <c r="D4297" s="43" t="n">
        <v>235</v>
      </c>
      <c r="E4297" s="44" t="n">
        <v>27951.961</v>
      </c>
    </row>
    <row r="4298">
      <c r="A4298" s="39">
        <f>_xlfn.XLOOKUP(17849,Trip[shape_id],Trip[shape_id],"Não encontrado")</f>
        <v/>
      </c>
      <c r="B4298" s="40" t="n">
        <v>-23.53245</v>
      </c>
      <c r="C4298" s="40" t="n">
        <v>-46.763056</v>
      </c>
      <c r="D4298" s="40" t="n">
        <v>236</v>
      </c>
      <c r="E4298" s="41" t="n">
        <v>28049.467</v>
      </c>
    </row>
    <row r="4299">
      <c r="A4299" s="42">
        <f>_xlfn.XLOOKUP(17849,Trip[shape_id],Trip[shape_id],"Não encontrado")</f>
        <v/>
      </c>
      <c r="B4299" s="43" t="n">
        <v>-23.531195</v>
      </c>
      <c r="C4299" s="43" t="n">
        <v>-46.76174</v>
      </c>
      <c r="D4299" s="43" t="n">
        <v>237</v>
      </c>
      <c r="E4299" s="44" t="n">
        <v>28242.803</v>
      </c>
    </row>
    <row r="4300">
      <c r="A4300" s="39">
        <f>_xlfn.XLOOKUP(17849,Trip[shape_id],Trip[shape_id],"Não encontrado")</f>
        <v/>
      </c>
      <c r="B4300" s="40" t="n">
        <v>-23.530124</v>
      </c>
      <c r="C4300" s="40" t="n">
        <v>-46.760679</v>
      </c>
      <c r="D4300" s="40" t="n">
        <v>238</v>
      </c>
      <c r="E4300" s="41" t="n">
        <v>28403.453</v>
      </c>
    </row>
    <row r="4301">
      <c r="A4301" s="42">
        <f>_xlfn.XLOOKUP(17849,Trip[shape_id],Trip[shape_id],"Não encontrado")</f>
        <v/>
      </c>
      <c r="B4301" s="43" t="n">
        <v>-23.529559</v>
      </c>
      <c r="C4301" s="43" t="n">
        <v>-46.760057</v>
      </c>
      <c r="D4301" s="43" t="n">
        <v>239</v>
      </c>
      <c r="E4301" s="44" t="n">
        <v>28492.615</v>
      </c>
    </row>
    <row r="4302">
      <c r="A4302" s="39">
        <f>_xlfn.XLOOKUP(17849,Trip[shape_id],Trip[shape_id],"Não encontrado")</f>
        <v/>
      </c>
      <c r="B4302" s="40" t="n">
        <v>-23.529251</v>
      </c>
      <c r="C4302" s="40" t="n">
        <v>-46.759504</v>
      </c>
      <c r="D4302" s="40" t="n">
        <v>240</v>
      </c>
      <c r="E4302" s="41" t="n">
        <v>28558.59</v>
      </c>
    </row>
    <row r="4303">
      <c r="A4303" s="42">
        <f>_xlfn.XLOOKUP(17849,Trip[shape_id],Trip[shape_id],"Não encontrado")</f>
        <v/>
      </c>
      <c r="B4303" s="43" t="n">
        <v>-23.529146</v>
      </c>
      <c r="C4303" s="43" t="n">
        <v>-46.759232</v>
      </c>
      <c r="D4303" s="43" t="n">
        <v>241</v>
      </c>
      <c r="E4303" s="44" t="n">
        <v>28588.703</v>
      </c>
    </row>
    <row r="4304">
      <c r="A4304" s="39">
        <f>_xlfn.XLOOKUP(17849,Trip[shape_id],Trip[shape_id],"Não encontrado")</f>
        <v/>
      </c>
      <c r="B4304" s="40" t="n">
        <v>-23.52899</v>
      </c>
      <c r="C4304" s="40" t="n">
        <v>-46.758833</v>
      </c>
      <c r="D4304" s="40" t="n">
        <v>242</v>
      </c>
      <c r="E4304" s="41" t="n">
        <v>28632.961</v>
      </c>
    </row>
    <row r="4305">
      <c r="A4305" s="42">
        <f>_xlfn.XLOOKUP(17849,Trip[shape_id],Trip[shape_id],"Não encontrado")</f>
        <v/>
      </c>
      <c r="B4305" s="43" t="n">
        <v>-23.528831</v>
      </c>
      <c r="C4305" s="43" t="n">
        <v>-46.758357</v>
      </c>
      <c r="D4305" s="43" t="n">
        <v>243</v>
      </c>
      <c r="E4305" s="44" t="n">
        <v>28684.66</v>
      </c>
    </row>
    <row r="4306">
      <c r="A4306" s="39">
        <f>_xlfn.XLOOKUP(17849,Trip[shape_id],Trip[shape_id],"Não encontrado")</f>
        <v/>
      </c>
      <c r="B4306" s="40" t="n">
        <v>-23.528701</v>
      </c>
      <c r="C4306" s="40" t="n">
        <v>-46.757843</v>
      </c>
      <c r="D4306" s="40" t="n">
        <v>244</v>
      </c>
      <c r="E4306" s="41" t="n">
        <v>28739.088</v>
      </c>
    </row>
    <row r="4307">
      <c r="A4307" s="42">
        <f>_xlfn.XLOOKUP(17849,Trip[shape_id],Trip[shape_id],"Não encontrado")</f>
        <v/>
      </c>
      <c r="B4307" s="43" t="n">
        <v>-23.528648</v>
      </c>
      <c r="C4307" s="43" t="n">
        <v>-46.757251</v>
      </c>
      <c r="D4307" s="43" t="n">
        <v>245</v>
      </c>
      <c r="E4307" s="44" t="n">
        <v>28799.826</v>
      </c>
    </row>
    <row r="4308">
      <c r="A4308" s="39">
        <f>_xlfn.XLOOKUP(17849,Trip[shape_id],Trip[shape_id],"Não encontrado")</f>
        <v/>
      </c>
      <c r="B4308" s="40" t="n">
        <v>-23.528738</v>
      </c>
      <c r="C4308" s="40" t="n">
        <v>-46.75664</v>
      </c>
      <c r="D4308" s="40" t="n">
        <v>246</v>
      </c>
      <c r="E4308" s="41" t="n">
        <v>28863.012</v>
      </c>
    </row>
    <row r="4309">
      <c r="A4309" s="42">
        <f>_xlfn.XLOOKUP(17849,Trip[shape_id],Trip[shape_id],"Não encontrado")</f>
        <v/>
      </c>
      <c r="B4309" s="43" t="n">
        <v>-23.529059</v>
      </c>
      <c r="C4309" s="43" t="n">
        <v>-46.75573</v>
      </c>
      <c r="D4309" s="43" t="n">
        <v>247</v>
      </c>
      <c r="E4309" s="44" t="n">
        <v>28962.508</v>
      </c>
    </row>
    <row r="4310">
      <c r="A4310" s="39">
        <f>_xlfn.XLOOKUP(17849,Trip[shape_id],Trip[shape_id],"Não encontrado")</f>
        <v/>
      </c>
      <c r="B4310" s="40" t="n">
        <v>-23.52949</v>
      </c>
      <c r="C4310" s="40" t="n">
        <v>-46.754745</v>
      </c>
      <c r="D4310" s="40" t="n">
        <v>248</v>
      </c>
      <c r="E4310" s="41" t="n">
        <v>29073.846</v>
      </c>
    </row>
    <row r="4311">
      <c r="A4311" s="42">
        <f>_xlfn.XLOOKUP(17849,Trip[shape_id],Trip[shape_id],"Não encontrado")</f>
        <v/>
      </c>
      <c r="B4311" s="43" t="n">
        <v>-23.529812</v>
      </c>
      <c r="C4311" s="43" t="n">
        <v>-46.754036</v>
      </c>
      <c r="D4311" s="43" t="n">
        <v>249</v>
      </c>
      <c r="E4311" s="44" t="n">
        <v>29154.555</v>
      </c>
    </row>
    <row r="4312">
      <c r="A4312" s="39">
        <f>_xlfn.XLOOKUP(17849,Trip[shape_id],Trip[shape_id],"Não encontrado")</f>
        <v/>
      </c>
      <c r="B4312" s="40" t="n">
        <v>-23.530001</v>
      </c>
      <c r="C4312" s="40" t="n">
        <v>-46.753595</v>
      </c>
      <c r="D4312" s="40" t="n">
        <v>250</v>
      </c>
      <c r="E4312" s="41" t="n">
        <v>29204.215</v>
      </c>
    </row>
    <row r="4313">
      <c r="A4313" s="42">
        <f>_xlfn.XLOOKUP(17849,Trip[shape_id],Trip[shape_id],"Não encontrado")</f>
        <v/>
      </c>
      <c r="B4313" s="43" t="n">
        <v>-23.530245</v>
      </c>
      <c r="C4313" s="43" t="n">
        <v>-46.753008</v>
      </c>
      <c r="D4313" s="43" t="n">
        <v>251</v>
      </c>
      <c r="E4313" s="44" t="n">
        <v>29269.967</v>
      </c>
    </row>
    <row r="4314">
      <c r="A4314" s="39">
        <f>_xlfn.XLOOKUP(17849,Trip[shape_id],Trip[shape_id],"Não encontrado")</f>
        <v/>
      </c>
      <c r="B4314" s="40" t="n">
        <v>-23.53053</v>
      </c>
      <c r="C4314" s="40" t="n">
        <v>-46.752043</v>
      </c>
      <c r="D4314" s="40" t="n">
        <v>252</v>
      </c>
      <c r="E4314" s="41" t="n">
        <v>29373.441</v>
      </c>
    </row>
    <row r="4315">
      <c r="A4315" s="42">
        <f>_xlfn.XLOOKUP(17849,Trip[shape_id],Trip[shape_id],"Não encontrado")</f>
        <v/>
      </c>
      <c r="B4315" s="43" t="n">
        <v>-23.530717</v>
      </c>
      <c r="C4315" s="43" t="n">
        <v>-46.750746</v>
      </c>
      <c r="D4315" s="43" t="n">
        <v>253</v>
      </c>
      <c r="E4315" s="44" t="n">
        <v>29507.498</v>
      </c>
    </row>
    <row r="4316">
      <c r="A4316" s="39">
        <f>_xlfn.XLOOKUP(17849,Trip[shape_id],Trip[shape_id],"Não encontrado")</f>
        <v/>
      </c>
      <c r="B4316" s="40" t="n">
        <v>-23.53079</v>
      </c>
      <c r="C4316" s="40" t="n">
        <v>-46.75023</v>
      </c>
      <c r="D4316" s="40" t="n">
        <v>254</v>
      </c>
      <c r="E4316" s="41" t="n">
        <v>29560.807</v>
      </c>
    </row>
    <row r="4317">
      <c r="A4317" s="42">
        <f>_xlfn.XLOOKUP(17849,Trip[shape_id],Trip[shape_id],"Não encontrado")</f>
        <v/>
      </c>
      <c r="B4317" s="43" t="n">
        <v>-23.530789</v>
      </c>
      <c r="C4317" s="43" t="n">
        <v>-46.750143</v>
      </c>
      <c r="D4317" s="43" t="n">
        <v>255</v>
      </c>
      <c r="E4317" s="44" t="n">
        <v>29569.691</v>
      </c>
    </row>
    <row r="4318">
      <c r="A4318" s="39">
        <f>_xlfn.XLOOKUP(17849,Trip[shape_id],Trip[shape_id],"Não encontrado")</f>
        <v/>
      </c>
      <c r="B4318" s="40" t="n">
        <v>-23.530771</v>
      </c>
      <c r="C4318" s="40" t="n">
        <v>-46.748264</v>
      </c>
      <c r="D4318" s="40" t="n">
        <v>256</v>
      </c>
      <c r="E4318" s="41" t="n">
        <v>29761.58</v>
      </c>
    </row>
    <row r="4319">
      <c r="A4319" s="42">
        <f>_xlfn.XLOOKUP(17849,Trip[shape_id],Trip[shape_id],"Não encontrado")</f>
        <v/>
      </c>
      <c r="B4319" s="43" t="n">
        <v>-23.530706</v>
      </c>
      <c r="C4319" s="43" t="n">
        <v>-46.747608</v>
      </c>
      <c r="D4319" s="43" t="n">
        <v>257</v>
      </c>
      <c r="E4319" s="44" t="n">
        <v>29828.955</v>
      </c>
    </row>
    <row r="4320">
      <c r="A4320" s="39">
        <f>_xlfn.XLOOKUP(17849,Trip[shape_id],Trip[shape_id],"Não encontrado")</f>
        <v/>
      </c>
      <c r="B4320" s="40" t="n">
        <v>-23.530659</v>
      </c>
      <c r="C4320" s="40" t="n">
        <v>-46.747142</v>
      </c>
      <c r="D4320" s="40" t="n">
        <v>258</v>
      </c>
      <c r="E4320" s="41" t="n">
        <v>29876.826</v>
      </c>
    </row>
    <row r="4321">
      <c r="A4321" s="42">
        <f>_xlfn.XLOOKUP(17849,Trip[shape_id],Trip[shape_id],"Não encontrado")</f>
        <v/>
      </c>
      <c r="B4321" s="43" t="n">
        <v>-23.530518</v>
      </c>
      <c r="C4321" s="43" t="n">
        <v>-46.746661</v>
      </c>
      <c r="D4321" s="43" t="n">
        <v>259</v>
      </c>
      <c r="E4321" s="44" t="n">
        <v>29928.367</v>
      </c>
    </row>
    <row r="4322">
      <c r="A4322" s="39">
        <f>_xlfn.XLOOKUP(17849,Trip[shape_id],Trip[shape_id],"Não encontrado")</f>
        <v/>
      </c>
      <c r="B4322" s="40" t="n">
        <v>-23.530327</v>
      </c>
      <c r="C4322" s="40" t="n">
        <v>-46.746176</v>
      </c>
      <c r="D4322" s="40" t="n">
        <v>260</v>
      </c>
      <c r="E4322" s="41" t="n">
        <v>29982.223</v>
      </c>
    </row>
    <row r="4323">
      <c r="A4323" s="42">
        <f>_xlfn.XLOOKUP(17849,Trip[shape_id],Trip[shape_id],"Não encontrado")</f>
        <v/>
      </c>
      <c r="B4323" s="43" t="n">
        <v>-23.530103</v>
      </c>
      <c r="C4323" s="43" t="n">
        <v>-46.745752</v>
      </c>
      <c r="D4323" s="43" t="n">
        <v>261</v>
      </c>
      <c r="E4323" s="44" t="n">
        <v>30032.125</v>
      </c>
    </row>
    <row r="4324">
      <c r="A4324" s="39">
        <f>_xlfn.XLOOKUP(17849,Trip[shape_id],Trip[shape_id],"Não encontrado")</f>
        <v/>
      </c>
      <c r="B4324" s="40" t="n">
        <v>-23.529897</v>
      </c>
      <c r="C4324" s="40" t="n">
        <v>-46.745475</v>
      </c>
      <c r="D4324" s="40" t="n">
        <v>262</v>
      </c>
      <c r="E4324" s="41" t="n">
        <v>30068.465</v>
      </c>
    </row>
    <row r="4325">
      <c r="A4325" s="42">
        <f>_xlfn.XLOOKUP(17849,Trip[shape_id],Trip[shape_id],"Não encontrado")</f>
        <v/>
      </c>
      <c r="B4325" s="43" t="n">
        <v>-23.529118</v>
      </c>
      <c r="C4325" s="43" t="n">
        <v>-46.744427</v>
      </c>
      <c r="D4325" s="43" t="n">
        <v>263</v>
      </c>
      <c r="E4325" s="44" t="n">
        <v>30205.93</v>
      </c>
    </row>
    <row r="4326">
      <c r="A4326" s="39">
        <f>_xlfn.XLOOKUP(17849,Trip[shape_id],Trip[shape_id],"Não encontrado")</f>
        <v/>
      </c>
      <c r="B4326" s="40" t="n">
        <v>-23.528856</v>
      </c>
      <c r="C4326" s="40" t="n">
        <v>-46.744068</v>
      </c>
      <c r="D4326" s="40" t="n">
        <v>264</v>
      </c>
      <c r="E4326" s="41" t="n">
        <v>30252.684</v>
      </c>
    </row>
    <row r="4327">
      <c r="A4327" s="42">
        <f>_xlfn.XLOOKUP(17849,Trip[shape_id],Trip[shape_id],"Não encontrado")</f>
        <v/>
      </c>
      <c r="B4327" s="43" t="n">
        <v>-23.528629</v>
      </c>
      <c r="C4327" s="43" t="n">
        <v>-46.743787</v>
      </c>
      <c r="D4327" s="43" t="n">
        <v>265</v>
      </c>
      <c r="E4327" s="44" t="n">
        <v>30290.834</v>
      </c>
    </row>
    <row r="4328">
      <c r="A4328" s="39">
        <f>_xlfn.XLOOKUP(17849,Trip[shape_id],Trip[shape_id],"Não encontrado")</f>
        <v/>
      </c>
      <c r="B4328" s="40" t="n">
        <v>-23.527587</v>
      </c>
      <c r="C4328" s="40" t="n">
        <v>-46.742484</v>
      </c>
      <c r="D4328" s="40" t="n">
        <v>266</v>
      </c>
      <c r="E4328" s="41" t="n">
        <v>30466.969</v>
      </c>
    </row>
    <row r="4329">
      <c r="A4329" s="42">
        <f>_xlfn.XLOOKUP(17849,Trip[shape_id],Trip[shape_id],"Não encontrado")</f>
        <v/>
      </c>
      <c r="B4329" s="43" t="n">
        <v>-23.526433</v>
      </c>
      <c r="C4329" s="43" t="n">
        <v>-46.741033</v>
      </c>
      <c r="D4329" s="43" t="n">
        <v>267</v>
      </c>
      <c r="E4329" s="44" t="n">
        <v>30662.65</v>
      </c>
    </row>
    <row r="4330">
      <c r="A4330" s="39">
        <f>_xlfn.XLOOKUP(17849,Trip[shape_id],Trip[shape_id],"Não encontrado")</f>
        <v/>
      </c>
      <c r="B4330" s="40" t="n">
        <v>-23.524955</v>
      </c>
      <c r="C4330" s="40" t="n">
        <v>-46.739179</v>
      </c>
      <c r="D4330" s="40" t="n">
        <v>268</v>
      </c>
      <c r="E4330" s="41" t="n">
        <v>30912.934</v>
      </c>
    </row>
    <row r="4331">
      <c r="A4331" s="42">
        <f>_xlfn.XLOOKUP(17849,Trip[shape_id],Trip[shape_id],"Não encontrado")</f>
        <v/>
      </c>
      <c r="B4331" s="43" t="n">
        <v>-23.524041</v>
      </c>
      <c r="C4331" s="43" t="n">
        <v>-46.738037</v>
      </c>
      <c r="D4331" s="43" t="n">
        <v>269</v>
      </c>
      <c r="E4331" s="44" t="n">
        <v>31067.361</v>
      </c>
    </row>
    <row r="4332">
      <c r="A4332" s="39">
        <f>_xlfn.XLOOKUP(17849,Trip[shape_id],Trip[shape_id],"Não encontrado")</f>
        <v/>
      </c>
      <c r="B4332" s="40" t="n">
        <v>-23.523749</v>
      </c>
      <c r="C4332" s="40" t="n">
        <v>-46.737662</v>
      </c>
      <c r="D4332" s="40" t="n">
        <v>270</v>
      </c>
      <c r="E4332" s="41" t="n">
        <v>31117.484</v>
      </c>
    </row>
    <row r="4333">
      <c r="A4333" s="42">
        <f>_xlfn.XLOOKUP(17849,Trip[shape_id],Trip[shape_id],"Não encontrado")</f>
        <v/>
      </c>
      <c r="B4333" s="43" t="n">
        <v>-23.522858</v>
      </c>
      <c r="C4333" s="43" t="n">
        <v>-46.736534</v>
      </c>
      <c r="D4333" s="43" t="n">
        <v>271</v>
      </c>
      <c r="E4333" s="44" t="n">
        <v>31269.166</v>
      </c>
    </row>
    <row r="4334">
      <c r="A4334" s="39">
        <f>_xlfn.XLOOKUP(17849,Trip[shape_id],Trip[shape_id],"Não encontrado")</f>
        <v/>
      </c>
      <c r="B4334" s="40" t="n">
        <v>-23.521605</v>
      </c>
      <c r="C4334" s="40" t="n">
        <v>-46.734969</v>
      </c>
      <c r="D4334" s="40" t="n">
        <v>272</v>
      </c>
      <c r="E4334" s="41" t="n">
        <v>31480.828</v>
      </c>
    </row>
    <row r="4335">
      <c r="A4335" s="42">
        <f>_xlfn.XLOOKUP(17849,Trip[shape_id],Trip[shape_id],"Não encontrado")</f>
        <v/>
      </c>
      <c r="B4335" s="43" t="n">
        <v>-23.521144</v>
      </c>
      <c r="C4335" s="43" t="n">
        <v>-46.734392</v>
      </c>
      <c r="D4335" s="43" t="n">
        <v>273</v>
      </c>
      <c r="E4335" s="44" t="n">
        <v>31558.797</v>
      </c>
    </row>
    <row r="4336">
      <c r="A4336" s="39">
        <f>_xlfn.XLOOKUP(17849,Trip[shape_id],Trip[shape_id],"Não encontrado")</f>
        <v/>
      </c>
      <c r="B4336" s="40" t="n">
        <v>-23.520515</v>
      </c>
      <c r="C4336" s="40" t="n">
        <v>-46.733539</v>
      </c>
      <c r="D4336" s="40" t="n">
        <v>274</v>
      </c>
      <c r="E4336" s="41" t="n">
        <v>31670.338</v>
      </c>
    </row>
    <row r="4337">
      <c r="A4337" s="42">
        <f>_xlfn.XLOOKUP(17849,Trip[shape_id],Trip[shape_id],"Não encontrado")</f>
        <v/>
      </c>
      <c r="B4337" s="43" t="n">
        <v>-23.519799</v>
      </c>
      <c r="C4337" s="43" t="n">
        <v>-46.732626</v>
      </c>
      <c r="D4337" s="43" t="n">
        <v>275</v>
      </c>
      <c r="E4337" s="44" t="n">
        <v>31792.738</v>
      </c>
    </row>
    <row r="4338">
      <c r="A4338" s="39">
        <f>_xlfn.XLOOKUP(17849,Trip[shape_id],Trip[shape_id],"Não encontrado")</f>
        <v/>
      </c>
      <c r="B4338" s="40" t="n">
        <v>-23.519519</v>
      </c>
      <c r="C4338" s="40" t="n">
        <v>-46.73199</v>
      </c>
      <c r="D4338" s="40" t="n">
        <v>276</v>
      </c>
      <c r="E4338" s="41" t="n">
        <v>31864.713</v>
      </c>
    </row>
    <row r="4339">
      <c r="A4339" s="42">
        <f>_xlfn.XLOOKUP(17849,Trip[shape_id],Trip[shape_id],"Não encontrado")</f>
        <v/>
      </c>
      <c r="B4339" s="43" t="n">
        <v>-23.519388</v>
      </c>
      <c r="C4339" s="43" t="n">
        <v>-46.731089</v>
      </c>
      <c r="D4339" s="43" t="n">
        <v>277</v>
      </c>
      <c r="E4339" s="44" t="n">
        <v>31957.865</v>
      </c>
    </row>
    <row r="4340">
      <c r="A4340" s="39">
        <f>_xlfn.XLOOKUP(17849,Trip[shape_id],Trip[shape_id],"Não encontrado")</f>
        <v/>
      </c>
      <c r="B4340" s="40" t="n">
        <v>-23.51942</v>
      </c>
      <c r="C4340" s="40" t="n">
        <v>-46.730282</v>
      </c>
      <c r="D4340" s="40" t="n">
        <v>278</v>
      </c>
      <c r="E4340" s="41" t="n">
        <v>32040.357</v>
      </c>
    </row>
    <row r="4341">
      <c r="A4341" s="42">
        <f>_xlfn.XLOOKUP(17849,Trip[shape_id],Trip[shape_id],"Não encontrado")</f>
        <v/>
      </c>
      <c r="B4341" s="43" t="n">
        <v>-23.519453</v>
      </c>
      <c r="C4341" s="43" t="n">
        <v>-46.729282</v>
      </c>
      <c r="D4341" s="43" t="n">
        <v>279</v>
      </c>
      <c r="E4341" s="44" t="n">
        <v>32142.549</v>
      </c>
    </row>
    <row r="4342">
      <c r="A4342" s="39">
        <f>_xlfn.XLOOKUP(17849,Trip[shape_id],Trip[shape_id],"Não encontrado")</f>
        <v/>
      </c>
      <c r="B4342" s="40" t="n">
        <v>-23.519457</v>
      </c>
      <c r="C4342" s="40" t="n">
        <v>-46.728684</v>
      </c>
      <c r="D4342" s="40" t="n">
        <v>280</v>
      </c>
      <c r="E4342" s="41" t="n">
        <v>32203.621</v>
      </c>
    </row>
    <row r="4343">
      <c r="A4343" s="42">
        <f>_xlfn.XLOOKUP(17849,Trip[shape_id],Trip[shape_id],"Não encontrado")</f>
        <v/>
      </c>
      <c r="B4343" s="43" t="n">
        <v>-23.519304</v>
      </c>
      <c r="C4343" s="43" t="n">
        <v>-46.727791</v>
      </c>
      <c r="D4343" s="43" t="n">
        <v>281</v>
      </c>
      <c r="E4343" s="44" t="n">
        <v>32296.381</v>
      </c>
    </row>
    <row r="4344">
      <c r="A4344" s="39">
        <f>_xlfn.XLOOKUP(17849,Trip[shape_id],Trip[shape_id],"Não encontrado")</f>
        <v/>
      </c>
      <c r="B4344" s="40" t="n">
        <v>-23.5191</v>
      </c>
      <c r="C4344" s="40" t="n">
        <v>-46.726635</v>
      </c>
      <c r="D4344" s="40" t="n">
        <v>282</v>
      </c>
      <c r="E4344" s="41" t="n">
        <v>32416.582</v>
      </c>
    </row>
    <row r="4345">
      <c r="A4345" s="42">
        <f>_xlfn.XLOOKUP(17849,Trip[shape_id],Trip[shape_id],"Não encontrado")</f>
        <v/>
      </c>
      <c r="B4345" s="43" t="n">
        <v>-23.518927</v>
      </c>
      <c r="C4345" s="43" t="n">
        <v>-46.725297</v>
      </c>
      <c r="D4345" s="43" t="n">
        <v>283</v>
      </c>
      <c r="E4345" s="44" t="n">
        <v>32554.564</v>
      </c>
    </row>
    <row r="4346">
      <c r="A4346" s="39">
        <f>_xlfn.XLOOKUP(17849,Trip[shape_id],Trip[shape_id],"Não encontrado")</f>
        <v/>
      </c>
      <c r="B4346" s="40" t="n">
        <v>-23.518897</v>
      </c>
      <c r="C4346" s="40" t="n">
        <v>-46.72458</v>
      </c>
      <c r="D4346" s="40" t="n">
        <v>284</v>
      </c>
      <c r="E4346" s="41" t="n">
        <v>32627.865</v>
      </c>
    </row>
    <row r="4347">
      <c r="A4347" s="42">
        <f>_xlfn.XLOOKUP(17849,Trip[shape_id],Trip[shape_id],"Não encontrado")</f>
        <v/>
      </c>
      <c r="B4347" s="43" t="n">
        <v>-23.518863</v>
      </c>
      <c r="C4347" s="43" t="n">
        <v>-46.723607</v>
      </c>
      <c r="D4347" s="43" t="n">
        <v>285</v>
      </c>
      <c r="E4347" s="44" t="n">
        <v>32727.305</v>
      </c>
    </row>
    <row r="4348">
      <c r="A4348" s="39">
        <f>_xlfn.XLOOKUP(17849,Trip[shape_id],Trip[shape_id],"Não encontrado")</f>
        <v/>
      </c>
      <c r="B4348" s="40" t="n">
        <v>-23.518788</v>
      </c>
      <c r="C4348" s="40" t="n">
        <v>-46.72152</v>
      </c>
      <c r="D4348" s="40" t="n">
        <v>286</v>
      </c>
      <c r="E4348" s="41" t="n">
        <v>32940.605</v>
      </c>
    </row>
    <row r="4349">
      <c r="A4349" s="42">
        <f>_xlfn.XLOOKUP(17849,Trip[shape_id],Trip[shape_id],"Não encontrado")</f>
        <v/>
      </c>
      <c r="B4349" s="43" t="n">
        <v>-23.518754</v>
      </c>
      <c r="C4349" s="43" t="n">
        <v>-46.72013</v>
      </c>
      <c r="D4349" s="43" t="n">
        <v>287</v>
      </c>
      <c r="E4349" s="44" t="n">
        <v>33082.613</v>
      </c>
    </row>
    <row r="4350">
      <c r="A4350" s="39">
        <f>_xlfn.XLOOKUP(17849,Trip[shape_id],Trip[shape_id],"Não encontrado")</f>
        <v/>
      </c>
      <c r="B4350" s="40" t="n">
        <v>-23.518743</v>
      </c>
      <c r="C4350" s="40" t="n">
        <v>-46.719431</v>
      </c>
      <c r="D4350" s="40" t="n">
        <v>288</v>
      </c>
      <c r="E4350" s="41" t="n">
        <v>33154.012</v>
      </c>
    </row>
    <row r="4351">
      <c r="A4351" s="42">
        <f>_xlfn.XLOOKUP(17849,Trip[shape_id],Trip[shape_id],"Não encontrado")</f>
        <v/>
      </c>
      <c r="B4351" s="43" t="n">
        <v>-23.518712</v>
      </c>
      <c r="C4351" s="43" t="n">
        <v>-46.719043</v>
      </c>
      <c r="D4351" s="43" t="n">
        <v>289</v>
      </c>
      <c r="E4351" s="44" t="n">
        <v>33193.785</v>
      </c>
    </row>
    <row r="4352">
      <c r="A4352" s="39">
        <f>_xlfn.XLOOKUP(17849,Trip[shape_id],Trip[shape_id],"Não encontrado")</f>
        <v/>
      </c>
      <c r="B4352" s="40" t="n">
        <v>-23.518703</v>
      </c>
      <c r="C4352" s="40" t="n">
        <v>-46.718923</v>
      </c>
      <c r="D4352" s="40" t="n">
        <v>290</v>
      </c>
      <c r="E4352" s="41" t="n">
        <v>33206.082</v>
      </c>
    </row>
    <row r="4353">
      <c r="A4353" s="42">
        <f>_xlfn.XLOOKUP(17849,Trip[shape_id],Trip[shape_id],"Não encontrado")</f>
        <v/>
      </c>
      <c r="B4353" s="43" t="n">
        <v>-23.518692</v>
      </c>
      <c r="C4353" s="43" t="n">
        <v>-46.718553</v>
      </c>
      <c r="D4353" s="43" t="n">
        <v>291</v>
      </c>
      <c r="E4353" s="44" t="n">
        <v>33243.887</v>
      </c>
    </row>
    <row r="4354">
      <c r="A4354" s="39">
        <f>_xlfn.XLOOKUP(17849,Trip[shape_id],Trip[shape_id],"Não encontrado")</f>
        <v/>
      </c>
      <c r="B4354" s="40" t="n">
        <v>-23.518717</v>
      </c>
      <c r="C4354" s="40" t="n">
        <v>-46.718232</v>
      </c>
      <c r="D4354" s="40" t="n">
        <v>292</v>
      </c>
      <c r="E4354" s="41" t="n">
        <v>33276.785</v>
      </c>
    </row>
    <row r="4355">
      <c r="A4355" s="42">
        <f>_xlfn.XLOOKUP(17849,Trip[shape_id],Trip[shape_id],"Não encontrado")</f>
        <v/>
      </c>
      <c r="B4355" s="43" t="n">
        <v>-23.518775</v>
      </c>
      <c r="C4355" s="43" t="n">
        <v>-46.717918</v>
      </c>
      <c r="D4355" s="43" t="n">
        <v>293</v>
      </c>
      <c r="E4355" s="44" t="n">
        <v>33309.488</v>
      </c>
    </row>
    <row r="4356">
      <c r="A4356" s="39">
        <f>_xlfn.XLOOKUP(17849,Trip[shape_id],Trip[shape_id],"Não encontrado")</f>
        <v/>
      </c>
      <c r="B4356" s="40" t="n">
        <v>-23.51887</v>
      </c>
      <c r="C4356" s="40" t="n">
        <v>-46.717513</v>
      </c>
      <c r="D4356" s="40" t="n">
        <v>294</v>
      </c>
      <c r="E4356" s="41" t="n">
        <v>33352.168</v>
      </c>
    </row>
    <row r="4357">
      <c r="A4357" s="42">
        <f>_xlfn.XLOOKUP(17849,Trip[shape_id],Trip[shape_id],"Não encontrado")</f>
        <v/>
      </c>
      <c r="B4357" s="43" t="n">
        <v>-23.518965</v>
      </c>
      <c r="C4357" s="43" t="n">
        <v>-46.717302</v>
      </c>
      <c r="D4357" s="43" t="n">
        <v>295</v>
      </c>
      <c r="E4357" s="44" t="n">
        <v>33376.148</v>
      </c>
    </row>
    <row r="4358">
      <c r="A4358" s="39">
        <f>_xlfn.XLOOKUP(17849,Trip[shape_id],Trip[shape_id],"Não encontrado")</f>
        <v/>
      </c>
      <c r="B4358" s="40" t="n">
        <v>-23.51915</v>
      </c>
      <c r="C4358" s="40" t="n">
        <v>-46.716851</v>
      </c>
      <c r="D4358" s="40" t="n">
        <v>296</v>
      </c>
      <c r="E4358" s="41" t="n">
        <v>33426.559</v>
      </c>
    </row>
    <row r="4359">
      <c r="A4359" s="42">
        <f>_xlfn.XLOOKUP(17849,Trip[shape_id],Trip[shape_id],"Não encontrado")</f>
        <v/>
      </c>
      <c r="B4359" s="43" t="n">
        <v>-23.519478</v>
      </c>
      <c r="C4359" s="43" t="n">
        <v>-46.71622</v>
      </c>
      <c r="D4359" s="43" t="n">
        <v>297</v>
      </c>
      <c r="E4359" s="44" t="n">
        <v>33500.535</v>
      </c>
    </row>
    <row r="4360">
      <c r="A4360" s="39">
        <f>_xlfn.XLOOKUP(17849,Trip[shape_id],Trip[shape_id],"Não encontrado")</f>
        <v/>
      </c>
      <c r="B4360" s="40" t="n">
        <v>-23.519638</v>
      </c>
      <c r="C4360" s="40" t="n">
        <v>-46.715926</v>
      </c>
      <c r="D4360" s="40" t="n">
        <v>298</v>
      </c>
      <c r="E4360" s="41" t="n">
        <v>33535.398</v>
      </c>
    </row>
    <row r="4361">
      <c r="A4361" s="42">
        <f>_xlfn.XLOOKUP(17849,Trip[shape_id],Trip[shape_id],"Não encontrado")</f>
        <v/>
      </c>
      <c r="B4361" s="43" t="n">
        <v>-23.519882</v>
      </c>
      <c r="C4361" s="43" t="n">
        <v>-46.715334</v>
      </c>
      <c r="D4361" s="43" t="n">
        <v>299</v>
      </c>
      <c r="E4361" s="44" t="n">
        <v>33601.621</v>
      </c>
    </row>
    <row r="4362">
      <c r="A4362" s="39">
        <f>_xlfn.XLOOKUP(17849,Trip[shape_id],Trip[shape_id],"Não encontrado")</f>
        <v/>
      </c>
      <c r="B4362" s="40" t="n">
        <v>-23.519995</v>
      </c>
      <c r="C4362" s="40" t="n">
        <v>-46.714929</v>
      </c>
      <c r="D4362" s="40" t="n">
        <v>300</v>
      </c>
      <c r="E4362" s="41" t="n">
        <v>33644.836</v>
      </c>
    </row>
    <row r="4363">
      <c r="A4363" s="42">
        <f>_xlfn.XLOOKUP(17849,Trip[shape_id],Trip[shape_id],"Não encontrado")</f>
        <v/>
      </c>
      <c r="B4363" s="43" t="n">
        <v>-23.520053</v>
      </c>
      <c r="C4363" s="43" t="n">
        <v>-46.71454</v>
      </c>
      <c r="D4363" s="43" t="n">
        <v>301</v>
      </c>
      <c r="E4363" s="44" t="n">
        <v>33685.078</v>
      </c>
    </row>
    <row r="4364">
      <c r="A4364" s="39">
        <f>_xlfn.XLOOKUP(17849,Trip[shape_id],Trip[shape_id],"Não encontrado")</f>
        <v/>
      </c>
      <c r="B4364" s="40" t="n">
        <v>-23.520226</v>
      </c>
      <c r="C4364" s="40" t="n">
        <v>-46.713623</v>
      </c>
      <c r="D4364" s="40" t="n">
        <v>302</v>
      </c>
      <c r="E4364" s="41" t="n">
        <v>33780.668</v>
      </c>
    </row>
    <row r="4365">
      <c r="A4365" s="42">
        <f>_xlfn.XLOOKUP(17849,Trip[shape_id],Trip[shape_id],"Não encontrado")</f>
        <v/>
      </c>
      <c r="B4365" s="43" t="n">
        <v>-23.520351</v>
      </c>
      <c r="C4365" s="43" t="n">
        <v>-46.711984</v>
      </c>
      <c r="D4365" s="43" t="n">
        <v>303</v>
      </c>
      <c r="E4365" s="44" t="n">
        <v>33948.621</v>
      </c>
    </row>
    <row r="4366">
      <c r="A4366" s="39">
        <f>_xlfn.XLOOKUP(17849,Trip[shape_id],Trip[shape_id],"Não encontrado")</f>
        <v/>
      </c>
      <c r="B4366" s="40" t="n">
        <v>-23.520116</v>
      </c>
      <c r="C4366" s="40" t="n">
        <v>-46.711273</v>
      </c>
      <c r="D4366" s="40" t="n">
        <v>304</v>
      </c>
      <c r="E4366" s="41" t="n">
        <v>34025.758</v>
      </c>
    </row>
    <row r="4367">
      <c r="A4367" s="42">
        <f>_xlfn.XLOOKUP(17849,Trip[shape_id],Trip[shape_id],"Não encontrado")</f>
        <v/>
      </c>
      <c r="B4367" s="43" t="n">
        <v>-23.518651</v>
      </c>
      <c r="C4367" s="43" t="n">
        <v>-46.708937</v>
      </c>
      <c r="D4367" s="43" t="n">
        <v>305</v>
      </c>
      <c r="E4367" s="44" t="n">
        <v>34314.27</v>
      </c>
    </row>
    <row r="4368">
      <c r="A4368" s="39">
        <f>_xlfn.XLOOKUP(17849,Trip[shape_id],Trip[shape_id],"Não encontrado")</f>
        <v/>
      </c>
      <c r="B4368" s="40" t="n">
        <v>-23.517436</v>
      </c>
      <c r="C4368" s="40" t="n">
        <v>-46.707009</v>
      </c>
      <c r="D4368" s="40" t="n">
        <v>306</v>
      </c>
      <c r="E4368" s="41" t="n">
        <v>34552.758</v>
      </c>
    </row>
    <row r="4369">
      <c r="A4369" s="42">
        <f>_xlfn.XLOOKUP(17849,Trip[shape_id],Trip[shape_id],"Não encontrado")</f>
        <v/>
      </c>
      <c r="B4369" s="43" t="n">
        <v>-23.517308</v>
      </c>
      <c r="C4369" s="43" t="n">
        <v>-46.706722</v>
      </c>
      <c r="D4369" s="43" t="n">
        <v>307</v>
      </c>
      <c r="E4369" s="44" t="n">
        <v>34585.316</v>
      </c>
    </row>
    <row r="4370">
      <c r="A4370" s="39">
        <f>_xlfn.XLOOKUP(17849,Trip[shape_id],Trip[shape_id],"Não encontrado")</f>
        <v/>
      </c>
      <c r="B4370" s="40" t="n">
        <v>-23.517267</v>
      </c>
      <c r="C4370" s="40" t="n">
        <v>-46.706598</v>
      </c>
      <c r="D4370" s="40" t="n">
        <v>308</v>
      </c>
      <c r="E4370" s="41" t="n">
        <v>34598.77</v>
      </c>
    </row>
    <row r="4371">
      <c r="A4371" s="42">
        <f>_xlfn.XLOOKUP(17849,Trip[shape_id],Trip[shape_id],"Não encontrado")</f>
        <v/>
      </c>
      <c r="B4371" s="43" t="n">
        <v>-23.517221</v>
      </c>
      <c r="C4371" s="43" t="n">
        <v>-46.706418</v>
      </c>
      <c r="D4371" s="43" t="n">
        <v>309</v>
      </c>
      <c r="E4371" s="44" t="n">
        <v>34617.844</v>
      </c>
    </row>
    <row r="4372">
      <c r="A4372" s="39">
        <f>_xlfn.XLOOKUP(17849,Trip[shape_id],Trip[shape_id],"Não encontrado")</f>
        <v/>
      </c>
      <c r="B4372" s="40" t="n">
        <v>-23.517191</v>
      </c>
      <c r="C4372" s="40" t="n">
        <v>-46.706267</v>
      </c>
      <c r="D4372" s="40" t="n">
        <v>310</v>
      </c>
      <c r="E4372" s="41" t="n">
        <v>34633.617</v>
      </c>
    </row>
    <row r="4373">
      <c r="A4373" s="42">
        <f>_xlfn.XLOOKUP(17849,Trip[shape_id],Trip[shape_id],"Não encontrado")</f>
        <v/>
      </c>
      <c r="B4373" s="43" t="n">
        <v>-23.517175</v>
      </c>
      <c r="C4373" s="43" t="n">
        <v>-46.706127</v>
      </c>
      <c r="D4373" s="43" t="n">
        <v>311</v>
      </c>
      <c r="E4373" s="44" t="n">
        <v>34648.023</v>
      </c>
    </row>
    <row r="4374">
      <c r="A4374" s="39">
        <f>_xlfn.XLOOKUP(17849,Trip[shape_id],Trip[shape_id],"Não encontrado")</f>
        <v/>
      </c>
      <c r="B4374" s="40" t="n">
        <v>-23.517172</v>
      </c>
      <c r="C4374" s="40" t="n">
        <v>-46.705968</v>
      </c>
      <c r="D4374" s="40" t="n">
        <v>312</v>
      </c>
      <c r="E4374" s="41" t="n">
        <v>34664.266</v>
      </c>
    </row>
    <row r="4375">
      <c r="A4375" s="42">
        <f>_xlfn.XLOOKUP(17849,Trip[shape_id],Trip[shape_id],"Não encontrado")</f>
        <v/>
      </c>
      <c r="B4375" s="43" t="n">
        <v>-23.517179</v>
      </c>
      <c r="C4375" s="43" t="n">
        <v>-46.705777</v>
      </c>
      <c r="D4375" s="43" t="n">
        <v>313</v>
      </c>
      <c r="E4375" s="44" t="n">
        <v>34683.789</v>
      </c>
    </row>
    <row r="4376">
      <c r="A4376" s="39">
        <f>_xlfn.XLOOKUP(17849,Trip[shape_id],Trip[shape_id],"Não encontrado")</f>
        <v/>
      </c>
      <c r="B4376" s="40" t="n">
        <v>-23.517202</v>
      </c>
      <c r="C4376" s="40" t="n">
        <v>-46.705557</v>
      </c>
      <c r="D4376" s="40" t="n">
        <v>314</v>
      </c>
      <c r="E4376" s="41" t="n">
        <v>34706.402</v>
      </c>
    </row>
    <row r="4377">
      <c r="A4377" s="42">
        <f>_xlfn.XLOOKUP(17849,Trip[shape_id],Trip[shape_id],"Não encontrado")</f>
        <v/>
      </c>
      <c r="B4377" s="43" t="n">
        <v>-23.517312</v>
      </c>
      <c r="C4377" s="43" t="n">
        <v>-46.705163</v>
      </c>
      <c r="D4377" s="43" t="n">
        <v>315</v>
      </c>
      <c r="E4377" s="44" t="n">
        <v>34748.445</v>
      </c>
    </row>
    <row r="4378">
      <c r="A4378" s="39">
        <f>_xlfn.XLOOKUP(17849,Trip[shape_id],Trip[shape_id],"Não encontrado")</f>
        <v/>
      </c>
      <c r="B4378" s="40" t="n">
        <v>-23.517949</v>
      </c>
      <c r="C4378" s="40" t="n">
        <v>-46.70374</v>
      </c>
      <c r="D4378" s="40" t="n">
        <v>316</v>
      </c>
      <c r="E4378" s="41" t="n">
        <v>34909.992</v>
      </c>
    </row>
    <row r="4379">
      <c r="A4379" s="42">
        <f>_xlfn.XLOOKUP(17849,Trip[shape_id],Trip[shape_id],"Não encontrado")</f>
        <v/>
      </c>
      <c r="B4379" s="43" t="n">
        <v>-23.51963</v>
      </c>
      <c r="C4379" s="43" t="n">
        <v>-46.700036</v>
      </c>
      <c r="D4379" s="43" t="n">
        <v>317</v>
      </c>
      <c r="E4379" s="44" t="n">
        <v>35331.602</v>
      </c>
    </row>
    <row r="4380">
      <c r="A4380" s="39">
        <f>_xlfn.XLOOKUP(17849,Trip[shape_id],Trip[shape_id],"Não encontrado")</f>
        <v/>
      </c>
      <c r="B4380" s="40" t="n">
        <v>-23.520295</v>
      </c>
      <c r="C4380" s="40" t="n">
        <v>-46.698485</v>
      </c>
      <c r="D4380" s="40" t="n">
        <v>318</v>
      </c>
      <c r="E4380" s="41" t="n">
        <v>35709.262</v>
      </c>
    </row>
    <row r="4381">
      <c r="A4381" s="42">
        <f>_xlfn.XLOOKUP(17849,Trip[shape_id],Trip[shape_id],"Não encontrado")</f>
        <v/>
      </c>
      <c r="B4381" s="43" t="n">
        <v>-23.52108</v>
      </c>
      <c r="C4381" s="43" t="n">
        <v>-46.696689</v>
      </c>
      <c r="D4381" s="43" t="n">
        <v>319</v>
      </c>
      <c r="E4381" s="44" t="n">
        <v>35773.832</v>
      </c>
    </row>
    <row r="4382">
      <c r="A4382" s="39">
        <f>_xlfn.XLOOKUP(17849,Trip[shape_id],Trip[shape_id],"Não encontrado")</f>
        <v/>
      </c>
      <c r="B4382" s="40" t="n">
        <v>-23.521338</v>
      </c>
      <c r="C4382" s="40" t="n">
        <v>-46.696122</v>
      </c>
      <c r="D4382" s="40" t="n">
        <v>320</v>
      </c>
      <c r="E4382" s="41" t="n">
        <v>35849.719</v>
      </c>
    </row>
    <row r="4383">
      <c r="A4383" s="42">
        <f>_xlfn.XLOOKUP(17849,Trip[shape_id],Trip[shape_id],"Não encontrado")</f>
        <v/>
      </c>
      <c r="B4383" s="43" t="n">
        <v>-23.52164</v>
      </c>
      <c r="C4383" s="43" t="n">
        <v>-46.695455</v>
      </c>
      <c r="D4383" s="43" t="n">
        <v>321</v>
      </c>
      <c r="E4383" s="44" t="n">
        <v>35949.266</v>
      </c>
    </row>
    <row r="4384">
      <c r="A4384" s="39">
        <f>_xlfn.XLOOKUP(17849,Trip[shape_id],Trip[shape_id],"Não encontrado")</f>
        <v/>
      </c>
      <c r="B4384" s="40" t="n">
        <v>-23.521937</v>
      </c>
      <c r="C4384" s="40" t="n">
        <v>-46.694535</v>
      </c>
      <c r="D4384" s="40" t="n">
        <v>322</v>
      </c>
      <c r="E4384" s="41" t="n">
        <v>36052.43</v>
      </c>
    </row>
    <row r="4385">
      <c r="A4385" s="42">
        <f>_xlfn.XLOOKUP(17849,Trip[shape_id],Trip[shape_id],"Não encontrado")</f>
        <v/>
      </c>
      <c r="B4385" s="43" t="n">
        <v>-23.52204</v>
      </c>
      <c r="C4385" s="43" t="n">
        <v>-46.693531</v>
      </c>
      <c r="D4385" s="43" t="n">
        <v>323</v>
      </c>
      <c r="E4385" s="44" t="n">
        <v>36551.797</v>
      </c>
    </row>
    <row r="4386">
      <c r="A4386" s="39">
        <f>_xlfn.XLOOKUP(17849,Trip[shape_id],Trip[shape_id],"Não encontrado")</f>
        <v/>
      </c>
      <c r="B4386" s="40" t="n">
        <v>-23.52226</v>
      </c>
      <c r="C4386" s="40" t="n">
        <v>-46.688647</v>
      </c>
      <c r="D4386" s="40" t="n">
        <v>324</v>
      </c>
      <c r="E4386" s="41" t="n">
        <v>36674.496</v>
      </c>
    </row>
    <row r="4387">
      <c r="A4387" s="42">
        <f>_xlfn.XLOOKUP(17849,Trip[shape_id],Trip[shape_id],"Não encontrado")</f>
        <v/>
      </c>
      <c r="B4387" s="43" t="n">
        <v>-23.522344</v>
      </c>
      <c r="C4387" s="43" t="n">
        <v>-46.687449</v>
      </c>
      <c r="D4387" s="43" t="n">
        <v>325</v>
      </c>
      <c r="E4387" s="44" t="n">
        <v>36791.762</v>
      </c>
    </row>
    <row r="4388">
      <c r="A4388" s="39">
        <f>_xlfn.XLOOKUP(17849,Trip[shape_id],Trip[shape_id],"Não encontrado")</f>
        <v/>
      </c>
      <c r="B4388" s="40" t="n">
        <v>-23.522394</v>
      </c>
      <c r="C4388" s="40" t="n">
        <v>-46.686302</v>
      </c>
      <c r="D4388" s="40" t="n">
        <v>326</v>
      </c>
      <c r="E4388" s="41" t="n">
        <v>36926.391</v>
      </c>
    </row>
    <row r="4389">
      <c r="A4389" s="42">
        <f>_xlfn.XLOOKUP(17849,Trip[shape_id],Trip[shape_id],"Não encontrado")</f>
        <v/>
      </c>
      <c r="B4389" s="43" t="n">
        <v>-23.522448</v>
      </c>
      <c r="C4389" s="43" t="n">
        <v>-46.684985</v>
      </c>
      <c r="D4389" s="43" t="n">
        <v>327</v>
      </c>
      <c r="E4389" s="44" t="n">
        <v>37031.305</v>
      </c>
    </row>
    <row r="4390">
      <c r="A4390" s="39">
        <f>_xlfn.XLOOKUP(17849,Trip[shape_id],Trip[shape_id],"Não encontrado")</f>
        <v/>
      </c>
      <c r="B4390" s="40" t="n">
        <v>-23.522524</v>
      </c>
      <c r="C4390" s="40" t="n">
        <v>-46.683961</v>
      </c>
      <c r="D4390" s="40" t="n">
        <v>328</v>
      </c>
      <c r="E4390" s="41" t="n">
        <v>37100.258</v>
      </c>
    </row>
    <row r="4391">
      <c r="A4391" s="42">
        <f>_xlfn.XLOOKUP(17849,Trip[shape_id],Trip[shape_id],"Não encontrado")</f>
        <v/>
      </c>
      <c r="B4391" s="43" t="n">
        <v>-23.522651</v>
      </c>
      <c r="C4391" s="43" t="n">
        <v>-46.6833</v>
      </c>
      <c r="D4391" s="43" t="n">
        <v>329</v>
      </c>
      <c r="E4391" s="44" t="n">
        <v>37176.758</v>
      </c>
    </row>
    <row r="4392">
      <c r="A4392" s="39">
        <f>_xlfn.XLOOKUP(17849,Trip[shape_id],Trip[shape_id],"Não encontrado")</f>
        <v/>
      </c>
      <c r="B4392" s="40" t="n">
        <v>-23.522874</v>
      </c>
      <c r="C4392" s="40" t="n">
        <v>-46.682591</v>
      </c>
      <c r="D4392" s="40" t="n">
        <v>330</v>
      </c>
      <c r="E4392" s="41" t="n">
        <v>37240.25</v>
      </c>
    </row>
    <row r="4393">
      <c r="A4393" s="42">
        <f>_xlfn.XLOOKUP(17849,Trip[shape_id],Trip[shape_id],"Não encontrado")</f>
        <v/>
      </c>
      <c r="B4393" s="43" t="n">
        <v>-23.523123</v>
      </c>
      <c r="C4393" s="43" t="n">
        <v>-46.682031</v>
      </c>
      <c r="D4393" s="43" t="n">
        <v>331</v>
      </c>
      <c r="E4393" s="44" t="n">
        <v>37352.074</v>
      </c>
    </row>
    <row r="4394">
      <c r="A4394" s="39">
        <f>_xlfn.XLOOKUP(17849,Trip[shape_id],Trip[shape_id],"Não encontrado")</f>
        <v/>
      </c>
      <c r="B4394" s="40" t="n">
        <v>-23.523653</v>
      </c>
      <c r="C4394" s="40" t="n">
        <v>-46.681099</v>
      </c>
      <c r="D4394" s="40" t="n">
        <v>332</v>
      </c>
      <c r="E4394" s="41" t="n">
        <v>37408.711</v>
      </c>
    </row>
    <row r="4395">
      <c r="A4395" s="42">
        <f>_xlfn.XLOOKUP(17849,Trip[shape_id],Trip[shape_id],"Não encontrado")</f>
        <v/>
      </c>
      <c r="B4395" s="43" t="n">
        <v>-23.523923</v>
      </c>
      <c r="C4395" s="43" t="n">
        <v>-46.680628</v>
      </c>
      <c r="D4395" s="43" t="n">
        <v>333</v>
      </c>
      <c r="E4395" s="44" t="n">
        <v>37473.891</v>
      </c>
    </row>
    <row r="4396">
      <c r="A4396" s="39">
        <f>_xlfn.XLOOKUP(17849,Trip[shape_id],Trip[shape_id],"Não encontrado")</f>
        <v/>
      </c>
      <c r="B4396" s="40" t="n">
        <v>-23.52422</v>
      </c>
      <c r="C4396" s="40" t="n">
        <v>-46.680077</v>
      </c>
      <c r="D4396" s="40" t="n">
        <v>334</v>
      </c>
      <c r="E4396" s="41" t="n">
        <v>37491.473</v>
      </c>
    </row>
    <row r="4397">
      <c r="A4397" s="42">
        <f>_xlfn.XLOOKUP(17849,Trip[shape_id],Trip[shape_id],"Não encontrado")</f>
        <v/>
      </c>
      <c r="B4397" s="43" t="n">
        <v>-23.524291</v>
      </c>
      <c r="C4397" s="43" t="n">
        <v>-46.679923</v>
      </c>
      <c r="D4397" s="43" t="n">
        <v>335</v>
      </c>
      <c r="E4397" s="44" t="n">
        <v>37559.188</v>
      </c>
    </row>
    <row r="4398">
      <c r="A4398" s="39">
        <f>_xlfn.XLOOKUP(17849,Trip[shape_id],Trip[shape_id],"Não encontrado")</f>
        <v/>
      </c>
      <c r="B4398" s="40" t="n">
        <v>-23.524559</v>
      </c>
      <c r="C4398" s="40" t="n">
        <v>-46.679327</v>
      </c>
      <c r="D4398" s="40" t="n">
        <v>336</v>
      </c>
      <c r="E4398" s="41" t="n">
        <v>37594.344</v>
      </c>
    </row>
    <row r="4399">
      <c r="A4399" s="42">
        <f>_xlfn.XLOOKUP(17849,Trip[shape_id],Trip[shape_id],"Não encontrado")</f>
        <v/>
      </c>
      <c r="B4399" s="43" t="n">
        <v>-23.524661</v>
      </c>
      <c r="C4399" s="43" t="n">
        <v>-46.679001</v>
      </c>
      <c r="D4399" s="43" t="n">
        <v>337</v>
      </c>
      <c r="E4399" s="44" t="n">
        <v>37638.434</v>
      </c>
    </row>
    <row r="4400">
      <c r="A4400" s="39">
        <f>_xlfn.XLOOKUP(17849,Trip[shape_id],Trip[shape_id],"Não encontrado")</f>
        <v/>
      </c>
      <c r="B4400" s="40" t="n">
        <v>-23.524757</v>
      </c>
      <c r="C4400" s="40" t="n">
        <v>-46.678582</v>
      </c>
      <c r="D4400" s="40" t="n">
        <v>338</v>
      </c>
      <c r="E4400" s="41" t="n">
        <v>37677.383</v>
      </c>
    </row>
    <row r="4401">
      <c r="A4401" s="42">
        <f>_xlfn.XLOOKUP(17849,Trip[shape_id],Trip[shape_id],"Não encontrado")</f>
        <v/>
      </c>
      <c r="B4401" s="43" t="n">
        <v>-23.524846</v>
      </c>
      <c r="C4401" s="43" t="n">
        <v>-46.678213</v>
      </c>
      <c r="D4401" s="43" t="n">
        <v>339</v>
      </c>
      <c r="E4401" s="44" t="n">
        <v>37706.867</v>
      </c>
    </row>
    <row r="4402">
      <c r="A4402" s="39">
        <f>_xlfn.XLOOKUP(17849,Trip[shape_id],Trip[shape_id],"Não encontrado")</f>
        <v/>
      </c>
      <c r="B4402" s="40" t="n">
        <v>-23.524894</v>
      </c>
      <c r="C4402" s="40" t="n">
        <v>-46.677929</v>
      </c>
      <c r="D4402" s="40" t="n">
        <v>340</v>
      </c>
      <c r="E4402" s="41" t="n">
        <v>37807.055</v>
      </c>
    </row>
    <row r="4403">
      <c r="A4403" s="42">
        <f>_xlfn.XLOOKUP(17849,Trip[shape_id],Trip[shape_id],"Não encontrado")</f>
        <v/>
      </c>
      <c r="B4403" s="43" t="n">
        <v>-23.524883</v>
      </c>
      <c r="C4403" s="43" t="n">
        <v>-46.676948</v>
      </c>
      <c r="D4403" s="43" t="n">
        <v>341</v>
      </c>
      <c r="E4403" s="44" t="n">
        <v>38027.566</v>
      </c>
    </row>
    <row r="4404">
      <c r="A4404" s="39">
        <f>_xlfn.XLOOKUP(17849,Trip[shape_id],Trip[shape_id],"Não encontrado")</f>
        <v/>
      </c>
      <c r="B4404" s="40" t="n">
        <v>-23.524975</v>
      </c>
      <c r="C4404" s="40" t="n">
        <v>-46.674791</v>
      </c>
      <c r="D4404" s="40" t="n">
        <v>342</v>
      </c>
      <c r="E4404" s="41" t="n">
        <v>38169.914</v>
      </c>
    </row>
    <row r="4405">
      <c r="A4405" s="42">
        <f>_xlfn.XLOOKUP(17849,Trip[shape_id],Trip[shape_id],"Não encontrado")</f>
        <v/>
      </c>
      <c r="B4405" s="43" t="n">
        <v>-23.525071</v>
      </c>
      <c r="C4405" s="43" t="n">
        <v>-46.673401</v>
      </c>
      <c r="D4405" s="43" t="n">
        <v>343</v>
      </c>
      <c r="E4405" s="44" t="n">
        <v>38261.598</v>
      </c>
    </row>
    <row r="4406">
      <c r="A4406" s="39">
        <f>_xlfn.XLOOKUP(17849,Trip[shape_id],Trip[shape_id],"Não encontrado")</f>
        <v/>
      </c>
      <c r="B4406" s="40" t="n">
        <v>-23.525136</v>
      </c>
      <c r="C4406" s="40" t="n">
        <v>-46.672506</v>
      </c>
      <c r="D4406" s="40" t="n">
        <v>344</v>
      </c>
      <c r="E4406" s="41" t="n">
        <v>38548.801</v>
      </c>
    </row>
    <row r="4407">
      <c r="A4407" s="42">
        <f>_xlfn.XLOOKUP(17849,Trip[shape_id],Trip[shape_id],"Não encontrado")</f>
        <v/>
      </c>
      <c r="B4407" s="43" t="n">
        <v>-23.525336</v>
      </c>
      <c r="C4407" s="43" t="n">
        <v>-46.669702</v>
      </c>
      <c r="D4407" s="43" t="n">
        <v>345</v>
      </c>
      <c r="E4407" s="44" t="n">
        <v>38656.773</v>
      </c>
    </row>
    <row r="4408">
      <c r="A4408" s="39">
        <f>_xlfn.XLOOKUP(17849,Trip[shape_id],Trip[shape_id],"Não encontrado")</f>
        <v/>
      </c>
      <c r="B4408" s="40" t="n">
        <v>-23.525413</v>
      </c>
      <c r="C4408" s="40" t="n">
        <v>-46.668648</v>
      </c>
      <c r="D4408" s="40" t="n">
        <v>346</v>
      </c>
      <c r="E4408" s="41" t="n">
        <v>38829.859</v>
      </c>
    </row>
    <row r="4409">
      <c r="A4409" s="42">
        <f>_xlfn.XLOOKUP(17849,Trip[shape_id],Trip[shape_id],"Não encontrado")</f>
        <v/>
      </c>
      <c r="B4409" s="43" t="n">
        <v>-23.52559</v>
      </c>
      <c r="C4409" s="43" t="n">
        <v>-46.666964</v>
      </c>
      <c r="D4409" s="43" t="n">
        <v>347</v>
      </c>
      <c r="E4409" s="44" t="n">
        <v>38829.859</v>
      </c>
    </row>
    <row r="4410">
      <c r="A4410" s="39">
        <f>_xlfn.XLOOKUP(17849,Trip[shape_id],Trip[shape_id],"Não encontrado")</f>
        <v/>
      </c>
      <c r="B4410" s="40" t="n">
        <v>-23.526236</v>
      </c>
      <c r="C4410" s="40" t="n">
        <v>-46.660427</v>
      </c>
      <c r="D4410" s="40" t="n">
        <v>348</v>
      </c>
      <c r="E4410" s="41" t="n">
        <v>39679.676</v>
      </c>
    </row>
    <row r="4411">
      <c r="A4411" s="42">
        <f>_xlfn.XLOOKUP(17849,Trip[shape_id],Trip[shape_id],"Não encontrado")</f>
        <v/>
      </c>
      <c r="B4411" s="43" t="n">
        <v>-23.526584</v>
      </c>
      <c r="C4411" s="43" t="n">
        <v>-46.658721</v>
      </c>
      <c r="D4411" s="43" t="n">
        <v>349</v>
      </c>
      <c r="E4411" s="44" t="n">
        <v>39978.016</v>
      </c>
    </row>
    <row r="4412">
      <c r="A4412" s="39">
        <f>_xlfn.XLOOKUP(17849,Trip[shape_id],Trip[shape_id],"Não encontrado")</f>
        <v/>
      </c>
      <c r="B4412" s="40" t="n">
        <v>-23.527337</v>
      </c>
      <c r="C4412" s="40" t="n">
        <v>-46.655916</v>
      </c>
      <c r="D4412" s="40" t="n">
        <v>350</v>
      </c>
      <c r="E4412" s="41" t="n">
        <v>40248.277</v>
      </c>
    </row>
    <row r="4413">
      <c r="A4413" s="42">
        <f>_xlfn.XLOOKUP(17849,Trip[shape_id],Trip[shape_id],"Não encontrado")</f>
        <v/>
      </c>
      <c r="B4413" s="43" t="n">
        <v>-23.528041</v>
      </c>
      <c r="C4413" s="43" t="n">
        <v>-46.653382</v>
      </c>
      <c r="D4413" s="43" t="n">
        <v>351</v>
      </c>
      <c r="E4413" s="44" t="n">
        <v>40385.77</v>
      </c>
    </row>
    <row r="4414">
      <c r="A4414" s="39">
        <f>_xlfn.XLOOKUP(17849,Trip[shape_id],Trip[shape_id],"Não encontrado")</f>
        <v/>
      </c>
      <c r="B4414" s="40" t="n">
        <v>-23.528426</v>
      </c>
      <c r="C4414" s="40" t="n">
        <v>-46.652102</v>
      </c>
      <c r="D4414" s="40" t="n">
        <v>352</v>
      </c>
      <c r="E4414" s="41" t="n">
        <v>40578.742</v>
      </c>
    </row>
    <row r="4415">
      <c r="A4415" s="42">
        <f>_xlfn.XLOOKUP(17849,Trip[shape_id],Trip[shape_id],"Não encontrado")</f>
        <v/>
      </c>
      <c r="B4415" s="43" t="n">
        <v>-23.528871</v>
      </c>
      <c r="C4415" s="43" t="n">
        <v>-46.650275</v>
      </c>
      <c r="D4415" s="43" t="n">
        <v>353</v>
      </c>
      <c r="E4415" s="44" t="n">
        <v>40698.367</v>
      </c>
    </row>
    <row r="4416">
      <c r="A4416" s="39">
        <f>_xlfn.XLOOKUP(17849,Trip[shape_id],Trip[shape_id],"Não encontrado")</f>
        <v/>
      </c>
      <c r="B4416" s="40" t="n">
        <v>-23.528842</v>
      </c>
      <c r="C4416" s="40" t="n">
        <v>-46.649104</v>
      </c>
      <c r="D4416" s="40" t="n">
        <v>354</v>
      </c>
      <c r="E4416" s="41" t="n">
        <v>40779.762</v>
      </c>
    </row>
    <row r="4417">
      <c r="A4417" s="42">
        <f>_xlfn.XLOOKUP(17849,Trip[shape_id],Trip[shape_id],"Não encontrado")</f>
        <v/>
      </c>
      <c r="B4417" s="43" t="n">
        <v>-23.528768</v>
      </c>
      <c r="C4417" s="43" t="n">
        <v>-46.648311</v>
      </c>
      <c r="D4417" s="43" t="n">
        <v>355</v>
      </c>
      <c r="E4417" s="44" t="n">
        <v>40915.508</v>
      </c>
    </row>
    <row r="4418">
      <c r="A4418" s="39">
        <f>_xlfn.XLOOKUP(17849,Trip[shape_id],Trip[shape_id],"Não encontrado")</f>
        <v/>
      </c>
      <c r="B4418" s="40" t="n">
        <v>-23.528595</v>
      </c>
      <c r="C4418" s="40" t="n">
        <v>-46.646995</v>
      </c>
      <c r="D4418" s="40" t="n">
        <v>356</v>
      </c>
      <c r="E4418" s="41" t="n">
        <v>41030.93</v>
      </c>
    </row>
    <row r="4419">
      <c r="A4419" s="42">
        <f>_xlfn.XLOOKUP(17849,Trip[shape_id],Trip[shape_id],"Não encontrado")</f>
        <v/>
      </c>
      <c r="B4419" s="43" t="n">
        <v>-23.528546</v>
      </c>
      <c r="C4419" s="43" t="n">
        <v>-46.645866</v>
      </c>
      <c r="D4419" s="43" t="n">
        <v>357</v>
      </c>
      <c r="E4419" s="44" t="n">
        <v>41086.547</v>
      </c>
    </row>
    <row r="4420">
      <c r="A4420" s="39">
        <f>_xlfn.XLOOKUP(17849,Trip[shape_id],Trip[shape_id],"Não encontrado")</f>
        <v/>
      </c>
      <c r="B4420" s="40" t="n">
        <v>-23.528585</v>
      </c>
      <c r="C4420" s="40" t="n">
        <v>-46.645323</v>
      </c>
      <c r="D4420" s="40" t="n">
        <v>358</v>
      </c>
      <c r="E4420" s="41" t="n">
        <v>41122.273</v>
      </c>
    </row>
    <row r="4421">
      <c r="A4421" s="42">
        <f>_xlfn.XLOOKUP(17849,Trip[shape_id],Trip[shape_id],"Não encontrado")</f>
        <v/>
      </c>
      <c r="B4421" s="43" t="n">
        <v>-23.528618</v>
      </c>
      <c r="C4421" s="43" t="n">
        <v>-46.644975</v>
      </c>
      <c r="D4421" s="43" t="n">
        <v>359</v>
      </c>
      <c r="E4421" s="44" t="n">
        <v>41193.957</v>
      </c>
    </row>
    <row r="4422">
      <c r="A4422" s="39">
        <f>_xlfn.XLOOKUP(17849,Trip[shape_id],Trip[shape_id],"Não encontrado")</f>
        <v/>
      </c>
      <c r="B4422" s="40" t="n">
        <v>-23.528814</v>
      </c>
      <c r="C4422" s="40" t="n">
        <v>-46.644306</v>
      </c>
      <c r="D4422" s="40" t="n">
        <v>360</v>
      </c>
      <c r="E4422" s="41" t="n">
        <v>41242.184</v>
      </c>
    </row>
    <row r="4423">
      <c r="A4423" s="42">
        <f>_xlfn.XLOOKUP(17849,Trip[shape_id],Trip[shape_id],"Não encontrado")</f>
        <v/>
      </c>
      <c r="B4423" s="43" t="n">
        <v>-23.528992</v>
      </c>
      <c r="C4423" s="43" t="n">
        <v>-46.643875</v>
      </c>
      <c r="D4423" s="43" t="n">
        <v>361</v>
      </c>
      <c r="E4423" s="44" t="n">
        <v>41312.148</v>
      </c>
    </row>
    <row r="4424">
      <c r="A4424" s="39">
        <f>_xlfn.XLOOKUP(17849,Trip[shape_id],Trip[shape_id],"Não encontrado")</f>
        <v/>
      </c>
      <c r="B4424" s="40" t="n">
        <v>-23.529348</v>
      </c>
      <c r="C4424" s="40" t="n">
        <v>-46.643309</v>
      </c>
      <c r="D4424" s="40" t="n">
        <v>362</v>
      </c>
      <c r="E4424" s="41" t="n">
        <v>41359.934</v>
      </c>
    </row>
    <row r="4425">
      <c r="A4425" s="42">
        <f>_xlfn.XLOOKUP(17849,Trip[shape_id],Trip[shape_id],"Não encontrado")</f>
        <v/>
      </c>
      <c r="B4425" s="43" t="n">
        <v>-23.529628</v>
      </c>
      <c r="C4425" s="43" t="n">
        <v>-46.642953</v>
      </c>
      <c r="D4425" s="43" t="n">
        <v>363</v>
      </c>
      <c r="E4425" s="44" t="n">
        <v>41396.707</v>
      </c>
    </row>
    <row r="4426">
      <c r="A4426" s="39">
        <f>_xlfn.XLOOKUP(17849,Trip[shape_id],Trip[shape_id],"Não encontrado")</f>
        <v/>
      </c>
      <c r="B4426" s="40" t="n">
        <v>-23.529878</v>
      </c>
      <c r="C4426" s="40" t="n">
        <v>-46.642716</v>
      </c>
      <c r="D4426" s="40" t="n">
        <v>364</v>
      </c>
      <c r="E4426" s="41" t="n">
        <v>41430.152</v>
      </c>
    </row>
    <row r="4427">
      <c r="A4427" s="42">
        <f>_xlfn.XLOOKUP(17849,Trip[shape_id],Trip[shape_id],"Não encontrado")</f>
        <v/>
      </c>
      <c r="B4427" s="43" t="n">
        <v>-23.530093</v>
      </c>
      <c r="C4427" s="43" t="n">
        <v>-46.642486</v>
      </c>
      <c r="D4427" s="43" t="n">
        <v>365</v>
      </c>
      <c r="E4427" s="44" t="n">
        <v>41543.531</v>
      </c>
    </row>
    <row r="4428">
      <c r="A4428" s="39">
        <f>_xlfn.XLOOKUP(17849,Trip[shape_id],Trip[shape_id],"Não encontrado")</f>
        <v/>
      </c>
      <c r="B4428" s="40" t="n">
        <v>-23.530952</v>
      </c>
      <c r="C4428" s="40" t="n">
        <v>-46.641882</v>
      </c>
      <c r="D4428" s="40" t="n">
        <v>366</v>
      </c>
      <c r="E4428" s="41" t="n">
        <v>41571.344</v>
      </c>
    </row>
    <row r="4429">
      <c r="A4429" s="42">
        <f>_xlfn.XLOOKUP(17849,Trip[shape_id],Trip[shape_id],"Não encontrado")</f>
        <v/>
      </c>
      <c r="B4429" s="43" t="n">
        <v>-23.531161</v>
      </c>
      <c r="C4429" s="43" t="n">
        <v>-46.641731</v>
      </c>
      <c r="D4429" s="43" t="n">
        <v>367</v>
      </c>
      <c r="E4429" s="44" t="n">
        <v>41592.871</v>
      </c>
    </row>
    <row r="4430">
      <c r="A4430" s="39">
        <f>_xlfn.XLOOKUP(17849,Trip[shape_id],Trip[shape_id],"Não encontrado")</f>
        <v/>
      </c>
      <c r="B4430" s="40" t="n">
        <v>-23.531343</v>
      </c>
      <c r="C4430" s="40" t="n">
        <v>-46.641657</v>
      </c>
      <c r="D4430" s="40" t="n">
        <v>368</v>
      </c>
      <c r="E4430" s="41" t="n">
        <v>41647.422</v>
      </c>
    </row>
    <row r="4431">
      <c r="A4431" s="42">
        <f>_xlfn.XLOOKUP(17849,Trip[shape_id],Trip[shape_id],"Não encontrado")</f>
        <v/>
      </c>
      <c r="B4431" s="43" t="n">
        <v>-23.531809</v>
      </c>
      <c r="C4431" s="43" t="n">
        <v>-46.641484</v>
      </c>
      <c r="D4431" s="43" t="n">
        <v>369</v>
      </c>
      <c r="E4431" s="44" t="n">
        <v>41793.246</v>
      </c>
    </row>
    <row r="4432">
      <c r="A4432" s="39">
        <f>_xlfn.XLOOKUP(17849,Trip[shape_id],Trip[shape_id],"Não encontrado")</f>
        <v/>
      </c>
      <c r="B4432" s="40" t="n">
        <v>-23.532953</v>
      </c>
      <c r="C4432" s="40" t="n">
        <v>-46.640777</v>
      </c>
      <c r="D4432" s="40" t="n">
        <v>370</v>
      </c>
      <c r="E4432" s="41" t="n">
        <v>41802.203</v>
      </c>
    </row>
    <row r="4433">
      <c r="A4433" s="42">
        <f>_xlfn.XLOOKUP(17849,Trip[shape_id],Trip[shape_id],"Não encontrado")</f>
        <v/>
      </c>
      <c r="B4433" s="43" t="n">
        <v>-23.533024</v>
      </c>
      <c r="C4433" s="43" t="n">
        <v>-46.640735</v>
      </c>
      <c r="D4433" s="43" t="n">
        <v>371</v>
      </c>
      <c r="E4433" s="44" t="n">
        <v>41802.203</v>
      </c>
    </row>
    <row r="4434">
      <c r="A4434" s="39">
        <f>_xlfn.XLOOKUP(17850,Trip[shape_id],Trip[shape_id],"Não encontrado")</f>
        <v/>
      </c>
      <c r="B4434" s="40" t="n">
        <v>-23.527618</v>
      </c>
      <c r="C4434" s="40" t="n">
        <v>-46.776038</v>
      </c>
      <c r="D4434" s="40" t="n">
        <v>1</v>
      </c>
      <c r="E4434" s="41" t="n">
        <v>16.83077</v>
      </c>
    </row>
    <row r="4435">
      <c r="A4435" s="42">
        <f>_xlfn.XLOOKUP(17850,Trip[shape_id],Trip[shape_id],"Não encontrado")</f>
        <v/>
      </c>
      <c r="B4435" s="43" t="n">
        <v>-23.527709</v>
      </c>
      <c r="C4435" s="43" t="n">
        <v>-46.775906</v>
      </c>
      <c r="D4435" s="43" t="n">
        <v>2</v>
      </c>
      <c r="E4435" s="44" t="n">
        <v>171.99393</v>
      </c>
    </row>
    <row r="4436">
      <c r="A4436" s="39">
        <f>_xlfn.XLOOKUP(17850,Trip[shape_id],Trip[shape_id],"Não encontrado")</f>
        <v/>
      </c>
      <c r="B4436" s="40" t="n">
        <v>-23.528566</v>
      </c>
      <c r="C4436" s="40" t="n">
        <v>-46.774704</v>
      </c>
      <c r="D4436" s="40" t="n">
        <v>3</v>
      </c>
      <c r="E4436" s="41" t="n">
        <v>432.26114</v>
      </c>
    </row>
    <row r="4437">
      <c r="A4437" s="42">
        <f>_xlfn.XLOOKUP(17850,Trip[shape_id],Trip[shape_id],"Não encontrado")</f>
        <v/>
      </c>
      <c r="B4437" s="43" t="n">
        <v>-23.530089</v>
      </c>
      <c r="C4437" s="43" t="n">
        <v>-46.772763</v>
      </c>
      <c r="D4437" s="43" t="n">
        <v>4</v>
      </c>
      <c r="E4437" s="44" t="n">
        <v>471.79694</v>
      </c>
    </row>
    <row r="4438">
      <c r="A4438" s="39">
        <f>_xlfn.XLOOKUP(17850,Trip[shape_id],Trip[shape_id],"Não encontrado")</f>
        <v/>
      </c>
      <c r="B4438" s="40" t="n">
        <v>-23.530318</v>
      </c>
      <c r="C4438" s="40" t="n">
        <v>-46.772466</v>
      </c>
      <c r="D4438" s="40" t="n">
        <v>5</v>
      </c>
      <c r="E4438" s="41" t="n">
        <v>536.05206</v>
      </c>
    </row>
    <row r="4439">
      <c r="A4439" s="42">
        <f>_xlfn.XLOOKUP(17850,Trip[shape_id],Trip[shape_id],"Não encontrado")</f>
        <v/>
      </c>
      <c r="B4439" s="43" t="n">
        <v>-23.530675</v>
      </c>
      <c r="C4439" s="43" t="n">
        <v>-46.77197</v>
      </c>
      <c r="D4439" s="43" t="n">
        <v>6</v>
      </c>
      <c r="E4439" s="44" t="n">
        <v>601.75031</v>
      </c>
    </row>
    <row r="4440">
      <c r="A4440" s="39">
        <f>_xlfn.XLOOKUP(17850,Trip[shape_id],Trip[shape_id],"Não encontrado")</f>
        <v/>
      </c>
      <c r="B4440" s="40" t="n">
        <v>-23.531039</v>
      </c>
      <c r="C4440" s="40" t="n">
        <v>-46.771462</v>
      </c>
      <c r="D4440" s="40" t="n">
        <v>7</v>
      </c>
      <c r="E4440" s="41" t="n">
        <v>668.29779</v>
      </c>
    </row>
    <row r="4441">
      <c r="A4441" s="42">
        <f>_xlfn.XLOOKUP(17850,Trip[shape_id],Trip[shape_id],"Não encontrado")</f>
        <v/>
      </c>
      <c r="B4441" s="43" t="n">
        <v>-23.531406</v>
      </c>
      <c r="C4441" s="43" t="n">
        <v>-46.770946</v>
      </c>
      <c r="D4441" s="43" t="n">
        <v>8</v>
      </c>
      <c r="E4441" s="44" t="n">
        <v>779.547</v>
      </c>
    </row>
    <row r="4442">
      <c r="A4442" s="39">
        <f>_xlfn.XLOOKUP(17850,Trip[shape_id],Trip[shape_id],"Não encontrado")</f>
        <v/>
      </c>
      <c r="B4442" s="40" t="n">
        <v>-23.531813</v>
      </c>
      <c r="C4442" s="40" t="n">
        <v>-46.76995</v>
      </c>
      <c r="D4442" s="40" t="n">
        <v>9</v>
      </c>
      <c r="E4442" s="41" t="n">
        <v>813.08435</v>
      </c>
    </row>
    <row r="4443">
      <c r="A4443" s="42">
        <f>_xlfn.XLOOKUP(17850,Trip[shape_id],Trip[shape_id],"Não encontrado")</f>
        <v/>
      </c>
      <c r="B4443" s="43" t="n">
        <v>-23.531932</v>
      </c>
      <c r="C4443" s="43" t="n">
        <v>-46.769648</v>
      </c>
      <c r="D4443" s="43" t="n">
        <v>10</v>
      </c>
      <c r="E4443" s="44" t="n">
        <v>918.05524</v>
      </c>
    </row>
    <row r="4444">
      <c r="A4444" s="39">
        <f>_xlfn.XLOOKUP(17850,Trip[shape_id],Trip[shape_id],"Não encontrado")</f>
        <v/>
      </c>
      <c r="B4444" s="40" t="n">
        <v>-23.532285</v>
      </c>
      <c r="C4444" s="40" t="n">
        <v>-46.768694</v>
      </c>
      <c r="D4444" s="40" t="n">
        <v>11</v>
      </c>
      <c r="E4444" s="41" t="n">
        <v>918.05524</v>
      </c>
    </row>
    <row r="4445">
      <c r="A4445" s="42">
        <f>_xlfn.XLOOKUP(17850,Trip[shape_id],Trip[shape_id],"Não encontrado")</f>
        <v/>
      </c>
      <c r="B4445" s="43" t="n">
        <v>-23.532698</v>
      </c>
      <c r="C4445" s="43" t="n">
        <v>-46.767575</v>
      </c>
      <c r="D4445" s="43" t="n">
        <v>12</v>
      </c>
      <c r="E4445" s="44" t="n">
        <v>1041.1377</v>
      </c>
    </row>
    <row r="4446">
      <c r="A4446" s="39">
        <f>_xlfn.XLOOKUP(17850,Trip[shape_id],Trip[shape_id],"Não encontrado")</f>
        <v/>
      </c>
      <c r="B4446" s="40" t="n">
        <v>-23.533062</v>
      </c>
      <c r="C4446" s="40" t="n">
        <v>-46.766598</v>
      </c>
      <c r="D4446" s="40" t="n">
        <v>13</v>
      </c>
      <c r="E4446" s="41" t="n">
        <v>1148.7417</v>
      </c>
    </row>
    <row r="4447">
      <c r="A4447" s="42">
        <f>_xlfn.XLOOKUP(17850,Trip[shape_id],Trip[shape_id],"Não encontrado")</f>
        <v/>
      </c>
      <c r="B4447" s="43" t="n">
        <v>-23.533275</v>
      </c>
      <c r="C4447" s="43" t="n">
        <v>-46.765927</v>
      </c>
      <c r="D4447" s="43" t="n">
        <v>14</v>
      </c>
      <c r="E4447" s="44" t="n">
        <v>1221.2083</v>
      </c>
    </row>
    <row r="4448">
      <c r="A4448" s="39">
        <f>_xlfn.XLOOKUP(17850,Trip[shape_id],Trip[shape_id],"Não encontrado")</f>
        <v/>
      </c>
      <c r="B4448" s="40" t="n">
        <v>-23.533398</v>
      </c>
      <c r="C4448" s="40" t="n">
        <v>-46.765157</v>
      </c>
      <c r="D4448" s="40" t="n">
        <v>15</v>
      </c>
      <c r="E4448" s="41" t="n">
        <v>1301.0083</v>
      </c>
    </row>
    <row r="4449">
      <c r="A4449" s="42">
        <f>_xlfn.XLOOKUP(17850,Trip[shape_id],Trip[shape_id],"Não encontrado")</f>
        <v/>
      </c>
      <c r="B4449" s="43" t="n">
        <v>-23.533299</v>
      </c>
      <c r="C4449" s="43" t="n">
        <v>-46.764496</v>
      </c>
      <c r="D4449" s="43" t="n">
        <v>16</v>
      </c>
      <c r="E4449" s="44" t="n">
        <v>1369.3914</v>
      </c>
    </row>
    <row r="4450">
      <c r="A4450" s="39">
        <f>_xlfn.XLOOKUP(17850,Trip[shape_id],Trip[shape_id],"Não encontrado")</f>
        <v/>
      </c>
      <c r="B4450" s="40" t="n">
        <v>-23.533024</v>
      </c>
      <c r="C4450" s="40" t="n">
        <v>-46.76378</v>
      </c>
      <c r="D4450" s="40" t="n">
        <v>17</v>
      </c>
      <c r="E4450" s="41" t="n">
        <v>1448.5959</v>
      </c>
    </row>
    <row r="4451">
      <c r="A4451" s="42">
        <f>_xlfn.XLOOKUP(17850,Trip[shape_id],Trip[shape_id],"Não encontrado")</f>
        <v/>
      </c>
      <c r="B4451" s="43" t="n">
        <v>-23.53245</v>
      </c>
      <c r="C4451" s="43" t="n">
        <v>-46.763056</v>
      </c>
      <c r="D4451" s="43" t="n">
        <v>18</v>
      </c>
      <c r="E4451" s="44" t="n">
        <v>1546.101</v>
      </c>
    </row>
    <row r="4452">
      <c r="A4452" s="39">
        <f>_xlfn.XLOOKUP(17850,Trip[shape_id],Trip[shape_id],"Não encontrado")</f>
        <v/>
      </c>
      <c r="B4452" s="40" t="n">
        <v>-23.531195</v>
      </c>
      <c r="C4452" s="40" t="n">
        <v>-46.76174</v>
      </c>
      <c r="D4452" s="40" t="n">
        <v>19</v>
      </c>
      <c r="E4452" s="41" t="n">
        <v>1739.4362</v>
      </c>
    </row>
    <row r="4453">
      <c r="A4453" s="42">
        <f>_xlfn.XLOOKUP(17850,Trip[shape_id],Trip[shape_id],"Não encontrado")</f>
        <v/>
      </c>
      <c r="B4453" s="43" t="n">
        <v>-23.530851</v>
      </c>
      <c r="C4453" s="43" t="n">
        <v>-46.76118</v>
      </c>
      <c r="D4453" s="43" t="n">
        <v>20</v>
      </c>
      <c r="E4453" s="44" t="n">
        <v>1808.1506</v>
      </c>
    </row>
    <row r="4454">
      <c r="A4454" s="39">
        <f>_xlfn.XLOOKUP(17850,Trip[shape_id],Trip[shape_id],"Não encontrado")</f>
        <v/>
      </c>
      <c r="B4454" s="40" t="n">
        <v>-23.530384</v>
      </c>
      <c r="C4454" s="40" t="n">
        <v>-46.760672</v>
      </c>
      <c r="D4454" s="40" t="n">
        <v>21</v>
      </c>
      <c r="E4454" s="41" t="n">
        <v>1881.4045</v>
      </c>
    </row>
    <row r="4455">
      <c r="A4455" s="42">
        <f>_xlfn.XLOOKUP(17850,Trip[shape_id],Trip[shape_id],"Não encontrado")</f>
        <v/>
      </c>
      <c r="B4455" s="43" t="n">
        <v>-23.529739</v>
      </c>
      <c r="C4455" s="43" t="n">
        <v>-46.759965</v>
      </c>
      <c r="D4455" s="43" t="n">
        <v>22</v>
      </c>
      <c r="E4455" s="44" t="n">
        <v>1982.9691</v>
      </c>
    </row>
    <row r="4456">
      <c r="A4456" s="39">
        <f>_xlfn.XLOOKUP(17850,Trip[shape_id],Trip[shape_id],"Não encontrado")</f>
        <v/>
      </c>
      <c r="B4456" s="40" t="n">
        <v>-23.529443</v>
      </c>
      <c r="C4456" s="40" t="n">
        <v>-46.759497</v>
      </c>
      <c r="D4456" s="40" t="n">
        <v>23</v>
      </c>
      <c r="E4456" s="41" t="n">
        <v>2040.9233</v>
      </c>
    </row>
    <row r="4457">
      <c r="A4457" s="42">
        <f>_xlfn.XLOOKUP(17850,Trip[shape_id],Trip[shape_id],"Não encontrado")</f>
        <v/>
      </c>
      <c r="B4457" s="43" t="n">
        <v>-23.52921</v>
      </c>
      <c r="C4457" s="43" t="n">
        <v>-46.758936</v>
      </c>
      <c r="D4457" s="43" t="n">
        <v>24</v>
      </c>
      <c r="E4457" s="44" t="n">
        <v>2103.7554</v>
      </c>
    </row>
    <row r="4458">
      <c r="A4458" s="39">
        <f>_xlfn.XLOOKUP(17850,Trip[shape_id],Trip[shape_id],"Não encontrado")</f>
        <v/>
      </c>
      <c r="B4458" s="40" t="n">
        <v>-23.528937</v>
      </c>
      <c r="C4458" s="40" t="n">
        <v>-46.758152</v>
      </c>
      <c r="D4458" s="40" t="n">
        <v>25</v>
      </c>
      <c r="E4458" s="41" t="n">
        <v>2189.3354</v>
      </c>
    </row>
    <row r="4459">
      <c r="A4459" s="42">
        <f>_xlfn.XLOOKUP(17850,Trip[shape_id],Trip[shape_id],"Não encontrado")</f>
        <v/>
      </c>
      <c r="B4459" s="43" t="n">
        <v>-23.528843</v>
      </c>
      <c r="C4459" s="43" t="n">
        <v>-46.757603</v>
      </c>
      <c r="D4459" s="43" t="n">
        <v>26</v>
      </c>
      <c r="E4459" s="44" t="n">
        <v>2246.3572</v>
      </c>
    </row>
    <row r="4460">
      <c r="A4460" s="39">
        <f>_xlfn.XLOOKUP(17850,Trip[shape_id],Trip[shape_id],"Não encontrado")</f>
        <v/>
      </c>
      <c r="B4460" s="40" t="n">
        <v>-23.528868</v>
      </c>
      <c r="C4460" s="40" t="n">
        <v>-46.757085</v>
      </c>
      <c r="D4460" s="40" t="n">
        <v>27</v>
      </c>
      <c r="E4460" s="41" t="n">
        <v>2299.3271</v>
      </c>
    </row>
    <row r="4461">
      <c r="A4461" s="42">
        <f>_xlfn.XLOOKUP(17850,Trip[shape_id],Trip[shape_id],"Não encontrado")</f>
        <v/>
      </c>
      <c r="B4461" s="43" t="n">
        <v>-23.529095</v>
      </c>
      <c r="C4461" s="43" t="n">
        <v>-46.756293</v>
      </c>
      <c r="D4461" s="43" t="n">
        <v>28</v>
      </c>
      <c r="E4461" s="44" t="n">
        <v>2384.0225</v>
      </c>
    </row>
    <row r="4462">
      <c r="A4462" s="39">
        <f>_xlfn.XLOOKUP(17850,Trip[shape_id],Trip[shape_id],"Não encontrado")</f>
        <v/>
      </c>
      <c r="B4462" s="40" t="n">
        <v>-23.529348</v>
      </c>
      <c r="C4462" s="40" t="n">
        <v>-46.755638</v>
      </c>
      <c r="D4462" s="40" t="n">
        <v>29</v>
      </c>
      <c r="E4462" s="41" t="n">
        <v>2456.542</v>
      </c>
    </row>
    <row r="4463">
      <c r="A4463" s="42">
        <f>_xlfn.XLOOKUP(17850,Trip[shape_id],Trip[shape_id],"Não encontrado")</f>
        <v/>
      </c>
      <c r="B4463" s="43" t="n">
        <v>-23.529577</v>
      </c>
      <c r="C4463" s="43" t="n">
        <v>-46.755046</v>
      </c>
      <c r="D4463" s="43" t="n">
        <v>30</v>
      </c>
      <c r="E4463" s="44" t="n">
        <v>2522.1006</v>
      </c>
    </row>
    <row r="4464">
      <c r="A4464" s="39">
        <f>_xlfn.XLOOKUP(17850,Trip[shape_id],Trip[shape_id],"Não encontrado")</f>
        <v/>
      </c>
      <c r="B4464" s="40" t="n">
        <v>-23.529748</v>
      </c>
      <c r="C4464" s="40" t="n">
        <v>-46.754604</v>
      </c>
      <c r="D4464" s="40" t="n">
        <v>31</v>
      </c>
      <c r="E4464" s="41" t="n">
        <v>2571.0491</v>
      </c>
    </row>
    <row r="4465">
      <c r="A4465" s="42">
        <f>_xlfn.XLOOKUP(17850,Trip[shape_id],Trip[shape_id],"Não encontrado")</f>
        <v/>
      </c>
      <c r="B4465" s="43" t="n">
        <v>-23.530152</v>
      </c>
      <c r="C4465" s="43" t="n">
        <v>-46.753705</v>
      </c>
      <c r="D4465" s="43" t="n">
        <v>32</v>
      </c>
      <c r="E4465" s="44" t="n">
        <v>2673.1763</v>
      </c>
    </row>
    <row r="4466">
      <c r="A4466" s="39">
        <f>_xlfn.XLOOKUP(17850,Trip[shape_id],Trip[shape_id],"Não encontrado")</f>
        <v/>
      </c>
      <c r="B4466" s="40" t="n">
        <v>-23.530269</v>
      </c>
      <c r="C4466" s="40" t="n">
        <v>-46.75343</v>
      </c>
      <c r="D4466" s="40" t="n">
        <v>33</v>
      </c>
      <c r="E4466" s="41" t="n">
        <v>2704.104</v>
      </c>
    </row>
    <row r="4467">
      <c r="A4467" s="42">
        <f>_xlfn.XLOOKUP(17850,Trip[shape_id],Trip[shape_id],"Não encontrado")</f>
        <v/>
      </c>
      <c r="B4467" s="43" t="n">
        <v>-23.530305</v>
      </c>
      <c r="C4467" s="43" t="n">
        <v>-46.753332</v>
      </c>
      <c r="D4467" s="43" t="n">
        <v>34</v>
      </c>
      <c r="E4467" s="44" t="n">
        <v>2714.877</v>
      </c>
    </row>
    <row r="4468">
      <c r="A4468" s="39">
        <f>_xlfn.XLOOKUP(17850,Trip[shape_id],Trip[shape_id],"Não encontrado")</f>
        <v/>
      </c>
      <c r="B4468" s="40" t="n">
        <v>-23.530594</v>
      </c>
      <c r="C4468" s="40" t="n">
        <v>-46.752541</v>
      </c>
      <c r="D4468" s="40" t="n">
        <v>35</v>
      </c>
      <c r="E4468" s="41" t="n">
        <v>2801.7622</v>
      </c>
    </row>
    <row r="4469">
      <c r="A4469" s="42">
        <f>_xlfn.XLOOKUP(17850,Trip[shape_id],Trip[shape_id],"Não encontrado")</f>
        <v/>
      </c>
      <c r="B4469" s="43" t="n">
        <v>-23.530804</v>
      </c>
      <c r="C4469" s="43" t="n">
        <v>-46.751518</v>
      </c>
      <c r="D4469" s="43" t="n">
        <v>36</v>
      </c>
      <c r="E4469" s="44" t="n">
        <v>2908.7859</v>
      </c>
    </row>
    <row r="4470">
      <c r="A4470" s="39">
        <f>_xlfn.XLOOKUP(17850,Trip[shape_id],Trip[shape_id],"Não encontrado")</f>
        <v/>
      </c>
      <c r="B4470" s="40" t="n">
        <v>-23.530985</v>
      </c>
      <c r="C4470" s="40" t="n">
        <v>-46.749828</v>
      </c>
      <c r="D4470" s="40" t="n">
        <v>37</v>
      </c>
      <c r="E4470" s="41" t="n">
        <v>3082.5244</v>
      </c>
    </row>
    <row r="4471">
      <c r="A4471" s="42">
        <f>_xlfn.XLOOKUP(17850,Trip[shape_id],Trip[shape_id],"Não encontrado")</f>
        <v/>
      </c>
      <c r="B4471" s="43" t="n">
        <v>-23.531063</v>
      </c>
      <c r="C4471" s="43" t="n">
        <v>-46.749049</v>
      </c>
      <c r="D4471" s="43" t="n">
        <v>38</v>
      </c>
      <c r="E4471" s="44" t="n">
        <v>3162.5413</v>
      </c>
    </row>
    <row r="4472">
      <c r="A4472" s="39">
        <f>_xlfn.XLOOKUP(17850,Trip[shape_id],Trip[shape_id],"Não encontrado")</f>
        <v/>
      </c>
      <c r="B4472" s="40" t="n">
        <v>-23.53115</v>
      </c>
      <c r="C4472" s="40" t="n">
        <v>-46.74813</v>
      </c>
      <c r="D4472" s="40" t="n">
        <v>39</v>
      </c>
      <c r="E4472" s="41" t="n">
        <v>3256.8801</v>
      </c>
    </row>
    <row r="4473">
      <c r="A4473" s="42">
        <f>_xlfn.XLOOKUP(17850,Trip[shape_id],Trip[shape_id],"Não encontrado")</f>
        <v/>
      </c>
      <c r="B4473" s="43" t="n">
        <v>-23.531172</v>
      </c>
      <c r="C4473" s="43" t="n">
        <v>-46.747808</v>
      </c>
      <c r="D4473" s="43" t="n">
        <v>40</v>
      </c>
      <c r="E4473" s="44" t="n">
        <v>3289.8521</v>
      </c>
    </row>
    <row r="4474">
      <c r="A4474" s="39">
        <f>_xlfn.XLOOKUP(17850,Trip[shape_id],Trip[shape_id],"Não encontrado")</f>
        <v/>
      </c>
      <c r="B4474" s="40" t="n">
        <v>-23.531192</v>
      </c>
      <c r="C4474" s="40" t="n">
        <v>-46.747499</v>
      </c>
      <c r="D4474" s="40" t="n">
        <v>41</v>
      </c>
      <c r="E4474" s="41" t="n">
        <v>3321.4839</v>
      </c>
    </row>
    <row r="4475">
      <c r="A4475" s="42">
        <f>_xlfn.XLOOKUP(17850,Trip[shape_id],Trip[shape_id],"Não encontrado")</f>
        <v/>
      </c>
      <c r="B4475" s="43" t="n">
        <v>-23.5312</v>
      </c>
      <c r="C4475" s="43" t="n">
        <v>-46.747442</v>
      </c>
      <c r="D4475" s="43" t="n">
        <v>42</v>
      </c>
      <c r="E4475" s="44" t="n">
        <v>3327.3716</v>
      </c>
    </row>
    <row r="4476">
      <c r="A4476" s="39">
        <f>_xlfn.XLOOKUP(17850,Trip[shape_id],Trip[shape_id],"Não encontrado")</f>
        <v/>
      </c>
      <c r="B4476" s="40" t="n">
        <v>-23.531344</v>
      </c>
      <c r="C4476" s="40" t="n">
        <v>-46.746839</v>
      </c>
      <c r="D4476" s="40" t="n">
        <v>43</v>
      </c>
      <c r="E4476" s="41" t="n">
        <v>3390.9797</v>
      </c>
    </row>
    <row r="4477">
      <c r="A4477" s="42">
        <f>_xlfn.XLOOKUP(17850,Trip[shape_id],Trip[shape_id],"Não encontrado")</f>
        <v/>
      </c>
      <c r="B4477" s="43" t="n">
        <v>-23.531519</v>
      </c>
      <c r="C4477" s="43" t="n">
        <v>-46.746428</v>
      </c>
      <c r="D4477" s="43" t="n">
        <v>44</v>
      </c>
      <c r="E4477" s="44" t="n">
        <v>3437.2087</v>
      </c>
    </row>
    <row r="4478">
      <c r="A4478" s="39">
        <f>_xlfn.XLOOKUP(17850,Trip[shape_id],Trip[shape_id],"Não encontrado")</f>
        <v/>
      </c>
      <c r="B4478" s="40" t="n">
        <v>-23.531819</v>
      </c>
      <c r="C4478" s="40" t="n">
        <v>-46.746003</v>
      </c>
      <c r="D4478" s="40" t="n">
        <v>45</v>
      </c>
      <c r="E4478" s="41" t="n">
        <v>3491.8665</v>
      </c>
    </row>
    <row r="4479">
      <c r="A4479" s="42">
        <f>_xlfn.XLOOKUP(17850,Trip[shape_id],Trip[shape_id],"Não encontrado")</f>
        <v/>
      </c>
      <c r="B4479" s="43" t="n">
        <v>-23.532249</v>
      </c>
      <c r="C4479" s="43" t="n">
        <v>-46.745608</v>
      </c>
      <c r="D4479" s="43" t="n">
        <v>46</v>
      </c>
      <c r="E4479" s="44" t="n">
        <v>3554.2761</v>
      </c>
    </row>
    <row r="4480">
      <c r="A4480" s="39">
        <f>_xlfn.XLOOKUP(17850,Trip[shape_id],Trip[shape_id],"Não encontrado")</f>
        <v/>
      </c>
      <c r="B4480" s="40" t="n">
        <v>-23.532686</v>
      </c>
      <c r="C4480" s="40" t="n">
        <v>-46.745384</v>
      </c>
      <c r="D4480" s="40" t="n">
        <v>47</v>
      </c>
      <c r="E4480" s="41" t="n">
        <v>3607.8076</v>
      </c>
    </row>
    <row r="4481">
      <c r="A4481" s="42">
        <f>_xlfn.XLOOKUP(17850,Trip[shape_id],Trip[shape_id],"Não encontrado")</f>
        <v/>
      </c>
      <c r="B4481" s="43" t="n">
        <v>-23.533327</v>
      </c>
      <c r="C4481" s="43" t="n">
        <v>-46.745128</v>
      </c>
      <c r="D4481" s="43" t="n">
        <v>48</v>
      </c>
      <c r="E4481" s="44" t="n">
        <v>3683.4595</v>
      </c>
    </row>
    <row r="4482">
      <c r="A4482" s="39">
        <f>_xlfn.XLOOKUP(17850,Trip[shape_id],Trip[shape_id],"Não encontrado")</f>
        <v/>
      </c>
      <c r="B4482" s="40" t="n">
        <v>-23.534513</v>
      </c>
      <c r="C4482" s="40" t="n">
        <v>-46.74463</v>
      </c>
      <c r="D4482" s="40" t="n">
        <v>49</v>
      </c>
      <c r="E4482" s="41" t="n">
        <v>3824.3113</v>
      </c>
    </row>
    <row r="4483">
      <c r="A4483" s="42">
        <f>_xlfn.XLOOKUP(17850,Trip[shape_id],Trip[shape_id],"Não encontrado")</f>
        <v/>
      </c>
      <c r="B4483" s="43" t="n">
        <v>-23.535641</v>
      </c>
      <c r="C4483" s="43" t="n">
        <v>-46.744197</v>
      </c>
      <c r="D4483" s="43" t="n">
        <v>50</v>
      </c>
      <c r="E4483" s="44" t="n">
        <v>3956.8328</v>
      </c>
    </row>
    <row r="4484">
      <c r="A4484" s="39">
        <f>_xlfn.XLOOKUP(17850,Trip[shape_id],Trip[shape_id],"Não encontrado")</f>
        <v/>
      </c>
      <c r="B4484" s="40" t="n">
        <v>-23.536298</v>
      </c>
      <c r="C4484" s="40" t="n">
        <v>-46.743765</v>
      </c>
      <c r="D4484" s="40" t="n">
        <v>51</v>
      </c>
      <c r="E4484" s="41" t="n">
        <v>4041.9241</v>
      </c>
    </row>
    <row r="4485">
      <c r="A4485" s="42">
        <f>_xlfn.XLOOKUP(17850,Trip[shape_id],Trip[shape_id],"Não encontrado")</f>
        <v/>
      </c>
      <c r="B4485" s="43" t="n">
        <v>-23.537384</v>
      </c>
      <c r="C4485" s="43" t="n">
        <v>-46.742616</v>
      </c>
      <c r="D4485" s="43" t="n">
        <v>52</v>
      </c>
      <c r="E4485" s="44" t="n">
        <v>4209.9482</v>
      </c>
    </row>
    <row r="4486">
      <c r="A4486" s="39">
        <f>_xlfn.XLOOKUP(17850,Trip[shape_id],Trip[shape_id],"Não encontrado")</f>
        <v/>
      </c>
      <c r="B4486" s="40" t="n">
        <v>-23.537528</v>
      </c>
      <c r="C4486" s="40" t="n">
        <v>-46.74246</v>
      </c>
      <c r="D4486" s="40" t="n">
        <v>53</v>
      </c>
      <c r="E4486" s="41" t="n">
        <v>4232.4893</v>
      </c>
    </row>
    <row r="4487">
      <c r="A4487" s="42">
        <f>_xlfn.XLOOKUP(17850,Trip[shape_id],Trip[shape_id],"Não encontrado")</f>
        <v/>
      </c>
      <c r="B4487" s="43" t="n">
        <v>-23.53869</v>
      </c>
      <c r="C4487" s="43" t="n">
        <v>-46.741162</v>
      </c>
      <c r="D4487" s="43" t="n">
        <v>54</v>
      </c>
      <c r="E4487" s="44" t="n">
        <v>4417.23</v>
      </c>
    </row>
    <row r="4488">
      <c r="A4488" s="39">
        <f>_xlfn.XLOOKUP(17850,Trip[shape_id],Trip[shape_id],"Não encontrado")</f>
        <v/>
      </c>
      <c r="B4488" s="40" t="n">
        <v>-23.539539</v>
      </c>
      <c r="C4488" s="40" t="n">
        <v>-46.740223</v>
      </c>
      <c r="D4488" s="40" t="n">
        <v>55</v>
      </c>
      <c r="E4488" s="41" t="n">
        <v>4551.5229</v>
      </c>
    </row>
    <row r="4489">
      <c r="A4489" s="42">
        <f>_xlfn.XLOOKUP(17850,Trip[shape_id],Trip[shape_id],"Não encontrado")</f>
        <v/>
      </c>
      <c r="B4489" s="43" t="n">
        <v>-23.540088</v>
      </c>
      <c r="C4489" s="43" t="n">
        <v>-46.739593</v>
      </c>
      <c r="D4489" s="43" t="n">
        <v>56</v>
      </c>
      <c r="E4489" s="44" t="n">
        <v>4640.04</v>
      </c>
    </row>
    <row r="4490">
      <c r="A4490" s="39">
        <f>_xlfn.XLOOKUP(17850,Trip[shape_id],Trip[shape_id],"Não encontrado")</f>
        <v/>
      </c>
      <c r="B4490" s="40" t="n">
        <v>-23.541205</v>
      </c>
      <c r="C4490" s="40" t="n">
        <v>-46.738334</v>
      </c>
      <c r="D4490" s="40" t="n">
        <v>57</v>
      </c>
      <c r="E4490" s="41" t="n">
        <v>4818.4517</v>
      </c>
    </row>
    <row r="4491">
      <c r="A4491" s="42">
        <f>_xlfn.XLOOKUP(17850,Trip[shape_id],Trip[shape_id],"Não encontrado")</f>
        <v/>
      </c>
      <c r="B4491" s="43" t="n">
        <v>-23.54221</v>
      </c>
      <c r="C4491" s="43" t="n">
        <v>-46.73721</v>
      </c>
      <c r="D4491" s="43" t="n">
        <v>58</v>
      </c>
      <c r="E4491" s="44" t="n">
        <v>4978.3301</v>
      </c>
    </row>
    <row r="4492">
      <c r="A4492" s="39">
        <f>_xlfn.XLOOKUP(17850,Trip[shape_id],Trip[shape_id],"Não encontrado")</f>
        <v/>
      </c>
      <c r="B4492" s="40" t="n">
        <v>-23.544828</v>
      </c>
      <c r="C4492" s="40" t="n">
        <v>-46.734192</v>
      </c>
      <c r="D4492" s="40" t="n">
        <v>59</v>
      </c>
      <c r="E4492" s="41" t="n">
        <v>5401.4526</v>
      </c>
    </row>
    <row r="4493">
      <c r="A4493" s="42">
        <f>_xlfn.XLOOKUP(17850,Trip[shape_id],Trip[shape_id],"Não encontrado")</f>
        <v/>
      </c>
      <c r="B4493" s="43" t="n">
        <v>-23.545301</v>
      </c>
      <c r="C4493" s="43" t="n">
        <v>-46.733649</v>
      </c>
      <c r="D4493" s="43" t="n">
        <v>60</v>
      </c>
      <c r="E4493" s="44" t="n">
        <v>5477.73</v>
      </c>
    </row>
    <row r="4494">
      <c r="A4494" s="39">
        <f>_xlfn.XLOOKUP(17850,Trip[shape_id],Trip[shape_id],"Não encontrado")</f>
        <v/>
      </c>
      <c r="B4494" s="40" t="n">
        <v>-23.546059</v>
      </c>
      <c r="C4494" s="40" t="n">
        <v>-46.73275</v>
      </c>
      <c r="D4494" s="40" t="n">
        <v>61</v>
      </c>
      <c r="E4494" s="41" t="n">
        <v>5602.1226</v>
      </c>
    </row>
    <row r="4495">
      <c r="A4495" s="42">
        <f>_xlfn.XLOOKUP(17850,Trip[shape_id],Trip[shape_id],"Não encontrado")</f>
        <v/>
      </c>
      <c r="B4495" s="43" t="n">
        <v>-23.547192</v>
      </c>
      <c r="C4495" s="43" t="n">
        <v>-46.731478</v>
      </c>
      <c r="D4495" s="43" t="n">
        <v>62</v>
      </c>
      <c r="E4495" s="44" t="n">
        <v>5782.7158</v>
      </c>
    </row>
    <row r="4496">
      <c r="A4496" s="39">
        <f>_xlfn.XLOOKUP(17850,Trip[shape_id],Trip[shape_id],"Não encontrado")</f>
        <v/>
      </c>
      <c r="B4496" s="40" t="n">
        <v>-23.547417</v>
      </c>
      <c r="C4496" s="40" t="n">
        <v>-46.731232</v>
      </c>
      <c r="D4496" s="40" t="n">
        <v>63</v>
      </c>
      <c r="E4496" s="41" t="n">
        <v>5818.0977</v>
      </c>
    </row>
    <row r="4497">
      <c r="A4497" s="42">
        <f>_xlfn.XLOOKUP(17850,Trip[shape_id],Trip[shape_id],"Não encontrado")</f>
        <v/>
      </c>
      <c r="B4497" s="43" t="n">
        <v>-23.548337</v>
      </c>
      <c r="C4497" s="43" t="n">
        <v>-46.730326</v>
      </c>
      <c r="D4497" s="43" t="n">
        <v>64</v>
      </c>
      <c r="E4497" s="44" t="n">
        <v>5955.7178</v>
      </c>
    </row>
    <row r="4498">
      <c r="A4498" s="39">
        <f>_xlfn.XLOOKUP(17850,Trip[shape_id],Trip[shape_id],"Não encontrado")</f>
        <v/>
      </c>
      <c r="B4498" s="40" t="n">
        <v>-23.548582</v>
      </c>
      <c r="C4498" s="40" t="n">
        <v>-46.72994</v>
      </c>
      <c r="D4498" s="40" t="n">
        <v>65</v>
      </c>
      <c r="E4498" s="41" t="n">
        <v>6003.5674</v>
      </c>
    </row>
    <row r="4499">
      <c r="A4499" s="42">
        <f>_xlfn.XLOOKUP(17850,Trip[shape_id],Trip[shape_id],"Não encontrado")</f>
        <v/>
      </c>
      <c r="B4499" s="43" t="n">
        <v>-23.548873</v>
      </c>
      <c r="C4499" s="43" t="n">
        <v>-46.72948</v>
      </c>
      <c r="D4499" s="43" t="n">
        <v>66</v>
      </c>
      <c r="E4499" s="44" t="n">
        <v>6060.5293</v>
      </c>
    </row>
    <row r="4500">
      <c r="A4500" s="39">
        <f>_xlfn.XLOOKUP(17850,Trip[shape_id],Trip[shape_id],"Não encontrado")</f>
        <v/>
      </c>
      <c r="B4500" s="40" t="n">
        <v>-23.549356</v>
      </c>
      <c r="C4500" s="40" t="n">
        <v>-46.72851</v>
      </c>
      <c r="D4500" s="40" t="n">
        <v>67</v>
      </c>
      <c r="E4500" s="41" t="n">
        <v>6173.0923</v>
      </c>
    </row>
    <row r="4501">
      <c r="A4501" s="42">
        <f>_xlfn.XLOOKUP(17850,Trip[shape_id],Trip[shape_id],"Não encontrado")</f>
        <v/>
      </c>
      <c r="B4501" s="43" t="n">
        <v>-23.550008</v>
      </c>
      <c r="C4501" s="43" t="n">
        <v>-46.727185</v>
      </c>
      <c r="D4501" s="43" t="n">
        <v>68</v>
      </c>
      <c r="E4501" s="44" t="n">
        <v>6326.4434</v>
      </c>
    </row>
    <row r="4502">
      <c r="A4502" s="39">
        <f>_xlfn.XLOOKUP(17850,Trip[shape_id],Trip[shape_id],"Não encontrado")</f>
        <v/>
      </c>
      <c r="B4502" s="40" t="n">
        <v>-23.55095</v>
      </c>
      <c r="C4502" s="40" t="n">
        <v>-46.725276</v>
      </c>
      <c r="D4502" s="40" t="n">
        <v>69</v>
      </c>
      <c r="E4502" s="41" t="n">
        <v>6547.521</v>
      </c>
    </row>
    <row r="4503">
      <c r="A4503" s="42">
        <f>_xlfn.XLOOKUP(17850,Trip[shape_id],Trip[shape_id],"Não encontrado")</f>
        <v/>
      </c>
      <c r="B4503" s="43" t="n">
        <v>-23.551901</v>
      </c>
      <c r="C4503" s="43" t="n">
        <v>-46.723342</v>
      </c>
      <c r="D4503" s="43" t="n">
        <v>70</v>
      </c>
      <c r="E4503" s="44" t="n">
        <v>6771.3188</v>
      </c>
    </row>
    <row r="4504">
      <c r="A4504" s="39">
        <f>_xlfn.XLOOKUP(17850,Trip[shape_id],Trip[shape_id],"Não encontrado")</f>
        <v/>
      </c>
      <c r="B4504" s="40" t="n">
        <v>-23.552881</v>
      </c>
      <c r="C4504" s="40" t="n">
        <v>-46.721372</v>
      </c>
      <c r="D4504" s="40" t="n">
        <v>71</v>
      </c>
      <c r="E4504" s="41" t="n">
        <v>6999.8726</v>
      </c>
    </row>
    <row r="4505">
      <c r="A4505" s="42">
        <f>_xlfn.XLOOKUP(17850,Trip[shape_id],Trip[shape_id],"Não encontrado")</f>
        <v/>
      </c>
      <c r="B4505" s="43" t="n">
        <v>-23.5535</v>
      </c>
      <c r="C4505" s="43" t="n">
        <v>-46.720122</v>
      </c>
      <c r="D4505" s="43" t="n">
        <v>72</v>
      </c>
      <c r="E4505" s="44" t="n">
        <v>7144.7446</v>
      </c>
    </row>
    <row r="4506">
      <c r="A4506" s="39">
        <f>_xlfn.XLOOKUP(17850,Trip[shape_id],Trip[shape_id],"Não encontrado")</f>
        <v/>
      </c>
      <c r="B4506" s="40" t="n">
        <v>-23.554543</v>
      </c>
      <c r="C4506" s="40" t="n">
        <v>-46.717995</v>
      </c>
      <c r="D4506" s="40" t="n">
        <v>73</v>
      </c>
      <c r="E4506" s="41" t="n">
        <v>7390.7207</v>
      </c>
    </row>
    <row r="4507">
      <c r="A4507" s="42">
        <f>_xlfn.XLOOKUP(17850,Trip[shape_id],Trip[shape_id],"Não encontrado")</f>
        <v/>
      </c>
      <c r="B4507" s="43" t="n">
        <v>-23.554654</v>
      </c>
      <c r="C4507" s="43" t="n">
        <v>-46.717778</v>
      </c>
      <c r="D4507" s="43" t="n">
        <v>74</v>
      </c>
      <c r="E4507" s="44" t="n">
        <v>7416.0586</v>
      </c>
    </row>
    <row r="4508">
      <c r="A4508" s="39">
        <f>_xlfn.XLOOKUP(17850,Trip[shape_id],Trip[shape_id],"Não encontrado")</f>
        <v/>
      </c>
      <c r="B4508" s="40" t="n">
        <v>-23.555671</v>
      </c>
      <c r="C4508" s="40" t="n">
        <v>-46.715708</v>
      </c>
      <c r="D4508" s="40" t="n">
        <v>75</v>
      </c>
      <c r="E4508" s="41" t="n">
        <v>7655.543</v>
      </c>
    </row>
    <row r="4509">
      <c r="A4509" s="42">
        <f>_xlfn.XLOOKUP(17850,Trip[shape_id],Trip[shape_id],"Não encontrado")</f>
        <v/>
      </c>
      <c r="B4509" s="43" t="n">
        <v>-23.556608</v>
      </c>
      <c r="C4509" s="43" t="n">
        <v>-46.713789</v>
      </c>
      <c r="D4509" s="43" t="n">
        <v>76</v>
      </c>
      <c r="E4509" s="44" t="n">
        <v>7877.2544</v>
      </c>
    </row>
    <row r="4510">
      <c r="A4510" s="39">
        <f>_xlfn.XLOOKUP(17850,Trip[shape_id],Trip[shape_id],"Não encontrado")</f>
        <v/>
      </c>
      <c r="B4510" s="40" t="n">
        <v>-23.556975</v>
      </c>
      <c r="C4510" s="40" t="n">
        <v>-46.713063</v>
      </c>
      <c r="D4510" s="40" t="n">
        <v>77</v>
      </c>
      <c r="E4510" s="41" t="n">
        <v>7961.79</v>
      </c>
    </row>
    <row r="4511">
      <c r="A4511" s="42">
        <f>_xlfn.XLOOKUP(17850,Trip[shape_id],Trip[shape_id],"Não encontrado")</f>
        <v/>
      </c>
      <c r="B4511" s="43" t="n">
        <v>-23.557508</v>
      </c>
      <c r="C4511" s="43" t="n">
        <v>-46.712075</v>
      </c>
      <c r="D4511" s="43" t="n">
        <v>78</v>
      </c>
      <c r="E4511" s="44" t="n">
        <v>8078.665</v>
      </c>
    </row>
    <row r="4512">
      <c r="A4512" s="39">
        <f>_xlfn.XLOOKUP(17850,Trip[shape_id],Trip[shape_id],"Não encontrado")</f>
        <v/>
      </c>
      <c r="B4512" s="40" t="n">
        <v>-23.557651</v>
      </c>
      <c r="C4512" s="40" t="n">
        <v>-46.711812</v>
      </c>
      <c r="D4512" s="40" t="n">
        <v>79</v>
      </c>
      <c r="E4512" s="41" t="n">
        <v>8109.8389</v>
      </c>
    </row>
    <row r="4513">
      <c r="A4513" s="42">
        <f>_xlfn.XLOOKUP(17850,Trip[shape_id],Trip[shape_id],"Não encontrado")</f>
        <v/>
      </c>
      <c r="B4513" s="43" t="n">
        <v>-23.558171</v>
      </c>
      <c r="C4513" s="43" t="n">
        <v>-46.710837</v>
      </c>
      <c r="D4513" s="43" t="n">
        <v>80</v>
      </c>
      <c r="E4513" s="44" t="n">
        <v>8224.8418</v>
      </c>
    </row>
    <row r="4514">
      <c r="A4514" s="39">
        <f>_xlfn.XLOOKUP(17850,Trip[shape_id],Trip[shape_id],"Não encontrado")</f>
        <v/>
      </c>
      <c r="B4514" s="40" t="n">
        <v>-23.558623</v>
      </c>
      <c r="C4514" s="40" t="n">
        <v>-46.709788</v>
      </c>
      <c r="D4514" s="40" t="n">
        <v>81</v>
      </c>
      <c r="E4514" s="41" t="n">
        <v>8343.0625</v>
      </c>
    </row>
    <row r="4515">
      <c r="A4515" s="42">
        <f>_xlfn.XLOOKUP(17850,Trip[shape_id],Trip[shape_id],"Não encontrado")</f>
        <v/>
      </c>
      <c r="B4515" s="43" t="n">
        <v>-23.55896</v>
      </c>
      <c r="C4515" s="43" t="n">
        <v>-46.708934</v>
      </c>
      <c r="D4515" s="43" t="n">
        <v>82</v>
      </c>
      <c r="E4515" s="44" t="n">
        <v>8437.9053</v>
      </c>
    </row>
    <row r="4516">
      <c r="A4516" s="39">
        <f>_xlfn.XLOOKUP(17850,Trip[shape_id],Trip[shape_id],"Não encontrado")</f>
        <v/>
      </c>
      <c r="B4516" s="40" t="n">
        <v>-23.559478</v>
      </c>
      <c r="C4516" s="40" t="n">
        <v>-46.707912</v>
      </c>
      <c r="D4516" s="40" t="n">
        <v>83</v>
      </c>
      <c r="E4516" s="41" t="n">
        <v>8556.978499999999</v>
      </c>
    </row>
    <row r="4517">
      <c r="A4517" s="42">
        <f>_xlfn.XLOOKUP(17850,Trip[shape_id],Trip[shape_id],"Não encontrado")</f>
        <v/>
      </c>
      <c r="B4517" s="43" t="n">
        <v>-23.560064</v>
      </c>
      <c r="C4517" s="43" t="n">
        <v>-46.70702</v>
      </c>
      <c r="D4517" s="43" t="n">
        <v>84</v>
      </c>
      <c r="E4517" s="44" t="n">
        <v>8668.8066</v>
      </c>
    </row>
    <row r="4518">
      <c r="A4518" s="39">
        <f>_xlfn.XLOOKUP(17850,Trip[shape_id],Trip[shape_id],"Não encontrado")</f>
        <v/>
      </c>
      <c r="B4518" s="40" t="n">
        <v>-23.560637</v>
      </c>
      <c r="C4518" s="40" t="n">
        <v>-46.706309</v>
      </c>
      <c r="D4518" s="40" t="n">
        <v>85</v>
      </c>
      <c r="E4518" s="41" t="n">
        <v>8765.2246</v>
      </c>
    </row>
    <row r="4519">
      <c r="A4519" s="42">
        <f>_xlfn.XLOOKUP(17850,Trip[shape_id],Trip[shape_id],"Não encontrado")</f>
        <v/>
      </c>
      <c r="B4519" s="43" t="n">
        <v>-23.561181</v>
      </c>
      <c r="C4519" s="43" t="n">
        <v>-46.705726</v>
      </c>
      <c r="D4519" s="43" t="n">
        <v>86</v>
      </c>
      <c r="E4519" s="44" t="n">
        <v>8849.915999999999</v>
      </c>
    </row>
    <row r="4520">
      <c r="A4520" s="39">
        <f>_xlfn.XLOOKUP(17850,Trip[shape_id],Trip[shape_id],"Não encontrado")</f>
        <v/>
      </c>
      <c r="B4520" s="40" t="n">
        <v>-23.561699</v>
      </c>
      <c r="C4520" s="40" t="n">
        <v>-46.705291</v>
      </c>
      <c r="D4520" s="40" t="n">
        <v>87</v>
      </c>
      <c r="E4520" s="41" t="n">
        <v>8922.4668</v>
      </c>
    </row>
    <row r="4521">
      <c r="A4521" s="42">
        <f>_xlfn.XLOOKUP(17850,Trip[shape_id],Trip[shape_id],"Não encontrado")</f>
        <v/>
      </c>
      <c r="B4521" s="43" t="n">
        <v>-23.562505</v>
      </c>
      <c r="C4521" s="43" t="n">
        <v>-46.704719</v>
      </c>
      <c r="D4521" s="43" t="n">
        <v>88</v>
      </c>
      <c r="E4521" s="44" t="n">
        <v>9029.137699999999</v>
      </c>
    </row>
    <row r="4522">
      <c r="A4522" s="39">
        <f>_xlfn.XLOOKUP(17850,Trip[shape_id],Trip[shape_id],"Não encontrado")</f>
        <v/>
      </c>
      <c r="B4522" s="40" t="n">
        <v>-23.562704</v>
      </c>
      <c r="C4522" s="40" t="n">
        <v>-46.704576</v>
      </c>
      <c r="D4522" s="40" t="n">
        <v>89</v>
      </c>
      <c r="E4522" s="41" t="n">
        <v>9055.574199999999</v>
      </c>
    </row>
    <row r="4523">
      <c r="A4523" s="42">
        <f>_xlfn.XLOOKUP(17850,Trip[shape_id],Trip[shape_id],"Não encontrado")</f>
        <v/>
      </c>
      <c r="B4523" s="43" t="n">
        <v>-23.563191</v>
      </c>
      <c r="C4523" s="43" t="n">
        <v>-46.704307</v>
      </c>
      <c r="D4523" s="43" t="n">
        <v>90</v>
      </c>
      <c r="E4523" s="44" t="n">
        <v>9116.0996</v>
      </c>
    </row>
    <row r="4524">
      <c r="A4524" s="39">
        <f>_xlfn.XLOOKUP(17850,Trip[shape_id],Trip[shape_id],"Não encontrado")</f>
        <v/>
      </c>
      <c r="B4524" s="40" t="n">
        <v>-23.563347</v>
      </c>
      <c r="C4524" s="40" t="n">
        <v>-46.704225</v>
      </c>
      <c r="D4524" s="40" t="n">
        <v>91</v>
      </c>
      <c r="E4524" s="41" t="n">
        <v>9135.2979</v>
      </c>
    </row>
    <row r="4525">
      <c r="A4525" s="42">
        <f>_xlfn.XLOOKUP(17850,Trip[shape_id],Trip[shape_id],"Não encontrado")</f>
        <v/>
      </c>
      <c r="B4525" s="43" t="n">
        <v>-23.564221</v>
      </c>
      <c r="C4525" s="43" t="n">
        <v>-46.70385</v>
      </c>
      <c r="D4525" s="43" t="n">
        <v>92</v>
      </c>
      <c r="E4525" s="44" t="n">
        <v>9239.390600000001</v>
      </c>
    </row>
    <row r="4526">
      <c r="A4526" s="39">
        <f>_xlfn.XLOOKUP(17850,Trip[shape_id],Trip[shape_id],"Não encontrado")</f>
        <v/>
      </c>
      <c r="B4526" s="40" t="n">
        <v>-23.564826</v>
      </c>
      <c r="C4526" s="40" t="n">
        <v>-46.703632</v>
      </c>
      <c r="D4526" s="40" t="n">
        <v>93</v>
      </c>
      <c r="E4526" s="41" t="n">
        <v>9309.9951</v>
      </c>
    </row>
    <row r="4527">
      <c r="A4527" s="42">
        <f>_xlfn.XLOOKUP(17850,Trip[shape_id],Trip[shape_id],"Não encontrado")</f>
        <v/>
      </c>
      <c r="B4527" s="43" t="n">
        <v>-23.566552</v>
      </c>
      <c r="C4527" s="43" t="n">
        <v>-46.703012</v>
      </c>
      <c r="D4527" s="43" t="n">
        <v>94</v>
      </c>
      <c r="E4527" s="44" t="n">
        <v>9511.359399999999</v>
      </c>
    </row>
    <row r="4528">
      <c r="A4528" s="39">
        <f>_xlfn.XLOOKUP(17850,Trip[shape_id],Trip[shape_id],"Não encontrado")</f>
        <v/>
      </c>
      <c r="B4528" s="40" t="n">
        <v>-23.567304</v>
      </c>
      <c r="C4528" s="40" t="n">
        <v>-46.702734</v>
      </c>
      <c r="D4528" s="40" t="n">
        <v>95</v>
      </c>
      <c r="E4528" s="41" t="n">
        <v>9599.3477</v>
      </c>
    </row>
    <row r="4529">
      <c r="A4529" s="42">
        <f>_xlfn.XLOOKUP(17850,Trip[shape_id],Trip[shape_id],"Não encontrado")</f>
        <v/>
      </c>
      <c r="B4529" s="43" t="n">
        <v>-23.569307</v>
      </c>
      <c r="C4529" s="43" t="n">
        <v>-46.701995</v>
      </c>
      <c r="D4529" s="43" t="n">
        <v>96</v>
      </c>
      <c r="E4529" s="44" t="n">
        <v>9833.6621</v>
      </c>
    </row>
    <row r="4530">
      <c r="A4530" s="39">
        <f>_xlfn.XLOOKUP(17850,Trip[shape_id],Trip[shape_id],"Não encontrado")</f>
        <v/>
      </c>
      <c r="B4530" s="40" t="n">
        <v>-23.570112</v>
      </c>
      <c r="C4530" s="40" t="n">
        <v>-46.701682</v>
      </c>
      <c r="D4530" s="40" t="n">
        <v>97</v>
      </c>
      <c r="E4530" s="41" t="n">
        <v>9928.3711</v>
      </c>
    </row>
    <row r="4531">
      <c r="A4531" s="42">
        <f>_xlfn.XLOOKUP(17850,Trip[shape_id],Trip[shape_id],"Não encontrado")</f>
        <v/>
      </c>
      <c r="B4531" s="43" t="n">
        <v>-23.571011</v>
      </c>
      <c r="C4531" s="43" t="n">
        <v>-46.701287</v>
      </c>
      <c r="D4531" s="43" t="n">
        <v>98</v>
      </c>
      <c r="E4531" s="44" t="n">
        <v>10035.793</v>
      </c>
    </row>
    <row r="4532">
      <c r="A4532" s="39">
        <f>_xlfn.XLOOKUP(17850,Trip[shape_id],Trip[shape_id],"Não encontrado")</f>
        <v/>
      </c>
      <c r="B4532" s="40" t="n">
        <v>-23.571398</v>
      </c>
      <c r="C4532" s="40" t="n">
        <v>-46.701124</v>
      </c>
      <c r="D4532" s="40" t="n">
        <v>99</v>
      </c>
      <c r="E4532" s="41" t="n">
        <v>10081.771</v>
      </c>
    </row>
    <row r="4533">
      <c r="A4533" s="42">
        <f>_xlfn.XLOOKUP(17850,Trip[shape_id],Trip[shape_id],"Não encontrado")</f>
        <v/>
      </c>
      <c r="B4533" s="43" t="n">
        <v>-23.57171</v>
      </c>
      <c r="C4533" s="43" t="n">
        <v>-46.700981</v>
      </c>
      <c r="D4533" s="43" t="n">
        <v>100</v>
      </c>
      <c r="E4533" s="44" t="n">
        <v>10119.282</v>
      </c>
    </row>
    <row r="4534">
      <c r="A4534" s="39">
        <f>_xlfn.XLOOKUP(17850,Trip[shape_id],Trip[shape_id],"Não encontrado")</f>
        <v/>
      </c>
      <c r="B4534" s="40" t="n">
        <v>-23.572084</v>
      </c>
      <c r="C4534" s="40" t="n">
        <v>-46.700698</v>
      </c>
      <c r="D4534" s="40" t="n">
        <v>101</v>
      </c>
      <c r="E4534" s="41" t="n">
        <v>10169.783</v>
      </c>
    </row>
    <row r="4535">
      <c r="A4535" s="42">
        <f>_xlfn.XLOOKUP(17850,Trip[shape_id],Trip[shape_id],"Não encontrado")</f>
        <v/>
      </c>
      <c r="B4535" s="43" t="n">
        <v>-23.572446</v>
      </c>
      <c r="C4535" s="43" t="n">
        <v>-46.700398</v>
      </c>
      <c r="D4535" s="43" t="n">
        <v>102</v>
      </c>
      <c r="E4535" s="44" t="n">
        <v>10220.234</v>
      </c>
    </row>
    <row r="4536">
      <c r="A4536" s="39">
        <f>_xlfn.XLOOKUP(17850,Trip[shape_id],Trip[shape_id],"Não encontrado")</f>
        <v/>
      </c>
      <c r="B4536" s="40" t="n">
        <v>-23.572683</v>
      </c>
      <c r="C4536" s="40" t="n">
        <v>-46.700031</v>
      </c>
      <c r="D4536" s="40" t="n">
        <v>103</v>
      </c>
      <c r="E4536" s="41" t="n">
        <v>10265.979</v>
      </c>
    </row>
    <row r="4537">
      <c r="A4537" s="42">
        <f>_xlfn.XLOOKUP(17850,Trip[shape_id],Trip[shape_id],"Não encontrado")</f>
        <v/>
      </c>
      <c r="B4537" s="43" t="n">
        <v>-23.57302</v>
      </c>
      <c r="C4537" s="43" t="n">
        <v>-46.699499</v>
      </c>
      <c r="D4537" s="43" t="n">
        <v>104</v>
      </c>
      <c r="E4537" s="44" t="n">
        <v>10331.877</v>
      </c>
    </row>
    <row r="4538">
      <c r="A4538" s="39">
        <f>_xlfn.XLOOKUP(17850,Trip[shape_id],Trip[shape_id],"Não encontrado")</f>
        <v/>
      </c>
      <c r="B4538" s="40" t="n">
        <v>-23.573498</v>
      </c>
      <c r="C4538" s="40" t="n">
        <v>-46.698745</v>
      </c>
      <c r="D4538" s="40" t="n">
        <v>105</v>
      </c>
      <c r="E4538" s="41" t="n">
        <v>10425.297</v>
      </c>
    </row>
    <row r="4539">
      <c r="A4539" s="42">
        <f>_xlfn.XLOOKUP(17850,Trip[shape_id],Trip[shape_id],"Não encontrado")</f>
        <v/>
      </c>
      <c r="B4539" s="43" t="n">
        <v>-23.573661</v>
      </c>
      <c r="C4539" s="43" t="n">
        <v>-46.69853</v>
      </c>
      <c r="D4539" s="43" t="n">
        <v>106</v>
      </c>
      <c r="E4539" s="44" t="n">
        <v>10453.716</v>
      </c>
    </row>
    <row r="4540">
      <c r="A4540" s="39">
        <f>_xlfn.XLOOKUP(17850,Trip[shape_id],Trip[shape_id],"Não encontrado")</f>
        <v/>
      </c>
      <c r="B4540" s="40" t="n">
        <v>-23.5738</v>
      </c>
      <c r="C4540" s="40" t="n">
        <v>-46.698396</v>
      </c>
      <c r="D4540" s="40" t="n">
        <v>107</v>
      </c>
      <c r="E4540" s="41" t="n">
        <v>10474.31</v>
      </c>
    </row>
    <row r="4541">
      <c r="A4541" s="42">
        <f>_xlfn.XLOOKUP(17850,Trip[shape_id],Trip[shape_id],"Não encontrado")</f>
        <v/>
      </c>
      <c r="B4541" s="43" t="n">
        <v>-23.573915</v>
      </c>
      <c r="C4541" s="43" t="n">
        <v>-46.698274</v>
      </c>
      <c r="D4541" s="43" t="n">
        <v>108</v>
      </c>
      <c r="E4541" s="44" t="n">
        <v>10492.123</v>
      </c>
    </row>
    <row r="4542">
      <c r="A4542" s="39">
        <f>_xlfn.XLOOKUP(17850,Trip[shape_id],Trip[shape_id],"Não encontrado")</f>
        <v/>
      </c>
      <c r="B4542" s="40" t="n">
        <v>-23.574636</v>
      </c>
      <c r="C4542" s="40" t="n">
        <v>-46.697491</v>
      </c>
      <c r="D4542" s="40" t="n">
        <v>109</v>
      </c>
      <c r="E4542" s="41" t="n">
        <v>10605.107</v>
      </c>
    </row>
    <row r="4543">
      <c r="A4543" s="42">
        <f>_xlfn.XLOOKUP(17850,Trip[shape_id],Trip[shape_id],"Não encontrado")</f>
        <v/>
      </c>
      <c r="B4543" s="43" t="n">
        <v>-23.575011</v>
      </c>
      <c r="C4543" s="43" t="n">
        <v>-46.697096</v>
      </c>
      <c r="D4543" s="43" t="n">
        <v>110</v>
      </c>
      <c r="E4543" s="44" t="n">
        <v>10662.994</v>
      </c>
    </row>
    <row r="4544">
      <c r="A4544" s="39">
        <f>_xlfn.XLOOKUP(17850,Trip[shape_id],Trip[shape_id],"Não encontrado")</f>
        <v/>
      </c>
      <c r="B4544" s="40" t="n">
        <v>-23.575549</v>
      </c>
      <c r="C4544" s="40" t="n">
        <v>-46.696636</v>
      </c>
      <c r="D4544" s="40" t="n">
        <v>111</v>
      </c>
      <c r="E4544" s="41" t="n">
        <v>10738.858</v>
      </c>
    </row>
    <row r="4545">
      <c r="A4545" s="42">
        <f>_xlfn.XLOOKUP(17850,Trip[shape_id],Trip[shape_id],"Não encontrado")</f>
        <v/>
      </c>
      <c r="B4545" s="43" t="n">
        <v>-23.575851</v>
      </c>
      <c r="C4545" s="43" t="n">
        <v>-46.69638</v>
      </c>
      <c r="D4545" s="43" t="n">
        <v>112</v>
      </c>
      <c r="E4545" s="44" t="n">
        <v>10781.305</v>
      </c>
    </row>
    <row r="4546">
      <c r="A4546" s="39">
        <f>_xlfn.XLOOKUP(17850,Trip[shape_id],Trip[shape_id],"Não encontrado")</f>
        <v/>
      </c>
      <c r="B4546" s="40" t="n">
        <v>-23.576621</v>
      </c>
      <c r="C4546" s="40" t="n">
        <v>-46.695853</v>
      </c>
      <c r="D4546" s="40" t="n">
        <v>113</v>
      </c>
      <c r="E4546" s="41" t="n">
        <v>10882.135</v>
      </c>
    </row>
    <row r="4547">
      <c r="A4547" s="42">
        <f>_xlfn.XLOOKUP(17850,Trip[shape_id],Trip[shape_id],"Não encontrado")</f>
        <v/>
      </c>
      <c r="B4547" s="43" t="n">
        <v>-23.577259</v>
      </c>
      <c r="C4547" s="43" t="n">
        <v>-46.695491</v>
      </c>
      <c r="D4547" s="43" t="n">
        <v>114</v>
      </c>
      <c r="E4547" s="44" t="n">
        <v>10961.874</v>
      </c>
    </row>
    <row r="4548">
      <c r="A4548" s="39">
        <f>_xlfn.XLOOKUP(17850,Trip[shape_id],Trip[shape_id],"Não encontrado")</f>
        <v/>
      </c>
      <c r="B4548" s="40" t="n">
        <v>-23.57815</v>
      </c>
      <c r="C4548" s="40" t="n">
        <v>-46.694988</v>
      </c>
      <c r="D4548" s="40" t="n">
        <v>115</v>
      </c>
      <c r="E4548" s="41" t="n">
        <v>11073.113</v>
      </c>
    </row>
    <row r="4549">
      <c r="A4549" s="42">
        <f>_xlfn.XLOOKUP(17850,Trip[shape_id],Trip[shape_id],"Não encontrado")</f>
        <v/>
      </c>
      <c r="B4549" s="43" t="n">
        <v>-23.579086</v>
      </c>
      <c r="C4549" s="43" t="n">
        <v>-46.69445</v>
      </c>
      <c r="D4549" s="43" t="n">
        <v>116</v>
      </c>
      <c r="E4549" s="44" t="n">
        <v>11190.427</v>
      </c>
    </row>
    <row r="4550">
      <c r="A4550" s="39">
        <f>_xlfn.XLOOKUP(17850,Trip[shape_id],Trip[shape_id],"Não encontrado")</f>
        <v/>
      </c>
      <c r="B4550" s="40" t="n">
        <v>-23.579585</v>
      </c>
      <c r="C4550" s="40" t="n">
        <v>-46.69415</v>
      </c>
      <c r="D4550" s="40" t="n">
        <v>117</v>
      </c>
      <c r="E4550" s="41" t="n">
        <v>11253.609</v>
      </c>
    </row>
    <row r="4551">
      <c r="A4551" s="42">
        <f>_xlfn.XLOOKUP(17850,Trip[shape_id],Trip[shape_id],"Não encontrado")</f>
        <v/>
      </c>
      <c r="B4551" s="43" t="n">
        <v>-23.58074</v>
      </c>
      <c r="C4551" s="43" t="n">
        <v>-46.693479</v>
      </c>
      <c r="D4551" s="43" t="n">
        <v>118</v>
      </c>
      <c r="E4551" s="44" t="n">
        <v>11398.712</v>
      </c>
    </row>
    <row r="4552">
      <c r="A4552" s="39">
        <f>_xlfn.XLOOKUP(17850,Trip[shape_id],Trip[shape_id],"Não encontrado")</f>
        <v/>
      </c>
      <c r="B4552" s="40" t="n">
        <v>-23.581196</v>
      </c>
      <c r="C4552" s="40" t="n">
        <v>-46.693227</v>
      </c>
      <c r="D4552" s="40" t="n">
        <v>119</v>
      </c>
      <c r="E4552" s="41" t="n">
        <v>11455.389</v>
      </c>
    </row>
    <row r="4553">
      <c r="A4553" s="42">
        <f>_xlfn.XLOOKUP(17850,Trip[shape_id],Trip[shape_id],"Não encontrado")</f>
        <v/>
      </c>
      <c r="B4553" s="43" t="n">
        <v>-23.5825</v>
      </c>
      <c r="C4553" s="43" t="n">
        <v>-46.692478</v>
      </c>
      <c r="D4553" s="43" t="n">
        <v>120</v>
      </c>
      <c r="E4553" s="44" t="n">
        <v>11618.799</v>
      </c>
    </row>
    <row r="4554">
      <c r="A4554" s="39">
        <f>_xlfn.XLOOKUP(17850,Trip[shape_id],Trip[shape_id],"Não encontrado")</f>
        <v/>
      </c>
      <c r="B4554" s="40" t="n">
        <v>-23.583256</v>
      </c>
      <c r="C4554" s="40" t="n">
        <v>-46.692042</v>
      </c>
      <c r="D4554" s="40" t="n">
        <v>121</v>
      </c>
      <c r="E4554" s="41" t="n">
        <v>11713.621</v>
      </c>
    </row>
    <row r="4555">
      <c r="A4555" s="42">
        <f>_xlfn.XLOOKUP(17850,Trip[shape_id],Trip[shape_id],"Não encontrado")</f>
        <v/>
      </c>
      <c r="B4555" s="43" t="n">
        <v>-23.584417</v>
      </c>
      <c r="C4555" s="43" t="n">
        <v>-46.691433</v>
      </c>
      <c r="D4555" s="43" t="n">
        <v>122</v>
      </c>
      <c r="E4555" s="44" t="n">
        <v>11856.443</v>
      </c>
    </row>
    <row r="4556">
      <c r="A4556" s="39">
        <f>_xlfn.XLOOKUP(17850,Trip[shape_id],Trip[shape_id],"Não encontrado")</f>
        <v/>
      </c>
      <c r="B4556" s="40" t="n">
        <v>-23.584952</v>
      </c>
      <c r="C4556" s="40" t="n">
        <v>-46.691263</v>
      </c>
      <c r="D4556" s="40" t="n">
        <v>123</v>
      </c>
      <c r="E4556" s="41" t="n">
        <v>11918.185</v>
      </c>
    </row>
    <row r="4557">
      <c r="A4557" s="42">
        <f>_xlfn.XLOOKUP(17850,Trip[shape_id],Trip[shape_id],"Não encontrado")</f>
        <v/>
      </c>
      <c r="B4557" s="43" t="n">
        <v>-23.585364</v>
      </c>
      <c r="C4557" s="43" t="n">
        <v>-46.691142</v>
      </c>
      <c r="D4557" s="43" t="n">
        <v>124</v>
      </c>
      <c r="E4557" s="44" t="n">
        <v>11965.457</v>
      </c>
    </row>
    <row r="4558">
      <c r="A4558" s="39">
        <f>_xlfn.XLOOKUP(17850,Trip[shape_id],Trip[shape_id],"Não encontrado")</f>
        <v/>
      </c>
      <c r="B4558" s="40" t="n">
        <v>-23.585765</v>
      </c>
      <c r="C4558" s="40" t="n">
        <v>-46.691058</v>
      </c>
      <c r="D4558" s="40" t="n">
        <v>125</v>
      </c>
      <c r="E4558" s="41" t="n">
        <v>12010.688</v>
      </c>
    </row>
    <row r="4559">
      <c r="A4559" s="42">
        <f>_xlfn.XLOOKUP(17850,Trip[shape_id],Trip[shape_id],"Não encontrado")</f>
        <v/>
      </c>
      <c r="B4559" s="43" t="n">
        <v>-23.586245</v>
      </c>
      <c r="C4559" s="43" t="n">
        <v>-46.690997</v>
      </c>
      <c r="D4559" s="43" t="n">
        <v>126</v>
      </c>
      <c r="E4559" s="44" t="n">
        <v>12064.213</v>
      </c>
    </row>
    <row r="4560">
      <c r="A4560" s="39">
        <f>_xlfn.XLOOKUP(17850,Trip[shape_id],Trip[shape_id],"Não encontrado")</f>
        <v/>
      </c>
      <c r="B4560" s="40" t="n">
        <v>-23.586726</v>
      </c>
      <c r="C4560" s="40" t="n">
        <v>-46.690976</v>
      </c>
      <c r="D4560" s="40" t="n">
        <v>127</v>
      </c>
      <c r="E4560" s="41" t="n">
        <v>12117.528</v>
      </c>
    </row>
    <row r="4561">
      <c r="A4561" s="42">
        <f>_xlfn.XLOOKUP(17850,Trip[shape_id],Trip[shape_id],"Não encontrado")</f>
        <v/>
      </c>
      <c r="B4561" s="43" t="n">
        <v>-23.5873</v>
      </c>
      <c r="C4561" s="43" t="n">
        <v>-46.690963</v>
      </c>
      <c r="D4561" s="43" t="n">
        <v>128</v>
      </c>
      <c r="E4561" s="44" t="n">
        <v>12181.114</v>
      </c>
    </row>
    <row r="4562">
      <c r="A4562" s="39">
        <f>_xlfn.XLOOKUP(17850,Trip[shape_id],Trip[shape_id],"Não encontrado")</f>
        <v/>
      </c>
      <c r="B4562" s="40" t="n">
        <v>-23.587493</v>
      </c>
      <c r="C4562" s="40" t="n">
        <v>-46.690953</v>
      </c>
      <c r="D4562" s="40" t="n">
        <v>129</v>
      </c>
      <c r="E4562" s="41" t="n">
        <v>12202.514</v>
      </c>
    </row>
    <row r="4563">
      <c r="A4563" s="42">
        <f>_xlfn.XLOOKUP(17850,Trip[shape_id],Trip[shape_id],"Não encontrado")</f>
        <v/>
      </c>
      <c r="B4563" s="43" t="n">
        <v>-23.587712</v>
      </c>
      <c r="C4563" s="43" t="n">
        <v>-46.690966</v>
      </c>
      <c r="D4563" s="43" t="n">
        <v>130</v>
      </c>
      <c r="E4563" s="44" t="n">
        <v>12226.805</v>
      </c>
    </row>
    <row r="4564">
      <c r="A4564" s="39">
        <f>_xlfn.XLOOKUP(17850,Trip[shape_id],Trip[shape_id],"Não encontrado")</f>
        <v/>
      </c>
      <c r="B4564" s="40" t="n">
        <v>-23.588118</v>
      </c>
      <c r="C4564" s="40" t="n">
        <v>-46.691034</v>
      </c>
      <c r="D4564" s="40" t="n">
        <v>131</v>
      </c>
      <c r="E4564" s="41" t="n">
        <v>12272.303</v>
      </c>
    </row>
    <row r="4565">
      <c r="A4565" s="42">
        <f>_xlfn.XLOOKUP(17850,Trip[shape_id],Trip[shape_id],"Não encontrado")</f>
        <v/>
      </c>
      <c r="B4565" s="43" t="n">
        <v>-23.588423</v>
      </c>
      <c r="C4565" s="43" t="n">
        <v>-46.691096</v>
      </c>
      <c r="D4565" s="43" t="n">
        <v>132</v>
      </c>
      <c r="E4565" s="44" t="n">
        <v>12306.67</v>
      </c>
    </row>
    <row r="4566">
      <c r="A4566" s="39">
        <f>_xlfn.XLOOKUP(17850,Trip[shape_id],Trip[shape_id],"Não encontrado")</f>
        <v/>
      </c>
      <c r="B4566" s="40" t="n">
        <v>-23.588954</v>
      </c>
      <c r="C4566" s="40" t="n">
        <v>-46.691273</v>
      </c>
      <c r="D4566" s="40" t="n">
        <v>133</v>
      </c>
      <c r="E4566" s="41" t="n">
        <v>12368.192</v>
      </c>
    </row>
    <row r="4567">
      <c r="A4567" s="42">
        <f>_xlfn.XLOOKUP(17850,Trip[shape_id],Trip[shape_id],"Não encontrado")</f>
        <v/>
      </c>
      <c r="B4567" s="43" t="n">
        <v>-23.589921</v>
      </c>
      <c r="C4567" s="43" t="n">
        <v>-46.691606</v>
      </c>
      <c r="D4567" s="43" t="n">
        <v>134</v>
      </c>
      <c r="E4567" s="44" t="n">
        <v>12480.555</v>
      </c>
    </row>
    <row r="4568">
      <c r="A4568" s="39">
        <f>_xlfn.XLOOKUP(17850,Trip[shape_id],Trip[shape_id],"Não encontrado")</f>
        <v/>
      </c>
      <c r="B4568" s="40" t="n">
        <v>-23.590645</v>
      </c>
      <c r="C4568" s="40" t="n">
        <v>-46.691865</v>
      </c>
      <c r="D4568" s="40" t="n">
        <v>135</v>
      </c>
      <c r="E4568" s="41" t="n">
        <v>12564.985</v>
      </c>
    </row>
    <row r="4569">
      <c r="A4569" s="42">
        <f>_xlfn.XLOOKUP(17850,Trip[shape_id],Trip[shape_id],"Não encontrado")</f>
        <v/>
      </c>
      <c r="B4569" s="43" t="n">
        <v>-23.591338</v>
      </c>
      <c r="C4569" s="43" t="n">
        <v>-46.69211</v>
      </c>
      <c r="D4569" s="43" t="n">
        <v>136</v>
      </c>
      <c r="E4569" s="44" t="n">
        <v>12645.708</v>
      </c>
    </row>
    <row r="4570">
      <c r="A4570" s="39">
        <f>_xlfn.XLOOKUP(17850,Trip[shape_id],Trip[shape_id],"Não encontrado")</f>
        <v/>
      </c>
      <c r="B4570" s="40" t="n">
        <v>-23.592366</v>
      </c>
      <c r="C4570" s="40" t="n">
        <v>-46.692485</v>
      </c>
      <c r="D4570" s="40" t="n">
        <v>137</v>
      </c>
      <c r="E4570" s="41" t="n">
        <v>12765.823</v>
      </c>
    </row>
    <row r="4571">
      <c r="A4571" s="42">
        <f>_xlfn.XLOOKUP(17850,Trip[shape_id],Trip[shape_id],"Não encontrado")</f>
        <v/>
      </c>
      <c r="B4571" s="43" t="n">
        <v>-23.593294</v>
      </c>
      <c r="C4571" s="43" t="n">
        <v>-46.692729</v>
      </c>
      <c r="D4571" s="43" t="n">
        <v>138</v>
      </c>
      <c r="E4571" s="44" t="n">
        <v>12871.576</v>
      </c>
    </row>
    <row r="4572">
      <c r="A4572" s="39">
        <f>_xlfn.XLOOKUP(17850,Trip[shape_id],Trip[shape_id],"Não encontrado")</f>
        <v/>
      </c>
      <c r="B4572" s="40" t="n">
        <v>-23.593461</v>
      </c>
      <c r="C4572" s="40" t="n">
        <v>-46.692755</v>
      </c>
      <c r="D4572" s="40" t="n">
        <v>139</v>
      </c>
      <c r="E4572" s="41" t="n">
        <v>12890.262</v>
      </c>
    </row>
    <row r="4573">
      <c r="A4573" s="42">
        <f>_xlfn.XLOOKUP(17850,Trip[shape_id],Trip[shape_id],"Não encontrado")</f>
        <v/>
      </c>
      <c r="B4573" s="43" t="n">
        <v>-23.593697</v>
      </c>
      <c r="C4573" s="43" t="n">
        <v>-46.692747</v>
      </c>
      <c r="D4573" s="43" t="n">
        <v>140</v>
      </c>
      <c r="E4573" s="44" t="n">
        <v>12916.412</v>
      </c>
    </row>
    <row r="4574">
      <c r="A4574" s="39">
        <f>_xlfn.XLOOKUP(17850,Trip[shape_id],Trip[shape_id],"Não encontrado")</f>
        <v/>
      </c>
      <c r="B4574" s="40" t="n">
        <v>-23.594528</v>
      </c>
      <c r="C4574" s="40" t="n">
        <v>-46.69276</v>
      </c>
      <c r="D4574" s="40" t="n">
        <v>141</v>
      </c>
      <c r="E4574" s="41" t="n">
        <v>13008.457</v>
      </c>
    </row>
    <row r="4575">
      <c r="A4575" s="42">
        <f>_xlfn.XLOOKUP(17850,Trip[shape_id],Trip[shape_id],"Não encontrado")</f>
        <v/>
      </c>
      <c r="B4575" s="43" t="n">
        <v>-23.595199</v>
      </c>
      <c r="C4575" s="43" t="n">
        <v>-46.692756</v>
      </c>
      <c r="D4575" s="43" t="n">
        <v>142</v>
      </c>
      <c r="E4575" s="44" t="n">
        <v>13082.773</v>
      </c>
    </row>
    <row r="4576">
      <c r="A4576" s="39">
        <f>_xlfn.XLOOKUP(17850,Trip[shape_id],Trip[shape_id],"Não encontrado")</f>
        <v/>
      </c>
      <c r="B4576" s="40" t="n">
        <v>-23.595457</v>
      </c>
      <c r="C4576" s="40" t="n">
        <v>-46.692772</v>
      </c>
      <c r="D4576" s="40" t="n">
        <v>143</v>
      </c>
      <c r="E4576" s="41" t="n">
        <v>13111.395</v>
      </c>
    </row>
    <row r="4577">
      <c r="A4577" s="42">
        <f>_xlfn.XLOOKUP(17850,Trip[shape_id],Trip[shape_id],"Não encontrado")</f>
        <v/>
      </c>
      <c r="B4577" s="43" t="n">
        <v>-23.595663</v>
      </c>
      <c r="C4577" s="43" t="n">
        <v>-46.692784</v>
      </c>
      <c r="D4577" s="43" t="n">
        <v>144</v>
      </c>
      <c r="E4577" s="44" t="n">
        <v>13134.242</v>
      </c>
    </row>
    <row r="4578">
      <c r="A4578" s="39">
        <f>_xlfn.XLOOKUP(17850,Trip[shape_id],Trip[shape_id],"Não encontrado")</f>
        <v/>
      </c>
      <c r="B4578" s="40" t="n">
        <v>-23.596066</v>
      </c>
      <c r="C4578" s="40" t="n">
        <v>-46.692839</v>
      </c>
      <c r="D4578" s="40" t="n">
        <v>145</v>
      </c>
      <c r="E4578" s="41" t="n">
        <v>13179.228</v>
      </c>
    </row>
    <row r="4579">
      <c r="A4579" s="42">
        <f>_xlfn.XLOOKUP(17850,Trip[shape_id],Trip[shape_id],"Não encontrado")</f>
        <v/>
      </c>
      <c r="B4579" s="43" t="n">
        <v>-23.596204</v>
      </c>
      <c r="C4579" s="43" t="n">
        <v>-46.692869</v>
      </c>
      <c r="D4579" s="43" t="n">
        <v>146</v>
      </c>
      <c r="E4579" s="44" t="n">
        <v>13194.814</v>
      </c>
    </row>
    <row r="4580">
      <c r="A4580" s="39">
        <f>_xlfn.XLOOKUP(17850,Trip[shape_id],Trip[shape_id],"Não encontrado")</f>
        <v/>
      </c>
      <c r="B4580" s="40" t="n">
        <v>-23.596664</v>
      </c>
      <c r="C4580" s="40" t="n">
        <v>-46.692984</v>
      </c>
      <c r="D4580" s="40" t="n">
        <v>147</v>
      </c>
      <c r="E4580" s="41" t="n">
        <v>13247.096</v>
      </c>
    </row>
    <row r="4581">
      <c r="A4581" s="42">
        <f>_xlfn.XLOOKUP(17850,Trip[shape_id],Trip[shape_id],"Não encontrado")</f>
        <v/>
      </c>
      <c r="B4581" s="43" t="n">
        <v>-23.597172</v>
      </c>
      <c r="C4581" s="43" t="n">
        <v>-46.693182</v>
      </c>
      <c r="D4581" s="43" t="n">
        <v>148</v>
      </c>
      <c r="E4581" s="44" t="n">
        <v>13306.877</v>
      </c>
    </row>
    <row r="4582">
      <c r="A4582" s="39">
        <f>_xlfn.XLOOKUP(17850,Trip[shape_id],Trip[shape_id],"Não encontrado")</f>
        <v/>
      </c>
      <c r="B4582" s="40" t="n">
        <v>-23.597988</v>
      </c>
      <c r="C4582" s="40" t="n">
        <v>-46.693617</v>
      </c>
      <c r="D4582" s="40" t="n">
        <v>149</v>
      </c>
      <c r="E4582" s="41" t="n">
        <v>13407.568</v>
      </c>
    </row>
    <row r="4583">
      <c r="A4583" s="42">
        <f>_xlfn.XLOOKUP(17850,Trip[shape_id],Trip[shape_id],"Não encontrado")</f>
        <v/>
      </c>
      <c r="B4583" s="43" t="n">
        <v>-23.598648</v>
      </c>
      <c r="C4583" s="43" t="n">
        <v>-46.694116</v>
      </c>
      <c r="D4583" s="43" t="n">
        <v>150</v>
      </c>
      <c r="E4583" s="44" t="n">
        <v>13496.658</v>
      </c>
    </row>
    <row r="4584">
      <c r="A4584" s="39">
        <f>_xlfn.XLOOKUP(17850,Trip[shape_id],Trip[shape_id],"Não encontrado")</f>
        <v/>
      </c>
      <c r="B4584" s="40" t="n">
        <v>-23.599058</v>
      </c>
      <c r="C4584" s="40" t="n">
        <v>-46.694417</v>
      </c>
      <c r="D4584" s="40" t="n">
        <v>151</v>
      </c>
      <c r="E4584" s="41" t="n">
        <v>13551.482</v>
      </c>
    </row>
    <row r="4585">
      <c r="A4585" s="42">
        <f>_xlfn.XLOOKUP(17850,Trip[shape_id],Trip[shape_id],"Não encontrado")</f>
        <v/>
      </c>
      <c r="B4585" s="43" t="n">
        <v>-23.599761</v>
      </c>
      <c r="C4585" s="43" t="n">
        <v>-46.694909</v>
      </c>
      <c r="D4585" s="43" t="n">
        <v>152</v>
      </c>
      <c r="E4585" s="44" t="n">
        <v>13644.13</v>
      </c>
    </row>
    <row r="4586">
      <c r="A4586" s="39">
        <f>_xlfn.XLOOKUP(17850,Trip[shape_id],Trip[shape_id],"Não encontrado")</f>
        <v/>
      </c>
      <c r="B4586" s="40" t="n">
        <v>-23.599888</v>
      </c>
      <c r="C4586" s="40" t="n">
        <v>-46.694984</v>
      </c>
      <c r="D4586" s="40" t="n">
        <v>153</v>
      </c>
      <c r="E4586" s="41" t="n">
        <v>13660.144</v>
      </c>
    </row>
    <row r="4587">
      <c r="A4587" s="42">
        <f>_xlfn.XLOOKUP(17850,Trip[shape_id],Trip[shape_id],"Não encontrado")</f>
        <v/>
      </c>
      <c r="B4587" s="43" t="n">
        <v>-23.600254</v>
      </c>
      <c r="C4587" s="43" t="n">
        <v>-46.695186</v>
      </c>
      <c r="D4587" s="43" t="n">
        <v>154</v>
      </c>
      <c r="E4587" s="44" t="n">
        <v>13705.621</v>
      </c>
    </row>
    <row r="4588">
      <c r="A4588" s="39">
        <f>_xlfn.XLOOKUP(17850,Trip[shape_id],Trip[shape_id],"Não encontrado")</f>
        <v/>
      </c>
      <c r="B4588" s="40" t="n">
        <v>-23.60066</v>
      </c>
      <c r="C4588" s="40" t="n">
        <v>-46.695364</v>
      </c>
      <c r="D4588" s="40" t="n">
        <v>155</v>
      </c>
      <c r="E4588" s="41" t="n">
        <v>13754.118</v>
      </c>
    </row>
    <row r="4589">
      <c r="A4589" s="42">
        <f>_xlfn.XLOOKUP(17850,Trip[shape_id],Trip[shape_id],"Não encontrado")</f>
        <v/>
      </c>
      <c r="B4589" s="43" t="n">
        <v>-23.60144</v>
      </c>
      <c r="C4589" s="43" t="n">
        <v>-46.695584</v>
      </c>
      <c r="D4589" s="43" t="n">
        <v>156</v>
      </c>
      <c r="E4589" s="44" t="n">
        <v>13843.376</v>
      </c>
    </row>
    <row r="4590">
      <c r="A4590" s="39">
        <f>_xlfn.XLOOKUP(17850,Trip[shape_id],Trip[shape_id],"Não encontrado")</f>
        <v/>
      </c>
      <c r="B4590" s="40" t="n">
        <v>-23.601657</v>
      </c>
      <c r="C4590" s="40" t="n">
        <v>-46.695643</v>
      </c>
      <c r="D4590" s="40" t="n">
        <v>157</v>
      </c>
      <c r="E4590" s="41" t="n">
        <v>13868.152</v>
      </c>
    </row>
    <row r="4591">
      <c r="A4591" s="42">
        <f>_xlfn.XLOOKUP(17850,Trip[shape_id],Trip[shape_id],"Não encontrado")</f>
        <v/>
      </c>
      <c r="B4591" s="43" t="n">
        <v>-23.603115</v>
      </c>
      <c r="C4591" s="43" t="n">
        <v>-46.696213</v>
      </c>
      <c r="D4591" s="43" t="n">
        <v>158</v>
      </c>
      <c r="E4591" s="44" t="n">
        <v>14039.789</v>
      </c>
    </row>
    <row r="4592">
      <c r="A4592" s="39">
        <f>_xlfn.XLOOKUP(17850,Trip[shape_id],Trip[shape_id],"Não encontrado")</f>
        <v/>
      </c>
      <c r="B4592" s="40" t="n">
        <v>-23.603652</v>
      </c>
      <c r="C4592" s="40" t="n">
        <v>-46.696411</v>
      </c>
      <c r="D4592" s="40" t="n">
        <v>159</v>
      </c>
      <c r="E4592" s="41" t="n">
        <v>14102.603</v>
      </c>
    </row>
    <row r="4593">
      <c r="A4593" s="42">
        <f>_xlfn.XLOOKUP(17850,Trip[shape_id],Trip[shape_id],"Não encontrado")</f>
        <v/>
      </c>
      <c r="B4593" s="43" t="n">
        <v>-23.604829</v>
      </c>
      <c r="C4593" s="43" t="n">
        <v>-46.696829</v>
      </c>
      <c r="D4593" s="43" t="n">
        <v>160</v>
      </c>
      <c r="E4593" s="44" t="n">
        <v>14239.762</v>
      </c>
    </row>
    <row r="4594">
      <c r="A4594" s="39">
        <f>_xlfn.XLOOKUP(17850,Trip[shape_id],Trip[shape_id],"Não encontrado")</f>
        <v/>
      </c>
      <c r="B4594" s="40" t="n">
        <v>-23.605153</v>
      </c>
      <c r="C4594" s="40" t="n">
        <v>-46.696943</v>
      </c>
      <c r="D4594" s="40" t="n">
        <v>161</v>
      </c>
      <c r="E4594" s="41" t="n">
        <v>14277.484</v>
      </c>
    </row>
    <row r="4595">
      <c r="A4595" s="42">
        <f>_xlfn.XLOOKUP(17850,Trip[shape_id],Trip[shape_id],"Não encontrado")</f>
        <v/>
      </c>
      <c r="B4595" s="43" t="n">
        <v>-23.605929</v>
      </c>
      <c r="C4595" s="43" t="n">
        <v>-46.69722</v>
      </c>
      <c r="D4595" s="43" t="n">
        <v>162</v>
      </c>
      <c r="E4595" s="44" t="n">
        <v>14367.959</v>
      </c>
    </row>
    <row r="4596">
      <c r="A4596" s="39">
        <f>_xlfn.XLOOKUP(17850,Trip[shape_id],Trip[shape_id],"Não encontrado")</f>
        <v/>
      </c>
      <c r="B4596" s="40" t="n">
        <v>-23.606517</v>
      </c>
      <c r="C4596" s="40" t="n">
        <v>-46.697423</v>
      </c>
      <c r="D4596" s="40" t="n">
        <v>163</v>
      </c>
      <c r="E4596" s="41" t="n">
        <v>14436.298</v>
      </c>
    </row>
    <row r="4597">
      <c r="A4597" s="42">
        <f>_xlfn.XLOOKUP(17850,Trip[shape_id],Trip[shape_id],"Não encontrado")</f>
        <v/>
      </c>
      <c r="B4597" s="43" t="n">
        <v>-23.607141</v>
      </c>
      <c r="C4597" s="43" t="n">
        <v>-46.697594</v>
      </c>
      <c r="D4597" s="43" t="n">
        <v>164</v>
      </c>
      <c r="E4597" s="44" t="n">
        <v>14507.577</v>
      </c>
    </row>
    <row r="4598">
      <c r="A4598" s="39">
        <f>_xlfn.XLOOKUP(17850,Trip[shape_id],Trip[shape_id],"Não encontrado")</f>
        <v/>
      </c>
      <c r="B4598" s="40" t="n">
        <v>-23.607678</v>
      </c>
      <c r="C4598" s="40" t="n">
        <v>-46.697712</v>
      </c>
      <c r="D4598" s="40" t="n">
        <v>165</v>
      </c>
      <c r="E4598" s="41" t="n">
        <v>14568.258</v>
      </c>
    </row>
    <row r="4599">
      <c r="A4599" s="42">
        <f>_xlfn.XLOOKUP(17850,Trip[shape_id],Trip[shape_id],"Não encontrado")</f>
        <v/>
      </c>
      <c r="B4599" s="43" t="n">
        <v>-23.608526</v>
      </c>
      <c r="C4599" s="43" t="n">
        <v>-46.697906</v>
      </c>
      <c r="D4599" s="43" t="n">
        <v>166</v>
      </c>
      <c r="E4599" s="44" t="n">
        <v>14664.24</v>
      </c>
    </row>
    <row r="4600">
      <c r="A4600" s="39">
        <f>_xlfn.XLOOKUP(17850,Trip[shape_id],Trip[shape_id],"Não encontrado")</f>
        <v/>
      </c>
      <c r="B4600" s="40" t="n">
        <v>-23.610531</v>
      </c>
      <c r="C4600" s="40" t="n">
        <v>-46.698355</v>
      </c>
      <c r="D4600" s="40" t="n">
        <v>167</v>
      </c>
      <c r="E4600" s="41" t="n">
        <v>14890.978</v>
      </c>
    </row>
    <row r="4601">
      <c r="A4601" s="42">
        <f>_xlfn.XLOOKUP(17850,Trip[shape_id],Trip[shape_id],"Não encontrado")</f>
        <v/>
      </c>
      <c r="B4601" s="43" t="n">
        <v>-23.611097</v>
      </c>
      <c r="C4601" s="43" t="n">
        <v>-46.698484</v>
      </c>
      <c r="D4601" s="43" t="n">
        <v>168</v>
      </c>
      <c r="E4601" s="44" t="n">
        <v>14955.031</v>
      </c>
    </row>
    <row r="4602">
      <c r="A4602" s="39">
        <f>_xlfn.XLOOKUP(17850,Trip[shape_id],Trip[shape_id],"Não encontrado")</f>
        <v/>
      </c>
      <c r="B4602" s="40" t="n">
        <v>-23.611862</v>
      </c>
      <c r="C4602" s="40" t="n">
        <v>-46.698646</v>
      </c>
      <c r="D4602" s="40" t="n">
        <v>169</v>
      </c>
      <c r="E4602" s="41" t="n">
        <v>15041.355</v>
      </c>
    </row>
    <row r="4603">
      <c r="A4603" s="42">
        <f>_xlfn.XLOOKUP(17850,Trip[shape_id],Trip[shape_id],"Não encontrado")</f>
        <v/>
      </c>
      <c r="B4603" s="43" t="n">
        <v>-23.612874</v>
      </c>
      <c r="C4603" s="43" t="n">
        <v>-46.698872</v>
      </c>
      <c r="D4603" s="43" t="n">
        <v>170</v>
      </c>
      <c r="E4603" s="44" t="n">
        <v>15155.786</v>
      </c>
    </row>
    <row r="4604">
      <c r="A4604" s="39">
        <f>_xlfn.XLOOKUP(17850,Trip[shape_id],Trip[shape_id],"Não encontrado")</f>
        <v/>
      </c>
      <c r="B4604" s="40" t="n">
        <v>-23.614377</v>
      </c>
      <c r="C4604" s="40" t="n">
        <v>-46.6992</v>
      </c>
      <c r="D4604" s="40" t="n">
        <v>171</v>
      </c>
      <c r="E4604" s="41" t="n">
        <v>15325.58</v>
      </c>
    </row>
    <row r="4605">
      <c r="A4605" s="42">
        <f>_xlfn.XLOOKUP(17850,Trip[shape_id],Trip[shape_id],"Não encontrado")</f>
        <v/>
      </c>
      <c r="B4605" s="43" t="n">
        <v>-23.614884</v>
      </c>
      <c r="C4605" s="43" t="n">
        <v>-46.699313</v>
      </c>
      <c r="D4605" s="43" t="n">
        <v>172</v>
      </c>
      <c r="E4605" s="44" t="n">
        <v>15382.903</v>
      </c>
    </row>
    <row r="4606">
      <c r="A4606" s="39">
        <f>_xlfn.XLOOKUP(17850,Trip[shape_id],Trip[shape_id],"Não encontrado")</f>
        <v/>
      </c>
      <c r="B4606" s="40" t="n">
        <v>-23.615922</v>
      </c>
      <c r="C4606" s="40" t="n">
        <v>-46.699539</v>
      </c>
      <c r="D4606" s="40" t="n">
        <v>173</v>
      </c>
      <c r="E4606" s="41" t="n">
        <v>15500.155</v>
      </c>
    </row>
    <row r="4607">
      <c r="A4607" s="42">
        <f>_xlfn.XLOOKUP(17850,Trip[shape_id],Trip[shape_id],"Não encontrado")</f>
        <v/>
      </c>
      <c r="B4607" s="43" t="n">
        <v>-23.616317</v>
      </c>
      <c r="C4607" s="43" t="n">
        <v>-46.699643</v>
      </c>
      <c r="D4607" s="43" t="n">
        <v>174</v>
      </c>
      <c r="E4607" s="44" t="n">
        <v>15545.172</v>
      </c>
    </row>
    <row r="4608">
      <c r="A4608" s="39">
        <f>_xlfn.XLOOKUP(17850,Trip[shape_id],Trip[shape_id],"Não encontrado")</f>
        <v/>
      </c>
      <c r="B4608" s="40" t="n">
        <v>-23.616757</v>
      </c>
      <c r="C4608" s="40" t="n">
        <v>-46.699777</v>
      </c>
      <c r="D4608" s="40" t="n">
        <v>175</v>
      </c>
      <c r="E4608" s="41" t="n">
        <v>15595.785</v>
      </c>
    </row>
    <row r="4609">
      <c r="A4609" s="42">
        <f>_xlfn.XLOOKUP(17850,Trip[shape_id],Trip[shape_id],"Não encontrado")</f>
        <v/>
      </c>
      <c r="B4609" s="43" t="n">
        <v>-23.617086</v>
      </c>
      <c r="C4609" s="43" t="n">
        <v>-46.699919</v>
      </c>
      <c r="D4609" s="43" t="n">
        <v>176</v>
      </c>
      <c r="E4609" s="44" t="n">
        <v>15634.999</v>
      </c>
    </row>
    <row r="4610">
      <c r="A4610" s="39">
        <f>_xlfn.XLOOKUP(17850,Trip[shape_id],Trip[shape_id],"Não encontrado")</f>
        <v/>
      </c>
      <c r="B4610" s="40" t="n">
        <v>-23.617471</v>
      </c>
      <c r="C4610" s="40" t="n">
        <v>-46.700101</v>
      </c>
      <c r="D4610" s="40" t="n">
        <v>177</v>
      </c>
      <c r="E4610" s="41" t="n">
        <v>15681.509</v>
      </c>
    </row>
    <row r="4611">
      <c r="A4611" s="42">
        <f>_xlfn.XLOOKUP(17850,Trip[shape_id],Trip[shape_id],"Não encontrado")</f>
        <v/>
      </c>
      <c r="B4611" s="43" t="n">
        <v>-23.617893</v>
      </c>
      <c r="C4611" s="43" t="n">
        <v>-46.700255</v>
      </c>
      <c r="D4611" s="43" t="n">
        <v>178</v>
      </c>
      <c r="E4611" s="44" t="n">
        <v>15730.818</v>
      </c>
    </row>
    <row r="4612">
      <c r="A4612" s="39">
        <f>_xlfn.XLOOKUP(17850,Trip[shape_id],Trip[shape_id],"Não encontrado")</f>
        <v/>
      </c>
      <c r="B4612" s="40" t="n">
        <v>-23.618128</v>
      </c>
      <c r="C4612" s="40" t="n">
        <v>-46.700343</v>
      </c>
      <c r="D4612" s="40" t="n">
        <v>179</v>
      </c>
      <c r="E4612" s="41" t="n">
        <v>15758.351</v>
      </c>
    </row>
    <row r="4613">
      <c r="A4613" s="42">
        <f>_xlfn.XLOOKUP(17850,Trip[shape_id],Trip[shape_id],"Não encontrado")</f>
        <v/>
      </c>
      <c r="B4613" s="43" t="n">
        <v>-23.618294</v>
      </c>
      <c r="C4613" s="43" t="n">
        <v>-46.700397</v>
      </c>
      <c r="D4613" s="43" t="n">
        <v>180</v>
      </c>
      <c r="E4613" s="44" t="n">
        <v>15777.544</v>
      </c>
    </row>
    <row r="4614">
      <c r="A4614" s="39">
        <f>_xlfn.XLOOKUP(17850,Trip[shape_id],Trip[shape_id],"Não encontrado")</f>
        <v/>
      </c>
      <c r="B4614" s="40" t="n">
        <v>-23.618617</v>
      </c>
      <c r="C4614" s="40" t="n">
        <v>-46.700444</v>
      </c>
      <c r="D4614" s="40" t="n">
        <v>181</v>
      </c>
      <c r="E4614" s="41" t="n">
        <v>15813.637</v>
      </c>
    </row>
    <row r="4615">
      <c r="A4615" s="42">
        <f>_xlfn.XLOOKUP(17850,Trip[shape_id],Trip[shape_id],"Não encontrado")</f>
        <v/>
      </c>
      <c r="B4615" s="43" t="n">
        <v>-23.619166</v>
      </c>
      <c r="C4615" s="43" t="n">
        <v>-46.700511</v>
      </c>
      <c r="D4615" s="43" t="n">
        <v>182</v>
      </c>
      <c r="E4615" s="44" t="n">
        <v>15874.823</v>
      </c>
    </row>
    <row r="4616">
      <c r="A4616" s="39">
        <f>_xlfn.XLOOKUP(17850,Trip[shape_id],Trip[shape_id],"Não encontrado")</f>
        <v/>
      </c>
      <c r="B4616" s="40" t="n">
        <v>-23.619557</v>
      </c>
      <c r="C4616" s="40" t="n">
        <v>-46.700544</v>
      </c>
      <c r="D4616" s="40" t="n">
        <v>183</v>
      </c>
      <c r="E4616" s="41" t="n">
        <v>15918.259</v>
      </c>
    </row>
    <row r="4617">
      <c r="A4617" s="42">
        <f>_xlfn.XLOOKUP(17850,Trip[shape_id],Trip[shape_id],"Não encontrado")</f>
        <v/>
      </c>
      <c r="B4617" s="43" t="n">
        <v>-23.619831</v>
      </c>
      <c r="C4617" s="43" t="n">
        <v>-46.700605</v>
      </c>
      <c r="D4617" s="43" t="n">
        <v>184</v>
      </c>
      <c r="E4617" s="44" t="n">
        <v>15949.237</v>
      </c>
    </row>
    <row r="4618">
      <c r="A4618" s="39">
        <f>_xlfn.XLOOKUP(17850,Trip[shape_id],Trip[shape_id],"Não encontrado")</f>
        <v/>
      </c>
      <c r="B4618" s="40" t="n">
        <v>-23.620121</v>
      </c>
      <c r="C4618" s="40" t="n">
        <v>-46.700672</v>
      </c>
      <c r="D4618" s="40" t="n">
        <v>185</v>
      </c>
      <c r="E4618" s="41" t="n">
        <v>15982.075</v>
      </c>
    </row>
    <row r="4619">
      <c r="A4619" s="42">
        <f>_xlfn.XLOOKUP(17850,Trip[shape_id],Trip[shape_id],"Não encontrado")</f>
        <v/>
      </c>
      <c r="B4619" s="43" t="n">
        <v>-23.62053</v>
      </c>
      <c r="C4619" s="43" t="n">
        <v>-46.700857</v>
      </c>
      <c r="D4619" s="43" t="n">
        <v>186</v>
      </c>
      <c r="E4619" s="44" t="n">
        <v>16031.149</v>
      </c>
    </row>
    <row r="4620">
      <c r="A4620" s="39">
        <f>_xlfn.XLOOKUP(17850,Trip[shape_id],Trip[shape_id],"Não encontrado")</f>
        <v/>
      </c>
      <c r="B4620" s="40" t="n">
        <v>-23.620764</v>
      </c>
      <c r="C4620" s="40" t="n">
        <v>-46.700992</v>
      </c>
      <c r="D4620" s="40" t="n">
        <v>187</v>
      </c>
      <c r="E4620" s="41" t="n">
        <v>16060.5</v>
      </c>
    </row>
    <row r="4621">
      <c r="A4621" s="42">
        <f>_xlfn.XLOOKUP(17850,Trip[shape_id],Trip[shape_id],"Não encontrado")</f>
        <v/>
      </c>
      <c r="B4621" s="43" t="n">
        <v>-23.621066</v>
      </c>
      <c r="C4621" s="43" t="n">
        <v>-46.701177</v>
      </c>
      <c r="D4621" s="43" t="n">
        <v>188</v>
      </c>
      <c r="E4621" s="44" t="n">
        <v>16098.907</v>
      </c>
    </row>
    <row r="4622">
      <c r="A4622" s="39">
        <f>_xlfn.XLOOKUP(17850,Trip[shape_id],Trip[shape_id],"Não encontrado")</f>
        <v/>
      </c>
      <c r="B4622" s="40" t="n">
        <v>-23.62134</v>
      </c>
      <c r="C4622" s="40" t="n">
        <v>-46.701419</v>
      </c>
      <c r="D4622" s="40" t="n">
        <v>189</v>
      </c>
      <c r="E4622" s="41" t="n">
        <v>16138.032</v>
      </c>
    </row>
    <row r="4623">
      <c r="A4623" s="42">
        <f>_xlfn.XLOOKUP(17850,Trip[shape_id],Trip[shape_id],"Não encontrado")</f>
        <v/>
      </c>
      <c r="B4623" s="43" t="n">
        <v>-23.621658</v>
      </c>
      <c r="C4623" s="43" t="n">
        <v>-46.701688</v>
      </c>
      <c r="D4623" s="43" t="n">
        <v>190</v>
      </c>
      <c r="E4623" s="44" t="n">
        <v>16182.686</v>
      </c>
    </row>
    <row r="4624">
      <c r="A4624" s="39">
        <f>_xlfn.XLOOKUP(17850,Trip[shape_id],Trip[shape_id],"Não encontrado")</f>
        <v/>
      </c>
      <c r="B4624" s="40" t="n">
        <v>-23.621874</v>
      </c>
      <c r="C4624" s="40" t="n">
        <v>-46.7019</v>
      </c>
      <c r="D4624" s="40" t="n">
        <v>191</v>
      </c>
      <c r="E4624" s="41" t="n">
        <v>16214.939</v>
      </c>
    </row>
    <row r="4625">
      <c r="A4625" s="42">
        <f>_xlfn.XLOOKUP(17850,Trip[shape_id],Trip[shape_id],"Não encontrado")</f>
        <v/>
      </c>
      <c r="B4625" s="43" t="n">
        <v>-23.622058</v>
      </c>
      <c r="C4625" s="43" t="n">
        <v>-46.702071</v>
      </c>
      <c r="D4625" s="43" t="n">
        <v>192</v>
      </c>
      <c r="E4625" s="44" t="n">
        <v>16241.769</v>
      </c>
    </row>
    <row r="4626">
      <c r="A4626" s="39">
        <f>_xlfn.XLOOKUP(17850,Trip[shape_id],Trip[shape_id],"Não encontrado")</f>
        <v/>
      </c>
      <c r="B4626" s="40" t="n">
        <v>-23.62224</v>
      </c>
      <c r="C4626" s="40" t="n">
        <v>-46.702269</v>
      </c>
      <c r="D4626" s="40" t="n">
        <v>193</v>
      </c>
      <c r="E4626" s="41" t="n">
        <v>16270.309</v>
      </c>
    </row>
    <row r="4627">
      <c r="A4627" s="42">
        <f>_xlfn.XLOOKUP(17850,Trip[shape_id],Trip[shape_id],"Não encontrado")</f>
        <v/>
      </c>
      <c r="B4627" s="43" t="n">
        <v>-23.622419</v>
      </c>
      <c r="C4627" s="43" t="n">
        <v>-46.702481</v>
      </c>
      <c r="D4627" s="43" t="n">
        <v>194</v>
      </c>
      <c r="E4627" s="44" t="n">
        <v>16299.652</v>
      </c>
    </row>
    <row r="4628">
      <c r="A4628" s="39">
        <f>_xlfn.XLOOKUP(17850,Trip[shape_id],Trip[shape_id],"Não encontrado")</f>
        <v/>
      </c>
      <c r="B4628" s="40" t="n">
        <v>-23.622799</v>
      </c>
      <c r="C4628" s="40" t="n">
        <v>-46.702979</v>
      </c>
      <c r="D4628" s="40" t="n">
        <v>195</v>
      </c>
      <c r="E4628" s="41" t="n">
        <v>16365.636</v>
      </c>
    </row>
    <row r="4629">
      <c r="A4629" s="42">
        <f>_xlfn.XLOOKUP(17850,Trip[shape_id],Trip[shape_id],"Não encontrado")</f>
        <v/>
      </c>
      <c r="B4629" s="43" t="n">
        <v>-23.622984</v>
      </c>
      <c r="C4629" s="43" t="n">
        <v>-46.703268</v>
      </c>
      <c r="D4629" s="43" t="n">
        <v>196</v>
      </c>
      <c r="E4629" s="44" t="n">
        <v>16401.547</v>
      </c>
    </row>
    <row r="4630">
      <c r="A4630" s="39">
        <f>_xlfn.XLOOKUP(17850,Trip[shape_id],Trip[shape_id],"Não encontrado")</f>
        <v/>
      </c>
      <c r="B4630" s="40" t="n">
        <v>-23.623209</v>
      </c>
      <c r="C4630" s="40" t="n">
        <v>-46.703597</v>
      </c>
      <c r="D4630" s="40" t="n">
        <v>197</v>
      </c>
      <c r="E4630" s="41" t="n">
        <v>16443.357</v>
      </c>
    </row>
    <row r="4631">
      <c r="A4631" s="42">
        <f>_xlfn.XLOOKUP(17850,Trip[shape_id],Trip[shape_id],"Não encontrado")</f>
        <v/>
      </c>
      <c r="B4631" s="43" t="n">
        <v>-23.623506</v>
      </c>
      <c r="C4631" s="43" t="n">
        <v>-46.704163</v>
      </c>
      <c r="D4631" s="43" t="n">
        <v>198</v>
      </c>
      <c r="E4631" s="44" t="n">
        <v>16509.826</v>
      </c>
    </row>
    <row r="4632">
      <c r="A4632" s="39">
        <f>_xlfn.XLOOKUP(17850,Trip[shape_id],Trip[shape_id],"Não encontrado")</f>
        <v/>
      </c>
      <c r="B4632" s="40" t="n">
        <v>-23.623774</v>
      </c>
      <c r="C4632" s="40" t="n">
        <v>-46.704804</v>
      </c>
      <c r="D4632" s="40" t="n">
        <v>199</v>
      </c>
      <c r="E4632" s="41" t="n">
        <v>16581.656</v>
      </c>
    </row>
    <row r="4633">
      <c r="A4633" s="42">
        <f>_xlfn.XLOOKUP(17850,Trip[shape_id],Trip[shape_id],"Não encontrado")</f>
        <v/>
      </c>
      <c r="B4633" s="43" t="n">
        <v>-23.624032</v>
      </c>
      <c r="C4633" s="43" t="n">
        <v>-46.705623</v>
      </c>
      <c r="D4633" s="43" t="n">
        <v>200</v>
      </c>
      <c r="E4633" s="44" t="n">
        <v>16669.98</v>
      </c>
    </row>
    <row r="4634">
      <c r="A4634" s="39">
        <f>_xlfn.XLOOKUP(17850,Trip[shape_id],Trip[shape_id],"Não encontrado")</f>
        <v/>
      </c>
      <c r="B4634" s="40" t="n">
        <v>-23.624525</v>
      </c>
      <c r="C4634" s="40" t="n">
        <v>-46.707131</v>
      </c>
      <c r="D4634" s="40" t="n">
        <v>201</v>
      </c>
      <c r="E4634" s="41" t="n">
        <v>16833.264</v>
      </c>
    </row>
    <row r="4635">
      <c r="A4635" s="42">
        <f>_xlfn.XLOOKUP(17850,Trip[shape_id],Trip[shape_id],"Não encontrado")</f>
        <v/>
      </c>
      <c r="B4635" s="43" t="n">
        <v>-23.624953</v>
      </c>
      <c r="C4635" s="43" t="n">
        <v>-46.70846</v>
      </c>
      <c r="D4635" s="43" t="n">
        <v>202</v>
      </c>
      <c r="E4635" s="44" t="n">
        <v>16976.926</v>
      </c>
    </row>
    <row r="4636">
      <c r="A4636" s="39">
        <f>_xlfn.XLOOKUP(17850,Trip[shape_id],Trip[shape_id],"Não encontrado")</f>
        <v/>
      </c>
      <c r="B4636" s="40" t="n">
        <v>-23.625149</v>
      </c>
      <c r="C4636" s="40" t="n">
        <v>-46.708867</v>
      </c>
      <c r="D4636" s="40" t="n">
        <v>203</v>
      </c>
      <c r="E4636" s="41" t="n">
        <v>17023.789</v>
      </c>
    </row>
    <row r="4637">
      <c r="A4637" s="42">
        <f>_xlfn.XLOOKUP(17850,Trip[shape_id],Trip[shape_id],"Não encontrado")</f>
        <v/>
      </c>
      <c r="B4637" s="43" t="n">
        <v>-23.625236</v>
      </c>
      <c r="C4637" s="43" t="n">
        <v>-46.709053</v>
      </c>
      <c r="D4637" s="43" t="n">
        <v>204</v>
      </c>
      <c r="E4637" s="44" t="n">
        <v>17045.074</v>
      </c>
    </row>
    <row r="4638">
      <c r="A4638" s="39">
        <f>_xlfn.XLOOKUP(17850,Trip[shape_id],Trip[shape_id],"Não encontrado")</f>
        <v/>
      </c>
      <c r="B4638" s="40" t="n">
        <v>-23.625537</v>
      </c>
      <c r="C4638" s="40" t="n">
        <v>-46.709588</v>
      </c>
      <c r="D4638" s="40" t="n">
        <v>205</v>
      </c>
      <c r="E4638" s="41" t="n">
        <v>17109.041</v>
      </c>
    </row>
    <row r="4639">
      <c r="A4639" s="42">
        <f>_xlfn.XLOOKUP(17850,Trip[shape_id],Trip[shape_id],"Não encontrado")</f>
        <v/>
      </c>
      <c r="B4639" s="43" t="n">
        <v>-23.625653</v>
      </c>
      <c r="C4639" s="43" t="n">
        <v>-46.709792</v>
      </c>
      <c r="D4639" s="43" t="n">
        <v>206</v>
      </c>
      <c r="E4639" s="44" t="n">
        <v>17133.504</v>
      </c>
    </row>
    <row r="4640">
      <c r="A4640" s="39">
        <f>_xlfn.XLOOKUP(17850,Trip[shape_id],Trip[shape_id],"Não encontrado")</f>
        <v/>
      </c>
      <c r="B4640" s="40" t="n">
        <v>-23.625824</v>
      </c>
      <c r="C4640" s="40" t="n">
        <v>-46.710069</v>
      </c>
      <c r="D4640" s="40" t="n">
        <v>207</v>
      </c>
      <c r="E4640" s="41" t="n">
        <v>17167.527</v>
      </c>
    </row>
    <row r="4641">
      <c r="A4641" s="42">
        <f>_xlfn.XLOOKUP(17850,Trip[shape_id],Trip[shape_id],"Não encontrado")</f>
        <v/>
      </c>
      <c r="B4641" s="43" t="n">
        <v>-23.625951</v>
      </c>
      <c r="C4641" s="43" t="n">
        <v>-46.710255</v>
      </c>
      <c r="D4641" s="43" t="n">
        <v>208</v>
      </c>
      <c r="E4641" s="44" t="n">
        <v>17191.15</v>
      </c>
    </row>
    <row r="4642">
      <c r="A4642" s="39">
        <f>_xlfn.XLOOKUP(17850,Trip[shape_id],Trip[shape_id],"Não encontrado")</f>
        <v/>
      </c>
      <c r="B4642" s="40" t="n">
        <v>-23.62611</v>
      </c>
      <c r="C4642" s="40" t="n">
        <v>-46.710468</v>
      </c>
      <c r="D4642" s="40" t="n">
        <v>209</v>
      </c>
      <c r="E4642" s="41" t="n">
        <v>17219.123</v>
      </c>
    </row>
    <row r="4643">
      <c r="A4643" s="42">
        <f>_xlfn.XLOOKUP(17850,Trip[shape_id],Trip[shape_id],"Não encontrado")</f>
        <v/>
      </c>
      <c r="B4643" s="43" t="n">
        <v>-23.626302</v>
      </c>
      <c r="C4643" s="43" t="n">
        <v>-46.710722</v>
      </c>
      <c r="D4643" s="43" t="n">
        <v>210</v>
      </c>
      <c r="E4643" s="44" t="n">
        <v>17252.648</v>
      </c>
    </row>
    <row r="4644">
      <c r="A4644" s="39">
        <f>_xlfn.XLOOKUP(17850,Trip[shape_id],Trip[shape_id],"Não encontrado")</f>
        <v/>
      </c>
      <c r="B4644" s="40" t="n">
        <v>-23.626799</v>
      </c>
      <c r="C4644" s="40" t="n">
        <v>-46.711284</v>
      </c>
      <c r="D4644" s="40" t="n">
        <v>211</v>
      </c>
      <c r="E4644" s="41" t="n">
        <v>17332.139</v>
      </c>
    </row>
    <row r="4645">
      <c r="A4645" s="42">
        <f>_xlfn.XLOOKUP(17850,Trip[shape_id],Trip[shape_id],"Não encontrado")</f>
        <v/>
      </c>
      <c r="B4645" s="43" t="n">
        <v>-23.627017</v>
      </c>
      <c r="C4645" s="43" t="n">
        <v>-46.711509</v>
      </c>
      <c r="D4645" s="43" t="n">
        <v>212</v>
      </c>
      <c r="E4645" s="44" t="n">
        <v>17365.457</v>
      </c>
    </row>
    <row r="4646">
      <c r="A4646" s="39">
        <f>_xlfn.XLOOKUP(17850,Trip[shape_id],Trip[shape_id],"Não encontrado")</f>
        <v/>
      </c>
      <c r="B4646" s="40" t="n">
        <v>-23.627624</v>
      </c>
      <c r="C4646" s="40" t="n">
        <v>-46.712069</v>
      </c>
      <c r="D4646" s="40" t="n">
        <v>213</v>
      </c>
      <c r="E4646" s="41" t="n">
        <v>17453.689</v>
      </c>
    </row>
    <row r="4647">
      <c r="A4647" s="42">
        <f>_xlfn.XLOOKUP(17850,Trip[shape_id],Trip[shape_id],"Não encontrado")</f>
        <v/>
      </c>
      <c r="B4647" s="43" t="n">
        <v>-23.627865</v>
      </c>
      <c r="C4647" s="43" t="n">
        <v>-46.712285</v>
      </c>
      <c r="D4647" s="43" t="n">
        <v>214</v>
      </c>
      <c r="E4647" s="44" t="n">
        <v>17488.305</v>
      </c>
    </row>
    <row r="4648">
      <c r="A4648" s="39">
        <f>_xlfn.XLOOKUP(17850,Trip[shape_id],Trip[shape_id],"Não encontrado")</f>
        <v/>
      </c>
      <c r="B4648" s="40" t="n">
        <v>-23.631237</v>
      </c>
      <c r="C4648" s="40" t="n">
        <v>-46.71546</v>
      </c>
      <c r="D4648" s="40" t="n">
        <v>215</v>
      </c>
      <c r="E4648" s="41" t="n">
        <v>17982.707</v>
      </c>
    </row>
    <row r="4649">
      <c r="A4649" s="42">
        <f>_xlfn.XLOOKUP(17850,Trip[shape_id],Trip[shape_id],"Não encontrado")</f>
        <v/>
      </c>
      <c r="B4649" s="43" t="n">
        <v>-23.632213</v>
      </c>
      <c r="C4649" s="43" t="n">
        <v>-46.716394</v>
      </c>
      <c r="D4649" s="43" t="n">
        <v>216</v>
      </c>
      <c r="E4649" s="44" t="n">
        <v>18126.816</v>
      </c>
    </row>
    <row r="4650">
      <c r="A4650" s="39">
        <f>_xlfn.XLOOKUP(17850,Trip[shape_id],Trip[shape_id],"Não encontrado")</f>
        <v/>
      </c>
      <c r="B4650" s="40" t="n">
        <v>-23.63259</v>
      </c>
      <c r="C4650" s="40" t="n">
        <v>-46.716785</v>
      </c>
      <c r="D4650" s="40" t="n">
        <v>217</v>
      </c>
      <c r="E4650" s="41" t="n">
        <v>18184.566</v>
      </c>
    </row>
    <row r="4651">
      <c r="A4651" s="42">
        <f>_xlfn.XLOOKUP(17850,Trip[shape_id],Trip[shape_id],"Não encontrado")</f>
        <v/>
      </c>
      <c r="B4651" s="43" t="n">
        <v>-23.632855</v>
      </c>
      <c r="C4651" s="43" t="n">
        <v>-46.717003</v>
      </c>
      <c r="D4651" s="43" t="n">
        <v>218</v>
      </c>
      <c r="E4651" s="44" t="n">
        <v>18221.393</v>
      </c>
    </row>
    <row r="4652">
      <c r="A4652" s="39">
        <f>_xlfn.XLOOKUP(17850,Trip[shape_id],Trip[shape_id],"Não encontrado")</f>
        <v/>
      </c>
      <c r="B4652" s="40" t="n">
        <v>-23.634146</v>
      </c>
      <c r="C4652" s="40" t="n">
        <v>-46.718206</v>
      </c>
      <c r="D4652" s="40" t="n">
        <v>219</v>
      </c>
      <c r="E4652" s="41" t="n">
        <v>18409.838</v>
      </c>
    </row>
    <row r="4653">
      <c r="A4653" s="42">
        <f>_xlfn.XLOOKUP(17850,Trip[shape_id],Trip[shape_id],"Não encontrado")</f>
        <v/>
      </c>
      <c r="B4653" s="43" t="n">
        <v>-23.634505</v>
      </c>
      <c r="C4653" s="43" t="n">
        <v>-46.718547</v>
      </c>
      <c r="D4653" s="43" t="n">
        <v>220</v>
      </c>
      <c r="E4653" s="44" t="n">
        <v>18462.674</v>
      </c>
    </row>
    <row r="4654">
      <c r="A4654" s="39">
        <f>_xlfn.XLOOKUP(17850,Trip[shape_id],Trip[shape_id],"Não encontrado")</f>
        <v/>
      </c>
      <c r="B4654" s="40" t="n">
        <v>-23.634926</v>
      </c>
      <c r="C4654" s="40" t="n">
        <v>-46.718931</v>
      </c>
      <c r="D4654" s="40" t="n">
        <v>221</v>
      </c>
      <c r="E4654" s="41" t="n">
        <v>18523.578</v>
      </c>
    </row>
    <row r="4655">
      <c r="A4655" s="42">
        <f>_xlfn.XLOOKUP(17850,Trip[shape_id],Trip[shape_id],"Não encontrado")</f>
        <v/>
      </c>
      <c r="B4655" s="43" t="n">
        <v>-23.636253</v>
      </c>
      <c r="C4655" s="43" t="n">
        <v>-46.720164</v>
      </c>
      <c r="D4655" s="43" t="n">
        <v>222</v>
      </c>
      <c r="E4655" s="44" t="n">
        <v>18717.043</v>
      </c>
    </row>
    <row r="4656">
      <c r="A4656" s="39">
        <f>_xlfn.XLOOKUP(17850,Trip[shape_id],Trip[shape_id],"Não encontrado")</f>
        <v/>
      </c>
      <c r="B4656" s="40" t="n">
        <v>-23.637192</v>
      </c>
      <c r="C4656" s="40" t="n">
        <v>-46.721042</v>
      </c>
      <c r="D4656" s="40" t="n">
        <v>223</v>
      </c>
      <c r="E4656" s="41" t="n">
        <v>18854.307</v>
      </c>
    </row>
    <row r="4657">
      <c r="A4657" s="42">
        <f>_xlfn.XLOOKUP(17850,Trip[shape_id],Trip[shape_id],"Não encontrado")</f>
        <v/>
      </c>
      <c r="B4657" s="43" t="n">
        <v>-23.637925</v>
      </c>
      <c r="C4657" s="43" t="n">
        <v>-46.721731</v>
      </c>
      <c r="D4657" s="43" t="n">
        <v>224</v>
      </c>
      <c r="E4657" s="44" t="n">
        <v>18961.697</v>
      </c>
    </row>
    <row r="4658">
      <c r="A4658" s="39">
        <f>_xlfn.XLOOKUP(17850,Trip[shape_id],Trip[shape_id],"Não encontrado")</f>
        <v/>
      </c>
      <c r="B4658" s="40" t="n">
        <v>-23.638472</v>
      </c>
      <c r="C4658" s="40" t="n">
        <v>-46.72224</v>
      </c>
      <c r="D4658" s="40" t="n">
        <v>225</v>
      </c>
      <c r="E4658" s="41" t="n">
        <v>19041.494</v>
      </c>
    </row>
    <row r="4659">
      <c r="A4659" s="42">
        <f>_xlfn.XLOOKUP(17850,Trip[shape_id],Trip[shape_id],"Não encontrado")</f>
        <v/>
      </c>
      <c r="B4659" s="43" t="n">
        <v>-23.639201</v>
      </c>
      <c r="C4659" s="43" t="n">
        <v>-46.722929</v>
      </c>
      <c r="D4659" s="43" t="n">
        <v>226</v>
      </c>
      <c r="E4659" s="44" t="n">
        <v>19148.551</v>
      </c>
    </row>
    <row r="4660">
      <c r="A4660" s="39">
        <f>_xlfn.XLOOKUP(17850,Trip[shape_id],Trip[shape_id],"Não encontrado")</f>
        <v/>
      </c>
      <c r="B4660" s="40" t="n">
        <v>-23.639466</v>
      </c>
      <c r="C4660" s="40" t="n">
        <v>-46.723169</v>
      </c>
      <c r="D4660" s="40" t="n">
        <v>227</v>
      </c>
      <c r="E4660" s="41" t="n">
        <v>19186.775</v>
      </c>
    </row>
    <row r="4661">
      <c r="A4661" s="42">
        <f>_xlfn.XLOOKUP(17850,Trip[shape_id],Trip[shape_id],"Não encontrado")</f>
        <v/>
      </c>
      <c r="B4661" s="43" t="n">
        <v>-23.639903</v>
      </c>
      <c r="C4661" s="43" t="n">
        <v>-46.72354</v>
      </c>
      <c r="D4661" s="43" t="n">
        <v>228</v>
      </c>
      <c r="E4661" s="44" t="n">
        <v>19248.221</v>
      </c>
    </row>
    <row r="4662">
      <c r="A4662" s="39">
        <f>_xlfn.XLOOKUP(17850,Trip[shape_id],Trip[shape_id],"Não encontrado")</f>
        <v/>
      </c>
      <c r="B4662" s="40" t="n">
        <v>-23.640322</v>
      </c>
      <c r="C4662" s="40" t="n">
        <v>-46.723905</v>
      </c>
      <c r="D4662" s="40" t="n">
        <v>229</v>
      </c>
      <c r="E4662" s="41" t="n">
        <v>19307.723</v>
      </c>
    </row>
    <row r="4663">
      <c r="A4663" s="42">
        <f>_xlfn.XLOOKUP(17850,Trip[shape_id],Trip[shape_id],"Não encontrado")</f>
        <v/>
      </c>
      <c r="B4663" s="43" t="n">
        <v>-23.6412</v>
      </c>
      <c r="C4663" s="43" t="n">
        <v>-46.724515</v>
      </c>
      <c r="D4663" s="43" t="n">
        <v>230</v>
      </c>
      <c r="E4663" s="44" t="n">
        <v>19423.176</v>
      </c>
    </row>
    <row r="4664">
      <c r="A4664" s="39">
        <f>_xlfn.XLOOKUP(17850,Trip[shape_id],Trip[shape_id],"Não encontrado")</f>
        <v/>
      </c>
      <c r="B4664" s="40" t="n">
        <v>-23.64219</v>
      </c>
      <c r="C4664" s="40" t="n">
        <v>-46.725008</v>
      </c>
      <c r="D4664" s="40" t="n">
        <v>231</v>
      </c>
      <c r="E4664" s="41" t="n">
        <v>19543.809</v>
      </c>
    </row>
    <row r="4665">
      <c r="A4665" s="42">
        <f>_xlfn.XLOOKUP(17850,Trip[shape_id],Trip[shape_id],"Não encontrado")</f>
        <v/>
      </c>
      <c r="B4665" s="43" t="n">
        <v>-23.642995</v>
      </c>
      <c r="C4665" s="43" t="n">
        <v>-46.7254</v>
      </c>
      <c r="D4665" s="43" t="n">
        <v>232</v>
      </c>
      <c r="E4665" s="44" t="n">
        <v>19641.525</v>
      </c>
    </row>
    <row r="4666">
      <c r="A4666" s="39">
        <f>_xlfn.XLOOKUP(17850,Trip[shape_id],Trip[shape_id],"Não encontrado")</f>
        <v/>
      </c>
      <c r="B4666" s="40" t="n">
        <v>-23.643564</v>
      </c>
      <c r="C4666" s="40" t="n">
        <v>-46.725629</v>
      </c>
      <c r="D4666" s="40" t="n">
        <v>233</v>
      </c>
      <c r="E4666" s="41" t="n">
        <v>19708.736</v>
      </c>
    </row>
    <row r="4667">
      <c r="A4667" s="42">
        <f>_xlfn.XLOOKUP(17850,Trip[shape_id],Trip[shape_id],"Não encontrado")</f>
        <v/>
      </c>
      <c r="B4667" s="43" t="n">
        <v>-23.643774</v>
      </c>
      <c r="C4667" s="43" t="n">
        <v>-46.725717</v>
      </c>
      <c r="D4667" s="43" t="n">
        <v>234</v>
      </c>
      <c r="E4667" s="44" t="n">
        <v>19733.668</v>
      </c>
    </row>
    <row r="4668">
      <c r="A4668" s="39">
        <f>_xlfn.XLOOKUP(17850,Trip[shape_id],Trip[shape_id],"Não encontrado")</f>
        <v/>
      </c>
      <c r="B4668" s="40" t="n">
        <v>-23.644166</v>
      </c>
      <c r="C4668" s="40" t="n">
        <v>-46.725847</v>
      </c>
      <c r="D4668" s="40" t="n">
        <v>235</v>
      </c>
      <c r="E4668" s="41" t="n">
        <v>19779.064</v>
      </c>
    </row>
    <row r="4669">
      <c r="A4669" s="42">
        <f>_xlfn.XLOOKUP(17850,Trip[shape_id],Trip[shape_id],"Não encontrado")</f>
        <v/>
      </c>
      <c r="B4669" s="43" t="n">
        <v>-23.644445</v>
      </c>
      <c r="C4669" s="43" t="n">
        <v>-46.72592</v>
      </c>
      <c r="D4669" s="43" t="n">
        <v>236</v>
      </c>
      <c r="E4669" s="44" t="n">
        <v>19810.85</v>
      </c>
    </row>
    <row r="4670">
      <c r="A4670" s="39">
        <f>_xlfn.XLOOKUP(17850,Trip[shape_id],Trip[shape_id],"Não encontrado")</f>
        <v/>
      </c>
      <c r="B4670" s="40" t="n">
        <v>-23.644623</v>
      </c>
      <c r="C4670" s="40" t="n">
        <v>-46.725936</v>
      </c>
      <c r="D4670" s="40" t="n">
        <v>237</v>
      </c>
      <c r="E4670" s="41" t="n">
        <v>19830.631</v>
      </c>
    </row>
    <row r="4671">
      <c r="A4671" s="42">
        <f>_xlfn.XLOOKUP(17850,Trip[shape_id],Trip[shape_id],"Não encontrado")</f>
        <v/>
      </c>
      <c r="B4671" s="43" t="n">
        <v>-23.644949</v>
      </c>
      <c r="C4671" s="43" t="n">
        <v>-46.725968</v>
      </c>
      <c r="D4671" s="43" t="n">
        <v>238</v>
      </c>
      <c r="E4671" s="44" t="n">
        <v>19866.883</v>
      </c>
    </row>
    <row r="4672">
      <c r="A4672" s="39">
        <f>_xlfn.XLOOKUP(17850,Trip[shape_id],Trip[shape_id],"Não encontrado")</f>
        <v/>
      </c>
      <c r="B4672" s="40" t="n">
        <v>-23.645334</v>
      </c>
      <c r="C4672" s="40" t="n">
        <v>-46.725944</v>
      </c>
      <c r="D4672" s="40" t="n">
        <v>239</v>
      </c>
      <c r="E4672" s="41" t="n">
        <v>19909.594</v>
      </c>
    </row>
    <row r="4673">
      <c r="A4673" s="42">
        <f>_xlfn.XLOOKUP(17850,Trip[shape_id],Trip[shape_id],"Não encontrado")</f>
        <v/>
      </c>
      <c r="B4673" s="43" t="n">
        <v>-23.646589</v>
      </c>
      <c r="C4673" s="43" t="n">
        <v>-46.725754</v>
      </c>
      <c r="D4673" s="43" t="n">
        <v>240</v>
      </c>
      <c r="E4673" s="44" t="n">
        <v>20049.934</v>
      </c>
    </row>
    <row r="4674">
      <c r="A4674" s="39">
        <f>_xlfn.XLOOKUP(17850,Trip[shape_id],Trip[shape_id],"Não encontrado")</f>
        <v/>
      </c>
      <c r="B4674" s="40" t="n">
        <v>-23.647426</v>
      </c>
      <c r="C4674" s="40" t="n">
        <v>-46.725602</v>
      </c>
      <c r="D4674" s="40" t="n">
        <v>241</v>
      </c>
      <c r="E4674" s="41" t="n">
        <v>20143.922</v>
      </c>
    </row>
    <row r="4675">
      <c r="A4675" s="42">
        <f>_xlfn.XLOOKUP(17850,Trip[shape_id],Trip[shape_id],"Não encontrado")</f>
        <v/>
      </c>
      <c r="B4675" s="43" t="n">
        <v>-23.647832</v>
      </c>
      <c r="C4675" s="43" t="n">
        <v>-46.725503</v>
      </c>
      <c r="D4675" s="43" t="n">
        <v>242</v>
      </c>
      <c r="E4675" s="44" t="n">
        <v>20190.008</v>
      </c>
    </row>
    <row r="4676">
      <c r="A4676" s="39">
        <f>_xlfn.XLOOKUP(17850,Trip[shape_id],Trip[shape_id],"Não encontrado")</f>
        <v/>
      </c>
      <c r="B4676" s="40" t="n">
        <v>-23.648289</v>
      </c>
      <c r="C4676" s="40" t="n">
        <v>-46.72538</v>
      </c>
      <c r="D4676" s="40" t="n">
        <v>243</v>
      </c>
      <c r="E4676" s="41" t="n">
        <v>20242.154</v>
      </c>
    </row>
    <row r="4677">
      <c r="A4677" s="42">
        <f>_xlfn.XLOOKUP(17850,Trip[shape_id],Trip[shape_id],"Não encontrado")</f>
        <v/>
      </c>
      <c r="B4677" s="43" t="n">
        <v>-23.649003</v>
      </c>
      <c r="C4677" s="43" t="n">
        <v>-46.72513</v>
      </c>
      <c r="D4677" s="43" t="n">
        <v>244</v>
      </c>
      <c r="E4677" s="44" t="n">
        <v>20325.244</v>
      </c>
    </row>
    <row r="4678">
      <c r="A4678" s="39">
        <f>_xlfn.XLOOKUP(17850,Trip[shape_id],Trip[shape_id],"Não encontrado")</f>
        <v/>
      </c>
      <c r="B4678" s="40" t="n">
        <v>-23.649394</v>
      </c>
      <c r="C4678" s="40" t="n">
        <v>-46.724903</v>
      </c>
      <c r="D4678" s="40" t="n">
        <v>245</v>
      </c>
      <c r="E4678" s="41" t="n">
        <v>20374.354</v>
      </c>
    </row>
    <row r="4679">
      <c r="A4679" s="42">
        <f>_xlfn.XLOOKUP(17850,Trip[shape_id],Trip[shape_id],"Não encontrado")</f>
        <v/>
      </c>
      <c r="B4679" s="43" t="n">
        <v>-23.649445</v>
      </c>
      <c r="C4679" s="43" t="n">
        <v>-46.724871</v>
      </c>
      <c r="D4679" s="43" t="n">
        <v>246</v>
      </c>
      <c r="E4679" s="44" t="n">
        <v>20380.877</v>
      </c>
    </row>
    <row r="4680">
      <c r="A4680" s="39">
        <f>_xlfn.XLOOKUP(17850,Trip[shape_id],Trip[shape_id],"Não encontrado")</f>
        <v/>
      </c>
      <c r="B4680" s="40" t="n">
        <v>-23.649957</v>
      </c>
      <c r="C4680" s="40" t="n">
        <v>-46.724554</v>
      </c>
      <c r="D4680" s="40" t="n">
        <v>247</v>
      </c>
      <c r="E4680" s="41" t="n">
        <v>20446.158</v>
      </c>
    </row>
    <row r="4681">
      <c r="A4681" s="42">
        <f>_xlfn.XLOOKUP(17850,Trip[shape_id],Trip[shape_id],"Não encontrado")</f>
        <v/>
      </c>
      <c r="B4681" s="43" t="n">
        <v>-23.650939</v>
      </c>
      <c r="C4681" s="43" t="n">
        <v>-46.723675</v>
      </c>
      <c r="D4681" s="43" t="n">
        <v>248</v>
      </c>
      <c r="E4681" s="44" t="n">
        <v>20587.123</v>
      </c>
    </row>
    <row r="4682">
      <c r="A4682" s="39">
        <f>_xlfn.XLOOKUP(17850,Trip[shape_id],Trip[shape_id],"Não encontrado")</f>
        <v/>
      </c>
      <c r="B4682" s="40" t="n">
        <v>-23.652024</v>
      </c>
      <c r="C4682" s="40" t="n">
        <v>-46.722727</v>
      </c>
      <c r="D4682" s="40" t="n">
        <v>249</v>
      </c>
      <c r="E4682" s="41" t="n">
        <v>20741.379</v>
      </c>
    </row>
    <row r="4683">
      <c r="A4683" s="42">
        <f>_xlfn.XLOOKUP(17850,Trip[shape_id],Trip[shape_id],"Não encontrado")</f>
        <v/>
      </c>
      <c r="B4683" s="43" t="n">
        <v>-23.652466</v>
      </c>
      <c r="C4683" s="43" t="n">
        <v>-46.722347</v>
      </c>
      <c r="D4683" s="43" t="n">
        <v>250</v>
      </c>
      <c r="E4683" s="44" t="n">
        <v>20803.824</v>
      </c>
    </row>
    <row r="4684">
      <c r="A4684" s="39">
        <f>_xlfn.XLOOKUP(17850,Trip[shape_id],Trip[shape_id],"Não encontrado")</f>
        <v/>
      </c>
      <c r="B4684" s="40" t="n">
        <v>-23.653478</v>
      </c>
      <c r="C4684" s="40" t="n">
        <v>-46.721488</v>
      </c>
      <c r="D4684" s="40" t="n">
        <v>251</v>
      </c>
      <c r="E4684" s="41" t="n">
        <v>20946.102</v>
      </c>
    </row>
    <row r="4685">
      <c r="A4685" s="42">
        <f>_xlfn.XLOOKUP(17850,Trip[shape_id],Trip[shape_id],"Não encontrado")</f>
        <v/>
      </c>
      <c r="B4685" s="43" t="n">
        <v>-23.653703</v>
      </c>
      <c r="C4685" s="43" t="n">
        <v>-46.721298</v>
      </c>
      <c r="D4685" s="43" t="n">
        <v>252</v>
      </c>
      <c r="E4685" s="44" t="n">
        <v>20977.672</v>
      </c>
    </row>
    <row r="4686">
      <c r="A4686" s="39">
        <f>_xlfn.XLOOKUP(17850,Trip[shape_id],Trip[shape_id],"Não encontrado")</f>
        <v/>
      </c>
      <c r="B4686" s="40" t="n">
        <v>-23.654645</v>
      </c>
      <c r="C4686" s="40" t="n">
        <v>-46.720494</v>
      </c>
      <c r="D4686" s="40" t="n">
        <v>253</v>
      </c>
      <c r="E4686" s="41" t="n">
        <v>21110.385</v>
      </c>
    </row>
    <row r="4687">
      <c r="A4687" s="42">
        <f>_xlfn.XLOOKUP(17850,Trip[shape_id],Trip[shape_id],"Não encontrado")</f>
        <v/>
      </c>
      <c r="B4687" s="43" t="n">
        <v>-23.655542</v>
      </c>
      <c r="C4687" s="43" t="n">
        <v>-46.719723</v>
      </c>
      <c r="D4687" s="43" t="n">
        <v>254</v>
      </c>
      <c r="E4687" s="44" t="n">
        <v>21237.1</v>
      </c>
    </row>
    <row r="4688">
      <c r="A4688" s="39">
        <f>_xlfn.XLOOKUP(17850,Trip[shape_id],Trip[shape_id],"Não encontrado")</f>
        <v/>
      </c>
      <c r="B4688" s="40" t="n">
        <v>-23.656084</v>
      </c>
      <c r="C4688" s="40" t="n">
        <v>-46.719255</v>
      </c>
      <c r="D4688" s="40" t="n">
        <v>255</v>
      </c>
      <c r="E4688" s="41" t="n">
        <v>21313.801</v>
      </c>
    </row>
    <row r="4689">
      <c r="A4689" s="42">
        <f>_xlfn.XLOOKUP(17850,Trip[shape_id],Trip[shape_id],"Não encontrado")</f>
        <v/>
      </c>
      <c r="B4689" s="43" t="n">
        <v>-23.656483</v>
      </c>
      <c r="C4689" s="43" t="n">
        <v>-46.718838</v>
      </c>
      <c r="D4689" s="43" t="n">
        <v>256</v>
      </c>
      <c r="E4689" s="44" t="n">
        <v>21375.141</v>
      </c>
    </row>
    <row r="4690">
      <c r="A4690" s="39">
        <f>_xlfn.XLOOKUP(17850,Trip[shape_id],Trip[shape_id],"Não encontrado")</f>
        <v/>
      </c>
      <c r="B4690" s="40" t="n">
        <v>-23.656846</v>
      </c>
      <c r="C4690" s="40" t="n">
        <v>-46.718469</v>
      </c>
      <c r="D4690" s="40" t="n">
        <v>257</v>
      </c>
      <c r="E4690" s="41" t="n">
        <v>21430.217</v>
      </c>
    </row>
    <row r="4691">
      <c r="A4691" s="42">
        <f>_xlfn.XLOOKUP(17850,Trip[shape_id],Trip[shape_id],"Não encontrado")</f>
        <v/>
      </c>
      <c r="B4691" s="43" t="n">
        <v>-23.657295</v>
      </c>
      <c r="C4691" s="43" t="n">
        <v>-46.717761</v>
      </c>
      <c r="D4691" s="43" t="n">
        <v>258</v>
      </c>
      <c r="E4691" s="44" t="n">
        <v>21517.91</v>
      </c>
    </row>
    <row r="4692">
      <c r="A4692" s="39">
        <f>_xlfn.XLOOKUP(17850,Trip[shape_id],Trip[shape_id],"Não encontrado")</f>
        <v/>
      </c>
      <c r="B4692" s="40" t="n">
        <v>-23.658024</v>
      </c>
      <c r="C4692" s="40" t="n">
        <v>-46.7167</v>
      </c>
      <c r="D4692" s="40" t="n">
        <v>259</v>
      </c>
      <c r="E4692" s="41" t="n">
        <v>21652.947</v>
      </c>
    </row>
    <row r="4693">
      <c r="A4693" s="42">
        <f>_xlfn.XLOOKUP(17850,Trip[shape_id],Trip[shape_id],"Não encontrado")</f>
        <v/>
      </c>
      <c r="B4693" s="43" t="n">
        <v>-23.658837</v>
      </c>
      <c r="C4693" s="43" t="n">
        <v>-46.715459</v>
      </c>
      <c r="D4693" s="43" t="n">
        <v>260</v>
      </c>
      <c r="E4693" s="44" t="n">
        <v>21808.307</v>
      </c>
    </row>
    <row r="4694">
      <c r="A4694" s="39">
        <f>_xlfn.XLOOKUP(17850,Trip[shape_id],Trip[shape_id],"Não encontrado")</f>
        <v/>
      </c>
      <c r="B4694" s="40" t="n">
        <v>-23.658906</v>
      </c>
      <c r="C4694" s="40" t="n">
        <v>-46.71536</v>
      </c>
      <c r="D4694" s="40" t="n">
        <v>261</v>
      </c>
      <c r="E4694" s="41" t="n">
        <v>21820.971</v>
      </c>
    </row>
    <row r="4695">
      <c r="A4695" s="42">
        <f>_xlfn.XLOOKUP(17850,Trip[shape_id],Trip[shape_id],"Não encontrado")</f>
        <v/>
      </c>
      <c r="B4695" s="43" t="n">
        <v>-23.659272</v>
      </c>
      <c r="C4695" s="43" t="n">
        <v>-46.714837</v>
      </c>
      <c r="D4695" s="43" t="n">
        <v>262</v>
      </c>
      <c r="E4695" s="44" t="n">
        <v>21887.979</v>
      </c>
    </row>
    <row r="4696">
      <c r="A4696" s="39">
        <f>_xlfn.XLOOKUP(17850,Trip[shape_id],Trip[shape_id],"Não encontrado")</f>
        <v/>
      </c>
      <c r="B4696" s="40" t="n">
        <v>-23.659667</v>
      </c>
      <c r="C4696" s="40" t="n">
        <v>-46.714303</v>
      </c>
      <c r="D4696" s="40" t="n">
        <v>263</v>
      </c>
      <c r="E4696" s="41" t="n">
        <v>21957.848</v>
      </c>
    </row>
    <row r="4697">
      <c r="A4697" s="42">
        <f>_xlfn.XLOOKUP(17850,Trip[shape_id],Trip[shape_id],"Não encontrado")</f>
        <v/>
      </c>
      <c r="B4697" s="43" t="n">
        <v>-23.66011</v>
      </c>
      <c r="C4697" s="43" t="n">
        <v>-46.713677</v>
      </c>
      <c r="D4697" s="43" t="n">
        <v>264</v>
      </c>
      <c r="E4697" s="44" t="n">
        <v>22038.381</v>
      </c>
    </row>
    <row r="4698">
      <c r="A4698" s="39">
        <f>_xlfn.XLOOKUP(17850,Trip[shape_id],Trip[shape_id],"Não encontrado")</f>
        <v/>
      </c>
      <c r="B4698" s="40" t="n">
        <v>-23.660372</v>
      </c>
      <c r="C4698" s="40" t="n">
        <v>-46.713364</v>
      </c>
      <c r="D4698" s="40" t="n">
        <v>265</v>
      </c>
      <c r="E4698" s="41" t="n">
        <v>22081.527</v>
      </c>
    </row>
    <row r="4699">
      <c r="A4699" s="42">
        <f>_xlfn.XLOOKUP(17850,Trip[shape_id],Trip[shape_id],"Não encontrado")</f>
        <v/>
      </c>
      <c r="B4699" s="43" t="n">
        <v>-23.660502</v>
      </c>
      <c r="C4699" s="43" t="n">
        <v>-46.713203</v>
      </c>
      <c r="D4699" s="43" t="n">
        <v>266</v>
      </c>
      <c r="E4699" s="44" t="n">
        <v>22103.369</v>
      </c>
    </row>
    <row r="4700">
      <c r="A4700" s="39">
        <f>_xlfn.XLOOKUP(17850,Trip[shape_id],Trip[shape_id],"Não encontrado")</f>
        <v/>
      </c>
      <c r="B4700" s="40" t="n">
        <v>-23.660878</v>
      </c>
      <c r="C4700" s="40" t="n">
        <v>-46.712812</v>
      </c>
      <c r="D4700" s="40" t="n">
        <v>267</v>
      </c>
      <c r="E4700" s="41" t="n">
        <v>22161.033</v>
      </c>
    </row>
    <row r="4701">
      <c r="A4701" s="42">
        <f>_xlfn.XLOOKUP(17850,Trip[shape_id],Trip[shape_id],"Não encontrado")</f>
        <v/>
      </c>
      <c r="B4701" s="43" t="n">
        <v>-23.661312</v>
      </c>
      <c r="C4701" s="43" t="n">
        <v>-46.712405</v>
      </c>
      <c r="D4701" s="43" t="n">
        <v>268</v>
      </c>
      <c r="E4701" s="44" t="n">
        <v>22224.551</v>
      </c>
    </row>
    <row r="4702">
      <c r="A4702" s="39">
        <f>_xlfn.XLOOKUP(17850,Trip[shape_id],Trip[shape_id],"Não encontrado")</f>
        <v/>
      </c>
      <c r="B4702" s="40" t="n">
        <v>-23.661521</v>
      </c>
      <c r="C4702" s="40" t="n">
        <v>-46.712233</v>
      </c>
      <c r="D4702" s="40" t="n">
        <v>269</v>
      </c>
      <c r="E4702" s="41" t="n">
        <v>22253.598</v>
      </c>
    </row>
    <row r="4703">
      <c r="A4703" s="42">
        <f>_xlfn.XLOOKUP(17850,Trip[shape_id],Trip[shape_id],"Não encontrado")</f>
        <v/>
      </c>
      <c r="B4703" s="43" t="n">
        <v>-23.662405</v>
      </c>
      <c r="C4703" s="43" t="n">
        <v>-46.711526</v>
      </c>
      <c r="D4703" s="43" t="n">
        <v>270</v>
      </c>
      <c r="E4703" s="44" t="n">
        <v>22375.201</v>
      </c>
    </row>
    <row r="4704">
      <c r="A4704" s="39">
        <f>_xlfn.XLOOKUP(17850,Trip[shape_id],Trip[shape_id],"Não encontrado")</f>
        <v/>
      </c>
      <c r="B4704" s="40" t="n">
        <v>-23.662978</v>
      </c>
      <c r="C4704" s="40" t="n">
        <v>-46.711187</v>
      </c>
      <c r="D4704" s="40" t="n">
        <v>271</v>
      </c>
      <c r="E4704" s="41" t="n">
        <v>22447.475</v>
      </c>
    </row>
    <row r="4705">
      <c r="A4705" s="42">
        <f>_xlfn.XLOOKUP(17850,Trip[shape_id],Trip[shape_id],"Não encontrado")</f>
        <v/>
      </c>
      <c r="B4705" s="43" t="n">
        <v>-23.663394</v>
      </c>
      <c r="C4705" s="43" t="n">
        <v>-46.710897</v>
      </c>
      <c r="D4705" s="43" t="n">
        <v>272</v>
      </c>
      <c r="E4705" s="44" t="n">
        <v>22502.229</v>
      </c>
    </row>
    <row r="4706">
      <c r="A4706" s="39">
        <f>_xlfn.XLOOKUP(17850,Trip[shape_id],Trip[shape_id],"Não encontrado")</f>
        <v/>
      </c>
      <c r="B4706" s="40" t="n">
        <v>-23.664237</v>
      </c>
      <c r="C4706" s="40" t="n">
        <v>-46.710518</v>
      </c>
      <c r="D4706" s="40" t="n">
        <v>273</v>
      </c>
      <c r="E4706" s="41" t="n">
        <v>22603.283</v>
      </c>
    </row>
    <row r="4707">
      <c r="A4707" s="42">
        <f>_xlfn.XLOOKUP(17850,Trip[shape_id],Trip[shape_id],"Não encontrado")</f>
        <v/>
      </c>
      <c r="B4707" s="43" t="n">
        <v>-23.664539</v>
      </c>
      <c r="C4707" s="43" t="n">
        <v>-46.710353</v>
      </c>
      <c r="D4707" s="43" t="n">
        <v>274</v>
      </c>
      <c r="E4707" s="44" t="n">
        <v>22640.727</v>
      </c>
    </row>
    <row r="4708">
      <c r="A4708" s="39">
        <f>_xlfn.XLOOKUP(17850,Trip[shape_id],Trip[shape_id],"Não encontrado")</f>
        <v/>
      </c>
      <c r="B4708" s="40" t="n">
        <v>-23.664825</v>
      </c>
      <c r="C4708" s="40" t="n">
        <v>-46.710205</v>
      </c>
      <c r="D4708" s="40" t="n">
        <v>275</v>
      </c>
      <c r="E4708" s="41" t="n">
        <v>22675.816</v>
      </c>
    </row>
    <row r="4709">
      <c r="A4709" s="42">
        <f>_xlfn.XLOOKUP(17850,Trip[shape_id],Trip[shape_id],"Não encontrado")</f>
        <v/>
      </c>
      <c r="B4709" s="43" t="n">
        <v>-23.665197</v>
      </c>
      <c r="C4709" s="43" t="n">
        <v>-46.710005</v>
      </c>
      <c r="D4709" s="43" t="n">
        <v>276</v>
      </c>
      <c r="E4709" s="44" t="n">
        <v>22721.791</v>
      </c>
    </row>
    <row r="4710">
      <c r="A4710" s="39">
        <f>_xlfn.XLOOKUP(17850,Trip[shape_id],Trip[shape_id],"Não encontrado")</f>
        <v/>
      </c>
      <c r="B4710" s="40" t="n">
        <v>-23.66654</v>
      </c>
      <c r="C4710" s="40" t="n">
        <v>-46.708939</v>
      </c>
      <c r="D4710" s="40" t="n">
        <v>277</v>
      </c>
      <c r="E4710" s="41" t="n">
        <v>22906.045</v>
      </c>
    </row>
    <row r="4711">
      <c r="A4711" s="42">
        <f>_xlfn.XLOOKUP(17850,Trip[shape_id],Trip[shape_id],"Não encontrado")</f>
        <v/>
      </c>
      <c r="B4711" s="43" t="n">
        <v>-23.666993</v>
      </c>
      <c r="C4711" s="43" t="n">
        <v>-46.708658</v>
      </c>
      <c r="D4711" s="43" t="n">
        <v>278</v>
      </c>
      <c r="E4711" s="44" t="n">
        <v>22963.828</v>
      </c>
    </row>
    <row r="4712">
      <c r="A4712" s="39">
        <f>_xlfn.XLOOKUP(17850,Trip[shape_id],Trip[shape_id],"Não encontrado")</f>
        <v/>
      </c>
      <c r="B4712" s="40" t="n">
        <v>-23.667755</v>
      </c>
      <c r="C4712" s="40" t="n">
        <v>-46.708187</v>
      </c>
      <c r="D4712" s="40" t="n">
        <v>279</v>
      </c>
      <c r="E4712" s="41" t="n">
        <v>23060.941</v>
      </c>
    </row>
    <row r="4713">
      <c r="A4713" s="42">
        <f>_xlfn.XLOOKUP(17850,Trip[shape_id],Trip[shape_id],"Não encontrado")</f>
        <v/>
      </c>
      <c r="B4713" s="43" t="n">
        <v>-23.669476</v>
      </c>
      <c r="C4713" s="43" t="n">
        <v>-46.707114</v>
      </c>
      <c r="D4713" s="43" t="n">
        <v>280</v>
      </c>
      <c r="E4713" s="44" t="n">
        <v>23280.74</v>
      </c>
    </row>
    <row r="4714">
      <c r="A4714" s="39">
        <f>_xlfn.XLOOKUP(17850,Trip[shape_id],Trip[shape_id],"Não encontrado")</f>
        <v/>
      </c>
      <c r="B4714" s="40" t="n">
        <v>-23.671677</v>
      </c>
      <c r="C4714" s="40" t="n">
        <v>-46.705756</v>
      </c>
      <c r="D4714" s="40" t="n">
        <v>281</v>
      </c>
      <c r="E4714" s="41" t="n">
        <v>23561.121</v>
      </c>
    </row>
    <row r="4715">
      <c r="A4715" s="42">
        <f>_xlfn.XLOOKUP(17850,Trip[shape_id],Trip[shape_id],"Não encontrado")</f>
        <v/>
      </c>
      <c r="B4715" s="43" t="n">
        <v>-23.673635</v>
      </c>
      <c r="C4715" s="43" t="n">
        <v>-46.704534</v>
      </c>
      <c r="D4715" s="43" t="n">
        <v>282</v>
      </c>
      <c r="E4715" s="44" t="n">
        <v>23811.25</v>
      </c>
    </row>
    <row r="4716">
      <c r="A4716" s="39">
        <f>_xlfn.XLOOKUP(17850,Trip[shape_id],Trip[shape_id],"Não encontrado")</f>
        <v/>
      </c>
      <c r="B4716" s="40" t="n">
        <v>-23.674483</v>
      </c>
      <c r="C4716" s="40" t="n">
        <v>-46.704021</v>
      </c>
      <c r="D4716" s="40" t="n">
        <v>283</v>
      </c>
      <c r="E4716" s="41" t="n">
        <v>23918.764</v>
      </c>
    </row>
    <row r="4717">
      <c r="A4717" s="42">
        <f>_xlfn.XLOOKUP(17850,Trip[shape_id],Trip[shape_id],"Não encontrado")</f>
        <v/>
      </c>
      <c r="B4717" s="43" t="n">
        <v>-23.675618</v>
      </c>
      <c r="C4717" s="43" t="n">
        <v>-46.703375</v>
      </c>
      <c r="D4717" s="43" t="n">
        <v>284</v>
      </c>
      <c r="E4717" s="44" t="n">
        <v>24060.693</v>
      </c>
    </row>
    <row r="4718">
      <c r="A4718" s="39">
        <f>_xlfn.XLOOKUP(17850,Trip[shape_id],Trip[shape_id],"Não encontrado")</f>
        <v/>
      </c>
      <c r="B4718" s="40" t="n">
        <v>-23.676447</v>
      </c>
      <c r="C4718" s="40" t="n">
        <v>-46.702896</v>
      </c>
      <c r="D4718" s="40" t="n">
        <v>285</v>
      </c>
      <c r="E4718" s="41" t="n">
        <v>24164.699</v>
      </c>
    </row>
    <row r="4719">
      <c r="A4719" s="42">
        <f>_xlfn.XLOOKUP(17850,Trip[shape_id],Trip[shape_id],"Não encontrado")</f>
        <v/>
      </c>
      <c r="B4719" s="43" t="n">
        <v>-23.67741</v>
      </c>
      <c r="C4719" s="43" t="n">
        <v>-46.70226</v>
      </c>
      <c r="D4719" s="43" t="n">
        <v>286</v>
      </c>
      <c r="E4719" s="44" t="n">
        <v>24289.535</v>
      </c>
    </row>
    <row r="4720">
      <c r="A4720" s="39">
        <f>_xlfn.XLOOKUP(17850,Trip[shape_id],Trip[shape_id],"Não encontrado")</f>
        <v/>
      </c>
      <c r="B4720" s="40" t="n">
        <v>-23.67827</v>
      </c>
      <c r="C4720" s="40" t="n">
        <v>-46.701574</v>
      </c>
      <c r="D4720" s="40" t="n">
        <v>287</v>
      </c>
      <c r="E4720" s="41" t="n">
        <v>24407.725</v>
      </c>
    </row>
    <row r="4721">
      <c r="A4721" s="42">
        <f>_xlfn.XLOOKUP(17850,Trip[shape_id],Trip[shape_id],"Não encontrado")</f>
        <v/>
      </c>
      <c r="B4721" s="43" t="n">
        <v>-23.678447</v>
      </c>
      <c r="C4721" s="43" t="n">
        <v>-46.701388</v>
      </c>
      <c r="D4721" s="43" t="n">
        <v>288</v>
      </c>
      <c r="E4721" s="44" t="n">
        <v>24435.006</v>
      </c>
    </row>
    <row r="4722">
      <c r="A4722" s="39">
        <f>_xlfn.XLOOKUP(17850,Trip[shape_id],Trip[shape_id],"Não encontrado")</f>
        <v/>
      </c>
      <c r="B4722" s="40" t="n">
        <v>-23.678972</v>
      </c>
      <c r="C4722" s="40" t="n">
        <v>-46.700861</v>
      </c>
      <c r="D4722" s="40" t="n">
        <v>289</v>
      </c>
      <c r="E4722" s="41" t="n">
        <v>24514.193</v>
      </c>
    </row>
    <row r="4723">
      <c r="A4723" s="42">
        <f>_xlfn.XLOOKUP(17850,Trip[shape_id],Trip[shape_id],"Não encontrado")</f>
        <v/>
      </c>
      <c r="B4723" s="43" t="n">
        <v>-23.679795</v>
      </c>
      <c r="C4723" s="43" t="n">
        <v>-46.700076</v>
      </c>
      <c r="D4723" s="43" t="n">
        <v>290</v>
      </c>
      <c r="E4723" s="44" t="n">
        <v>24635.52</v>
      </c>
    </row>
    <row r="4724">
      <c r="A4724" s="39">
        <f>_xlfn.XLOOKUP(17850,Trip[shape_id],Trip[shape_id],"Não encontrado")</f>
        <v/>
      </c>
      <c r="B4724" s="40" t="n">
        <v>-23.681143</v>
      </c>
      <c r="C4724" s="40" t="n">
        <v>-46.69885</v>
      </c>
      <c r="D4724" s="40" t="n">
        <v>291</v>
      </c>
      <c r="E4724" s="41" t="n">
        <v>24830.27</v>
      </c>
    </row>
    <row r="4725">
      <c r="A4725" s="42">
        <f>_xlfn.XLOOKUP(17850,Trip[shape_id],Trip[shape_id],"Não encontrado")</f>
        <v/>
      </c>
      <c r="B4725" s="43" t="n">
        <v>-23.681643</v>
      </c>
      <c r="C4725" s="43" t="n">
        <v>-46.698374</v>
      </c>
      <c r="D4725" s="43" t="n">
        <v>292</v>
      </c>
      <c r="E4725" s="44" t="n">
        <v>24903.916</v>
      </c>
    </row>
    <row r="4726">
      <c r="A4726" s="39">
        <f>_xlfn.XLOOKUP(17850,Trip[shape_id],Trip[shape_id],"Não encontrado")</f>
        <v/>
      </c>
      <c r="B4726" s="40" t="n">
        <v>-23.682516</v>
      </c>
      <c r="C4726" s="40" t="n">
        <v>-46.697841</v>
      </c>
      <c r="D4726" s="40" t="n">
        <v>293</v>
      </c>
      <c r="E4726" s="41" t="n">
        <v>25014.84</v>
      </c>
    </row>
    <row r="4727">
      <c r="A4727" s="42">
        <f>_xlfn.XLOOKUP(17850,Trip[shape_id],Trip[shape_id],"Não encontrado")</f>
        <v/>
      </c>
      <c r="B4727" s="43" t="n">
        <v>-23.68412</v>
      </c>
      <c r="C4727" s="43" t="n">
        <v>-46.696856</v>
      </c>
      <c r="D4727" s="43" t="n">
        <v>294</v>
      </c>
      <c r="E4727" s="44" t="n">
        <v>25218.932</v>
      </c>
    </row>
    <row r="4728">
      <c r="A4728" s="39">
        <f>_xlfn.XLOOKUP(17850,Trip[shape_id],Trip[shape_id],"Não encontrado")</f>
        <v/>
      </c>
      <c r="B4728" s="40" t="n">
        <v>-23.685516</v>
      </c>
      <c r="C4728" s="40" t="n">
        <v>-46.695974</v>
      </c>
      <c r="D4728" s="40" t="n">
        <v>295</v>
      </c>
      <c r="E4728" s="41" t="n">
        <v>25397.813</v>
      </c>
    </row>
    <row r="4729">
      <c r="A4729" s="42">
        <f>_xlfn.XLOOKUP(17850,Trip[shape_id],Trip[shape_id],"Não encontrado")</f>
        <v/>
      </c>
      <c r="B4729" s="43" t="n">
        <v>-23.686815</v>
      </c>
      <c r="C4729" s="43" t="n">
        <v>-46.695634</v>
      </c>
      <c r="D4729" s="43" t="n">
        <v>296</v>
      </c>
      <c r="E4729" s="44" t="n">
        <v>25545.803</v>
      </c>
    </row>
    <row r="4730">
      <c r="A4730" s="39">
        <f>_xlfn.XLOOKUP(17850,Trip[shape_id],Trip[shape_id],"Não encontrado")</f>
        <v/>
      </c>
      <c r="B4730" s="40" t="n">
        <v>-23.687194</v>
      </c>
      <c r="C4730" s="40" t="n">
        <v>-46.695456</v>
      </c>
      <c r="D4730" s="40" t="n">
        <v>297</v>
      </c>
      <c r="E4730" s="41" t="n">
        <v>25591.537</v>
      </c>
    </row>
    <row r="4731">
      <c r="A4731" s="42">
        <f>_xlfn.XLOOKUP(17850,Trip[shape_id],Trip[shape_id],"Não encontrado")</f>
        <v/>
      </c>
      <c r="B4731" s="43" t="n">
        <v>-23.687357</v>
      </c>
      <c r="C4731" s="43" t="n">
        <v>-46.695358</v>
      </c>
      <c r="D4731" s="43" t="n">
        <v>298</v>
      </c>
      <c r="E4731" s="44" t="n">
        <v>25612.172</v>
      </c>
    </row>
    <row r="4732">
      <c r="A4732" s="39">
        <f>_xlfn.XLOOKUP(17850,Trip[shape_id],Trip[shape_id],"Não encontrado")</f>
        <v/>
      </c>
      <c r="B4732" s="40" t="n">
        <v>-23.687881</v>
      </c>
      <c r="C4732" s="40" t="n">
        <v>-46.694954</v>
      </c>
      <c r="D4732" s="40" t="n">
        <v>299</v>
      </c>
      <c r="E4732" s="41" t="n">
        <v>25683.348</v>
      </c>
    </row>
    <row r="4733">
      <c r="A4733" s="42">
        <f>_xlfn.XLOOKUP(17850,Trip[shape_id],Trip[shape_id],"Não encontrado")</f>
        <v/>
      </c>
      <c r="B4733" s="43" t="n">
        <v>-23.688401</v>
      </c>
      <c r="C4733" s="43" t="n">
        <v>-46.694299</v>
      </c>
      <c r="D4733" s="43" t="n">
        <v>300</v>
      </c>
      <c r="E4733" s="44" t="n">
        <v>25771.553</v>
      </c>
    </row>
    <row r="4734">
      <c r="A4734" s="39">
        <f>_xlfn.XLOOKUP(17850,Trip[shape_id],Trip[shape_id],"Não encontrado")</f>
        <v/>
      </c>
      <c r="B4734" s="40" t="n">
        <v>-23.689541</v>
      </c>
      <c r="C4734" s="40" t="n">
        <v>-46.692794</v>
      </c>
      <c r="D4734" s="40" t="n">
        <v>301</v>
      </c>
      <c r="E4734" s="41" t="n">
        <v>25970.311</v>
      </c>
    </row>
    <row r="4735">
      <c r="A4735" s="42">
        <f>_xlfn.XLOOKUP(17850,Trip[shape_id],Trip[shape_id],"Não encontrado")</f>
        <v/>
      </c>
      <c r="B4735" s="43" t="n">
        <v>-23.690145</v>
      </c>
      <c r="C4735" s="43" t="n">
        <v>-46.691655</v>
      </c>
      <c r="D4735" s="43" t="n">
        <v>302</v>
      </c>
      <c r="E4735" s="44" t="n">
        <v>26104.365</v>
      </c>
    </row>
    <row r="4736">
      <c r="A4736" s="39">
        <f>_xlfn.XLOOKUP(17850,Trip[shape_id],Trip[shape_id],"Não encontrado")</f>
        <v/>
      </c>
      <c r="B4736" s="40" t="n">
        <v>-23.690993</v>
      </c>
      <c r="C4736" s="40" t="n">
        <v>-46.689173</v>
      </c>
      <c r="D4736" s="40" t="n">
        <v>303</v>
      </c>
      <c r="E4736" s="41" t="n">
        <v>26374.375</v>
      </c>
    </row>
    <row r="4737">
      <c r="A4737" s="42">
        <f>_xlfn.XLOOKUP(17850,Trip[shape_id],Trip[shape_id],"Não encontrado")</f>
        <v/>
      </c>
      <c r="B4737" s="43" t="n">
        <v>-23.691499</v>
      </c>
      <c r="C4737" s="43" t="n">
        <v>-46.688161</v>
      </c>
      <c r="D4737" s="43" t="n">
        <v>304</v>
      </c>
      <c r="E4737" s="44" t="n">
        <v>26491.824</v>
      </c>
    </row>
    <row r="4738">
      <c r="A4738" s="39">
        <f>_xlfn.XLOOKUP(17850,Trip[shape_id],Trip[shape_id],"Não encontrado")</f>
        <v/>
      </c>
      <c r="B4738" s="40" t="n">
        <v>-23.692133</v>
      </c>
      <c r="C4738" s="40" t="n">
        <v>-46.687362</v>
      </c>
      <c r="D4738" s="40" t="n">
        <v>305</v>
      </c>
      <c r="E4738" s="41" t="n">
        <v>26599.395</v>
      </c>
    </row>
    <row r="4739">
      <c r="A4739" s="42">
        <f>_xlfn.XLOOKUP(17850,Trip[shape_id],Trip[shape_id],"Não encontrado")</f>
        <v/>
      </c>
      <c r="B4739" s="43" t="n">
        <v>-23.692871</v>
      </c>
      <c r="C4739" s="43" t="n">
        <v>-46.686709</v>
      </c>
      <c r="D4739" s="43" t="n">
        <v>306</v>
      </c>
      <c r="E4739" s="44" t="n">
        <v>26704.83</v>
      </c>
    </row>
    <row r="4740">
      <c r="A4740" s="39">
        <f>_xlfn.XLOOKUP(17850,Trip[shape_id],Trip[shape_id],"Não encontrado")</f>
        <v/>
      </c>
      <c r="B4740" s="40" t="n">
        <v>-23.693805</v>
      </c>
      <c r="C4740" s="40" t="n">
        <v>-46.686123</v>
      </c>
      <c r="D4740" s="40" t="n">
        <v>307</v>
      </c>
      <c r="E4740" s="41" t="n">
        <v>26824.299</v>
      </c>
    </row>
    <row r="4741">
      <c r="A4741" s="42">
        <f>_xlfn.XLOOKUP(17850,Trip[shape_id],Trip[shape_id],"Não encontrado")</f>
        <v/>
      </c>
      <c r="B4741" s="43" t="n">
        <v>-23.69491</v>
      </c>
      <c r="C4741" s="43" t="n">
        <v>-46.685688</v>
      </c>
      <c r="D4741" s="43" t="n">
        <v>308</v>
      </c>
      <c r="E4741" s="44" t="n">
        <v>26954.475</v>
      </c>
    </row>
    <row r="4742">
      <c r="A4742" s="39">
        <f>_xlfn.XLOOKUP(17850,Trip[shape_id],Trip[shape_id],"Não encontrado")</f>
        <v/>
      </c>
      <c r="B4742" s="40" t="n">
        <v>-23.696127</v>
      </c>
      <c r="C4742" s="40" t="n">
        <v>-46.685558</v>
      </c>
      <c r="D4742" s="40" t="n">
        <v>309</v>
      </c>
      <c r="E4742" s="41" t="n">
        <v>27089.912</v>
      </c>
    </row>
    <row r="4743">
      <c r="A4743" s="42">
        <f>_xlfn.XLOOKUP(17850,Trip[shape_id],Trip[shape_id],"Não encontrado")</f>
        <v/>
      </c>
      <c r="B4743" s="43" t="n">
        <v>-23.697286</v>
      </c>
      <c r="C4743" s="43" t="n">
        <v>-46.685693</v>
      </c>
      <c r="D4743" s="43" t="n">
        <v>310</v>
      </c>
      <c r="E4743" s="44" t="n">
        <v>27219.012</v>
      </c>
    </row>
    <row r="4744">
      <c r="A4744" s="39">
        <f>_xlfn.XLOOKUP(17850,Trip[shape_id],Trip[shape_id],"Não encontrado")</f>
        <v/>
      </c>
      <c r="B4744" s="40" t="n">
        <v>-23.698628</v>
      </c>
      <c r="C4744" s="40" t="n">
        <v>-46.686053</v>
      </c>
      <c r="D4744" s="40" t="n">
        <v>311</v>
      </c>
      <c r="E4744" s="41" t="n">
        <v>27372.111</v>
      </c>
    </row>
    <row r="4745">
      <c r="A4745" s="42">
        <f>_xlfn.XLOOKUP(17850,Trip[shape_id],Trip[shape_id],"Não encontrado")</f>
        <v/>
      </c>
      <c r="B4745" s="43" t="n">
        <v>-23.699348</v>
      </c>
      <c r="C4745" s="43" t="n">
        <v>-46.686259</v>
      </c>
      <c r="D4745" s="43" t="n">
        <v>312</v>
      </c>
      <c r="E4745" s="44" t="n">
        <v>27454.576</v>
      </c>
    </row>
    <row r="4746">
      <c r="A4746" s="39">
        <f>_xlfn.XLOOKUP(17850,Trip[shape_id],Trip[shape_id],"Não encontrado")</f>
        <v/>
      </c>
      <c r="B4746" s="40" t="n">
        <v>-23.700476</v>
      </c>
      <c r="C4746" s="40" t="n">
        <v>-46.686716</v>
      </c>
      <c r="D4746" s="40" t="n">
        <v>313</v>
      </c>
      <c r="E4746" s="41" t="n">
        <v>27587.918</v>
      </c>
    </row>
    <row r="4747">
      <c r="A4747" s="42">
        <f>_xlfn.XLOOKUP(17850,Trip[shape_id],Trip[shape_id],"Não encontrado")</f>
        <v/>
      </c>
      <c r="B4747" s="43" t="n">
        <v>-23.702708</v>
      </c>
      <c r="C4747" s="43" t="n">
        <v>-46.687249</v>
      </c>
      <c r="D4747" s="43" t="n">
        <v>314</v>
      </c>
      <c r="E4747" s="44" t="n">
        <v>27841.027</v>
      </c>
    </row>
    <row r="4748">
      <c r="A4748" s="39">
        <f>_xlfn.XLOOKUP(17850,Trip[shape_id],Trip[shape_id],"Não encontrado")</f>
        <v/>
      </c>
      <c r="B4748" s="40" t="n">
        <v>-23.703318</v>
      </c>
      <c r="C4748" s="40" t="n">
        <v>-46.687475</v>
      </c>
      <c r="D4748" s="40" t="n">
        <v>315</v>
      </c>
      <c r="E4748" s="41" t="n">
        <v>27912.41</v>
      </c>
    </row>
    <row r="4749">
      <c r="A4749" s="42">
        <f>_xlfn.XLOOKUP(17850,Trip[shape_id],Trip[shape_id],"Não encontrado")</f>
        <v/>
      </c>
      <c r="B4749" s="43" t="n">
        <v>-23.704444</v>
      </c>
      <c r="C4749" s="43" t="n">
        <v>-46.687773</v>
      </c>
      <c r="D4749" s="43" t="n">
        <v>316</v>
      </c>
      <c r="E4749" s="44" t="n">
        <v>28040.77</v>
      </c>
    </row>
    <row r="4750">
      <c r="A4750" s="39">
        <f>_xlfn.XLOOKUP(17850,Trip[shape_id],Trip[shape_id],"Não encontrado")</f>
        <v/>
      </c>
      <c r="B4750" s="40" t="n">
        <v>-23.705325</v>
      </c>
      <c r="C4750" s="40" t="n">
        <v>-46.688121</v>
      </c>
      <c r="D4750" s="40" t="n">
        <v>317</v>
      </c>
      <c r="E4750" s="41" t="n">
        <v>28144.598</v>
      </c>
    </row>
    <row r="4751">
      <c r="A4751" s="42">
        <f>_xlfn.XLOOKUP(17850,Trip[shape_id],Trip[shape_id],"Não encontrado")</f>
        <v/>
      </c>
      <c r="B4751" s="43" t="n">
        <v>-23.706077</v>
      </c>
      <c r="C4751" s="43" t="n">
        <v>-46.688357</v>
      </c>
      <c r="D4751" s="43" t="n">
        <v>318</v>
      </c>
      <c r="E4751" s="44" t="n">
        <v>28231.293</v>
      </c>
    </row>
    <row r="4752">
      <c r="A4752" s="39">
        <f>_xlfn.XLOOKUP(17850,Trip[shape_id],Trip[shape_id],"Não encontrado")</f>
        <v/>
      </c>
      <c r="B4752" s="40" t="n">
        <v>-23.70641</v>
      </c>
      <c r="C4752" s="40" t="n">
        <v>-46.688451</v>
      </c>
      <c r="D4752" s="40" t="n">
        <v>319</v>
      </c>
      <c r="E4752" s="41" t="n">
        <v>28269.4</v>
      </c>
    </row>
    <row r="4753">
      <c r="A4753" s="42">
        <f>_xlfn.XLOOKUP(17850,Trip[shape_id],Trip[shape_id],"Não encontrado")</f>
        <v/>
      </c>
      <c r="B4753" s="43" t="n">
        <v>-23.707101</v>
      </c>
      <c r="C4753" s="43" t="n">
        <v>-46.688703</v>
      </c>
      <c r="D4753" s="43" t="n">
        <v>320</v>
      </c>
      <c r="E4753" s="44" t="n">
        <v>28350.131</v>
      </c>
    </row>
    <row r="4754">
      <c r="A4754" s="39">
        <f>_xlfn.XLOOKUP(17850,Trip[shape_id],Trip[shape_id],"Não encontrado")</f>
        <v/>
      </c>
      <c r="B4754" s="40" t="n">
        <v>-23.70778</v>
      </c>
      <c r="C4754" s="40" t="n">
        <v>-46.688959</v>
      </c>
      <c r="D4754" s="40" t="n">
        <v>321</v>
      </c>
      <c r="E4754" s="41" t="n">
        <v>28429.736</v>
      </c>
    </row>
    <row r="4755">
      <c r="A4755" s="42">
        <f>_xlfn.XLOOKUP(17850,Trip[shape_id],Trip[shape_id],"Não encontrado")</f>
        <v/>
      </c>
      <c r="B4755" s="43" t="n">
        <v>-23.70807</v>
      </c>
      <c r="C4755" s="43" t="n">
        <v>-46.689065</v>
      </c>
      <c r="D4755" s="43" t="n">
        <v>322</v>
      </c>
      <c r="E4755" s="44" t="n">
        <v>28463.625</v>
      </c>
    </row>
    <row r="4756">
      <c r="A4756" s="39">
        <f>_xlfn.XLOOKUP(17850,Trip[shape_id],Trip[shape_id],"Não encontrado")</f>
        <v/>
      </c>
      <c r="B4756" s="40" t="n">
        <v>-23.709917</v>
      </c>
      <c r="C4756" s="40" t="n">
        <v>-46.689563</v>
      </c>
      <c r="D4756" s="40" t="n">
        <v>323</v>
      </c>
      <c r="E4756" s="41" t="n">
        <v>28674.398</v>
      </c>
    </row>
    <row r="4757">
      <c r="A4757" s="42">
        <f>_xlfn.XLOOKUP(17850,Trip[shape_id],Trip[shape_id],"Não encontrado")</f>
        <v/>
      </c>
      <c r="B4757" s="43" t="n">
        <v>-23.712494</v>
      </c>
      <c r="C4757" s="43" t="n">
        <v>-46.690374</v>
      </c>
      <c r="D4757" s="43" t="n">
        <v>324</v>
      </c>
      <c r="E4757" s="44" t="n">
        <v>28971.553</v>
      </c>
    </row>
    <row r="4758">
      <c r="A4758" s="39">
        <f>_xlfn.XLOOKUP(17850,Trip[shape_id],Trip[shape_id],"Não encontrado")</f>
        <v/>
      </c>
      <c r="B4758" s="40" t="n">
        <v>-23.71425</v>
      </c>
      <c r="C4758" s="40" t="n">
        <v>-46.690922</v>
      </c>
      <c r="D4758" s="40" t="n">
        <v>325</v>
      </c>
      <c r="E4758" s="41" t="n">
        <v>29173.906</v>
      </c>
    </row>
    <row r="4759">
      <c r="A4759" s="42">
        <f>_xlfn.XLOOKUP(17850,Trip[shape_id],Trip[shape_id],"Não encontrado")</f>
        <v/>
      </c>
      <c r="B4759" s="43" t="n">
        <v>-23.715044</v>
      </c>
      <c r="C4759" s="43" t="n">
        <v>-46.69115</v>
      </c>
      <c r="D4759" s="43" t="n">
        <v>326</v>
      </c>
      <c r="E4759" s="44" t="n">
        <v>29264.867</v>
      </c>
    </row>
    <row r="4760">
      <c r="A4760" s="39">
        <f>_xlfn.XLOOKUP(17850,Trip[shape_id],Trip[shape_id],"Não encontrado")</f>
        <v/>
      </c>
      <c r="B4760" s="40" t="n">
        <v>-23.716277</v>
      </c>
      <c r="C4760" s="40" t="n">
        <v>-46.691634</v>
      </c>
      <c r="D4760" s="40" t="n">
        <v>327</v>
      </c>
      <c r="E4760" s="41" t="n">
        <v>29410.072</v>
      </c>
    </row>
    <row r="4761">
      <c r="A4761" s="42">
        <f>_xlfn.XLOOKUP(17850,Trip[shape_id],Trip[shape_id],"Não encontrado")</f>
        <v/>
      </c>
      <c r="B4761" s="43" t="n">
        <v>-23.717756</v>
      </c>
      <c r="C4761" s="43" t="n">
        <v>-46.691994</v>
      </c>
      <c r="D4761" s="43" t="n">
        <v>328</v>
      </c>
      <c r="E4761" s="44" t="n">
        <v>29577.941</v>
      </c>
    </row>
    <row r="4762">
      <c r="A4762" s="39">
        <f>_xlfn.XLOOKUP(17850,Trip[shape_id],Trip[shape_id],"Não encontrado")</f>
        <v/>
      </c>
      <c r="B4762" s="40" t="n">
        <v>-23.718915</v>
      </c>
      <c r="C4762" s="40" t="n">
        <v>-46.692049</v>
      </c>
      <c r="D4762" s="40" t="n">
        <v>329</v>
      </c>
      <c r="E4762" s="41" t="n">
        <v>29706.428</v>
      </c>
    </row>
    <row r="4763">
      <c r="A4763" s="42">
        <f>_xlfn.XLOOKUP(17850,Trip[shape_id],Trip[shape_id],"Não encontrado")</f>
        <v/>
      </c>
      <c r="B4763" s="43" t="n">
        <v>-23.719268</v>
      </c>
      <c r="C4763" s="43" t="n">
        <v>-46.69203</v>
      </c>
      <c r="D4763" s="43" t="n">
        <v>330</v>
      </c>
      <c r="E4763" s="44" t="n">
        <v>29745.572</v>
      </c>
    </row>
    <row r="4764">
      <c r="A4764" s="39">
        <f>_xlfn.XLOOKUP(17850,Trip[shape_id],Trip[shape_id],"Não encontrado")</f>
        <v/>
      </c>
      <c r="B4764" s="40" t="n">
        <v>-23.721075</v>
      </c>
      <c r="C4764" s="40" t="n">
        <v>-46.691902</v>
      </c>
      <c r="D4764" s="40" t="n">
        <v>331</v>
      </c>
      <c r="E4764" s="41" t="n">
        <v>29946.131</v>
      </c>
    </row>
    <row r="4765">
      <c r="A4765" s="42">
        <f>_xlfn.XLOOKUP(17850,Trip[shape_id],Trip[shape_id],"Não encontrado")</f>
        <v/>
      </c>
      <c r="B4765" s="43" t="n">
        <v>-23.722302</v>
      </c>
      <c r="C4765" s="43" t="n">
        <v>-46.691804</v>
      </c>
      <c r="D4765" s="43" t="n">
        <v>332</v>
      </c>
      <c r="E4765" s="44" t="n">
        <v>30082.393</v>
      </c>
    </row>
    <row r="4766">
      <c r="A4766" s="39">
        <f>_xlfn.XLOOKUP(17850,Trip[shape_id],Trip[shape_id],"Não encontrado")</f>
        <v/>
      </c>
      <c r="B4766" s="40" t="n">
        <v>-23.722944</v>
      </c>
      <c r="C4766" s="40" t="n">
        <v>-46.691773</v>
      </c>
      <c r="D4766" s="40" t="n">
        <v>333</v>
      </c>
      <c r="E4766" s="41" t="n">
        <v>30153.566</v>
      </c>
    </row>
    <row r="4767">
      <c r="A4767" s="42">
        <f>_xlfn.XLOOKUP(17850,Trip[shape_id],Trip[shape_id],"Não encontrado")</f>
        <v/>
      </c>
      <c r="B4767" s="43" t="n">
        <v>-23.724881</v>
      </c>
      <c r="C4767" s="43" t="n">
        <v>-46.691545</v>
      </c>
      <c r="D4767" s="43" t="n">
        <v>334</v>
      </c>
      <c r="E4767" s="44" t="n">
        <v>30369.354</v>
      </c>
    </row>
    <row r="4768">
      <c r="A4768" s="39">
        <f>_xlfn.XLOOKUP(17850,Trip[shape_id],Trip[shape_id],"Não encontrado")</f>
        <v/>
      </c>
      <c r="B4768" s="40" t="n">
        <v>-23.726782</v>
      </c>
      <c r="C4768" s="40" t="n">
        <v>-46.691411</v>
      </c>
      <c r="D4768" s="40" t="n">
        <v>335</v>
      </c>
      <c r="E4768" s="41" t="n">
        <v>30580.34</v>
      </c>
    </row>
    <row r="4769">
      <c r="A4769" s="42">
        <f>_xlfn.XLOOKUP(17850,Trip[shape_id],Trip[shape_id],"Não encontrado")</f>
        <v/>
      </c>
      <c r="B4769" s="43" t="n">
        <v>-23.728318</v>
      </c>
      <c r="C4769" s="43" t="n">
        <v>-46.691597</v>
      </c>
      <c r="D4769" s="43" t="n">
        <v>336</v>
      </c>
      <c r="E4769" s="44" t="n">
        <v>30751.512</v>
      </c>
    </row>
    <row r="4770">
      <c r="A4770" s="39">
        <f>_xlfn.XLOOKUP(17850,Trip[shape_id],Trip[shape_id],"Não encontrado")</f>
        <v/>
      </c>
      <c r="B4770" s="40" t="n">
        <v>-23.729836</v>
      </c>
      <c r="C4770" s="40" t="n">
        <v>-46.692067</v>
      </c>
      <c r="D4770" s="40" t="n">
        <v>337</v>
      </c>
      <c r="E4770" s="41" t="n">
        <v>30926.334</v>
      </c>
    </row>
    <row r="4771">
      <c r="A4771" s="42">
        <f>_xlfn.XLOOKUP(17850,Trip[shape_id],Trip[shape_id],"Não encontrado")</f>
        <v/>
      </c>
      <c r="B4771" s="43" t="n">
        <v>-23.731095</v>
      </c>
      <c r="C4771" s="43" t="n">
        <v>-46.692675</v>
      </c>
      <c r="D4771" s="43" t="n">
        <v>338</v>
      </c>
      <c r="E4771" s="44" t="n">
        <v>31078.934</v>
      </c>
    </row>
    <row r="4772">
      <c r="A4772" s="39">
        <f>_xlfn.XLOOKUP(17850,Trip[shape_id],Trip[shape_id],"Não encontrado")</f>
        <v/>
      </c>
      <c r="B4772" s="40" t="n">
        <v>-23.732285</v>
      </c>
      <c r="C4772" s="40" t="n">
        <v>-46.693701</v>
      </c>
      <c r="D4772" s="40" t="n">
        <v>339</v>
      </c>
      <c r="E4772" s="41" t="n">
        <v>31247.203</v>
      </c>
    </row>
    <row r="4773">
      <c r="A4773" s="42">
        <f>_xlfn.XLOOKUP(17850,Trip[shape_id],Trip[shape_id],"Não encontrado")</f>
        <v/>
      </c>
      <c r="B4773" s="43" t="n">
        <v>-23.733571</v>
      </c>
      <c r="C4773" s="43" t="n">
        <v>-46.694699</v>
      </c>
      <c r="D4773" s="43" t="n">
        <v>340</v>
      </c>
      <c r="E4773" s="44" t="n">
        <v>31422.248</v>
      </c>
    </row>
    <row r="4774">
      <c r="A4774" s="39">
        <f>_xlfn.XLOOKUP(17850,Trip[shape_id],Trip[shape_id],"Não encontrado")</f>
        <v/>
      </c>
      <c r="B4774" s="40" t="n">
        <v>-23.73474</v>
      </c>
      <c r="C4774" s="40" t="n">
        <v>-46.695694</v>
      </c>
      <c r="D4774" s="40" t="n">
        <v>341</v>
      </c>
      <c r="E4774" s="41" t="n">
        <v>31586.732</v>
      </c>
    </row>
    <row r="4775">
      <c r="A4775" s="42">
        <f>_xlfn.XLOOKUP(17850,Trip[shape_id],Trip[shape_id],"Não encontrado")</f>
        <v/>
      </c>
      <c r="B4775" s="43" t="n">
        <v>-23.736023</v>
      </c>
      <c r="C4775" s="43" t="n">
        <v>-46.696756</v>
      </c>
      <c r="D4775" s="43" t="n">
        <v>342</v>
      </c>
      <c r="E4775" s="44" t="n">
        <v>31765.385</v>
      </c>
    </row>
    <row r="4776">
      <c r="A4776" s="39">
        <f>_xlfn.XLOOKUP(17850,Trip[shape_id],Trip[shape_id],"Não encontrado")</f>
        <v/>
      </c>
      <c r="B4776" s="40" t="n">
        <v>-23.736444</v>
      </c>
      <c r="C4776" s="40" t="n">
        <v>-46.697108</v>
      </c>
      <c r="D4776" s="40" t="n">
        <v>343</v>
      </c>
      <c r="E4776" s="41" t="n">
        <v>31824.225</v>
      </c>
    </row>
    <row r="4777">
      <c r="A4777" s="42">
        <f>_xlfn.XLOOKUP(17850,Trip[shape_id],Trip[shape_id],"Não encontrado")</f>
        <v/>
      </c>
      <c r="B4777" s="43" t="n">
        <v>-23.746836</v>
      </c>
      <c r="C4777" s="43" t="n">
        <v>-46.705563</v>
      </c>
      <c r="D4777" s="43" t="n">
        <v>344</v>
      </c>
      <c r="E4777" s="44" t="n">
        <v>33262.207</v>
      </c>
    </row>
    <row r="4778">
      <c r="A4778" s="39">
        <f>_xlfn.XLOOKUP(17850,Trip[shape_id],Trip[shape_id],"Não encontrado")</f>
        <v/>
      </c>
      <c r="B4778" s="40" t="n">
        <v>-23.74937</v>
      </c>
      <c r="C4778" s="40" t="n">
        <v>-46.707013</v>
      </c>
      <c r="D4778" s="40" t="n">
        <v>345</v>
      </c>
      <c r="E4778" s="41" t="n">
        <v>33579.41</v>
      </c>
    </row>
    <row r="4779">
      <c r="A4779" s="42">
        <f>_xlfn.XLOOKUP(17850,Trip[shape_id],Trip[shape_id],"Não encontrado")</f>
        <v/>
      </c>
      <c r="B4779" s="43" t="n">
        <v>-23.754696</v>
      </c>
      <c r="C4779" s="43" t="n">
        <v>-46.709419</v>
      </c>
      <c r="D4779" s="43" t="n">
        <v>346</v>
      </c>
      <c r="E4779" s="44" t="n">
        <v>34218.254</v>
      </c>
    </row>
    <row r="4780">
      <c r="A4780" s="39">
        <f>_xlfn.XLOOKUP(17850,Trip[shape_id],Trip[shape_id],"Não encontrado")</f>
        <v/>
      </c>
      <c r="B4780" s="40" t="n">
        <v>-23.758218</v>
      </c>
      <c r="C4780" s="40" t="n">
        <v>-46.710939</v>
      </c>
      <c r="D4780" s="40" t="n">
        <v>347</v>
      </c>
      <c r="E4780" s="41" t="n">
        <v>34772.066</v>
      </c>
    </row>
    <row r="4781">
      <c r="A4781" s="42">
        <f>_xlfn.XLOOKUP(17850,Trip[shape_id],Trip[shape_id],"Não encontrado")</f>
        <v/>
      </c>
      <c r="B4781" s="43" t="n">
        <v>-23.759324</v>
      </c>
      <c r="C4781" s="43" t="n">
        <v>-46.711474</v>
      </c>
      <c r="D4781" s="43" t="n">
        <v>348</v>
      </c>
      <c r="E4781" s="44" t="n">
        <v>34834.68</v>
      </c>
    </row>
    <row r="4782">
      <c r="A4782" s="39">
        <f>_xlfn.XLOOKUP(17850,Trip[shape_id],Trip[shape_id],"Não encontrado")</f>
        <v/>
      </c>
      <c r="B4782" s="40" t="n">
        <v>-23.759861</v>
      </c>
      <c r="C4782" s="40" t="n">
        <v>-46.711666</v>
      </c>
      <c r="D4782" s="40" t="n">
        <v>349</v>
      </c>
      <c r="E4782" s="41" t="n">
        <v>34917.195</v>
      </c>
    </row>
    <row r="4783">
      <c r="A4783" s="42">
        <f>_xlfn.XLOOKUP(17850,Trip[shape_id],Trip[shape_id],"Não encontrado")</f>
        <v/>
      </c>
      <c r="B4783" s="43" t="n">
        <v>-23.760603</v>
      </c>
      <c r="C4783" s="43" t="n">
        <v>-46.711739</v>
      </c>
      <c r="D4783" s="43" t="n">
        <v>350</v>
      </c>
      <c r="E4783" s="44" t="n">
        <v>35316.637</v>
      </c>
    </row>
    <row r="4784">
      <c r="A4784" s="39">
        <f>_xlfn.XLOOKUP(17850,Trip[shape_id],Trip[shape_id],"Não encontrado")</f>
        <v/>
      </c>
      <c r="B4784" s="40" t="n">
        <v>-23.764203</v>
      </c>
      <c r="C4784" s="40" t="n">
        <v>-46.711975</v>
      </c>
      <c r="D4784" s="40" t="n">
        <v>351</v>
      </c>
      <c r="E4784" s="41" t="n">
        <v>35706.094</v>
      </c>
    </row>
    <row r="4785">
      <c r="A4785" s="42">
        <f>_xlfn.XLOOKUP(17850,Trip[shape_id],Trip[shape_id],"Não encontrado")</f>
        <v/>
      </c>
      <c r="B4785" s="43" t="n">
        <v>-23.767717</v>
      </c>
      <c r="C4785" s="43" t="n">
        <v>-46.712116</v>
      </c>
      <c r="D4785" s="43" t="n">
        <v>352</v>
      </c>
      <c r="E4785" s="44" t="n">
        <v>35808.215</v>
      </c>
    </row>
    <row r="4786">
      <c r="A4786" s="39">
        <f>_xlfn.XLOOKUP(17850,Trip[shape_id],Trip[shape_id],"Não encontrado")</f>
        <v/>
      </c>
      <c r="B4786" s="40" t="n">
        <v>-23.768639</v>
      </c>
      <c r="C4786" s="40" t="n">
        <v>-46.712127</v>
      </c>
      <c r="D4786" s="40" t="n">
        <v>353</v>
      </c>
      <c r="E4786" s="41" t="n">
        <v>35995.652</v>
      </c>
    </row>
    <row r="4787">
      <c r="A4787" s="42">
        <f>_xlfn.XLOOKUP(17850,Trip[shape_id],Trip[shape_id],"Não encontrado")</f>
        <v/>
      </c>
      <c r="B4787" s="43" t="n">
        <v>-23.77033</v>
      </c>
      <c r="C4787" s="43" t="n">
        <v>-46.712053</v>
      </c>
      <c r="D4787" s="43" t="n">
        <v>354</v>
      </c>
      <c r="E4787" s="44" t="n">
        <v>35995.652</v>
      </c>
    </row>
    <row r="4788">
      <c r="A4788" s="39">
        <f>_xlfn.XLOOKUP(17850,Trip[shape_id],Trip[shape_id],"Não encontrado")</f>
        <v/>
      </c>
      <c r="B4788" s="40" t="n">
        <v>-23.771391</v>
      </c>
      <c r="C4788" s="40" t="n">
        <v>-46.712005</v>
      </c>
      <c r="D4788" s="40" t="n">
        <v>355</v>
      </c>
      <c r="E4788" s="41" t="n">
        <v>36113.266</v>
      </c>
    </row>
    <row r="4789">
      <c r="A4789" s="42">
        <f>_xlfn.XLOOKUP(17851,Trip[shape_id],Trip[shape_id],"Não encontrado")</f>
        <v/>
      </c>
      <c r="B4789" s="43" t="n">
        <v>-23.771391</v>
      </c>
      <c r="C4789" s="43" t="n">
        <v>-46.712005</v>
      </c>
      <c r="D4789" s="43" t="n">
        <v>1</v>
      </c>
      <c r="E4789" s="44" t="n">
        <v>0</v>
      </c>
    </row>
    <row r="4790">
      <c r="A4790" s="39">
        <f>_xlfn.XLOOKUP(17851,Trip[shape_id],Trip[shape_id],"Não encontrado")</f>
        <v/>
      </c>
      <c r="B4790" s="40" t="n">
        <v>-23.77033</v>
      </c>
      <c r="C4790" s="40" t="n">
        <v>-46.712053</v>
      </c>
      <c r="D4790" s="40" t="n">
        <v>2</v>
      </c>
      <c r="E4790" s="41" t="n">
        <v>117.61276</v>
      </c>
    </row>
    <row r="4791">
      <c r="A4791" s="42">
        <f>_xlfn.XLOOKUP(17851,Trip[shape_id],Trip[shape_id],"Não encontrado")</f>
        <v/>
      </c>
      <c r="B4791" s="43" t="n">
        <v>-23.768639</v>
      </c>
      <c r="C4791" s="43" t="n">
        <v>-46.712127</v>
      </c>
      <c r="D4791" s="43" t="n">
        <v>3</v>
      </c>
      <c r="E4791" s="44" t="n">
        <v>305.05115</v>
      </c>
    </row>
    <row r="4792">
      <c r="A4792" s="39">
        <f>_xlfn.XLOOKUP(17851,Trip[shape_id],Trip[shape_id],"Não encontrado")</f>
        <v/>
      </c>
      <c r="B4792" s="40" t="n">
        <v>-23.767717</v>
      </c>
      <c r="C4792" s="40" t="n">
        <v>-46.712116</v>
      </c>
      <c r="D4792" s="40" t="n">
        <v>4</v>
      </c>
      <c r="E4792" s="41" t="n">
        <v>407.17328</v>
      </c>
    </row>
    <row r="4793">
      <c r="A4793" s="42">
        <f>_xlfn.XLOOKUP(17851,Trip[shape_id],Trip[shape_id],"Não encontrado")</f>
        <v/>
      </c>
      <c r="B4793" s="43" t="n">
        <v>-23.764203</v>
      </c>
      <c r="C4793" s="43" t="n">
        <v>-46.711975</v>
      </c>
      <c r="D4793" s="43" t="n">
        <v>5</v>
      </c>
      <c r="E4793" s="44" t="n">
        <v>796.6310999999999</v>
      </c>
    </row>
    <row r="4794">
      <c r="A4794" s="39">
        <f>_xlfn.XLOOKUP(17851,Trip[shape_id],Trip[shape_id],"Não encontrado")</f>
        <v/>
      </c>
      <c r="B4794" s="40" t="n">
        <v>-23.760603</v>
      </c>
      <c r="C4794" s="40" t="n">
        <v>-46.711739</v>
      </c>
      <c r="D4794" s="40" t="n">
        <v>6</v>
      </c>
      <c r="E4794" s="41" t="n">
        <v>1196.0735</v>
      </c>
    </row>
    <row r="4795">
      <c r="A4795" s="42">
        <f>_xlfn.XLOOKUP(17851,Trip[shape_id],Trip[shape_id],"Não encontrado")</f>
        <v/>
      </c>
      <c r="B4795" s="43" t="n">
        <v>-23.759861</v>
      </c>
      <c r="C4795" s="43" t="n">
        <v>-46.711666</v>
      </c>
      <c r="D4795" s="43" t="n">
        <v>7</v>
      </c>
      <c r="E4795" s="44" t="n">
        <v>1278.5897</v>
      </c>
    </row>
    <row r="4796">
      <c r="A4796" s="39">
        <f>_xlfn.XLOOKUP(17851,Trip[shape_id],Trip[shape_id],"Não encontrado")</f>
        <v/>
      </c>
      <c r="B4796" s="40" t="n">
        <v>-23.759324</v>
      </c>
      <c r="C4796" s="40" t="n">
        <v>-46.711474</v>
      </c>
      <c r="D4796" s="40" t="n">
        <v>8</v>
      </c>
      <c r="E4796" s="41" t="n">
        <v>1341.2028</v>
      </c>
    </row>
    <row r="4797">
      <c r="A4797" s="42">
        <f>_xlfn.XLOOKUP(17851,Trip[shape_id],Trip[shape_id],"Não encontrado")</f>
        <v/>
      </c>
      <c r="B4797" s="43" t="n">
        <v>-23.758218</v>
      </c>
      <c r="C4797" s="43" t="n">
        <v>-46.710939</v>
      </c>
      <c r="D4797" s="43" t="n">
        <v>9</v>
      </c>
      <c r="E4797" s="44" t="n">
        <v>1475.29</v>
      </c>
    </row>
    <row r="4798">
      <c r="A4798" s="39">
        <f>_xlfn.XLOOKUP(17851,Trip[shape_id],Trip[shape_id],"Não encontrado")</f>
        <v/>
      </c>
      <c r="B4798" s="40" t="n">
        <v>-23.754696</v>
      </c>
      <c r="C4798" s="40" t="n">
        <v>-46.709419</v>
      </c>
      <c r="D4798" s="40" t="n">
        <v>10</v>
      </c>
      <c r="E4798" s="41" t="n">
        <v>1895.0176</v>
      </c>
    </row>
    <row r="4799">
      <c r="A4799" s="42">
        <f>_xlfn.XLOOKUP(17851,Trip[shape_id],Trip[shape_id],"Não encontrado")</f>
        <v/>
      </c>
      <c r="B4799" s="43" t="n">
        <v>-23.74937</v>
      </c>
      <c r="C4799" s="43" t="n">
        <v>-46.707013</v>
      </c>
      <c r="D4799" s="43" t="n">
        <v>11</v>
      </c>
      <c r="E4799" s="44" t="n">
        <v>2851.0645</v>
      </c>
    </row>
    <row r="4800">
      <c r="A4800" s="39">
        <f>_xlfn.XLOOKUP(17851,Trip[shape_id],Trip[shape_id],"Não encontrado")</f>
        <v/>
      </c>
      <c r="B4800" s="40" t="n">
        <v>-23.746836</v>
      </c>
      <c r="C4800" s="40" t="n">
        <v>-46.705563</v>
      </c>
      <c r="D4800" s="40" t="n">
        <v>12</v>
      </c>
      <c r="E4800" s="41" t="n">
        <v>4289.0454</v>
      </c>
    </row>
    <row r="4801">
      <c r="A4801" s="42">
        <f>_xlfn.XLOOKUP(17851,Trip[shape_id],Trip[shape_id],"Não encontrado")</f>
        <v/>
      </c>
      <c r="B4801" s="43" t="n">
        <v>-23.736444</v>
      </c>
      <c r="C4801" s="43" t="n">
        <v>-46.697108</v>
      </c>
      <c r="D4801" s="43" t="n">
        <v>13</v>
      </c>
      <c r="E4801" s="44" t="n">
        <v>4289.0454</v>
      </c>
    </row>
    <row r="4802">
      <c r="A4802" s="39">
        <f>_xlfn.XLOOKUP(17851,Trip[shape_id],Trip[shape_id],"Não encontrado")</f>
        <v/>
      </c>
      <c r="B4802" s="40" t="n">
        <v>-23.736023</v>
      </c>
      <c r="C4802" s="40" t="n">
        <v>-46.696756</v>
      </c>
      <c r="D4802" s="40" t="n">
        <v>14</v>
      </c>
      <c r="E4802" s="41" t="n">
        <v>4526.5376</v>
      </c>
    </row>
    <row r="4803">
      <c r="A4803" s="42">
        <f>_xlfn.XLOOKUP(17851,Trip[shape_id],Trip[shape_id],"Não encontrado")</f>
        <v/>
      </c>
      <c r="B4803" s="43" t="n">
        <v>-23.73474</v>
      </c>
      <c r="C4803" s="43" t="n">
        <v>-46.695694</v>
      </c>
      <c r="D4803" s="43" t="n">
        <v>15</v>
      </c>
      <c r="E4803" s="44" t="n">
        <v>4526.5376</v>
      </c>
    </row>
    <row r="4804">
      <c r="A4804" s="39">
        <f>_xlfn.XLOOKUP(17851,Trip[shape_id],Trip[shape_id],"Não encontrado")</f>
        <v/>
      </c>
      <c r="B4804" s="40" t="n">
        <v>-23.733571</v>
      </c>
      <c r="C4804" s="40" t="n">
        <v>-46.694699</v>
      </c>
      <c r="D4804" s="40" t="n">
        <v>16</v>
      </c>
      <c r="E4804" s="41" t="n">
        <v>4866.0669</v>
      </c>
    </row>
    <row r="4805">
      <c r="A4805" s="42">
        <f>_xlfn.XLOOKUP(17851,Trip[shape_id],Trip[shape_id],"Não encontrado")</f>
        <v/>
      </c>
      <c r="B4805" s="43" t="n">
        <v>-23.732285</v>
      </c>
      <c r="C4805" s="43" t="n">
        <v>-46.693701</v>
      </c>
      <c r="D4805" s="43" t="n">
        <v>17</v>
      </c>
      <c r="E4805" s="44" t="n">
        <v>5034.3359</v>
      </c>
    </row>
    <row r="4806">
      <c r="A4806" s="39">
        <f>_xlfn.XLOOKUP(17851,Trip[shape_id],Trip[shape_id],"Não encontrado")</f>
        <v/>
      </c>
      <c r="B4806" s="40" t="n">
        <v>-23.731095</v>
      </c>
      <c r="C4806" s="40" t="n">
        <v>-46.692675</v>
      </c>
      <c r="D4806" s="40" t="n">
        <v>18</v>
      </c>
      <c r="E4806" s="41" t="n">
        <v>5186.9355</v>
      </c>
    </row>
    <row r="4807">
      <c r="A4807" s="42">
        <f>_xlfn.XLOOKUP(17851,Trip[shape_id],Trip[shape_id],"Não encontrado")</f>
        <v/>
      </c>
      <c r="B4807" s="43" t="n">
        <v>-23.729836</v>
      </c>
      <c r="C4807" s="43" t="n">
        <v>-46.692067</v>
      </c>
      <c r="D4807" s="43" t="n">
        <v>19</v>
      </c>
      <c r="E4807" s="44" t="n">
        <v>5361.7573</v>
      </c>
    </row>
    <row r="4808">
      <c r="A4808" s="39">
        <f>_xlfn.XLOOKUP(17851,Trip[shape_id],Trip[shape_id],"Não encontrado")</f>
        <v/>
      </c>
      <c r="B4808" s="40" t="n">
        <v>-23.728318</v>
      </c>
      <c r="C4808" s="40" t="n">
        <v>-46.691597</v>
      </c>
      <c r="D4808" s="40" t="n">
        <v>20</v>
      </c>
      <c r="E4808" s="41" t="n">
        <v>5532.9297</v>
      </c>
    </row>
    <row r="4809">
      <c r="A4809" s="42">
        <f>_xlfn.XLOOKUP(17851,Trip[shape_id],Trip[shape_id],"Não encontrado")</f>
        <v/>
      </c>
      <c r="B4809" s="43" t="n">
        <v>-23.726782</v>
      </c>
      <c r="C4809" s="43" t="n">
        <v>-46.691411</v>
      </c>
      <c r="D4809" s="43" t="n">
        <v>21</v>
      </c>
      <c r="E4809" s="44" t="n">
        <v>5743.9165</v>
      </c>
    </row>
    <row r="4810">
      <c r="A4810" s="39">
        <f>_xlfn.XLOOKUP(17851,Trip[shape_id],Trip[shape_id],"Não encontrado")</f>
        <v/>
      </c>
      <c r="B4810" s="40" t="n">
        <v>-23.724881</v>
      </c>
      <c r="C4810" s="40" t="n">
        <v>-46.691545</v>
      </c>
      <c r="D4810" s="40" t="n">
        <v>22</v>
      </c>
      <c r="E4810" s="41" t="n">
        <v>5959.7036</v>
      </c>
    </row>
    <row r="4811">
      <c r="A4811" s="42">
        <f>_xlfn.XLOOKUP(17851,Trip[shape_id],Trip[shape_id],"Não encontrado")</f>
        <v/>
      </c>
      <c r="B4811" s="43" t="n">
        <v>-23.722944</v>
      </c>
      <c r="C4811" s="43" t="n">
        <v>-46.691773</v>
      </c>
      <c r="D4811" s="43" t="n">
        <v>23</v>
      </c>
      <c r="E4811" s="44" t="n">
        <v>5959.7036</v>
      </c>
    </row>
    <row r="4812">
      <c r="A4812" s="39">
        <f>_xlfn.XLOOKUP(17851,Trip[shape_id],Trip[shape_id],"Não encontrado")</f>
        <v/>
      </c>
      <c r="B4812" s="40" t="n">
        <v>-23.722302</v>
      </c>
      <c r="C4812" s="40" t="n">
        <v>-46.691804</v>
      </c>
      <c r="D4812" s="40" t="n">
        <v>24</v>
      </c>
      <c r="E4812" s="41" t="n">
        <v>6167.1401</v>
      </c>
    </row>
    <row r="4813">
      <c r="A4813" s="42">
        <f>_xlfn.XLOOKUP(17851,Trip[shape_id],Trip[shape_id],"Não encontrado")</f>
        <v/>
      </c>
      <c r="B4813" s="43" t="n">
        <v>-23.721075</v>
      </c>
      <c r="C4813" s="43" t="n">
        <v>-46.691902</v>
      </c>
      <c r="D4813" s="43" t="n">
        <v>25</v>
      </c>
      <c r="E4813" s="44" t="n">
        <v>6367.6982</v>
      </c>
    </row>
    <row r="4814">
      <c r="A4814" s="39">
        <f>_xlfn.XLOOKUP(17851,Trip[shape_id],Trip[shape_id],"Não encontrado")</f>
        <v/>
      </c>
      <c r="B4814" s="40" t="n">
        <v>-23.719268</v>
      </c>
      <c r="C4814" s="40" t="n">
        <v>-46.69203</v>
      </c>
      <c r="D4814" s="40" t="n">
        <v>26</v>
      </c>
      <c r="E4814" s="41" t="n">
        <v>6406.8423</v>
      </c>
    </row>
    <row r="4815">
      <c r="A4815" s="42">
        <f>_xlfn.XLOOKUP(17851,Trip[shape_id],Trip[shape_id],"Não encontrado")</f>
        <v/>
      </c>
      <c r="B4815" s="43" t="n">
        <v>-23.718915</v>
      </c>
      <c r="C4815" s="43" t="n">
        <v>-46.692049</v>
      </c>
      <c r="D4815" s="43" t="n">
        <v>27</v>
      </c>
      <c r="E4815" s="44" t="n">
        <v>6535.3286</v>
      </c>
    </row>
    <row r="4816">
      <c r="A4816" s="39">
        <f>_xlfn.XLOOKUP(17851,Trip[shape_id],Trip[shape_id],"Não encontrado")</f>
        <v/>
      </c>
      <c r="B4816" s="40" t="n">
        <v>-23.717756</v>
      </c>
      <c r="C4816" s="40" t="n">
        <v>-46.691994</v>
      </c>
      <c r="D4816" s="40" t="n">
        <v>28</v>
      </c>
      <c r="E4816" s="41" t="n">
        <v>6703.1973</v>
      </c>
    </row>
    <row r="4817">
      <c r="A4817" s="42">
        <f>_xlfn.XLOOKUP(17851,Trip[shape_id],Trip[shape_id],"Não encontrado")</f>
        <v/>
      </c>
      <c r="B4817" s="43" t="n">
        <v>-23.716277</v>
      </c>
      <c r="C4817" s="43" t="n">
        <v>-46.691634</v>
      </c>
      <c r="D4817" s="43" t="n">
        <v>29</v>
      </c>
      <c r="E4817" s="44" t="n">
        <v>6848.4023</v>
      </c>
    </row>
    <row r="4818">
      <c r="A4818" s="39">
        <f>_xlfn.XLOOKUP(17851,Trip[shape_id],Trip[shape_id],"Não encontrado")</f>
        <v/>
      </c>
      <c r="B4818" s="40" t="n">
        <v>-23.715044</v>
      </c>
      <c r="C4818" s="40" t="n">
        <v>-46.69115</v>
      </c>
      <c r="D4818" s="40" t="n">
        <v>30</v>
      </c>
      <c r="E4818" s="41" t="n">
        <v>6939.3628</v>
      </c>
    </row>
    <row r="4819">
      <c r="A4819" s="42">
        <f>_xlfn.XLOOKUP(17851,Trip[shape_id],Trip[shape_id],"Não encontrado")</f>
        <v/>
      </c>
      <c r="B4819" s="43" t="n">
        <v>-23.71425</v>
      </c>
      <c r="C4819" s="43" t="n">
        <v>-46.690922</v>
      </c>
      <c r="D4819" s="43" t="n">
        <v>31</v>
      </c>
      <c r="E4819" s="44" t="n">
        <v>7141.7163</v>
      </c>
    </row>
    <row r="4820">
      <c r="A4820" s="39">
        <f>_xlfn.XLOOKUP(17851,Trip[shape_id],Trip[shape_id],"Não encontrado")</f>
        <v/>
      </c>
      <c r="B4820" s="40" t="n">
        <v>-23.712494</v>
      </c>
      <c r="C4820" s="40" t="n">
        <v>-46.690374</v>
      </c>
      <c r="D4820" s="40" t="n">
        <v>32</v>
      </c>
      <c r="E4820" s="41" t="n">
        <v>7438.8706</v>
      </c>
    </row>
    <row r="4821">
      <c r="A4821" s="42">
        <f>_xlfn.XLOOKUP(17851,Trip[shape_id],Trip[shape_id],"Não encontrado")</f>
        <v/>
      </c>
      <c r="B4821" s="43" t="n">
        <v>-23.709917</v>
      </c>
      <c r="C4821" s="43" t="n">
        <v>-46.689563</v>
      </c>
      <c r="D4821" s="43" t="n">
        <v>33</v>
      </c>
      <c r="E4821" s="44" t="n">
        <v>7649.6431</v>
      </c>
    </row>
    <row r="4822">
      <c r="A4822" s="39">
        <f>_xlfn.XLOOKUP(17851,Trip[shape_id],Trip[shape_id],"Não encontrado")</f>
        <v/>
      </c>
      <c r="B4822" s="40" t="n">
        <v>-23.70807</v>
      </c>
      <c r="C4822" s="40" t="n">
        <v>-46.689065</v>
      </c>
      <c r="D4822" s="40" t="n">
        <v>34</v>
      </c>
      <c r="E4822" s="41" t="n">
        <v>7683.5322</v>
      </c>
    </row>
    <row r="4823">
      <c r="A4823" s="42">
        <f>_xlfn.XLOOKUP(17851,Trip[shape_id],Trip[shape_id],"Não encontrado")</f>
        <v/>
      </c>
      <c r="B4823" s="43" t="n">
        <v>-23.70778</v>
      </c>
      <c r="C4823" s="43" t="n">
        <v>-46.688959</v>
      </c>
      <c r="D4823" s="43" t="n">
        <v>35</v>
      </c>
      <c r="E4823" s="44" t="n">
        <v>7763.1372</v>
      </c>
    </row>
    <row r="4824">
      <c r="A4824" s="39">
        <f>_xlfn.XLOOKUP(17851,Trip[shape_id],Trip[shape_id],"Não encontrado")</f>
        <v/>
      </c>
      <c r="B4824" s="40" t="n">
        <v>-23.707101</v>
      </c>
      <c r="C4824" s="40" t="n">
        <v>-46.688703</v>
      </c>
      <c r="D4824" s="40" t="n">
        <v>36</v>
      </c>
      <c r="E4824" s="41" t="n">
        <v>7843.8682</v>
      </c>
    </row>
    <row r="4825">
      <c r="A4825" s="42">
        <f>_xlfn.XLOOKUP(17851,Trip[shape_id],Trip[shape_id],"Não encontrado")</f>
        <v/>
      </c>
      <c r="B4825" s="43" t="n">
        <v>-23.70641</v>
      </c>
      <c r="C4825" s="43" t="n">
        <v>-46.688451</v>
      </c>
      <c r="D4825" s="43" t="n">
        <v>37</v>
      </c>
      <c r="E4825" s="44" t="n">
        <v>7881.9746</v>
      </c>
    </row>
    <row r="4826">
      <c r="A4826" s="39">
        <f>_xlfn.XLOOKUP(17851,Trip[shape_id],Trip[shape_id],"Não encontrado")</f>
        <v/>
      </c>
      <c r="B4826" s="40" t="n">
        <v>-23.706077</v>
      </c>
      <c r="C4826" s="40" t="n">
        <v>-46.688357</v>
      </c>
      <c r="D4826" s="40" t="n">
        <v>38</v>
      </c>
      <c r="E4826" s="41" t="n">
        <v>7881.9746</v>
      </c>
    </row>
    <row r="4827">
      <c r="A4827" s="42">
        <f>_xlfn.XLOOKUP(17851,Trip[shape_id],Trip[shape_id],"Não encontrado")</f>
        <v/>
      </c>
      <c r="B4827" s="43" t="n">
        <v>-23.705325</v>
      </c>
      <c r="C4827" s="43" t="n">
        <v>-46.688121</v>
      </c>
      <c r="D4827" s="43" t="n">
        <v>39</v>
      </c>
      <c r="E4827" s="44" t="n">
        <v>8072.4976</v>
      </c>
    </row>
    <row r="4828">
      <c r="A4828" s="39">
        <f>_xlfn.XLOOKUP(17851,Trip[shape_id],Trip[shape_id],"Não encontrado")</f>
        <v/>
      </c>
      <c r="B4828" s="40" t="n">
        <v>-23.704444</v>
      </c>
      <c r="C4828" s="40" t="n">
        <v>-46.687773</v>
      </c>
      <c r="D4828" s="40" t="n">
        <v>40</v>
      </c>
      <c r="E4828" s="41" t="n">
        <v>8200.856400000001</v>
      </c>
    </row>
    <row r="4829">
      <c r="A4829" s="42">
        <f>_xlfn.XLOOKUP(17851,Trip[shape_id],Trip[shape_id],"Não encontrado")</f>
        <v/>
      </c>
      <c r="B4829" s="43" t="n">
        <v>-23.703318</v>
      </c>
      <c r="C4829" s="43" t="n">
        <v>-46.687475</v>
      </c>
      <c r="D4829" s="43" t="n">
        <v>41</v>
      </c>
      <c r="E4829" s="44" t="n">
        <v>8272.239299999999</v>
      </c>
    </row>
    <row r="4830">
      <c r="A4830" s="39">
        <f>_xlfn.XLOOKUP(17851,Trip[shape_id],Trip[shape_id],"Não encontrado")</f>
        <v/>
      </c>
      <c r="B4830" s="40" t="n">
        <v>-23.702708</v>
      </c>
      <c r="C4830" s="40" t="n">
        <v>-46.687249</v>
      </c>
      <c r="D4830" s="40" t="n">
        <v>42</v>
      </c>
      <c r="E4830" s="41" t="n">
        <v>8525.3477</v>
      </c>
    </row>
    <row r="4831">
      <c r="A4831" s="42">
        <f>_xlfn.XLOOKUP(17851,Trip[shape_id],Trip[shape_id],"Não encontrado")</f>
        <v/>
      </c>
      <c r="B4831" s="43" t="n">
        <v>-23.700476</v>
      </c>
      <c r="C4831" s="43" t="n">
        <v>-46.686716</v>
      </c>
      <c r="D4831" s="43" t="n">
        <v>43</v>
      </c>
      <c r="E4831" s="44" t="n">
        <v>8658.6885</v>
      </c>
    </row>
    <row r="4832">
      <c r="A4832" s="39">
        <f>_xlfn.XLOOKUP(17851,Trip[shape_id],Trip[shape_id],"Não encontrado")</f>
        <v/>
      </c>
      <c r="B4832" s="40" t="n">
        <v>-23.699348</v>
      </c>
      <c r="C4832" s="40" t="n">
        <v>-46.686259</v>
      </c>
      <c r="D4832" s="40" t="n">
        <v>44</v>
      </c>
      <c r="E4832" s="41" t="n">
        <v>8741.1523</v>
      </c>
    </row>
    <row r="4833">
      <c r="A4833" s="42">
        <f>_xlfn.XLOOKUP(17851,Trip[shape_id],Trip[shape_id],"Não encontrado")</f>
        <v/>
      </c>
      <c r="B4833" s="43" t="n">
        <v>-23.698628</v>
      </c>
      <c r="C4833" s="43" t="n">
        <v>-46.686053</v>
      </c>
      <c r="D4833" s="43" t="n">
        <v>45</v>
      </c>
      <c r="E4833" s="44" t="n">
        <v>8894.252</v>
      </c>
    </row>
    <row r="4834">
      <c r="A4834" s="39">
        <f>_xlfn.XLOOKUP(17851,Trip[shape_id],Trip[shape_id],"Não encontrado")</f>
        <v/>
      </c>
      <c r="B4834" s="40" t="n">
        <v>-23.697286</v>
      </c>
      <c r="C4834" s="40" t="n">
        <v>-46.685693</v>
      </c>
      <c r="D4834" s="40" t="n">
        <v>46</v>
      </c>
      <c r="E4834" s="41" t="n">
        <v>9023.3516</v>
      </c>
    </row>
    <row r="4835">
      <c r="A4835" s="42">
        <f>_xlfn.XLOOKUP(17851,Trip[shape_id],Trip[shape_id],"Não encontrado")</f>
        <v/>
      </c>
      <c r="B4835" s="43" t="n">
        <v>-23.696127</v>
      </c>
      <c r="C4835" s="43" t="n">
        <v>-46.685558</v>
      </c>
      <c r="D4835" s="43" t="n">
        <v>47</v>
      </c>
      <c r="E4835" s="44" t="n">
        <v>9158.7891</v>
      </c>
    </row>
    <row r="4836">
      <c r="A4836" s="39">
        <f>_xlfn.XLOOKUP(17851,Trip[shape_id],Trip[shape_id],"Não encontrado")</f>
        <v/>
      </c>
      <c r="B4836" s="40" t="n">
        <v>-23.69491</v>
      </c>
      <c r="C4836" s="40" t="n">
        <v>-46.685688</v>
      </c>
      <c r="D4836" s="40" t="n">
        <v>48</v>
      </c>
      <c r="E4836" s="41" t="n">
        <v>9288.9658</v>
      </c>
    </row>
    <row r="4837">
      <c r="A4837" s="42">
        <f>_xlfn.XLOOKUP(17851,Trip[shape_id],Trip[shape_id],"Não encontrado")</f>
        <v/>
      </c>
      <c r="B4837" s="43" t="n">
        <v>-23.693805</v>
      </c>
      <c r="C4837" s="43" t="n">
        <v>-46.686123</v>
      </c>
      <c r="D4837" s="43" t="n">
        <v>49</v>
      </c>
      <c r="E4837" s="44" t="n">
        <v>9408.434600000001</v>
      </c>
    </row>
    <row r="4838">
      <c r="A4838" s="39">
        <f>_xlfn.XLOOKUP(17851,Trip[shape_id],Trip[shape_id],"Não encontrado")</f>
        <v/>
      </c>
      <c r="B4838" s="40" t="n">
        <v>-23.692871</v>
      </c>
      <c r="C4838" s="40" t="n">
        <v>-46.686709</v>
      </c>
      <c r="D4838" s="40" t="n">
        <v>50</v>
      </c>
      <c r="E4838" s="41" t="n">
        <v>9513.8691</v>
      </c>
    </row>
    <row r="4839">
      <c r="A4839" s="42">
        <f>_xlfn.XLOOKUP(17851,Trip[shape_id],Trip[shape_id],"Não encontrado")</f>
        <v/>
      </c>
      <c r="B4839" s="43" t="n">
        <v>-23.692133</v>
      </c>
      <c r="C4839" s="43" t="n">
        <v>-46.687362</v>
      </c>
      <c r="D4839" s="43" t="n">
        <v>51</v>
      </c>
      <c r="E4839" s="44" t="n">
        <v>9621.440399999999</v>
      </c>
    </row>
    <row r="4840">
      <c r="A4840" s="39">
        <f>_xlfn.XLOOKUP(17851,Trip[shape_id],Trip[shape_id],"Não encontrado")</f>
        <v/>
      </c>
      <c r="B4840" s="40" t="n">
        <v>-23.691499</v>
      </c>
      <c r="C4840" s="40" t="n">
        <v>-46.688161</v>
      </c>
      <c r="D4840" s="40" t="n">
        <v>52</v>
      </c>
      <c r="E4840" s="41" t="n">
        <v>9738.8896</v>
      </c>
    </row>
    <row r="4841">
      <c r="A4841" s="42">
        <f>_xlfn.XLOOKUP(17851,Trip[shape_id],Trip[shape_id],"Não encontrado")</f>
        <v/>
      </c>
      <c r="B4841" s="43" t="n">
        <v>-23.690993</v>
      </c>
      <c r="C4841" s="43" t="n">
        <v>-46.689173</v>
      </c>
      <c r="D4841" s="43" t="n">
        <v>53</v>
      </c>
      <c r="E4841" s="44" t="n">
        <v>10008.898</v>
      </c>
    </row>
    <row r="4842">
      <c r="A4842" s="39">
        <f>_xlfn.XLOOKUP(17851,Trip[shape_id],Trip[shape_id],"Não encontrado")</f>
        <v/>
      </c>
      <c r="B4842" s="40" t="n">
        <v>-23.690145</v>
      </c>
      <c r="C4842" s="40" t="n">
        <v>-46.691655</v>
      </c>
      <c r="D4842" s="40" t="n">
        <v>54</v>
      </c>
      <c r="E4842" s="41" t="n">
        <v>10142.953</v>
      </c>
    </row>
    <row r="4843">
      <c r="A4843" s="42">
        <f>_xlfn.XLOOKUP(17851,Trip[shape_id],Trip[shape_id],"Não encontrado")</f>
        <v/>
      </c>
      <c r="B4843" s="43" t="n">
        <v>-23.689541</v>
      </c>
      <c r="C4843" s="43" t="n">
        <v>-46.692794</v>
      </c>
      <c r="D4843" s="43" t="n">
        <v>55</v>
      </c>
      <c r="E4843" s="44" t="n">
        <v>10341.71</v>
      </c>
    </row>
    <row r="4844">
      <c r="A4844" s="39">
        <f>_xlfn.XLOOKUP(17851,Trip[shape_id],Trip[shape_id],"Não encontrado")</f>
        <v/>
      </c>
      <c r="B4844" s="40" t="n">
        <v>-23.688401</v>
      </c>
      <c r="C4844" s="40" t="n">
        <v>-46.694299</v>
      </c>
      <c r="D4844" s="40" t="n">
        <v>56</v>
      </c>
      <c r="E4844" s="41" t="n">
        <v>10429.914</v>
      </c>
    </row>
    <row r="4845">
      <c r="A4845" s="42">
        <f>_xlfn.XLOOKUP(17851,Trip[shape_id],Trip[shape_id],"Não encontrado")</f>
        <v/>
      </c>
      <c r="B4845" s="43" t="n">
        <v>-23.687881</v>
      </c>
      <c r="C4845" s="43" t="n">
        <v>-46.694954</v>
      </c>
      <c r="D4845" s="43" t="n">
        <v>57</v>
      </c>
      <c r="E4845" s="44" t="n">
        <v>10501.09</v>
      </c>
    </row>
    <row r="4846">
      <c r="A4846" s="39">
        <f>_xlfn.XLOOKUP(17851,Trip[shape_id],Trip[shape_id],"Não encontrado")</f>
        <v/>
      </c>
      <c r="B4846" s="40" t="n">
        <v>-23.687357</v>
      </c>
      <c r="C4846" s="40" t="n">
        <v>-46.695358</v>
      </c>
      <c r="D4846" s="40" t="n">
        <v>58</v>
      </c>
      <c r="E4846" s="41" t="n">
        <v>10521.725</v>
      </c>
    </row>
    <row r="4847">
      <c r="A4847" s="42">
        <f>_xlfn.XLOOKUP(17851,Trip[shape_id],Trip[shape_id],"Não encontrado")</f>
        <v/>
      </c>
      <c r="B4847" s="43" t="n">
        <v>-23.687194</v>
      </c>
      <c r="C4847" s="43" t="n">
        <v>-46.695456</v>
      </c>
      <c r="D4847" s="43" t="n">
        <v>59</v>
      </c>
      <c r="E4847" s="44" t="n">
        <v>10567.458</v>
      </c>
    </row>
    <row r="4848">
      <c r="A4848" s="39">
        <f>_xlfn.XLOOKUP(17851,Trip[shape_id],Trip[shape_id],"Não encontrado")</f>
        <v/>
      </c>
      <c r="B4848" s="40" t="n">
        <v>-23.686815</v>
      </c>
      <c r="C4848" s="40" t="n">
        <v>-46.695634</v>
      </c>
      <c r="D4848" s="40" t="n">
        <v>60</v>
      </c>
      <c r="E4848" s="41" t="n">
        <v>10715.447</v>
      </c>
    </row>
    <row r="4849">
      <c r="A4849" s="42">
        <f>_xlfn.XLOOKUP(17851,Trip[shape_id],Trip[shape_id],"Não encontrado")</f>
        <v/>
      </c>
      <c r="B4849" s="43" t="n">
        <v>-23.685516</v>
      </c>
      <c r="C4849" s="43" t="n">
        <v>-46.695974</v>
      </c>
      <c r="D4849" s="43" t="n">
        <v>61</v>
      </c>
      <c r="E4849" s="44" t="n">
        <v>10894.327</v>
      </c>
    </row>
    <row r="4850">
      <c r="A4850" s="39">
        <f>_xlfn.XLOOKUP(17851,Trip[shape_id],Trip[shape_id],"Não encontrado")</f>
        <v/>
      </c>
      <c r="B4850" s="40" t="n">
        <v>-23.68412</v>
      </c>
      <c r="C4850" s="40" t="n">
        <v>-46.696856</v>
      </c>
      <c r="D4850" s="40" t="n">
        <v>62</v>
      </c>
      <c r="E4850" s="41" t="n">
        <v>11098.418</v>
      </c>
    </row>
    <row r="4851">
      <c r="A4851" s="42">
        <f>_xlfn.XLOOKUP(17851,Trip[shape_id],Trip[shape_id],"Não encontrado")</f>
        <v/>
      </c>
      <c r="B4851" s="43" t="n">
        <v>-23.682516</v>
      </c>
      <c r="C4851" s="43" t="n">
        <v>-46.697841</v>
      </c>
      <c r="D4851" s="43" t="n">
        <v>63</v>
      </c>
      <c r="E4851" s="44" t="n">
        <v>11209.343</v>
      </c>
    </row>
    <row r="4852">
      <c r="A4852" s="39">
        <f>_xlfn.XLOOKUP(17851,Trip[shape_id],Trip[shape_id],"Não encontrado")</f>
        <v/>
      </c>
      <c r="B4852" s="40" t="n">
        <v>-23.681643</v>
      </c>
      <c r="C4852" s="40" t="n">
        <v>-46.698374</v>
      </c>
      <c r="D4852" s="40" t="n">
        <v>64</v>
      </c>
      <c r="E4852" s="41" t="n">
        <v>11282.99</v>
      </c>
    </row>
    <row r="4853">
      <c r="A4853" s="42">
        <f>_xlfn.XLOOKUP(17851,Trip[shape_id],Trip[shape_id],"Não encontrado")</f>
        <v/>
      </c>
      <c r="B4853" s="43" t="n">
        <v>-23.681143</v>
      </c>
      <c r="C4853" s="43" t="n">
        <v>-46.69885</v>
      </c>
      <c r="D4853" s="43" t="n">
        <v>65</v>
      </c>
      <c r="E4853" s="44" t="n">
        <v>11477.74</v>
      </c>
    </row>
    <row r="4854">
      <c r="A4854" s="39">
        <f>_xlfn.XLOOKUP(17851,Trip[shape_id],Trip[shape_id],"Não encontrado")</f>
        <v/>
      </c>
      <c r="B4854" s="40" t="n">
        <v>-23.679795</v>
      </c>
      <c r="C4854" s="40" t="n">
        <v>-46.700076</v>
      </c>
      <c r="D4854" s="40" t="n">
        <v>66</v>
      </c>
      <c r="E4854" s="41" t="n">
        <v>11599.065</v>
      </c>
    </row>
    <row r="4855">
      <c r="A4855" s="42">
        <f>_xlfn.XLOOKUP(17851,Trip[shape_id],Trip[shape_id],"Não encontrado")</f>
        <v/>
      </c>
      <c r="B4855" s="43" t="n">
        <v>-23.678972</v>
      </c>
      <c r="C4855" s="43" t="n">
        <v>-46.700861</v>
      </c>
      <c r="D4855" s="43" t="n">
        <v>67</v>
      </c>
      <c r="E4855" s="44" t="n">
        <v>11678.252</v>
      </c>
    </row>
    <row r="4856">
      <c r="A4856" s="39">
        <f>_xlfn.XLOOKUP(17851,Trip[shape_id],Trip[shape_id],"Não encontrado")</f>
        <v/>
      </c>
      <c r="B4856" s="40" t="n">
        <v>-23.678447</v>
      </c>
      <c r="C4856" s="40" t="n">
        <v>-46.701388</v>
      </c>
      <c r="D4856" s="40" t="n">
        <v>68</v>
      </c>
      <c r="E4856" s="41" t="n">
        <v>11705.533</v>
      </c>
    </row>
    <row r="4857">
      <c r="A4857" s="42">
        <f>_xlfn.XLOOKUP(17851,Trip[shape_id],Trip[shape_id],"Não encontrado")</f>
        <v/>
      </c>
      <c r="B4857" s="43" t="n">
        <v>-23.67827</v>
      </c>
      <c r="C4857" s="43" t="n">
        <v>-46.701574</v>
      </c>
      <c r="D4857" s="43" t="n">
        <v>69</v>
      </c>
      <c r="E4857" s="44" t="n">
        <v>11823.722</v>
      </c>
    </row>
    <row r="4858">
      <c r="A4858" s="39">
        <f>_xlfn.XLOOKUP(17851,Trip[shape_id],Trip[shape_id],"Não encontrado")</f>
        <v/>
      </c>
      <c r="B4858" s="40" t="n">
        <v>-23.67741</v>
      </c>
      <c r="C4858" s="40" t="n">
        <v>-46.70226</v>
      </c>
      <c r="D4858" s="40" t="n">
        <v>70</v>
      </c>
      <c r="E4858" s="41" t="n">
        <v>11823.722</v>
      </c>
    </row>
    <row r="4859">
      <c r="A4859" s="42">
        <f>_xlfn.XLOOKUP(17851,Trip[shape_id],Trip[shape_id],"Não encontrado")</f>
        <v/>
      </c>
      <c r="B4859" s="43" t="n">
        <v>-23.676447</v>
      </c>
      <c r="C4859" s="43" t="n">
        <v>-46.702896</v>
      </c>
      <c r="D4859" s="43" t="n">
        <v>71</v>
      </c>
      <c r="E4859" s="44" t="n">
        <v>12052.564</v>
      </c>
    </row>
    <row r="4860">
      <c r="A4860" s="39">
        <f>_xlfn.XLOOKUP(17851,Trip[shape_id],Trip[shape_id],"Não encontrado")</f>
        <v/>
      </c>
      <c r="B4860" s="40" t="n">
        <v>-23.675618</v>
      </c>
      <c r="C4860" s="40" t="n">
        <v>-46.703375</v>
      </c>
      <c r="D4860" s="40" t="n">
        <v>72</v>
      </c>
      <c r="E4860" s="41" t="n">
        <v>12194.494</v>
      </c>
    </row>
    <row r="4861">
      <c r="A4861" s="42">
        <f>_xlfn.XLOOKUP(17851,Trip[shape_id],Trip[shape_id],"Não encontrado")</f>
        <v/>
      </c>
      <c r="B4861" s="43" t="n">
        <v>-23.674483</v>
      </c>
      <c r="C4861" s="43" t="n">
        <v>-46.704021</v>
      </c>
      <c r="D4861" s="43" t="n">
        <v>73</v>
      </c>
      <c r="E4861" s="44" t="n">
        <v>12302.008</v>
      </c>
    </row>
    <row r="4862">
      <c r="A4862" s="39">
        <f>_xlfn.XLOOKUP(17851,Trip[shape_id],Trip[shape_id],"Não encontrado")</f>
        <v/>
      </c>
      <c r="B4862" s="40" t="n">
        <v>-23.673635</v>
      </c>
      <c r="C4862" s="40" t="n">
        <v>-46.704534</v>
      </c>
      <c r="D4862" s="40" t="n">
        <v>74</v>
      </c>
      <c r="E4862" s="41" t="n">
        <v>12552.137</v>
      </c>
    </row>
    <row r="4863">
      <c r="A4863" s="42">
        <f>_xlfn.XLOOKUP(17851,Trip[shape_id],Trip[shape_id],"Não encontrado")</f>
        <v/>
      </c>
      <c r="B4863" s="43" t="n">
        <v>-23.671677</v>
      </c>
      <c r="C4863" s="43" t="n">
        <v>-46.705756</v>
      </c>
      <c r="D4863" s="43" t="n">
        <v>75</v>
      </c>
      <c r="E4863" s="44" t="n">
        <v>12832.518</v>
      </c>
    </row>
    <row r="4864">
      <c r="A4864" s="39">
        <f>_xlfn.XLOOKUP(17851,Trip[shape_id],Trip[shape_id],"Não encontrado")</f>
        <v/>
      </c>
      <c r="B4864" s="40" t="n">
        <v>-23.669476</v>
      </c>
      <c r="C4864" s="40" t="n">
        <v>-46.707114</v>
      </c>
      <c r="D4864" s="40" t="n">
        <v>76</v>
      </c>
      <c r="E4864" s="41" t="n">
        <v>13052.317</v>
      </c>
    </row>
    <row r="4865">
      <c r="A4865" s="42">
        <f>_xlfn.XLOOKUP(17851,Trip[shape_id],Trip[shape_id],"Não encontrado")</f>
        <v/>
      </c>
      <c r="B4865" s="43" t="n">
        <v>-23.667755</v>
      </c>
      <c r="C4865" s="43" t="n">
        <v>-46.708187</v>
      </c>
      <c r="D4865" s="43" t="n">
        <v>77</v>
      </c>
      <c r="E4865" s="44" t="n">
        <v>13149.431</v>
      </c>
    </row>
    <row r="4866">
      <c r="A4866" s="39">
        <f>_xlfn.XLOOKUP(17851,Trip[shape_id],Trip[shape_id],"Não encontrado")</f>
        <v/>
      </c>
      <c r="B4866" s="40" t="n">
        <v>-23.666993</v>
      </c>
      <c r="C4866" s="40" t="n">
        <v>-46.708658</v>
      </c>
      <c r="D4866" s="40" t="n">
        <v>78</v>
      </c>
      <c r="E4866" s="41" t="n">
        <v>13207.214</v>
      </c>
    </row>
    <row r="4867">
      <c r="A4867" s="42">
        <f>_xlfn.XLOOKUP(17851,Trip[shape_id],Trip[shape_id],"Não encontrado")</f>
        <v/>
      </c>
      <c r="B4867" s="43" t="n">
        <v>-23.66654</v>
      </c>
      <c r="C4867" s="43" t="n">
        <v>-46.708939</v>
      </c>
      <c r="D4867" s="43" t="n">
        <v>79</v>
      </c>
      <c r="E4867" s="44" t="n">
        <v>13391.469</v>
      </c>
    </row>
    <row r="4868">
      <c r="A4868" s="39">
        <f>_xlfn.XLOOKUP(17851,Trip[shape_id],Trip[shape_id],"Não encontrado")</f>
        <v/>
      </c>
      <c r="B4868" s="40" t="n">
        <v>-23.665197</v>
      </c>
      <c r="C4868" s="40" t="n">
        <v>-46.710005</v>
      </c>
      <c r="D4868" s="40" t="n">
        <v>80</v>
      </c>
      <c r="E4868" s="41" t="n">
        <v>13437.444</v>
      </c>
    </row>
    <row r="4869">
      <c r="A4869" s="42">
        <f>_xlfn.XLOOKUP(17851,Trip[shape_id],Trip[shape_id],"Não encontrado")</f>
        <v/>
      </c>
      <c r="B4869" s="43" t="n">
        <v>-23.664825</v>
      </c>
      <c r="C4869" s="43" t="n">
        <v>-46.710205</v>
      </c>
      <c r="D4869" s="43" t="n">
        <v>81</v>
      </c>
      <c r="E4869" s="44" t="n">
        <v>13472.534</v>
      </c>
    </row>
    <row r="4870">
      <c r="A4870" s="39">
        <f>_xlfn.XLOOKUP(17851,Trip[shape_id],Trip[shape_id],"Não encontrado")</f>
        <v/>
      </c>
      <c r="B4870" s="40" t="n">
        <v>-23.664539</v>
      </c>
      <c r="C4870" s="40" t="n">
        <v>-46.710353</v>
      </c>
      <c r="D4870" s="40" t="n">
        <v>82</v>
      </c>
      <c r="E4870" s="41" t="n">
        <v>13509.979</v>
      </c>
    </row>
    <row r="4871">
      <c r="A4871" s="42">
        <f>_xlfn.XLOOKUP(17851,Trip[shape_id],Trip[shape_id],"Não encontrado")</f>
        <v/>
      </c>
      <c r="B4871" s="43" t="n">
        <v>-23.664237</v>
      </c>
      <c r="C4871" s="43" t="n">
        <v>-46.710518</v>
      </c>
      <c r="D4871" s="43" t="n">
        <v>83</v>
      </c>
      <c r="E4871" s="44" t="n">
        <v>13611.032</v>
      </c>
    </row>
    <row r="4872">
      <c r="A4872" s="39">
        <f>_xlfn.XLOOKUP(17851,Trip[shape_id],Trip[shape_id],"Não encontrado")</f>
        <v/>
      </c>
      <c r="B4872" s="40" t="n">
        <v>-23.663394</v>
      </c>
      <c r="C4872" s="40" t="n">
        <v>-46.710897</v>
      </c>
      <c r="D4872" s="40" t="n">
        <v>84</v>
      </c>
      <c r="E4872" s="41" t="n">
        <v>13611.032</v>
      </c>
    </row>
    <row r="4873">
      <c r="A4873" s="42">
        <f>_xlfn.XLOOKUP(17851,Trip[shape_id],Trip[shape_id],"Não encontrado")</f>
        <v/>
      </c>
      <c r="B4873" s="43" t="n">
        <v>-23.662978</v>
      </c>
      <c r="C4873" s="43" t="n">
        <v>-46.711187</v>
      </c>
      <c r="D4873" s="43" t="n">
        <v>85</v>
      </c>
      <c r="E4873" s="44" t="n">
        <v>13738.06</v>
      </c>
    </row>
    <row r="4874">
      <c r="A4874" s="39">
        <f>_xlfn.XLOOKUP(17851,Trip[shape_id],Trip[shape_id],"Não encontrado")</f>
        <v/>
      </c>
      <c r="B4874" s="40" t="n">
        <v>-23.662405</v>
      </c>
      <c r="C4874" s="40" t="n">
        <v>-46.711526</v>
      </c>
      <c r="D4874" s="40" t="n">
        <v>86</v>
      </c>
      <c r="E4874" s="41" t="n">
        <v>13859.664</v>
      </c>
    </row>
    <row r="4875">
      <c r="A4875" s="42">
        <f>_xlfn.XLOOKUP(17851,Trip[shape_id],Trip[shape_id],"Não encontrado")</f>
        <v/>
      </c>
      <c r="B4875" s="43" t="n">
        <v>-23.661521</v>
      </c>
      <c r="C4875" s="43" t="n">
        <v>-46.712233</v>
      </c>
      <c r="D4875" s="43" t="n">
        <v>87</v>
      </c>
      <c r="E4875" s="44" t="n">
        <v>13888.711</v>
      </c>
    </row>
    <row r="4876">
      <c r="A4876" s="39">
        <f>_xlfn.XLOOKUP(17851,Trip[shape_id],Trip[shape_id],"Não encontrado")</f>
        <v/>
      </c>
      <c r="B4876" s="40" t="n">
        <v>-23.661312</v>
      </c>
      <c r="C4876" s="40" t="n">
        <v>-46.712405</v>
      </c>
      <c r="D4876" s="40" t="n">
        <v>88</v>
      </c>
      <c r="E4876" s="41" t="n">
        <v>13952.228</v>
      </c>
    </row>
    <row r="4877">
      <c r="A4877" s="42">
        <f>_xlfn.XLOOKUP(17851,Trip[shape_id],Trip[shape_id],"Não encontrado")</f>
        <v/>
      </c>
      <c r="B4877" s="43" t="n">
        <v>-23.660878</v>
      </c>
      <c r="C4877" s="43" t="n">
        <v>-46.712812</v>
      </c>
      <c r="D4877" s="43" t="n">
        <v>89</v>
      </c>
      <c r="E4877" s="44" t="n">
        <v>14009.893</v>
      </c>
    </row>
    <row r="4878">
      <c r="A4878" s="39">
        <f>_xlfn.XLOOKUP(17851,Trip[shape_id],Trip[shape_id],"Não encontrado")</f>
        <v/>
      </c>
      <c r="B4878" s="40" t="n">
        <v>-23.660502</v>
      </c>
      <c r="C4878" s="40" t="n">
        <v>-46.713203</v>
      </c>
      <c r="D4878" s="40" t="n">
        <v>90</v>
      </c>
      <c r="E4878" s="41" t="n">
        <v>14031.734</v>
      </c>
    </row>
    <row r="4879">
      <c r="A4879" s="42">
        <f>_xlfn.XLOOKUP(17851,Trip[shape_id],Trip[shape_id],"Não encontrado")</f>
        <v/>
      </c>
      <c r="B4879" s="43" t="n">
        <v>-23.660372</v>
      </c>
      <c r="C4879" s="43" t="n">
        <v>-46.713364</v>
      </c>
      <c r="D4879" s="43" t="n">
        <v>91</v>
      </c>
      <c r="E4879" s="44" t="n">
        <v>14074.881</v>
      </c>
    </row>
    <row r="4880">
      <c r="A4880" s="39">
        <f>_xlfn.XLOOKUP(17851,Trip[shape_id],Trip[shape_id],"Não encontrado")</f>
        <v/>
      </c>
      <c r="B4880" s="40" t="n">
        <v>-23.66011</v>
      </c>
      <c r="C4880" s="40" t="n">
        <v>-46.713677</v>
      </c>
      <c r="D4880" s="40" t="n">
        <v>92</v>
      </c>
      <c r="E4880" s="41" t="n">
        <v>14155.415</v>
      </c>
    </row>
    <row r="4881">
      <c r="A4881" s="42">
        <f>_xlfn.XLOOKUP(17851,Trip[shape_id],Trip[shape_id],"Não encontrado")</f>
        <v/>
      </c>
      <c r="B4881" s="43" t="n">
        <v>-23.659667</v>
      </c>
      <c r="C4881" s="43" t="n">
        <v>-46.714303</v>
      </c>
      <c r="D4881" s="43" t="n">
        <v>93</v>
      </c>
      <c r="E4881" s="44" t="n">
        <v>14225.284</v>
      </c>
    </row>
    <row r="4882">
      <c r="A4882" s="39">
        <f>_xlfn.XLOOKUP(17851,Trip[shape_id],Trip[shape_id],"Não encontrado")</f>
        <v/>
      </c>
      <c r="B4882" s="40" t="n">
        <v>-23.659272</v>
      </c>
      <c r="C4882" s="40" t="n">
        <v>-46.714837</v>
      </c>
      <c r="D4882" s="40" t="n">
        <v>94</v>
      </c>
      <c r="E4882" s="41" t="n">
        <v>14292.291</v>
      </c>
    </row>
    <row r="4883">
      <c r="A4883" s="42">
        <f>_xlfn.XLOOKUP(17851,Trip[shape_id],Trip[shape_id],"Não encontrado")</f>
        <v/>
      </c>
      <c r="B4883" s="43" t="n">
        <v>-23.658906</v>
      </c>
      <c r="C4883" s="43" t="n">
        <v>-46.71536</v>
      </c>
      <c r="D4883" s="43" t="n">
        <v>95</v>
      </c>
      <c r="E4883" s="44" t="n">
        <v>14304.956</v>
      </c>
    </row>
    <row r="4884">
      <c r="A4884" s="39">
        <f>_xlfn.XLOOKUP(17851,Trip[shape_id],Trip[shape_id],"Não encontrado")</f>
        <v/>
      </c>
      <c r="B4884" s="40" t="n">
        <v>-23.658837</v>
      </c>
      <c r="C4884" s="40" t="n">
        <v>-46.715459</v>
      </c>
      <c r="D4884" s="40" t="n">
        <v>96</v>
      </c>
      <c r="E4884" s="41" t="n">
        <v>14460.315</v>
      </c>
    </row>
    <row r="4885">
      <c r="A4885" s="42">
        <f>_xlfn.XLOOKUP(17851,Trip[shape_id],Trip[shape_id],"Não encontrado")</f>
        <v/>
      </c>
      <c r="B4885" s="43" t="n">
        <v>-23.658024</v>
      </c>
      <c r="C4885" s="43" t="n">
        <v>-46.7167</v>
      </c>
      <c r="D4885" s="43" t="n">
        <v>97</v>
      </c>
      <c r="E4885" s="44" t="n">
        <v>14595.354</v>
      </c>
    </row>
    <row r="4886">
      <c r="A4886" s="39">
        <f>_xlfn.XLOOKUP(17851,Trip[shape_id],Trip[shape_id],"Não encontrado")</f>
        <v/>
      </c>
      <c r="B4886" s="40" t="n">
        <v>-23.657295</v>
      </c>
      <c r="C4886" s="40" t="n">
        <v>-46.717761</v>
      </c>
      <c r="D4886" s="40" t="n">
        <v>98</v>
      </c>
      <c r="E4886" s="41" t="n">
        <v>14683.047</v>
      </c>
    </row>
    <row r="4887">
      <c r="A4887" s="42">
        <f>_xlfn.XLOOKUP(17851,Trip[shape_id],Trip[shape_id],"Não encontrado")</f>
        <v/>
      </c>
      <c r="B4887" s="43" t="n">
        <v>-23.656846</v>
      </c>
      <c r="C4887" s="43" t="n">
        <v>-46.718469</v>
      </c>
      <c r="D4887" s="43" t="n">
        <v>99</v>
      </c>
      <c r="E4887" s="44" t="n">
        <v>14738.124</v>
      </c>
    </row>
    <row r="4888">
      <c r="A4888" s="39">
        <f>_xlfn.XLOOKUP(17851,Trip[shape_id],Trip[shape_id],"Não encontrado")</f>
        <v/>
      </c>
      <c r="B4888" s="40" t="n">
        <v>-23.656483</v>
      </c>
      <c r="C4888" s="40" t="n">
        <v>-46.718838</v>
      </c>
      <c r="D4888" s="40" t="n">
        <v>100</v>
      </c>
      <c r="E4888" s="41" t="n">
        <v>14799.465</v>
      </c>
    </row>
    <row r="4889">
      <c r="A4889" s="42">
        <f>_xlfn.XLOOKUP(17851,Trip[shape_id],Trip[shape_id],"Não encontrado")</f>
        <v/>
      </c>
      <c r="B4889" s="43" t="n">
        <v>-23.656084</v>
      </c>
      <c r="C4889" s="43" t="n">
        <v>-46.719255</v>
      </c>
      <c r="D4889" s="43" t="n">
        <v>101</v>
      </c>
      <c r="E4889" s="44" t="n">
        <v>14876.166</v>
      </c>
    </row>
    <row r="4890">
      <c r="A4890" s="39">
        <f>_xlfn.XLOOKUP(17851,Trip[shape_id],Trip[shape_id],"Não encontrado")</f>
        <v/>
      </c>
      <c r="B4890" s="40" t="n">
        <v>-23.655542</v>
      </c>
      <c r="C4890" s="40" t="n">
        <v>-46.719723</v>
      </c>
      <c r="D4890" s="40" t="n">
        <v>102</v>
      </c>
      <c r="E4890" s="41" t="n">
        <v>14876.166</v>
      </c>
    </row>
    <row r="4891">
      <c r="A4891" s="42">
        <f>_xlfn.XLOOKUP(17851,Trip[shape_id],Trip[shape_id],"Não encontrado")</f>
        <v/>
      </c>
      <c r="B4891" s="43" t="n">
        <v>-23.654645</v>
      </c>
      <c r="C4891" s="43" t="n">
        <v>-46.720494</v>
      </c>
      <c r="D4891" s="43" t="n">
        <v>103</v>
      </c>
      <c r="E4891" s="44" t="n">
        <v>15135.595</v>
      </c>
    </row>
    <row r="4892">
      <c r="A4892" s="39">
        <f>_xlfn.XLOOKUP(17851,Trip[shape_id],Trip[shape_id],"Não encontrado")</f>
        <v/>
      </c>
      <c r="B4892" s="40" t="n">
        <v>-23.653703</v>
      </c>
      <c r="C4892" s="40" t="n">
        <v>-46.721298</v>
      </c>
      <c r="D4892" s="40" t="n">
        <v>104</v>
      </c>
      <c r="E4892" s="41" t="n">
        <v>15167.166</v>
      </c>
    </row>
    <row r="4893">
      <c r="A4893" s="42">
        <f>_xlfn.XLOOKUP(17851,Trip[shape_id],Trip[shape_id],"Não encontrado")</f>
        <v/>
      </c>
      <c r="B4893" s="43" t="n">
        <v>-23.653478</v>
      </c>
      <c r="C4893" s="43" t="n">
        <v>-46.721488</v>
      </c>
      <c r="D4893" s="43" t="n">
        <v>105</v>
      </c>
      <c r="E4893" s="44" t="n">
        <v>15309.443</v>
      </c>
    </row>
    <row r="4894">
      <c r="A4894" s="39">
        <f>_xlfn.XLOOKUP(17851,Trip[shape_id],Trip[shape_id],"Não encontrado")</f>
        <v/>
      </c>
      <c r="B4894" s="40" t="n">
        <v>-23.652466</v>
      </c>
      <c r="C4894" s="40" t="n">
        <v>-46.722347</v>
      </c>
      <c r="D4894" s="40" t="n">
        <v>106</v>
      </c>
      <c r="E4894" s="41" t="n">
        <v>15371.889</v>
      </c>
    </row>
    <row r="4895">
      <c r="A4895" s="42">
        <f>_xlfn.XLOOKUP(17851,Trip[shape_id],Trip[shape_id],"Não encontrado")</f>
        <v/>
      </c>
      <c r="B4895" s="43" t="n">
        <v>-23.652024</v>
      </c>
      <c r="C4895" s="43" t="n">
        <v>-46.722727</v>
      </c>
      <c r="D4895" s="43" t="n">
        <v>107</v>
      </c>
      <c r="E4895" s="44" t="n">
        <v>15526.144</v>
      </c>
    </row>
    <row r="4896">
      <c r="A4896" s="39">
        <f>_xlfn.XLOOKUP(17851,Trip[shape_id],Trip[shape_id],"Não encontrado")</f>
        <v/>
      </c>
      <c r="B4896" s="40" t="n">
        <v>-23.650939</v>
      </c>
      <c r="C4896" s="40" t="n">
        <v>-46.723675</v>
      </c>
      <c r="D4896" s="40" t="n">
        <v>108</v>
      </c>
      <c r="E4896" s="41" t="n">
        <v>15667.108</v>
      </c>
    </row>
    <row r="4897">
      <c r="A4897" s="42">
        <f>_xlfn.XLOOKUP(17851,Trip[shape_id],Trip[shape_id],"Não encontrado")</f>
        <v/>
      </c>
      <c r="B4897" s="43" t="n">
        <v>-23.649957</v>
      </c>
      <c r="C4897" s="43" t="n">
        <v>-46.724554</v>
      </c>
      <c r="D4897" s="43" t="n">
        <v>109</v>
      </c>
      <c r="E4897" s="44" t="n">
        <v>15732.389</v>
      </c>
    </row>
    <row r="4898">
      <c r="A4898" s="39">
        <f>_xlfn.XLOOKUP(17851,Trip[shape_id],Trip[shape_id],"Não encontrado")</f>
        <v/>
      </c>
      <c r="B4898" s="40" t="n">
        <v>-23.649445</v>
      </c>
      <c r="C4898" s="40" t="n">
        <v>-46.724871</v>
      </c>
      <c r="D4898" s="40" t="n">
        <v>110</v>
      </c>
      <c r="E4898" s="41" t="n">
        <v>15738.913</v>
      </c>
    </row>
    <row r="4899">
      <c r="A4899" s="42">
        <f>_xlfn.XLOOKUP(17851,Trip[shape_id],Trip[shape_id],"Não encontrado")</f>
        <v/>
      </c>
      <c r="B4899" s="43" t="n">
        <v>-23.649394</v>
      </c>
      <c r="C4899" s="43" t="n">
        <v>-46.724903</v>
      </c>
      <c r="D4899" s="43" t="n">
        <v>111</v>
      </c>
      <c r="E4899" s="44" t="n">
        <v>15788.021</v>
      </c>
    </row>
    <row r="4900">
      <c r="A4900" s="39">
        <f>_xlfn.XLOOKUP(17851,Trip[shape_id],Trip[shape_id],"Não encontrado")</f>
        <v/>
      </c>
      <c r="B4900" s="40" t="n">
        <v>-23.649003</v>
      </c>
      <c r="C4900" s="40" t="n">
        <v>-46.72513</v>
      </c>
      <c r="D4900" s="40" t="n">
        <v>112</v>
      </c>
      <c r="E4900" s="41" t="n">
        <v>15871.111</v>
      </c>
    </row>
    <row r="4901">
      <c r="A4901" s="42">
        <f>_xlfn.XLOOKUP(17851,Trip[shape_id],Trip[shape_id],"Não encontrado")</f>
        <v/>
      </c>
      <c r="B4901" s="43" t="n">
        <v>-23.648289</v>
      </c>
      <c r="C4901" s="43" t="n">
        <v>-46.72538</v>
      </c>
      <c r="D4901" s="43" t="n">
        <v>113</v>
      </c>
      <c r="E4901" s="44" t="n">
        <v>15923.258</v>
      </c>
    </row>
    <row r="4902">
      <c r="A4902" s="39">
        <f>_xlfn.XLOOKUP(17851,Trip[shape_id],Trip[shape_id],"Não encontrado")</f>
        <v/>
      </c>
      <c r="B4902" s="40" t="n">
        <v>-23.647832</v>
      </c>
      <c r="C4902" s="40" t="n">
        <v>-46.725503</v>
      </c>
      <c r="D4902" s="40" t="n">
        <v>114</v>
      </c>
      <c r="E4902" s="41" t="n">
        <v>15969.344</v>
      </c>
    </row>
    <row r="4903">
      <c r="A4903" s="42">
        <f>_xlfn.XLOOKUP(17851,Trip[shape_id],Trip[shape_id],"Não encontrado")</f>
        <v/>
      </c>
      <c r="B4903" s="43" t="n">
        <v>-23.647426</v>
      </c>
      <c r="C4903" s="43" t="n">
        <v>-46.725602</v>
      </c>
      <c r="D4903" s="43" t="n">
        <v>115</v>
      </c>
      <c r="E4903" s="44" t="n">
        <v>16063.332</v>
      </c>
    </row>
    <row r="4904">
      <c r="A4904" s="39">
        <f>_xlfn.XLOOKUP(17851,Trip[shape_id],Trip[shape_id],"Não encontrado")</f>
        <v/>
      </c>
      <c r="B4904" s="40" t="n">
        <v>-23.646589</v>
      </c>
      <c r="C4904" s="40" t="n">
        <v>-46.725754</v>
      </c>
      <c r="D4904" s="40" t="n">
        <v>116</v>
      </c>
      <c r="E4904" s="41" t="n">
        <v>16203.673</v>
      </c>
    </row>
    <row r="4905">
      <c r="A4905" s="42">
        <f>_xlfn.XLOOKUP(17851,Trip[shape_id],Trip[shape_id],"Não encontrado")</f>
        <v/>
      </c>
      <c r="B4905" s="43" t="n">
        <v>-23.645334</v>
      </c>
      <c r="C4905" s="43" t="n">
        <v>-46.725944</v>
      </c>
      <c r="D4905" s="43" t="n">
        <v>117</v>
      </c>
      <c r="E4905" s="44" t="n">
        <v>16246.383</v>
      </c>
    </row>
    <row r="4906">
      <c r="A4906" s="39">
        <f>_xlfn.XLOOKUP(17851,Trip[shape_id],Trip[shape_id],"Não encontrado")</f>
        <v/>
      </c>
      <c r="B4906" s="40" t="n">
        <v>-23.644949</v>
      </c>
      <c r="C4906" s="40" t="n">
        <v>-46.725968</v>
      </c>
      <c r="D4906" s="40" t="n">
        <v>118</v>
      </c>
      <c r="E4906" s="41" t="n">
        <v>16282.636</v>
      </c>
    </row>
    <row r="4907">
      <c r="A4907" s="42">
        <f>_xlfn.XLOOKUP(17851,Trip[shape_id],Trip[shape_id],"Não encontrado")</f>
        <v/>
      </c>
      <c r="B4907" s="43" t="n">
        <v>-23.644623</v>
      </c>
      <c r="C4907" s="43" t="n">
        <v>-46.725936</v>
      </c>
      <c r="D4907" s="43" t="n">
        <v>119</v>
      </c>
      <c r="E4907" s="44" t="n">
        <v>16302.417</v>
      </c>
    </row>
    <row r="4908">
      <c r="A4908" s="39">
        <f>_xlfn.XLOOKUP(17851,Trip[shape_id],Trip[shape_id],"Não encontrado")</f>
        <v/>
      </c>
      <c r="B4908" s="40" t="n">
        <v>-23.644445</v>
      </c>
      <c r="C4908" s="40" t="n">
        <v>-46.72592</v>
      </c>
      <c r="D4908" s="40" t="n">
        <v>120</v>
      </c>
      <c r="E4908" s="41" t="n">
        <v>16334.202</v>
      </c>
    </row>
    <row r="4909">
      <c r="A4909" s="42">
        <f>_xlfn.XLOOKUP(17851,Trip[shape_id],Trip[shape_id],"Não encontrado")</f>
        <v/>
      </c>
      <c r="B4909" s="43" t="n">
        <v>-23.644166</v>
      </c>
      <c r="C4909" s="43" t="n">
        <v>-46.725847</v>
      </c>
      <c r="D4909" s="43" t="n">
        <v>121</v>
      </c>
      <c r="E4909" s="44" t="n">
        <v>16379.599</v>
      </c>
    </row>
    <row r="4910">
      <c r="A4910" s="39">
        <f>_xlfn.XLOOKUP(17851,Trip[shape_id],Trip[shape_id],"Não encontrado")</f>
        <v/>
      </c>
      <c r="B4910" s="40" t="n">
        <v>-23.643774</v>
      </c>
      <c r="C4910" s="40" t="n">
        <v>-46.725717</v>
      </c>
      <c r="D4910" s="40" t="n">
        <v>122</v>
      </c>
      <c r="E4910" s="41" t="n">
        <v>16404.529</v>
      </c>
    </row>
    <row r="4911">
      <c r="A4911" s="42">
        <f>_xlfn.XLOOKUP(17851,Trip[shape_id],Trip[shape_id],"Não encontrado")</f>
        <v/>
      </c>
      <c r="B4911" s="43" t="n">
        <v>-23.643564</v>
      </c>
      <c r="C4911" s="43" t="n">
        <v>-46.725629</v>
      </c>
      <c r="D4911" s="43" t="n">
        <v>123</v>
      </c>
      <c r="E4911" s="44" t="n">
        <v>16471.74</v>
      </c>
    </row>
    <row r="4912">
      <c r="A4912" s="39">
        <f>_xlfn.XLOOKUP(17851,Trip[shape_id],Trip[shape_id],"Não encontrado")</f>
        <v/>
      </c>
      <c r="B4912" s="40" t="n">
        <v>-23.642995</v>
      </c>
      <c r="C4912" s="40" t="n">
        <v>-46.7254</v>
      </c>
      <c r="D4912" s="40" t="n">
        <v>124</v>
      </c>
      <c r="E4912" s="41" t="n">
        <v>16569.457</v>
      </c>
    </row>
    <row r="4913">
      <c r="A4913" s="42">
        <f>_xlfn.XLOOKUP(17851,Trip[shape_id],Trip[shape_id],"Não encontrado")</f>
        <v/>
      </c>
      <c r="B4913" s="43" t="n">
        <v>-23.64219</v>
      </c>
      <c r="C4913" s="43" t="n">
        <v>-46.725008</v>
      </c>
      <c r="D4913" s="43" t="n">
        <v>125</v>
      </c>
      <c r="E4913" s="44" t="n">
        <v>16690.09</v>
      </c>
    </row>
    <row r="4914">
      <c r="A4914" s="39">
        <f>_xlfn.XLOOKUP(17851,Trip[shape_id],Trip[shape_id],"Não encontrado")</f>
        <v/>
      </c>
      <c r="B4914" s="40" t="n">
        <v>-23.6412</v>
      </c>
      <c r="C4914" s="40" t="n">
        <v>-46.724515</v>
      </c>
      <c r="D4914" s="40" t="n">
        <v>126</v>
      </c>
      <c r="E4914" s="41" t="n">
        <v>16805.543</v>
      </c>
    </row>
    <row r="4915">
      <c r="A4915" s="42">
        <f>_xlfn.XLOOKUP(17851,Trip[shape_id],Trip[shape_id],"Não encontrado")</f>
        <v/>
      </c>
      <c r="B4915" s="43" t="n">
        <v>-23.640322</v>
      </c>
      <c r="C4915" s="43" t="n">
        <v>-46.723905</v>
      </c>
      <c r="D4915" s="43" t="n">
        <v>127</v>
      </c>
      <c r="E4915" s="44" t="n">
        <v>16865.045</v>
      </c>
    </row>
    <row r="4916">
      <c r="A4916" s="39">
        <f>_xlfn.XLOOKUP(17851,Trip[shape_id],Trip[shape_id],"Não encontrado")</f>
        <v/>
      </c>
      <c r="B4916" s="40" t="n">
        <v>-23.639903</v>
      </c>
      <c r="C4916" s="40" t="n">
        <v>-46.72354</v>
      </c>
      <c r="D4916" s="40" t="n">
        <v>128</v>
      </c>
      <c r="E4916" s="41" t="n">
        <v>16865.045</v>
      </c>
    </row>
    <row r="4917">
      <c r="A4917" s="42">
        <f>_xlfn.XLOOKUP(17851,Trip[shape_id],Trip[shape_id],"Não encontrado")</f>
        <v/>
      </c>
      <c r="B4917" s="43" t="n">
        <v>-23.639466</v>
      </c>
      <c r="C4917" s="43" t="n">
        <v>-46.723169</v>
      </c>
      <c r="D4917" s="43" t="n">
        <v>129</v>
      </c>
      <c r="E4917" s="44" t="n">
        <v>16964.715</v>
      </c>
    </row>
    <row r="4918">
      <c r="A4918" s="39">
        <f>_xlfn.XLOOKUP(17851,Trip[shape_id],Trip[shape_id],"Não encontrado")</f>
        <v/>
      </c>
      <c r="B4918" s="40" t="n">
        <v>-23.639201</v>
      </c>
      <c r="C4918" s="40" t="n">
        <v>-46.722929</v>
      </c>
      <c r="D4918" s="40" t="n">
        <v>130</v>
      </c>
      <c r="E4918" s="41" t="n">
        <v>17071.771</v>
      </c>
    </row>
    <row r="4919">
      <c r="A4919" s="42">
        <f>_xlfn.XLOOKUP(17851,Trip[shape_id],Trip[shape_id],"Não encontrado")</f>
        <v/>
      </c>
      <c r="B4919" s="43" t="n">
        <v>-23.638472</v>
      </c>
      <c r="C4919" s="43" t="n">
        <v>-46.72224</v>
      </c>
      <c r="D4919" s="43" t="n">
        <v>131</v>
      </c>
      <c r="E4919" s="44" t="n">
        <v>17151.568</v>
      </c>
    </row>
    <row r="4920">
      <c r="A4920" s="39">
        <f>_xlfn.XLOOKUP(17851,Trip[shape_id],Trip[shape_id],"Não encontrado")</f>
        <v/>
      </c>
      <c r="B4920" s="40" t="n">
        <v>-23.637925</v>
      </c>
      <c r="C4920" s="40" t="n">
        <v>-46.721731</v>
      </c>
      <c r="D4920" s="40" t="n">
        <v>132</v>
      </c>
      <c r="E4920" s="41" t="n">
        <v>17258.959</v>
      </c>
    </row>
    <row r="4921">
      <c r="A4921" s="42">
        <f>_xlfn.XLOOKUP(17851,Trip[shape_id],Trip[shape_id],"Não encontrado")</f>
        <v/>
      </c>
      <c r="B4921" s="43" t="n">
        <v>-23.637192</v>
      </c>
      <c r="C4921" s="43" t="n">
        <v>-46.721042</v>
      </c>
      <c r="D4921" s="43" t="n">
        <v>133</v>
      </c>
      <c r="E4921" s="44" t="n">
        <v>17396.223</v>
      </c>
    </row>
    <row r="4922">
      <c r="A4922" s="39">
        <f>_xlfn.XLOOKUP(17851,Trip[shape_id],Trip[shape_id],"Não encontrado")</f>
        <v/>
      </c>
      <c r="B4922" s="40" t="n">
        <v>-23.636253</v>
      </c>
      <c r="C4922" s="40" t="n">
        <v>-46.720164</v>
      </c>
      <c r="D4922" s="40" t="n">
        <v>134</v>
      </c>
      <c r="E4922" s="41" t="n">
        <v>17589.688</v>
      </c>
    </row>
    <row r="4923">
      <c r="A4923" s="42">
        <f>_xlfn.XLOOKUP(17851,Trip[shape_id],Trip[shape_id],"Não encontrado")</f>
        <v/>
      </c>
      <c r="B4923" s="43" t="n">
        <v>-23.634926</v>
      </c>
      <c r="C4923" s="43" t="n">
        <v>-46.718931</v>
      </c>
      <c r="D4923" s="43" t="n">
        <v>135</v>
      </c>
      <c r="E4923" s="44" t="n">
        <v>17650.592</v>
      </c>
    </row>
    <row r="4924">
      <c r="A4924" s="39">
        <f>_xlfn.XLOOKUP(17851,Trip[shape_id],Trip[shape_id],"Não encontrado")</f>
        <v/>
      </c>
      <c r="B4924" s="40" t="n">
        <v>-23.634505</v>
      </c>
      <c r="C4924" s="40" t="n">
        <v>-46.718547</v>
      </c>
      <c r="D4924" s="40" t="n">
        <v>136</v>
      </c>
      <c r="E4924" s="41" t="n">
        <v>17703.428</v>
      </c>
    </row>
    <row r="4925">
      <c r="A4925" s="42">
        <f>_xlfn.XLOOKUP(17851,Trip[shape_id],Trip[shape_id],"Não encontrado")</f>
        <v/>
      </c>
      <c r="B4925" s="43" t="n">
        <v>-23.634146</v>
      </c>
      <c r="C4925" s="43" t="n">
        <v>-46.718206</v>
      </c>
      <c r="D4925" s="43" t="n">
        <v>137</v>
      </c>
      <c r="E4925" s="44" t="n">
        <v>17891.873</v>
      </c>
    </row>
    <row r="4926">
      <c r="A4926" s="39">
        <f>_xlfn.XLOOKUP(17851,Trip[shape_id],Trip[shape_id],"Não encontrado")</f>
        <v/>
      </c>
      <c r="B4926" s="40" t="n">
        <v>-23.632855</v>
      </c>
      <c r="C4926" s="40" t="n">
        <v>-46.717003</v>
      </c>
      <c r="D4926" s="40" t="n">
        <v>138</v>
      </c>
      <c r="E4926" s="41" t="n">
        <v>17928.699</v>
      </c>
    </row>
    <row r="4927">
      <c r="A4927" s="42">
        <f>_xlfn.XLOOKUP(17851,Trip[shape_id],Trip[shape_id],"Não encontrado")</f>
        <v/>
      </c>
      <c r="B4927" s="43" t="n">
        <v>-23.63259</v>
      </c>
      <c r="C4927" s="43" t="n">
        <v>-46.716785</v>
      </c>
      <c r="D4927" s="43" t="n">
        <v>139</v>
      </c>
      <c r="E4927" s="44" t="n">
        <v>17986.449</v>
      </c>
    </row>
    <row r="4928">
      <c r="A4928" s="39">
        <f>_xlfn.XLOOKUP(17851,Trip[shape_id],Trip[shape_id],"Não encontrado")</f>
        <v/>
      </c>
      <c r="B4928" s="40" t="n">
        <v>-23.632213</v>
      </c>
      <c r="C4928" s="40" t="n">
        <v>-46.716394</v>
      </c>
      <c r="D4928" s="40" t="n">
        <v>140</v>
      </c>
      <c r="E4928" s="41" t="n">
        <v>18130.559</v>
      </c>
    </row>
    <row r="4929">
      <c r="A4929" s="42">
        <f>_xlfn.XLOOKUP(17851,Trip[shape_id],Trip[shape_id],"Não encontrado")</f>
        <v/>
      </c>
      <c r="B4929" s="43" t="n">
        <v>-23.631237</v>
      </c>
      <c r="C4929" s="43" t="n">
        <v>-46.71546</v>
      </c>
      <c r="D4929" s="43" t="n">
        <v>141</v>
      </c>
      <c r="E4929" s="44" t="n">
        <v>18624.961</v>
      </c>
    </row>
    <row r="4930">
      <c r="A4930" s="39">
        <f>_xlfn.XLOOKUP(17851,Trip[shape_id],Trip[shape_id],"Não encontrado")</f>
        <v/>
      </c>
      <c r="B4930" s="40" t="n">
        <v>-23.627865</v>
      </c>
      <c r="C4930" s="40" t="n">
        <v>-46.712285</v>
      </c>
      <c r="D4930" s="40" t="n">
        <v>142</v>
      </c>
      <c r="E4930" s="41" t="n">
        <v>18659.576</v>
      </c>
    </row>
    <row r="4931">
      <c r="A4931" s="42">
        <f>_xlfn.XLOOKUP(17851,Trip[shape_id],Trip[shape_id],"Não encontrado")</f>
        <v/>
      </c>
      <c r="B4931" s="43" t="n">
        <v>-23.627624</v>
      </c>
      <c r="C4931" s="43" t="n">
        <v>-46.712069</v>
      </c>
      <c r="D4931" s="43" t="n">
        <v>143</v>
      </c>
      <c r="E4931" s="44" t="n">
        <v>18659.576</v>
      </c>
    </row>
    <row r="4932">
      <c r="A4932" s="39">
        <f>_xlfn.XLOOKUP(17851,Trip[shape_id],Trip[shape_id],"Não encontrado")</f>
        <v/>
      </c>
      <c r="B4932" s="40" t="n">
        <v>-23.627017</v>
      </c>
      <c r="C4932" s="40" t="n">
        <v>-46.711509</v>
      </c>
      <c r="D4932" s="40" t="n">
        <v>144</v>
      </c>
      <c r="E4932" s="41" t="n">
        <v>18781.127</v>
      </c>
    </row>
    <row r="4933">
      <c r="A4933" s="42">
        <f>_xlfn.XLOOKUP(17851,Trip[shape_id],Trip[shape_id],"Não encontrado")</f>
        <v/>
      </c>
      <c r="B4933" s="43" t="n">
        <v>-23.626799</v>
      </c>
      <c r="C4933" s="43" t="n">
        <v>-46.711284</v>
      </c>
      <c r="D4933" s="43" t="n">
        <v>145</v>
      </c>
      <c r="E4933" s="44" t="n">
        <v>18860.617</v>
      </c>
    </row>
    <row r="4934">
      <c r="A4934" s="39">
        <f>_xlfn.XLOOKUP(17851,Trip[shape_id],Trip[shape_id],"Não encontrado")</f>
        <v/>
      </c>
      <c r="B4934" s="40" t="n">
        <v>-23.626302</v>
      </c>
      <c r="C4934" s="40" t="n">
        <v>-46.710722</v>
      </c>
      <c r="D4934" s="40" t="n">
        <v>146</v>
      </c>
      <c r="E4934" s="41" t="n">
        <v>18894.143</v>
      </c>
    </row>
    <row r="4935">
      <c r="A4935" s="42">
        <f>_xlfn.XLOOKUP(17851,Trip[shape_id],Trip[shape_id],"Não encontrado")</f>
        <v/>
      </c>
      <c r="B4935" s="43" t="n">
        <v>-23.62611</v>
      </c>
      <c r="C4935" s="43" t="n">
        <v>-46.710468</v>
      </c>
      <c r="D4935" s="43" t="n">
        <v>147</v>
      </c>
      <c r="E4935" s="44" t="n">
        <v>18922.115</v>
      </c>
    </row>
    <row r="4936">
      <c r="A4936" s="39">
        <f>_xlfn.XLOOKUP(17851,Trip[shape_id],Trip[shape_id],"Não encontrado")</f>
        <v/>
      </c>
      <c r="B4936" s="40" t="n">
        <v>-23.625951</v>
      </c>
      <c r="C4936" s="40" t="n">
        <v>-46.710255</v>
      </c>
      <c r="D4936" s="40" t="n">
        <v>148</v>
      </c>
      <c r="E4936" s="41" t="n">
        <v>18945.738</v>
      </c>
    </row>
    <row r="4937">
      <c r="A4937" s="42">
        <f>_xlfn.XLOOKUP(17851,Trip[shape_id],Trip[shape_id],"Não encontrado")</f>
        <v/>
      </c>
      <c r="B4937" s="43" t="n">
        <v>-23.625824</v>
      </c>
      <c r="C4937" s="43" t="n">
        <v>-46.710069</v>
      </c>
      <c r="D4937" s="43" t="n">
        <v>149</v>
      </c>
      <c r="E4937" s="44" t="n">
        <v>18979.762</v>
      </c>
    </row>
    <row r="4938">
      <c r="A4938" s="39">
        <f>_xlfn.XLOOKUP(17851,Trip[shape_id],Trip[shape_id],"Não encontrado")</f>
        <v/>
      </c>
      <c r="B4938" s="40" t="n">
        <v>-23.625653</v>
      </c>
      <c r="C4938" s="40" t="n">
        <v>-46.709792</v>
      </c>
      <c r="D4938" s="40" t="n">
        <v>150</v>
      </c>
      <c r="E4938" s="41" t="n">
        <v>19004.225</v>
      </c>
    </row>
    <row r="4939">
      <c r="A4939" s="42">
        <f>_xlfn.XLOOKUP(17851,Trip[shape_id],Trip[shape_id],"Não encontrado")</f>
        <v/>
      </c>
      <c r="B4939" s="43" t="n">
        <v>-23.625537</v>
      </c>
      <c r="C4939" s="43" t="n">
        <v>-46.709588</v>
      </c>
      <c r="D4939" s="43" t="n">
        <v>151</v>
      </c>
      <c r="E4939" s="44" t="n">
        <v>19068.191</v>
      </c>
    </row>
    <row r="4940">
      <c r="A4940" s="39">
        <f>_xlfn.XLOOKUP(17851,Trip[shape_id],Trip[shape_id],"Não encontrado")</f>
        <v/>
      </c>
      <c r="B4940" s="40" t="n">
        <v>-23.625236</v>
      </c>
      <c r="C4940" s="40" t="n">
        <v>-46.709053</v>
      </c>
      <c r="D4940" s="40" t="n">
        <v>152</v>
      </c>
      <c r="E4940" s="41" t="n">
        <v>19089.477</v>
      </c>
    </row>
    <row r="4941">
      <c r="A4941" s="42">
        <f>_xlfn.XLOOKUP(17851,Trip[shape_id],Trip[shape_id],"Não encontrado")</f>
        <v/>
      </c>
      <c r="B4941" s="43" t="n">
        <v>-23.625149</v>
      </c>
      <c r="C4941" s="43" t="n">
        <v>-46.708867</v>
      </c>
      <c r="D4941" s="43" t="n">
        <v>153</v>
      </c>
      <c r="E4941" s="44" t="n">
        <v>19136.34</v>
      </c>
    </row>
    <row r="4942">
      <c r="A4942" s="39">
        <f>_xlfn.XLOOKUP(17851,Trip[shape_id],Trip[shape_id],"Não encontrado")</f>
        <v/>
      </c>
      <c r="B4942" s="40" t="n">
        <v>-23.624953</v>
      </c>
      <c r="C4942" s="40" t="n">
        <v>-46.70846</v>
      </c>
      <c r="D4942" s="40" t="n">
        <v>154</v>
      </c>
      <c r="E4942" s="41" t="n">
        <v>19280.002</v>
      </c>
    </row>
    <row r="4943">
      <c r="A4943" s="42">
        <f>_xlfn.XLOOKUP(17851,Trip[shape_id],Trip[shape_id],"Não encontrado")</f>
        <v/>
      </c>
      <c r="B4943" s="43" t="n">
        <v>-23.624525</v>
      </c>
      <c r="C4943" s="43" t="n">
        <v>-46.707131</v>
      </c>
      <c r="D4943" s="43" t="n">
        <v>155</v>
      </c>
      <c r="E4943" s="44" t="n">
        <v>19443.285</v>
      </c>
    </row>
    <row r="4944">
      <c r="A4944" s="39">
        <f>_xlfn.XLOOKUP(17851,Trip[shape_id],Trip[shape_id],"Não encontrado")</f>
        <v/>
      </c>
      <c r="B4944" s="40" t="n">
        <v>-23.624032</v>
      </c>
      <c r="C4944" s="40" t="n">
        <v>-46.705623</v>
      </c>
      <c r="D4944" s="40" t="n">
        <v>156</v>
      </c>
      <c r="E4944" s="41" t="n">
        <v>19531.609</v>
      </c>
    </row>
    <row r="4945">
      <c r="A4945" s="42">
        <f>_xlfn.XLOOKUP(17851,Trip[shape_id],Trip[shape_id],"Não encontrado")</f>
        <v/>
      </c>
      <c r="B4945" s="43" t="n">
        <v>-23.623774</v>
      </c>
      <c r="C4945" s="43" t="n">
        <v>-46.704804</v>
      </c>
      <c r="D4945" s="43" t="n">
        <v>157</v>
      </c>
      <c r="E4945" s="44" t="n">
        <v>19603.439</v>
      </c>
    </row>
    <row r="4946">
      <c r="A4946" s="39">
        <f>_xlfn.XLOOKUP(17851,Trip[shape_id],Trip[shape_id],"Não encontrado")</f>
        <v/>
      </c>
      <c r="B4946" s="40" t="n">
        <v>-23.623506</v>
      </c>
      <c r="C4946" s="40" t="n">
        <v>-46.704163</v>
      </c>
      <c r="D4946" s="40" t="n">
        <v>158</v>
      </c>
      <c r="E4946" s="41" t="n">
        <v>19669.908</v>
      </c>
    </row>
    <row r="4947">
      <c r="A4947" s="42">
        <f>_xlfn.XLOOKUP(17851,Trip[shape_id],Trip[shape_id],"Não encontrado")</f>
        <v/>
      </c>
      <c r="B4947" s="43" t="n">
        <v>-23.623209</v>
      </c>
      <c r="C4947" s="43" t="n">
        <v>-46.703597</v>
      </c>
      <c r="D4947" s="43" t="n">
        <v>159</v>
      </c>
      <c r="E4947" s="44" t="n">
        <v>19711.719</v>
      </c>
    </row>
    <row r="4948">
      <c r="A4948" s="39">
        <f>_xlfn.XLOOKUP(17851,Trip[shape_id],Trip[shape_id],"Não encontrado")</f>
        <v/>
      </c>
      <c r="B4948" s="40" t="n">
        <v>-23.622984</v>
      </c>
      <c r="C4948" s="40" t="n">
        <v>-46.703268</v>
      </c>
      <c r="D4948" s="40" t="n">
        <v>160</v>
      </c>
      <c r="E4948" s="41" t="n">
        <v>19747.629</v>
      </c>
    </row>
    <row r="4949">
      <c r="A4949" s="42">
        <f>_xlfn.XLOOKUP(17851,Trip[shape_id],Trip[shape_id],"Não encontrado")</f>
        <v/>
      </c>
      <c r="B4949" s="43" t="n">
        <v>-23.622799</v>
      </c>
      <c r="C4949" s="43" t="n">
        <v>-46.702979</v>
      </c>
      <c r="D4949" s="43" t="n">
        <v>161</v>
      </c>
      <c r="E4949" s="44" t="n">
        <v>19813.613</v>
      </c>
    </row>
    <row r="4950">
      <c r="A4950" s="39">
        <f>_xlfn.XLOOKUP(17851,Trip[shape_id],Trip[shape_id],"Não encontrado")</f>
        <v/>
      </c>
      <c r="B4950" s="40" t="n">
        <v>-23.622419</v>
      </c>
      <c r="C4950" s="40" t="n">
        <v>-46.702481</v>
      </c>
      <c r="D4950" s="40" t="n">
        <v>162</v>
      </c>
      <c r="E4950" s="41" t="n">
        <v>19842.957</v>
      </c>
    </row>
    <row r="4951">
      <c r="A4951" s="42">
        <f>_xlfn.XLOOKUP(17851,Trip[shape_id],Trip[shape_id],"Não encontrado")</f>
        <v/>
      </c>
      <c r="B4951" s="43" t="n">
        <v>-23.62224</v>
      </c>
      <c r="C4951" s="43" t="n">
        <v>-46.702269</v>
      </c>
      <c r="D4951" s="43" t="n">
        <v>163</v>
      </c>
      <c r="E4951" s="44" t="n">
        <v>19871.498</v>
      </c>
    </row>
    <row r="4952">
      <c r="A4952" s="39">
        <f>_xlfn.XLOOKUP(17851,Trip[shape_id],Trip[shape_id],"Não encontrado")</f>
        <v/>
      </c>
      <c r="B4952" s="40" t="n">
        <v>-23.622058</v>
      </c>
      <c r="C4952" s="40" t="n">
        <v>-46.702071</v>
      </c>
      <c r="D4952" s="40" t="n">
        <v>164</v>
      </c>
      <c r="E4952" s="41" t="n">
        <v>19898.326</v>
      </c>
    </row>
    <row r="4953">
      <c r="A4953" s="42">
        <f>_xlfn.XLOOKUP(17851,Trip[shape_id],Trip[shape_id],"Não encontrado")</f>
        <v/>
      </c>
      <c r="B4953" s="43" t="n">
        <v>-23.621874</v>
      </c>
      <c r="C4953" s="43" t="n">
        <v>-46.7019</v>
      </c>
      <c r="D4953" s="43" t="n">
        <v>165</v>
      </c>
      <c r="E4953" s="44" t="n">
        <v>19930.58</v>
      </c>
    </row>
    <row r="4954">
      <c r="A4954" s="39">
        <f>_xlfn.XLOOKUP(17851,Trip[shape_id],Trip[shape_id],"Não encontrado")</f>
        <v/>
      </c>
      <c r="B4954" s="40" t="n">
        <v>-23.621658</v>
      </c>
      <c r="C4954" s="40" t="n">
        <v>-46.701688</v>
      </c>
      <c r="D4954" s="40" t="n">
        <v>166</v>
      </c>
      <c r="E4954" s="41" t="n">
        <v>19930.58</v>
      </c>
    </row>
    <row r="4955">
      <c r="A4955" s="42">
        <f>_xlfn.XLOOKUP(17851,Trip[shape_id],Trip[shape_id],"Não encontrado")</f>
        <v/>
      </c>
      <c r="B4955" s="43" t="n">
        <v>-23.62134</v>
      </c>
      <c r="C4955" s="43" t="n">
        <v>-46.701419</v>
      </c>
      <c r="D4955" s="43" t="n">
        <v>167</v>
      </c>
      <c r="E4955" s="44" t="n">
        <v>20014.359</v>
      </c>
    </row>
    <row r="4956">
      <c r="A4956" s="39">
        <f>_xlfn.XLOOKUP(17851,Trip[shape_id],Trip[shape_id],"Não encontrado")</f>
        <v/>
      </c>
      <c r="B4956" s="40" t="n">
        <v>-23.621066</v>
      </c>
      <c r="C4956" s="40" t="n">
        <v>-46.701177</v>
      </c>
      <c r="D4956" s="40" t="n">
        <v>168</v>
      </c>
      <c r="E4956" s="41" t="n">
        <v>20052.768</v>
      </c>
    </row>
    <row r="4957">
      <c r="A4957" s="42">
        <f>_xlfn.XLOOKUP(17851,Trip[shape_id],Trip[shape_id],"Não encontrado")</f>
        <v/>
      </c>
      <c r="B4957" s="43" t="n">
        <v>-23.620764</v>
      </c>
      <c r="C4957" s="43" t="n">
        <v>-46.700992</v>
      </c>
      <c r="D4957" s="43" t="n">
        <v>169</v>
      </c>
      <c r="E4957" s="44" t="n">
        <v>20082.117</v>
      </c>
    </row>
    <row r="4958">
      <c r="A4958" s="39">
        <f>_xlfn.XLOOKUP(17851,Trip[shape_id],Trip[shape_id],"Não encontrado")</f>
        <v/>
      </c>
      <c r="B4958" s="40" t="n">
        <v>-23.62053</v>
      </c>
      <c r="C4958" s="40" t="n">
        <v>-46.700857</v>
      </c>
      <c r="D4958" s="40" t="n">
        <v>170</v>
      </c>
      <c r="E4958" s="41" t="n">
        <v>20131.191</v>
      </c>
    </row>
    <row r="4959">
      <c r="A4959" s="42">
        <f>_xlfn.XLOOKUP(17851,Trip[shape_id],Trip[shape_id],"Não encontrado")</f>
        <v/>
      </c>
      <c r="B4959" s="43" t="n">
        <v>-23.620121</v>
      </c>
      <c r="C4959" s="43" t="n">
        <v>-46.700672</v>
      </c>
      <c r="D4959" s="43" t="n">
        <v>171</v>
      </c>
      <c r="E4959" s="44" t="n">
        <v>20164.029</v>
      </c>
    </row>
    <row r="4960">
      <c r="A4960" s="39">
        <f>_xlfn.XLOOKUP(17851,Trip[shape_id],Trip[shape_id],"Não encontrado")</f>
        <v/>
      </c>
      <c r="B4960" s="40" t="n">
        <v>-23.619831</v>
      </c>
      <c r="C4960" s="40" t="n">
        <v>-46.700605</v>
      </c>
      <c r="D4960" s="40" t="n">
        <v>172</v>
      </c>
      <c r="E4960" s="41" t="n">
        <v>20195.008</v>
      </c>
    </row>
    <row r="4961">
      <c r="A4961" s="42">
        <f>_xlfn.XLOOKUP(17851,Trip[shape_id],Trip[shape_id],"Não encontrado")</f>
        <v/>
      </c>
      <c r="B4961" s="43" t="n">
        <v>-23.619557</v>
      </c>
      <c r="C4961" s="43" t="n">
        <v>-46.700544</v>
      </c>
      <c r="D4961" s="43" t="n">
        <v>173</v>
      </c>
      <c r="E4961" s="44" t="n">
        <v>20238.443</v>
      </c>
    </row>
    <row r="4962">
      <c r="A4962" s="39">
        <f>_xlfn.XLOOKUP(17851,Trip[shape_id],Trip[shape_id],"Não encontrado")</f>
        <v/>
      </c>
      <c r="B4962" s="40" t="n">
        <v>-23.619166</v>
      </c>
      <c r="C4962" s="40" t="n">
        <v>-46.700511</v>
      </c>
      <c r="D4962" s="40" t="n">
        <v>174</v>
      </c>
      <c r="E4962" s="41" t="n">
        <v>20299.629</v>
      </c>
    </row>
    <row r="4963">
      <c r="A4963" s="42">
        <f>_xlfn.XLOOKUP(17851,Trip[shape_id],Trip[shape_id],"Não encontrado")</f>
        <v/>
      </c>
      <c r="B4963" s="43" t="n">
        <v>-23.618617</v>
      </c>
      <c r="C4963" s="43" t="n">
        <v>-46.700444</v>
      </c>
      <c r="D4963" s="43" t="n">
        <v>175</v>
      </c>
      <c r="E4963" s="44" t="n">
        <v>20335.723</v>
      </c>
    </row>
    <row r="4964">
      <c r="A4964" s="39">
        <f>_xlfn.XLOOKUP(17851,Trip[shape_id],Trip[shape_id],"Não encontrado")</f>
        <v/>
      </c>
      <c r="B4964" s="40" t="n">
        <v>-23.618294</v>
      </c>
      <c r="C4964" s="40" t="n">
        <v>-46.700397</v>
      </c>
      <c r="D4964" s="40" t="n">
        <v>176</v>
      </c>
      <c r="E4964" s="41" t="n">
        <v>20354.916</v>
      </c>
    </row>
    <row r="4965">
      <c r="A4965" s="42">
        <f>_xlfn.XLOOKUP(17851,Trip[shape_id],Trip[shape_id],"Não encontrado")</f>
        <v/>
      </c>
      <c r="B4965" s="43" t="n">
        <v>-23.618128</v>
      </c>
      <c r="C4965" s="43" t="n">
        <v>-46.700343</v>
      </c>
      <c r="D4965" s="43" t="n">
        <v>177</v>
      </c>
      <c r="E4965" s="44" t="n">
        <v>20382.449</v>
      </c>
    </row>
    <row r="4966">
      <c r="A4966" s="39">
        <f>_xlfn.XLOOKUP(17851,Trip[shape_id],Trip[shape_id],"Não encontrado")</f>
        <v/>
      </c>
      <c r="B4966" s="40" t="n">
        <v>-23.617893</v>
      </c>
      <c r="C4966" s="40" t="n">
        <v>-46.700255</v>
      </c>
      <c r="D4966" s="40" t="n">
        <v>178</v>
      </c>
      <c r="E4966" s="41" t="n">
        <v>20431.758</v>
      </c>
    </row>
    <row r="4967">
      <c r="A4967" s="42">
        <f>_xlfn.XLOOKUP(17851,Trip[shape_id],Trip[shape_id],"Não encontrado")</f>
        <v/>
      </c>
      <c r="B4967" s="43" t="n">
        <v>-23.617471</v>
      </c>
      <c r="C4967" s="43" t="n">
        <v>-46.700101</v>
      </c>
      <c r="D4967" s="43" t="n">
        <v>179</v>
      </c>
      <c r="E4967" s="44" t="n">
        <v>20478.268</v>
      </c>
    </row>
    <row r="4968">
      <c r="A4968" s="39">
        <f>_xlfn.XLOOKUP(17851,Trip[shape_id],Trip[shape_id],"Não encontrado")</f>
        <v/>
      </c>
      <c r="B4968" s="40" t="n">
        <v>-23.617086</v>
      </c>
      <c r="C4968" s="40" t="n">
        <v>-46.699919</v>
      </c>
      <c r="D4968" s="40" t="n">
        <v>180</v>
      </c>
      <c r="E4968" s="41" t="n">
        <v>20517.48</v>
      </c>
    </row>
    <row r="4969">
      <c r="A4969" s="42">
        <f>_xlfn.XLOOKUP(17851,Trip[shape_id],Trip[shape_id],"Não encontrado")</f>
        <v/>
      </c>
      <c r="B4969" s="43" t="n">
        <v>-23.616757</v>
      </c>
      <c r="C4969" s="43" t="n">
        <v>-46.699777</v>
      </c>
      <c r="D4969" s="43" t="n">
        <v>181</v>
      </c>
      <c r="E4969" s="44" t="n">
        <v>20568.094</v>
      </c>
    </row>
    <row r="4970">
      <c r="A4970" s="39">
        <f>_xlfn.XLOOKUP(17851,Trip[shape_id],Trip[shape_id],"Não encontrado")</f>
        <v/>
      </c>
      <c r="B4970" s="40" t="n">
        <v>-23.616317</v>
      </c>
      <c r="C4970" s="40" t="n">
        <v>-46.699643</v>
      </c>
      <c r="D4970" s="40" t="n">
        <v>182</v>
      </c>
      <c r="E4970" s="41" t="n">
        <v>20613.109</v>
      </c>
    </row>
    <row r="4971">
      <c r="A4971" s="42">
        <f>_xlfn.XLOOKUP(17851,Trip[shape_id],Trip[shape_id],"Não encontrado")</f>
        <v/>
      </c>
      <c r="B4971" s="43" t="n">
        <v>-23.615922</v>
      </c>
      <c r="C4971" s="43" t="n">
        <v>-46.699539</v>
      </c>
      <c r="D4971" s="43" t="n">
        <v>183</v>
      </c>
      <c r="E4971" s="44" t="n">
        <v>20730.361</v>
      </c>
    </row>
    <row r="4972">
      <c r="A4972" s="39">
        <f>_xlfn.XLOOKUP(17851,Trip[shape_id],Trip[shape_id],"Não encontrado")</f>
        <v/>
      </c>
      <c r="B4972" s="40" t="n">
        <v>-23.614884</v>
      </c>
      <c r="C4972" s="40" t="n">
        <v>-46.699313</v>
      </c>
      <c r="D4972" s="40" t="n">
        <v>184</v>
      </c>
      <c r="E4972" s="41" t="n">
        <v>20787.686</v>
      </c>
    </row>
    <row r="4973">
      <c r="A4973" s="42">
        <f>_xlfn.XLOOKUP(17851,Trip[shape_id],Trip[shape_id],"Não encontrado")</f>
        <v/>
      </c>
      <c r="B4973" s="43" t="n">
        <v>-23.614377</v>
      </c>
      <c r="C4973" s="43" t="n">
        <v>-46.6992</v>
      </c>
      <c r="D4973" s="43" t="n">
        <v>185</v>
      </c>
      <c r="E4973" s="44" t="n">
        <v>20957.479</v>
      </c>
    </row>
    <row r="4974">
      <c r="A4974" s="39">
        <f>_xlfn.XLOOKUP(17851,Trip[shape_id],Trip[shape_id],"Não encontrado")</f>
        <v/>
      </c>
      <c r="B4974" s="40" t="n">
        <v>-23.612874</v>
      </c>
      <c r="C4974" s="40" t="n">
        <v>-46.698872</v>
      </c>
      <c r="D4974" s="40" t="n">
        <v>186</v>
      </c>
      <c r="E4974" s="41" t="n">
        <v>21071.908</v>
      </c>
    </row>
    <row r="4975">
      <c r="A4975" s="42">
        <f>_xlfn.XLOOKUP(17851,Trip[shape_id],Trip[shape_id],"Não encontrado")</f>
        <v/>
      </c>
      <c r="B4975" s="43" t="n">
        <v>-23.611862</v>
      </c>
      <c r="C4975" s="43" t="n">
        <v>-46.698646</v>
      </c>
      <c r="D4975" s="43" t="n">
        <v>187</v>
      </c>
      <c r="E4975" s="44" t="n">
        <v>21158.232</v>
      </c>
    </row>
    <row r="4976">
      <c r="A4976" s="39">
        <f>_xlfn.XLOOKUP(17851,Trip[shape_id],Trip[shape_id],"Não encontrado")</f>
        <v/>
      </c>
      <c r="B4976" s="40" t="n">
        <v>-23.611097</v>
      </c>
      <c r="C4976" s="40" t="n">
        <v>-46.698484</v>
      </c>
      <c r="D4976" s="40" t="n">
        <v>188</v>
      </c>
      <c r="E4976" s="41" t="n">
        <v>21222.285</v>
      </c>
    </row>
    <row r="4977">
      <c r="A4977" s="42">
        <f>_xlfn.XLOOKUP(17851,Trip[shape_id],Trip[shape_id],"Não encontrado")</f>
        <v/>
      </c>
      <c r="B4977" s="43" t="n">
        <v>-23.610531</v>
      </c>
      <c r="C4977" s="43" t="n">
        <v>-46.698355</v>
      </c>
      <c r="D4977" s="43" t="n">
        <v>189</v>
      </c>
      <c r="E4977" s="44" t="n">
        <v>21449.023</v>
      </c>
    </row>
    <row r="4978">
      <c r="A4978" s="39">
        <f>_xlfn.XLOOKUP(17851,Trip[shape_id],Trip[shape_id],"Não encontrado")</f>
        <v/>
      </c>
      <c r="B4978" s="40" t="n">
        <v>-23.608526</v>
      </c>
      <c r="C4978" s="40" t="n">
        <v>-46.697906</v>
      </c>
      <c r="D4978" s="40" t="n">
        <v>190</v>
      </c>
      <c r="E4978" s="41" t="n">
        <v>21545.006</v>
      </c>
    </row>
    <row r="4979">
      <c r="A4979" s="42">
        <f>_xlfn.XLOOKUP(17851,Trip[shape_id],Trip[shape_id],"Não encontrado")</f>
        <v/>
      </c>
      <c r="B4979" s="43" t="n">
        <v>-23.607678</v>
      </c>
      <c r="C4979" s="43" t="n">
        <v>-46.697712</v>
      </c>
      <c r="D4979" s="43" t="n">
        <v>191</v>
      </c>
      <c r="E4979" s="44" t="n">
        <v>21605.688</v>
      </c>
    </row>
    <row r="4980">
      <c r="A4980" s="39">
        <f>_xlfn.XLOOKUP(17851,Trip[shape_id],Trip[shape_id],"Não encontrado")</f>
        <v/>
      </c>
      <c r="B4980" s="40" t="n">
        <v>-23.607141</v>
      </c>
      <c r="C4980" s="40" t="n">
        <v>-46.697594</v>
      </c>
      <c r="D4980" s="40" t="n">
        <v>192</v>
      </c>
      <c r="E4980" s="41" t="n">
        <v>21676.967</v>
      </c>
    </row>
    <row r="4981">
      <c r="A4981" s="42">
        <f>_xlfn.XLOOKUP(17851,Trip[shape_id],Trip[shape_id],"Não encontrado")</f>
        <v/>
      </c>
      <c r="B4981" s="43" t="n">
        <v>-23.606517</v>
      </c>
      <c r="C4981" s="43" t="n">
        <v>-46.697423</v>
      </c>
      <c r="D4981" s="43" t="n">
        <v>193</v>
      </c>
      <c r="E4981" s="44" t="n">
        <v>21745.305</v>
      </c>
    </row>
    <row r="4982">
      <c r="A4982" s="39">
        <f>_xlfn.XLOOKUP(17851,Trip[shape_id],Trip[shape_id],"Não encontrado")</f>
        <v/>
      </c>
      <c r="B4982" s="40" t="n">
        <v>-23.605929</v>
      </c>
      <c r="C4982" s="40" t="n">
        <v>-46.69722</v>
      </c>
      <c r="D4982" s="40" t="n">
        <v>194</v>
      </c>
      <c r="E4982" s="41" t="n">
        <v>21835.779</v>
      </c>
    </row>
    <row r="4983">
      <c r="A4983" s="42">
        <f>_xlfn.XLOOKUP(17851,Trip[shape_id],Trip[shape_id],"Não encontrado")</f>
        <v/>
      </c>
      <c r="B4983" s="43" t="n">
        <v>-23.605153</v>
      </c>
      <c r="C4983" s="43" t="n">
        <v>-46.696943</v>
      </c>
      <c r="D4983" s="43" t="n">
        <v>195</v>
      </c>
      <c r="E4983" s="44" t="n">
        <v>21873.502</v>
      </c>
    </row>
    <row r="4984">
      <c r="A4984" s="39">
        <f>_xlfn.XLOOKUP(17851,Trip[shape_id],Trip[shape_id],"Não encontrado")</f>
        <v/>
      </c>
      <c r="B4984" s="40" t="n">
        <v>-23.604829</v>
      </c>
      <c r="C4984" s="40" t="n">
        <v>-46.696829</v>
      </c>
      <c r="D4984" s="40" t="n">
        <v>196</v>
      </c>
      <c r="E4984" s="41" t="n">
        <v>21873.502</v>
      </c>
    </row>
    <row r="4985">
      <c r="A4985" s="42">
        <f>_xlfn.XLOOKUP(17851,Trip[shape_id],Trip[shape_id],"Não encontrado")</f>
        <v/>
      </c>
      <c r="B4985" s="43" t="n">
        <v>-23.603652</v>
      </c>
      <c r="C4985" s="43" t="n">
        <v>-46.696411</v>
      </c>
      <c r="D4985" s="43" t="n">
        <v>197</v>
      </c>
      <c r="E4985" s="44" t="n">
        <v>22073.475</v>
      </c>
    </row>
    <row r="4986">
      <c r="A4986" s="39">
        <f>_xlfn.XLOOKUP(17851,Trip[shape_id],Trip[shape_id],"Não encontrado")</f>
        <v/>
      </c>
      <c r="B4986" s="40" t="n">
        <v>-23.603115</v>
      </c>
      <c r="C4986" s="40" t="n">
        <v>-46.696213</v>
      </c>
      <c r="D4986" s="40" t="n">
        <v>198</v>
      </c>
      <c r="E4986" s="41" t="n">
        <v>22245.111</v>
      </c>
    </row>
    <row r="4987">
      <c r="A4987" s="42">
        <f>_xlfn.XLOOKUP(17851,Trip[shape_id],Trip[shape_id],"Não encontrado")</f>
        <v/>
      </c>
      <c r="B4987" s="43" t="n">
        <v>-23.601657</v>
      </c>
      <c r="C4987" s="43" t="n">
        <v>-46.695643</v>
      </c>
      <c r="D4987" s="43" t="n">
        <v>199</v>
      </c>
      <c r="E4987" s="44" t="n">
        <v>22269.887</v>
      </c>
    </row>
    <row r="4988">
      <c r="A4988" s="39">
        <f>_xlfn.XLOOKUP(17851,Trip[shape_id],Trip[shape_id],"Não encontrado")</f>
        <v/>
      </c>
      <c r="B4988" s="40" t="n">
        <v>-23.60144</v>
      </c>
      <c r="C4988" s="40" t="n">
        <v>-46.695584</v>
      </c>
      <c r="D4988" s="40" t="n">
        <v>200</v>
      </c>
      <c r="E4988" s="41" t="n">
        <v>22359.145</v>
      </c>
    </row>
    <row r="4989">
      <c r="A4989" s="42">
        <f>_xlfn.XLOOKUP(17851,Trip[shape_id],Trip[shape_id],"Não encontrado")</f>
        <v/>
      </c>
      <c r="B4989" s="43" t="n">
        <v>-23.60066</v>
      </c>
      <c r="C4989" s="43" t="n">
        <v>-46.695364</v>
      </c>
      <c r="D4989" s="43" t="n">
        <v>201</v>
      </c>
      <c r="E4989" s="44" t="n">
        <v>22407.641</v>
      </c>
    </row>
    <row r="4990">
      <c r="A4990" s="39">
        <f>_xlfn.XLOOKUP(17851,Trip[shape_id],Trip[shape_id],"Não encontrado")</f>
        <v/>
      </c>
      <c r="B4990" s="40" t="n">
        <v>-23.600254</v>
      </c>
      <c r="C4990" s="40" t="n">
        <v>-46.695186</v>
      </c>
      <c r="D4990" s="40" t="n">
        <v>202</v>
      </c>
      <c r="E4990" s="41" t="n">
        <v>22453.117</v>
      </c>
    </row>
    <row r="4991">
      <c r="A4991" s="42">
        <f>_xlfn.XLOOKUP(17851,Trip[shape_id],Trip[shape_id],"Não encontrado")</f>
        <v/>
      </c>
      <c r="B4991" s="43" t="n">
        <v>-23.599888</v>
      </c>
      <c r="C4991" s="43" t="n">
        <v>-46.694984</v>
      </c>
      <c r="D4991" s="43" t="n">
        <v>203</v>
      </c>
      <c r="E4991" s="44" t="n">
        <v>22469.131</v>
      </c>
    </row>
    <row r="4992">
      <c r="A4992" s="39">
        <f>_xlfn.XLOOKUP(17851,Trip[shape_id],Trip[shape_id],"Não encontrado")</f>
        <v/>
      </c>
      <c r="B4992" s="40" t="n">
        <v>-23.599761</v>
      </c>
      <c r="C4992" s="40" t="n">
        <v>-46.694909</v>
      </c>
      <c r="D4992" s="40" t="n">
        <v>204</v>
      </c>
      <c r="E4992" s="41" t="n">
        <v>22561.779</v>
      </c>
    </row>
    <row r="4993">
      <c r="A4993" s="42">
        <f>_xlfn.XLOOKUP(17851,Trip[shape_id],Trip[shape_id],"Não encontrado")</f>
        <v/>
      </c>
      <c r="B4993" s="43" t="n">
        <v>-23.599058</v>
      </c>
      <c r="C4993" s="43" t="n">
        <v>-46.694417</v>
      </c>
      <c r="D4993" s="43" t="n">
        <v>205</v>
      </c>
      <c r="E4993" s="44" t="n">
        <v>22616.604</v>
      </c>
    </row>
    <row r="4994">
      <c r="A4994" s="39">
        <f>_xlfn.XLOOKUP(17851,Trip[shape_id],Trip[shape_id],"Não encontrado")</f>
        <v/>
      </c>
      <c r="B4994" s="40" t="n">
        <v>-23.598648</v>
      </c>
      <c r="C4994" s="40" t="n">
        <v>-46.694116</v>
      </c>
      <c r="D4994" s="40" t="n">
        <v>206</v>
      </c>
      <c r="E4994" s="41" t="n">
        <v>22705.693</v>
      </c>
    </row>
    <row r="4995">
      <c r="A4995" s="42">
        <f>_xlfn.XLOOKUP(17851,Trip[shape_id],Trip[shape_id],"Não encontrado")</f>
        <v/>
      </c>
      <c r="B4995" s="43" t="n">
        <v>-23.597988</v>
      </c>
      <c r="C4995" s="43" t="n">
        <v>-46.693617</v>
      </c>
      <c r="D4995" s="43" t="n">
        <v>207</v>
      </c>
      <c r="E4995" s="44" t="n">
        <v>22806.385</v>
      </c>
    </row>
    <row r="4996">
      <c r="A4996" s="39">
        <f>_xlfn.XLOOKUP(17851,Trip[shape_id],Trip[shape_id],"Não encontrado")</f>
        <v/>
      </c>
      <c r="B4996" s="40" t="n">
        <v>-23.597172</v>
      </c>
      <c r="C4996" s="40" t="n">
        <v>-46.693182</v>
      </c>
      <c r="D4996" s="40" t="n">
        <v>208</v>
      </c>
      <c r="E4996" s="41" t="n">
        <v>22866.166</v>
      </c>
    </row>
    <row r="4997">
      <c r="A4997" s="42">
        <f>_xlfn.XLOOKUP(17851,Trip[shape_id],Trip[shape_id],"Não encontrado")</f>
        <v/>
      </c>
      <c r="B4997" s="43" t="n">
        <v>-23.596664</v>
      </c>
      <c r="C4997" s="43" t="n">
        <v>-46.692984</v>
      </c>
      <c r="D4997" s="43" t="n">
        <v>209</v>
      </c>
      <c r="E4997" s="44" t="n">
        <v>22918.447</v>
      </c>
    </row>
    <row r="4998">
      <c r="A4998" s="39">
        <f>_xlfn.XLOOKUP(17851,Trip[shape_id],Trip[shape_id],"Não encontrado")</f>
        <v/>
      </c>
      <c r="B4998" s="40" t="n">
        <v>-23.596204</v>
      </c>
      <c r="C4998" s="40" t="n">
        <v>-46.692869</v>
      </c>
      <c r="D4998" s="40" t="n">
        <v>210</v>
      </c>
      <c r="E4998" s="41" t="n">
        <v>22934.035</v>
      </c>
    </row>
    <row r="4999">
      <c r="A4999" s="42">
        <f>_xlfn.XLOOKUP(17851,Trip[shape_id],Trip[shape_id],"Não encontrado")</f>
        <v/>
      </c>
      <c r="B4999" s="43" t="n">
        <v>-23.596066</v>
      </c>
      <c r="C4999" s="43" t="n">
        <v>-46.692839</v>
      </c>
      <c r="D4999" s="43" t="n">
        <v>211</v>
      </c>
      <c r="E4999" s="44" t="n">
        <v>22979.02</v>
      </c>
    </row>
    <row r="5000">
      <c r="A5000" s="39">
        <f>_xlfn.XLOOKUP(17851,Trip[shape_id],Trip[shape_id],"Não encontrado")</f>
        <v/>
      </c>
      <c r="B5000" s="40" t="n">
        <v>-23.595663</v>
      </c>
      <c r="C5000" s="40" t="n">
        <v>-46.692784</v>
      </c>
      <c r="D5000" s="40" t="n">
        <v>212</v>
      </c>
      <c r="E5000" s="41" t="n">
        <v>23001.867</v>
      </c>
    </row>
    <row r="5001">
      <c r="A5001" s="42">
        <f>_xlfn.XLOOKUP(17851,Trip[shape_id],Trip[shape_id],"Não encontrado")</f>
        <v/>
      </c>
      <c r="B5001" s="43" t="n">
        <v>-23.595457</v>
      </c>
      <c r="C5001" s="43" t="n">
        <v>-46.692772</v>
      </c>
      <c r="D5001" s="43" t="n">
        <v>213</v>
      </c>
      <c r="E5001" s="44" t="n">
        <v>23030.488</v>
      </c>
    </row>
    <row r="5002">
      <c r="A5002" s="39">
        <f>_xlfn.XLOOKUP(17851,Trip[shape_id],Trip[shape_id],"Não encontrado")</f>
        <v/>
      </c>
      <c r="B5002" s="40" t="n">
        <v>-23.595199</v>
      </c>
      <c r="C5002" s="40" t="n">
        <v>-46.692756</v>
      </c>
      <c r="D5002" s="40" t="n">
        <v>214</v>
      </c>
      <c r="E5002" s="41" t="n">
        <v>23104.805</v>
      </c>
    </row>
    <row r="5003">
      <c r="A5003" s="42">
        <f>_xlfn.XLOOKUP(17851,Trip[shape_id],Trip[shape_id],"Não encontrado")</f>
        <v/>
      </c>
      <c r="B5003" s="43" t="n">
        <v>-23.594528</v>
      </c>
      <c r="C5003" s="43" t="n">
        <v>-46.69276</v>
      </c>
      <c r="D5003" s="43" t="n">
        <v>215</v>
      </c>
      <c r="E5003" s="44" t="n">
        <v>23196.85</v>
      </c>
    </row>
    <row r="5004">
      <c r="A5004" s="39">
        <f>_xlfn.XLOOKUP(17851,Trip[shape_id],Trip[shape_id],"Não encontrado")</f>
        <v/>
      </c>
      <c r="B5004" s="40" t="n">
        <v>-23.593697</v>
      </c>
      <c r="C5004" s="40" t="n">
        <v>-46.692747</v>
      </c>
      <c r="D5004" s="40" t="n">
        <v>216</v>
      </c>
      <c r="E5004" s="41" t="n">
        <v>23223</v>
      </c>
    </row>
    <row r="5005">
      <c r="A5005" s="42">
        <f>_xlfn.XLOOKUP(17851,Trip[shape_id],Trip[shape_id],"Não encontrado")</f>
        <v/>
      </c>
      <c r="B5005" s="43" t="n">
        <v>-23.593461</v>
      </c>
      <c r="C5005" s="43" t="n">
        <v>-46.692755</v>
      </c>
      <c r="D5005" s="43" t="n">
        <v>217</v>
      </c>
      <c r="E5005" s="44" t="n">
        <v>23223</v>
      </c>
    </row>
    <row r="5006">
      <c r="A5006" s="39">
        <f>_xlfn.XLOOKUP(17851,Trip[shape_id],Trip[shape_id],"Não encontrado")</f>
        <v/>
      </c>
      <c r="B5006" s="40" t="n">
        <v>-23.593294</v>
      </c>
      <c r="C5006" s="40" t="n">
        <v>-46.692729</v>
      </c>
      <c r="D5006" s="40" t="n">
        <v>218</v>
      </c>
      <c r="E5006" s="41" t="n">
        <v>23347.438</v>
      </c>
    </row>
    <row r="5007">
      <c r="A5007" s="42">
        <f>_xlfn.XLOOKUP(17851,Trip[shape_id],Trip[shape_id],"Não encontrado")</f>
        <v/>
      </c>
      <c r="B5007" s="43" t="n">
        <v>-23.592366</v>
      </c>
      <c r="C5007" s="43" t="n">
        <v>-46.692485</v>
      </c>
      <c r="D5007" s="43" t="n">
        <v>219</v>
      </c>
      <c r="E5007" s="44" t="n">
        <v>23467.553</v>
      </c>
    </row>
    <row r="5008">
      <c r="A5008" s="39">
        <f>_xlfn.XLOOKUP(17851,Trip[shape_id],Trip[shape_id],"Não encontrado")</f>
        <v/>
      </c>
      <c r="B5008" s="40" t="n">
        <v>-23.591338</v>
      </c>
      <c r="C5008" s="40" t="n">
        <v>-46.69211</v>
      </c>
      <c r="D5008" s="40" t="n">
        <v>220</v>
      </c>
      <c r="E5008" s="41" t="n">
        <v>23548.275</v>
      </c>
    </row>
    <row r="5009">
      <c r="A5009" s="42">
        <f>_xlfn.XLOOKUP(17851,Trip[shape_id],Trip[shape_id],"Não encontrado")</f>
        <v/>
      </c>
      <c r="B5009" s="43" t="n">
        <v>-23.590645</v>
      </c>
      <c r="C5009" s="43" t="n">
        <v>-46.691865</v>
      </c>
      <c r="D5009" s="43" t="n">
        <v>221</v>
      </c>
      <c r="E5009" s="44" t="n">
        <v>23632.705</v>
      </c>
    </row>
    <row r="5010">
      <c r="A5010" s="39">
        <f>_xlfn.XLOOKUP(17851,Trip[shape_id],Trip[shape_id],"Não encontrado")</f>
        <v/>
      </c>
      <c r="B5010" s="40" t="n">
        <v>-23.589921</v>
      </c>
      <c r="C5010" s="40" t="n">
        <v>-46.691606</v>
      </c>
      <c r="D5010" s="40" t="n">
        <v>222</v>
      </c>
      <c r="E5010" s="41" t="n">
        <v>23745.066</v>
      </c>
    </row>
    <row r="5011">
      <c r="A5011" s="42">
        <f>_xlfn.XLOOKUP(17851,Trip[shape_id],Trip[shape_id],"Não encontrado")</f>
        <v/>
      </c>
      <c r="B5011" s="43" t="n">
        <v>-23.588954</v>
      </c>
      <c r="C5011" s="43" t="n">
        <v>-46.691273</v>
      </c>
      <c r="D5011" s="43" t="n">
        <v>223</v>
      </c>
      <c r="E5011" s="44" t="n">
        <v>23806.588</v>
      </c>
    </row>
    <row r="5012">
      <c r="A5012" s="39">
        <f>_xlfn.XLOOKUP(17851,Trip[shape_id],Trip[shape_id],"Não encontrado")</f>
        <v/>
      </c>
      <c r="B5012" s="40" t="n">
        <v>-23.588423</v>
      </c>
      <c r="C5012" s="40" t="n">
        <v>-46.691096</v>
      </c>
      <c r="D5012" s="40" t="n">
        <v>224</v>
      </c>
      <c r="E5012" s="41" t="n">
        <v>23840.955</v>
      </c>
    </row>
    <row r="5013">
      <c r="A5013" s="42">
        <f>_xlfn.XLOOKUP(17851,Trip[shape_id],Trip[shape_id],"Não encontrado")</f>
        <v/>
      </c>
      <c r="B5013" s="43" t="n">
        <v>-23.588118</v>
      </c>
      <c r="C5013" s="43" t="n">
        <v>-46.691034</v>
      </c>
      <c r="D5013" s="43" t="n">
        <v>225</v>
      </c>
      <c r="E5013" s="44" t="n">
        <v>23886.453</v>
      </c>
    </row>
    <row r="5014">
      <c r="A5014" s="39">
        <f>_xlfn.XLOOKUP(17851,Trip[shape_id],Trip[shape_id],"Não encontrado")</f>
        <v/>
      </c>
      <c r="B5014" s="40" t="n">
        <v>-23.587712</v>
      </c>
      <c r="C5014" s="40" t="n">
        <v>-46.690966</v>
      </c>
      <c r="D5014" s="40" t="n">
        <v>226</v>
      </c>
      <c r="E5014" s="41" t="n">
        <v>23910.744</v>
      </c>
    </row>
    <row r="5015">
      <c r="A5015" s="42">
        <f>_xlfn.XLOOKUP(17851,Trip[shape_id],Trip[shape_id],"Não encontrado")</f>
        <v/>
      </c>
      <c r="B5015" s="43" t="n">
        <v>-23.587493</v>
      </c>
      <c r="C5015" s="43" t="n">
        <v>-46.690953</v>
      </c>
      <c r="D5015" s="43" t="n">
        <v>227</v>
      </c>
      <c r="E5015" s="44" t="n">
        <v>23932.145</v>
      </c>
    </row>
    <row r="5016">
      <c r="A5016" s="39">
        <f>_xlfn.XLOOKUP(17851,Trip[shape_id],Trip[shape_id],"Não encontrado")</f>
        <v/>
      </c>
      <c r="B5016" s="40" t="n">
        <v>-23.5873</v>
      </c>
      <c r="C5016" s="40" t="n">
        <v>-46.690963</v>
      </c>
      <c r="D5016" s="40" t="n">
        <v>228</v>
      </c>
      <c r="E5016" s="41" t="n">
        <v>23995.73</v>
      </c>
    </row>
    <row r="5017">
      <c r="A5017" s="42">
        <f>_xlfn.XLOOKUP(17851,Trip[shape_id],Trip[shape_id],"Não encontrado")</f>
        <v/>
      </c>
      <c r="B5017" s="43" t="n">
        <v>-23.586726</v>
      </c>
      <c r="C5017" s="43" t="n">
        <v>-46.690976</v>
      </c>
      <c r="D5017" s="43" t="n">
        <v>229</v>
      </c>
      <c r="E5017" s="44" t="n">
        <v>24049.045</v>
      </c>
    </row>
    <row r="5018">
      <c r="A5018" s="39">
        <f>_xlfn.XLOOKUP(17851,Trip[shape_id],Trip[shape_id],"Não encontrado")</f>
        <v/>
      </c>
      <c r="B5018" s="40" t="n">
        <v>-23.586245</v>
      </c>
      <c r="C5018" s="40" t="n">
        <v>-46.690997</v>
      </c>
      <c r="D5018" s="40" t="n">
        <v>230</v>
      </c>
      <c r="E5018" s="41" t="n">
        <v>24102.57</v>
      </c>
    </row>
    <row r="5019">
      <c r="A5019" s="42">
        <f>_xlfn.XLOOKUP(17851,Trip[shape_id],Trip[shape_id],"Não encontrado")</f>
        <v/>
      </c>
      <c r="B5019" s="43" t="n">
        <v>-23.585765</v>
      </c>
      <c r="C5019" s="43" t="n">
        <v>-46.691058</v>
      </c>
      <c r="D5019" s="43" t="n">
        <v>231</v>
      </c>
      <c r="E5019" s="44" t="n">
        <v>24147.803</v>
      </c>
    </row>
    <row r="5020">
      <c r="A5020" s="39">
        <f>_xlfn.XLOOKUP(17851,Trip[shape_id],Trip[shape_id],"Não encontrado")</f>
        <v/>
      </c>
      <c r="B5020" s="40" t="n">
        <v>-23.585364</v>
      </c>
      <c r="C5020" s="40" t="n">
        <v>-46.691142</v>
      </c>
      <c r="D5020" s="40" t="n">
        <v>232</v>
      </c>
      <c r="E5020" s="41" t="n">
        <v>24147.803</v>
      </c>
    </row>
    <row r="5021">
      <c r="A5021" s="42">
        <f>_xlfn.XLOOKUP(17851,Trip[shape_id],Trip[shape_id],"Não encontrado")</f>
        <v/>
      </c>
      <c r="B5021" s="43" t="n">
        <v>-23.584952</v>
      </c>
      <c r="C5021" s="43" t="n">
        <v>-46.691263</v>
      </c>
      <c r="D5021" s="43" t="n">
        <v>233</v>
      </c>
      <c r="E5021" s="44" t="n">
        <v>24256.816</v>
      </c>
    </row>
    <row r="5022">
      <c r="A5022" s="39">
        <f>_xlfn.XLOOKUP(17851,Trip[shape_id],Trip[shape_id],"Não encontrado")</f>
        <v/>
      </c>
      <c r="B5022" s="40" t="n">
        <v>-23.584417</v>
      </c>
      <c r="C5022" s="40" t="n">
        <v>-46.691433</v>
      </c>
      <c r="D5022" s="40" t="n">
        <v>234</v>
      </c>
      <c r="E5022" s="41" t="n">
        <v>24399.639</v>
      </c>
    </row>
    <row r="5023">
      <c r="A5023" s="42">
        <f>_xlfn.XLOOKUP(17851,Trip[shape_id],Trip[shape_id],"Não encontrado")</f>
        <v/>
      </c>
      <c r="B5023" s="43" t="n">
        <v>-23.583256</v>
      </c>
      <c r="C5023" s="43" t="n">
        <v>-46.692042</v>
      </c>
      <c r="D5023" s="43" t="n">
        <v>235</v>
      </c>
      <c r="E5023" s="44" t="n">
        <v>24494.461</v>
      </c>
    </row>
    <row r="5024">
      <c r="A5024" s="39">
        <f>_xlfn.XLOOKUP(17851,Trip[shape_id],Trip[shape_id],"Não encontrado")</f>
        <v/>
      </c>
      <c r="B5024" s="40" t="n">
        <v>-23.5825</v>
      </c>
      <c r="C5024" s="40" t="n">
        <v>-46.692478</v>
      </c>
      <c r="D5024" s="40" t="n">
        <v>236</v>
      </c>
      <c r="E5024" s="41" t="n">
        <v>24657.871</v>
      </c>
    </row>
    <row r="5025">
      <c r="A5025" s="42">
        <f>_xlfn.XLOOKUP(17851,Trip[shape_id],Trip[shape_id],"Não encontrado")</f>
        <v/>
      </c>
      <c r="B5025" s="43" t="n">
        <v>-23.581196</v>
      </c>
      <c r="C5025" s="43" t="n">
        <v>-46.693227</v>
      </c>
      <c r="D5025" s="43" t="n">
        <v>237</v>
      </c>
      <c r="E5025" s="44" t="n">
        <v>24714.549</v>
      </c>
    </row>
    <row r="5026">
      <c r="A5026" s="39">
        <f>_xlfn.XLOOKUP(17851,Trip[shape_id],Trip[shape_id],"Não encontrado")</f>
        <v/>
      </c>
      <c r="B5026" s="40" t="n">
        <v>-23.58074</v>
      </c>
      <c r="C5026" s="40" t="n">
        <v>-46.693479</v>
      </c>
      <c r="D5026" s="40" t="n">
        <v>238</v>
      </c>
      <c r="E5026" s="41" t="n">
        <v>24859.652</v>
      </c>
    </row>
    <row r="5027">
      <c r="A5027" s="42">
        <f>_xlfn.XLOOKUP(17851,Trip[shape_id],Trip[shape_id],"Não encontrado")</f>
        <v/>
      </c>
      <c r="B5027" s="43" t="n">
        <v>-23.579585</v>
      </c>
      <c r="C5027" s="43" t="n">
        <v>-46.69415</v>
      </c>
      <c r="D5027" s="43" t="n">
        <v>239</v>
      </c>
      <c r="E5027" s="44" t="n">
        <v>24922.836</v>
      </c>
    </row>
    <row r="5028">
      <c r="A5028" s="39">
        <f>_xlfn.XLOOKUP(17851,Trip[shape_id],Trip[shape_id],"Não encontrado")</f>
        <v/>
      </c>
      <c r="B5028" s="40" t="n">
        <v>-23.579086</v>
      </c>
      <c r="C5028" s="40" t="n">
        <v>-46.69445</v>
      </c>
      <c r="D5028" s="40" t="n">
        <v>240</v>
      </c>
      <c r="E5028" s="41" t="n">
        <v>25040.148</v>
      </c>
    </row>
    <row r="5029">
      <c r="A5029" s="42">
        <f>_xlfn.XLOOKUP(17851,Trip[shape_id],Trip[shape_id],"Não encontrado")</f>
        <v/>
      </c>
      <c r="B5029" s="43" t="n">
        <v>-23.57815</v>
      </c>
      <c r="C5029" s="43" t="n">
        <v>-46.694988</v>
      </c>
      <c r="D5029" s="43" t="n">
        <v>241</v>
      </c>
      <c r="E5029" s="44" t="n">
        <v>25151.389</v>
      </c>
    </row>
    <row r="5030">
      <c r="A5030" s="39">
        <f>_xlfn.XLOOKUP(17851,Trip[shape_id],Trip[shape_id],"Não encontrado")</f>
        <v/>
      </c>
      <c r="B5030" s="40" t="n">
        <v>-23.577259</v>
      </c>
      <c r="C5030" s="40" t="n">
        <v>-46.695491</v>
      </c>
      <c r="D5030" s="40" t="n">
        <v>242</v>
      </c>
      <c r="E5030" s="41" t="n">
        <v>25231.129</v>
      </c>
    </row>
    <row r="5031">
      <c r="A5031" s="42">
        <f>_xlfn.XLOOKUP(17851,Trip[shape_id],Trip[shape_id],"Não encontrado")</f>
        <v/>
      </c>
      <c r="B5031" s="43" t="n">
        <v>-23.576621</v>
      </c>
      <c r="C5031" s="43" t="n">
        <v>-46.695853</v>
      </c>
      <c r="D5031" s="43" t="n">
        <v>243</v>
      </c>
      <c r="E5031" s="44" t="n">
        <v>25331.959</v>
      </c>
    </row>
    <row r="5032">
      <c r="A5032" s="39">
        <f>_xlfn.XLOOKUP(17851,Trip[shape_id],Trip[shape_id],"Não encontrado")</f>
        <v/>
      </c>
      <c r="B5032" s="40" t="n">
        <v>-23.575851</v>
      </c>
      <c r="C5032" s="40" t="n">
        <v>-46.69638</v>
      </c>
      <c r="D5032" s="40" t="n">
        <v>244</v>
      </c>
      <c r="E5032" s="41" t="n">
        <v>25374.404</v>
      </c>
    </row>
    <row r="5033">
      <c r="A5033" s="42">
        <f>_xlfn.XLOOKUP(17851,Trip[shape_id],Trip[shape_id],"Não encontrado")</f>
        <v/>
      </c>
      <c r="B5033" s="43" t="n">
        <v>-23.575549</v>
      </c>
      <c r="C5033" s="43" t="n">
        <v>-46.696636</v>
      </c>
      <c r="D5033" s="43" t="n">
        <v>245</v>
      </c>
      <c r="E5033" s="44" t="n">
        <v>25450.27</v>
      </c>
    </row>
    <row r="5034">
      <c r="A5034" s="39">
        <f>_xlfn.XLOOKUP(17851,Trip[shape_id],Trip[shape_id],"Não encontrado")</f>
        <v/>
      </c>
      <c r="B5034" s="40" t="n">
        <v>-23.575011</v>
      </c>
      <c r="C5034" s="40" t="n">
        <v>-46.697096</v>
      </c>
      <c r="D5034" s="40" t="n">
        <v>246</v>
      </c>
      <c r="E5034" s="41" t="n">
        <v>25508.156</v>
      </c>
    </row>
    <row r="5035">
      <c r="A5035" s="42">
        <f>_xlfn.XLOOKUP(17851,Trip[shape_id],Trip[shape_id],"Não encontrado")</f>
        <v/>
      </c>
      <c r="B5035" s="43" t="n">
        <v>-23.574636</v>
      </c>
      <c r="C5035" s="43" t="n">
        <v>-46.697491</v>
      </c>
      <c r="D5035" s="43" t="n">
        <v>247</v>
      </c>
      <c r="E5035" s="44" t="n">
        <v>25621.141</v>
      </c>
    </row>
    <row r="5036">
      <c r="A5036" s="39">
        <f>_xlfn.XLOOKUP(17851,Trip[shape_id],Trip[shape_id],"Não encontrado")</f>
        <v/>
      </c>
      <c r="B5036" s="40" t="n">
        <v>-23.573915</v>
      </c>
      <c r="C5036" s="40" t="n">
        <v>-46.698274</v>
      </c>
      <c r="D5036" s="40" t="n">
        <v>248</v>
      </c>
      <c r="E5036" s="41" t="n">
        <v>25638.955</v>
      </c>
    </row>
    <row r="5037">
      <c r="A5037" s="42">
        <f>_xlfn.XLOOKUP(17851,Trip[shape_id],Trip[shape_id],"Não encontrado")</f>
        <v/>
      </c>
      <c r="B5037" s="43" t="n">
        <v>-23.5738</v>
      </c>
      <c r="C5037" s="43" t="n">
        <v>-46.698396</v>
      </c>
      <c r="D5037" s="43" t="n">
        <v>249</v>
      </c>
      <c r="E5037" s="44" t="n">
        <v>25659.549</v>
      </c>
    </row>
    <row r="5038">
      <c r="A5038" s="39">
        <f>_xlfn.XLOOKUP(17851,Trip[shape_id],Trip[shape_id],"Não encontrado")</f>
        <v/>
      </c>
      <c r="B5038" s="40" t="n">
        <v>-23.573661</v>
      </c>
      <c r="C5038" s="40" t="n">
        <v>-46.69853</v>
      </c>
      <c r="D5038" s="40" t="n">
        <v>250</v>
      </c>
      <c r="E5038" s="41" t="n">
        <v>25659.549</v>
      </c>
    </row>
    <row r="5039">
      <c r="A5039" s="42">
        <f>_xlfn.XLOOKUP(17851,Trip[shape_id],Trip[shape_id],"Não encontrado")</f>
        <v/>
      </c>
      <c r="B5039" s="43" t="n">
        <v>-23.573498</v>
      </c>
      <c r="C5039" s="43" t="n">
        <v>-46.698745</v>
      </c>
      <c r="D5039" s="43" t="n">
        <v>251</v>
      </c>
      <c r="E5039" s="44" t="n">
        <v>25781.387</v>
      </c>
    </row>
    <row r="5040">
      <c r="A5040" s="39">
        <f>_xlfn.XLOOKUP(17851,Trip[shape_id],Trip[shape_id],"Não encontrado")</f>
        <v/>
      </c>
      <c r="B5040" s="40" t="n">
        <v>-23.57302</v>
      </c>
      <c r="C5040" s="40" t="n">
        <v>-46.699499</v>
      </c>
      <c r="D5040" s="40" t="n">
        <v>252</v>
      </c>
      <c r="E5040" s="41" t="n">
        <v>25847.285</v>
      </c>
    </row>
    <row r="5041">
      <c r="A5041" s="42">
        <f>_xlfn.XLOOKUP(17851,Trip[shape_id],Trip[shape_id],"Não encontrado")</f>
        <v/>
      </c>
      <c r="B5041" s="43" t="n">
        <v>-23.572683</v>
      </c>
      <c r="C5041" s="43" t="n">
        <v>-46.700031</v>
      </c>
      <c r="D5041" s="43" t="n">
        <v>253</v>
      </c>
      <c r="E5041" s="44" t="n">
        <v>25893.031</v>
      </c>
    </row>
    <row r="5042">
      <c r="A5042" s="39">
        <f>_xlfn.XLOOKUP(17851,Trip[shape_id],Trip[shape_id],"Não encontrado")</f>
        <v/>
      </c>
      <c r="B5042" s="40" t="n">
        <v>-23.572446</v>
      </c>
      <c r="C5042" s="40" t="n">
        <v>-46.700398</v>
      </c>
      <c r="D5042" s="40" t="n">
        <v>254</v>
      </c>
      <c r="E5042" s="41" t="n">
        <v>25943.482</v>
      </c>
    </row>
    <row r="5043">
      <c r="A5043" s="42">
        <f>_xlfn.XLOOKUP(17851,Trip[shape_id],Trip[shape_id],"Não encontrado")</f>
        <v/>
      </c>
      <c r="B5043" s="43" t="n">
        <v>-23.572084</v>
      </c>
      <c r="C5043" s="43" t="n">
        <v>-46.700698</v>
      </c>
      <c r="D5043" s="43" t="n">
        <v>255</v>
      </c>
      <c r="E5043" s="44" t="n">
        <v>25993.984</v>
      </c>
    </row>
    <row r="5044">
      <c r="A5044" s="39">
        <f>_xlfn.XLOOKUP(17851,Trip[shape_id],Trip[shape_id],"Não encontrado")</f>
        <v/>
      </c>
      <c r="B5044" s="40" t="n">
        <v>-23.57171</v>
      </c>
      <c r="C5044" s="40" t="n">
        <v>-46.700981</v>
      </c>
      <c r="D5044" s="40" t="n">
        <v>256</v>
      </c>
      <c r="E5044" s="41" t="n">
        <v>26031.496</v>
      </c>
    </row>
    <row r="5045">
      <c r="A5045" s="42">
        <f>_xlfn.XLOOKUP(17851,Trip[shape_id],Trip[shape_id],"Não encontrado")</f>
        <v/>
      </c>
      <c r="B5045" s="43" t="n">
        <v>-23.571398</v>
      </c>
      <c r="C5045" s="43" t="n">
        <v>-46.701124</v>
      </c>
      <c r="D5045" s="43" t="n">
        <v>257</v>
      </c>
      <c r="E5045" s="44" t="n">
        <v>26077.475</v>
      </c>
    </row>
    <row r="5046">
      <c r="A5046" s="39">
        <f>_xlfn.XLOOKUP(17851,Trip[shape_id],Trip[shape_id],"Não encontrado")</f>
        <v/>
      </c>
      <c r="B5046" s="40" t="n">
        <v>-23.571011</v>
      </c>
      <c r="C5046" s="40" t="n">
        <v>-46.701287</v>
      </c>
      <c r="D5046" s="40" t="n">
        <v>258</v>
      </c>
      <c r="E5046" s="41" t="n">
        <v>26184.896</v>
      </c>
    </row>
    <row r="5047">
      <c r="A5047" s="42">
        <f>_xlfn.XLOOKUP(17851,Trip[shape_id],Trip[shape_id],"Não encontrado")</f>
        <v/>
      </c>
      <c r="B5047" s="43" t="n">
        <v>-23.570112</v>
      </c>
      <c r="C5047" s="43" t="n">
        <v>-46.701682</v>
      </c>
      <c r="D5047" s="43" t="n">
        <v>259</v>
      </c>
      <c r="E5047" s="44" t="n">
        <v>26279.605</v>
      </c>
    </row>
    <row r="5048">
      <c r="A5048" s="39">
        <f>_xlfn.XLOOKUP(17851,Trip[shape_id],Trip[shape_id],"Não encontrado")</f>
        <v/>
      </c>
      <c r="B5048" s="40" t="n">
        <v>-23.569307</v>
      </c>
      <c r="C5048" s="40" t="n">
        <v>-46.701995</v>
      </c>
      <c r="D5048" s="40" t="n">
        <v>260</v>
      </c>
      <c r="E5048" s="41" t="n">
        <v>26513.92</v>
      </c>
    </row>
    <row r="5049">
      <c r="A5049" s="42">
        <f>_xlfn.XLOOKUP(17851,Trip[shape_id],Trip[shape_id],"Não encontrado")</f>
        <v/>
      </c>
      <c r="B5049" s="43" t="n">
        <v>-23.567304</v>
      </c>
      <c r="C5049" s="43" t="n">
        <v>-46.702734</v>
      </c>
      <c r="D5049" s="43" t="n">
        <v>261</v>
      </c>
      <c r="E5049" s="44" t="n">
        <v>26601.908</v>
      </c>
    </row>
    <row r="5050">
      <c r="A5050" s="39">
        <f>_xlfn.XLOOKUP(17851,Trip[shape_id],Trip[shape_id],"Não encontrado")</f>
        <v/>
      </c>
      <c r="B5050" s="40" t="n">
        <v>-23.566552</v>
      </c>
      <c r="C5050" s="40" t="n">
        <v>-46.703012</v>
      </c>
      <c r="D5050" s="40" t="n">
        <v>262</v>
      </c>
      <c r="E5050" s="41" t="n">
        <v>26601.908</v>
      </c>
    </row>
    <row r="5051">
      <c r="A5051" s="42">
        <f>_xlfn.XLOOKUP(17851,Trip[shape_id],Trip[shape_id],"Não encontrado")</f>
        <v/>
      </c>
      <c r="B5051" s="43" t="n">
        <v>-23.564826</v>
      </c>
      <c r="C5051" s="43" t="n">
        <v>-46.703632</v>
      </c>
      <c r="D5051" s="43" t="n">
        <v>263</v>
      </c>
      <c r="E5051" s="44" t="n">
        <v>26873.877</v>
      </c>
    </row>
    <row r="5052">
      <c r="A5052" s="39">
        <f>_xlfn.XLOOKUP(17851,Trip[shape_id],Trip[shape_id],"Não encontrado")</f>
        <v/>
      </c>
      <c r="B5052" s="40" t="n">
        <v>-23.564221</v>
      </c>
      <c r="C5052" s="40" t="n">
        <v>-46.70385</v>
      </c>
      <c r="D5052" s="40" t="n">
        <v>264</v>
      </c>
      <c r="E5052" s="41" t="n">
        <v>26977.971</v>
      </c>
    </row>
    <row r="5053">
      <c r="A5053" s="42">
        <f>_xlfn.XLOOKUP(17851,Trip[shape_id],Trip[shape_id],"Não encontrado")</f>
        <v/>
      </c>
      <c r="B5053" s="43" t="n">
        <v>-23.563347</v>
      </c>
      <c r="C5053" s="43" t="n">
        <v>-46.704225</v>
      </c>
      <c r="D5053" s="43" t="n">
        <v>265</v>
      </c>
      <c r="E5053" s="44" t="n">
        <v>26997.17</v>
      </c>
    </row>
    <row r="5054">
      <c r="A5054" s="39">
        <f>_xlfn.XLOOKUP(17851,Trip[shape_id],Trip[shape_id],"Não encontrado")</f>
        <v/>
      </c>
      <c r="B5054" s="40" t="n">
        <v>-23.563191</v>
      </c>
      <c r="C5054" s="40" t="n">
        <v>-46.704307</v>
      </c>
      <c r="D5054" s="40" t="n">
        <v>266</v>
      </c>
      <c r="E5054" s="41" t="n">
        <v>27057.695</v>
      </c>
    </row>
    <row r="5055">
      <c r="A5055" s="42">
        <f>_xlfn.XLOOKUP(17851,Trip[shape_id],Trip[shape_id],"Não encontrado")</f>
        <v/>
      </c>
      <c r="B5055" s="43" t="n">
        <v>-23.562704</v>
      </c>
      <c r="C5055" s="43" t="n">
        <v>-46.704576</v>
      </c>
      <c r="D5055" s="43" t="n">
        <v>267</v>
      </c>
      <c r="E5055" s="44" t="n">
        <v>27084.133</v>
      </c>
    </row>
    <row r="5056">
      <c r="A5056" s="39">
        <f>_xlfn.XLOOKUP(17851,Trip[shape_id],Trip[shape_id],"Não encontrado")</f>
        <v/>
      </c>
      <c r="B5056" s="40" t="n">
        <v>-23.562505</v>
      </c>
      <c r="C5056" s="40" t="n">
        <v>-46.704719</v>
      </c>
      <c r="D5056" s="40" t="n">
        <v>268</v>
      </c>
      <c r="E5056" s="41" t="n">
        <v>27190.803</v>
      </c>
    </row>
    <row r="5057">
      <c r="A5057" s="42">
        <f>_xlfn.XLOOKUP(17851,Trip[shape_id],Trip[shape_id],"Não encontrado")</f>
        <v/>
      </c>
      <c r="B5057" s="43" t="n">
        <v>-23.561699</v>
      </c>
      <c r="C5057" s="43" t="n">
        <v>-46.705291</v>
      </c>
      <c r="D5057" s="43" t="n">
        <v>269</v>
      </c>
      <c r="E5057" s="44" t="n">
        <v>27263.354</v>
      </c>
    </row>
    <row r="5058">
      <c r="A5058" s="39">
        <f>_xlfn.XLOOKUP(17851,Trip[shape_id],Trip[shape_id],"Não encontrado")</f>
        <v/>
      </c>
      <c r="B5058" s="40" t="n">
        <v>-23.561181</v>
      </c>
      <c r="C5058" s="40" t="n">
        <v>-46.705726</v>
      </c>
      <c r="D5058" s="40" t="n">
        <v>270</v>
      </c>
      <c r="E5058" s="41" t="n">
        <v>27348.045</v>
      </c>
    </row>
    <row r="5059">
      <c r="A5059" s="42">
        <f>_xlfn.XLOOKUP(17851,Trip[shape_id],Trip[shape_id],"Não encontrado")</f>
        <v/>
      </c>
      <c r="B5059" s="43" t="n">
        <v>-23.560637</v>
      </c>
      <c r="C5059" s="43" t="n">
        <v>-46.706309</v>
      </c>
      <c r="D5059" s="43" t="n">
        <v>271</v>
      </c>
      <c r="E5059" s="44" t="n">
        <v>27444.463</v>
      </c>
    </row>
    <row r="5060">
      <c r="A5060" s="39">
        <f>_xlfn.XLOOKUP(17851,Trip[shape_id],Trip[shape_id],"Não encontrado")</f>
        <v/>
      </c>
      <c r="B5060" s="40" t="n">
        <v>-23.560064</v>
      </c>
      <c r="C5060" s="40" t="n">
        <v>-46.70702</v>
      </c>
      <c r="D5060" s="40" t="n">
        <v>272</v>
      </c>
      <c r="E5060" s="41" t="n">
        <v>27556.291</v>
      </c>
    </row>
    <row r="5061">
      <c r="A5061" s="42">
        <f>_xlfn.XLOOKUP(17851,Trip[shape_id],Trip[shape_id],"Não encontrado")</f>
        <v/>
      </c>
      <c r="B5061" s="43" t="n">
        <v>-23.559478</v>
      </c>
      <c r="C5061" s="43" t="n">
        <v>-46.707912</v>
      </c>
      <c r="D5061" s="43" t="n">
        <v>273</v>
      </c>
      <c r="E5061" s="44" t="n">
        <v>27675.363</v>
      </c>
    </row>
    <row r="5062">
      <c r="A5062" s="39">
        <f>_xlfn.XLOOKUP(17851,Trip[shape_id],Trip[shape_id],"Não encontrado")</f>
        <v/>
      </c>
      <c r="B5062" s="40" t="n">
        <v>-23.55896</v>
      </c>
      <c r="C5062" s="40" t="n">
        <v>-46.708934</v>
      </c>
      <c r="D5062" s="40" t="n">
        <v>274</v>
      </c>
      <c r="E5062" s="41" t="n">
        <v>27770.205</v>
      </c>
    </row>
    <row r="5063">
      <c r="A5063" s="42">
        <f>_xlfn.XLOOKUP(17851,Trip[shape_id],Trip[shape_id],"Não encontrado")</f>
        <v/>
      </c>
      <c r="B5063" s="43" t="n">
        <v>-23.558623</v>
      </c>
      <c r="C5063" s="43" t="n">
        <v>-46.709788</v>
      </c>
      <c r="D5063" s="43" t="n">
        <v>275</v>
      </c>
      <c r="E5063" s="44" t="n">
        <v>27888.426</v>
      </c>
    </row>
    <row r="5064">
      <c r="A5064" s="39">
        <f>_xlfn.XLOOKUP(17851,Trip[shape_id],Trip[shape_id],"Não encontrado")</f>
        <v/>
      </c>
      <c r="B5064" s="40" t="n">
        <v>-23.558171</v>
      </c>
      <c r="C5064" s="40" t="n">
        <v>-46.710837</v>
      </c>
      <c r="D5064" s="40" t="n">
        <v>276</v>
      </c>
      <c r="E5064" s="41" t="n">
        <v>28003.43</v>
      </c>
    </row>
    <row r="5065">
      <c r="A5065" s="42">
        <f>_xlfn.XLOOKUP(17851,Trip[shape_id],Trip[shape_id],"Não encontrado")</f>
        <v/>
      </c>
      <c r="B5065" s="43" t="n">
        <v>-23.557651</v>
      </c>
      <c r="C5065" s="43" t="n">
        <v>-46.711812</v>
      </c>
      <c r="D5065" s="43" t="n">
        <v>277</v>
      </c>
      <c r="E5065" s="44" t="n">
        <v>28003.43</v>
      </c>
    </row>
    <row r="5066">
      <c r="A5066" s="39">
        <f>_xlfn.XLOOKUP(17851,Trip[shape_id],Trip[shape_id],"Não encontrado")</f>
        <v/>
      </c>
      <c r="B5066" s="40" t="n">
        <v>-23.557508</v>
      </c>
      <c r="C5066" s="40" t="n">
        <v>-46.712075</v>
      </c>
      <c r="D5066" s="40" t="n">
        <v>278</v>
      </c>
      <c r="E5066" s="41" t="n">
        <v>28151.479</v>
      </c>
    </row>
    <row r="5067">
      <c r="A5067" s="42">
        <f>_xlfn.XLOOKUP(17851,Trip[shape_id],Trip[shape_id],"Não encontrado")</f>
        <v/>
      </c>
      <c r="B5067" s="43" t="n">
        <v>-23.556975</v>
      </c>
      <c r="C5067" s="43" t="n">
        <v>-46.713063</v>
      </c>
      <c r="D5067" s="43" t="n">
        <v>279</v>
      </c>
      <c r="E5067" s="44" t="n">
        <v>28236.014</v>
      </c>
    </row>
    <row r="5068">
      <c r="A5068" s="39">
        <f>_xlfn.XLOOKUP(17851,Trip[shape_id],Trip[shape_id],"Não encontrado")</f>
        <v/>
      </c>
      <c r="B5068" s="40" t="n">
        <v>-23.556608</v>
      </c>
      <c r="C5068" s="40" t="n">
        <v>-46.713789</v>
      </c>
      <c r="D5068" s="40" t="n">
        <v>280</v>
      </c>
      <c r="E5068" s="41" t="n">
        <v>28457.725</v>
      </c>
    </row>
    <row r="5069">
      <c r="A5069" s="42">
        <f>_xlfn.XLOOKUP(17851,Trip[shape_id],Trip[shape_id],"Não encontrado")</f>
        <v/>
      </c>
      <c r="B5069" s="43" t="n">
        <v>-23.555671</v>
      </c>
      <c r="C5069" s="43" t="n">
        <v>-46.715708</v>
      </c>
      <c r="D5069" s="43" t="n">
        <v>281</v>
      </c>
      <c r="E5069" s="44" t="n">
        <v>28697.209</v>
      </c>
    </row>
    <row r="5070">
      <c r="A5070" s="39">
        <f>_xlfn.XLOOKUP(17851,Trip[shape_id],Trip[shape_id],"Não encontrado")</f>
        <v/>
      </c>
      <c r="B5070" s="40" t="n">
        <v>-23.554654</v>
      </c>
      <c r="C5070" s="40" t="n">
        <v>-46.717778</v>
      </c>
      <c r="D5070" s="40" t="n">
        <v>282</v>
      </c>
      <c r="E5070" s="41" t="n">
        <v>28722.547</v>
      </c>
    </row>
    <row r="5071">
      <c r="A5071" s="42">
        <f>_xlfn.XLOOKUP(17851,Trip[shape_id],Trip[shape_id],"Não encontrado")</f>
        <v/>
      </c>
      <c r="B5071" s="43" t="n">
        <v>-23.554543</v>
      </c>
      <c r="C5071" s="43" t="n">
        <v>-46.717995</v>
      </c>
      <c r="D5071" s="43" t="n">
        <v>283</v>
      </c>
      <c r="E5071" s="44" t="n">
        <v>28968.523</v>
      </c>
    </row>
    <row r="5072">
      <c r="A5072" s="39">
        <f>_xlfn.XLOOKUP(17851,Trip[shape_id],Trip[shape_id],"Não encontrado")</f>
        <v/>
      </c>
      <c r="B5072" s="40" t="n">
        <v>-23.5535</v>
      </c>
      <c r="C5072" s="40" t="n">
        <v>-46.720122</v>
      </c>
      <c r="D5072" s="40" t="n">
        <v>284</v>
      </c>
      <c r="E5072" s="41" t="n">
        <v>29113.396</v>
      </c>
    </row>
    <row r="5073">
      <c r="A5073" s="42">
        <f>_xlfn.XLOOKUP(17851,Trip[shape_id],Trip[shape_id],"Não encontrado")</f>
        <v/>
      </c>
      <c r="B5073" s="43" t="n">
        <v>-23.552881</v>
      </c>
      <c r="C5073" s="43" t="n">
        <v>-46.721372</v>
      </c>
      <c r="D5073" s="43" t="n">
        <v>285</v>
      </c>
      <c r="E5073" s="44" t="n">
        <v>29341.951</v>
      </c>
    </row>
    <row r="5074">
      <c r="A5074" s="39">
        <f>_xlfn.XLOOKUP(17851,Trip[shape_id],Trip[shape_id],"Não encontrado")</f>
        <v/>
      </c>
      <c r="B5074" s="40" t="n">
        <v>-23.551901</v>
      </c>
      <c r="C5074" s="40" t="n">
        <v>-46.723342</v>
      </c>
      <c r="D5074" s="40" t="n">
        <v>286</v>
      </c>
      <c r="E5074" s="41" t="n">
        <v>29565.748</v>
      </c>
    </row>
    <row r="5075">
      <c r="A5075" s="42">
        <f>_xlfn.XLOOKUP(17851,Trip[shape_id],Trip[shape_id],"Não encontrado")</f>
        <v/>
      </c>
      <c r="B5075" s="43" t="n">
        <v>-23.55095</v>
      </c>
      <c r="C5075" s="43" t="n">
        <v>-46.725276</v>
      </c>
      <c r="D5075" s="43" t="n">
        <v>287</v>
      </c>
      <c r="E5075" s="44" t="n">
        <v>29786.826</v>
      </c>
    </row>
    <row r="5076">
      <c r="A5076" s="39">
        <f>_xlfn.XLOOKUP(17851,Trip[shape_id],Trip[shape_id],"Não encontrado")</f>
        <v/>
      </c>
      <c r="B5076" s="40" t="n">
        <v>-23.550008</v>
      </c>
      <c r="C5076" s="40" t="n">
        <v>-46.727185</v>
      </c>
      <c r="D5076" s="40" t="n">
        <v>288</v>
      </c>
      <c r="E5076" s="41" t="n">
        <v>29940.178</v>
      </c>
    </row>
    <row r="5077">
      <c r="A5077" s="42">
        <f>_xlfn.XLOOKUP(17851,Trip[shape_id],Trip[shape_id],"Não encontrado")</f>
        <v/>
      </c>
      <c r="B5077" s="43" t="n">
        <v>-23.549356</v>
      </c>
      <c r="C5077" s="43" t="n">
        <v>-46.72851</v>
      </c>
      <c r="D5077" s="43" t="n">
        <v>289</v>
      </c>
      <c r="E5077" s="44" t="n">
        <v>30052.74</v>
      </c>
    </row>
    <row r="5078">
      <c r="A5078" s="39">
        <f>_xlfn.XLOOKUP(17851,Trip[shape_id],Trip[shape_id],"Não encontrado")</f>
        <v/>
      </c>
      <c r="B5078" s="40" t="n">
        <v>-23.548873</v>
      </c>
      <c r="C5078" s="40" t="n">
        <v>-46.72948</v>
      </c>
      <c r="D5078" s="40" t="n">
        <v>290</v>
      </c>
      <c r="E5078" s="41" t="n">
        <v>30109.701</v>
      </c>
    </row>
    <row r="5079">
      <c r="A5079" s="42">
        <f>_xlfn.XLOOKUP(17851,Trip[shape_id],Trip[shape_id],"Não encontrado")</f>
        <v/>
      </c>
      <c r="B5079" s="43" t="n">
        <v>-23.548582</v>
      </c>
      <c r="C5079" s="43" t="n">
        <v>-46.72994</v>
      </c>
      <c r="D5079" s="43" t="n">
        <v>291</v>
      </c>
      <c r="E5079" s="44" t="n">
        <v>30157.551</v>
      </c>
    </row>
    <row r="5080">
      <c r="A5080" s="39">
        <f>_xlfn.XLOOKUP(17851,Trip[shape_id],Trip[shape_id],"Não encontrado")</f>
        <v/>
      </c>
      <c r="B5080" s="40" t="n">
        <v>-23.548337</v>
      </c>
      <c r="C5080" s="40" t="n">
        <v>-46.730326</v>
      </c>
      <c r="D5080" s="40" t="n">
        <v>292</v>
      </c>
      <c r="E5080" s="41" t="n">
        <v>30295.172</v>
      </c>
    </row>
    <row r="5081">
      <c r="A5081" s="42">
        <f>_xlfn.XLOOKUP(17851,Trip[shape_id],Trip[shape_id],"Não encontrado")</f>
        <v/>
      </c>
      <c r="B5081" s="43" t="n">
        <v>-23.547417</v>
      </c>
      <c r="C5081" s="43" t="n">
        <v>-46.731232</v>
      </c>
      <c r="D5081" s="43" t="n">
        <v>293</v>
      </c>
      <c r="E5081" s="44" t="n">
        <v>30330.553</v>
      </c>
    </row>
    <row r="5082">
      <c r="A5082" s="39">
        <f>_xlfn.XLOOKUP(17851,Trip[shape_id],Trip[shape_id],"Não encontrado")</f>
        <v/>
      </c>
      <c r="B5082" s="40" t="n">
        <v>-23.547192</v>
      </c>
      <c r="C5082" s="40" t="n">
        <v>-46.731478</v>
      </c>
      <c r="D5082" s="40" t="n">
        <v>294</v>
      </c>
      <c r="E5082" s="41" t="n">
        <v>30511.146</v>
      </c>
    </row>
    <row r="5083">
      <c r="A5083" s="42">
        <f>_xlfn.XLOOKUP(17851,Trip[shape_id],Trip[shape_id],"Não encontrado")</f>
        <v/>
      </c>
      <c r="B5083" s="43" t="n">
        <v>-23.546059</v>
      </c>
      <c r="C5083" s="43" t="n">
        <v>-46.73275</v>
      </c>
      <c r="D5083" s="43" t="n">
        <v>295</v>
      </c>
      <c r="E5083" s="44" t="n">
        <v>30511.146</v>
      </c>
    </row>
    <row r="5084">
      <c r="A5084" s="39">
        <f>_xlfn.XLOOKUP(17851,Trip[shape_id],Trip[shape_id],"Não encontrado")</f>
        <v/>
      </c>
      <c r="B5084" s="40" t="n">
        <v>-23.545301</v>
      </c>
      <c r="C5084" s="40" t="n">
        <v>-46.733649</v>
      </c>
      <c r="D5084" s="40" t="n">
        <v>296</v>
      </c>
      <c r="E5084" s="41" t="n">
        <v>30711.816</v>
      </c>
    </row>
    <row r="5085">
      <c r="A5085" s="42">
        <f>_xlfn.XLOOKUP(17851,Trip[shape_id],Trip[shape_id],"Não encontrado")</f>
        <v/>
      </c>
      <c r="B5085" s="43" t="n">
        <v>-23.544828</v>
      </c>
      <c r="C5085" s="43" t="n">
        <v>-46.734192</v>
      </c>
      <c r="D5085" s="43" t="n">
        <v>297</v>
      </c>
      <c r="E5085" s="44" t="n">
        <v>31134.939</v>
      </c>
    </row>
    <row r="5086">
      <c r="A5086" s="39">
        <f>_xlfn.XLOOKUP(17851,Trip[shape_id],Trip[shape_id],"Não encontrado")</f>
        <v/>
      </c>
      <c r="B5086" s="40" t="n">
        <v>-23.54221</v>
      </c>
      <c r="C5086" s="40" t="n">
        <v>-46.73721</v>
      </c>
      <c r="D5086" s="40" t="n">
        <v>298</v>
      </c>
      <c r="E5086" s="41" t="n">
        <v>31294.818</v>
      </c>
    </row>
    <row r="5087">
      <c r="A5087" s="42">
        <f>_xlfn.XLOOKUP(17851,Trip[shape_id],Trip[shape_id],"Não encontrado")</f>
        <v/>
      </c>
      <c r="B5087" s="43" t="n">
        <v>-23.541205</v>
      </c>
      <c r="C5087" s="43" t="n">
        <v>-46.738334</v>
      </c>
      <c r="D5087" s="43" t="n">
        <v>299</v>
      </c>
      <c r="E5087" s="44" t="n">
        <v>31473.23</v>
      </c>
    </row>
    <row r="5088">
      <c r="A5088" s="39">
        <f>_xlfn.XLOOKUP(17851,Trip[shape_id],Trip[shape_id],"Não encontrado")</f>
        <v/>
      </c>
      <c r="B5088" s="40" t="n">
        <v>-23.540088</v>
      </c>
      <c r="C5088" s="40" t="n">
        <v>-46.739593</v>
      </c>
      <c r="D5088" s="40" t="n">
        <v>300</v>
      </c>
      <c r="E5088" s="41" t="n">
        <v>31561.748</v>
      </c>
    </row>
    <row r="5089">
      <c r="A5089" s="42">
        <f>_xlfn.XLOOKUP(17851,Trip[shape_id],Trip[shape_id],"Não encontrado")</f>
        <v/>
      </c>
      <c r="B5089" s="43" t="n">
        <v>-23.539539</v>
      </c>
      <c r="C5089" s="43" t="n">
        <v>-46.740223</v>
      </c>
      <c r="D5089" s="43" t="n">
        <v>301</v>
      </c>
      <c r="E5089" s="44" t="n">
        <v>31696.041</v>
      </c>
    </row>
    <row r="5090">
      <c r="A5090" s="39">
        <f>_xlfn.XLOOKUP(17851,Trip[shape_id],Trip[shape_id],"Não encontrado")</f>
        <v/>
      </c>
      <c r="B5090" s="40" t="n">
        <v>-23.53869</v>
      </c>
      <c r="C5090" s="40" t="n">
        <v>-46.741162</v>
      </c>
      <c r="D5090" s="40" t="n">
        <v>302</v>
      </c>
      <c r="E5090" s="41" t="n">
        <v>31880.781</v>
      </c>
    </row>
    <row r="5091">
      <c r="A5091" s="42">
        <f>_xlfn.XLOOKUP(17851,Trip[shape_id],Trip[shape_id],"Não encontrado")</f>
        <v/>
      </c>
      <c r="B5091" s="43" t="n">
        <v>-23.537528</v>
      </c>
      <c r="C5091" s="43" t="n">
        <v>-46.74246</v>
      </c>
      <c r="D5091" s="43" t="n">
        <v>303</v>
      </c>
      <c r="E5091" s="44" t="n">
        <v>31903.322</v>
      </c>
    </row>
    <row r="5092">
      <c r="A5092" s="39">
        <f>_xlfn.XLOOKUP(17851,Trip[shape_id],Trip[shape_id],"Não encontrado")</f>
        <v/>
      </c>
      <c r="B5092" s="40" t="n">
        <v>-23.537384</v>
      </c>
      <c r="C5092" s="40" t="n">
        <v>-46.742616</v>
      </c>
      <c r="D5092" s="40" t="n">
        <v>304</v>
      </c>
      <c r="E5092" s="41" t="n">
        <v>31903.322</v>
      </c>
    </row>
    <row r="5093">
      <c r="A5093" s="42">
        <f>_xlfn.XLOOKUP(17851,Trip[shape_id],Trip[shape_id],"Não encontrado")</f>
        <v/>
      </c>
      <c r="B5093" s="43" t="n">
        <v>-23.536298</v>
      </c>
      <c r="C5093" s="43" t="n">
        <v>-46.743765</v>
      </c>
      <c r="D5093" s="43" t="n">
        <v>305</v>
      </c>
      <c r="E5093" s="44" t="n">
        <v>32156.438</v>
      </c>
    </row>
    <row r="5094">
      <c r="A5094" s="39">
        <f>_xlfn.XLOOKUP(17851,Trip[shape_id],Trip[shape_id],"Não encontrado")</f>
        <v/>
      </c>
      <c r="B5094" s="40" t="n">
        <v>-23.535641</v>
      </c>
      <c r="C5094" s="40" t="n">
        <v>-46.744197</v>
      </c>
      <c r="D5094" s="40" t="n">
        <v>306</v>
      </c>
      <c r="E5094" s="41" t="n">
        <v>32288.959</v>
      </c>
    </row>
    <row r="5095">
      <c r="A5095" s="42">
        <f>_xlfn.XLOOKUP(17851,Trip[shape_id],Trip[shape_id],"Não encontrado")</f>
        <v/>
      </c>
      <c r="B5095" s="43" t="n">
        <v>-23.534513</v>
      </c>
      <c r="C5095" s="43" t="n">
        <v>-46.74463</v>
      </c>
      <c r="D5095" s="43" t="n">
        <v>307</v>
      </c>
      <c r="E5095" s="44" t="n">
        <v>32429.811</v>
      </c>
    </row>
    <row r="5096">
      <c r="A5096" s="39">
        <f>_xlfn.XLOOKUP(17851,Trip[shape_id],Trip[shape_id],"Não encontrado")</f>
        <v/>
      </c>
      <c r="B5096" s="40" t="n">
        <v>-23.533327</v>
      </c>
      <c r="C5096" s="40" t="n">
        <v>-46.745128</v>
      </c>
      <c r="D5096" s="40" t="n">
        <v>308</v>
      </c>
      <c r="E5096" s="41" t="n">
        <v>32505.463</v>
      </c>
    </row>
    <row r="5097">
      <c r="A5097" s="42">
        <f>_xlfn.XLOOKUP(17851,Trip[shape_id],Trip[shape_id],"Não encontrado")</f>
        <v/>
      </c>
      <c r="B5097" s="43" t="n">
        <v>-23.532686</v>
      </c>
      <c r="C5097" s="43" t="n">
        <v>-46.745384</v>
      </c>
      <c r="D5097" s="43" t="n">
        <v>309</v>
      </c>
      <c r="E5097" s="44" t="n">
        <v>32558.994</v>
      </c>
    </row>
    <row r="5098">
      <c r="A5098" s="39">
        <f>_xlfn.XLOOKUP(17851,Trip[shape_id],Trip[shape_id],"Não encontrado")</f>
        <v/>
      </c>
      <c r="B5098" s="40" t="n">
        <v>-23.532249</v>
      </c>
      <c r="C5098" s="40" t="n">
        <v>-46.745608</v>
      </c>
      <c r="D5098" s="40" t="n">
        <v>310</v>
      </c>
      <c r="E5098" s="41" t="n">
        <v>32621.404</v>
      </c>
    </row>
    <row r="5099">
      <c r="A5099" s="42">
        <f>_xlfn.XLOOKUP(17851,Trip[shape_id],Trip[shape_id],"Não encontrado")</f>
        <v/>
      </c>
      <c r="B5099" s="43" t="n">
        <v>-23.531819</v>
      </c>
      <c r="C5099" s="43" t="n">
        <v>-46.746003</v>
      </c>
      <c r="D5099" s="43" t="n">
        <v>311</v>
      </c>
      <c r="E5099" s="44" t="n">
        <v>32676.063</v>
      </c>
    </row>
    <row r="5100">
      <c r="A5100" s="39">
        <f>_xlfn.XLOOKUP(17851,Trip[shape_id],Trip[shape_id],"Não encontrado")</f>
        <v/>
      </c>
      <c r="B5100" s="40" t="n">
        <v>-23.531519</v>
      </c>
      <c r="C5100" s="40" t="n">
        <v>-46.746428</v>
      </c>
      <c r="D5100" s="40" t="n">
        <v>312</v>
      </c>
      <c r="E5100" s="41" t="n">
        <v>32722.291</v>
      </c>
    </row>
    <row r="5101">
      <c r="A5101" s="42">
        <f>_xlfn.XLOOKUP(17851,Trip[shape_id],Trip[shape_id],"Não encontrado")</f>
        <v/>
      </c>
      <c r="B5101" s="43" t="n">
        <v>-23.531344</v>
      </c>
      <c r="C5101" s="43" t="n">
        <v>-46.746839</v>
      </c>
      <c r="D5101" s="43" t="n">
        <v>313</v>
      </c>
      <c r="E5101" s="44" t="n">
        <v>32785.898</v>
      </c>
    </row>
    <row r="5102">
      <c r="A5102" s="39">
        <f>_xlfn.XLOOKUP(17851,Trip[shape_id],Trip[shape_id],"Não encontrado")</f>
        <v/>
      </c>
      <c r="B5102" s="40" t="n">
        <v>-23.5312</v>
      </c>
      <c r="C5102" s="40" t="n">
        <v>-46.747442</v>
      </c>
      <c r="D5102" s="40" t="n">
        <v>314</v>
      </c>
      <c r="E5102" s="41" t="n">
        <v>32785.898</v>
      </c>
    </row>
    <row r="5103">
      <c r="A5103" s="42">
        <f>_xlfn.XLOOKUP(17851,Trip[shape_id],Trip[shape_id],"Não encontrado")</f>
        <v/>
      </c>
      <c r="B5103" s="43" t="n">
        <v>-23.531192</v>
      </c>
      <c r="C5103" s="43" t="n">
        <v>-46.747499</v>
      </c>
      <c r="D5103" s="43" t="n">
        <v>315</v>
      </c>
      <c r="E5103" s="44" t="n">
        <v>32823.418</v>
      </c>
    </row>
    <row r="5104">
      <c r="A5104" s="39">
        <f>_xlfn.XLOOKUP(17851,Trip[shape_id],Trip[shape_id],"Não encontrado")</f>
        <v/>
      </c>
      <c r="B5104" s="40" t="n">
        <v>-23.531172</v>
      </c>
      <c r="C5104" s="40" t="n">
        <v>-46.747808</v>
      </c>
      <c r="D5104" s="40" t="n">
        <v>316</v>
      </c>
      <c r="E5104" s="41" t="n">
        <v>32856.391</v>
      </c>
    </row>
    <row r="5105">
      <c r="A5105" s="42">
        <f>_xlfn.XLOOKUP(17851,Trip[shape_id],Trip[shape_id],"Não encontrado")</f>
        <v/>
      </c>
      <c r="B5105" s="43" t="n">
        <v>-23.53115</v>
      </c>
      <c r="C5105" s="43" t="n">
        <v>-46.74813</v>
      </c>
      <c r="D5105" s="43" t="n">
        <v>317</v>
      </c>
      <c r="E5105" s="44" t="n">
        <v>32950.73</v>
      </c>
    </row>
    <row r="5106">
      <c r="A5106" s="39">
        <f>_xlfn.XLOOKUP(17851,Trip[shape_id],Trip[shape_id],"Não encontrado")</f>
        <v/>
      </c>
      <c r="B5106" s="40" t="n">
        <v>-23.531063</v>
      </c>
      <c r="C5106" s="40" t="n">
        <v>-46.749049</v>
      </c>
      <c r="D5106" s="40" t="n">
        <v>318</v>
      </c>
      <c r="E5106" s="41" t="n">
        <v>33030.746</v>
      </c>
    </row>
    <row r="5107">
      <c r="A5107" s="42">
        <f>_xlfn.XLOOKUP(17851,Trip[shape_id],Trip[shape_id],"Não encontrado")</f>
        <v/>
      </c>
      <c r="B5107" s="43" t="n">
        <v>-23.530985</v>
      </c>
      <c r="C5107" s="43" t="n">
        <v>-46.749828</v>
      </c>
      <c r="D5107" s="43" t="n">
        <v>319</v>
      </c>
      <c r="E5107" s="44" t="n">
        <v>33204.484</v>
      </c>
    </row>
    <row r="5108">
      <c r="A5108" s="39">
        <f>_xlfn.XLOOKUP(17851,Trip[shape_id],Trip[shape_id],"Não encontrado")</f>
        <v/>
      </c>
      <c r="B5108" s="40" t="n">
        <v>-23.530804</v>
      </c>
      <c r="C5108" s="40" t="n">
        <v>-46.751518</v>
      </c>
      <c r="D5108" s="40" t="n">
        <v>320</v>
      </c>
      <c r="E5108" s="41" t="n">
        <v>33311.508</v>
      </c>
    </row>
    <row r="5109">
      <c r="A5109" s="42">
        <f>_xlfn.XLOOKUP(17851,Trip[shape_id],Trip[shape_id],"Não encontrado")</f>
        <v/>
      </c>
      <c r="B5109" s="43" t="n">
        <v>-23.530594</v>
      </c>
      <c r="C5109" s="43" t="n">
        <v>-46.752541</v>
      </c>
      <c r="D5109" s="43" t="n">
        <v>321</v>
      </c>
      <c r="E5109" s="44" t="n">
        <v>33398.395</v>
      </c>
    </row>
    <row r="5110">
      <c r="A5110" s="39">
        <f>_xlfn.XLOOKUP(17851,Trip[shape_id],Trip[shape_id],"Não encontrado")</f>
        <v/>
      </c>
      <c r="B5110" s="40" t="n">
        <v>-23.530305</v>
      </c>
      <c r="C5110" s="40" t="n">
        <v>-46.753332</v>
      </c>
      <c r="D5110" s="40" t="n">
        <v>322</v>
      </c>
      <c r="E5110" s="41" t="n">
        <v>33409.168</v>
      </c>
    </row>
    <row r="5111">
      <c r="A5111" s="42">
        <f>_xlfn.XLOOKUP(17851,Trip[shape_id],Trip[shape_id],"Não encontrado")</f>
        <v/>
      </c>
      <c r="B5111" s="43" t="n">
        <v>-23.530269</v>
      </c>
      <c r="C5111" s="43" t="n">
        <v>-46.75343</v>
      </c>
      <c r="D5111" s="43" t="n">
        <v>323</v>
      </c>
      <c r="E5111" s="44" t="n">
        <v>33440.094</v>
      </c>
    </row>
    <row r="5112">
      <c r="A5112" s="39">
        <f>_xlfn.XLOOKUP(17851,Trip[shape_id],Trip[shape_id],"Não encontrado")</f>
        <v/>
      </c>
      <c r="B5112" s="40" t="n">
        <v>-23.530152</v>
      </c>
      <c r="C5112" s="40" t="n">
        <v>-46.753705</v>
      </c>
      <c r="D5112" s="40" t="n">
        <v>324</v>
      </c>
      <c r="E5112" s="41" t="n">
        <v>33542.223</v>
      </c>
    </row>
    <row r="5113">
      <c r="A5113" s="42">
        <f>_xlfn.XLOOKUP(17851,Trip[shape_id],Trip[shape_id],"Não encontrado")</f>
        <v/>
      </c>
      <c r="B5113" s="43" t="n">
        <v>-23.529748</v>
      </c>
      <c r="C5113" s="43" t="n">
        <v>-46.754604</v>
      </c>
      <c r="D5113" s="43" t="n">
        <v>325</v>
      </c>
      <c r="E5113" s="44" t="n">
        <v>33591.172</v>
      </c>
    </row>
    <row r="5114">
      <c r="A5114" s="39">
        <f>_xlfn.XLOOKUP(17851,Trip[shape_id],Trip[shape_id],"Não encontrado")</f>
        <v/>
      </c>
      <c r="B5114" s="40" t="n">
        <v>-23.529577</v>
      </c>
      <c r="C5114" s="40" t="n">
        <v>-46.755046</v>
      </c>
      <c r="D5114" s="40" t="n">
        <v>326</v>
      </c>
      <c r="E5114" s="41" t="n">
        <v>33656.73</v>
      </c>
    </row>
    <row r="5115">
      <c r="A5115" s="42">
        <f>_xlfn.XLOOKUP(17851,Trip[shape_id],Trip[shape_id],"Não encontrado")</f>
        <v/>
      </c>
      <c r="B5115" s="43" t="n">
        <v>-23.529348</v>
      </c>
      <c r="C5115" s="43" t="n">
        <v>-46.755638</v>
      </c>
      <c r="D5115" s="43" t="n">
        <v>327</v>
      </c>
      <c r="E5115" s="44" t="n">
        <v>33729.25</v>
      </c>
    </row>
    <row r="5116">
      <c r="A5116" s="39">
        <f>_xlfn.XLOOKUP(17851,Trip[shape_id],Trip[shape_id],"Não encontrado")</f>
        <v/>
      </c>
      <c r="B5116" s="40" t="n">
        <v>-23.529095</v>
      </c>
      <c r="C5116" s="40" t="n">
        <v>-46.756293</v>
      </c>
      <c r="D5116" s="40" t="n">
        <v>328</v>
      </c>
      <c r="E5116" s="41" t="n">
        <v>33813.945</v>
      </c>
    </row>
    <row r="5117">
      <c r="A5117" s="42">
        <f>_xlfn.XLOOKUP(17851,Trip[shape_id],Trip[shape_id],"Não encontrado")</f>
        <v/>
      </c>
      <c r="B5117" s="43" t="n">
        <v>-23.528868</v>
      </c>
      <c r="C5117" s="43" t="n">
        <v>-46.757085</v>
      </c>
      <c r="D5117" s="43" t="n">
        <v>329</v>
      </c>
      <c r="E5117" s="44" t="n">
        <v>33866.914</v>
      </c>
    </row>
    <row r="5118">
      <c r="A5118" s="39">
        <f>_xlfn.XLOOKUP(17851,Trip[shape_id],Trip[shape_id],"Não encontrado")</f>
        <v/>
      </c>
      <c r="B5118" s="40" t="n">
        <v>-23.528843</v>
      </c>
      <c r="C5118" s="40" t="n">
        <v>-46.757603</v>
      </c>
      <c r="D5118" s="40" t="n">
        <v>330</v>
      </c>
      <c r="E5118" s="41" t="n">
        <v>33923.938</v>
      </c>
    </row>
    <row r="5119">
      <c r="A5119" s="42">
        <f>_xlfn.XLOOKUP(17851,Trip[shape_id],Trip[shape_id],"Não encontrado")</f>
        <v/>
      </c>
      <c r="B5119" s="43" t="n">
        <v>-23.528937</v>
      </c>
      <c r="C5119" s="43" t="n">
        <v>-46.758152</v>
      </c>
      <c r="D5119" s="43" t="n">
        <v>331</v>
      </c>
      <c r="E5119" s="44" t="n">
        <v>34009.516</v>
      </c>
    </row>
    <row r="5120">
      <c r="A5120" s="39">
        <f>_xlfn.XLOOKUP(17851,Trip[shape_id],Trip[shape_id],"Não encontrado")</f>
        <v/>
      </c>
      <c r="B5120" s="40" t="n">
        <v>-23.52921</v>
      </c>
      <c r="C5120" s="40" t="n">
        <v>-46.758936</v>
      </c>
      <c r="D5120" s="40" t="n">
        <v>332</v>
      </c>
      <c r="E5120" s="41" t="n">
        <v>34072.348</v>
      </c>
    </row>
    <row r="5121">
      <c r="A5121" s="42">
        <f>_xlfn.XLOOKUP(17851,Trip[shape_id],Trip[shape_id],"Não encontrado")</f>
        <v/>
      </c>
      <c r="B5121" s="43" t="n">
        <v>-23.529443</v>
      </c>
      <c r="C5121" s="43" t="n">
        <v>-46.759497</v>
      </c>
      <c r="D5121" s="43" t="n">
        <v>333</v>
      </c>
      <c r="E5121" s="44" t="n">
        <v>34130.301</v>
      </c>
    </row>
    <row r="5122">
      <c r="A5122" s="39">
        <f>_xlfn.XLOOKUP(17851,Trip[shape_id],Trip[shape_id],"Não encontrado")</f>
        <v/>
      </c>
      <c r="B5122" s="40" t="n">
        <v>-23.529739</v>
      </c>
      <c r="C5122" s="40" t="n">
        <v>-46.759965</v>
      </c>
      <c r="D5122" s="40" t="n">
        <v>334</v>
      </c>
      <c r="E5122" s="41" t="n">
        <v>34231.867</v>
      </c>
    </row>
    <row r="5123">
      <c r="A5123" s="42">
        <f>_xlfn.XLOOKUP(17851,Trip[shape_id],Trip[shape_id],"Não encontrado")</f>
        <v/>
      </c>
      <c r="B5123" s="43" t="n">
        <v>-23.530384</v>
      </c>
      <c r="C5123" s="43" t="n">
        <v>-46.760672</v>
      </c>
      <c r="D5123" s="43" t="n">
        <v>335</v>
      </c>
      <c r="E5123" s="44" t="n">
        <v>34305.121</v>
      </c>
    </row>
    <row r="5124">
      <c r="A5124" s="39">
        <f>_xlfn.XLOOKUP(17851,Trip[shape_id],Trip[shape_id],"Não encontrado")</f>
        <v/>
      </c>
      <c r="B5124" s="40" t="n">
        <v>-23.530851</v>
      </c>
      <c r="C5124" s="40" t="n">
        <v>-46.76118</v>
      </c>
      <c r="D5124" s="40" t="n">
        <v>336</v>
      </c>
      <c r="E5124" s="41" t="n">
        <v>34373.836</v>
      </c>
    </row>
    <row r="5125">
      <c r="A5125" s="42">
        <f>_xlfn.XLOOKUP(17851,Trip[shape_id],Trip[shape_id],"Não encontrado")</f>
        <v/>
      </c>
      <c r="B5125" s="43" t="n">
        <v>-23.531195</v>
      </c>
      <c r="C5125" s="43" t="n">
        <v>-46.76174</v>
      </c>
      <c r="D5125" s="43" t="n">
        <v>337</v>
      </c>
      <c r="E5125" s="44" t="n">
        <v>34373.836</v>
      </c>
    </row>
    <row r="5126">
      <c r="A5126" s="39">
        <f>_xlfn.XLOOKUP(17851,Trip[shape_id],Trip[shape_id],"Não encontrado")</f>
        <v/>
      </c>
      <c r="B5126" s="40" t="n">
        <v>-23.53245</v>
      </c>
      <c r="C5126" s="40" t="n">
        <v>-46.763056</v>
      </c>
      <c r="D5126" s="40" t="n">
        <v>338</v>
      </c>
      <c r="E5126" s="41" t="n">
        <v>34664.676</v>
      </c>
    </row>
    <row r="5127">
      <c r="A5127" s="42">
        <f>_xlfn.XLOOKUP(17851,Trip[shape_id],Trip[shape_id],"Não encontrado")</f>
        <v/>
      </c>
      <c r="B5127" s="43" t="n">
        <v>-23.533024</v>
      </c>
      <c r="C5127" s="43" t="n">
        <v>-46.76378</v>
      </c>
      <c r="D5127" s="43" t="n">
        <v>339</v>
      </c>
      <c r="E5127" s="44" t="n">
        <v>34743.879</v>
      </c>
    </row>
    <row r="5128">
      <c r="A5128" s="39">
        <f>_xlfn.XLOOKUP(17851,Trip[shape_id],Trip[shape_id],"Não encontrado")</f>
        <v/>
      </c>
      <c r="B5128" s="40" t="n">
        <v>-23.533299</v>
      </c>
      <c r="C5128" s="40" t="n">
        <v>-46.764496</v>
      </c>
      <c r="D5128" s="40" t="n">
        <v>340</v>
      </c>
      <c r="E5128" s="41" t="n">
        <v>34812.262</v>
      </c>
    </row>
    <row r="5129">
      <c r="A5129" s="42">
        <f>_xlfn.XLOOKUP(17851,Trip[shape_id],Trip[shape_id],"Não encontrado")</f>
        <v/>
      </c>
      <c r="B5129" s="43" t="n">
        <v>-23.533398</v>
      </c>
      <c r="C5129" s="43" t="n">
        <v>-46.765157</v>
      </c>
      <c r="D5129" s="43" t="n">
        <v>341</v>
      </c>
      <c r="E5129" s="44" t="n">
        <v>34892.063</v>
      </c>
    </row>
    <row r="5130">
      <c r="A5130" s="39">
        <f>_xlfn.XLOOKUP(17851,Trip[shape_id],Trip[shape_id],"Não encontrado")</f>
        <v/>
      </c>
      <c r="B5130" s="40" t="n">
        <v>-23.533275</v>
      </c>
      <c r="C5130" s="40" t="n">
        <v>-46.765927</v>
      </c>
      <c r="D5130" s="40" t="n">
        <v>342</v>
      </c>
      <c r="E5130" s="41" t="n">
        <v>34964.527</v>
      </c>
    </row>
    <row r="5131">
      <c r="A5131" s="42">
        <f>_xlfn.XLOOKUP(17851,Trip[shape_id],Trip[shape_id],"Não encontrado")</f>
        <v/>
      </c>
      <c r="B5131" s="43" t="n">
        <v>-23.533062</v>
      </c>
      <c r="C5131" s="43" t="n">
        <v>-46.766598</v>
      </c>
      <c r="D5131" s="43" t="n">
        <v>343</v>
      </c>
      <c r="E5131" s="44" t="n">
        <v>35072.133</v>
      </c>
    </row>
    <row r="5132">
      <c r="A5132" s="39">
        <f>_xlfn.XLOOKUP(17851,Trip[shape_id],Trip[shape_id],"Não encontrado")</f>
        <v/>
      </c>
      <c r="B5132" s="40" t="n">
        <v>-23.532698</v>
      </c>
      <c r="C5132" s="40" t="n">
        <v>-46.767575</v>
      </c>
      <c r="D5132" s="40" t="n">
        <v>344</v>
      </c>
      <c r="E5132" s="41" t="n">
        <v>35195.215</v>
      </c>
    </row>
    <row r="5133">
      <c r="A5133" s="42">
        <f>_xlfn.XLOOKUP(17851,Trip[shape_id],Trip[shape_id],"Não encontrado")</f>
        <v/>
      </c>
      <c r="B5133" s="43" t="n">
        <v>-23.532285</v>
      </c>
      <c r="C5133" s="43" t="n">
        <v>-46.768694</v>
      </c>
      <c r="D5133" s="43" t="n">
        <v>345</v>
      </c>
      <c r="E5133" s="44" t="n">
        <v>35195.215</v>
      </c>
    </row>
    <row r="5134">
      <c r="A5134" s="39">
        <f>_xlfn.XLOOKUP(17851,Trip[shape_id],Trip[shape_id],"Não encontrado")</f>
        <v/>
      </c>
      <c r="B5134" s="40" t="n">
        <v>-23.531932</v>
      </c>
      <c r="C5134" s="40" t="n">
        <v>-46.769648</v>
      </c>
      <c r="D5134" s="40" t="n">
        <v>346</v>
      </c>
      <c r="E5134" s="41" t="n">
        <v>35300.188</v>
      </c>
    </row>
    <row r="5135">
      <c r="A5135" s="42">
        <f>_xlfn.XLOOKUP(17851,Trip[shape_id],Trip[shape_id],"Não encontrado")</f>
        <v/>
      </c>
      <c r="B5135" s="43" t="n">
        <v>-23.531813</v>
      </c>
      <c r="C5135" s="43" t="n">
        <v>-46.76995</v>
      </c>
      <c r="D5135" s="43" t="n">
        <v>347</v>
      </c>
      <c r="E5135" s="44" t="n">
        <v>35333.727</v>
      </c>
    </row>
    <row r="5136">
      <c r="A5136" s="39">
        <f>_xlfn.XLOOKUP(17851,Trip[shape_id],Trip[shape_id],"Não encontrado")</f>
        <v/>
      </c>
      <c r="B5136" s="40" t="n">
        <v>-23.531406</v>
      </c>
      <c r="C5136" s="40" t="n">
        <v>-46.770946</v>
      </c>
      <c r="D5136" s="40" t="n">
        <v>348</v>
      </c>
      <c r="E5136" s="41" t="n">
        <v>35444.977</v>
      </c>
    </row>
    <row r="5137">
      <c r="A5137" s="42">
        <f>_xlfn.XLOOKUP(17851,Trip[shape_id],Trip[shape_id],"Não encontrado")</f>
        <v/>
      </c>
      <c r="B5137" s="43" t="n">
        <v>-23.531039</v>
      </c>
      <c r="C5137" s="43" t="n">
        <v>-46.771462</v>
      </c>
      <c r="D5137" s="43" t="n">
        <v>349</v>
      </c>
      <c r="E5137" s="44" t="n">
        <v>35511.523</v>
      </c>
    </row>
    <row r="5138">
      <c r="A5138" s="39">
        <f>_xlfn.XLOOKUP(17851,Trip[shape_id],Trip[shape_id],"Não encontrado")</f>
        <v/>
      </c>
      <c r="B5138" s="40" t="n">
        <v>-23.530675</v>
      </c>
      <c r="C5138" s="40" t="n">
        <v>-46.77197</v>
      </c>
      <c r="D5138" s="40" t="n">
        <v>350</v>
      </c>
      <c r="E5138" s="41" t="n">
        <v>35577.223</v>
      </c>
    </row>
    <row r="5139">
      <c r="A5139" s="42">
        <f>_xlfn.XLOOKUP(17851,Trip[shape_id],Trip[shape_id],"Não encontrado")</f>
        <v/>
      </c>
      <c r="B5139" s="43" t="n">
        <v>-23.530318</v>
      </c>
      <c r="C5139" s="43" t="n">
        <v>-46.772466</v>
      </c>
      <c r="D5139" s="43" t="n">
        <v>351</v>
      </c>
      <c r="E5139" s="44" t="n">
        <v>35641.477</v>
      </c>
    </row>
    <row r="5140">
      <c r="A5140" s="39">
        <f>_xlfn.XLOOKUP(17851,Trip[shape_id],Trip[shape_id],"Não encontrado")</f>
        <v/>
      </c>
      <c r="B5140" s="40" t="n">
        <v>-23.530089</v>
      </c>
      <c r="C5140" s="40" t="n">
        <v>-46.772763</v>
      </c>
      <c r="D5140" s="40" t="n">
        <v>352</v>
      </c>
      <c r="E5140" s="41" t="n">
        <v>35681.012</v>
      </c>
    </row>
    <row r="5141">
      <c r="A5141" s="42">
        <f>_xlfn.XLOOKUP(17851,Trip[shape_id],Trip[shape_id],"Não encontrado")</f>
        <v/>
      </c>
      <c r="B5141" s="43" t="n">
        <v>-23.528566</v>
      </c>
      <c r="C5141" s="43" t="n">
        <v>-46.774704</v>
      </c>
      <c r="D5141" s="43" t="n">
        <v>353</v>
      </c>
      <c r="E5141" s="44" t="n">
        <v>35941.277</v>
      </c>
    </row>
    <row r="5142">
      <c r="A5142" s="39">
        <f>_xlfn.XLOOKUP(17851,Trip[shape_id],Trip[shape_id],"Não encontrado")</f>
        <v/>
      </c>
      <c r="B5142" s="40" t="n">
        <v>-23.527709</v>
      </c>
      <c r="C5142" s="40" t="n">
        <v>-46.775906</v>
      </c>
      <c r="D5142" s="40" t="n">
        <v>354</v>
      </c>
      <c r="E5142" s="41" t="n">
        <v>36096.441</v>
      </c>
    </row>
    <row r="5143">
      <c r="A5143" s="42">
        <f>_xlfn.XLOOKUP(17851,Trip[shape_id],Trip[shape_id],"Não encontrado")</f>
        <v/>
      </c>
      <c r="B5143" s="43" t="n">
        <v>-23.527618</v>
      </c>
      <c r="C5143" s="43" t="n">
        <v>-46.776038</v>
      </c>
      <c r="D5143" s="43" t="n">
        <v>355</v>
      </c>
      <c r="E5143" s="44" t="n">
        <v>36113.273</v>
      </c>
    </row>
    <row r="5144">
      <c r="A5144" s="39">
        <f>_xlfn.XLOOKUP(17852,Trip[shape_id],Trip[shape_id],"Não encontrado")</f>
        <v/>
      </c>
      <c r="B5144" s="40" t="n">
        <v>-23.52559</v>
      </c>
      <c r="C5144" s="40" t="n">
        <v>-46.666964</v>
      </c>
      <c r="D5144" s="40" t="n">
        <v>1</v>
      </c>
      <c r="E5144" s="41" t="n">
        <v>0</v>
      </c>
    </row>
    <row r="5145">
      <c r="A5145" s="42">
        <f>_xlfn.XLOOKUP(17852,Trip[shape_id],Trip[shape_id],"Não encontrado")</f>
        <v/>
      </c>
      <c r="B5145" s="43" t="n">
        <v>-23.525288</v>
      </c>
      <c r="C5145" s="43" t="n">
        <v>-46.666396</v>
      </c>
      <c r="D5145" s="43" t="n">
        <v>2</v>
      </c>
      <c r="E5145" s="44" t="n">
        <v>66.95725299999999</v>
      </c>
    </row>
    <row r="5146">
      <c r="A5146" s="39">
        <f>_xlfn.XLOOKUP(17852,Trip[shape_id],Trip[shape_id],"Não encontrado")</f>
        <v/>
      </c>
      <c r="B5146" s="40" t="n">
        <v>-23.525499</v>
      </c>
      <c r="C5146" s="40" t="n">
        <v>-46.664421</v>
      </c>
      <c r="D5146" s="40" t="n">
        <v>3</v>
      </c>
      <c r="E5146" s="41" t="n">
        <v>269.9964</v>
      </c>
    </row>
    <row r="5147">
      <c r="A5147" s="42">
        <f>_xlfn.XLOOKUP(17852,Trip[shape_id],Trip[shape_id],"Não encontrado")</f>
        <v/>
      </c>
      <c r="B5147" s="43" t="n">
        <v>-23.525885</v>
      </c>
      <c r="C5147" s="43" t="n">
        <v>-46.66074</v>
      </c>
      <c r="D5147" s="43" t="n">
        <v>4</v>
      </c>
      <c r="E5147" s="44" t="n">
        <v>648.32764</v>
      </c>
    </row>
    <row r="5148">
      <c r="A5148" s="39">
        <f>_xlfn.XLOOKUP(17852,Trip[shape_id],Trip[shape_id],"Não encontrado")</f>
        <v/>
      </c>
      <c r="B5148" s="40" t="n">
        <v>-23.526247</v>
      </c>
      <c r="C5148" s="40" t="n">
        <v>-46.659027</v>
      </c>
      <c r="D5148" s="40" t="n">
        <v>5</v>
      </c>
      <c r="E5148" s="41" t="n">
        <v>827.79626</v>
      </c>
    </row>
    <row r="5149">
      <c r="A5149" s="42">
        <f>_xlfn.XLOOKUP(17852,Trip[shape_id],Trip[shape_id],"Não encontrado")</f>
        <v/>
      </c>
      <c r="B5149" s="43" t="n">
        <v>-23.527023</v>
      </c>
      <c r="C5149" s="43" t="n">
        <v>-46.6561</v>
      </c>
      <c r="D5149" s="43" t="n">
        <v>6</v>
      </c>
      <c r="E5149" s="44" t="n">
        <v>1138.813</v>
      </c>
    </row>
    <row r="5150">
      <c r="A5150" s="39">
        <f>_xlfn.XLOOKUP(17852,Trip[shape_id],Trip[shape_id],"Não encontrado")</f>
        <v/>
      </c>
      <c r="B5150" s="40" t="n">
        <v>-23.527662</v>
      </c>
      <c r="C5150" s="40" t="n">
        <v>-46.653957</v>
      </c>
      <c r="D5150" s="40" t="n">
        <v>7</v>
      </c>
      <c r="E5150" s="41" t="n">
        <v>1368.8145</v>
      </c>
    </row>
    <row r="5151">
      <c r="A5151" s="42">
        <f>_xlfn.XLOOKUP(17852,Trip[shape_id],Trip[shape_id],"Não encontrado")</f>
        <v/>
      </c>
      <c r="B5151" s="43" t="n">
        <v>-23.527997</v>
      </c>
      <c r="C5151" s="43" t="n">
        <v>-46.652677</v>
      </c>
      <c r="D5151" s="43" t="n">
        <v>8</v>
      </c>
      <c r="E5151" s="44" t="n">
        <v>1504.691</v>
      </c>
    </row>
    <row r="5152">
      <c r="A5152" s="39">
        <f>_xlfn.XLOOKUP(17852,Trip[shape_id],Trip[shape_id],"Não encontrado")</f>
        <v/>
      </c>
      <c r="B5152" s="40" t="n">
        <v>-23.52808</v>
      </c>
      <c r="C5152" s="40" t="n">
        <v>-46.651842</v>
      </c>
      <c r="D5152" s="40" t="n">
        <v>9</v>
      </c>
      <c r="E5152" s="41" t="n">
        <v>1590.4548</v>
      </c>
    </row>
    <row r="5153">
      <c r="A5153" s="42">
        <f>_xlfn.XLOOKUP(17852,Trip[shape_id],Trip[shape_id],"Não encontrado")</f>
        <v/>
      </c>
      <c r="B5153" s="43" t="n">
        <v>-23.527923</v>
      </c>
      <c r="C5153" s="43" t="n">
        <v>-46.64952</v>
      </c>
      <c r="D5153" s="43" t="n">
        <v>10</v>
      </c>
      <c r="E5153" s="44" t="n">
        <v>1828.2129</v>
      </c>
    </row>
    <row r="5154">
      <c r="A5154" s="39">
        <f>_xlfn.XLOOKUP(17852,Trip[shape_id],Trip[shape_id],"Não encontrado")</f>
        <v/>
      </c>
      <c r="B5154" s="40" t="n">
        <v>-23.527851</v>
      </c>
      <c r="C5154" s="40" t="n">
        <v>-46.648588</v>
      </c>
      <c r="D5154" s="40" t="n">
        <v>11</v>
      </c>
      <c r="E5154" s="41" t="n">
        <v>1923.7218</v>
      </c>
    </row>
    <row r="5155">
      <c r="A5155" s="42">
        <f>_xlfn.XLOOKUP(17852,Trip[shape_id],Trip[shape_id],"Não encontrado")</f>
        <v/>
      </c>
      <c r="B5155" s="43" t="n">
        <v>-23.527721</v>
      </c>
      <c r="C5155" s="43" t="n">
        <v>-46.646975</v>
      </c>
      <c r="D5155" s="43" t="n">
        <v>12</v>
      </c>
      <c r="E5155" s="44" t="n">
        <v>2089.0688</v>
      </c>
    </row>
    <row r="5156">
      <c r="A5156" s="39">
        <f>_xlfn.XLOOKUP(17852,Trip[shape_id],Trip[shape_id],"Não encontrado")</f>
        <v/>
      </c>
      <c r="B5156" s="40" t="n">
        <v>-23.527727</v>
      </c>
      <c r="C5156" s="40" t="n">
        <v>-46.64657</v>
      </c>
      <c r="D5156" s="40" t="n">
        <v>13</v>
      </c>
      <c r="E5156" s="41" t="n">
        <v>2130.4326</v>
      </c>
    </row>
    <row r="5157">
      <c r="A5157" s="42">
        <f>_xlfn.XLOOKUP(17852,Trip[shape_id],Trip[shape_id],"Não encontrado")</f>
        <v/>
      </c>
      <c r="B5157" s="43" t="n">
        <v>-23.527815</v>
      </c>
      <c r="C5157" s="43" t="n">
        <v>-46.645919</v>
      </c>
      <c r="D5157" s="43" t="n">
        <v>14</v>
      </c>
      <c r="E5157" s="44" t="n">
        <v>2197.623</v>
      </c>
    </row>
    <row r="5158">
      <c r="A5158" s="39">
        <f>_xlfn.XLOOKUP(17852,Trip[shape_id],Trip[shape_id],"Não encontrado")</f>
        <v/>
      </c>
      <c r="B5158" s="40" t="n">
        <v>-23.527944</v>
      </c>
      <c r="C5158" s="40" t="n">
        <v>-46.645316</v>
      </c>
      <c r="D5158" s="40" t="n">
        <v>15</v>
      </c>
      <c r="E5158" s="41" t="n">
        <v>2260.8369</v>
      </c>
    </row>
    <row r="5159">
      <c r="A5159" s="42">
        <f>_xlfn.XLOOKUP(17852,Trip[shape_id],Trip[shape_id],"Não encontrado")</f>
        <v/>
      </c>
      <c r="B5159" s="43" t="n">
        <v>-23.528058</v>
      </c>
      <c r="C5159" s="43" t="n">
        <v>-46.64493</v>
      </c>
      <c r="D5159" s="43" t="n">
        <v>16</v>
      </c>
      <c r="E5159" s="44" t="n">
        <v>2302.2278</v>
      </c>
    </row>
    <row r="5160">
      <c r="A5160" s="39">
        <f>_xlfn.XLOOKUP(17852,Trip[shape_id],Trip[shape_id],"Não encontrado")</f>
        <v/>
      </c>
      <c r="B5160" s="40" t="n">
        <v>-23.528246</v>
      </c>
      <c r="C5160" s="40" t="n">
        <v>-46.644405</v>
      </c>
      <c r="D5160" s="40" t="n">
        <v>17</v>
      </c>
      <c r="E5160" s="41" t="n">
        <v>2359.7415</v>
      </c>
    </row>
    <row r="5161">
      <c r="A5161" s="42">
        <f>_xlfn.XLOOKUP(17852,Trip[shape_id],Trip[shape_id],"Não encontrado")</f>
        <v/>
      </c>
      <c r="B5161" s="43" t="n">
        <v>-23.528683</v>
      </c>
      <c r="C5161" s="43" t="n">
        <v>-46.643613</v>
      </c>
      <c r="D5161" s="43" t="n">
        <v>18</v>
      </c>
      <c r="E5161" s="44" t="n">
        <v>2453.9949</v>
      </c>
    </row>
    <row r="5162">
      <c r="A5162" s="39">
        <f>_xlfn.XLOOKUP(17852,Trip[shape_id],Trip[shape_id],"Não encontrado")</f>
        <v/>
      </c>
      <c r="B5162" s="40" t="n">
        <v>-23.528962</v>
      </c>
      <c r="C5162" s="40" t="n">
        <v>-46.643203</v>
      </c>
      <c r="D5162" s="40" t="n">
        <v>19</v>
      </c>
      <c r="E5162" s="41" t="n">
        <v>2506.031</v>
      </c>
    </row>
    <row r="5163">
      <c r="A5163" s="42">
        <f>_xlfn.XLOOKUP(17852,Trip[shape_id],Trip[shape_id],"Não encontrado")</f>
        <v/>
      </c>
      <c r="B5163" s="43" t="n">
        <v>-23.529282</v>
      </c>
      <c r="C5163" s="43" t="n">
        <v>-46.642809</v>
      </c>
      <c r="D5163" s="43" t="n">
        <v>20</v>
      </c>
      <c r="E5163" s="44" t="n">
        <v>2559.6487</v>
      </c>
    </row>
    <row r="5164">
      <c r="A5164" s="39">
        <f>_xlfn.XLOOKUP(17852,Trip[shape_id],Trip[shape_id],"Não encontrado")</f>
        <v/>
      </c>
      <c r="B5164" s="40" t="n">
        <v>-23.529945</v>
      </c>
      <c r="C5164" s="40" t="n">
        <v>-46.642168</v>
      </c>
      <c r="D5164" s="40" t="n">
        <v>21</v>
      </c>
      <c r="E5164" s="41" t="n">
        <v>2658.0176</v>
      </c>
    </row>
    <row r="5165">
      <c r="A5165" s="42">
        <f>_xlfn.XLOOKUP(17852,Trip[shape_id],Trip[shape_id],"Não encontrado")</f>
        <v/>
      </c>
      <c r="B5165" s="43" t="n">
        <v>-23.53012</v>
      </c>
      <c r="C5165" s="43" t="n">
        <v>-46.642007</v>
      </c>
      <c r="D5165" s="43" t="n">
        <v>22</v>
      </c>
      <c r="E5165" s="44" t="n">
        <v>2683.4331</v>
      </c>
    </row>
    <row r="5166">
      <c r="A5166" s="39">
        <f>_xlfn.XLOOKUP(17852,Trip[shape_id],Trip[shape_id],"Não encontrado")</f>
        <v/>
      </c>
      <c r="B5166" s="40" t="n">
        <v>-23.531352</v>
      </c>
      <c r="C5166" s="40" t="n">
        <v>-46.641305</v>
      </c>
      <c r="D5166" s="40" t="n">
        <v>23</v>
      </c>
      <c r="E5166" s="41" t="n">
        <v>2837.5642</v>
      </c>
    </row>
    <row r="5167">
      <c r="A5167" s="42">
        <f>_xlfn.XLOOKUP(17852,Trip[shape_id],Trip[shape_id],"Não encontrado")</f>
        <v/>
      </c>
      <c r="B5167" s="43" t="n">
        <v>-23.53289</v>
      </c>
      <c r="C5167" s="43" t="n">
        <v>-46.640298</v>
      </c>
      <c r="D5167" s="43" t="n">
        <v>24</v>
      </c>
      <c r="E5167" s="44" t="n">
        <v>3036.533</v>
      </c>
    </row>
    <row r="5168">
      <c r="A5168" s="39">
        <f>_xlfn.XLOOKUP(17852,Trip[shape_id],Trip[shape_id],"Não encontrado")</f>
        <v/>
      </c>
      <c r="B5168" s="40" t="n">
        <v>-23.533477</v>
      </c>
      <c r="C5168" s="40" t="n">
        <v>-46.639663</v>
      </c>
      <c r="D5168" s="40" t="n">
        <v>25</v>
      </c>
      <c r="E5168" s="41" t="n">
        <v>3128.354</v>
      </c>
    </row>
    <row r="5169">
      <c r="A5169" s="42">
        <f>_xlfn.XLOOKUP(17852,Trip[shape_id],Trip[shape_id],"Não encontrado")</f>
        <v/>
      </c>
      <c r="B5169" s="43" t="n">
        <v>-23.53416</v>
      </c>
      <c r="C5169" s="43" t="n">
        <v>-46.638656</v>
      </c>
      <c r="D5169" s="43" t="n">
        <v>26</v>
      </c>
      <c r="E5169" s="44" t="n">
        <v>3256.0093</v>
      </c>
    </row>
    <row r="5170">
      <c r="A5170" s="39">
        <f>_xlfn.XLOOKUP(17852,Trip[shape_id],Trip[shape_id],"Não encontrado")</f>
        <v/>
      </c>
      <c r="B5170" s="40" t="n">
        <v>-23.53466</v>
      </c>
      <c r="C5170" s="40" t="n">
        <v>-46.637345</v>
      </c>
      <c r="D5170" s="40" t="n">
        <v>27</v>
      </c>
      <c r="E5170" s="41" t="n">
        <v>3400.8823</v>
      </c>
    </row>
    <row r="5171">
      <c r="A5171" s="42">
        <f>_xlfn.XLOOKUP(17852,Trip[shape_id],Trip[shape_id],"Não encontrado")</f>
        <v/>
      </c>
      <c r="B5171" s="43" t="n">
        <v>-23.53473</v>
      </c>
      <c r="C5171" s="43" t="n">
        <v>-46.637098</v>
      </c>
      <c r="D5171" s="43" t="n">
        <v>28</v>
      </c>
      <c r="E5171" s="44" t="n">
        <v>3427.269</v>
      </c>
    </row>
    <row r="5172">
      <c r="A5172" s="39">
        <f>_xlfn.XLOOKUP(17852,Trip[shape_id],Trip[shape_id],"Não encontrado")</f>
        <v/>
      </c>
      <c r="B5172" s="40" t="n">
        <v>-23.534943</v>
      </c>
      <c r="C5172" s="40" t="n">
        <v>-46.636257</v>
      </c>
      <c r="D5172" s="40" t="n">
        <v>29</v>
      </c>
      <c r="E5172" s="41" t="n">
        <v>3516.3281</v>
      </c>
    </row>
    <row r="5173">
      <c r="A5173" s="42">
        <f>_xlfn.XLOOKUP(17852,Trip[shape_id],Trip[shape_id],"Não encontrado")</f>
        <v/>
      </c>
      <c r="B5173" s="43" t="n">
        <v>-23.535131</v>
      </c>
      <c r="C5173" s="43" t="n">
        <v>-46.635476</v>
      </c>
      <c r="D5173" s="43" t="n">
        <v>30</v>
      </c>
      <c r="E5173" s="44" t="n">
        <v>3598.7522</v>
      </c>
    </row>
    <row r="5174">
      <c r="A5174" s="39">
        <f>_xlfn.XLOOKUP(17852,Trip[shape_id],Trip[shape_id],"Não encontrado")</f>
        <v/>
      </c>
      <c r="B5174" s="40" t="n">
        <v>-23.535167</v>
      </c>
      <c r="C5174" s="40" t="n">
        <v>-46.635349</v>
      </c>
      <c r="D5174" s="40" t="n">
        <v>31</v>
      </c>
      <c r="E5174" s="41" t="n">
        <v>3612.3196</v>
      </c>
    </row>
    <row r="5175">
      <c r="A5175" s="42">
        <f>_xlfn.XLOOKUP(17852,Trip[shape_id],Trip[shape_id],"Não encontrado")</f>
        <v/>
      </c>
      <c r="B5175" s="43" t="n">
        <v>-23.53557</v>
      </c>
      <c r="C5175" s="43" t="n">
        <v>-46.634102</v>
      </c>
      <c r="D5175" s="43" t="n">
        <v>32</v>
      </c>
      <c r="E5175" s="44" t="n">
        <v>3862.4829</v>
      </c>
    </row>
    <row r="5176">
      <c r="A5176" s="39">
        <f>_xlfn.XLOOKUP(17852,Trip[shape_id],Trip[shape_id],"Não encontrado")</f>
        <v/>
      </c>
      <c r="B5176" s="40" t="n">
        <v>-23.535814</v>
      </c>
      <c r="C5176" s="40" t="n">
        <v>-46.633005</v>
      </c>
      <c r="D5176" s="40" t="n">
        <v>33</v>
      </c>
      <c r="E5176" s="41" t="n">
        <v>4020.9854</v>
      </c>
    </row>
    <row r="5177">
      <c r="A5177" s="42">
        <f>_xlfn.XLOOKUP(17852,Trip[shape_id],Trip[shape_id],"Não encontrado")</f>
        <v/>
      </c>
      <c r="B5177" s="43" t="n">
        <v>-23.536199</v>
      </c>
      <c r="C5177" s="43" t="n">
        <v>-46.63151</v>
      </c>
      <c r="D5177" s="43" t="n">
        <v>34</v>
      </c>
      <c r="E5177" s="44" t="n">
        <v>4215.186</v>
      </c>
    </row>
    <row r="5178">
      <c r="A5178" s="39">
        <f>_xlfn.XLOOKUP(17852,Trip[shape_id],Trip[shape_id],"Não encontrado")</f>
        <v/>
      </c>
      <c r="B5178" s="40" t="n">
        <v>-23.536686</v>
      </c>
      <c r="C5178" s="40" t="n">
        <v>-46.629683</v>
      </c>
      <c r="D5178" s="40" t="n">
        <v>35</v>
      </c>
      <c r="E5178" s="41" t="n">
        <v>4627.3535</v>
      </c>
    </row>
    <row r="5179">
      <c r="A5179" s="42">
        <f>_xlfn.XLOOKUP(17852,Trip[shape_id],Trip[shape_id],"Não encontrado")</f>
        <v/>
      </c>
      <c r="B5179" s="43" t="n">
        <v>-23.537699</v>
      </c>
      <c r="C5179" s="43" t="n">
        <v>-46.625799</v>
      </c>
      <c r="D5179" s="43" t="n">
        <v>36</v>
      </c>
      <c r="E5179" s="44" t="n">
        <v>4709.0854</v>
      </c>
    </row>
    <row r="5180">
      <c r="A5180" s="39">
        <f>_xlfn.XLOOKUP(17852,Trip[shape_id],Trip[shape_id],"Não encontrado")</f>
        <v/>
      </c>
      <c r="B5180" s="40" t="n">
        <v>-23.53791</v>
      </c>
      <c r="C5180" s="40" t="n">
        <v>-46.625032</v>
      </c>
      <c r="D5180" s="40" t="n">
        <v>37</v>
      </c>
      <c r="E5180" s="41" t="n">
        <v>4837.1494</v>
      </c>
    </row>
    <row r="5181">
      <c r="A5181" s="42">
        <f>_xlfn.XLOOKUP(17852,Trip[shape_id],Trip[shape_id],"Não encontrado")</f>
        <v/>
      </c>
      <c r="B5181" s="43" t="n">
        <v>-23.538286</v>
      </c>
      <c r="C5181" s="43" t="n">
        <v>-46.623846</v>
      </c>
      <c r="D5181" s="43" t="n">
        <v>38</v>
      </c>
      <c r="E5181" s="44" t="n">
        <v>4930.8618</v>
      </c>
    </row>
    <row r="5182">
      <c r="A5182" s="39">
        <f>_xlfn.XLOOKUP(17852,Trip[shape_id],Trip[shape_id],"Não encontrado")</f>
        <v/>
      </c>
      <c r="B5182" s="40" t="n">
        <v>-23.538699</v>
      </c>
      <c r="C5182" s="40" t="n">
        <v>-46.623045</v>
      </c>
      <c r="D5182" s="40" t="n">
        <v>39</v>
      </c>
      <c r="E5182" s="41" t="n">
        <v>5032.7676</v>
      </c>
    </row>
    <row r="5183">
      <c r="A5183" s="42">
        <f>_xlfn.XLOOKUP(17852,Trip[shape_id],Trip[shape_id],"Não encontrado")</f>
        <v/>
      </c>
      <c r="B5183" s="43" t="n">
        <v>-23.539133</v>
      </c>
      <c r="C5183" s="43" t="n">
        <v>-46.622165</v>
      </c>
      <c r="D5183" s="43" t="n">
        <v>40</v>
      </c>
      <c r="E5183" s="44" t="n">
        <v>5147.8306</v>
      </c>
    </row>
    <row r="5184">
      <c r="A5184" s="39">
        <f>_xlfn.XLOOKUP(17852,Trip[shape_id],Trip[shape_id],"Não encontrado")</f>
        <v/>
      </c>
      <c r="B5184" s="40" t="n">
        <v>-23.539721</v>
      </c>
      <c r="C5184" s="40" t="n">
        <v>-46.621236</v>
      </c>
      <c r="D5184" s="40" t="n">
        <v>41</v>
      </c>
      <c r="E5184" s="41" t="n">
        <v>5289.7427</v>
      </c>
    </row>
    <row r="5185">
      <c r="A5185" s="42">
        <f>_xlfn.XLOOKUP(17852,Trip[shape_id],Trip[shape_id],"Não encontrado")</f>
        <v/>
      </c>
      <c r="B5185" s="43" t="n">
        <v>-23.540532</v>
      </c>
      <c r="C5185" s="43" t="n">
        <v>-46.62016</v>
      </c>
      <c r="D5185" s="43" t="n">
        <v>42</v>
      </c>
      <c r="E5185" s="44" t="n">
        <v>5412.2051</v>
      </c>
    </row>
    <row r="5186">
      <c r="A5186" s="39">
        <f>_xlfn.XLOOKUP(17852,Trip[shape_id],Trip[shape_id],"Não encontrado")</f>
        <v/>
      </c>
      <c r="B5186" s="40" t="n">
        <v>-23.541417</v>
      </c>
      <c r="C5186" s="40" t="n">
        <v>-46.619441</v>
      </c>
      <c r="D5186" s="40" t="n">
        <v>43</v>
      </c>
      <c r="E5186" s="41" t="n">
        <v>5464.5874</v>
      </c>
    </row>
    <row r="5187">
      <c r="A5187" s="42">
        <f>_xlfn.XLOOKUP(17852,Trip[shape_id],Trip[shape_id],"Não encontrado")</f>
        <v/>
      </c>
      <c r="B5187" s="43" t="n">
        <v>-23.5418</v>
      </c>
      <c r="C5187" s="43" t="n">
        <v>-46.61914</v>
      </c>
      <c r="D5187" s="43" t="n">
        <v>44</v>
      </c>
      <c r="E5187" s="44" t="n">
        <v>5515.3843</v>
      </c>
    </row>
    <row r="5188">
      <c r="A5188" s="39">
        <f>_xlfn.XLOOKUP(17852,Trip[shape_id],Trip[shape_id],"Não encontrado")</f>
        <v/>
      </c>
      <c r="B5188" s="40" t="n">
        <v>-23.542172</v>
      </c>
      <c r="C5188" s="40" t="n">
        <v>-46.618849</v>
      </c>
      <c r="D5188" s="40" t="n">
        <v>45</v>
      </c>
      <c r="E5188" s="41" t="n">
        <v>5685.6523</v>
      </c>
    </row>
    <row r="5189">
      <c r="A5189" s="42">
        <f>_xlfn.XLOOKUP(17852,Trip[shape_id],Trip[shape_id],"Não encontrado")</f>
        <v/>
      </c>
      <c r="B5189" s="43" t="n">
        <v>-23.543431</v>
      </c>
      <c r="C5189" s="43" t="n">
        <v>-46.617892</v>
      </c>
      <c r="D5189" s="43" t="n">
        <v>46</v>
      </c>
      <c r="E5189" s="44" t="n">
        <v>5749.291</v>
      </c>
    </row>
    <row r="5190">
      <c r="A5190" s="39">
        <f>_xlfn.XLOOKUP(17852,Trip[shape_id],Trip[shape_id],"Não encontrado")</f>
        <v/>
      </c>
      <c r="B5190" s="40" t="n">
        <v>-23.543902</v>
      </c>
      <c r="C5190" s="40" t="n">
        <v>-46.617535</v>
      </c>
      <c r="D5190" s="40" t="n">
        <v>47</v>
      </c>
      <c r="E5190" s="41" t="n">
        <v>5768.5894</v>
      </c>
    </row>
    <row r="5191">
      <c r="A5191" s="42">
        <f>_xlfn.XLOOKUP(17852,Trip[shape_id],Trip[shape_id],"Não encontrado")</f>
        <v/>
      </c>
      <c r="B5191" s="43" t="n">
        <v>-23.544045</v>
      </c>
      <c r="C5191" s="43" t="n">
        <v>-46.617427</v>
      </c>
      <c r="D5191" s="43" t="n">
        <v>48</v>
      </c>
      <c r="E5191" s="44" t="n">
        <v>5936.9492</v>
      </c>
    </row>
    <row r="5192">
      <c r="A5192" s="39">
        <f>_xlfn.XLOOKUP(17852,Trip[shape_id],Trip[shape_id],"Não encontrado")</f>
        <v/>
      </c>
      <c r="B5192" s="40" t="n">
        <v>-23.545309</v>
      </c>
      <c r="C5192" s="40" t="n">
        <v>-46.616511</v>
      </c>
      <c r="D5192" s="40" t="n">
        <v>49</v>
      </c>
      <c r="E5192" s="41" t="n">
        <v>5936.9492</v>
      </c>
    </row>
    <row r="5193">
      <c r="A5193" s="42">
        <f>_xlfn.XLOOKUP(17852,Trip[shape_id],Trip[shape_id],"Não encontrado")</f>
        <v/>
      </c>
      <c r="B5193" s="43" t="n">
        <v>-23.547453</v>
      </c>
      <c r="C5193" s="43" t="n">
        <v>-46.615082</v>
      </c>
      <c r="D5193" s="43" t="n">
        <v>50</v>
      </c>
      <c r="E5193" s="44" t="n">
        <v>6027.374</v>
      </c>
    </row>
    <row r="5194">
      <c r="A5194" s="39">
        <f>_xlfn.XLOOKUP(17852,Trip[shape_id],Trip[shape_id],"Não encontrado")</f>
        <v/>
      </c>
      <c r="B5194" s="40" t="n">
        <v>-23.548149</v>
      </c>
      <c r="C5194" s="40" t="n">
        <v>-46.614619</v>
      </c>
      <c r="D5194" s="40" t="n">
        <v>51</v>
      </c>
      <c r="E5194" s="41" t="n">
        <v>6072.2114</v>
      </c>
    </row>
    <row r="5195">
      <c r="A5195" s="42">
        <f>_xlfn.XLOOKUP(17852,Trip[shape_id],Trip[shape_id],"Não encontrado")</f>
        <v/>
      </c>
      <c r="B5195" s="43" t="n">
        <v>-23.548495</v>
      </c>
      <c r="C5195" s="43" t="n">
        <v>-46.614391</v>
      </c>
      <c r="D5195" s="43" t="n">
        <v>52</v>
      </c>
      <c r="E5195" s="44" t="n">
        <v>6222.2393</v>
      </c>
    </row>
    <row r="5196">
      <c r="A5196" s="39">
        <f>_xlfn.XLOOKUP(17852,Trip[shape_id],Trip[shape_id],"Não encontrado")</f>
        <v/>
      </c>
      <c r="B5196" s="40" t="n">
        <v>-23.549651</v>
      </c>
      <c r="C5196" s="40" t="n">
        <v>-46.613625</v>
      </c>
      <c r="D5196" s="40" t="n">
        <v>53</v>
      </c>
      <c r="E5196" s="41" t="n">
        <v>6347.4395</v>
      </c>
    </row>
    <row r="5197">
      <c r="A5197" s="42">
        <f>_xlfn.XLOOKUP(17852,Trip[shape_id],Trip[shape_id],"Não encontrado")</f>
        <v/>
      </c>
      <c r="B5197" s="43" t="n">
        <v>-23.550613</v>
      </c>
      <c r="C5197" s="43" t="n">
        <v>-46.612981</v>
      </c>
      <c r="D5197" s="43" t="n">
        <v>54</v>
      </c>
      <c r="E5197" s="44" t="n">
        <v>6664.6377</v>
      </c>
    </row>
    <row r="5198">
      <c r="A5198" s="39">
        <f>_xlfn.XLOOKUP(17852,Trip[shape_id],Trip[shape_id],"Não encontrado")</f>
        <v/>
      </c>
      <c r="B5198" s="40" t="n">
        <v>-23.553018</v>
      </c>
      <c r="C5198" s="40" t="n">
        <v>-46.611294</v>
      </c>
      <c r="D5198" s="40" t="n">
        <v>55</v>
      </c>
      <c r="E5198" s="41" t="n">
        <v>6912.4097</v>
      </c>
    </row>
    <row r="5199">
      <c r="A5199" s="42">
        <f>_xlfn.XLOOKUP(17852,Trip[shape_id],Trip[shape_id],"Não encontrado")</f>
        <v/>
      </c>
      <c r="B5199" s="43" t="n">
        <v>-23.554903</v>
      </c>
      <c r="C5199" s="43" t="n">
        <v>-46.609987</v>
      </c>
      <c r="D5199" s="43" t="n">
        <v>56</v>
      </c>
      <c r="E5199" s="44" t="n">
        <v>6971.4331</v>
      </c>
    </row>
    <row r="5200">
      <c r="A5200" s="39">
        <f>_xlfn.XLOOKUP(17852,Trip[shape_id],Trip[shape_id],"Não encontrado")</f>
        <v/>
      </c>
      <c r="B5200" s="40" t="n">
        <v>-23.555354</v>
      </c>
      <c r="C5200" s="40" t="n">
        <v>-46.609679</v>
      </c>
      <c r="D5200" s="40" t="n">
        <v>57</v>
      </c>
      <c r="E5200" s="41" t="n">
        <v>6995.0854</v>
      </c>
    </row>
    <row r="5201">
      <c r="A5201" s="42">
        <f>_xlfn.XLOOKUP(17852,Trip[shape_id],Trip[shape_id],"Não encontrado")</f>
        <v/>
      </c>
      <c r="B5201" s="43" t="n">
        <v>-23.555532</v>
      </c>
      <c r="C5201" s="43" t="n">
        <v>-46.609551</v>
      </c>
      <c r="D5201" s="43" t="n">
        <v>58</v>
      </c>
      <c r="E5201" s="44" t="n">
        <v>7131.9497</v>
      </c>
    </row>
    <row r="5202">
      <c r="A5202" s="39">
        <f>_xlfn.XLOOKUP(17852,Trip[shape_id],Trip[shape_id],"Não encontrado")</f>
        <v/>
      </c>
      <c r="B5202" s="40" t="n">
        <v>-23.556631</v>
      </c>
      <c r="C5202" s="40" t="n">
        <v>-46.608938</v>
      </c>
      <c r="D5202" s="40" t="n">
        <v>59</v>
      </c>
      <c r="E5202" s="41" t="n">
        <v>7268.957</v>
      </c>
    </row>
    <row r="5203">
      <c r="A5203" s="42">
        <f>_xlfn.XLOOKUP(17852,Trip[shape_id],Trip[shape_id],"Não encontrado")</f>
        <v/>
      </c>
      <c r="B5203" s="43" t="n">
        <v>-23.557776</v>
      </c>
      <c r="C5203" s="43" t="n">
        <v>-46.60843</v>
      </c>
      <c r="D5203" s="43" t="n">
        <v>60</v>
      </c>
      <c r="E5203" s="44" t="n">
        <v>7268.957</v>
      </c>
    </row>
    <row r="5204">
      <c r="A5204" s="39">
        <f>_xlfn.XLOOKUP(17852,Trip[shape_id],Trip[shape_id],"Não encontrado")</f>
        <v/>
      </c>
      <c r="B5204" s="40" t="n">
        <v>-23.558445</v>
      </c>
      <c r="C5204" s="40" t="n">
        <v>-46.608103</v>
      </c>
      <c r="D5204" s="40" t="n">
        <v>61</v>
      </c>
      <c r="E5204" s="41" t="n">
        <v>7498.9297</v>
      </c>
    </row>
    <row r="5205">
      <c r="A5205" s="42">
        <f>_xlfn.XLOOKUP(17852,Trip[shape_id],Trip[shape_id],"Não encontrado")</f>
        <v/>
      </c>
      <c r="B5205" s="43" t="n">
        <v>-23.559681</v>
      </c>
      <c r="C5205" s="43" t="n">
        <v>-46.607534</v>
      </c>
      <c r="D5205" s="43" t="n">
        <v>62</v>
      </c>
      <c r="E5205" s="44" t="n">
        <v>9129.415000000001</v>
      </c>
    </row>
    <row r="5206">
      <c r="A5206" s="39">
        <f>_xlfn.XLOOKUP(17852,Trip[shape_id],Trip[shape_id],"Não encontrado")</f>
        <v/>
      </c>
      <c r="B5206" s="40" t="n">
        <v>-23.573131</v>
      </c>
      <c r="C5206" s="40" t="n">
        <v>-46.60104</v>
      </c>
      <c r="D5206" s="40" t="n">
        <v>63</v>
      </c>
      <c r="E5206" s="41" t="n">
        <v>9659.454100000001</v>
      </c>
    </row>
    <row r="5207">
      <c r="A5207" s="42">
        <f>_xlfn.XLOOKUP(17852,Trip[shape_id],Trip[shape_id],"Não encontrado")</f>
        <v/>
      </c>
      <c r="B5207" s="43" t="n">
        <v>-23.577514</v>
      </c>
      <c r="C5207" s="43" t="n">
        <v>-46.598955</v>
      </c>
      <c r="D5207" s="43" t="n">
        <v>64</v>
      </c>
      <c r="E5207" s="44" t="n">
        <v>10226.366</v>
      </c>
    </row>
    <row r="5208">
      <c r="A5208" s="39">
        <f>_xlfn.XLOOKUP(17852,Trip[shape_id],Trip[shape_id],"Não encontrado")</f>
        <v/>
      </c>
      <c r="B5208" s="40" t="n">
        <v>-23.582212</v>
      </c>
      <c r="C5208" s="40" t="n">
        <v>-46.59675</v>
      </c>
      <c r="D5208" s="40" t="n">
        <v>65</v>
      </c>
      <c r="E5208" s="41" t="n">
        <v>10244.002</v>
      </c>
    </row>
    <row r="5209">
      <c r="A5209" s="42">
        <f>_xlfn.XLOOKUP(17852,Trip[shape_id],Trip[shape_id],"Não encontrado")</f>
        <v/>
      </c>
      <c r="B5209" s="43" t="n">
        <v>-23.582355</v>
      </c>
      <c r="C5209" s="43" t="n">
        <v>-46.596674</v>
      </c>
      <c r="D5209" s="43" t="n">
        <v>66</v>
      </c>
      <c r="E5209" s="44" t="n">
        <v>10244.002</v>
      </c>
    </row>
    <row r="5210">
      <c r="A5210" s="39">
        <f>_xlfn.XLOOKUP(17852,Trip[shape_id],Trip[shape_id],"Não encontrado")</f>
        <v/>
      </c>
      <c r="B5210" s="40" t="n">
        <v>-23.582844</v>
      </c>
      <c r="C5210" s="40" t="n">
        <v>-46.596383</v>
      </c>
      <c r="D5210" s="40" t="n">
        <v>67</v>
      </c>
      <c r="E5210" s="41" t="n">
        <v>10483.281</v>
      </c>
    </row>
    <row r="5211">
      <c r="A5211" s="42">
        <f>_xlfn.XLOOKUP(17852,Trip[shape_id],Trip[shape_id],"Não encontrado")</f>
        <v/>
      </c>
      <c r="B5211" s="43" t="n">
        <v>-23.584335</v>
      </c>
      <c r="C5211" s="43" t="n">
        <v>-46.595745</v>
      </c>
      <c r="D5211" s="43" t="n">
        <v>68</v>
      </c>
      <c r="E5211" s="44" t="n">
        <v>10664.389</v>
      </c>
    </row>
    <row r="5212">
      <c r="A5212" s="39">
        <f>_xlfn.XLOOKUP(17852,Trip[shape_id],Trip[shape_id],"Não encontrado")</f>
        <v/>
      </c>
      <c r="B5212" s="40" t="n">
        <v>-23.58581</v>
      </c>
      <c r="C5212" s="40" t="n">
        <v>-46.594979</v>
      </c>
      <c r="D5212" s="40" t="n">
        <v>69</v>
      </c>
      <c r="E5212" s="41" t="n">
        <v>10765.148</v>
      </c>
    </row>
    <row r="5213">
      <c r="A5213" s="42">
        <f>_xlfn.XLOOKUP(17852,Trip[shape_id],Trip[shape_id],"Não encontrado")</f>
        <v/>
      </c>
      <c r="B5213" s="43" t="n">
        <v>-23.586613</v>
      </c>
      <c r="C5213" s="43" t="n">
        <v>-46.594515</v>
      </c>
      <c r="D5213" s="43" t="n">
        <v>70</v>
      </c>
      <c r="E5213" s="44" t="n">
        <v>11027.183</v>
      </c>
    </row>
    <row r="5214">
      <c r="A5214" s="39">
        <f>_xlfn.XLOOKUP(17852,Trip[shape_id],Trip[shape_id],"Não encontrado")</f>
        <v/>
      </c>
      <c r="B5214" s="40" t="n">
        <v>-23.588523</v>
      </c>
      <c r="C5214" s="40" t="n">
        <v>-46.593</v>
      </c>
      <c r="D5214" s="40" t="n">
        <v>71</v>
      </c>
      <c r="E5214" s="41" t="n">
        <v>11323.982</v>
      </c>
    </row>
    <row r="5215">
      <c r="A5215" s="42">
        <f>_xlfn.XLOOKUP(17852,Trip[shape_id],Trip[shape_id],"Não encontrado")</f>
        <v/>
      </c>
      <c r="B5215" s="43" t="n">
        <v>-23.590632</v>
      </c>
      <c r="C5215" s="43" t="n">
        <v>-46.591206</v>
      </c>
      <c r="D5215" s="43" t="n">
        <v>72</v>
      </c>
      <c r="E5215" s="44" t="n">
        <v>11612.86</v>
      </c>
    </row>
    <row r="5216">
      <c r="A5216" s="39">
        <f>_xlfn.XLOOKUP(17852,Trip[shape_id],Trip[shape_id],"Não encontrado")</f>
        <v/>
      </c>
      <c r="B5216" s="40" t="n">
        <v>-23.592697</v>
      </c>
      <c r="C5216" s="40" t="n">
        <v>-46.589477</v>
      </c>
      <c r="D5216" s="40" t="n">
        <v>73</v>
      </c>
      <c r="E5216" s="41" t="n">
        <v>11612.86</v>
      </c>
    </row>
    <row r="5217">
      <c r="A5217" s="42">
        <f>_xlfn.XLOOKUP(17852,Trip[shape_id],Trip[shape_id],"Não encontrado")</f>
        <v/>
      </c>
      <c r="B5217" s="43" t="n">
        <v>-23.59364</v>
      </c>
      <c r="C5217" s="43" t="n">
        <v>-46.588673</v>
      </c>
      <c r="D5217" s="43" t="n">
        <v>74</v>
      </c>
      <c r="E5217" s="44" t="n">
        <v>11924.863</v>
      </c>
    </row>
    <row r="5218">
      <c r="A5218" s="39">
        <f>_xlfn.XLOOKUP(17852,Trip[shape_id],Trip[shape_id],"Não encontrado")</f>
        <v/>
      </c>
      <c r="B5218" s="40" t="n">
        <v>-23.594914</v>
      </c>
      <c r="C5218" s="40" t="n">
        <v>-46.587591</v>
      </c>
      <c r="D5218" s="40" t="n">
        <v>75</v>
      </c>
      <c r="E5218" s="41" t="n">
        <v>11994.472</v>
      </c>
    </row>
    <row r="5219">
      <c r="A5219" s="42">
        <f>_xlfn.XLOOKUP(17852,Trip[shape_id],Trip[shape_id],"Não encontrado")</f>
        <v/>
      </c>
      <c r="B5219" s="43" t="n">
        <v>-23.595407</v>
      </c>
      <c r="C5219" s="43" t="n">
        <v>-46.587168</v>
      </c>
      <c r="D5219" s="43" t="n">
        <v>76</v>
      </c>
      <c r="E5219" s="44" t="n">
        <v>12230.313</v>
      </c>
    </row>
    <row r="5220">
      <c r="A5220" s="39">
        <f>_xlfn.XLOOKUP(17852,Trip[shape_id],Trip[shape_id],"Não encontrado")</f>
        <v/>
      </c>
      <c r="B5220" s="40" t="n">
        <v>-23.597084</v>
      </c>
      <c r="C5220" s="40" t="n">
        <v>-46.585744</v>
      </c>
      <c r="D5220" s="40" t="n">
        <v>77</v>
      </c>
      <c r="E5220" s="41" t="n">
        <v>12369.536</v>
      </c>
    </row>
    <row r="5221">
      <c r="A5221" s="42">
        <f>_xlfn.XLOOKUP(17852,Trip[shape_id],Trip[shape_id],"Não encontrado")</f>
        <v/>
      </c>
      <c r="B5221" s="43" t="n">
        <v>-23.598073</v>
      </c>
      <c r="C5221" s="43" t="n">
        <v>-46.584902</v>
      </c>
      <c r="D5221" s="43" t="n">
        <v>78</v>
      </c>
      <c r="E5221" s="44" t="n">
        <v>12593.637</v>
      </c>
    </row>
    <row r="5222">
      <c r="A5222" s="39">
        <f>_xlfn.XLOOKUP(17852,Trip[shape_id],Trip[shape_id],"Não encontrado")</f>
        <v/>
      </c>
      <c r="B5222" s="40" t="n">
        <v>-23.599663</v>
      </c>
      <c r="C5222" s="40" t="n">
        <v>-46.583544</v>
      </c>
      <c r="D5222" s="40" t="n">
        <v>79</v>
      </c>
      <c r="E5222" s="41" t="n">
        <v>12669.172</v>
      </c>
    </row>
    <row r="5223">
      <c r="A5223" s="42">
        <f>_xlfn.XLOOKUP(17852,Trip[shape_id],Trip[shape_id],"Não encontrado")</f>
        <v/>
      </c>
      <c r="B5223" s="43" t="n">
        <v>-23.600198</v>
      </c>
      <c r="C5223" s="43" t="n">
        <v>-46.583085</v>
      </c>
      <c r="D5223" s="43" t="n">
        <v>80</v>
      </c>
      <c r="E5223" s="44" t="n">
        <v>12854.174</v>
      </c>
    </row>
    <row r="5224">
      <c r="A5224" s="39">
        <f>_xlfn.XLOOKUP(17852,Trip[shape_id],Trip[shape_id],"Não encontrado")</f>
        <v/>
      </c>
      <c r="B5224" s="40" t="n">
        <v>-23.60152</v>
      </c>
      <c r="C5224" s="40" t="n">
        <v>-46.581977</v>
      </c>
      <c r="D5224" s="40" t="n">
        <v>81</v>
      </c>
      <c r="E5224" s="41" t="n">
        <v>13134.539</v>
      </c>
    </row>
    <row r="5225">
      <c r="A5225" s="42">
        <f>_xlfn.XLOOKUP(17852,Trip[shape_id],Trip[shape_id],"Não encontrado")</f>
        <v/>
      </c>
      <c r="B5225" s="43" t="n">
        <v>-23.60352</v>
      </c>
      <c r="C5225" s="43" t="n">
        <v>-46.580293</v>
      </c>
      <c r="D5225" s="43" t="n">
        <v>82</v>
      </c>
      <c r="E5225" s="44" t="n">
        <v>13252.237</v>
      </c>
    </row>
    <row r="5226">
      <c r="A5226" s="39">
        <f>_xlfn.XLOOKUP(17852,Trip[shape_id],Trip[shape_id],"Não encontrado")</f>
        <v/>
      </c>
      <c r="B5226" s="40" t="n">
        <v>-23.604361</v>
      </c>
      <c r="C5226" s="40" t="n">
        <v>-46.579588</v>
      </c>
      <c r="D5226" s="40" t="n">
        <v>83</v>
      </c>
      <c r="E5226" s="41" t="n">
        <v>13563.351</v>
      </c>
    </row>
    <row r="5227">
      <c r="A5227" s="42">
        <f>_xlfn.XLOOKUP(17852,Trip[shape_id],Trip[shape_id],"Não encontrado")</f>
        <v/>
      </c>
      <c r="B5227" s="43" t="n">
        <v>-23.606578</v>
      </c>
      <c r="C5227" s="43" t="n">
        <v>-46.577716</v>
      </c>
      <c r="D5227" s="43" t="n">
        <v>84</v>
      </c>
      <c r="E5227" s="44" t="n">
        <v>13674.359</v>
      </c>
    </row>
    <row r="5228">
      <c r="A5228" s="39">
        <f>_xlfn.XLOOKUP(17852,Trip[shape_id],Trip[shape_id],"Não encontrado")</f>
        <v/>
      </c>
      <c r="B5228" s="40" t="n">
        <v>-23.607285</v>
      </c>
      <c r="C5228" s="40" t="n">
        <v>-46.576945</v>
      </c>
      <c r="D5228" s="40" t="n">
        <v>85</v>
      </c>
      <c r="E5228" s="41" t="n">
        <v>13765.288</v>
      </c>
    </row>
    <row r="5229">
      <c r="A5229" s="42">
        <f>_xlfn.XLOOKUP(17852,Trip[shape_id],Trip[shape_id],"Não encontrado")</f>
        <v/>
      </c>
      <c r="B5229" s="43" t="n">
        <v>-23.607757</v>
      </c>
      <c r="C5229" s="43" t="n">
        <v>-46.576216</v>
      </c>
      <c r="D5229" s="43" t="n">
        <v>86</v>
      </c>
      <c r="E5229" s="44" t="n">
        <v>13919.25</v>
      </c>
    </row>
    <row r="5230">
      <c r="A5230" s="39">
        <f>_xlfn.XLOOKUP(17852,Trip[shape_id],Trip[shape_id],"Não encontrado")</f>
        <v/>
      </c>
      <c r="B5230" s="40" t="n">
        <v>-23.608392</v>
      </c>
      <c r="C5230" s="40" t="n">
        <v>-46.574874</v>
      </c>
      <c r="D5230" s="40" t="n">
        <v>87</v>
      </c>
      <c r="E5230" s="41" t="n">
        <v>14034.913</v>
      </c>
    </row>
    <row r="5231">
      <c r="A5231" s="42">
        <f>_xlfn.XLOOKUP(17852,Trip[shape_id],Trip[shape_id],"Não encontrado")</f>
        <v/>
      </c>
      <c r="B5231" s="43" t="n">
        <v>-23.608744</v>
      </c>
      <c r="C5231" s="43" t="n">
        <v>-46.573807</v>
      </c>
      <c r="D5231" s="43" t="n">
        <v>88</v>
      </c>
      <c r="E5231" s="44" t="n">
        <v>14262.306</v>
      </c>
    </row>
    <row r="5232">
      <c r="A5232" s="39">
        <f>_xlfn.XLOOKUP(17852,Trip[shape_id],Trip[shape_id],"Não encontrado")</f>
        <v/>
      </c>
      <c r="B5232" s="40" t="n">
        <v>-23.609443</v>
      </c>
      <c r="C5232" s="40" t="n">
        <v>-46.571712</v>
      </c>
      <c r="D5232" s="40" t="n">
        <v>89</v>
      </c>
      <c r="E5232" s="41" t="n">
        <v>14357.55</v>
      </c>
    </row>
    <row r="5233">
      <c r="A5233" s="42">
        <f>_xlfn.XLOOKUP(17852,Trip[shape_id],Trip[shape_id],"Não encontrado")</f>
        <v/>
      </c>
      <c r="B5233" s="43" t="n">
        <v>-23.609747</v>
      </c>
      <c r="C5233" s="43" t="n">
        <v>-46.570839</v>
      </c>
      <c r="D5233" s="43" t="n">
        <v>90</v>
      </c>
      <c r="E5233" s="44" t="n">
        <v>14459.01</v>
      </c>
    </row>
    <row r="5234">
      <c r="A5234" s="39">
        <f>_xlfn.XLOOKUP(17852,Trip[shape_id],Trip[shape_id],"Não encontrado")</f>
        <v/>
      </c>
      <c r="B5234" s="40" t="n">
        <v>-23.610078</v>
      </c>
      <c r="C5234" s="40" t="n">
        <v>-46.569912</v>
      </c>
      <c r="D5234" s="40" t="n">
        <v>91</v>
      </c>
      <c r="E5234" s="41" t="n">
        <v>14459.01</v>
      </c>
    </row>
    <row r="5235">
      <c r="A5235" s="42">
        <f>_xlfn.XLOOKUP(17852,Trip[shape_id],Trip[shape_id],"Não encontrado")</f>
        <v/>
      </c>
      <c r="B5235" s="43" t="n">
        <v>-23.611463</v>
      </c>
      <c r="C5235" s="43" t="n">
        <v>-46.565983</v>
      </c>
      <c r="D5235" s="43" t="n">
        <v>92</v>
      </c>
      <c r="E5235" s="44" t="n">
        <v>15070.551</v>
      </c>
    </row>
    <row r="5236">
      <c r="A5236" s="39">
        <f>_xlfn.XLOOKUP(17852,Trip[shape_id],Trip[shape_id],"Não encontrado")</f>
        <v/>
      </c>
      <c r="B5236" s="40" t="n">
        <v>-23.612028</v>
      </c>
      <c r="C5236" s="40" t="n">
        <v>-46.564306</v>
      </c>
      <c r="D5236" s="40" t="n">
        <v>93</v>
      </c>
      <c r="E5236" s="41" t="n">
        <v>15311.459</v>
      </c>
    </row>
    <row r="5237">
      <c r="A5237" s="42">
        <f>_xlfn.XLOOKUP(17852,Trip[shape_id],Trip[shape_id],"Não encontrado")</f>
        <v/>
      </c>
      <c r="B5237" s="43" t="n">
        <v>-23.61277</v>
      </c>
      <c r="C5237" s="43" t="n">
        <v>-46.562087</v>
      </c>
      <c r="D5237" s="43" t="n">
        <v>94</v>
      </c>
      <c r="E5237" s="44" t="n">
        <v>15706.54</v>
      </c>
    </row>
    <row r="5238">
      <c r="A5238" s="39">
        <f>_xlfn.XLOOKUP(17852,Trip[shape_id],Trip[shape_id],"Não encontrado")</f>
        <v/>
      </c>
      <c r="B5238" s="40" t="n">
        <v>-23.614056</v>
      </c>
      <c r="C5238" s="40" t="n">
        <v>-46.558476</v>
      </c>
      <c r="D5238" s="40" t="n">
        <v>95</v>
      </c>
      <c r="E5238" s="41" t="n">
        <v>15971.047</v>
      </c>
    </row>
    <row r="5239">
      <c r="A5239" s="42">
        <f>_xlfn.XLOOKUP(17852,Trip[shape_id],Trip[shape_id],"Não encontrado")</f>
        <v/>
      </c>
      <c r="B5239" s="43" t="n">
        <v>-23.614916</v>
      </c>
      <c r="C5239" s="43" t="n">
        <v>-46.556058</v>
      </c>
      <c r="D5239" s="43" t="n">
        <v>96</v>
      </c>
      <c r="E5239" s="44" t="n">
        <v>16091.648</v>
      </c>
    </row>
    <row r="5240">
      <c r="A5240" s="39">
        <f>_xlfn.XLOOKUP(17852,Trip[shape_id],Trip[shape_id],"Não encontrado")</f>
        <v/>
      </c>
      <c r="B5240" s="40" t="n">
        <v>-23.615314</v>
      </c>
      <c r="C5240" s="40" t="n">
        <v>-46.554958</v>
      </c>
      <c r="D5240" s="40" t="n">
        <v>97</v>
      </c>
      <c r="E5240" s="41" t="n">
        <v>16171.068</v>
      </c>
    </row>
    <row r="5241">
      <c r="A5241" s="42">
        <f>_xlfn.XLOOKUP(17852,Trip[shape_id],Trip[shape_id],"Não encontrado")</f>
        <v/>
      </c>
      <c r="B5241" s="43" t="n">
        <v>-23.615565</v>
      </c>
      <c r="C5241" s="43" t="n">
        <v>-46.554229</v>
      </c>
      <c r="D5241" s="43" t="n">
        <v>98</v>
      </c>
      <c r="E5241" s="44" t="n">
        <v>16475.277</v>
      </c>
    </row>
    <row r="5242">
      <c r="A5242" s="39">
        <f>_xlfn.XLOOKUP(17852,Trip[shape_id],Trip[shape_id],"Não encontrado")</f>
        <v/>
      </c>
      <c r="B5242" s="40" t="n">
        <v>-23.616554</v>
      </c>
      <c r="C5242" s="40" t="n">
        <v>-46.551448</v>
      </c>
      <c r="D5242" s="40" t="n">
        <v>99</v>
      </c>
      <c r="E5242" s="41" t="n">
        <v>16555.857</v>
      </c>
    </row>
    <row r="5243">
      <c r="A5243" s="42">
        <f>_xlfn.XLOOKUP(17852,Trip[shape_id],Trip[shape_id],"Não encontrado")</f>
        <v/>
      </c>
      <c r="B5243" s="43" t="n">
        <v>-23.616939</v>
      </c>
      <c r="C5243" s="43" t="n">
        <v>-46.550778</v>
      </c>
      <c r="D5243" s="43" t="n">
        <v>100</v>
      </c>
      <c r="E5243" s="44" t="n">
        <v>16635.914</v>
      </c>
    </row>
    <row r="5244">
      <c r="A5244" s="39">
        <f>_xlfn.XLOOKUP(17852,Trip[shape_id],Trip[shape_id],"Não encontrado")</f>
        <v/>
      </c>
      <c r="B5244" s="40" t="n">
        <v>-23.617334</v>
      </c>
      <c r="C5244" s="40" t="n">
        <v>-46.550121</v>
      </c>
      <c r="D5244" s="40" t="n">
        <v>101</v>
      </c>
      <c r="E5244" s="41" t="n">
        <v>16795.047</v>
      </c>
    </row>
    <row r="5245">
      <c r="A5245" s="42">
        <f>_xlfn.XLOOKUP(17852,Trip[shape_id],Trip[shape_id],"Não encontrado")</f>
        <v/>
      </c>
      <c r="B5245" s="43" t="n">
        <v>-23.618328</v>
      </c>
      <c r="C5245" s="43" t="n">
        <v>-46.548995</v>
      </c>
      <c r="D5245" s="43" t="n">
        <v>102</v>
      </c>
      <c r="E5245" s="44" t="n">
        <v>16932.094</v>
      </c>
    </row>
    <row r="5246">
      <c r="A5246" s="39">
        <f>_xlfn.XLOOKUP(17852,Trip[shape_id],Trip[shape_id],"Não encontrado")</f>
        <v/>
      </c>
      <c r="B5246" s="40" t="n">
        <v>-23.619332</v>
      </c>
      <c r="C5246" s="40" t="n">
        <v>-46.54821</v>
      </c>
      <c r="D5246" s="40" t="n">
        <v>103</v>
      </c>
      <c r="E5246" s="41" t="n">
        <v>17114.883</v>
      </c>
    </row>
    <row r="5247">
      <c r="A5247" s="42">
        <f>_xlfn.XLOOKUP(17852,Trip[shape_id],Trip[shape_id],"Não encontrado")</f>
        <v/>
      </c>
      <c r="B5247" s="43" t="n">
        <v>-23.620769</v>
      </c>
      <c r="C5247" s="43" t="n">
        <v>-46.547329</v>
      </c>
      <c r="D5247" s="43" t="n">
        <v>104</v>
      </c>
      <c r="E5247" s="44" t="n">
        <v>17166.816</v>
      </c>
    </row>
    <row r="5248">
      <c r="A5248" s="39">
        <f>_xlfn.XLOOKUP(17852,Trip[shape_id],Trip[shape_id],"Não encontrado")</f>
        <v/>
      </c>
      <c r="B5248" s="40" t="n">
        <v>-23.621181</v>
      </c>
      <c r="C5248" s="40" t="n">
        <v>-46.547086</v>
      </c>
      <c r="D5248" s="40" t="n">
        <v>105</v>
      </c>
      <c r="E5248" s="41" t="n">
        <v>17265.244</v>
      </c>
    </row>
    <row r="5249">
      <c r="A5249" s="42">
        <f>_xlfn.XLOOKUP(17852,Trip[shape_id],Trip[shape_id],"Não encontrado")</f>
        <v/>
      </c>
      <c r="B5249" s="43" t="n">
        <v>-23.621955</v>
      </c>
      <c r="C5249" s="43" t="n">
        <v>-46.546612</v>
      </c>
      <c r="D5249" s="43" t="n">
        <v>106</v>
      </c>
      <c r="E5249" s="44" t="n">
        <v>17331.299</v>
      </c>
    </row>
    <row r="5250">
      <c r="A5250" s="39">
        <f>_xlfn.XLOOKUP(17852,Trip[shape_id],Trip[shape_id],"Não encontrado")</f>
        <v/>
      </c>
      <c r="B5250" s="40" t="n">
        <v>-23.622475</v>
      </c>
      <c r="C5250" s="40" t="n">
        <v>-46.546295</v>
      </c>
      <c r="D5250" s="40" t="n">
        <v>107</v>
      </c>
      <c r="E5250" s="41" t="n">
        <v>17787.969</v>
      </c>
    </row>
    <row r="5251">
      <c r="A5251" s="42">
        <f>_xlfn.XLOOKUP(17852,Trip[shape_id],Trip[shape_id],"Não encontrado")</f>
        <v/>
      </c>
      <c r="B5251" s="43" t="n">
        <v>-23.626075</v>
      </c>
      <c r="C5251" s="43" t="n">
        <v>-46.544113</v>
      </c>
      <c r="D5251" s="43" t="n">
        <v>108</v>
      </c>
      <c r="E5251" s="44" t="n">
        <v>17787.969</v>
      </c>
    </row>
    <row r="5252">
      <c r="A5252" s="39">
        <f>_xlfn.XLOOKUP(17852,Trip[shape_id],Trip[shape_id],"Não encontrado")</f>
        <v/>
      </c>
      <c r="B5252" s="40" t="n">
        <v>-23.62682</v>
      </c>
      <c r="C5252" s="40" t="n">
        <v>-46.543659</v>
      </c>
      <c r="D5252" s="40" t="n">
        <v>109</v>
      </c>
      <c r="E5252" s="41" t="n">
        <v>18091.592</v>
      </c>
    </row>
    <row r="5253">
      <c r="A5253" s="42">
        <f>_xlfn.XLOOKUP(17852,Trip[shape_id],Trip[shape_id],"Não encontrado")</f>
        <v/>
      </c>
      <c r="B5253" s="43" t="n">
        <v>-23.628475</v>
      </c>
      <c r="C5253" s="43" t="n">
        <v>-46.542675</v>
      </c>
      <c r="D5253" s="43" t="n">
        <v>110</v>
      </c>
      <c r="E5253" s="44" t="n">
        <v>18143.621</v>
      </c>
    </row>
    <row r="5254">
      <c r="A5254" s="39">
        <f>_xlfn.XLOOKUP(17852,Trip[shape_id],Trip[shape_id],"Não encontrado")</f>
        <v/>
      </c>
      <c r="B5254" s="40" t="n">
        <v>-23.628887</v>
      </c>
      <c r="C5254" s="40" t="n">
        <v>-46.54243</v>
      </c>
      <c r="D5254" s="40" t="n">
        <v>111</v>
      </c>
      <c r="E5254" s="41" t="n">
        <v>18222.08</v>
      </c>
    </row>
    <row r="5255">
      <c r="A5255" s="42">
        <f>_xlfn.XLOOKUP(17852,Trip[shape_id],Trip[shape_id],"Não encontrado")</f>
        <v/>
      </c>
      <c r="B5255" s="43" t="n">
        <v>-23.62951</v>
      </c>
      <c r="C5255" s="43" t="n">
        <v>-46.542064</v>
      </c>
      <c r="D5255" s="43" t="n">
        <v>112</v>
      </c>
      <c r="E5255" s="44" t="n">
        <v>18266.664</v>
      </c>
    </row>
    <row r="5256">
      <c r="A5256" s="39">
        <f>_xlfn.XLOOKUP(17852,Trip[shape_id],Trip[shape_id],"Não encontrado")</f>
        <v/>
      </c>
      <c r="B5256" s="40" t="n">
        <v>-23.629862</v>
      </c>
      <c r="C5256" s="40" t="n">
        <v>-46.541852</v>
      </c>
      <c r="D5256" s="40" t="n">
        <v>113</v>
      </c>
      <c r="E5256" s="41" t="n">
        <v>18485.539</v>
      </c>
    </row>
    <row r="5257">
      <c r="A5257" s="42">
        <f>_xlfn.XLOOKUP(17852,Trip[shape_id],Trip[shape_id],"Não encontrado")</f>
        <v/>
      </c>
      <c r="B5257" s="43" t="n">
        <v>-23.631597</v>
      </c>
      <c r="C5257" s="43" t="n">
        <v>-46.540825</v>
      </c>
      <c r="D5257" s="43" t="n">
        <v>114</v>
      </c>
      <c r="E5257" s="44" t="n">
        <v>18528.418</v>
      </c>
    </row>
    <row r="5258">
      <c r="A5258" s="39">
        <f>_xlfn.XLOOKUP(17852,Trip[shape_id],Trip[shape_id],"Não encontrado")</f>
        <v/>
      </c>
      <c r="B5258" s="40" t="n">
        <v>-23.631937</v>
      </c>
      <c r="C5258" s="40" t="n">
        <v>-46.540624</v>
      </c>
      <c r="D5258" s="40" t="n">
        <v>115</v>
      </c>
      <c r="E5258" s="41" t="n">
        <v>18629.998</v>
      </c>
    </row>
    <row r="5259">
      <c r="A5259" s="42">
        <f>_xlfn.XLOOKUP(17852,Trip[shape_id],Trip[shape_id],"Não encontrado")</f>
        <v/>
      </c>
      <c r="B5259" s="43" t="n">
        <v>-23.632739</v>
      </c>
      <c r="C5259" s="43" t="n">
        <v>-46.540141</v>
      </c>
      <c r="D5259" s="43" t="n">
        <v>116</v>
      </c>
      <c r="E5259" s="44" t="n">
        <v>18705.637</v>
      </c>
    </row>
    <row r="5260">
      <c r="A5260" s="39">
        <f>_xlfn.XLOOKUP(17852,Trip[shape_id],Trip[shape_id],"Não encontrado")</f>
        <v/>
      </c>
      <c r="B5260" s="40" t="n">
        <v>-23.633336</v>
      </c>
      <c r="C5260" s="40" t="n">
        <v>-46.539781</v>
      </c>
      <c r="D5260" s="40" t="n">
        <v>117</v>
      </c>
      <c r="E5260" s="41" t="n">
        <v>18855.158</v>
      </c>
    </row>
    <row r="5261">
      <c r="A5261" s="42">
        <f>_xlfn.XLOOKUP(17852,Trip[shape_id],Trip[shape_id],"Não encontrado")</f>
        <v/>
      </c>
      <c r="B5261" s="43" t="n">
        <v>-23.634517</v>
      </c>
      <c r="C5261" s="43" t="n">
        <v>-46.539071</v>
      </c>
      <c r="D5261" s="43" t="n">
        <v>118</v>
      </c>
      <c r="E5261" s="44" t="n">
        <v>19071.377</v>
      </c>
    </row>
    <row r="5262">
      <c r="A5262" s="39">
        <f>_xlfn.XLOOKUP(17852,Trip[shape_id],Trip[shape_id],"Não encontrado")</f>
        <v/>
      </c>
      <c r="B5262" s="40" t="n">
        <v>-23.636219</v>
      </c>
      <c r="C5262" s="40" t="n">
        <v>-46.538033</v>
      </c>
      <c r="D5262" s="40" t="n">
        <v>119</v>
      </c>
      <c r="E5262" s="41" t="n">
        <v>19153.826</v>
      </c>
    </row>
    <row r="5263">
      <c r="A5263" s="42">
        <f>_xlfn.XLOOKUP(17852,Trip[shape_id],Trip[shape_id],"Não encontrado")</f>
        <v/>
      </c>
      <c r="B5263" s="43" t="n">
        <v>-23.636871</v>
      </c>
      <c r="C5263" s="43" t="n">
        <v>-46.537643</v>
      </c>
      <c r="D5263" s="43" t="n">
        <v>120</v>
      </c>
      <c r="E5263" s="44" t="n">
        <v>19282.332</v>
      </c>
    </row>
    <row r="5264">
      <c r="A5264" s="39">
        <f>_xlfn.XLOOKUP(17852,Trip[shape_id],Trip[shape_id],"Não encontrado")</f>
        <v/>
      </c>
      <c r="B5264" s="40" t="n">
        <v>-23.637882</v>
      </c>
      <c r="C5264" s="40" t="n">
        <v>-46.537025</v>
      </c>
      <c r="D5264" s="40" t="n">
        <v>121</v>
      </c>
      <c r="E5264" s="41" t="n">
        <v>19374.477</v>
      </c>
    </row>
    <row r="5265">
      <c r="A5265" s="42">
        <f>_xlfn.XLOOKUP(17852,Trip[shape_id],Trip[shape_id],"Não encontrado")</f>
        <v/>
      </c>
      <c r="B5265" s="43" t="n">
        <v>-23.638607</v>
      </c>
      <c r="C5265" s="43" t="n">
        <v>-46.536582</v>
      </c>
      <c r="D5265" s="43" t="n">
        <v>122</v>
      </c>
      <c r="E5265" s="44" t="n">
        <v>19374.477</v>
      </c>
    </row>
    <row r="5266">
      <c r="A5266" s="39">
        <f>_xlfn.XLOOKUP(17852,Trip[shape_id],Trip[shape_id],"Não encontrado")</f>
        <v/>
      </c>
      <c r="B5266" s="40" t="n">
        <v>-23.63934</v>
      </c>
      <c r="C5266" s="40" t="n">
        <v>-46.536153</v>
      </c>
      <c r="D5266" s="40" t="n">
        <v>123</v>
      </c>
      <c r="E5266" s="41" t="n">
        <v>19654.139</v>
      </c>
    </row>
    <row r="5267">
      <c r="A5267" s="42">
        <f>_xlfn.XLOOKUP(17852,Trip[shape_id],Trip[shape_id],"Não encontrado")</f>
        <v/>
      </c>
      <c r="B5267" s="43" t="n">
        <v>-23.640823</v>
      </c>
      <c r="C5267" s="43" t="n">
        <v>-46.535268</v>
      </c>
      <c r="D5267" s="43" t="n">
        <v>124</v>
      </c>
      <c r="E5267" s="44" t="n">
        <v>19808.865</v>
      </c>
    </row>
    <row r="5268">
      <c r="A5268" s="39">
        <f>_xlfn.XLOOKUP(17852,Trip[shape_id],Trip[shape_id],"Não encontrado")</f>
        <v/>
      </c>
      <c r="B5268" s="40" t="n">
        <v>-23.642046</v>
      </c>
      <c r="C5268" s="40" t="n">
        <v>-46.534535</v>
      </c>
      <c r="D5268" s="40" t="n">
        <v>125</v>
      </c>
      <c r="E5268" s="41" t="n">
        <v>20010.023</v>
      </c>
    </row>
    <row r="5269">
      <c r="A5269" s="42">
        <f>_xlfn.XLOOKUP(17852,Trip[shape_id],Trip[shape_id],"Não encontrado")</f>
        <v/>
      </c>
      <c r="B5269" s="43" t="n">
        <v>-23.643637</v>
      </c>
      <c r="C5269" s="43" t="n">
        <v>-46.533584</v>
      </c>
      <c r="D5269" s="43" t="n">
        <v>126</v>
      </c>
      <c r="E5269" s="44" t="n">
        <v>20066.686</v>
      </c>
    </row>
    <row r="5270">
      <c r="A5270" s="39">
        <f>_xlfn.XLOOKUP(17852,Trip[shape_id],Trip[shape_id],"Não encontrado")</f>
        <v/>
      </c>
      <c r="B5270" s="40" t="n">
        <v>-23.644082</v>
      </c>
      <c r="C5270" s="40" t="n">
        <v>-46.53331</v>
      </c>
      <c r="D5270" s="40" t="n">
        <v>127</v>
      </c>
      <c r="E5270" s="41" t="n">
        <v>20231.715</v>
      </c>
    </row>
    <row r="5271">
      <c r="A5271" s="42">
        <f>_xlfn.XLOOKUP(17852,Trip[shape_id],Trip[shape_id],"Não encontrado")</f>
        <v/>
      </c>
      <c r="B5271" s="43" t="n">
        <v>-23.645376</v>
      </c>
      <c r="C5271" s="43" t="n">
        <v>-46.532508</v>
      </c>
      <c r="D5271" s="43" t="n">
        <v>128</v>
      </c>
      <c r="E5271" s="44" t="n">
        <v>20411.828</v>
      </c>
    </row>
    <row r="5272">
      <c r="A5272" s="39">
        <f>_xlfn.XLOOKUP(17852,Trip[shape_id],Trip[shape_id],"Não encontrado")</f>
        <v/>
      </c>
      <c r="B5272" s="40" t="n">
        <v>-23.64679</v>
      </c>
      <c r="C5272" s="40" t="n">
        <v>-46.531636</v>
      </c>
      <c r="D5272" s="40" t="n">
        <v>129</v>
      </c>
      <c r="E5272" s="41" t="n">
        <v>20557.775</v>
      </c>
    </row>
    <row r="5273">
      <c r="A5273" s="42">
        <f>_xlfn.XLOOKUP(17852,Trip[shape_id],Trip[shape_id],"Não encontrado")</f>
        <v/>
      </c>
      <c r="B5273" s="43" t="n">
        <v>-23.647934</v>
      </c>
      <c r="C5273" s="43" t="n">
        <v>-46.530926</v>
      </c>
      <c r="D5273" s="43" t="n">
        <v>130</v>
      </c>
      <c r="E5273" s="44" t="n">
        <v>20622.848</v>
      </c>
    </row>
    <row r="5274">
      <c r="A5274" s="39">
        <f>_xlfn.XLOOKUP(17852,Trip[shape_id],Trip[shape_id],"Não encontrado")</f>
        <v/>
      </c>
      <c r="B5274" s="40" t="n">
        <v>-23.64845</v>
      </c>
      <c r="C5274" s="40" t="n">
        <v>-46.530621</v>
      </c>
      <c r="D5274" s="40" t="n">
        <v>131</v>
      </c>
      <c r="E5274" s="41" t="n">
        <v>20797.23</v>
      </c>
    </row>
    <row r="5275">
      <c r="A5275" s="42">
        <f>_xlfn.XLOOKUP(17852,Trip[shape_id],Trip[shape_id],"Não encontrado")</f>
        <v/>
      </c>
      <c r="B5275" s="43" t="n">
        <v>-23.649835</v>
      </c>
      <c r="C5275" s="43" t="n">
        <v>-46.529808</v>
      </c>
      <c r="D5275" s="43" t="n">
        <v>132</v>
      </c>
      <c r="E5275" s="44" t="n">
        <v>20861.086</v>
      </c>
    </row>
    <row r="5276">
      <c r="A5276" s="39">
        <f>_xlfn.XLOOKUP(17852,Trip[shape_id],Trip[shape_id],"Não encontrado")</f>
        <v/>
      </c>
      <c r="B5276" s="40" t="n">
        <v>-23.650343</v>
      </c>
      <c r="C5276" s="40" t="n">
        <v>-46.529512</v>
      </c>
      <c r="D5276" s="40" t="n">
        <v>133</v>
      </c>
      <c r="E5276" s="41" t="n">
        <v>21114.936</v>
      </c>
    </row>
    <row r="5277">
      <c r="A5277" s="42">
        <f>_xlfn.XLOOKUP(17852,Trip[shape_id],Trip[shape_id],"Não encontrado")</f>
        <v/>
      </c>
      <c r="B5277" s="43" t="n">
        <v>-23.652276</v>
      </c>
      <c r="C5277" s="43" t="n">
        <v>-46.528175</v>
      </c>
      <c r="D5277" s="43" t="n">
        <v>134</v>
      </c>
      <c r="E5277" s="44" t="n">
        <v>21114.936</v>
      </c>
    </row>
    <row r="5278">
      <c r="A5278" s="39">
        <f>_xlfn.XLOOKUP(17852,Trip[shape_id],Trip[shape_id],"Não encontrado")</f>
        <v/>
      </c>
      <c r="B5278" s="40" t="n">
        <v>-23.65351</v>
      </c>
      <c r="C5278" s="40" t="n">
        <v>-46.527017</v>
      </c>
      <c r="D5278" s="40" t="n">
        <v>135</v>
      </c>
      <c r="E5278" s="41" t="n">
        <v>21452.846</v>
      </c>
    </row>
    <row r="5279">
      <c r="A5279" s="42">
        <f>_xlfn.XLOOKUP(17852,Trip[shape_id],Trip[shape_id],"Não encontrado")</f>
        <v/>
      </c>
      <c r="B5279" s="43" t="n">
        <v>-23.65427</v>
      </c>
      <c r="C5279" s="43" t="n">
        <v>-46.525715</v>
      </c>
      <c r="D5279" s="43" t="n">
        <v>136</v>
      </c>
      <c r="E5279" s="44" t="n">
        <v>21928.959</v>
      </c>
    </row>
    <row r="5280">
      <c r="A5280" s="39">
        <f>_xlfn.XLOOKUP(17852,Trip[shape_id],Trip[shape_id],"Não encontrado")</f>
        <v/>
      </c>
      <c r="B5280" s="40" t="n">
        <v>-23.655973</v>
      </c>
      <c r="C5280" s="40" t="n">
        <v>-46.52143</v>
      </c>
      <c r="D5280" s="40" t="n">
        <v>137</v>
      </c>
      <c r="E5280" s="41" t="n">
        <v>22144.732</v>
      </c>
    </row>
    <row r="5281">
      <c r="A5281" s="42">
        <f>_xlfn.XLOOKUP(17852,Trip[shape_id],Trip[shape_id],"Não encontrado")</f>
        <v/>
      </c>
      <c r="B5281" s="43" t="n">
        <v>-23.656749</v>
      </c>
      <c r="C5281" s="43" t="n">
        <v>-46.51949</v>
      </c>
      <c r="D5281" s="43" t="n">
        <v>138</v>
      </c>
      <c r="E5281" s="44" t="n">
        <v>22457.795</v>
      </c>
    </row>
    <row r="5282">
      <c r="A5282" s="39">
        <f>_xlfn.XLOOKUP(17852,Trip[shape_id],Trip[shape_id],"Não encontrado")</f>
        <v/>
      </c>
      <c r="B5282" s="40" t="n">
        <v>-23.65746</v>
      </c>
      <c r="C5282" s="40" t="n">
        <v>-46.51652</v>
      </c>
      <c r="D5282" s="40" t="n">
        <v>139</v>
      </c>
      <c r="E5282" s="41" t="n">
        <v>22876.131</v>
      </c>
    </row>
    <row r="5283">
      <c r="A5283" s="42">
        <f>_xlfn.XLOOKUP(17852,Trip[shape_id],Trip[shape_id],"Não encontrado")</f>
        <v/>
      </c>
      <c r="B5283" s="43" t="n">
        <v>-23.658402</v>
      </c>
      <c r="C5283" s="43" t="n">
        <v>-46.512549</v>
      </c>
      <c r="D5283" s="43" t="n">
        <v>140</v>
      </c>
      <c r="E5283" s="44" t="n">
        <v>23806.031</v>
      </c>
    </row>
    <row r="5284">
      <c r="A5284" s="39">
        <f>_xlfn.XLOOKUP(17852,Trip[shape_id],Trip[shape_id],"Não encontrado")</f>
        <v/>
      </c>
      <c r="B5284" s="40" t="n">
        <v>-23.660471</v>
      </c>
      <c r="C5284" s="40" t="n">
        <v>-46.503715</v>
      </c>
      <c r="D5284" s="40" t="n">
        <v>141</v>
      </c>
      <c r="E5284" s="41" t="n">
        <v>24008.432</v>
      </c>
    </row>
    <row r="5285">
      <c r="A5285" s="42">
        <f>_xlfn.XLOOKUP(17852,Trip[shape_id],Trip[shape_id],"Não encontrado")</f>
        <v/>
      </c>
      <c r="B5285" s="43" t="n">
        <v>-23.660917</v>
      </c>
      <c r="C5285" s="43" t="n">
        <v>-46.501791</v>
      </c>
      <c r="D5285" s="43" t="n">
        <v>142</v>
      </c>
      <c r="E5285" s="44" t="n">
        <v>24029.004</v>
      </c>
    </row>
    <row r="5286">
      <c r="A5286" s="39">
        <f>_xlfn.XLOOKUP(17852,Trip[shape_id],Trip[shape_id],"Não encontrado")</f>
        <v/>
      </c>
      <c r="B5286" s="40" t="n">
        <v>-23.660947</v>
      </c>
      <c r="C5286" s="40" t="n">
        <v>-46.501592</v>
      </c>
      <c r="D5286" s="40" t="n">
        <v>143</v>
      </c>
      <c r="E5286" s="41" t="n">
        <v>24202.338</v>
      </c>
    </row>
    <row r="5287">
      <c r="A5287" s="42">
        <f>_xlfn.XLOOKUP(17852,Trip[shape_id],Trip[shape_id],"Não encontrado")</f>
        <v/>
      </c>
      <c r="B5287" s="43" t="n">
        <v>-23.660962</v>
      </c>
      <c r="C5287" s="43" t="n">
        <v>-46.499893</v>
      </c>
      <c r="D5287" s="43" t="n">
        <v>144</v>
      </c>
      <c r="E5287" s="44" t="n">
        <v>24409.188</v>
      </c>
    </row>
    <row r="5288">
      <c r="A5288" s="39">
        <f>_xlfn.XLOOKUP(17852,Trip[shape_id],Trip[shape_id],"Não encontrado")</f>
        <v/>
      </c>
      <c r="B5288" s="40" t="n">
        <v>-23.660604</v>
      </c>
      <c r="C5288" s="40" t="n">
        <v>-46.497903</v>
      </c>
      <c r="D5288" s="40" t="n">
        <v>145</v>
      </c>
      <c r="E5288" s="41" t="n">
        <v>24501.805</v>
      </c>
    </row>
    <row r="5289">
      <c r="A5289" s="42">
        <f>_xlfn.XLOOKUP(17852,Trip[shape_id],Trip[shape_id],"Não encontrado")</f>
        <v/>
      </c>
      <c r="B5289" s="43" t="n">
        <v>-23.660353</v>
      </c>
      <c r="C5289" s="43" t="n">
        <v>-46.497037</v>
      </c>
      <c r="D5289" s="43" t="n">
        <v>146</v>
      </c>
      <c r="E5289" s="44" t="n">
        <v>24501.805</v>
      </c>
    </row>
    <row r="5290">
      <c r="A5290" s="39">
        <f>_xlfn.XLOOKUP(17852,Trip[shape_id],Trip[shape_id],"Não encontrado")</f>
        <v/>
      </c>
      <c r="B5290" s="40" t="n">
        <v>-23.659117</v>
      </c>
      <c r="C5290" s="40" t="n">
        <v>-46.493082</v>
      </c>
      <c r="D5290" s="40" t="n">
        <v>147</v>
      </c>
      <c r="E5290" s="41" t="n">
        <v>25296.121</v>
      </c>
    </row>
    <row r="5291">
      <c r="A5291" s="42">
        <f>_xlfn.XLOOKUP(17852,Trip[shape_id],Trip[shape_id],"Não encontrado")</f>
        <v/>
      </c>
      <c r="B5291" s="43" t="n">
        <v>-23.658179</v>
      </c>
      <c r="C5291" s="43" t="n">
        <v>-46.489619</v>
      </c>
      <c r="D5291" s="43" t="n">
        <v>148</v>
      </c>
      <c r="E5291" s="44" t="n">
        <v>25296.121</v>
      </c>
    </row>
    <row r="5292">
      <c r="A5292" s="39">
        <f>_xlfn.XLOOKUP(17852,Trip[shape_id],Trip[shape_id],"Não encontrado")</f>
        <v/>
      </c>
      <c r="B5292" s="40" t="n">
        <v>-23.657317</v>
      </c>
      <c r="C5292" s="40" t="n">
        <v>-46.486339</v>
      </c>
      <c r="D5292" s="40" t="n">
        <v>149</v>
      </c>
      <c r="E5292" s="41" t="n">
        <v>25736.982</v>
      </c>
    </row>
    <row r="5293">
      <c r="A5293" s="42">
        <f>_xlfn.XLOOKUP(17852,Trip[shape_id],Trip[shape_id],"Não encontrado")</f>
        <v/>
      </c>
      <c r="B5293" s="43" t="n">
        <v>-23.657168</v>
      </c>
      <c r="C5293" s="43" t="n">
        <v>-46.485443</v>
      </c>
      <c r="D5293" s="43" t="n">
        <v>150</v>
      </c>
      <c r="E5293" s="44" t="n">
        <v>25837.525</v>
      </c>
    </row>
    <row r="5294">
      <c r="A5294" s="39">
        <f>_xlfn.XLOOKUP(17852,Trip[shape_id],Trip[shape_id],"Não encontrado")</f>
        <v/>
      </c>
      <c r="B5294" s="40" t="n">
        <v>-23.657081</v>
      </c>
      <c r="C5294" s="40" t="n">
        <v>-46.484462</v>
      </c>
      <c r="D5294" s="40" t="n">
        <v>151</v>
      </c>
      <c r="E5294" s="41" t="n">
        <v>25894.244</v>
      </c>
    </row>
    <row r="5295">
      <c r="A5295" s="42">
        <f>_xlfn.XLOOKUP(17852,Trip[shape_id],Trip[shape_id],"Não encontrado")</f>
        <v/>
      </c>
      <c r="B5295" s="43" t="n">
        <v>-23.657111</v>
      </c>
      <c r="C5295" s="43" t="n">
        <v>-46.483907</v>
      </c>
      <c r="D5295" s="43" t="n">
        <v>152</v>
      </c>
      <c r="E5295" s="44" t="n">
        <v>26046.754</v>
      </c>
    </row>
    <row r="5296">
      <c r="A5296" s="39">
        <f>_xlfn.XLOOKUP(17852,Trip[shape_id],Trip[shape_id],"Não encontrado")</f>
        <v/>
      </c>
      <c r="B5296" s="40" t="n">
        <v>-23.657305</v>
      </c>
      <c r="C5296" s="40" t="n">
        <v>-46.482427</v>
      </c>
      <c r="D5296" s="40" t="n">
        <v>153</v>
      </c>
      <c r="E5296" s="41" t="n">
        <v>26180.324</v>
      </c>
    </row>
    <row r="5297">
      <c r="A5297" s="42">
        <f>_xlfn.XLOOKUP(17852,Trip[shape_id],Trip[shape_id],"Não encontrado")</f>
        <v/>
      </c>
      <c r="B5297" s="43" t="n">
        <v>-23.657681</v>
      </c>
      <c r="C5297" s="43" t="n">
        <v>-46.481183</v>
      </c>
      <c r="D5297" s="43" t="n">
        <v>154</v>
      </c>
      <c r="E5297" s="44" t="n">
        <v>27111.986</v>
      </c>
    </row>
    <row r="5298">
      <c r="A5298" s="39">
        <f>_xlfn.XLOOKUP(17852,Trip[shape_id],Trip[shape_id],"Não encontrado")</f>
        <v/>
      </c>
      <c r="B5298" s="40" t="n">
        <v>-23.661133</v>
      </c>
      <c r="C5298" s="40" t="n">
        <v>-46.472855</v>
      </c>
      <c r="D5298" s="40" t="n">
        <v>155</v>
      </c>
      <c r="E5298" s="41" t="n">
        <v>27293.408</v>
      </c>
    </row>
    <row r="5299">
      <c r="A5299" s="42">
        <f>_xlfn.XLOOKUP(17852,Trip[shape_id],Trip[shape_id],"Não encontrado")</f>
        <v/>
      </c>
      <c r="B5299" s="43" t="n">
        <v>-23.661863</v>
      </c>
      <c r="C5299" s="43" t="n">
        <v>-46.471263</v>
      </c>
      <c r="D5299" s="43" t="n">
        <v>156</v>
      </c>
      <c r="E5299" s="44" t="n">
        <v>27444.182</v>
      </c>
    </row>
    <row r="5300">
      <c r="A5300" s="39">
        <f>_xlfn.XLOOKUP(17852,Trip[shape_id],Trip[shape_id],"Não encontrado")</f>
        <v/>
      </c>
      <c r="B5300" s="40" t="n">
        <v>-23.662615</v>
      </c>
      <c r="C5300" s="40" t="n">
        <v>-46.470031</v>
      </c>
      <c r="D5300" s="40" t="n">
        <v>157</v>
      </c>
      <c r="E5300" s="41" t="n">
        <v>27679.643</v>
      </c>
    </row>
    <row r="5301">
      <c r="A5301" s="42">
        <f>_xlfn.XLOOKUP(17852,Trip[shape_id],Trip[shape_id],"Não encontrado")</f>
        <v/>
      </c>
      <c r="B5301" s="43" t="n">
        <v>-23.663834</v>
      </c>
      <c r="C5301" s="43" t="n">
        <v>-46.46814</v>
      </c>
      <c r="D5301" s="43" t="n">
        <v>158</v>
      </c>
      <c r="E5301" s="44" t="n">
        <v>27933.23</v>
      </c>
    </row>
    <row r="5302">
      <c r="A5302" s="39">
        <f>_xlfn.XLOOKUP(17852,Trip[shape_id],Trip[shape_id],"Não encontrado")</f>
        <v/>
      </c>
      <c r="B5302" s="40" t="n">
        <v>-23.66519</v>
      </c>
      <c r="C5302" s="40" t="n">
        <v>-46.466137</v>
      </c>
      <c r="D5302" s="40" t="n">
        <v>159</v>
      </c>
      <c r="E5302" s="41" t="n">
        <v>28111.195</v>
      </c>
    </row>
    <row r="5303">
      <c r="A5303" s="42">
        <f>_xlfn.XLOOKUP(17852,Trip[shape_id],Trip[shape_id],"Não encontrado")</f>
        <v/>
      </c>
      <c r="B5303" s="43" t="n">
        <v>-23.666126</v>
      </c>
      <c r="C5303" s="43" t="n">
        <v>-46.464719</v>
      </c>
      <c r="D5303" s="43" t="n">
        <v>160</v>
      </c>
      <c r="E5303" s="44" t="n">
        <v>28547.912</v>
      </c>
    </row>
    <row r="5304">
      <c r="A5304" s="39">
        <f>_xlfn.XLOOKUP(17852,Trip[shape_id],Trip[shape_id],"Não encontrado")</f>
        <v/>
      </c>
      <c r="B5304" s="40" t="n">
        <v>-23.668429</v>
      </c>
      <c r="C5304" s="40" t="n">
        <v>-46.461244</v>
      </c>
      <c r="D5304" s="40" t="n">
        <v>161</v>
      </c>
      <c r="E5304" s="41" t="n">
        <v>28547.912</v>
      </c>
    </row>
    <row r="5305">
      <c r="A5305" s="42">
        <f>_xlfn.XLOOKUP(17852,Trip[shape_id],Trip[shape_id],"Não encontrado")</f>
        <v/>
      </c>
      <c r="B5305" s="43" t="n">
        <v>-23.669499</v>
      </c>
      <c r="C5305" s="43" t="n">
        <v>-46.459677</v>
      </c>
      <c r="D5305" s="43" t="n">
        <v>162</v>
      </c>
      <c r="E5305" s="44" t="n">
        <v>28808.951</v>
      </c>
    </row>
    <row r="5306">
      <c r="A5306" s="39">
        <f>_xlfn.XLOOKUP(17852,Trip[shape_id],Trip[shape_id],"Não encontrado")</f>
        <v/>
      </c>
      <c r="B5306" s="40" t="n">
        <v>-23.669878</v>
      </c>
      <c r="C5306" s="40" t="n">
        <v>-46.459229</v>
      </c>
      <c r="D5306" s="40" t="n">
        <v>163</v>
      </c>
      <c r="E5306" s="41" t="n">
        <v>29073.773</v>
      </c>
    </row>
    <row r="5307">
      <c r="A5307" s="42">
        <f>_xlfn.XLOOKUP(17852,Trip[shape_id],Trip[shape_id],"Não encontrado")</f>
        <v/>
      </c>
      <c r="B5307" s="43" t="n">
        <v>-23.671645</v>
      </c>
      <c r="C5307" s="43" t="n">
        <v>-46.45748</v>
      </c>
      <c r="D5307" s="43" t="n">
        <v>164</v>
      </c>
      <c r="E5307" s="44" t="n">
        <v>29378.711</v>
      </c>
    </row>
    <row r="5308">
      <c r="A5308" s="39">
        <f>_xlfn.XLOOKUP(17852,Trip[shape_id],Trip[shape_id],"Não encontrado")</f>
        <v/>
      </c>
      <c r="B5308" s="40" t="n">
        <v>-23.673683</v>
      </c>
      <c r="C5308" s="40" t="n">
        <v>-46.45547</v>
      </c>
      <c r="D5308" s="40" t="n">
        <v>165</v>
      </c>
      <c r="E5308" s="41" t="n">
        <v>29490.311</v>
      </c>
    </row>
    <row r="5309">
      <c r="A5309" s="42">
        <f>_xlfn.XLOOKUP(17852,Trip[shape_id],Trip[shape_id],"Não encontrado")</f>
        <v/>
      </c>
      <c r="B5309" s="43" t="n">
        <v>-23.674476</v>
      </c>
      <c r="C5309" s="43" t="n">
        <v>-46.454795</v>
      </c>
      <c r="D5309" s="43" t="n">
        <v>166</v>
      </c>
      <c r="E5309" s="44" t="n">
        <v>29551.65</v>
      </c>
    </row>
    <row r="5310">
      <c r="A5310" s="39">
        <f>_xlfn.XLOOKUP(17852,Trip[shape_id],Trip[shape_id],"Não encontrado")</f>
        <v/>
      </c>
      <c r="B5310" s="40" t="n">
        <v>-23.674956</v>
      </c>
      <c r="C5310" s="40" t="n">
        <v>-46.454495</v>
      </c>
      <c r="D5310" s="40" t="n">
        <v>167</v>
      </c>
      <c r="E5310" s="41" t="n">
        <v>29632.801</v>
      </c>
    </row>
    <row r="5311">
      <c r="A5311" s="42">
        <f>_xlfn.XLOOKUP(17852,Trip[shape_id],Trip[shape_id],"Não encontrado")</f>
        <v/>
      </c>
      <c r="B5311" s="43" t="n">
        <v>-23.675635</v>
      </c>
      <c r="C5311" s="43" t="n">
        <v>-46.454196</v>
      </c>
      <c r="D5311" s="43" t="n">
        <v>168</v>
      </c>
      <c r="E5311" s="44" t="n">
        <v>29737.455</v>
      </c>
    </row>
    <row r="5312">
      <c r="A5312" s="39">
        <f>_xlfn.XLOOKUP(17852,Trip[shape_id],Trip[shape_id],"Não encontrado")</f>
        <v/>
      </c>
      <c r="B5312" s="40" t="n">
        <v>-23.676543</v>
      </c>
      <c r="C5312" s="40" t="n">
        <v>-46.453912</v>
      </c>
      <c r="D5312" s="40" t="n">
        <v>169</v>
      </c>
      <c r="E5312" s="41" t="n">
        <v>30203.324</v>
      </c>
    </row>
    <row r="5313">
      <c r="A5313" s="42">
        <f>_xlfn.XLOOKUP(17852,Trip[shape_id],Trip[shape_id],"Não encontrado")</f>
        <v/>
      </c>
      <c r="B5313" s="43" t="n">
        <v>-23.680706</v>
      </c>
      <c r="C5313" s="43" t="n">
        <v>-46.453258</v>
      </c>
      <c r="D5313" s="43" t="n">
        <v>170</v>
      </c>
      <c r="E5313" s="44" t="n">
        <v>30297.945</v>
      </c>
    </row>
    <row r="5314">
      <c r="A5314" s="39">
        <f>_xlfn.XLOOKUP(17852,Trip[shape_id],Trip[shape_id],"Não encontrado")</f>
        <v/>
      </c>
      <c r="B5314" s="40" t="n">
        <v>-23.68153</v>
      </c>
      <c r="C5314" s="40" t="n">
        <v>-46.453013</v>
      </c>
      <c r="D5314" s="40" t="n">
        <v>171</v>
      </c>
      <c r="E5314" s="41" t="n">
        <v>30470.061</v>
      </c>
    </row>
    <row r="5315">
      <c r="A5315" s="42">
        <f>_xlfn.XLOOKUP(17852,Trip[shape_id],Trip[shape_id],"Não encontrado")</f>
        <v/>
      </c>
      <c r="B5315" s="43" t="n">
        <v>-23.682994</v>
      </c>
      <c r="C5315" s="43" t="n">
        <v>-46.452447</v>
      </c>
      <c r="D5315" s="43" t="n">
        <v>172</v>
      </c>
      <c r="E5315" s="44" t="n">
        <v>30528.055</v>
      </c>
    </row>
    <row r="5316">
      <c r="A5316" s="39">
        <f>_xlfn.XLOOKUP(17852,Trip[shape_id],Trip[shape_id],"Não encontrado")</f>
        <v/>
      </c>
      <c r="B5316" s="40" t="n">
        <v>-23.683497</v>
      </c>
      <c r="C5316" s="40" t="n">
        <v>-46.452289</v>
      </c>
      <c r="D5316" s="40" t="n">
        <v>173</v>
      </c>
      <c r="E5316" s="41" t="n">
        <v>30784.021</v>
      </c>
    </row>
    <row r="5317">
      <c r="A5317" s="42">
        <f>_xlfn.XLOOKUP(17852,Trip[shape_id],Trip[shape_id],"Não encontrado")</f>
        <v/>
      </c>
      <c r="B5317" s="43" t="n">
        <v>-23.68577</v>
      </c>
      <c r="C5317" s="43" t="n">
        <v>-46.451835</v>
      </c>
      <c r="D5317" s="43" t="n">
        <v>174</v>
      </c>
      <c r="E5317" s="44" t="n">
        <v>30868.971</v>
      </c>
    </row>
    <row r="5318">
      <c r="A5318" s="39">
        <f>_xlfn.XLOOKUP(17852,Trip[shape_id],Trip[shape_id],"Não encontrado")</f>
        <v/>
      </c>
      <c r="B5318" s="40" t="n">
        <v>-23.686494</v>
      </c>
      <c r="C5318" s="40" t="n">
        <v>-46.45156</v>
      </c>
      <c r="D5318" s="40" t="n">
        <v>175</v>
      </c>
      <c r="E5318" s="41" t="n">
        <v>31190.172</v>
      </c>
    </row>
    <row r="5319">
      <c r="A5319" s="42">
        <f>_xlfn.XLOOKUP(17852,Trip[shape_id],Trip[shape_id],"Não encontrado")</f>
        <v/>
      </c>
      <c r="B5319" s="43" t="n">
        <v>-23.689163</v>
      </c>
      <c r="C5319" s="43" t="n">
        <v>-46.450328</v>
      </c>
      <c r="D5319" s="43" t="n">
        <v>176</v>
      </c>
      <c r="E5319" s="44" t="n">
        <v>31358.238</v>
      </c>
    </row>
    <row r="5320">
      <c r="A5320" s="39">
        <f>_xlfn.XLOOKUP(17852,Trip[shape_id],Trip[shape_id],"Não encontrado")</f>
        <v/>
      </c>
      <c r="B5320" s="40" t="n">
        <v>-23.690559</v>
      </c>
      <c r="C5320" s="40" t="n">
        <v>-46.449682</v>
      </c>
      <c r="D5320" s="40" t="n">
        <v>177</v>
      </c>
      <c r="E5320" s="41" t="n">
        <v>31584.826</v>
      </c>
    </row>
    <row r="5321">
      <c r="A5321" s="42">
        <f>_xlfn.XLOOKUP(17852,Trip[shape_id],Trip[shape_id],"Não encontrado")</f>
        <v/>
      </c>
      <c r="B5321" s="43" t="n">
        <v>-23.692328</v>
      </c>
      <c r="C5321" s="43" t="n">
        <v>-46.448566</v>
      </c>
      <c r="D5321" s="43" t="n">
        <v>178</v>
      </c>
      <c r="E5321" s="44" t="n">
        <v>31584.826</v>
      </c>
    </row>
    <row r="5322">
      <c r="A5322" s="39">
        <f>_xlfn.XLOOKUP(17852,Trip[shape_id],Trip[shape_id],"Não encontrado")</f>
        <v/>
      </c>
      <c r="B5322" s="40" t="n">
        <v>-23.694121</v>
      </c>
      <c r="C5322" s="40" t="n">
        <v>-46.447397</v>
      </c>
      <c r="D5322" s="40" t="n">
        <v>179</v>
      </c>
      <c r="E5322" s="41" t="n">
        <v>31873.869</v>
      </c>
    </row>
    <row r="5323">
      <c r="A5323" s="42">
        <f>_xlfn.XLOOKUP(17852,Trip[shape_id],Trip[shape_id],"Não encontrado")</f>
        <v/>
      </c>
      <c r="B5323" s="43" t="n">
        <v>-23.694539</v>
      </c>
      <c r="C5323" s="43" t="n">
        <v>-46.447064</v>
      </c>
      <c r="D5323" s="43" t="n">
        <v>180</v>
      </c>
      <c r="E5323" s="44" t="n">
        <v>31939.594</v>
      </c>
    </row>
    <row r="5324">
      <c r="A5324" s="39">
        <f>_xlfn.XLOOKUP(17852,Trip[shape_id],Trip[shape_id],"Não encontrado")</f>
        <v/>
      </c>
      <c r="B5324" s="40" t="n">
        <v>-23.694945</v>
      </c>
      <c r="C5324" s="40" t="n">
        <v>-46.446594</v>
      </c>
      <c r="D5324" s="40" t="n">
        <v>181</v>
      </c>
      <c r="E5324" s="41" t="n">
        <v>32018.469</v>
      </c>
    </row>
    <row r="5325">
      <c r="A5325" s="42">
        <f>_xlfn.XLOOKUP(17852,Trip[shape_id],Trip[shape_id],"Não encontrado")</f>
        <v/>
      </c>
      <c r="B5325" s="43" t="n">
        <v>-23.695328</v>
      </c>
      <c r="C5325" s="43" t="n">
        <v>-46.445942</v>
      </c>
      <c r="D5325" s="43" t="n">
        <v>182</v>
      </c>
      <c r="E5325" s="44" t="n">
        <v>32077.443</v>
      </c>
    </row>
    <row r="5326">
      <c r="A5326" s="39">
        <f>_xlfn.XLOOKUP(17852,Trip[shape_id],Trip[shape_id],"Não encontrado")</f>
        <v/>
      </c>
      <c r="B5326" s="40" t="n">
        <v>-23.695543</v>
      </c>
      <c r="C5326" s="40" t="n">
        <v>-46.445413</v>
      </c>
      <c r="D5326" s="40" t="n">
        <v>183</v>
      </c>
      <c r="E5326" s="41" t="n">
        <v>32144.121</v>
      </c>
    </row>
    <row r="5327">
      <c r="A5327" s="42">
        <f>_xlfn.XLOOKUP(17852,Trip[shape_id],Trip[shape_id],"Não encontrado")</f>
        <v/>
      </c>
      <c r="B5327" s="43" t="n">
        <v>-23.695734</v>
      </c>
      <c r="C5327" s="43" t="n">
        <v>-46.444793</v>
      </c>
      <c r="D5327" s="43" t="n">
        <v>184</v>
      </c>
      <c r="E5327" s="44" t="n">
        <v>32212.863</v>
      </c>
    </row>
    <row r="5328">
      <c r="A5328" s="39">
        <f>_xlfn.XLOOKUP(17852,Trip[shape_id],Trip[shape_id],"Não encontrado")</f>
        <v/>
      </c>
      <c r="B5328" s="40" t="n">
        <v>-23.695782</v>
      </c>
      <c r="C5328" s="40" t="n">
        <v>-46.444121</v>
      </c>
      <c r="D5328" s="40" t="n">
        <v>185</v>
      </c>
      <c r="E5328" s="41" t="n">
        <v>32279.813</v>
      </c>
    </row>
    <row r="5329">
      <c r="A5329" s="42">
        <f>_xlfn.XLOOKUP(17852,Trip[shape_id],Trip[shape_id],"Não encontrado")</f>
        <v/>
      </c>
      <c r="B5329" s="43" t="n">
        <v>-23.69576</v>
      </c>
      <c r="C5329" s="43" t="n">
        <v>-46.443465</v>
      </c>
      <c r="D5329" s="43" t="n">
        <v>186</v>
      </c>
      <c r="E5329" s="44" t="n">
        <v>32446.199</v>
      </c>
    </row>
    <row r="5330">
      <c r="A5330" s="39">
        <f>_xlfn.XLOOKUP(17852,Trip[shape_id],Trip[shape_id],"Não encontrado")</f>
        <v/>
      </c>
      <c r="B5330" s="40" t="n">
        <v>-23.695663</v>
      </c>
      <c r="C5330" s="40" t="n">
        <v>-46.441837</v>
      </c>
      <c r="D5330" s="40" t="n">
        <v>187</v>
      </c>
      <c r="E5330" s="41" t="n">
        <v>32546.748</v>
      </c>
    </row>
    <row r="5331">
      <c r="A5331" s="42">
        <f>_xlfn.XLOOKUP(17852,Trip[shape_id],Trip[shape_id],"Não encontrado")</f>
        <v/>
      </c>
      <c r="B5331" s="43" t="n">
        <v>-23.69577</v>
      </c>
      <c r="C5331" s="43" t="n">
        <v>-46.440858</v>
      </c>
      <c r="D5331" s="43" t="n">
        <v>188</v>
      </c>
      <c r="E5331" s="44" t="n">
        <v>32598.793</v>
      </c>
    </row>
    <row r="5332">
      <c r="A5332" s="39">
        <f>_xlfn.XLOOKUP(17852,Trip[shape_id],Trip[shape_id],"Não encontrado")</f>
        <v/>
      </c>
      <c r="B5332" s="40" t="n">
        <v>-23.695898</v>
      </c>
      <c r="C5332" s="40" t="n">
        <v>-46.440367</v>
      </c>
      <c r="D5332" s="40" t="n">
        <v>189</v>
      </c>
      <c r="E5332" s="41" t="n">
        <v>32628.055</v>
      </c>
    </row>
    <row r="5333">
      <c r="A5333" s="42">
        <f>_xlfn.XLOOKUP(17852,Trip[shape_id],Trip[shape_id],"Não encontrado")</f>
        <v/>
      </c>
      <c r="B5333" s="43" t="n">
        <v>-23.695997</v>
      </c>
      <c r="C5333" s="43" t="n">
        <v>-46.440101</v>
      </c>
      <c r="D5333" s="43" t="n">
        <v>190</v>
      </c>
      <c r="E5333" s="44" t="n">
        <v>32708.979</v>
      </c>
    </row>
    <row r="5334">
      <c r="A5334" s="39">
        <f>_xlfn.XLOOKUP(17852,Trip[shape_id],Trip[shape_id],"Não encontrado")</f>
        <v/>
      </c>
      <c r="B5334" s="40" t="n">
        <v>-23.696308</v>
      </c>
      <c r="C5334" s="40" t="n">
        <v>-46.439383</v>
      </c>
      <c r="D5334" s="40" t="n">
        <v>191</v>
      </c>
      <c r="E5334" s="41" t="n">
        <v>32779.02</v>
      </c>
    </row>
    <row r="5335">
      <c r="A5335" s="42">
        <f>_xlfn.XLOOKUP(17852,Trip[shape_id],Trip[shape_id],"Não encontrado")</f>
        <v/>
      </c>
      <c r="B5335" s="43" t="n">
        <v>-23.696658</v>
      </c>
      <c r="C5335" s="43" t="n">
        <v>-46.438811</v>
      </c>
      <c r="D5335" s="43" t="n">
        <v>192</v>
      </c>
      <c r="E5335" s="44" t="n">
        <v>32959.109</v>
      </c>
    </row>
    <row r="5336">
      <c r="A5336" s="39">
        <f>_xlfn.XLOOKUP(17852,Trip[shape_id],Trip[shape_id],"Não encontrado")</f>
        <v/>
      </c>
      <c r="B5336" s="40" t="n">
        <v>-23.69785</v>
      </c>
      <c r="C5336" s="40" t="n">
        <v>-46.43761</v>
      </c>
      <c r="D5336" s="40" t="n">
        <v>193</v>
      </c>
      <c r="E5336" s="41" t="n">
        <v>33106.109</v>
      </c>
    </row>
    <row r="5337">
      <c r="A5337" s="42">
        <f>_xlfn.XLOOKUP(17852,Trip[shape_id],Trip[shape_id],"Não encontrado")</f>
        <v/>
      </c>
      <c r="B5337" s="43" t="n">
        <v>-23.698849</v>
      </c>
      <c r="C5337" s="43" t="n">
        <v>-46.436661</v>
      </c>
      <c r="D5337" s="43" t="n">
        <v>194</v>
      </c>
      <c r="E5337" s="44" t="n">
        <v>33192.297</v>
      </c>
    </row>
    <row r="5338">
      <c r="A5338" s="39">
        <f>_xlfn.XLOOKUP(17852,Trip[shape_id],Trip[shape_id],"Não encontrado")</f>
        <v/>
      </c>
      <c r="B5338" s="40" t="n">
        <v>-23.699475</v>
      </c>
      <c r="C5338" s="40" t="n">
        <v>-46.436159</v>
      </c>
      <c r="D5338" s="40" t="n">
        <v>195</v>
      </c>
      <c r="E5338" s="41" t="n">
        <v>33263.984</v>
      </c>
    </row>
    <row r="5339">
      <c r="A5339" s="42">
        <f>_xlfn.XLOOKUP(17852,Trip[shape_id],Trip[shape_id],"Não encontrado")</f>
        <v/>
      </c>
      <c r="B5339" s="43" t="n">
        <v>-23.700042</v>
      </c>
      <c r="C5339" s="43" t="n">
        <v>-46.43582</v>
      </c>
      <c r="D5339" s="43" t="n">
        <v>196</v>
      </c>
      <c r="E5339" s="44" t="n">
        <v>33495.137</v>
      </c>
    </row>
    <row r="5340">
      <c r="A5340" s="39">
        <f>_xlfn.XLOOKUP(17852,Trip[shape_id],Trip[shape_id],"Não encontrado")</f>
        <v/>
      </c>
      <c r="B5340" s="40" t="n">
        <v>-23.701949</v>
      </c>
      <c r="C5340" s="40" t="n">
        <v>-46.434899</v>
      </c>
      <c r="D5340" s="40" t="n">
        <v>197</v>
      </c>
      <c r="E5340" s="41" t="n">
        <v>33572.109</v>
      </c>
    </row>
    <row r="5341">
      <c r="A5341" s="42">
        <f>_xlfn.XLOOKUP(17852,Trip[shape_id],Trip[shape_id],"Não encontrado")</f>
        <v/>
      </c>
      <c r="B5341" s="43" t="n">
        <v>-23.702511</v>
      </c>
      <c r="C5341" s="43" t="n">
        <v>-46.434455</v>
      </c>
      <c r="D5341" s="43" t="n">
        <v>198</v>
      </c>
      <c r="E5341" s="44" t="n">
        <v>33628.68</v>
      </c>
    </row>
    <row r="5342">
      <c r="A5342" s="39">
        <f>_xlfn.XLOOKUP(17852,Trip[shape_id],Trip[shape_id],"Não encontrado")</f>
        <v/>
      </c>
      <c r="B5342" s="40" t="n">
        <v>-23.702905</v>
      </c>
      <c r="C5342" s="40" t="n">
        <v>-46.434102</v>
      </c>
      <c r="D5342" s="40" t="n">
        <v>199</v>
      </c>
      <c r="E5342" s="41" t="n">
        <v>33700.559</v>
      </c>
    </row>
    <row r="5343">
      <c r="A5343" s="42">
        <f>_xlfn.XLOOKUP(17852,Trip[shape_id],Trip[shape_id],"Não encontrado")</f>
        <v/>
      </c>
      <c r="B5343" s="43" t="n">
        <v>-23.703352</v>
      </c>
      <c r="C5343" s="43" t="n">
        <v>-46.433591</v>
      </c>
      <c r="D5343" s="43" t="n">
        <v>200</v>
      </c>
      <c r="E5343" s="44" t="n">
        <v>33783.355</v>
      </c>
    </row>
    <row r="5344">
      <c r="A5344" s="39">
        <f>_xlfn.XLOOKUP(17852,Trip[shape_id],Trip[shape_id],"Não encontrado")</f>
        <v/>
      </c>
      <c r="B5344" s="40" t="n">
        <v>-23.703766</v>
      </c>
      <c r="C5344" s="40" t="n">
        <v>-46.432915</v>
      </c>
      <c r="D5344" s="40" t="n">
        <v>201</v>
      </c>
      <c r="E5344" s="41" t="n">
        <v>33866.043</v>
      </c>
    </row>
    <row r="5345">
      <c r="A5345" s="42">
        <f>_xlfn.XLOOKUP(17852,Trip[shape_id],Trip[shape_id],"Não encontrado")</f>
        <v/>
      </c>
      <c r="B5345" s="43" t="n">
        <v>-23.704089</v>
      </c>
      <c r="C5345" s="43" t="n">
        <v>-46.432184</v>
      </c>
      <c r="D5345" s="43" t="n">
        <v>202</v>
      </c>
      <c r="E5345" s="44" t="n">
        <v>33932.574</v>
      </c>
    </row>
    <row r="5346">
      <c r="A5346" s="39">
        <f>_xlfn.XLOOKUP(17852,Trip[shape_id],Trip[shape_id],"Não encontrado")</f>
        <v/>
      </c>
      <c r="B5346" s="40" t="n">
        <v>-23.704292</v>
      </c>
      <c r="C5346" s="40" t="n">
        <v>-46.43157</v>
      </c>
      <c r="D5346" s="40" t="n">
        <v>203</v>
      </c>
      <c r="E5346" s="41" t="n">
        <v>33991.598</v>
      </c>
    </row>
    <row r="5347">
      <c r="A5347" s="42">
        <f>_xlfn.XLOOKUP(17852,Trip[shape_id],Trip[shape_id],"Não encontrado")</f>
        <v/>
      </c>
      <c r="B5347" s="43" t="n">
        <v>-23.704423</v>
      </c>
      <c r="C5347" s="43" t="n">
        <v>-46.431009</v>
      </c>
      <c r="D5347" s="43" t="n">
        <v>204</v>
      </c>
      <c r="E5347" s="44" t="n">
        <v>34733.664</v>
      </c>
    </row>
    <row r="5348">
      <c r="A5348" s="39">
        <f>_xlfn.XLOOKUP(17852,Trip[shape_id],Trip[shape_id],"Não encontrado")</f>
        <v/>
      </c>
      <c r="B5348" s="40" t="n">
        <v>-23.706085</v>
      </c>
      <c r="C5348" s="40" t="n">
        <v>-46.42396</v>
      </c>
      <c r="D5348" s="40" t="n">
        <v>205</v>
      </c>
      <c r="E5348" s="41" t="n">
        <v>34879.461</v>
      </c>
    </row>
    <row r="5349">
      <c r="A5349" s="42">
        <f>_xlfn.XLOOKUP(17852,Trip[shape_id],Trip[shape_id],"Não encontrado")</f>
        <v/>
      </c>
      <c r="B5349" s="43" t="n">
        <v>-23.706455</v>
      </c>
      <c r="C5349" s="43" t="n">
        <v>-46.422588</v>
      </c>
      <c r="D5349" s="43" t="n">
        <v>206</v>
      </c>
      <c r="E5349" s="44" t="n">
        <v>34954.887</v>
      </c>
    </row>
    <row r="5350">
      <c r="A5350" s="39">
        <f>_xlfn.XLOOKUP(17852,Trip[shape_id],Trip[shape_id],"Não encontrado")</f>
        <v/>
      </c>
      <c r="B5350" s="40" t="n">
        <v>-23.706766</v>
      </c>
      <c r="C5350" s="40" t="n">
        <v>-46.42193</v>
      </c>
      <c r="D5350" s="40" t="n">
        <v>207</v>
      </c>
      <c r="E5350" s="41" t="n">
        <v>35057.473</v>
      </c>
    </row>
    <row r="5351">
      <c r="A5351" s="42">
        <f>_xlfn.XLOOKUP(17852,Trip[shape_id],Trip[shape_id],"Não encontrado")</f>
        <v/>
      </c>
      <c r="B5351" s="43" t="n">
        <v>-23.707254</v>
      </c>
      <c r="C5351" s="43" t="n">
        <v>-46.421075</v>
      </c>
      <c r="D5351" s="43" t="n">
        <v>208</v>
      </c>
      <c r="E5351" s="44" t="n">
        <v>35312.289</v>
      </c>
    </row>
    <row r="5352">
      <c r="A5352" s="39">
        <f>_xlfn.XLOOKUP(17852,Trip[shape_id],Trip[shape_id],"Não encontrado")</f>
        <v/>
      </c>
      <c r="B5352" s="40" t="n">
        <v>-23.708907</v>
      </c>
      <c r="C5352" s="40" t="n">
        <v>-46.419337</v>
      </c>
      <c r="D5352" s="40" t="n">
        <v>209</v>
      </c>
      <c r="E5352" s="41" t="n">
        <v>35535.352</v>
      </c>
    </row>
    <row r="5353">
      <c r="A5353" s="42">
        <f>_xlfn.XLOOKUP(17852,Trip[shape_id],Trip[shape_id],"Não encontrado")</f>
        <v/>
      </c>
      <c r="B5353" s="43" t="n">
        <v>-23.710423</v>
      </c>
      <c r="C5353" s="43" t="n">
        <v>-46.417897</v>
      </c>
      <c r="D5353" s="43" t="n">
        <v>210</v>
      </c>
      <c r="E5353" s="44" t="n">
        <v>35962.809</v>
      </c>
    </row>
    <row r="5354">
      <c r="A5354" s="39">
        <f>_xlfn.XLOOKUP(17852,Trip[shape_id],Trip[shape_id],"Não encontrado")</f>
        <v/>
      </c>
      <c r="B5354" s="40" t="n">
        <v>-23.713327</v>
      </c>
      <c r="C5354" s="40" t="n">
        <v>-46.415136</v>
      </c>
      <c r="D5354" s="40" t="n">
        <v>211</v>
      </c>
      <c r="E5354" s="41" t="n">
        <v>36071.145</v>
      </c>
    </row>
    <row r="5355">
      <c r="A5355" s="42">
        <f>_xlfn.XLOOKUP(17852,Trip[shape_id],Trip[shape_id],"Não encontrado")</f>
        <v/>
      </c>
      <c r="B5355" s="43" t="n">
        <v>-23.714062</v>
      </c>
      <c r="C5355" s="43" t="n">
        <v>-46.414435</v>
      </c>
      <c r="D5355" s="43" t="n">
        <v>212</v>
      </c>
      <c r="E5355" s="44" t="n">
        <v>36071.145</v>
      </c>
    </row>
    <row r="5356">
      <c r="A5356" s="39">
        <f>_xlfn.XLOOKUP(17852,Trip[shape_id],Trip[shape_id],"Não encontrado")</f>
        <v/>
      </c>
      <c r="B5356" s="40" t="n">
        <v>-23.71763</v>
      </c>
      <c r="C5356" s="40" t="n">
        <v>-46.410971</v>
      </c>
      <c r="D5356" s="40" t="n">
        <v>213</v>
      </c>
      <c r="E5356" s="41" t="n">
        <v>36954.859</v>
      </c>
    </row>
    <row r="5357">
      <c r="A5357" s="42">
        <f>_xlfn.XLOOKUP(17852,Trip[shape_id],Trip[shape_id],"Não encontrado")</f>
        <v/>
      </c>
      <c r="B5357" s="43" t="n">
        <v>-23.719507</v>
      </c>
      <c r="C5357" s="43" t="n">
        <v>-46.408165</v>
      </c>
      <c r="D5357" s="43" t="n">
        <v>214</v>
      </c>
      <c r="E5357" s="44" t="n">
        <v>37198.012</v>
      </c>
    </row>
    <row r="5358">
      <c r="A5358" s="39">
        <f>_xlfn.XLOOKUP(17852,Trip[shape_id],Trip[shape_id],"Não encontrado")</f>
        <v/>
      </c>
      <c r="B5358" s="40" t="n">
        <v>-23.720678</v>
      </c>
      <c r="C5358" s="40" t="n">
        <v>-46.406148</v>
      </c>
      <c r="D5358" s="40" t="n">
        <v>215</v>
      </c>
      <c r="E5358" s="41" t="n">
        <v>37299.25</v>
      </c>
    </row>
    <row r="5359">
      <c r="A5359" s="42">
        <f>_xlfn.XLOOKUP(17852,Trip[shape_id],Trip[shape_id],"Não encontrado")</f>
        <v/>
      </c>
      <c r="B5359" s="43" t="n">
        <v>-23.72124</v>
      </c>
      <c r="C5359" s="43" t="n">
        <v>-46.405365</v>
      </c>
      <c r="D5359" s="43" t="n">
        <v>216</v>
      </c>
      <c r="E5359" s="44" t="n">
        <v>37355.781</v>
      </c>
    </row>
    <row r="5360">
      <c r="A5360" s="39">
        <f>_xlfn.XLOOKUP(17852,Trip[shape_id],Trip[shape_id],"Não encontrado")</f>
        <v/>
      </c>
      <c r="B5360" s="40" t="n">
        <v>-23.7216</v>
      </c>
      <c r="C5360" s="40" t="n">
        <v>-46.404972</v>
      </c>
      <c r="D5360" s="40" t="n">
        <v>217</v>
      </c>
      <c r="E5360" s="41" t="n">
        <v>37476.922</v>
      </c>
    </row>
    <row r="5361">
      <c r="A5361" s="42">
        <f>_xlfn.XLOOKUP(17852,Trip[shape_id],Trip[shape_id],"Não encontrado")</f>
        <v/>
      </c>
      <c r="B5361" s="43" t="n">
        <v>-23.722507</v>
      </c>
      <c r="C5361" s="43" t="n">
        <v>-46.404308</v>
      </c>
      <c r="D5361" s="43" t="n">
        <v>218</v>
      </c>
      <c r="E5361" s="44" t="n">
        <v>37533.992</v>
      </c>
    </row>
    <row r="5362">
      <c r="A5362" s="39">
        <f>_xlfn.XLOOKUP(17852,Trip[shape_id],Trip[shape_id],"Não encontrado")</f>
        <v/>
      </c>
      <c r="B5362" s="40" t="n">
        <v>-23.722985</v>
      </c>
      <c r="C5362" s="40" t="n">
        <v>-46.404099</v>
      </c>
      <c r="D5362" s="40" t="n">
        <v>219</v>
      </c>
      <c r="E5362" s="41" t="n">
        <v>37622.777</v>
      </c>
    </row>
    <row r="5363">
      <c r="A5363" s="42">
        <f>_xlfn.XLOOKUP(17852,Trip[shape_id],Trip[shape_id],"Não encontrado")</f>
        <v/>
      </c>
      <c r="B5363" s="43" t="n">
        <v>-23.723754</v>
      </c>
      <c r="C5363" s="43" t="n">
        <v>-46.403853</v>
      </c>
      <c r="D5363" s="43" t="n">
        <v>220</v>
      </c>
      <c r="E5363" s="44" t="n">
        <v>37721.695</v>
      </c>
    </row>
    <row r="5364">
      <c r="A5364" s="39">
        <f>_xlfn.XLOOKUP(17852,Trip[shape_id],Trip[shape_id],"Não encontrado")</f>
        <v/>
      </c>
      <c r="B5364" s="40" t="n">
        <v>-23.724647</v>
      </c>
      <c r="C5364" s="40" t="n">
        <v>-46.403869</v>
      </c>
      <c r="D5364" s="40" t="n">
        <v>221</v>
      </c>
      <c r="E5364" s="41" t="n">
        <v>37864</v>
      </c>
    </row>
    <row r="5365">
      <c r="A5365" s="42">
        <f>_xlfn.XLOOKUP(17852,Trip[shape_id],Trip[shape_id],"Não encontrado")</f>
        <v/>
      </c>
      <c r="B5365" s="43" t="n">
        <v>-23.725928</v>
      </c>
      <c r="C5365" s="43" t="n">
        <v>-46.403761</v>
      </c>
      <c r="D5365" s="43" t="n">
        <v>222</v>
      </c>
      <c r="E5365" s="44" t="n">
        <v>38063.422</v>
      </c>
    </row>
    <row r="5366">
      <c r="A5366" s="39">
        <f>_xlfn.XLOOKUP(17852,Trip[shape_id],Trip[shape_id],"Não encontrado")</f>
        <v/>
      </c>
      <c r="B5366" s="40" t="n">
        <v>-23.727728</v>
      </c>
      <c r="C5366" s="40" t="n">
        <v>-46.403711</v>
      </c>
      <c r="D5366" s="40" t="n">
        <v>223</v>
      </c>
      <c r="E5366" s="41" t="n">
        <v>38111.535</v>
      </c>
    </row>
    <row r="5367">
      <c r="A5367" s="42">
        <f>_xlfn.XLOOKUP(17852,Trip[shape_id],Trip[shape_id],"Não encontrado")</f>
        <v/>
      </c>
      <c r="B5367" s="43" t="n">
        <v>-23.728162</v>
      </c>
      <c r="C5367" s="43" t="n">
        <v>-46.403732</v>
      </c>
      <c r="D5367" s="43" t="n">
        <v>224</v>
      </c>
      <c r="E5367" s="44" t="n">
        <v>38215.242</v>
      </c>
    </row>
    <row r="5368">
      <c r="A5368" s="39">
        <f>_xlfn.XLOOKUP(17852,Trip[shape_id],Trip[shape_id],"Não encontrado")</f>
        <v/>
      </c>
      <c r="B5368" s="40" t="n">
        <v>-23.729077</v>
      </c>
      <c r="C5368" s="40" t="n">
        <v>-46.403948</v>
      </c>
      <c r="D5368" s="40" t="n">
        <v>225</v>
      </c>
      <c r="E5368" s="41" t="n">
        <v>38317.215</v>
      </c>
    </row>
    <row r="5369">
      <c r="A5369" s="42">
        <f>_xlfn.XLOOKUP(17852,Trip[shape_id],Trip[shape_id],"Não encontrado")</f>
        <v/>
      </c>
      <c r="B5369" s="43" t="n">
        <v>-23.729982</v>
      </c>
      <c r="C5369" s="43" t="n">
        <v>-46.404132</v>
      </c>
      <c r="D5369" s="43" t="n">
        <v>226</v>
      </c>
      <c r="E5369" s="44" t="n">
        <v>38378.398</v>
      </c>
    </row>
    <row r="5370">
      <c r="A5370" s="39">
        <f>_xlfn.XLOOKUP(17852,Trip[shape_id],Trip[shape_id],"Não encontrado")</f>
        <v/>
      </c>
      <c r="B5370" s="40" t="n">
        <v>-23.730534</v>
      </c>
      <c r="C5370" s="40" t="n">
        <v>-46.404156</v>
      </c>
      <c r="D5370" s="40" t="n">
        <v>227</v>
      </c>
      <c r="E5370" s="41" t="n">
        <v>38424.875</v>
      </c>
    </row>
    <row r="5371">
      <c r="A5371" s="42">
        <f>_xlfn.XLOOKUP(17852,Trip[shape_id],Trip[shape_id],"Não encontrado")</f>
        <v/>
      </c>
      <c r="B5371" s="43" t="n">
        <v>-23.730953</v>
      </c>
      <c r="C5371" s="43" t="n">
        <v>-46.404131</v>
      </c>
      <c r="D5371" s="43" t="n">
        <v>228</v>
      </c>
      <c r="E5371" s="44" t="n">
        <v>38500.941</v>
      </c>
    </row>
    <row r="5372">
      <c r="A5372" s="39">
        <f>_xlfn.XLOOKUP(17852,Trip[shape_id],Trip[shape_id],"Não encontrado")</f>
        <v/>
      </c>
      <c r="B5372" s="40" t="n">
        <v>-23.731631</v>
      </c>
      <c r="C5372" s="40" t="n">
        <v>-46.404012</v>
      </c>
      <c r="D5372" s="40" t="n">
        <v>229</v>
      </c>
      <c r="E5372" s="41" t="n">
        <v>38531.332</v>
      </c>
    </row>
    <row r="5373">
      <c r="A5373" s="42">
        <f>_xlfn.XLOOKUP(17852,Trip[shape_id],Trip[shape_id],"Não encontrado")</f>
        <v/>
      </c>
      <c r="B5373" s="43" t="n">
        <v>-23.731899</v>
      </c>
      <c r="C5373" s="43" t="n">
        <v>-46.403948</v>
      </c>
      <c r="D5373" s="43" t="n">
        <v>230</v>
      </c>
      <c r="E5373" s="44" t="n">
        <v>38583.969</v>
      </c>
    </row>
    <row r="5374">
      <c r="A5374" s="39">
        <f>_xlfn.XLOOKUP(17852,Trip[shape_id],Trip[shape_id],"Não encontrado")</f>
        <v/>
      </c>
      <c r="B5374" s="40" t="n">
        <v>-23.732349</v>
      </c>
      <c r="C5374" s="40" t="n">
        <v>-46.403782</v>
      </c>
      <c r="D5374" s="40" t="n">
        <v>231</v>
      </c>
      <c r="E5374" s="41" t="n">
        <v>38702.344</v>
      </c>
    </row>
    <row r="5375">
      <c r="A5375" s="42">
        <f>_xlfn.XLOOKUP(17852,Trip[shape_id],Trip[shape_id],"Não encontrado")</f>
        <v/>
      </c>
      <c r="B5375" s="43" t="n">
        <v>-23.733363</v>
      </c>
      <c r="C5375" s="43" t="n">
        <v>-46.403415</v>
      </c>
      <c r="D5375" s="43" t="n">
        <v>232</v>
      </c>
      <c r="E5375" s="44" t="n">
        <v>38777.98</v>
      </c>
    </row>
    <row r="5376">
      <c r="A5376" s="39">
        <f>_xlfn.XLOOKUP(17852,Trip[shape_id],Trip[shape_id],"Não encontrado")</f>
        <v/>
      </c>
      <c r="B5376" s="40" t="n">
        <v>-23.734034</v>
      </c>
      <c r="C5376" s="40" t="n">
        <v>-46.403277</v>
      </c>
      <c r="D5376" s="40" t="n">
        <v>233</v>
      </c>
      <c r="E5376" s="41" t="n">
        <v>38960.125</v>
      </c>
    </row>
    <row r="5377">
      <c r="A5377" s="42">
        <f>_xlfn.XLOOKUP(17852,Trip[shape_id],Trip[shape_id],"Não encontrado")</f>
        <v/>
      </c>
      <c r="B5377" s="43" t="n">
        <v>-23.735674</v>
      </c>
      <c r="C5377" s="43" t="n">
        <v>-46.403144</v>
      </c>
      <c r="D5377" s="43" t="n">
        <v>234</v>
      </c>
      <c r="E5377" s="44" t="n">
        <v>39065.5</v>
      </c>
    </row>
    <row r="5378">
      <c r="A5378" s="39">
        <f>_xlfn.XLOOKUP(17852,Trip[shape_id],Trip[shape_id],"Não encontrado")</f>
        <v/>
      </c>
      <c r="B5378" s="40" t="n">
        <v>-23.736605</v>
      </c>
      <c r="C5378" s="40" t="n">
        <v>-46.402931</v>
      </c>
      <c r="D5378" s="40" t="n">
        <v>235</v>
      </c>
      <c r="E5378" s="41" t="n">
        <v>39147.508</v>
      </c>
    </row>
    <row r="5379">
      <c r="A5379" s="42">
        <f>_xlfn.XLOOKUP(17852,Trip[shape_id],Trip[shape_id],"Não encontrado")</f>
        <v/>
      </c>
      <c r="B5379" s="43" t="n">
        <v>-23.737292</v>
      </c>
      <c r="C5379" s="43" t="n">
        <v>-46.402631</v>
      </c>
      <c r="D5379" s="43" t="n">
        <v>236</v>
      </c>
      <c r="E5379" s="44" t="n">
        <v>39222.387</v>
      </c>
    </row>
    <row r="5380">
      <c r="A5380" s="39">
        <f>_xlfn.XLOOKUP(17852,Trip[shape_id],Trip[shape_id],"Não encontrado")</f>
        <v/>
      </c>
      <c r="B5380" s="40" t="n">
        <v>-23.737896</v>
      </c>
      <c r="C5380" s="40" t="n">
        <v>-46.402301</v>
      </c>
      <c r="D5380" s="40" t="n">
        <v>237</v>
      </c>
      <c r="E5380" s="41" t="n">
        <v>39287.504</v>
      </c>
    </row>
    <row r="5381">
      <c r="A5381" s="42">
        <f>_xlfn.XLOOKUP(17852,Trip[shape_id],Trip[shape_id],"Não encontrado")</f>
        <v/>
      </c>
      <c r="B5381" s="43" t="n">
        <v>-23.738381</v>
      </c>
      <c r="C5381" s="43" t="n">
        <v>-46.40194</v>
      </c>
      <c r="D5381" s="43" t="n">
        <v>238</v>
      </c>
      <c r="E5381" s="44" t="n">
        <v>39400.23</v>
      </c>
    </row>
    <row r="5382">
      <c r="A5382" s="39">
        <f>_xlfn.XLOOKUP(17852,Trip[shape_id],Trip[shape_id],"Não encontrado")</f>
        <v/>
      </c>
      <c r="B5382" s="40" t="n">
        <v>-23.739143</v>
      </c>
      <c r="C5382" s="40" t="n">
        <v>-46.401207</v>
      </c>
      <c r="D5382" s="40" t="n">
        <v>239</v>
      </c>
      <c r="E5382" s="41" t="n">
        <v>39483.355</v>
      </c>
    </row>
    <row r="5383">
      <c r="A5383" s="42">
        <f>_xlfn.XLOOKUP(17852,Trip[shape_id],Trip[shape_id],"Não encontrado")</f>
        <v/>
      </c>
      <c r="B5383" s="43" t="n">
        <v>-23.739616</v>
      </c>
      <c r="C5383" s="43" t="n">
        <v>-46.400574</v>
      </c>
      <c r="D5383" s="43" t="n">
        <v>240</v>
      </c>
      <c r="E5383" s="44" t="n">
        <v>39591.859</v>
      </c>
    </row>
    <row r="5384">
      <c r="A5384" s="39">
        <f>_xlfn.XLOOKUP(17852,Trip[shape_id],Trip[shape_id],"Não encontrado")</f>
        <v/>
      </c>
      <c r="B5384" s="40" t="n">
        <v>-23.740127</v>
      </c>
      <c r="C5384" s="40" t="n">
        <v>-46.399666</v>
      </c>
      <c r="D5384" s="40" t="n">
        <v>241</v>
      </c>
      <c r="E5384" s="41" t="n">
        <v>39865.703</v>
      </c>
    </row>
    <row r="5385">
      <c r="A5385" s="42">
        <f>_xlfn.XLOOKUP(17852,Trip[shape_id],Trip[shape_id],"Não encontrado")</f>
        <v/>
      </c>
      <c r="B5385" s="43" t="n">
        <v>-23.741012</v>
      </c>
      <c r="C5385" s="43" t="n">
        <v>-46.397158</v>
      </c>
      <c r="D5385" s="43" t="n">
        <v>242</v>
      </c>
      <c r="E5385" s="44" t="n">
        <v>40081.613</v>
      </c>
    </row>
    <row r="5386">
      <c r="A5386" s="39">
        <f>_xlfn.XLOOKUP(17852,Trip[shape_id],Trip[shape_id],"Não encontrado")</f>
        <v/>
      </c>
      <c r="B5386" s="40" t="n">
        <v>-23.741606</v>
      </c>
      <c r="C5386" s="40" t="n">
        <v>-46.395141</v>
      </c>
      <c r="D5386" s="40" t="n">
        <v>243</v>
      </c>
      <c r="E5386" s="41" t="n">
        <v>40191.938</v>
      </c>
    </row>
    <row r="5387">
      <c r="A5387" s="42">
        <f>_xlfn.XLOOKUP(17852,Trip[shape_id],Trip[shape_id],"Não encontrado")</f>
        <v/>
      </c>
      <c r="B5387" s="43" t="n">
        <v>-23.741936</v>
      </c>
      <c r="C5387" s="43" t="n">
        <v>-46.39412</v>
      </c>
      <c r="D5387" s="43" t="n">
        <v>244</v>
      </c>
      <c r="E5387" s="44" t="n">
        <v>40316.887</v>
      </c>
    </row>
    <row r="5388">
      <c r="A5388" s="39">
        <f>_xlfn.XLOOKUP(17852,Trip[shape_id],Trip[shape_id],"Não encontrado")</f>
        <v/>
      </c>
      <c r="B5388" s="40" t="n">
        <v>-23.742422</v>
      </c>
      <c r="C5388" s="40" t="n">
        <v>-46.393014</v>
      </c>
      <c r="D5388" s="40" t="n">
        <v>245</v>
      </c>
      <c r="E5388" s="41" t="n">
        <v>40419.152</v>
      </c>
    </row>
    <row r="5389">
      <c r="A5389" s="42">
        <f>_xlfn.XLOOKUP(17852,Trip[shape_id],Trip[shape_id],"Não encontrado")</f>
        <v/>
      </c>
      <c r="B5389" s="43" t="n">
        <v>-23.742979</v>
      </c>
      <c r="C5389" s="43" t="n">
        <v>-46.392214</v>
      </c>
      <c r="D5389" s="43" t="n">
        <v>246</v>
      </c>
      <c r="E5389" s="44" t="n">
        <v>40483.215</v>
      </c>
    </row>
    <row r="5390">
      <c r="A5390" s="39">
        <f>_xlfn.XLOOKUP(17852,Trip[shape_id],Trip[shape_id],"Não encontrado")</f>
        <v/>
      </c>
      <c r="B5390" s="40" t="n">
        <v>-23.743375</v>
      </c>
      <c r="C5390" s="40" t="n">
        <v>-46.391756</v>
      </c>
      <c r="D5390" s="40" t="n">
        <v>247</v>
      </c>
      <c r="E5390" s="41" t="n">
        <v>40483.215</v>
      </c>
    </row>
    <row r="5391">
      <c r="A5391" s="42">
        <f>_xlfn.XLOOKUP(17853,Trip[shape_id],Trip[shape_id],"Não encontrado")</f>
        <v/>
      </c>
      <c r="B5391" s="43" t="n">
        <v>-23.743375</v>
      </c>
      <c r="C5391" s="43" t="n">
        <v>-46.391756</v>
      </c>
      <c r="D5391" s="43" t="n">
        <v>1</v>
      </c>
      <c r="E5391" s="44" t="n">
        <v>0</v>
      </c>
    </row>
    <row r="5392">
      <c r="A5392" s="39">
        <f>_xlfn.XLOOKUP(17853,Trip[shape_id],Trip[shape_id],"Não encontrado")</f>
        <v/>
      </c>
      <c r="B5392" s="40" t="n">
        <v>-23.742979</v>
      </c>
      <c r="C5392" s="40" t="n">
        <v>-46.392214</v>
      </c>
      <c r="D5392" s="40" t="n">
        <v>2</v>
      </c>
      <c r="E5392" s="41" t="n">
        <v>64.062119</v>
      </c>
    </row>
    <row r="5393">
      <c r="A5393" s="42">
        <f>_xlfn.XLOOKUP(17853,Trip[shape_id],Trip[shape_id],"Não encontrado")</f>
        <v/>
      </c>
      <c r="B5393" s="43" t="n">
        <v>-23.742422</v>
      </c>
      <c r="C5393" s="43" t="n">
        <v>-46.393014</v>
      </c>
      <c r="D5393" s="43" t="n">
        <v>3</v>
      </c>
      <c r="E5393" s="44" t="n">
        <v>166.32706</v>
      </c>
    </row>
    <row r="5394">
      <c r="A5394" s="39">
        <f>_xlfn.XLOOKUP(17853,Trip[shape_id],Trip[shape_id],"Não encontrado")</f>
        <v/>
      </c>
      <c r="B5394" s="40" t="n">
        <v>-23.741936</v>
      </c>
      <c r="C5394" s="40" t="n">
        <v>-46.39412</v>
      </c>
      <c r="D5394" s="40" t="n">
        <v>4</v>
      </c>
      <c r="E5394" s="41" t="n">
        <v>291.27603</v>
      </c>
    </row>
    <row r="5395">
      <c r="A5395" s="42">
        <f>_xlfn.XLOOKUP(17853,Trip[shape_id],Trip[shape_id],"Não encontrado")</f>
        <v/>
      </c>
      <c r="B5395" s="43" t="n">
        <v>-23.741606</v>
      </c>
      <c r="C5395" s="43" t="n">
        <v>-46.395141</v>
      </c>
      <c r="D5395" s="43" t="n">
        <v>5</v>
      </c>
      <c r="E5395" s="44" t="n">
        <v>401.6008</v>
      </c>
    </row>
    <row r="5396">
      <c r="A5396" s="39">
        <f>_xlfn.XLOOKUP(17853,Trip[shape_id],Trip[shape_id],"Não encontrado")</f>
        <v/>
      </c>
      <c r="B5396" s="40" t="n">
        <v>-23.741012</v>
      </c>
      <c r="C5396" s="40" t="n">
        <v>-46.397158</v>
      </c>
      <c r="D5396" s="40" t="n">
        <v>6</v>
      </c>
      <c r="E5396" s="41" t="n">
        <v>617.5094</v>
      </c>
    </row>
    <row r="5397">
      <c r="A5397" s="42">
        <f>_xlfn.XLOOKUP(17853,Trip[shape_id],Trip[shape_id],"Não encontrado")</f>
        <v/>
      </c>
      <c r="B5397" s="43" t="n">
        <v>-23.740127</v>
      </c>
      <c r="C5397" s="43" t="n">
        <v>-46.399666</v>
      </c>
      <c r="D5397" s="43" t="n">
        <v>7</v>
      </c>
      <c r="E5397" s="44" t="n">
        <v>891.35461</v>
      </c>
    </row>
    <row r="5398">
      <c r="A5398" s="39">
        <f>_xlfn.XLOOKUP(17853,Trip[shape_id],Trip[shape_id],"Não encontrado")</f>
        <v/>
      </c>
      <c r="B5398" s="40" t="n">
        <v>-23.739616</v>
      </c>
      <c r="C5398" s="40" t="n">
        <v>-46.400574</v>
      </c>
      <c r="D5398" s="40" t="n">
        <v>8</v>
      </c>
      <c r="E5398" s="41" t="n">
        <v>999.85925</v>
      </c>
    </row>
    <row r="5399">
      <c r="A5399" s="42">
        <f>_xlfn.XLOOKUP(17853,Trip[shape_id],Trip[shape_id],"Não encontrado")</f>
        <v/>
      </c>
      <c r="B5399" s="43" t="n">
        <v>-23.739143</v>
      </c>
      <c r="C5399" s="43" t="n">
        <v>-46.401207</v>
      </c>
      <c r="D5399" s="43" t="n">
        <v>9</v>
      </c>
      <c r="E5399" s="44" t="n">
        <v>1082.9829</v>
      </c>
    </row>
    <row r="5400">
      <c r="A5400" s="39">
        <f>_xlfn.XLOOKUP(17853,Trip[shape_id],Trip[shape_id],"Não encontrado")</f>
        <v/>
      </c>
      <c r="B5400" s="40" t="n">
        <v>-23.738381</v>
      </c>
      <c r="C5400" s="40" t="n">
        <v>-46.40194</v>
      </c>
      <c r="D5400" s="40" t="n">
        <v>10</v>
      </c>
      <c r="E5400" s="41" t="n">
        <v>1195.7111</v>
      </c>
    </row>
    <row r="5401">
      <c r="A5401" s="42">
        <f>_xlfn.XLOOKUP(17853,Trip[shape_id],Trip[shape_id],"Não encontrado")</f>
        <v/>
      </c>
      <c r="B5401" s="43" t="n">
        <v>-23.737896</v>
      </c>
      <c r="C5401" s="43" t="n">
        <v>-46.402301</v>
      </c>
      <c r="D5401" s="43" t="n">
        <v>11</v>
      </c>
      <c r="E5401" s="44" t="n">
        <v>1260.8271</v>
      </c>
    </row>
    <row r="5402">
      <c r="A5402" s="39">
        <f>_xlfn.XLOOKUP(17853,Trip[shape_id],Trip[shape_id],"Não encontrado")</f>
        <v/>
      </c>
      <c r="B5402" s="40" t="n">
        <v>-23.737292</v>
      </c>
      <c r="C5402" s="40" t="n">
        <v>-46.402631</v>
      </c>
      <c r="D5402" s="40" t="n">
        <v>12</v>
      </c>
      <c r="E5402" s="41" t="n">
        <v>1335.7075</v>
      </c>
    </row>
    <row r="5403">
      <c r="A5403" s="42">
        <f>_xlfn.XLOOKUP(17853,Trip[shape_id],Trip[shape_id],"Não encontrado")</f>
        <v/>
      </c>
      <c r="B5403" s="43" t="n">
        <v>-23.736605</v>
      </c>
      <c r="C5403" s="43" t="n">
        <v>-46.402931</v>
      </c>
      <c r="D5403" s="43" t="n">
        <v>13</v>
      </c>
      <c r="E5403" s="44" t="n">
        <v>1417.7136</v>
      </c>
    </row>
    <row r="5404">
      <c r="A5404" s="39">
        <f>_xlfn.XLOOKUP(17853,Trip[shape_id],Trip[shape_id],"Não encontrado")</f>
        <v/>
      </c>
      <c r="B5404" s="40" t="n">
        <v>-23.735674</v>
      </c>
      <c r="C5404" s="40" t="n">
        <v>-46.403144</v>
      </c>
      <c r="D5404" s="40" t="n">
        <v>14</v>
      </c>
      <c r="E5404" s="41" t="n">
        <v>1523.0881</v>
      </c>
    </row>
    <row r="5405">
      <c r="A5405" s="42">
        <f>_xlfn.XLOOKUP(17853,Trip[shape_id],Trip[shape_id],"Não encontrado")</f>
        <v/>
      </c>
      <c r="B5405" s="43" t="n">
        <v>-23.734034</v>
      </c>
      <c r="C5405" s="43" t="n">
        <v>-46.403277</v>
      </c>
      <c r="D5405" s="43" t="n">
        <v>15</v>
      </c>
      <c r="E5405" s="44" t="n">
        <v>1705.2308</v>
      </c>
    </row>
    <row r="5406">
      <c r="A5406" s="39">
        <f>_xlfn.XLOOKUP(17853,Trip[shape_id],Trip[shape_id],"Não encontrado")</f>
        <v/>
      </c>
      <c r="B5406" s="40" t="n">
        <v>-23.733363</v>
      </c>
      <c r="C5406" s="40" t="n">
        <v>-46.403415</v>
      </c>
      <c r="D5406" s="40" t="n">
        <v>16</v>
      </c>
      <c r="E5406" s="41" t="n">
        <v>1780.8673</v>
      </c>
    </row>
    <row r="5407">
      <c r="A5407" s="42">
        <f>_xlfn.XLOOKUP(17853,Trip[shape_id],Trip[shape_id],"Não encontrado")</f>
        <v/>
      </c>
      <c r="B5407" s="43" t="n">
        <v>-23.732349</v>
      </c>
      <c r="C5407" s="43" t="n">
        <v>-46.403782</v>
      </c>
      <c r="D5407" s="43" t="n">
        <v>17</v>
      </c>
      <c r="E5407" s="44" t="n">
        <v>1899.2422</v>
      </c>
    </row>
    <row r="5408">
      <c r="A5408" s="39">
        <f>_xlfn.XLOOKUP(17853,Trip[shape_id],Trip[shape_id],"Não encontrado")</f>
        <v/>
      </c>
      <c r="B5408" s="40" t="n">
        <v>-23.731899</v>
      </c>
      <c r="C5408" s="40" t="n">
        <v>-46.403948</v>
      </c>
      <c r="D5408" s="40" t="n">
        <v>18</v>
      </c>
      <c r="E5408" s="41" t="n">
        <v>1951.8772</v>
      </c>
    </row>
    <row r="5409">
      <c r="A5409" s="42">
        <f>_xlfn.XLOOKUP(17853,Trip[shape_id],Trip[shape_id],"Não encontrado")</f>
        <v/>
      </c>
      <c r="B5409" s="43" t="n">
        <v>-23.731631</v>
      </c>
      <c r="C5409" s="43" t="n">
        <v>-46.404012</v>
      </c>
      <c r="D5409" s="43" t="n">
        <v>19</v>
      </c>
      <c r="E5409" s="44" t="n">
        <v>1982.2681</v>
      </c>
    </row>
    <row r="5410">
      <c r="A5410" s="39">
        <f>_xlfn.XLOOKUP(17853,Trip[shape_id],Trip[shape_id],"Não encontrado")</f>
        <v/>
      </c>
      <c r="B5410" s="40" t="n">
        <v>-23.730953</v>
      </c>
      <c r="C5410" s="40" t="n">
        <v>-46.404131</v>
      </c>
      <c r="D5410" s="40" t="n">
        <v>20</v>
      </c>
      <c r="E5410" s="41" t="n">
        <v>2058.3335</v>
      </c>
    </row>
    <row r="5411">
      <c r="A5411" s="42">
        <f>_xlfn.XLOOKUP(17853,Trip[shape_id],Trip[shape_id],"Não encontrado")</f>
        <v/>
      </c>
      <c r="B5411" s="43" t="n">
        <v>-23.730534</v>
      </c>
      <c r="C5411" s="43" t="n">
        <v>-46.404156</v>
      </c>
      <c r="D5411" s="43" t="n">
        <v>21</v>
      </c>
      <c r="E5411" s="44" t="n">
        <v>2104.8096</v>
      </c>
    </row>
    <row r="5412">
      <c r="A5412" s="39">
        <f>_xlfn.XLOOKUP(17853,Trip[shape_id],Trip[shape_id],"Não encontrado")</f>
        <v/>
      </c>
      <c r="B5412" s="40" t="n">
        <v>-23.729982</v>
      </c>
      <c r="C5412" s="40" t="n">
        <v>-46.404132</v>
      </c>
      <c r="D5412" s="40" t="n">
        <v>22</v>
      </c>
      <c r="E5412" s="41" t="n">
        <v>2165.9949</v>
      </c>
    </row>
    <row r="5413">
      <c r="A5413" s="42">
        <f>_xlfn.XLOOKUP(17853,Trip[shape_id],Trip[shape_id],"Não encontrado")</f>
        <v/>
      </c>
      <c r="B5413" s="43" t="n">
        <v>-23.729077</v>
      </c>
      <c r="C5413" s="43" t="n">
        <v>-46.403948</v>
      </c>
      <c r="D5413" s="43" t="n">
        <v>23</v>
      </c>
      <c r="E5413" s="44" t="n">
        <v>2267.9683</v>
      </c>
    </row>
    <row r="5414">
      <c r="A5414" s="39">
        <f>_xlfn.XLOOKUP(17853,Trip[shape_id],Trip[shape_id],"Não encontrado")</f>
        <v/>
      </c>
      <c r="B5414" s="40" t="n">
        <v>-23.728162</v>
      </c>
      <c r="C5414" s="40" t="n">
        <v>-46.403732</v>
      </c>
      <c r="D5414" s="40" t="n">
        <v>24</v>
      </c>
      <c r="E5414" s="41" t="n">
        <v>2371.6741</v>
      </c>
    </row>
    <row r="5415">
      <c r="A5415" s="42">
        <f>_xlfn.XLOOKUP(17853,Trip[shape_id],Trip[shape_id],"Não encontrado")</f>
        <v/>
      </c>
      <c r="B5415" s="43" t="n">
        <v>-23.727728</v>
      </c>
      <c r="C5415" s="43" t="n">
        <v>-46.403711</v>
      </c>
      <c r="D5415" s="43" t="n">
        <v>25</v>
      </c>
      <c r="E5415" s="44" t="n">
        <v>2419.7891</v>
      </c>
    </row>
    <row r="5416">
      <c r="A5416" s="39">
        <f>_xlfn.XLOOKUP(17853,Trip[shape_id],Trip[shape_id],"Não encontrado")</f>
        <v/>
      </c>
      <c r="B5416" s="40" t="n">
        <v>-23.725928</v>
      </c>
      <c r="C5416" s="40" t="n">
        <v>-46.403761</v>
      </c>
      <c r="D5416" s="40" t="n">
        <v>26</v>
      </c>
      <c r="E5416" s="41" t="n">
        <v>2619.2119</v>
      </c>
    </row>
    <row r="5417">
      <c r="A5417" s="42">
        <f>_xlfn.XLOOKUP(17853,Trip[shape_id],Trip[shape_id],"Não encontrado")</f>
        <v/>
      </c>
      <c r="B5417" s="43" t="n">
        <v>-23.724647</v>
      </c>
      <c r="C5417" s="43" t="n">
        <v>-46.403869</v>
      </c>
      <c r="D5417" s="43" t="n">
        <v>27</v>
      </c>
      <c r="E5417" s="44" t="n">
        <v>2761.5149</v>
      </c>
    </row>
    <row r="5418">
      <c r="A5418" s="39">
        <f>_xlfn.XLOOKUP(17853,Trip[shape_id],Trip[shape_id],"Não encontrado")</f>
        <v/>
      </c>
      <c r="B5418" s="40" t="n">
        <v>-23.723754</v>
      </c>
      <c r="C5418" s="40" t="n">
        <v>-46.403853</v>
      </c>
      <c r="D5418" s="40" t="n">
        <v>28</v>
      </c>
      <c r="E5418" s="41" t="n">
        <v>2860.4319</v>
      </c>
    </row>
    <row r="5419">
      <c r="A5419" s="42">
        <f>_xlfn.XLOOKUP(17853,Trip[shape_id],Trip[shape_id],"Não encontrado")</f>
        <v/>
      </c>
      <c r="B5419" s="43" t="n">
        <v>-23.722985</v>
      </c>
      <c r="C5419" s="43" t="n">
        <v>-46.404099</v>
      </c>
      <c r="D5419" s="43" t="n">
        <v>29</v>
      </c>
      <c r="E5419" s="44" t="n">
        <v>2949.219</v>
      </c>
    </row>
    <row r="5420">
      <c r="A5420" s="39">
        <f>_xlfn.XLOOKUP(17853,Trip[shape_id],Trip[shape_id],"Não encontrado")</f>
        <v/>
      </c>
      <c r="B5420" s="40" t="n">
        <v>-23.722507</v>
      </c>
      <c r="C5420" s="40" t="n">
        <v>-46.404308</v>
      </c>
      <c r="D5420" s="40" t="n">
        <v>30</v>
      </c>
      <c r="E5420" s="41" t="n">
        <v>3006.2881</v>
      </c>
    </row>
    <row r="5421">
      <c r="A5421" s="42">
        <f>_xlfn.XLOOKUP(17853,Trip[shape_id],Trip[shape_id],"Não encontrado")</f>
        <v/>
      </c>
      <c r="B5421" s="43" t="n">
        <v>-23.7216</v>
      </c>
      <c r="C5421" s="43" t="n">
        <v>-46.404972</v>
      </c>
      <c r="D5421" s="43" t="n">
        <v>31</v>
      </c>
      <c r="E5421" s="44" t="n">
        <v>3127.4299</v>
      </c>
    </row>
    <row r="5422">
      <c r="A5422" s="39">
        <f>_xlfn.XLOOKUP(17853,Trip[shape_id],Trip[shape_id],"Não encontrado")</f>
        <v/>
      </c>
      <c r="B5422" s="40" t="n">
        <v>-23.72124</v>
      </c>
      <c r="C5422" s="40" t="n">
        <v>-46.405365</v>
      </c>
      <c r="D5422" s="40" t="n">
        <v>32</v>
      </c>
      <c r="E5422" s="41" t="n">
        <v>3183.9602</v>
      </c>
    </row>
    <row r="5423">
      <c r="A5423" s="42">
        <f>_xlfn.XLOOKUP(17853,Trip[shape_id],Trip[shape_id],"Não encontrado")</f>
        <v/>
      </c>
      <c r="B5423" s="43" t="n">
        <v>-23.720678</v>
      </c>
      <c r="C5423" s="43" t="n">
        <v>-46.406148</v>
      </c>
      <c r="D5423" s="43" t="n">
        <v>33</v>
      </c>
      <c r="E5423" s="44" t="n">
        <v>3285.1982</v>
      </c>
    </row>
    <row r="5424">
      <c r="A5424" s="39">
        <f>_xlfn.XLOOKUP(17853,Trip[shape_id],Trip[shape_id],"Não encontrado")</f>
        <v/>
      </c>
      <c r="B5424" s="40" t="n">
        <v>-23.719507</v>
      </c>
      <c r="C5424" s="40" t="n">
        <v>-46.408165</v>
      </c>
      <c r="D5424" s="40" t="n">
        <v>34</v>
      </c>
      <c r="E5424" s="41" t="n">
        <v>3528.3494</v>
      </c>
    </row>
    <row r="5425">
      <c r="A5425" s="42">
        <f>_xlfn.XLOOKUP(17853,Trip[shape_id],Trip[shape_id],"Não encontrado")</f>
        <v/>
      </c>
      <c r="B5425" s="43" t="n">
        <v>-23.71763</v>
      </c>
      <c r="C5425" s="43" t="n">
        <v>-46.410971</v>
      </c>
      <c r="D5425" s="43" t="n">
        <v>35</v>
      </c>
      <c r="E5425" s="44" t="n">
        <v>3882.0278</v>
      </c>
    </row>
    <row r="5426">
      <c r="A5426" s="39">
        <f>_xlfn.XLOOKUP(17853,Trip[shape_id],Trip[shape_id],"Não encontrado")</f>
        <v/>
      </c>
      <c r="B5426" s="40" t="n">
        <v>-23.714062</v>
      </c>
      <c r="C5426" s="40" t="n">
        <v>-46.414435</v>
      </c>
      <c r="D5426" s="40" t="n">
        <v>36</v>
      </c>
      <c r="E5426" s="41" t="n">
        <v>4412.0625</v>
      </c>
    </row>
    <row r="5427">
      <c r="A5427" s="42">
        <f>_xlfn.XLOOKUP(17853,Trip[shape_id],Trip[shape_id],"Não encontrado")</f>
        <v/>
      </c>
      <c r="B5427" s="43" t="n">
        <v>-23.713327</v>
      </c>
      <c r="C5427" s="43" t="n">
        <v>-46.415136</v>
      </c>
      <c r="D5427" s="43" t="n">
        <v>37</v>
      </c>
      <c r="E5427" s="44" t="n">
        <v>4520.3989</v>
      </c>
    </row>
    <row r="5428">
      <c r="A5428" s="39">
        <f>_xlfn.XLOOKUP(17853,Trip[shape_id],Trip[shape_id],"Não encontrado")</f>
        <v/>
      </c>
      <c r="B5428" s="40" t="n">
        <v>-23.710423</v>
      </c>
      <c r="C5428" s="40" t="n">
        <v>-46.417897</v>
      </c>
      <c r="D5428" s="40" t="n">
        <v>38</v>
      </c>
      <c r="E5428" s="41" t="n">
        <v>4947.8579</v>
      </c>
    </row>
    <row r="5429">
      <c r="A5429" s="42">
        <f>_xlfn.XLOOKUP(17853,Trip[shape_id],Trip[shape_id],"Não encontrado")</f>
        <v/>
      </c>
      <c r="B5429" s="43" t="n">
        <v>-23.708907</v>
      </c>
      <c r="C5429" s="43" t="n">
        <v>-46.419337</v>
      </c>
      <c r="D5429" s="43" t="n">
        <v>39</v>
      </c>
      <c r="E5429" s="44" t="n">
        <v>5170.9189</v>
      </c>
    </row>
    <row r="5430">
      <c r="A5430" s="39">
        <f>_xlfn.XLOOKUP(17853,Trip[shape_id],Trip[shape_id],"Não encontrado")</f>
        <v/>
      </c>
      <c r="B5430" s="40" t="n">
        <v>-23.707254</v>
      </c>
      <c r="C5430" s="40" t="n">
        <v>-46.421075</v>
      </c>
      <c r="D5430" s="40" t="n">
        <v>40</v>
      </c>
      <c r="E5430" s="41" t="n">
        <v>5425.7354</v>
      </c>
    </row>
    <row r="5431">
      <c r="A5431" s="42">
        <f>_xlfn.XLOOKUP(17853,Trip[shape_id],Trip[shape_id],"Não encontrado")</f>
        <v/>
      </c>
      <c r="B5431" s="43" t="n">
        <v>-23.706766</v>
      </c>
      <c r="C5431" s="43" t="n">
        <v>-46.42193</v>
      </c>
      <c r="D5431" s="43" t="n">
        <v>41</v>
      </c>
      <c r="E5431" s="44" t="n">
        <v>5528.3213</v>
      </c>
    </row>
    <row r="5432">
      <c r="A5432" s="39">
        <f>_xlfn.XLOOKUP(17853,Trip[shape_id],Trip[shape_id],"Não encontrado")</f>
        <v/>
      </c>
      <c r="B5432" s="40" t="n">
        <v>-23.706455</v>
      </c>
      <c r="C5432" s="40" t="n">
        <v>-46.422588</v>
      </c>
      <c r="D5432" s="40" t="n">
        <v>42</v>
      </c>
      <c r="E5432" s="41" t="n">
        <v>5603.749</v>
      </c>
    </row>
    <row r="5433">
      <c r="A5433" s="42">
        <f>_xlfn.XLOOKUP(17853,Trip[shape_id],Trip[shape_id],"Não encontrado")</f>
        <v/>
      </c>
      <c r="B5433" s="43" t="n">
        <v>-23.706085</v>
      </c>
      <c r="C5433" s="43" t="n">
        <v>-46.42396</v>
      </c>
      <c r="D5433" s="43" t="n">
        <v>43</v>
      </c>
      <c r="E5433" s="44" t="n">
        <v>5749.5449</v>
      </c>
    </row>
    <row r="5434">
      <c r="A5434" s="39">
        <f>_xlfn.XLOOKUP(17853,Trip[shape_id],Trip[shape_id],"Não encontrado")</f>
        <v/>
      </c>
      <c r="B5434" s="40" t="n">
        <v>-23.704423</v>
      </c>
      <c r="C5434" s="40" t="n">
        <v>-46.431009</v>
      </c>
      <c r="D5434" s="40" t="n">
        <v>44</v>
      </c>
      <c r="E5434" s="41" t="n">
        <v>6491.6099</v>
      </c>
    </row>
    <row r="5435">
      <c r="A5435" s="42">
        <f>_xlfn.XLOOKUP(17853,Trip[shape_id],Trip[shape_id],"Não encontrado")</f>
        <v/>
      </c>
      <c r="B5435" s="43" t="n">
        <v>-23.704292</v>
      </c>
      <c r="C5435" s="43" t="n">
        <v>-46.43157</v>
      </c>
      <c r="D5435" s="43" t="n">
        <v>45</v>
      </c>
      <c r="E5435" s="44" t="n">
        <v>6550.6333</v>
      </c>
    </row>
    <row r="5436">
      <c r="A5436" s="39">
        <f>_xlfn.XLOOKUP(17853,Trip[shape_id],Trip[shape_id],"Não encontrado")</f>
        <v/>
      </c>
      <c r="B5436" s="40" t="n">
        <v>-23.704089</v>
      </c>
      <c r="C5436" s="40" t="n">
        <v>-46.432184</v>
      </c>
      <c r="D5436" s="40" t="n">
        <v>46</v>
      </c>
      <c r="E5436" s="41" t="n">
        <v>6617.165</v>
      </c>
    </row>
    <row r="5437">
      <c r="A5437" s="42">
        <f>_xlfn.XLOOKUP(17853,Trip[shape_id],Trip[shape_id],"Não encontrado")</f>
        <v/>
      </c>
      <c r="B5437" s="43" t="n">
        <v>-23.703766</v>
      </c>
      <c r="C5437" s="43" t="n">
        <v>-46.432915</v>
      </c>
      <c r="D5437" s="43" t="n">
        <v>47</v>
      </c>
      <c r="E5437" s="44" t="n">
        <v>6699.8535</v>
      </c>
    </row>
    <row r="5438">
      <c r="A5438" s="39">
        <f>_xlfn.XLOOKUP(17853,Trip[shape_id],Trip[shape_id],"Não encontrado")</f>
        <v/>
      </c>
      <c r="B5438" s="40" t="n">
        <v>-23.703352</v>
      </c>
      <c r="C5438" s="40" t="n">
        <v>-46.433591</v>
      </c>
      <c r="D5438" s="40" t="n">
        <v>48</v>
      </c>
      <c r="E5438" s="41" t="n">
        <v>6782.6499</v>
      </c>
    </row>
    <row r="5439">
      <c r="A5439" s="42">
        <f>_xlfn.XLOOKUP(17853,Trip[shape_id],Trip[shape_id],"Não encontrado")</f>
        <v/>
      </c>
      <c r="B5439" s="43" t="n">
        <v>-23.702905</v>
      </c>
      <c r="C5439" s="43" t="n">
        <v>-46.434102</v>
      </c>
      <c r="D5439" s="43" t="n">
        <v>49</v>
      </c>
      <c r="E5439" s="44" t="n">
        <v>6854.5303</v>
      </c>
    </row>
    <row r="5440">
      <c r="A5440" s="39">
        <f>_xlfn.XLOOKUP(17853,Trip[shape_id],Trip[shape_id],"Não encontrado")</f>
        <v/>
      </c>
      <c r="B5440" s="40" t="n">
        <v>-23.702511</v>
      </c>
      <c r="C5440" s="40" t="n">
        <v>-46.434455</v>
      </c>
      <c r="D5440" s="40" t="n">
        <v>50</v>
      </c>
      <c r="E5440" s="41" t="n">
        <v>6911.1006</v>
      </c>
    </row>
    <row r="5441">
      <c r="A5441" s="42">
        <f>_xlfn.XLOOKUP(17853,Trip[shape_id],Trip[shape_id],"Não encontrado")</f>
        <v/>
      </c>
      <c r="B5441" s="43" t="n">
        <v>-23.701949</v>
      </c>
      <c r="C5441" s="43" t="n">
        <v>-46.434899</v>
      </c>
      <c r="D5441" s="43" t="n">
        <v>51</v>
      </c>
      <c r="E5441" s="44" t="n">
        <v>6988.0723</v>
      </c>
    </row>
    <row r="5442">
      <c r="A5442" s="39">
        <f>_xlfn.XLOOKUP(17853,Trip[shape_id],Trip[shape_id],"Não encontrado")</f>
        <v/>
      </c>
      <c r="B5442" s="40" t="n">
        <v>-23.700042</v>
      </c>
      <c r="C5442" s="40" t="n">
        <v>-46.43582</v>
      </c>
      <c r="D5442" s="40" t="n">
        <v>52</v>
      </c>
      <c r="E5442" s="41" t="n">
        <v>7219.2241</v>
      </c>
    </row>
    <row r="5443">
      <c r="A5443" s="42">
        <f>_xlfn.XLOOKUP(17853,Trip[shape_id],Trip[shape_id],"Não encontrado")</f>
        <v/>
      </c>
      <c r="B5443" s="43" t="n">
        <v>-23.699475</v>
      </c>
      <c r="C5443" s="43" t="n">
        <v>-46.436159</v>
      </c>
      <c r="D5443" s="43" t="n">
        <v>53</v>
      </c>
      <c r="E5443" s="44" t="n">
        <v>7290.9097</v>
      </c>
    </row>
    <row r="5444">
      <c r="A5444" s="39">
        <f>_xlfn.XLOOKUP(17853,Trip[shape_id],Trip[shape_id],"Não encontrado")</f>
        <v/>
      </c>
      <c r="B5444" s="40" t="n">
        <v>-23.698849</v>
      </c>
      <c r="C5444" s="40" t="n">
        <v>-46.436661</v>
      </c>
      <c r="D5444" s="40" t="n">
        <v>54</v>
      </c>
      <c r="E5444" s="41" t="n">
        <v>7377.0962</v>
      </c>
    </row>
    <row r="5445">
      <c r="A5445" s="42">
        <f>_xlfn.XLOOKUP(17853,Trip[shape_id],Trip[shape_id],"Não encontrado")</f>
        <v/>
      </c>
      <c r="B5445" s="43" t="n">
        <v>-23.69785</v>
      </c>
      <c r="C5445" s="43" t="n">
        <v>-46.43761</v>
      </c>
      <c r="D5445" s="43" t="n">
        <v>55</v>
      </c>
      <c r="E5445" s="44" t="n">
        <v>7524.0977</v>
      </c>
    </row>
    <row r="5446">
      <c r="A5446" s="39">
        <f>_xlfn.XLOOKUP(17853,Trip[shape_id],Trip[shape_id],"Não encontrado")</f>
        <v/>
      </c>
      <c r="B5446" s="40" t="n">
        <v>-23.696658</v>
      </c>
      <c r="C5446" s="40" t="n">
        <v>-46.438811</v>
      </c>
      <c r="D5446" s="40" t="n">
        <v>56</v>
      </c>
      <c r="E5446" s="41" t="n">
        <v>7704.187</v>
      </c>
    </row>
    <row r="5447">
      <c r="A5447" s="42">
        <f>_xlfn.XLOOKUP(17853,Trip[shape_id],Trip[shape_id],"Não encontrado")</f>
        <v/>
      </c>
      <c r="B5447" s="43" t="n">
        <v>-23.696308</v>
      </c>
      <c r="C5447" s="43" t="n">
        <v>-46.439383</v>
      </c>
      <c r="D5447" s="43" t="n">
        <v>57</v>
      </c>
      <c r="E5447" s="44" t="n">
        <v>7774.2295</v>
      </c>
    </row>
    <row r="5448">
      <c r="A5448" s="39">
        <f>_xlfn.XLOOKUP(17853,Trip[shape_id],Trip[shape_id],"Não encontrado")</f>
        <v/>
      </c>
      <c r="B5448" s="40" t="n">
        <v>-23.695997</v>
      </c>
      <c r="C5448" s="40" t="n">
        <v>-46.440101</v>
      </c>
      <c r="D5448" s="40" t="n">
        <v>58</v>
      </c>
      <c r="E5448" s="41" t="n">
        <v>7855.1543</v>
      </c>
    </row>
    <row r="5449">
      <c r="A5449" s="42">
        <f>_xlfn.XLOOKUP(17853,Trip[shape_id],Trip[shape_id],"Não encontrado")</f>
        <v/>
      </c>
      <c r="B5449" s="43" t="n">
        <v>-23.695898</v>
      </c>
      <c r="C5449" s="43" t="n">
        <v>-46.440367</v>
      </c>
      <c r="D5449" s="43" t="n">
        <v>59</v>
      </c>
      <c r="E5449" s="44" t="n">
        <v>7884.4155</v>
      </c>
    </row>
    <row r="5450">
      <c r="A5450" s="39">
        <f>_xlfn.XLOOKUP(17853,Trip[shape_id],Trip[shape_id],"Não encontrado")</f>
        <v/>
      </c>
      <c r="B5450" s="40" t="n">
        <v>-23.69577</v>
      </c>
      <c r="C5450" s="40" t="n">
        <v>-46.440858</v>
      </c>
      <c r="D5450" s="40" t="n">
        <v>60</v>
      </c>
      <c r="E5450" s="41" t="n">
        <v>7936.4604</v>
      </c>
    </row>
    <row r="5451">
      <c r="A5451" s="42">
        <f>_xlfn.XLOOKUP(17853,Trip[shape_id],Trip[shape_id],"Não encontrado")</f>
        <v/>
      </c>
      <c r="B5451" s="43" t="n">
        <v>-23.695663</v>
      </c>
      <c r="C5451" s="43" t="n">
        <v>-46.441837</v>
      </c>
      <c r="D5451" s="43" t="n">
        <v>61</v>
      </c>
      <c r="E5451" s="44" t="n">
        <v>8037.0093</v>
      </c>
    </row>
    <row r="5452">
      <c r="A5452" s="39">
        <f>_xlfn.XLOOKUP(17853,Trip[shape_id],Trip[shape_id],"Não encontrado")</f>
        <v/>
      </c>
      <c r="B5452" s="40" t="n">
        <v>-23.69576</v>
      </c>
      <c r="C5452" s="40" t="n">
        <v>-46.443465</v>
      </c>
      <c r="D5452" s="40" t="n">
        <v>62</v>
      </c>
      <c r="E5452" s="41" t="n">
        <v>8203.395500000001</v>
      </c>
    </row>
    <row r="5453">
      <c r="A5453" s="42">
        <f>_xlfn.XLOOKUP(17853,Trip[shape_id],Trip[shape_id],"Não encontrado")</f>
        <v/>
      </c>
      <c r="B5453" s="43" t="n">
        <v>-23.695782</v>
      </c>
      <c r="C5453" s="43" t="n">
        <v>-46.444121</v>
      </c>
      <c r="D5453" s="43" t="n">
        <v>63</v>
      </c>
      <c r="E5453" s="44" t="n">
        <v>8270.3447</v>
      </c>
    </row>
    <row r="5454">
      <c r="A5454" s="39">
        <f>_xlfn.XLOOKUP(17853,Trip[shape_id],Trip[shape_id],"Não encontrado")</f>
        <v/>
      </c>
      <c r="B5454" s="40" t="n">
        <v>-23.695734</v>
      </c>
      <c r="C5454" s="40" t="n">
        <v>-46.444793</v>
      </c>
      <c r="D5454" s="40" t="n">
        <v>64</v>
      </c>
      <c r="E5454" s="41" t="n">
        <v>8339.0879</v>
      </c>
    </row>
    <row r="5455">
      <c r="A5455" s="42">
        <f>_xlfn.XLOOKUP(17853,Trip[shape_id],Trip[shape_id],"Não encontrado")</f>
        <v/>
      </c>
      <c r="B5455" s="43" t="n">
        <v>-23.695543</v>
      </c>
      <c r="C5455" s="43" t="n">
        <v>-46.445413</v>
      </c>
      <c r="D5455" s="43" t="n">
        <v>65</v>
      </c>
      <c r="E5455" s="44" t="n">
        <v>8405.765600000001</v>
      </c>
    </row>
    <row r="5456">
      <c r="A5456" s="39">
        <f>_xlfn.XLOOKUP(17853,Trip[shape_id],Trip[shape_id],"Não encontrado")</f>
        <v/>
      </c>
      <c r="B5456" s="40" t="n">
        <v>-23.695328</v>
      </c>
      <c r="C5456" s="40" t="n">
        <v>-46.445942</v>
      </c>
      <c r="D5456" s="40" t="n">
        <v>66</v>
      </c>
      <c r="E5456" s="41" t="n">
        <v>8464.739299999999</v>
      </c>
    </row>
    <row r="5457">
      <c r="A5457" s="42">
        <f>_xlfn.XLOOKUP(17853,Trip[shape_id],Trip[shape_id],"Não encontrado")</f>
        <v/>
      </c>
      <c r="B5457" s="43" t="n">
        <v>-23.694945</v>
      </c>
      <c r="C5457" s="43" t="n">
        <v>-46.446594</v>
      </c>
      <c r="D5457" s="43" t="n">
        <v>67</v>
      </c>
      <c r="E5457" s="44" t="n">
        <v>8543.614299999999</v>
      </c>
    </row>
    <row r="5458">
      <c r="A5458" s="39">
        <f>_xlfn.XLOOKUP(17853,Trip[shape_id],Trip[shape_id],"Não encontrado")</f>
        <v/>
      </c>
      <c r="B5458" s="40" t="n">
        <v>-23.694539</v>
      </c>
      <c r="C5458" s="40" t="n">
        <v>-46.447064</v>
      </c>
      <c r="D5458" s="40" t="n">
        <v>68</v>
      </c>
      <c r="E5458" s="41" t="n">
        <v>8609.338900000001</v>
      </c>
    </row>
    <row r="5459">
      <c r="A5459" s="42">
        <f>_xlfn.XLOOKUP(17853,Trip[shape_id],Trip[shape_id],"Não encontrado")</f>
        <v/>
      </c>
      <c r="B5459" s="43" t="n">
        <v>-23.694121</v>
      </c>
      <c r="C5459" s="43" t="n">
        <v>-46.447397</v>
      </c>
      <c r="D5459" s="43" t="n">
        <v>69</v>
      </c>
      <c r="E5459" s="44" t="n">
        <v>8666.7559</v>
      </c>
    </row>
    <row r="5460">
      <c r="A5460" s="39">
        <f>_xlfn.XLOOKUP(17853,Trip[shape_id],Trip[shape_id],"Não encontrado")</f>
        <v/>
      </c>
      <c r="B5460" s="40" t="n">
        <v>-23.692328</v>
      </c>
      <c r="C5460" s="40" t="n">
        <v>-46.448566</v>
      </c>
      <c r="D5460" s="40" t="n">
        <v>70</v>
      </c>
      <c r="E5460" s="41" t="n">
        <v>8898.3809</v>
      </c>
    </row>
    <row r="5461">
      <c r="A5461" s="42">
        <f>_xlfn.XLOOKUP(17853,Trip[shape_id],Trip[shape_id],"Não encontrado")</f>
        <v/>
      </c>
      <c r="B5461" s="43" t="n">
        <v>-23.690559</v>
      </c>
      <c r="C5461" s="43" t="n">
        <v>-46.449682</v>
      </c>
      <c r="D5461" s="43" t="n">
        <v>71</v>
      </c>
      <c r="E5461" s="44" t="n">
        <v>9124.968800000001</v>
      </c>
    </row>
    <row r="5462">
      <c r="A5462" s="39">
        <f>_xlfn.XLOOKUP(17853,Trip[shape_id],Trip[shape_id],"Não encontrado")</f>
        <v/>
      </c>
      <c r="B5462" s="40" t="n">
        <v>-23.689163</v>
      </c>
      <c r="C5462" s="40" t="n">
        <v>-46.450328</v>
      </c>
      <c r="D5462" s="40" t="n">
        <v>72</v>
      </c>
      <c r="E5462" s="41" t="n">
        <v>9293.0352</v>
      </c>
    </row>
    <row r="5463">
      <c r="A5463" s="42">
        <f>_xlfn.XLOOKUP(17853,Trip[shape_id],Trip[shape_id],"Não encontrado")</f>
        <v/>
      </c>
      <c r="B5463" s="43" t="n">
        <v>-23.686494</v>
      </c>
      <c r="C5463" s="43" t="n">
        <v>-46.45156</v>
      </c>
      <c r="D5463" s="43" t="n">
        <v>73</v>
      </c>
      <c r="E5463" s="44" t="n">
        <v>9614.2363</v>
      </c>
    </row>
    <row r="5464">
      <c r="A5464" s="39">
        <f>_xlfn.XLOOKUP(17853,Trip[shape_id],Trip[shape_id],"Não encontrado")</f>
        <v/>
      </c>
      <c r="B5464" s="40" t="n">
        <v>-23.68577</v>
      </c>
      <c r="C5464" s="40" t="n">
        <v>-46.451835</v>
      </c>
      <c r="D5464" s="40" t="n">
        <v>74</v>
      </c>
      <c r="E5464" s="41" t="n">
        <v>9699.1865</v>
      </c>
    </row>
    <row r="5465">
      <c r="A5465" s="42">
        <f>_xlfn.XLOOKUP(17853,Trip[shape_id],Trip[shape_id],"Não encontrado")</f>
        <v/>
      </c>
      <c r="B5465" s="43" t="n">
        <v>-23.683497</v>
      </c>
      <c r="C5465" s="43" t="n">
        <v>-46.452289</v>
      </c>
      <c r="D5465" s="43" t="n">
        <v>75</v>
      </c>
      <c r="E5465" s="44" t="n">
        <v>9955.1533</v>
      </c>
    </row>
    <row r="5466">
      <c r="A5466" s="39">
        <f>_xlfn.XLOOKUP(17853,Trip[shape_id],Trip[shape_id],"Não encontrado")</f>
        <v/>
      </c>
      <c r="B5466" s="40" t="n">
        <v>-23.682994</v>
      </c>
      <c r="C5466" s="40" t="n">
        <v>-46.452447</v>
      </c>
      <c r="D5466" s="40" t="n">
        <v>76</v>
      </c>
      <c r="E5466" s="41" t="n">
        <v>10013.146</v>
      </c>
    </row>
    <row r="5467">
      <c r="A5467" s="42">
        <f>_xlfn.XLOOKUP(17853,Trip[shape_id],Trip[shape_id],"Não encontrado")</f>
        <v/>
      </c>
      <c r="B5467" s="43" t="n">
        <v>-23.68153</v>
      </c>
      <c r="C5467" s="43" t="n">
        <v>-46.453013</v>
      </c>
      <c r="D5467" s="43" t="n">
        <v>77</v>
      </c>
      <c r="E5467" s="44" t="n">
        <v>10185.261</v>
      </c>
    </row>
    <row r="5468">
      <c r="A5468" s="39">
        <f>_xlfn.XLOOKUP(17853,Trip[shape_id],Trip[shape_id],"Não encontrado")</f>
        <v/>
      </c>
      <c r="B5468" s="40" t="n">
        <v>-23.680706</v>
      </c>
      <c r="C5468" s="40" t="n">
        <v>-46.453258</v>
      </c>
      <c r="D5468" s="40" t="n">
        <v>78</v>
      </c>
      <c r="E5468" s="41" t="n">
        <v>10279.882</v>
      </c>
    </row>
    <row r="5469">
      <c r="A5469" s="42">
        <f>_xlfn.XLOOKUP(17853,Trip[shape_id],Trip[shape_id],"Não encontrado")</f>
        <v/>
      </c>
      <c r="B5469" s="43" t="n">
        <v>-23.676543</v>
      </c>
      <c r="C5469" s="43" t="n">
        <v>-46.453912</v>
      </c>
      <c r="D5469" s="43" t="n">
        <v>79</v>
      </c>
      <c r="E5469" s="44" t="n">
        <v>10745.75</v>
      </c>
    </row>
    <row r="5470">
      <c r="A5470" s="39">
        <f>_xlfn.XLOOKUP(17853,Trip[shape_id],Trip[shape_id],"Não encontrado")</f>
        <v/>
      </c>
      <c r="B5470" s="40" t="n">
        <v>-23.675635</v>
      </c>
      <c r="C5470" s="40" t="n">
        <v>-46.454196</v>
      </c>
      <c r="D5470" s="40" t="n">
        <v>80</v>
      </c>
      <c r="E5470" s="41" t="n">
        <v>10850.403</v>
      </c>
    </row>
    <row r="5471">
      <c r="A5471" s="42">
        <f>_xlfn.XLOOKUP(17853,Trip[shape_id],Trip[shape_id],"Não encontrado")</f>
        <v/>
      </c>
      <c r="B5471" s="43" t="n">
        <v>-23.674956</v>
      </c>
      <c r="C5471" s="43" t="n">
        <v>-46.454495</v>
      </c>
      <c r="D5471" s="43" t="n">
        <v>81</v>
      </c>
      <c r="E5471" s="44" t="n">
        <v>10931.555</v>
      </c>
    </row>
    <row r="5472">
      <c r="A5472" s="39">
        <f>_xlfn.XLOOKUP(17853,Trip[shape_id],Trip[shape_id],"Não encontrado")</f>
        <v/>
      </c>
      <c r="B5472" s="40" t="n">
        <v>-23.674476</v>
      </c>
      <c r="C5472" s="40" t="n">
        <v>-46.454795</v>
      </c>
      <c r="D5472" s="40" t="n">
        <v>82</v>
      </c>
      <c r="E5472" s="41" t="n">
        <v>10992.896</v>
      </c>
    </row>
    <row r="5473">
      <c r="A5473" s="42">
        <f>_xlfn.XLOOKUP(17853,Trip[shape_id],Trip[shape_id],"Não encontrado")</f>
        <v/>
      </c>
      <c r="B5473" s="43" t="n">
        <v>-23.673683</v>
      </c>
      <c r="C5473" s="43" t="n">
        <v>-46.45547</v>
      </c>
      <c r="D5473" s="43" t="n">
        <v>83</v>
      </c>
      <c r="E5473" s="44" t="n">
        <v>11104.496</v>
      </c>
    </row>
    <row r="5474">
      <c r="A5474" s="39">
        <f>_xlfn.XLOOKUP(17853,Trip[shape_id],Trip[shape_id],"Não encontrado")</f>
        <v/>
      </c>
      <c r="B5474" s="40" t="n">
        <v>-23.671645</v>
      </c>
      <c r="C5474" s="40" t="n">
        <v>-46.45748</v>
      </c>
      <c r="D5474" s="40" t="n">
        <v>84</v>
      </c>
      <c r="E5474" s="41" t="n">
        <v>11409.434</v>
      </c>
    </row>
    <row r="5475">
      <c r="A5475" s="42">
        <f>_xlfn.XLOOKUP(17853,Trip[shape_id],Trip[shape_id],"Não encontrado")</f>
        <v/>
      </c>
      <c r="B5475" s="43" t="n">
        <v>-23.669878</v>
      </c>
      <c r="C5475" s="43" t="n">
        <v>-46.459229</v>
      </c>
      <c r="D5475" s="43" t="n">
        <v>85</v>
      </c>
      <c r="E5475" s="44" t="n">
        <v>11674.255</v>
      </c>
    </row>
    <row r="5476">
      <c r="A5476" s="39">
        <f>_xlfn.XLOOKUP(17853,Trip[shape_id],Trip[shape_id],"Não encontrado")</f>
        <v/>
      </c>
      <c r="B5476" s="40" t="n">
        <v>-23.669499</v>
      </c>
      <c r="C5476" s="40" t="n">
        <v>-46.459677</v>
      </c>
      <c r="D5476" s="40" t="n">
        <v>86</v>
      </c>
      <c r="E5476" s="41" t="n">
        <v>11736.307</v>
      </c>
    </row>
    <row r="5477">
      <c r="A5477" s="42">
        <f>_xlfn.XLOOKUP(17853,Trip[shape_id],Trip[shape_id],"Não encontrado")</f>
        <v/>
      </c>
      <c r="B5477" s="43" t="n">
        <v>-23.668429</v>
      </c>
      <c r="C5477" s="43" t="n">
        <v>-46.461244</v>
      </c>
      <c r="D5477" s="43" t="n">
        <v>87</v>
      </c>
      <c r="E5477" s="44" t="n">
        <v>11935.294</v>
      </c>
    </row>
    <row r="5478">
      <c r="A5478" s="39">
        <f>_xlfn.XLOOKUP(17853,Trip[shape_id],Trip[shape_id],"Não encontrado")</f>
        <v/>
      </c>
      <c r="B5478" s="40" t="n">
        <v>-23.666126</v>
      </c>
      <c r="C5478" s="40" t="n">
        <v>-46.464719</v>
      </c>
      <c r="D5478" s="40" t="n">
        <v>88</v>
      </c>
      <c r="E5478" s="41" t="n">
        <v>12372.011</v>
      </c>
    </row>
    <row r="5479">
      <c r="A5479" s="42">
        <f>_xlfn.XLOOKUP(17853,Trip[shape_id],Trip[shape_id],"Não encontrado")</f>
        <v/>
      </c>
      <c r="B5479" s="43" t="n">
        <v>-23.66519</v>
      </c>
      <c r="C5479" s="43" t="n">
        <v>-46.466137</v>
      </c>
      <c r="D5479" s="43" t="n">
        <v>89</v>
      </c>
      <c r="E5479" s="44" t="n">
        <v>12549.976</v>
      </c>
    </row>
    <row r="5480">
      <c r="A5480" s="39">
        <f>_xlfn.XLOOKUP(17853,Trip[shape_id],Trip[shape_id],"Não encontrado")</f>
        <v/>
      </c>
      <c r="B5480" s="40" t="n">
        <v>-23.663834</v>
      </c>
      <c r="C5480" s="40" t="n">
        <v>-46.46814</v>
      </c>
      <c r="D5480" s="40" t="n">
        <v>90</v>
      </c>
      <c r="E5480" s="41" t="n">
        <v>12803.563</v>
      </c>
    </row>
    <row r="5481">
      <c r="A5481" s="42">
        <f>_xlfn.XLOOKUP(17853,Trip[shape_id],Trip[shape_id],"Não encontrado")</f>
        <v/>
      </c>
      <c r="B5481" s="43" t="n">
        <v>-23.662615</v>
      </c>
      <c r="C5481" s="43" t="n">
        <v>-46.470031</v>
      </c>
      <c r="D5481" s="43" t="n">
        <v>91</v>
      </c>
      <c r="E5481" s="44" t="n">
        <v>13039.023</v>
      </c>
    </row>
    <row r="5482">
      <c r="A5482" s="39">
        <f>_xlfn.XLOOKUP(17853,Trip[shape_id],Trip[shape_id],"Não encontrado")</f>
        <v/>
      </c>
      <c r="B5482" s="40" t="n">
        <v>-23.661863</v>
      </c>
      <c r="C5482" s="40" t="n">
        <v>-46.471263</v>
      </c>
      <c r="D5482" s="40" t="n">
        <v>92</v>
      </c>
      <c r="E5482" s="41" t="n">
        <v>13189.798</v>
      </c>
    </row>
    <row r="5483">
      <c r="A5483" s="42">
        <f>_xlfn.XLOOKUP(17853,Trip[shape_id],Trip[shape_id],"Não encontrado")</f>
        <v/>
      </c>
      <c r="B5483" s="43" t="n">
        <v>-23.661133</v>
      </c>
      <c r="C5483" s="43" t="n">
        <v>-46.472855</v>
      </c>
      <c r="D5483" s="43" t="n">
        <v>93</v>
      </c>
      <c r="E5483" s="44" t="n">
        <v>13371.219</v>
      </c>
    </row>
    <row r="5484">
      <c r="A5484" s="39">
        <f>_xlfn.XLOOKUP(17853,Trip[shape_id],Trip[shape_id],"Não encontrado")</f>
        <v/>
      </c>
      <c r="B5484" s="40" t="n">
        <v>-23.657681</v>
      </c>
      <c r="C5484" s="40" t="n">
        <v>-46.481183</v>
      </c>
      <c r="D5484" s="40" t="n">
        <v>94</v>
      </c>
      <c r="E5484" s="41" t="n">
        <v>14302.882</v>
      </c>
    </row>
    <row r="5485">
      <c r="A5485" s="42">
        <f>_xlfn.XLOOKUP(17853,Trip[shape_id],Trip[shape_id],"Não encontrado")</f>
        <v/>
      </c>
      <c r="B5485" s="43" t="n">
        <v>-23.657305</v>
      </c>
      <c r="C5485" s="43" t="n">
        <v>-46.482427</v>
      </c>
      <c r="D5485" s="43" t="n">
        <v>95</v>
      </c>
      <c r="E5485" s="44" t="n">
        <v>14436.451</v>
      </c>
    </row>
    <row r="5486">
      <c r="A5486" s="39">
        <f>_xlfn.XLOOKUP(17853,Trip[shape_id],Trip[shape_id],"Não encontrado")</f>
        <v/>
      </c>
      <c r="B5486" s="40" t="n">
        <v>-23.657111</v>
      </c>
      <c r="C5486" s="40" t="n">
        <v>-46.483907</v>
      </c>
      <c r="D5486" s="40" t="n">
        <v>96</v>
      </c>
      <c r="E5486" s="41" t="n">
        <v>14588.961</v>
      </c>
    </row>
    <row r="5487">
      <c r="A5487" s="42">
        <f>_xlfn.XLOOKUP(17853,Trip[shape_id],Trip[shape_id],"Não encontrado")</f>
        <v/>
      </c>
      <c r="B5487" s="43" t="n">
        <v>-23.657081</v>
      </c>
      <c r="C5487" s="43" t="n">
        <v>-46.484462</v>
      </c>
      <c r="D5487" s="43" t="n">
        <v>97</v>
      </c>
      <c r="E5487" s="44" t="n">
        <v>14645.679</v>
      </c>
    </row>
    <row r="5488">
      <c r="A5488" s="39">
        <f>_xlfn.XLOOKUP(17853,Trip[shape_id],Trip[shape_id],"Não encontrado")</f>
        <v/>
      </c>
      <c r="B5488" s="40" t="n">
        <v>-23.657168</v>
      </c>
      <c r="C5488" s="40" t="n">
        <v>-46.485443</v>
      </c>
      <c r="D5488" s="40" t="n">
        <v>98</v>
      </c>
      <c r="E5488" s="41" t="n">
        <v>14746.223</v>
      </c>
    </row>
    <row r="5489">
      <c r="A5489" s="42">
        <f>_xlfn.XLOOKUP(17853,Trip[shape_id],Trip[shape_id],"Não encontrado")</f>
        <v/>
      </c>
      <c r="B5489" s="43" t="n">
        <v>-23.657317</v>
      </c>
      <c r="C5489" s="43" t="n">
        <v>-46.486339</v>
      </c>
      <c r="D5489" s="43" t="n">
        <v>99</v>
      </c>
      <c r="E5489" s="44" t="n">
        <v>14839.109</v>
      </c>
    </row>
    <row r="5490">
      <c r="A5490" s="39">
        <f>_xlfn.XLOOKUP(17853,Trip[shape_id],Trip[shape_id],"Não encontrado")</f>
        <v/>
      </c>
      <c r="B5490" s="40" t="n">
        <v>-23.658179</v>
      </c>
      <c r="C5490" s="40" t="n">
        <v>-46.489619</v>
      </c>
      <c r="D5490" s="40" t="n">
        <v>100</v>
      </c>
      <c r="E5490" s="41" t="n">
        <v>15187.084</v>
      </c>
    </row>
    <row r="5491">
      <c r="A5491" s="42">
        <f>_xlfn.XLOOKUP(17853,Trip[shape_id],Trip[shape_id],"Não encontrado")</f>
        <v/>
      </c>
      <c r="B5491" s="43" t="n">
        <v>-23.659117</v>
      </c>
      <c r="C5491" s="43" t="n">
        <v>-46.493082</v>
      </c>
      <c r="D5491" s="43" t="n">
        <v>101</v>
      </c>
      <c r="E5491" s="44" t="n">
        <v>15555.331</v>
      </c>
    </row>
    <row r="5492">
      <c r="A5492" s="39">
        <f>_xlfn.XLOOKUP(17853,Trip[shape_id],Trip[shape_id],"Não encontrado")</f>
        <v/>
      </c>
      <c r="B5492" s="40" t="n">
        <v>-23.660353</v>
      </c>
      <c r="C5492" s="40" t="n">
        <v>-46.497037</v>
      </c>
      <c r="D5492" s="40" t="n">
        <v>102</v>
      </c>
      <c r="E5492" s="41" t="n">
        <v>15981.4</v>
      </c>
    </row>
    <row r="5493">
      <c r="A5493" s="42">
        <f>_xlfn.XLOOKUP(17853,Trip[shape_id],Trip[shape_id],"Não encontrado")</f>
        <v/>
      </c>
      <c r="B5493" s="43" t="n">
        <v>-23.660604</v>
      </c>
      <c r="C5493" s="43" t="n">
        <v>-46.497903</v>
      </c>
      <c r="D5493" s="43" t="n">
        <v>103</v>
      </c>
      <c r="E5493" s="44" t="n">
        <v>16074.018</v>
      </c>
    </row>
    <row r="5494">
      <c r="A5494" s="39">
        <f>_xlfn.XLOOKUP(17853,Trip[shape_id],Trip[shape_id],"Não encontrado")</f>
        <v/>
      </c>
      <c r="B5494" s="40" t="n">
        <v>-23.660962</v>
      </c>
      <c r="C5494" s="40" t="n">
        <v>-46.499893</v>
      </c>
      <c r="D5494" s="40" t="n">
        <v>104</v>
      </c>
      <c r="E5494" s="41" t="n">
        <v>16280.866</v>
      </c>
    </row>
    <row r="5495">
      <c r="A5495" s="42">
        <f>_xlfn.XLOOKUP(17853,Trip[shape_id],Trip[shape_id],"Não encontrado")</f>
        <v/>
      </c>
      <c r="B5495" s="43" t="n">
        <v>-23.660947</v>
      </c>
      <c r="C5495" s="43" t="n">
        <v>-46.501592</v>
      </c>
      <c r="D5495" s="43" t="n">
        <v>105</v>
      </c>
      <c r="E5495" s="44" t="n">
        <v>16454.201</v>
      </c>
    </row>
    <row r="5496">
      <c r="A5496" s="39">
        <f>_xlfn.XLOOKUP(17853,Trip[shape_id],Trip[shape_id],"Não encontrado")</f>
        <v/>
      </c>
      <c r="B5496" s="40" t="n">
        <v>-23.660917</v>
      </c>
      <c r="C5496" s="40" t="n">
        <v>-46.501791</v>
      </c>
      <c r="D5496" s="40" t="n">
        <v>106</v>
      </c>
      <c r="E5496" s="41" t="n">
        <v>16474.773</v>
      </c>
    </row>
    <row r="5497">
      <c r="A5497" s="42">
        <f>_xlfn.XLOOKUP(17853,Trip[shape_id],Trip[shape_id],"Não encontrado")</f>
        <v/>
      </c>
      <c r="B5497" s="43" t="n">
        <v>-23.660471</v>
      </c>
      <c r="C5497" s="43" t="n">
        <v>-46.503715</v>
      </c>
      <c r="D5497" s="43" t="n">
        <v>107</v>
      </c>
      <c r="E5497" s="44" t="n">
        <v>16677.174</v>
      </c>
    </row>
    <row r="5498">
      <c r="A5498" s="39">
        <f>_xlfn.XLOOKUP(17853,Trip[shape_id],Trip[shape_id],"Não encontrado")</f>
        <v/>
      </c>
      <c r="B5498" s="40" t="n">
        <v>-23.658402</v>
      </c>
      <c r="C5498" s="40" t="n">
        <v>-46.512549</v>
      </c>
      <c r="D5498" s="40" t="n">
        <v>108</v>
      </c>
      <c r="E5498" s="41" t="n">
        <v>17607.074</v>
      </c>
    </row>
    <row r="5499">
      <c r="A5499" s="42">
        <f>_xlfn.XLOOKUP(17853,Trip[shape_id],Trip[shape_id],"Não encontrado")</f>
        <v/>
      </c>
      <c r="B5499" s="43" t="n">
        <v>-23.65746</v>
      </c>
      <c r="C5499" s="43" t="n">
        <v>-46.51652</v>
      </c>
      <c r="D5499" s="43" t="n">
        <v>109</v>
      </c>
      <c r="E5499" s="44" t="n">
        <v>18025.41</v>
      </c>
    </row>
    <row r="5500">
      <c r="A5500" s="39">
        <f>_xlfn.XLOOKUP(17853,Trip[shape_id],Trip[shape_id],"Não encontrado")</f>
        <v/>
      </c>
      <c r="B5500" s="40" t="n">
        <v>-23.656749</v>
      </c>
      <c r="C5500" s="40" t="n">
        <v>-46.51949</v>
      </c>
      <c r="D5500" s="40" t="n">
        <v>110</v>
      </c>
      <c r="E5500" s="41" t="n">
        <v>18338.473</v>
      </c>
    </row>
    <row r="5501">
      <c r="A5501" s="42">
        <f>_xlfn.XLOOKUP(17853,Trip[shape_id],Trip[shape_id],"Não encontrado")</f>
        <v/>
      </c>
      <c r="B5501" s="43" t="n">
        <v>-23.655973</v>
      </c>
      <c r="C5501" s="43" t="n">
        <v>-46.52143</v>
      </c>
      <c r="D5501" s="43" t="n">
        <v>111</v>
      </c>
      <c r="E5501" s="44" t="n">
        <v>18554.246</v>
      </c>
    </row>
    <row r="5502">
      <c r="A5502" s="39">
        <f>_xlfn.XLOOKUP(17853,Trip[shape_id],Trip[shape_id],"Não encontrado")</f>
        <v/>
      </c>
      <c r="B5502" s="40" t="n">
        <v>-23.65427</v>
      </c>
      <c r="C5502" s="40" t="n">
        <v>-46.525715</v>
      </c>
      <c r="D5502" s="40" t="n">
        <v>112</v>
      </c>
      <c r="E5502" s="41" t="n">
        <v>19030.359</v>
      </c>
    </row>
    <row r="5503">
      <c r="A5503" s="42">
        <f>_xlfn.XLOOKUP(17853,Trip[shape_id],Trip[shape_id],"Não encontrado")</f>
        <v/>
      </c>
      <c r="B5503" s="43" t="n">
        <v>-23.65351</v>
      </c>
      <c r="C5503" s="43" t="n">
        <v>-46.527017</v>
      </c>
      <c r="D5503" s="43" t="n">
        <v>113</v>
      </c>
      <c r="E5503" s="44" t="n">
        <v>19187.615</v>
      </c>
    </row>
    <row r="5504">
      <c r="A5504" s="39">
        <f>_xlfn.XLOOKUP(17853,Trip[shape_id],Trip[shape_id],"Não encontrado")</f>
        <v/>
      </c>
      <c r="B5504" s="40" t="n">
        <v>-23.652276</v>
      </c>
      <c r="C5504" s="40" t="n">
        <v>-46.528175</v>
      </c>
      <c r="D5504" s="40" t="n">
        <v>114</v>
      </c>
      <c r="E5504" s="41" t="n">
        <v>19368.27</v>
      </c>
    </row>
    <row r="5505">
      <c r="A5505" s="42">
        <f>_xlfn.XLOOKUP(17853,Trip[shape_id],Trip[shape_id],"Não encontrado")</f>
        <v/>
      </c>
      <c r="B5505" s="43" t="n">
        <v>-23.650343</v>
      </c>
      <c r="C5505" s="43" t="n">
        <v>-46.529512</v>
      </c>
      <c r="D5505" s="43" t="n">
        <v>115</v>
      </c>
      <c r="E5505" s="44" t="n">
        <v>19622.119</v>
      </c>
    </row>
    <row r="5506">
      <c r="A5506" s="39">
        <f>_xlfn.XLOOKUP(17853,Trip[shape_id],Trip[shape_id],"Não encontrado")</f>
        <v/>
      </c>
      <c r="B5506" s="40" t="n">
        <v>-23.649835</v>
      </c>
      <c r="C5506" s="40" t="n">
        <v>-46.529808</v>
      </c>
      <c r="D5506" s="40" t="n">
        <v>116</v>
      </c>
      <c r="E5506" s="41" t="n">
        <v>19685.975</v>
      </c>
    </row>
    <row r="5507">
      <c r="A5507" s="42">
        <f>_xlfn.XLOOKUP(17853,Trip[shape_id],Trip[shape_id],"Não encontrado")</f>
        <v/>
      </c>
      <c r="B5507" s="43" t="n">
        <v>-23.64845</v>
      </c>
      <c r="C5507" s="43" t="n">
        <v>-46.530621</v>
      </c>
      <c r="D5507" s="43" t="n">
        <v>117</v>
      </c>
      <c r="E5507" s="44" t="n">
        <v>19860.357</v>
      </c>
    </row>
    <row r="5508">
      <c r="A5508" s="39">
        <f>_xlfn.XLOOKUP(17853,Trip[shape_id],Trip[shape_id],"Não encontrado")</f>
        <v/>
      </c>
      <c r="B5508" s="40" t="n">
        <v>-23.647934</v>
      </c>
      <c r="C5508" s="40" t="n">
        <v>-46.530926</v>
      </c>
      <c r="D5508" s="40" t="n">
        <v>118</v>
      </c>
      <c r="E5508" s="41" t="n">
        <v>19925.43</v>
      </c>
    </row>
    <row r="5509">
      <c r="A5509" s="42">
        <f>_xlfn.XLOOKUP(17853,Trip[shape_id],Trip[shape_id],"Não encontrado")</f>
        <v/>
      </c>
      <c r="B5509" s="43" t="n">
        <v>-23.64679</v>
      </c>
      <c r="C5509" s="43" t="n">
        <v>-46.531636</v>
      </c>
      <c r="D5509" s="43" t="n">
        <v>119</v>
      </c>
      <c r="E5509" s="44" t="n">
        <v>20071.377</v>
      </c>
    </row>
    <row r="5510">
      <c r="A5510" s="39">
        <f>_xlfn.XLOOKUP(17853,Trip[shape_id],Trip[shape_id],"Não encontrado")</f>
        <v/>
      </c>
      <c r="B5510" s="40" t="n">
        <v>-23.645376</v>
      </c>
      <c r="C5510" s="40" t="n">
        <v>-46.532508</v>
      </c>
      <c r="D5510" s="40" t="n">
        <v>120</v>
      </c>
      <c r="E5510" s="41" t="n">
        <v>20251.49</v>
      </c>
    </row>
    <row r="5511">
      <c r="A5511" s="42">
        <f>_xlfn.XLOOKUP(17853,Trip[shape_id],Trip[shape_id],"Não encontrado")</f>
        <v/>
      </c>
      <c r="B5511" s="43" t="n">
        <v>-23.644082</v>
      </c>
      <c r="C5511" s="43" t="n">
        <v>-46.53331</v>
      </c>
      <c r="D5511" s="43" t="n">
        <v>121</v>
      </c>
      <c r="E5511" s="44" t="n">
        <v>20416.52</v>
      </c>
    </row>
    <row r="5512">
      <c r="A5512" s="39">
        <f>_xlfn.XLOOKUP(17853,Trip[shape_id],Trip[shape_id],"Não encontrado")</f>
        <v/>
      </c>
      <c r="B5512" s="40" t="n">
        <v>-23.643637</v>
      </c>
      <c r="C5512" s="40" t="n">
        <v>-46.533584</v>
      </c>
      <c r="D5512" s="40" t="n">
        <v>122</v>
      </c>
      <c r="E5512" s="41" t="n">
        <v>20473.182</v>
      </c>
    </row>
    <row r="5513">
      <c r="A5513" s="42">
        <f>_xlfn.XLOOKUP(17853,Trip[shape_id],Trip[shape_id],"Não encontrado")</f>
        <v/>
      </c>
      <c r="B5513" s="43" t="n">
        <v>-23.642046</v>
      </c>
      <c r="C5513" s="43" t="n">
        <v>-46.534535</v>
      </c>
      <c r="D5513" s="43" t="n">
        <v>123</v>
      </c>
      <c r="E5513" s="44" t="n">
        <v>20674.34</v>
      </c>
    </row>
    <row r="5514">
      <c r="A5514" s="39">
        <f>_xlfn.XLOOKUP(17853,Trip[shape_id],Trip[shape_id],"Não encontrado")</f>
        <v/>
      </c>
      <c r="B5514" s="40" t="n">
        <v>-23.640823</v>
      </c>
      <c r="C5514" s="40" t="n">
        <v>-46.535268</v>
      </c>
      <c r="D5514" s="40" t="n">
        <v>124</v>
      </c>
      <c r="E5514" s="41" t="n">
        <v>20829.066</v>
      </c>
    </row>
    <row r="5515">
      <c r="A5515" s="42">
        <f>_xlfn.XLOOKUP(17853,Trip[shape_id],Trip[shape_id],"Não encontrado")</f>
        <v/>
      </c>
      <c r="B5515" s="43" t="n">
        <v>-23.63934</v>
      </c>
      <c r="C5515" s="43" t="n">
        <v>-46.536153</v>
      </c>
      <c r="D5515" s="43" t="n">
        <v>125</v>
      </c>
      <c r="E5515" s="44" t="n">
        <v>21016.498</v>
      </c>
    </row>
    <row r="5516">
      <c r="A5516" s="39">
        <f>_xlfn.XLOOKUP(17853,Trip[shape_id],Trip[shape_id],"Não encontrado")</f>
        <v/>
      </c>
      <c r="B5516" s="40" t="n">
        <v>-23.638607</v>
      </c>
      <c r="C5516" s="40" t="n">
        <v>-46.536582</v>
      </c>
      <c r="D5516" s="40" t="n">
        <v>126</v>
      </c>
      <c r="E5516" s="41" t="n">
        <v>21108.729</v>
      </c>
    </row>
    <row r="5517">
      <c r="A5517" s="42">
        <f>_xlfn.XLOOKUP(17853,Trip[shape_id],Trip[shape_id],"Não encontrado")</f>
        <v/>
      </c>
      <c r="B5517" s="43" t="n">
        <v>-23.637882</v>
      </c>
      <c r="C5517" s="43" t="n">
        <v>-46.537025</v>
      </c>
      <c r="D5517" s="43" t="n">
        <v>127</v>
      </c>
      <c r="E5517" s="44" t="n">
        <v>21200.873</v>
      </c>
    </row>
    <row r="5518">
      <c r="A5518" s="39">
        <f>_xlfn.XLOOKUP(17853,Trip[shape_id],Trip[shape_id],"Não encontrado")</f>
        <v/>
      </c>
      <c r="B5518" s="40" t="n">
        <v>-23.636871</v>
      </c>
      <c r="C5518" s="40" t="n">
        <v>-46.537643</v>
      </c>
      <c r="D5518" s="40" t="n">
        <v>128</v>
      </c>
      <c r="E5518" s="41" t="n">
        <v>21329.379</v>
      </c>
    </row>
    <row r="5519">
      <c r="A5519" s="42">
        <f>_xlfn.XLOOKUP(17853,Trip[shape_id],Trip[shape_id],"Não encontrado")</f>
        <v/>
      </c>
      <c r="B5519" s="43" t="n">
        <v>-23.636219</v>
      </c>
      <c r="C5519" s="43" t="n">
        <v>-46.538033</v>
      </c>
      <c r="D5519" s="43" t="n">
        <v>129</v>
      </c>
      <c r="E5519" s="44" t="n">
        <v>21411.828</v>
      </c>
    </row>
    <row r="5520">
      <c r="A5520" s="39">
        <f>_xlfn.XLOOKUP(17853,Trip[shape_id],Trip[shape_id],"Não encontrado")</f>
        <v/>
      </c>
      <c r="B5520" s="40" t="n">
        <v>-23.634517</v>
      </c>
      <c r="C5520" s="40" t="n">
        <v>-46.539071</v>
      </c>
      <c r="D5520" s="40" t="n">
        <v>130</v>
      </c>
      <c r="E5520" s="41" t="n">
        <v>21628.047</v>
      </c>
    </row>
    <row r="5521">
      <c r="A5521" s="42">
        <f>_xlfn.XLOOKUP(17853,Trip[shape_id],Trip[shape_id],"Não encontrado")</f>
        <v/>
      </c>
      <c r="B5521" s="43" t="n">
        <v>-23.633336</v>
      </c>
      <c r="C5521" s="43" t="n">
        <v>-46.539781</v>
      </c>
      <c r="D5521" s="43" t="n">
        <v>131</v>
      </c>
      <c r="E5521" s="44" t="n">
        <v>21777.568</v>
      </c>
    </row>
    <row r="5522">
      <c r="A5522" s="39">
        <f>_xlfn.XLOOKUP(17853,Trip[shape_id],Trip[shape_id],"Não encontrado")</f>
        <v/>
      </c>
      <c r="B5522" s="40" t="n">
        <v>-23.632739</v>
      </c>
      <c r="C5522" s="40" t="n">
        <v>-46.540141</v>
      </c>
      <c r="D5522" s="40" t="n">
        <v>132</v>
      </c>
      <c r="E5522" s="41" t="n">
        <v>21853.207</v>
      </c>
    </row>
    <row r="5523">
      <c r="A5523" s="42">
        <f>_xlfn.XLOOKUP(17853,Trip[shape_id],Trip[shape_id],"Não encontrado")</f>
        <v/>
      </c>
      <c r="B5523" s="43" t="n">
        <v>-23.631937</v>
      </c>
      <c r="C5523" s="43" t="n">
        <v>-46.540624</v>
      </c>
      <c r="D5523" s="43" t="n">
        <v>133</v>
      </c>
      <c r="E5523" s="44" t="n">
        <v>21954.787</v>
      </c>
    </row>
    <row r="5524">
      <c r="A5524" s="39">
        <f>_xlfn.XLOOKUP(17853,Trip[shape_id],Trip[shape_id],"Não encontrado")</f>
        <v/>
      </c>
      <c r="B5524" s="40" t="n">
        <v>-23.631597</v>
      </c>
      <c r="C5524" s="40" t="n">
        <v>-46.540825</v>
      </c>
      <c r="D5524" s="40" t="n">
        <v>134</v>
      </c>
      <c r="E5524" s="41" t="n">
        <v>21997.666</v>
      </c>
    </row>
    <row r="5525">
      <c r="A5525" s="42">
        <f>_xlfn.XLOOKUP(17853,Trip[shape_id],Trip[shape_id],"Não encontrado")</f>
        <v/>
      </c>
      <c r="B5525" s="43" t="n">
        <v>-23.629862</v>
      </c>
      <c r="C5525" s="43" t="n">
        <v>-46.541852</v>
      </c>
      <c r="D5525" s="43" t="n">
        <v>135</v>
      </c>
      <c r="E5525" s="44" t="n">
        <v>22216.541</v>
      </c>
    </row>
    <row r="5526">
      <c r="A5526" s="39">
        <f>_xlfn.XLOOKUP(17853,Trip[shape_id],Trip[shape_id],"Não encontrado")</f>
        <v/>
      </c>
      <c r="B5526" s="40" t="n">
        <v>-23.62951</v>
      </c>
      <c r="C5526" s="40" t="n">
        <v>-46.542064</v>
      </c>
      <c r="D5526" s="40" t="n">
        <v>136</v>
      </c>
      <c r="E5526" s="41" t="n">
        <v>22261.125</v>
      </c>
    </row>
    <row r="5527">
      <c r="A5527" s="42">
        <f>_xlfn.XLOOKUP(17853,Trip[shape_id],Trip[shape_id],"Não encontrado")</f>
        <v/>
      </c>
      <c r="B5527" s="43" t="n">
        <v>-23.628887</v>
      </c>
      <c r="C5527" s="43" t="n">
        <v>-46.54243</v>
      </c>
      <c r="D5527" s="43" t="n">
        <v>137</v>
      </c>
      <c r="E5527" s="44" t="n">
        <v>22339.584</v>
      </c>
    </row>
    <row r="5528">
      <c r="A5528" s="39">
        <f>_xlfn.XLOOKUP(17853,Trip[shape_id],Trip[shape_id],"Não encontrado")</f>
        <v/>
      </c>
      <c r="B5528" s="40" t="n">
        <v>-23.628475</v>
      </c>
      <c r="C5528" s="40" t="n">
        <v>-46.542675</v>
      </c>
      <c r="D5528" s="40" t="n">
        <v>138</v>
      </c>
      <c r="E5528" s="41" t="n">
        <v>22391.613</v>
      </c>
    </row>
    <row r="5529">
      <c r="A5529" s="42">
        <f>_xlfn.XLOOKUP(17853,Trip[shape_id],Trip[shape_id],"Não encontrado")</f>
        <v/>
      </c>
      <c r="B5529" s="43" t="n">
        <v>-23.62682</v>
      </c>
      <c r="C5529" s="43" t="n">
        <v>-46.543659</v>
      </c>
      <c r="D5529" s="43" t="n">
        <v>139</v>
      </c>
      <c r="E5529" s="44" t="n">
        <v>22600.609</v>
      </c>
    </row>
    <row r="5530">
      <c r="A5530" s="39">
        <f>_xlfn.XLOOKUP(17853,Trip[shape_id],Trip[shape_id],"Não encontrado")</f>
        <v/>
      </c>
      <c r="B5530" s="40" t="n">
        <v>-23.626075</v>
      </c>
      <c r="C5530" s="40" t="n">
        <v>-46.544113</v>
      </c>
      <c r="D5530" s="40" t="n">
        <v>140</v>
      </c>
      <c r="E5530" s="41" t="n">
        <v>22695.236</v>
      </c>
    </row>
    <row r="5531">
      <c r="A5531" s="42">
        <f>_xlfn.XLOOKUP(17853,Trip[shape_id],Trip[shape_id],"Não encontrado")</f>
        <v/>
      </c>
      <c r="B5531" s="43" t="n">
        <v>-23.622475</v>
      </c>
      <c r="C5531" s="43" t="n">
        <v>-46.546295</v>
      </c>
      <c r="D5531" s="43" t="n">
        <v>141</v>
      </c>
      <c r="E5531" s="44" t="n">
        <v>23151.906</v>
      </c>
    </row>
    <row r="5532">
      <c r="A5532" s="39">
        <f>_xlfn.XLOOKUP(17853,Trip[shape_id],Trip[shape_id],"Não encontrado")</f>
        <v/>
      </c>
      <c r="B5532" s="40" t="n">
        <v>-23.621955</v>
      </c>
      <c r="C5532" s="40" t="n">
        <v>-46.546612</v>
      </c>
      <c r="D5532" s="40" t="n">
        <v>142</v>
      </c>
      <c r="E5532" s="41" t="n">
        <v>23217.961</v>
      </c>
    </row>
    <row r="5533">
      <c r="A5533" s="42">
        <f>_xlfn.XLOOKUP(17853,Trip[shape_id],Trip[shape_id],"Não encontrado")</f>
        <v/>
      </c>
      <c r="B5533" s="43" t="n">
        <v>-23.621181</v>
      </c>
      <c r="C5533" s="43" t="n">
        <v>-46.547086</v>
      </c>
      <c r="D5533" s="43" t="n">
        <v>143</v>
      </c>
      <c r="E5533" s="44" t="n">
        <v>23316.389</v>
      </c>
    </row>
    <row r="5534">
      <c r="A5534" s="39">
        <f>_xlfn.XLOOKUP(17853,Trip[shape_id],Trip[shape_id],"Não encontrado")</f>
        <v/>
      </c>
      <c r="B5534" s="40" t="n">
        <v>-23.620769</v>
      </c>
      <c r="C5534" s="40" t="n">
        <v>-46.547329</v>
      </c>
      <c r="D5534" s="40" t="n">
        <v>144</v>
      </c>
      <c r="E5534" s="41" t="n">
        <v>23368.322</v>
      </c>
    </row>
    <row r="5535">
      <c r="A5535" s="42">
        <f>_xlfn.XLOOKUP(17853,Trip[shape_id],Trip[shape_id],"Não encontrado")</f>
        <v/>
      </c>
      <c r="B5535" s="43" t="n">
        <v>-23.619332</v>
      </c>
      <c r="C5535" s="43" t="n">
        <v>-46.54821</v>
      </c>
      <c r="D5535" s="43" t="n">
        <v>145</v>
      </c>
      <c r="E5535" s="44" t="n">
        <v>23551.111</v>
      </c>
    </row>
    <row r="5536">
      <c r="A5536" s="39">
        <f>_xlfn.XLOOKUP(17853,Trip[shape_id],Trip[shape_id],"Não encontrado")</f>
        <v/>
      </c>
      <c r="B5536" s="40" t="n">
        <v>-23.618328</v>
      </c>
      <c r="C5536" s="40" t="n">
        <v>-46.548995</v>
      </c>
      <c r="D5536" s="40" t="n">
        <v>146</v>
      </c>
      <c r="E5536" s="41" t="n">
        <v>23688.158</v>
      </c>
    </row>
    <row r="5537">
      <c r="A5537" s="42">
        <f>_xlfn.XLOOKUP(17853,Trip[shape_id],Trip[shape_id],"Não encontrado")</f>
        <v/>
      </c>
      <c r="B5537" s="43" t="n">
        <v>-23.617334</v>
      </c>
      <c r="C5537" s="43" t="n">
        <v>-46.550121</v>
      </c>
      <c r="D5537" s="43" t="n">
        <v>147</v>
      </c>
      <c r="E5537" s="44" t="n">
        <v>23847.291</v>
      </c>
    </row>
    <row r="5538">
      <c r="A5538" s="39">
        <f>_xlfn.XLOOKUP(17853,Trip[shape_id],Trip[shape_id],"Não encontrado")</f>
        <v/>
      </c>
      <c r="B5538" s="40" t="n">
        <v>-23.616939</v>
      </c>
      <c r="C5538" s="40" t="n">
        <v>-46.550778</v>
      </c>
      <c r="D5538" s="40" t="n">
        <v>148</v>
      </c>
      <c r="E5538" s="41" t="n">
        <v>23927.348</v>
      </c>
    </row>
    <row r="5539">
      <c r="A5539" s="42">
        <f>_xlfn.XLOOKUP(17853,Trip[shape_id],Trip[shape_id],"Não encontrado")</f>
        <v/>
      </c>
      <c r="B5539" s="43" t="n">
        <v>-23.616554</v>
      </c>
      <c r="C5539" s="43" t="n">
        <v>-46.551448</v>
      </c>
      <c r="D5539" s="43" t="n">
        <v>149</v>
      </c>
      <c r="E5539" s="44" t="n">
        <v>24007.928</v>
      </c>
    </row>
    <row r="5540">
      <c r="A5540" s="39">
        <f>_xlfn.XLOOKUP(17853,Trip[shape_id],Trip[shape_id],"Não encontrado")</f>
        <v/>
      </c>
      <c r="B5540" s="40" t="n">
        <v>-23.615565</v>
      </c>
      <c r="C5540" s="40" t="n">
        <v>-46.554229</v>
      </c>
      <c r="D5540" s="40" t="n">
        <v>150</v>
      </c>
      <c r="E5540" s="41" t="n">
        <v>24312.137</v>
      </c>
    </row>
    <row r="5541">
      <c r="A5541" s="42">
        <f>_xlfn.XLOOKUP(17853,Trip[shape_id],Trip[shape_id],"Não encontrado")</f>
        <v/>
      </c>
      <c r="B5541" s="43" t="n">
        <v>-23.615314</v>
      </c>
      <c r="C5541" s="43" t="n">
        <v>-46.554958</v>
      </c>
      <c r="D5541" s="43" t="n">
        <v>151</v>
      </c>
      <c r="E5541" s="44" t="n">
        <v>24391.557</v>
      </c>
    </row>
    <row r="5542">
      <c r="A5542" s="39">
        <f>_xlfn.XLOOKUP(17853,Trip[shape_id],Trip[shape_id],"Não encontrado")</f>
        <v/>
      </c>
      <c r="B5542" s="40" t="n">
        <v>-23.614916</v>
      </c>
      <c r="C5542" s="40" t="n">
        <v>-46.556058</v>
      </c>
      <c r="D5542" s="40" t="n">
        <v>152</v>
      </c>
      <c r="E5542" s="41" t="n">
        <v>24512.158</v>
      </c>
    </row>
    <row r="5543">
      <c r="A5543" s="42">
        <f>_xlfn.XLOOKUP(17853,Trip[shape_id],Trip[shape_id],"Não encontrado")</f>
        <v/>
      </c>
      <c r="B5543" s="43" t="n">
        <v>-23.614056</v>
      </c>
      <c r="C5543" s="43" t="n">
        <v>-46.558476</v>
      </c>
      <c r="D5543" s="43" t="n">
        <v>153</v>
      </c>
      <c r="E5543" s="44" t="n">
        <v>24776.666</v>
      </c>
    </row>
    <row r="5544">
      <c r="A5544" s="39">
        <f>_xlfn.XLOOKUP(17853,Trip[shape_id],Trip[shape_id],"Não encontrado")</f>
        <v/>
      </c>
      <c r="B5544" s="40" t="n">
        <v>-23.61277</v>
      </c>
      <c r="C5544" s="40" t="n">
        <v>-46.562087</v>
      </c>
      <c r="D5544" s="40" t="n">
        <v>154</v>
      </c>
      <c r="E5544" s="41" t="n">
        <v>25171.746</v>
      </c>
    </row>
    <row r="5545">
      <c r="A5545" s="42">
        <f>_xlfn.XLOOKUP(17853,Trip[shape_id],Trip[shape_id],"Não encontrado")</f>
        <v/>
      </c>
      <c r="B5545" s="43" t="n">
        <v>-23.612028</v>
      </c>
      <c r="C5545" s="43" t="n">
        <v>-46.564306</v>
      </c>
      <c r="D5545" s="43" t="n">
        <v>155</v>
      </c>
      <c r="E5545" s="44" t="n">
        <v>25412.654</v>
      </c>
    </row>
    <row r="5546">
      <c r="A5546" s="39">
        <f>_xlfn.XLOOKUP(17853,Trip[shape_id],Trip[shape_id],"Não encontrado")</f>
        <v/>
      </c>
      <c r="B5546" s="40" t="n">
        <v>-23.611463</v>
      </c>
      <c r="C5546" s="40" t="n">
        <v>-46.565983</v>
      </c>
      <c r="D5546" s="40" t="n">
        <v>156</v>
      </c>
      <c r="E5546" s="41" t="n">
        <v>25594.881</v>
      </c>
    </row>
    <row r="5547">
      <c r="A5547" s="42">
        <f>_xlfn.XLOOKUP(17853,Trip[shape_id],Trip[shape_id],"Não encontrado")</f>
        <v/>
      </c>
      <c r="B5547" s="43" t="n">
        <v>-23.610078</v>
      </c>
      <c r="C5547" s="43" t="n">
        <v>-46.569912</v>
      </c>
      <c r="D5547" s="43" t="n">
        <v>157</v>
      </c>
      <c r="E5547" s="44" t="n">
        <v>26024.195</v>
      </c>
    </row>
    <row r="5548">
      <c r="A5548" s="39">
        <f>_xlfn.XLOOKUP(17853,Trip[shape_id],Trip[shape_id],"Não encontrado")</f>
        <v/>
      </c>
      <c r="B5548" s="40" t="n">
        <v>-23.609747</v>
      </c>
      <c r="C5548" s="40" t="n">
        <v>-46.570839</v>
      </c>
      <c r="D5548" s="40" t="n">
        <v>158</v>
      </c>
      <c r="E5548" s="41" t="n">
        <v>26125.656</v>
      </c>
    </row>
    <row r="5549">
      <c r="A5549" s="42">
        <f>_xlfn.XLOOKUP(17853,Trip[shape_id],Trip[shape_id],"Não encontrado")</f>
        <v/>
      </c>
      <c r="B5549" s="43" t="n">
        <v>-23.609443</v>
      </c>
      <c r="C5549" s="43" t="n">
        <v>-46.571712</v>
      </c>
      <c r="D5549" s="43" t="n">
        <v>159</v>
      </c>
      <c r="E5549" s="44" t="n">
        <v>26220.9</v>
      </c>
    </row>
    <row r="5550">
      <c r="A5550" s="39">
        <f>_xlfn.XLOOKUP(17853,Trip[shape_id],Trip[shape_id],"Não encontrado")</f>
        <v/>
      </c>
      <c r="B5550" s="40" t="n">
        <v>-23.608744</v>
      </c>
      <c r="C5550" s="40" t="n">
        <v>-46.573807</v>
      </c>
      <c r="D5550" s="40" t="n">
        <v>160</v>
      </c>
      <c r="E5550" s="41" t="n">
        <v>26448.293</v>
      </c>
    </row>
    <row r="5551">
      <c r="A5551" s="42">
        <f>_xlfn.XLOOKUP(17853,Trip[shape_id],Trip[shape_id],"Não encontrado")</f>
        <v/>
      </c>
      <c r="B5551" s="43" t="n">
        <v>-23.608392</v>
      </c>
      <c r="C5551" s="43" t="n">
        <v>-46.574874</v>
      </c>
      <c r="D5551" s="43" t="n">
        <v>161</v>
      </c>
      <c r="E5551" s="44" t="n">
        <v>26563.955</v>
      </c>
    </row>
    <row r="5552">
      <c r="A5552" s="39">
        <f>_xlfn.XLOOKUP(17853,Trip[shape_id],Trip[shape_id],"Não encontrado")</f>
        <v/>
      </c>
      <c r="B5552" s="40" t="n">
        <v>-23.607757</v>
      </c>
      <c r="C5552" s="40" t="n">
        <v>-46.576216</v>
      </c>
      <c r="D5552" s="40" t="n">
        <v>162</v>
      </c>
      <c r="E5552" s="41" t="n">
        <v>26717.918</v>
      </c>
    </row>
    <row r="5553">
      <c r="A5553" s="42">
        <f>_xlfn.XLOOKUP(17853,Trip[shape_id],Trip[shape_id],"Não encontrado")</f>
        <v/>
      </c>
      <c r="B5553" s="43" t="n">
        <v>-23.607285</v>
      </c>
      <c r="C5553" s="43" t="n">
        <v>-46.576945</v>
      </c>
      <c r="D5553" s="43" t="n">
        <v>163</v>
      </c>
      <c r="E5553" s="44" t="n">
        <v>26808.848</v>
      </c>
    </row>
    <row r="5554">
      <c r="A5554" s="39">
        <f>_xlfn.XLOOKUP(17853,Trip[shape_id],Trip[shape_id],"Não encontrado")</f>
        <v/>
      </c>
      <c r="B5554" s="40" t="n">
        <v>-23.606578</v>
      </c>
      <c r="C5554" s="40" t="n">
        <v>-46.577716</v>
      </c>
      <c r="D5554" s="40" t="n">
        <v>164</v>
      </c>
      <c r="E5554" s="41" t="n">
        <v>26919.855</v>
      </c>
    </row>
    <row r="5555">
      <c r="A5555" s="42">
        <f>_xlfn.XLOOKUP(17853,Trip[shape_id],Trip[shape_id],"Não encontrado")</f>
        <v/>
      </c>
      <c r="B5555" s="43" t="n">
        <v>-23.604361</v>
      </c>
      <c r="C5555" s="43" t="n">
        <v>-46.579588</v>
      </c>
      <c r="D5555" s="43" t="n">
        <v>165</v>
      </c>
      <c r="E5555" s="44" t="n">
        <v>27230.969</v>
      </c>
    </row>
    <row r="5556">
      <c r="A5556" s="39">
        <f>_xlfn.XLOOKUP(17853,Trip[shape_id],Trip[shape_id],"Não encontrado")</f>
        <v/>
      </c>
      <c r="B5556" s="40" t="n">
        <v>-23.60352</v>
      </c>
      <c r="C5556" s="40" t="n">
        <v>-46.580293</v>
      </c>
      <c r="D5556" s="40" t="n">
        <v>166</v>
      </c>
      <c r="E5556" s="41" t="n">
        <v>27348.666</v>
      </c>
    </row>
    <row r="5557">
      <c r="A5557" s="42">
        <f>_xlfn.XLOOKUP(17853,Trip[shape_id],Trip[shape_id],"Não encontrado")</f>
        <v/>
      </c>
      <c r="B5557" s="43" t="n">
        <v>-23.60152</v>
      </c>
      <c r="C5557" s="43" t="n">
        <v>-46.581977</v>
      </c>
      <c r="D5557" s="43" t="n">
        <v>167</v>
      </c>
      <c r="E5557" s="44" t="n">
        <v>27629.031</v>
      </c>
    </row>
    <row r="5558">
      <c r="A5558" s="39">
        <f>_xlfn.XLOOKUP(17853,Trip[shape_id],Trip[shape_id],"Não encontrado")</f>
        <v/>
      </c>
      <c r="B5558" s="40" t="n">
        <v>-23.600198</v>
      </c>
      <c r="C5558" s="40" t="n">
        <v>-46.583085</v>
      </c>
      <c r="D5558" s="40" t="n">
        <v>168</v>
      </c>
      <c r="E5558" s="41" t="n">
        <v>27814.033</v>
      </c>
    </row>
    <row r="5559">
      <c r="A5559" s="42">
        <f>_xlfn.XLOOKUP(17853,Trip[shape_id],Trip[shape_id],"Não encontrado")</f>
        <v/>
      </c>
      <c r="B5559" s="43" t="n">
        <v>-23.599663</v>
      </c>
      <c r="C5559" s="43" t="n">
        <v>-46.583544</v>
      </c>
      <c r="D5559" s="43" t="n">
        <v>169</v>
      </c>
      <c r="E5559" s="44" t="n">
        <v>27889.568</v>
      </c>
    </row>
    <row r="5560">
      <c r="A5560" s="39">
        <f>_xlfn.XLOOKUP(17853,Trip[shape_id],Trip[shape_id],"Não encontrado")</f>
        <v/>
      </c>
      <c r="B5560" s="40" t="n">
        <v>-23.598073</v>
      </c>
      <c r="C5560" s="40" t="n">
        <v>-46.584902</v>
      </c>
      <c r="D5560" s="40" t="n">
        <v>170</v>
      </c>
      <c r="E5560" s="41" t="n">
        <v>28113.668</v>
      </c>
    </row>
    <row r="5561">
      <c r="A5561" s="42">
        <f>_xlfn.XLOOKUP(17853,Trip[shape_id],Trip[shape_id],"Não encontrado")</f>
        <v/>
      </c>
      <c r="B5561" s="43" t="n">
        <v>-23.597084</v>
      </c>
      <c r="C5561" s="43" t="n">
        <v>-46.585744</v>
      </c>
      <c r="D5561" s="43" t="n">
        <v>171</v>
      </c>
      <c r="E5561" s="44" t="n">
        <v>28252.893</v>
      </c>
    </row>
    <row r="5562">
      <c r="A5562" s="39">
        <f>_xlfn.XLOOKUP(17853,Trip[shape_id],Trip[shape_id],"Não encontrado")</f>
        <v/>
      </c>
      <c r="B5562" s="40" t="n">
        <v>-23.595407</v>
      </c>
      <c r="C5562" s="40" t="n">
        <v>-46.587168</v>
      </c>
      <c r="D5562" s="40" t="n">
        <v>172</v>
      </c>
      <c r="E5562" s="41" t="n">
        <v>28488.734</v>
      </c>
    </row>
    <row r="5563">
      <c r="A5563" s="42">
        <f>_xlfn.XLOOKUP(17853,Trip[shape_id],Trip[shape_id],"Não encontrado")</f>
        <v/>
      </c>
      <c r="B5563" s="43" t="n">
        <v>-23.594914</v>
      </c>
      <c r="C5563" s="43" t="n">
        <v>-46.587591</v>
      </c>
      <c r="D5563" s="43" t="n">
        <v>173</v>
      </c>
      <c r="E5563" s="44" t="n">
        <v>28558.342</v>
      </c>
    </row>
    <row r="5564">
      <c r="A5564" s="39">
        <f>_xlfn.XLOOKUP(17853,Trip[shape_id],Trip[shape_id],"Não encontrado")</f>
        <v/>
      </c>
      <c r="B5564" s="40" t="n">
        <v>-23.59364</v>
      </c>
      <c r="C5564" s="40" t="n">
        <v>-46.588673</v>
      </c>
      <c r="D5564" s="40" t="n">
        <v>174</v>
      </c>
      <c r="E5564" s="41" t="n">
        <v>28737.521</v>
      </c>
    </row>
    <row r="5565">
      <c r="A5565" s="42">
        <f>_xlfn.XLOOKUP(17853,Trip[shape_id],Trip[shape_id],"Não encontrado")</f>
        <v/>
      </c>
      <c r="B5565" s="43" t="n">
        <v>-23.592697</v>
      </c>
      <c r="C5565" s="43" t="n">
        <v>-46.589477</v>
      </c>
      <c r="D5565" s="43" t="n">
        <v>175</v>
      </c>
      <c r="E5565" s="44" t="n">
        <v>28870.346</v>
      </c>
    </row>
    <row r="5566">
      <c r="A5566" s="39">
        <f>_xlfn.XLOOKUP(17853,Trip[shape_id],Trip[shape_id],"Não encontrado")</f>
        <v/>
      </c>
      <c r="B5566" s="40" t="n">
        <v>-23.590632</v>
      </c>
      <c r="C5566" s="40" t="n">
        <v>-46.591206</v>
      </c>
      <c r="D5566" s="40" t="n">
        <v>176</v>
      </c>
      <c r="E5566" s="41" t="n">
        <v>29159.223</v>
      </c>
    </row>
    <row r="5567">
      <c r="A5567" s="42">
        <f>_xlfn.XLOOKUP(17853,Trip[shape_id],Trip[shape_id],"Não encontrado")</f>
        <v/>
      </c>
      <c r="B5567" s="43" t="n">
        <v>-23.588523</v>
      </c>
      <c r="C5567" s="43" t="n">
        <v>-46.593</v>
      </c>
      <c r="D5567" s="43" t="n">
        <v>177</v>
      </c>
      <c r="E5567" s="44" t="n">
        <v>29456.021</v>
      </c>
    </row>
    <row r="5568">
      <c r="A5568" s="39">
        <f>_xlfn.XLOOKUP(17853,Trip[shape_id],Trip[shape_id],"Não encontrado")</f>
        <v/>
      </c>
      <c r="B5568" s="40" t="n">
        <v>-23.586613</v>
      </c>
      <c r="C5568" s="40" t="n">
        <v>-46.594515</v>
      </c>
      <c r="D5568" s="40" t="n">
        <v>178</v>
      </c>
      <c r="E5568" s="41" t="n">
        <v>29718.055</v>
      </c>
    </row>
    <row r="5569">
      <c r="A5569" s="42">
        <f>_xlfn.XLOOKUP(17853,Trip[shape_id],Trip[shape_id],"Não encontrado")</f>
        <v/>
      </c>
      <c r="B5569" s="43" t="n">
        <v>-23.58581</v>
      </c>
      <c r="C5569" s="43" t="n">
        <v>-46.594979</v>
      </c>
      <c r="D5569" s="43" t="n">
        <v>179</v>
      </c>
      <c r="E5569" s="44" t="n">
        <v>29818.814</v>
      </c>
    </row>
    <row r="5570">
      <c r="A5570" s="39">
        <f>_xlfn.XLOOKUP(17853,Trip[shape_id],Trip[shape_id],"Não encontrado")</f>
        <v/>
      </c>
      <c r="B5570" s="40" t="n">
        <v>-23.584335</v>
      </c>
      <c r="C5570" s="40" t="n">
        <v>-46.595745</v>
      </c>
      <c r="D5570" s="40" t="n">
        <v>180</v>
      </c>
      <c r="E5570" s="41" t="n">
        <v>29999.922</v>
      </c>
    </row>
    <row r="5571">
      <c r="A5571" s="42">
        <f>_xlfn.XLOOKUP(17853,Trip[shape_id],Trip[shape_id],"Não encontrado")</f>
        <v/>
      </c>
      <c r="B5571" s="43" t="n">
        <v>-23.582844</v>
      </c>
      <c r="C5571" s="43" t="n">
        <v>-46.596383</v>
      </c>
      <c r="D5571" s="43" t="n">
        <v>181</v>
      </c>
      <c r="E5571" s="44" t="n">
        <v>30177.432</v>
      </c>
    </row>
    <row r="5572">
      <c r="A5572" s="39">
        <f>_xlfn.XLOOKUP(17853,Trip[shape_id],Trip[shape_id],"Não encontrado")</f>
        <v/>
      </c>
      <c r="B5572" s="40" t="n">
        <v>-23.582355</v>
      </c>
      <c r="C5572" s="40" t="n">
        <v>-46.596674</v>
      </c>
      <c r="D5572" s="40" t="n">
        <v>182</v>
      </c>
      <c r="E5572" s="41" t="n">
        <v>30239.201</v>
      </c>
    </row>
    <row r="5573">
      <c r="A5573" s="42">
        <f>_xlfn.XLOOKUP(17853,Trip[shape_id],Trip[shape_id],"Não encontrado")</f>
        <v/>
      </c>
      <c r="B5573" s="43" t="n">
        <v>-23.582212</v>
      </c>
      <c r="C5573" s="43" t="n">
        <v>-46.59675</v>
      </c>
      <c r="D5573" s="43" t="n">
        <v>183</v>
      </c>
      <c r="E5573" s="44" t="n">
        <v>30256.836</v>
      </c>
    </row>
    <row r="5574">
      <c r="A5574" s="39">
        <f>_xlfn.XLOOKUP(17853,Trip[shape_id],Trip[shape_id],"Não encontrado")</f>
        <v/>
      </c>
      <c r="B5574" s="40" t="n">
        <v>-23.577514</v>
      </c>
      <c r="C5574" s="40" t="n">
        <v>-46.598955</v>
      </c>
      <c r="D5574" s="40" t="n">
        <v>184</v>
      </c>
      <c r="E5574" s="41" t="n">
        <v>30823.748</v>
      </c>
    </row>
    <row r="5575">
      <c r="A5575" s="42">
        <f>_xlfn.XLOOKUP(17853,Trip[shape_id],Trip[shape_id],"Não encontrado")</f>
        <v/>
      </c>
      <c r="B5575" s="43" t="n">
        <v>-23.573131</v>
      </c>
      <c r="C5575" s="43" t="n">
        <v>-46.60104</v>
      </c>
      <c r="D5575" s="43" t="n">
        <v>185</v>
      </c>
      <c r="E5575" s="44" t="n">
        <v>31353.787</v>
      </c>
    </row>
    <row r="5576">
      <c r="A5576" s="39">
        <f>_xlfn.XLOOKUP(17853,Trip[shape_id],Trip[shape_id],"Não encontrado")</f>
        <v/>
      </c>
      <c r="B5576" s="40" t="n">
        <v>-23.559681</v>
      </c>
      <c r="C5576" s="40" t="n">
        <v>-46.607534</v>
      </c>
      <c r="D5576" s="40" t="n">
        <v>186</v>
      </c>
      <c r="E5576" s="41" t="n">
        <v>32984.273</v>
      </c>
    </row>
    <row r="5577">
      <c r="A5577" s="42">
        <f>_xlfn.XLOOKUP(17853,Trip[shape_id],Trip[shape_id],"Não encontrado")</f>
        <v/>
      </c>
      <c r="B5577" s="43" t="n">
        <v>-23.558445</v>
      </c>
      <c r="C5577" s="43" t="n">
        <v>-46.608103</v>
      </c>
      <c r="D5577" s="43" t="n">
        <v>187</v>
      </c>
      <c r="E5577" s="44" t="n">
        <v>33132.98</v>
      </c>
    </row>
    <row r="5578">
      <c r="A5578" s="39">
        <f>_xlfn.XLOOKUP(17853,Trip[shape_id],Trip[shape_id],"Não encontrado")</f>
        <v/>
      </c>
      <c r="B5578" s="40" t="n">
        <v>-23.557776</v>
      </c>
      <c r="C5578" s="40" t="n">
        <v>-46.60843</v>
      </c>
      <c r="D5578" s="40" t="n">
        <v>188</v>
      </c>
      <c r="E5578" s="41" t="n">
        <v>33214.246</v>
      </c>
    </row>
    <row r="5579">
      <c r="A5579" s="42">
        <f>_xlfn.XLOOKUP(17853,Trip[shape_id],Trip[shape_id],"Não encontrado")</f>
        <v/>
      </c>
      <c r="B5579" s="43" t="n">
        <v>-23.556631</v>
      </c>
      <c r="C5579" s="43" t="n">
        <v>-46.608938</v>
      </c>
      <c r="D5579" s="43" t="n">
        <v>189</v>
      </c>
      <c r="E5579" s="44" t="n">
        <v>33351.254</v>
      </c>
    </row>
    <row r="5580">
      <c r="A5580" s="39">
        <f>_xlfn.XLOOKUP(17853,Trip[shape_id],Trip[shape_id],"Não encontrado")</f>
        <v/>
      </c>
      <c r="B5580" s="40" t="n">
        <v>-23.555532</v>
      </c>
      <c r="C5580" s="40" t="n">
        <v>-46.609551</v>
      </c>
      <c r="D5580" s="40" t="n">
        <v>190</v>
      </c>
      <c r="E5580" s="41" t="n">
        <v>33488.117</v>
      </c>
    </row>
    <row r="5581">
      <c r="A5581" s="42">
        <f>_xlfn.XLOOKUP(17853,Trip[shape_id],Trip[shape_id],"Não encontrado")</f>
        <v/>
      </c>
      <c r="B5581" s="43" t="n">
        <v>-23.555354</v>
      </c>
      <c r="C5581" s="43" t="n">
        <v>-46.609679</v>
      </c>
      <c r="D5581" s="43" t="n">
        <v>191</v>
      </c>
      <c r="E5581" s="44" t="n">
        <v>33511.77</v>
      </c>
    </row>
    <row r="5582">
      <c r="A5582" s="39">
        <f>_xlfn.XLOOKUP(17853,Trip[shape_id],Trip[shape_id],"Não encontrado")</f>
        <v/>
      </c>
      <c r="B5582" s="40" t="n">
        <v>-23.554903</v>
      </c>
      <c r="C5582" s="40" t="n">
        <v>-46.609987</v>
      </c>
      <c r="D5582" s="40" t="n">
        <v>192</v>
      </c>
      <c r="E5582" s="41" t="n">
        <v>33570.793</v>
      </c>
    </row>
    <row r="5583">
      <c r="A5583" s="42">
        <f>_xlfn.XLOOKUP(17853,Trip[shape_id],Trip[shape_id],"Não encontrado")</f>
        <v/>
      </c>
      <c r="B5583" s="43" t="n">
        <v>-23.553018</v>
      </c>
      <c r="C5583" s="43" t="n">
        <v>-46.611294</v>
      </c>
      <c r="D5583" s="43" t="n">
        <v>193</v>
      </c>
      <c r="E5583" s="44" t="n">
        <v>33818.566</v>
      </c>
    </row>
    <row r="5584">
      <c r="A5584" s="39">
        <f>_xlfn.XLOOKUP(17853,Trip[shape_id],Trip[shape_id],"Não encontrado")</f>
        <v/>
      </c>
      <c r="B5584" s="40" t="n">
        <v>-23.550613</v>
      </c>
      <c r="C5584" s="40" t="n">
        <v>-46.612981</v>
      </c>
      <c r="D5584" s="40" t="n">
        <v>194</v>
      </c>
      <c r="E5584" s="41" t="n">
        <v>34135.766</v>
      </c>
    </row>
    <row r="5585">
      <c r="A5585" s="42">
        <f>_xlfn.XLOOKUP(17853,Trip[shape_id],Trip[shape_id],"Não encontrado")</f>
        <v/>
      </c>
      <c r="B5585" s="43" t="n">
        <v>-23.549651</v>
      </c>
      <c r="C5585" s="43" t="n">
        <v>-46.613625</v>
      </c>
      <c r="D5585" s="43" t="n">
        <v>195</v>
      </c>
      <c r="E5585" s="44" t="n">
        <v>34260.965</v>
      </c>
    </row>
    <row r="5586">
      <c r="A5586" s="39">
        <f>_xlfn.XLOOKUP(17853,Trip[shape_id],Trip[shape_id],"Não encontrado")</f>
        <v/>
      </c>
      <c r="B5586" s="40" t="n">
        <v>-23.548495</v>
      </c>
      <c r="C5586" s="40" t="n">
        <v>-46.614391</v>
      </c>
      <c r="D5586" s="40" t="n">
        <v>196</v>
      </c>
      <c r="E5586" s="41" t="n">
        <v>34410.992</v>
      </c>
    </row>
    <row r="5587">
      <c r="A5587" s="42">
        <f>_xlfn.XLOOKUP(17853,Trip[shape_id],Trip[shape_id],"Não encontrado")</f>
        <v/>
      </c>
      <c r="B5587" s="43" t="n">
        <v>-23.548149</v>
      </c>
      <c r="C5587" s="43" t="n">
        <v>-46.614619</v>
      </c>
      <c r="D5587" s="43" t="n">
        <v>197</v>
      </c>
      <c r="E5587" s="44" t="n">
        <v>34455.828</v>
      </c>
    </row>
    <row r="5588">
      <c r="A5588" s="39">
        <f>_xlfn.XLOOKUP(17853,Trip[shape_id],Trip[shape_id],"Não encontrado")</f>
        <v/>
      </c>
      <c r="B5588" s="40" t="n">
        <v>-23.547453</v>
      </c>
      <c r="C5588" s="40" t="n">
        <v>-46.615082</v>
      </c>
      <c r="D5588" s="40" t="n">
        <v>198</v>
      </c>
      <c r="E5588" s="41" t="n">
        <v>34546.254</v>
      </c>
    </row>
    <row r="5589">
      <c r="A5589" s="42">
        <f>_xlfn.XLOOKUP(17853,Trip[shape_id],Trip[shape_id],"Não encontrado")</f>
        <v/>
      </c>
      <c r="B5589" s="43" t="n">
        <v>-23.545309</v>
      </c>
      <c r="C5589" s="43" t="n">
        <v>-46.616511</v>
      </c>
      <c r="D5589" s="43" t="n">
        <v>199</v>
      </c>
      <c r="E5589" s="44" t="n">
        <v>34546.254</v>
      </c>
    </row>
    <row r="5590">
      <c r="A5590" s="39">
        <f>_xlfn.XLOOKUP(17853,Trip[shape_id],Trip[shape_id],"Não encontrado")</f>
        <v/>
      </c>
      <c r="B5590" s="40" t="n">
        <v>-23.544045</v>
      </c>
      <c r="C5590" s="40" t="n">
        <v>-46.617427</v>
      </c>
      <c r="D5590" s="40" t="n">
        <v>200</v>
      </c>
      <c r="E5590" s="41" t="n">
        <v>34714.613</v>
      </c>
    </row>
    <row r="5591">
      <c r="A5591" s="42">
        <f>_xlfn.XLOOKUP(17853,Trip[shape_id],Trip[shape_id],"Não encontrado")</f>
        <v/>
      </c>
      <c r="B5591" s="43" t="n">
        <v>-23.543902</v>
      </c>
      <c r="C5591" s="43" t="n">
        <v>-46.617535</v>
      </c>
      <c r="D5591" s="43" t="n">
        <v>201</v>
      </c>
      <c r="E5591" s="44" t="n">
        <v>34733.91</v>
      </c>
    </row>
    <row r="5592">
      <c r="A5592" s="39">
        <f>_xlfn.XLOOKUP(17853,Trip[shape_id],Trip[shape_id],"Não encontrado")</f>
        <v/>
      </c>
      <c r="B5592" s="40" t="n">
        <v>-23.543431</v>
      </c>
      <c r="C5592" s="40" t="n">
        <v>-46.617892</v>
      </c>
      <c r="D5592" s="40" t="n">
        <v>202</v>
      </c>
      <c r="E5592" s="41" t="n">
        <v>34797.547</v>
      </c>
    </row>
    <row r="5593">
      <c r="A5593" s="42">
        <f>_xlfn.XLOOKUP(17853,Trip[shape_id],Trip[shape_id],"Não encontrado")</f>
        <v/>
      </c>
      <c r="B5593" s="43" t="n">
        <v>-23.542172</v>
      </c>
      <c r="C5593" s="43" t="n">
        <v>-46.618849</v>
      </c>
      <c r="D5593" s="43" t="n">
        <v>203</v>
      </c>
      <c r="E5593" s="44" t="n">
        <v>34967.816</v>
      </c>
    </row>
    <row r="5594">
      <c r="A5594" s="39">
        <f>_xlfn.XLOOKUP(17853,Trip[shape_id],Trip[shape_id],"Não encontrado")</f>
        <v/>
      </c>
      <c r="B5594" s="40" t="n">
        <v>-23.5418</v>
      </c>
      <c r="C5594" s="40" t="n">
        <v>-46.61914</v>
      </c>
      <c r="D5594" s="40" t="n">
        <v>204</v>
      </c>
      <c r="E5594" s="41" t="n">
        <v>35018.613</v>
      </c>
    </row>
    <row r="5595">
      <c r="A5595" s="42">
        <f>_xlfn.XLOOKUP(17853,Trip[shape_id],Trip[shape_id],"Não encontrado")</f>
        <v/>
      </c>
      <c r="B5595" s="43" t="n">
        <v>-23.541417</v>
      </c>
      <c r="C5595" s="43" t="n">
        <v>-46.619441</v>
      </c>
      <c r="D5595" s="43" t="n">
        <v>205</v>
      </c>
      <c r="E5595" s="44" t="n">
        <v>35070.996</v>
      </c>
    </row>
    <row r="5596">
      <c r="A5596" s="39">
        <f>_xlfn.XLOOKUP(17853,Trip[shape_id],Trip[shape_id],"Não encontrado")</f>
        <v/>
      </c>
      <c r="B5596" s="40" t="n">
        <v>-23.540532</v>
      </c>
      <c r="C5596" s="40" t="n">
        <v>-46.62016</v>
      </c>
      <c r="D5596" s="40" t="n">
        <v>206</v>
      </c>
      <c r="E5596" s="41" t="n">
        <v>35193.457</v>
      </c>
    </row>
    <row r="5597">
      <c r="A5597" s="42">
        <f>_xlfn.XLOOKUP(17853,Trip[shape_id],Trip[shape_id],"Não encontrado")</f>
        <v/>
      </c>
      <c r="B5597" s="43" t="n">
        <v>-23.539721</v>
      </c>
      <c r="C5597" s="43" t="n">
        <v>-46.621236</v>
      </c>
      <c r="D5597" s="43" t="n">
        <v>207</v>
      </c>
      <c r="E5597" s="44" t="n">
        <v>35335.371</v>
      </c>
    </row>
    <row r="5598">
      <c r="A5598" s="39">
        <f>_xlfn.XLOOKUP(17853,Trip[shape_id],Trip[shape_id],"Não encontrado")</f>
        <v/>
      </c>
      <c r="B5598" s="40" t="n">
        <v>-23.539133</v>
      </c>
      <c r="C5598" s="40" t="n">
        <v>-46.622165</v>
      </c>
      <c r="D5598" s="40" t="n">
        <v>208</v>
      </c>
      <c r="E5598" s="41" t="n">
        <v>35450.434</v>
      </c>
    </row>
    <row r="5599">
      <c r="A5599" s="42">
        <f>_xlfn.XLOOKUP(17853,Trip[shape_id],Trip[shape_id],"Não encontrado")</f>
        <v/>
      </c>
      <c r="B5599" s="43" t="n">
        <v>-23.538699</v>
      </c>
      <c r="C5599" s="43" t="n">
        <v>-46.623045</v>
      </c>
      <c r="D5599" s="43" t="n">
        <v>209</v>
      </c>
      <c r="E5599" s="44" t="n">
        <v>35552.34</v>
      </c>
    </row>
    <row r="5600">
      <c r="A5600" s="39">
        <f>_xlfn.XLOOKUP(17853,Trip[shape_id],Trip[shape_id],"Não encontrado")</f>
        <v/>
      </c>
      <c r="B5600" s="40" t="n">
        <v>-23.538286</v>
      </c>
      <c r="C5600" s="40" t="n">
        <v>-46.623846</v>
      </c>
      <c r="D5600" s="40" t="n">
        <v>210</v>
      </c>
      <c r="E5600" s="41" t="n">
        <v>35646.051</v>
      </c>
    </row>
    <row r="5601">
      <c r="A5601" s="42">
        <f>_xlfn.XLOOKUP(17853,Trip[shape_id],Trip[shape_id],"Não encontrado")</f>
        <v/>
      </c>
      <c r="B5601" s="43" t="n">
        <v>-23.53791</v>
      </c>
      <c r="C5601" s="43" t="n">
        <v>-46.625032</v>
      </c>
      <c r="D5601" s="43" t="n">
        <v>211</v>
      </c>
      <c r="E5601" s="44" t="n">
        <v>35774.113</v>
      </c>
    </row>
    <row r="5602">
      <c r="A5602" s="39">
        <f>_xlfn.XLOOKUP(17853,Trip[shape_id],Trip[shape_id],"Não encontrado")</f>
        <v/>
      </c>
      <c r="B5602" s="40" t="n">
        <v>-23.537699</v>
      </c>
      <c r="C5602" s="40" t="n">
        <v>-46.625799</v>
      </c>
      <c r="D5602" s="40" t="n">
        <v>212</v>
      </c>
      <c r="E5602" s="41" t="n">
        <v>35855.844</v>
      </c>
    </row>
    <row r="5603">
      <c r="A5603" s="42">
        <f>_xlfn.XLOOKUP(17853,Trip[shape_id],Trip[shape_id],"Não encontrado")</f>
        <v/>
      </c>
      <c r="B5603" s="43" t="n">
        <v>-23.536686</v>
      </c>
      <c r="C5603" s="43" t="n">
        <v>-46.629683</v>
      </c>
      <c r="D5603" s="43" t="n">
        <v>213</v>
      </c>
      <c r="E5603" s="44" t="n">
        <v>36268.012</v>
      </c>
    </row>
    <row r="5604">
      <c r="A5604" s="39">
        <f>_xlfn.XLOOKUP(17853,Trip[shape_id],Trip[shape_id],"Não encontrado")</f>
        <v/>
      </c>
      <c r="B5604" s="40" t="n">
        <v>-23.536199</v>
      </c>
      <c r="C5604" s="40" t="n">
        <v>-46.63151</v>
      </c>
      <c r="D5604" s="40" t="n">
        <v>214</v>
      </c>
      <c r="E5604" s="41" t="n">
        <v>36462.211</v>
      </c>
    </row>
    <row r="5605">
      <c r="A5605" s="42">
        <f>_xlfn.XLOOKUP(17853,Trip[shape_id],Trip[shape_id],"Não encontrado")</f>
        <v/>
      </c>
      <c r="B5605" s="43" t="n">
        <v>-23.535814</v>
      </c>
      <c r="C5605" s="43" t="n">
        <v>-46.633005</v>
      </c>
      <c r="D5605" s="43" t="n">
        <v>215</v>
      </c>
      <c r="E5605" s="44" t="n">
        <v>36620.715</v>
      </c>
    </row>
    <row r="5606">
      <c r="A5606" s="39">
        <f>_xlfn.XLOOKUP(17853,Trip[shape_id],Trip[shape_id],"Não encontrado")</f>
        <v/>
      </c>
      <c r="B5606" s="40" t="n">
        <v>-23.53557</v>
      </c>
      <c r="C5606" s="40" t="n">
        <v>-46.634102</v>
      </c>
      <c r="D5606" s="40" t="n">
        <v>216</v>
      </c>
      <c r="E5606" s="41" t="n">
        <v>36735.945</v>
      </c>
    </row>
    <row r="5607">
      <c r="A5607" s="42">
        <f>_xlfn.XLOOKUP(17853,Trip[shape_id],Trip[shape_id],"Não encontrado")</f>
        <v/>
      </c>
      <c r="B5607" s="43" t="n">
        <v>-23.535167</v>
      </c>
      <c r="C5607" s="43" t="n">
        <v>-46.635349</v>
      </c>
      <c r="D5607" s="43" t="n">
        <v>217</v>
      </c>
      <c r="E5607" s="44" t="n">
        <v>36870.875</v>
      </c>
    </row>
    <row r="5608">
      <c r="A5608" s="39">
        <f>_xlfn.XLOOKUP(17853,Trip[shape_id],Trip[shape_id],"Não encontrado")</f>
        <v/>
      </c>
      <c r="B5608" s="40" t="n">
        <v>-23.535131</v>
      </c>
      <c r="C5608" s="40" t="n">
        <v>-46.635476</v>
      </c>
      <c r="D5608" s="40" t="n">
        <v>218</v>
      </c>
      <c r="E5608" s="41" t="n">
        <v>36966.867</v>
      </c>
    </row>
    <row r="5609">
      <c r="A5609" s="42">
        <f>_xlfn.XLOOKUP(17853,Trip[shape_id],Trip[shape_id],"Não encontrado")</f>
        <v/>
      </c>
      <c r="B5609" s="43" t="n">
        <v>-23.534943</v>
      </c>
      <c r="C5609" s="43" t="n">
        <v>-46.636257</v>
      </c>
      <c r="D5609" s="43" t="n">
        <v>219</v>
      </c>
      <c r="E5609" s="44" t="n">
        <v>37055.926</v>
      </c>
    </row>
    <row r="5610">
      <c r="A5610" s="39">
        <f>_xlfn.XLOOKUP(17853,Trip[shape_id],Trip[shape_id],"Não encontrado")</f>
        <v/>
      </c>
      <c r="B5610" s="40" t="n">
        <v>-23.53473</v>
      </c>
      <c r="C5610" s="40" t="n">
        <v>-46.637098</v>
      </c>
      <c r="D5610" s="40" t="n">
        <v>220</v>
      </c>
      <c r="E5610" s="41" t="n">
        <v>37082.313</v>
      </c>
    </row>
    <row r="5611">
      <c r="A5611" s="42">
        <f>_xlfn.XLOOKUP(17853,Trip[shape_id],Trip[shape_id],"Não encontrado")</f>
        <v/>
      </c>
      <c r="B5611" s="43" t="n">
        <v>-23.53466</v>
      </c>
      <c r="C5611" s="43" t="n">
        <v>-46.637345</v>
      </c>
      <c r="D5611" s="43" t="n">
        <v>221</v>
      </c>
      <c r="E5611" s="44" t="n">
        <v>37227.188</v>
      </c>
    </row>
    <row r="5612">
      <c r="A5612" s="39">
        <f>_xlfn.XLOOKUP(17853,Trip[shape_id],Trip[shape_id],"Não encontrado")</f>
        <v/>
      </c>
      <c r="B5612" s="40" t="n">
        <v>-23.53416</v>
      </c>
      <c r="C5612" s="40" t="n">
        <v>-46.638656</v>
      </c>
      <c r="D5612" s="40" t="n">
        <v>222</v>
      </c>
      <c r="E5612" s="41" t="n">
        <v>37354.844</v>
      </c>
    </row>
    <row r="5613">
      <c r="A5613" s="42">
        <f>_xlfn.XLOOKUP(17853,Trip[shape_id],Trip[shape_id],"Não encontrado")</f>
        <v/>
      </c>
      <c r="B5613" s="43" t="n">
        <v>-23.533477</v>
      </c>
      <c r="C5613" s="43" t="n">
        <v>-46.639663</v>
      </c>
      <c r="D5613" s="43" t="n">
        <v>223</v>
      </c>
      <c r="E5613" s="44" t="n">
        <v>37446.664</v>
      </c>
    </row>
    <row r="5614">
      <c r="A5614" s="39">
        <f>_xlfn.XLOOKUP(17853,Trip[shape_id],Trip[shape_id],"Não encontrado")</f>
        <v/>
      </c>
      <c r="B5614" s="40" t="n">
        <v>-23.53289</v>
      </c>
      <c r="C5614" s="40" t="n">
        <v>-46.640298</v>
      </c>
      <c r="D5614" s="40" t="n">
        <v>224</v>
      </c>
      <c r="E5614" s="41" t="n">
        <v>37645.633</v>
      </c>
    </row>
    <row r="5615">
      <c r="A5615" s="42">
        <f>_xlfn.XLOOKUP(17853,Trip[shape_id],Trip[shape_id],"Não encontrado")</f>
        <v/>
      </c>
      <c r="B5615" s="43" t="n">
        <v>-23.531352</v>
      </c>
      <c r="C5615" s="43" t="n">
        <v>-46.641305</v>
      </c>
      <c r="D5615" s="43" t="n">
        <v>225</v>
      </c>
      <c r="E5615" s="44" t="n">
        <v>37799.766</v>
      </c>
    </row>
    <row r="5616">
      <c r="A5616" s="39">
        <f>_xlfn.XLOOKUP(17853,Trip[shape_id],Trip[shape_id],"Não encontrado")</f>
        <v/>
      </c>
      <c r="B5616" s="40" t="n">
        <v>-23.53012</v>
      </c>
      <c r="C5616" s="40" t="n">
        <v>-46.642007</v>
      </c>
      <c r="D5616" s="40" t="n">
        <v>226</v>
      </c>
      <c r="E5616" s="41" t="n">
        <v>37825.18</v>
      </c>
    </row>
    <row r="5617">
      <c r="A5617" s="42">
        <f>_xlfn.XLOOKUP(17853,Trip[shape_id],Trip[shape_id],"Não encontrado")</f>
        <v/>
      </c>
      <c r="B5617" s="43" t="n">
        <v>-23.529945</v>
      </c>
      <c r="C5617" s="43" t="n">
        <v>-46.642168</v>
      </c>
      <c r="D5617" s="43" t="n">
        <v>227</v>
      </c>
      <c r="E5617" s="44" t="n">
        <v>37825.18</v>
      </c>
    </row>
    <row r="5618">
      <c r="A5618" s="39">
        <f>_xlfn.XLOOKUP(17853,Trip[shape_id],Trip[shape_id],"Não encontrado")</f>
        <v/>
      </c>
      <c r="B5618" s="40" t="n">
        <v>-23.529282</v>
      </c>
      <c r="C5618" s="40" t="n">
        <v>-46.642809</v>
      </c>
      <c r="D5618" s="40" t="n">
        <v>228</v>
      </c>
      <c r="E5618" s="41" t="n">
        <v>37977.164</v>
      </c>
    </row>
    <row r="5619">
      <c r="A5619" s="42">
        <f>_xlfn.XLOOKUP(17853,Trip[shape_id],Trip[shape_id],"Não encontrado")</f>
        <v/>
      </c>
      <c r="B5619" s="43" t="n">
        <v>-23.528962</v>
      </c>
      <c r="C5619" s="43" t="n">
        <v>-46.643203</v>
      </c>
      <c r="D5619" s="43" t="n">
        <v>229</v>
      </c>
      <c r="E5619" s="44" t="n">
        <v>38029.199</v>
      </c>
    </row>
    <row r="5620">
      <c r="A5620" s="39">
        <f>_xlfn.XLOOKUP(17853,Trip[shape_id],Trip[shape_id],"Não encontrado")</f>
        <v/>
      </c>
      <c r="B5620" s="40" t="n">
        <v>-23.528683</v>
      </c>
      <c r="C5620" s="40" t="n">
        <v>-46.643613</v>
      </c>
      <c r="D5620" s="40" t="n">
        <v>230</v>
      </c>
      <c r="E5620" s="41" t="n">
        <v>38123.453</v>
      </c>
    </row>
    <row r="5621">
      <c r="A5621" s="42">
        <f>_xlfn.XLOOKUP(17853,Trip[shape_id],Trip[shape_id],"Não encontrado")</f>
        <v/>
      </c>
      <c r="B5621" s="43" t="n">
        <v>-23.528246</v>
      </c>
      <c r="C5621" s="43" t="n">
        <v>-46.644405</v>
      </c>
      <c r="D5621" s="43" t="n">
        <v>231</v>
      </c>
      <c r="E5621" s="44" t="n">
        <v>38180.969</v>
      </c>
    </row>
    <row r="5622">
      <c r="A5622" s="39">
        <f>_xlfn.XLOOKUP(17853,Trip[shape_id],Trip[shape_id],"Não encontrado")</f>
        <v/>
      </c>
      <c r="B5622" s="40" t="n">
        <v>-23.528058</v>
      </c>
      <c r="C5622" s="40" t="n">
        <v>-46.64493</v>
      </c>
      <c r="D5622" s="40" t="n">
        <v>232</v>
      </c>
      <c r="E5622" s="41" t="n">
        <v>38222.359</v>
      </c>
    </row>
    <row r="5623">
      <c r="A5623" s="42">
        <f>_xlfn.XLOOKUP(17853,Trip[shape_id],Trip[shape_id],"Não encontrado")</f>
        <v/>
      </c>
      <c r="B5623" s="43" t="n">
        <v>-23.527944</v>
      </c>
      <c r="C5623" s="43" t="n">
        <v>-46.645316</v>
      </c>
      <c r="D5623" s="43" t="n">
        <v>233</v>
      </c>
      <c r="E5623" s="44" t="n">
        <v>38285.574</v>
      </c>
    </row>
    <row r="5624">
      <c r="A5624" s="39">
        <f>_xlfn.XLOOKUP(17853,Trip[shape_id],Trip[shape_id],"Não encontrado")</f>
        <v/>
      </c>
      <c r="B5624" s="40" t="n">
        <v>-23.527815</v>
      </c>
      <c r="C5624" s="40" t="n">
        <v>-46.645919</v>
      </c>
      <c r="D5624" s="40" t="n">
        <v>234</v>
      </c>
      <c r="E5624" s="41" t="n">
        <v>38352.766</v>
      </c>
    </row>
    <row r="5625">
      <c r="A5625" s="42">
        <f>_xlfn.XLOOKUP(17853,Trip[shape_id],Trip[shape_id],"Não encontrado")</f>
        <v/>
      </c>
      <c r="B5625" s="43" t="n">
        <v>-23.527727</v>
      </c>
      <c r="C5625" s="43" t="n">
        <v>-46.64657</v>
      </c>
      <c r="D5625" s="43" t="n">
        <v>235</v>
      </c>
      <c r="E5625" s="44" t="n">
        <v>38394.129</v>
      </c>
    </row>
    <row r="5626">
      <c r="A5626" s="39">
        <f>_xlfn.XLOOKUP(17853,Trip[shape_id],Trip[shape_id],"Não encontrado")</f>
        <v/>
      </c>
      <c r="B5626" s="40" t="n">
        <v>-23.527721</v>
      </c>
      <c r="C5626" s="40" t="n">
        <v>-46.646975</v>
      </c>
      <c r="D5626" s="40" t="n">
        <v>236</v>
      </c>
      <c r="E5626" s="41" t="n">
        <v>38559.477</v>
      </c>
    </row>
    <row r="5627">
      <c r="A5627" s="42">
        <f>_xlfn.XLOOKUP(17853,Trip[shape_id],Trip[shape_id],"Não encontrado")</f>
        <v/>
      </c>
      <c r="B5627" s="43" t="n">
        <v>-23.527851</v>
      </c>
      <c r="C5627" s="43" t="n">
        <v>-46.648588</v>
      </c>
      <c r="D5627" s="43" t="n">
        <v>237</v>
      </c>
      <c r="E5627" s="44" t="n">
        <v>38654.984</v>
      </c>
    </row>
    <row r="5628">
      <c r="A5628" s="39">
        <f>_xlfn.XLOOKUP(17853,Trip[shape_id],Trip[shape_id],"Não encontrado")</f>
        <v/>
      </c>
      <c r="B5628" s="40" t="n">
        <v>-23.527923</v>
      </c>
      <c r="C5628" s="40" t="n">
        <v>-46.64952</v>
      </c>
      <c r="D5628" s="40" t="n">
        <v>238</v>
      </c>
      <c r="E5628" s="41" t="n">
        <v>38892.742</v>
      </c>
    </row>
    <row r="5629">
      <c r="A5629" s="42">
        <f>_xlfn.XLOOKUP(17853,Trip[shape_id],Trip[shape_id],"Não encontrado")</f>
        <v/>
      </c>
      <c r="B5629" s="43" t="n">
        <v>-23.52808</v>
      </c>
      <c r="C5629" s="43" t="n">
        <v>-46.651842</v>
      </c>
      <c r="D5629" s="43" t="n">
        <v>239</v>
      </c>
      <c r="E5629" s="44" t="n">
        <v>38978.508</v>
      </c>
    </row>
    <row r="5630">
      <c r="A5630" s="39">
        <f>_xlfn.XLOOKUP(17853,Trip[shape_id],Trip[shape_id],"Não encontrado")</f>
        <v/>
      </c>
      <c r="B5630" s="40" t="n">
        <v>-23.527997</v>
      </c>
      <c r="C5630" s="40" t="n">
        <v>-46.652677</v>
      </c>
      <c r="D5630" s="40" t="n">
        <v>240</v>
      </c>
      <c r="E5630" s="41" t="n">
        <v>39114.383</v>
      </c>
    </row>
    <row r="5631">
      <c r="A5631" s="42">
        <f>_xlfn.XLOOKUP(17853,Trip[shape_id],Trip[shape_id],"Não encontrado")</f>
        <v/>
      </c>
      <c r="B5631" s="43" t="n">
        <v>-23.527662</v>
      </c>
      <c r="C5631" s="43" t="n">
        <v>-46.653957</v>
      </c>
      <c r="D5631" s="43" t="n">
        <v>241</v>
      </c>
      <c r="E5631" s="44" t="n">
        <v>39344.383</v>
      </c>
    </row>
    <row r="5632">
      <c r="A5632" s="39">
        <f>_xlfn.XLOOKUP(17853,Trip[shape_id],Trip[shape_id],"Não encontrado")</f>
        <v/>
      </c>
      <c r="B5632" s="40" t="n">
        <v>-23.527023</v>
      </c>
      <c r="C5632" s="40" t="n">
        <v>-46.6561</v>
      </c>
      <c r="D5632" s="40" t="n">
        <v>242</v>
      </c>
      <c r="E5632" s="41" t="n">
        <v>39655.398</v>
      </c>
    </row>
    <row r="5633">
      <c r="A5633" s="42">
        <f>_xlfn.XLOOKUP(17853,Trip[shape_id],Trip[shape_id],"Não encontrado")</f>
        <v/>
      </c>
      <c r="B5633" s="43" t="n">
        <v>-23.526247</v>
      </c>
      <c r="C5633" s="43" t="n">
        <v>-46.659027</v>
      </c>
      <c r="D5633" s="43" t="n">
        <v>243</v>
      </c>
      <c r="E5633" s="44" t="n">
        <v>39834.867</v>
      </c>
    </row>
    <row r="5634">
      <c r="A5634" s="39">
        <f>_xlfn.XLOOKUP(17853,Trip[shape_id],Trip[shape_id],"Não encontrado")</f>
        <v/>
      </c>
      <c r="B5634" s="40" t="n">
        <v>-23.525885</v>
      </c>
      <c r="C5634" s="40" t="n">
        <v>-46.66074</v>
      </c>
      <c r="D5634" s="40" t="n">
        <v>244</v>
      </c>
      <c r="E5634" s="41" t="n">
        <v>40213.199</v>
      </c>
    </row>
    <row r="5635">
      <c r="A5635" s="42">
        <f>_xlfn.XLOOKUP(17853,Trip[shape_id],Trip[shape_id],"Não encontrado")</f>
        <v/>
      </c>
      <c r="B5635" s="43" t="n">
        <v>-23.525499</v>
      </c>
      <c r="C5635" s="43" t="n">
        <v>-46.664421</v>
      </c>
      <c r="D5635" s="43" t="n">
        <v>245</v>
      </c>
      <c r="E5635" s="44" t="n">
        <v>40416.238</v>
      </c>
    </row>
    <row r="5636">
      <c r="A5636" s="39">
        <f>_xlfn.XLOOKUP(17853,Trip[shape_id],Trip[shape_id],"Não encontrado")</f>
        <v/>
      </c>
      <c r="B5636" s="40" t="n">
        <v>-23.525288</v>
      </c>
      <c r="C5636" s="40" t="n">
        <v>-46.666396</v>
      </c>
      <c r="D5636" s="40" t="n">
        <v>246</v>
      </c>
      <c r="E5636" s="41" t="n">
        <v>40483.195</v>
      </c>
    </row>
    <row r="5637">
      <c r="A5637" s="42">
        <f>_xlfn.XLOOKUP(17853,Trip[shape_id],Trip[shape_id],"Não encontrado")</f>
        <v/>
      </c>
      <c r="B5637" s="43" t="n">
        <v>-23.52559</v>
      </c>
      <c r="C5637" s="43" t="n">
        <v>-46.666964</v>
      </c>
      <c r="D5637" s="43" t="n">
        <v>247</v>
      </c>
      <c r="E5637" s="44" t="n">
        <v>40483.195</v>
      </c>
    </row>
    <row r="5638">
      <c r="A5638" s="39">
        <f>_xlfn.XLOOKUP(17854,Trip[shape_id],Trip[shape_id],"Não encontrado")</f>
        <v/>
      </c>
      <c r="B5638" s="40" t="n">
        <v>-23.52559</v>
      </c>
      <c r="C5638" s="40" t="n">
        <v>-46.666964</v>
      </c>
      <c r="D5638" s="40" t="n">
        <v>1</v>
      </c>
      <c r="E5638" s="41" t="n">
        <v>0</v>
      </c>
    </row>
    <row r="5639">
      <c r="A5639" s="42">
        <f>_xlfn.XLOOKUP(17854,Trip[shape_id],Trip[shape_id],"Não encontrado")</f>
        <v/>
      </c>
      <c r="B5639" s="43" t="n">
        <v>-23.525288</v>
      </c>
      <c r="C5639" s="43" t="n">
        <v>-46.666396</v>
      </c>
      <c r="D5639" s="43" t="n">
        <v>2</v>
      </c>
      <c r="E5639" s="44" t="n">
        <v>66.95725299999999</v>
      </c>
    </row>
    <row r="5640">
      <c r="A5640" s="39">
        <f>_xlfn.XLOOKUP(17854,Trip[shape_id],Trip[shape_id],"Não encontrado")</f>
        <v/>
      </c>
      <c r="B5640" s="40" t="n">
        <v>-23.525499</v>
      </c>
      <c r="C5640" s="40" t="n">
        <v>-46.664421</v>
      </c>
      <c r="D5640" s="40" t="n">
        <v>3</v>
      </c>
      <c r="E5640" s="41" t="n">
        <v>269.9964</v>
      </c>
    </row>
    <row r="5641">
      <c r="A5641" s="42">
        <f>_xlfn.XLOOKUP(17854,Trip[shape_id],Trip[shape_id],"Não encontrado")</f>
        <v/>
      </c>
      <c r="B5641" s="43" t="n">
        <v>-23.525885</v>
      </c>
      <c r="C5641" s="43" t="n">
        <v>-46.66074</v>
      </c>
      <c r="D5641" s="43" t="n">
        <v>4</v>
      </c>
      <c r="E5641" s="44" t="n">
        <v>648.32764</v>
      </c>
    </row>
    <row r="5642">
      <c r="A5642" s="39">
        <f>_xlfn.XLOOKUP(17854,Trip[shape_id],Trip[shape_id],"Não encontrado")</f>
        <v/>
      </c>
      <c r="B5642" s="40" t="n">
        <v>-23.526247</v>
      </c>
      <c r="C5642" s="40" t="n">
        <v>-46.659027</v>
      </c>
      <c r="D5642" s="40" t="n">
        <v>5</v>
      </c>
      <c r="E5642" s="41" t="n">
        <v>827.79626</v>
      </c>
    </row>
    <row r="5643">
      <c r="A5643" s="42">
        <f>_xlfn.XLOOKUP(17854,Trip[shape_id],Trip[shape_id],"Não encontrado")</f>
        <v/>
      </c>
      <c r="B5643" s="43" t="n">
        <v>-23.527023</v>
      </c>
      <c r="C5643" s="43" t="n">
        <v>-46.6561</v>
      </c>
      <c r="D5643" s="43" t="n">
        <v>6</v>
      </c>
      <c r="E5643" s="44" t="n">
        <v>1138.813</v>
      </c>
    </row>
    <row r="5644">
      <c r="A5644" s="39">
        <f>_xlfn.XLOOKUP(17854,Trip[shape_id],Trip[shape_id],"Não encontrado")</f>
        <v/>
      </c>
      <c r="B5644" s="40" t="n">
        <v>-23.527662</v>
      </c>
      <c r="C5644" s="40" t="n">
        <v>-46.653957</v>
      </c>
      <c r="D5644" s="40" t="n">
        <v>7</v>
      </c>
      <c r="E5644" s="41" t="n">
        <v>1368.8145</v>
      </c>
    </row>
    <row r="5645">
      <c r="A5645" s="42">
        <f>_xlfn.XLOOKUP(17854,Trip[shape_id],Trip[shape_id],"Não encontrado")</f>
        <v/>
      </c>
      <c r="B5645" s="43" t="n">
        <v>-23.527997</v>
      </c>
      <c r="C5645" s="43" t="n">
        <v>-46.652677</v>
      </c>
      <c r="D5645" s="43" t="n">
        <v>8</v>
      </c>
      <c r="E5645" s="44" t="n">
        <v>1504.691</v>
      </c>
    </row>
    <row r="5646">
      <c r="A5646" s="39">
        <f>_xlfn.XLOOKUP(17854,Trip[shape_id],Trip[shape_id],"Não encontrado")</f>
        <v/>
      </c>
      <c r="B5646" s="40" t="n">
        <v>-23.52808</v>
      </c>
      <c r="C5646" s="40" t="n">
        <v>-46.651842</v>
      </c>
      <c r="D5646" s="40" t="n">
        <v>9</v>
      </c>
      <c r="E5646" s="41" t="n">
        <v>1590.4548</v>
      </c>
    </row>
    <row r="5647">
      <c r="A5647" s="42">
        <f>_xlfn.XLOOKUP(17854,Trip[shape_id],Trip[shape_id],"Não encontrado")</f>
        <v/>
      </c>
      <c r="B5647" s="43" t="n">
        <v>-23.527923</v>
      </c>
      <c r="C5647" s="43" t="n">
        <v>-46.64952</v>
      </c>
      <c r="D5647" s="43" t="n">
        <v>10</v>
      </c>
      <c r="E5647" s="44" t="n">
        <v>1828.2129</v>
      </c>
    </row>
    <row r="5648">
      <c r="A5648" s="39">
        <f>_xlfn.XLOOKUP(17854,Trip[shape_id],Trip[shape_id],"Não encontrado")</f>
        <v/>
      </c>
      <c r="B5648" s="40" t="n">
        <v>-23.527851</v>
      </c>
      <c r="C5648" s="40" t="n">
        <v>-46.648588</v>
      </c>
      <c r="D5648" s="40" t="n">
        <v>11</v>
      </c>
      <c r="E5648" s="41" t="n">
        <v>1923.7218</v>
      </c>
    </row>
    <row r="5649">
      <c r="A5649" s="42">
        <f>_xlfn.XLOOKUP(17854,Trip[shape_id],Trip[shape_id],"Não encontrado")</f>
        <v/>
      </c>
      <c r="B5649" s="43" t="n">
        <v>-23.527721</v>
      </c>
      <c r="C5649" s="43" t="n">
        <v>-46.646975</v>
      </c>
      <c r="D5649" s="43" t="n">
        <v>12</v>
      </c>
      <c r="E5649" s="44" t="n">
        <v>2089.0688</v>
      </c>
    </row>
    <row r="5650">
      <c r="A5650" s="39">
        <f>_xlfn.XLOOKUP(17854,Trip[shape_id],Trip[shape_id],"Não encontrado")</f>
        <v/>
      </c>
      <c r="B5650" s="40" t="n">
        <v>-23.527727</v>
      </c>
      <c r="C5650" s="40" t="n">
        <v>-46.64657</v>
      </c>
      <c r="D5650" s="40" t="n">
        <v>13</v>
      </c>
      <c r="E5650" s="41" t="n">
        <v>2130.4326</v>
      </c>
    </row>
    <row r="5651">
      <c r="A5651" s="42">
        <f>_xlfn.XLOOKUP(17854,Trip[shape_id],Trip[shape_id],"Não encontrado")</f>
        <v/>
      </c>
      <c r="B5651" s="43" t="n">
        <v>-23.527815</v>
      </c>
      <c r="C5651" s="43" t="n">
        <v>-46.645919</v>
      </c>
      <c r="D5651" s="43" t="n">
        <v>14</v>
      </c>
      <c r="E5651" s="44" t="n">
        <v>2197.623</v>
      </c>
    </row>
    <row r="5652">
      <c r="A5652" s="39">
        <f>_xlfn.XLOOKUP(17854,Trip[shape_id],Trip[shape_id],"Não encontrado")</f>
        <v/>
      </c>
      <c r="B5652" s="40" t="n">
        <v>-23.527944</v>
      </c>
      <c r="C5652" s="40" t="n">
        <v>-46.645316</v>
      </c>
      <c r="D5652" s="40" t="n">
        <v>15</v>
      </c>
      <c r="E5652" s="41" t="n">
        <v>2260.8369</v>
      </c>
    </row>
    <row r="5653">
      <c r="A5653" s="42">
        <f>_xlfn.XLOOKUP(17854,Trip[shape_id],Trip[shape_id],"Não encontrado")</f>
        <v/>
      </c>
      <c r="B5653" s="43" t="n">
        <v>-23.528058</v>
      </c>
      <c r="C5653" s="43" t="n">
        <v>-46.64493</v>
      </c>
      <c r="D5653" s="43" t="n">
        <v>16</v>
      </c>
      <c r="E5653" s="44" t="n">
        <v>2302.2278</v>
      </c>
    </row>
    <row r="5654">
      <c r="A5654" s="39">
        <f>_xlfn.XLOOKUP(17854,Trip[shape_id],Trip[shape_id],"Não encontrado")</f>
        <v/>
      </c>
      <c r="B5654" s="40" t="n">
        <v>-23.528246</v>
      </c>
      <c r="C5654" s="40" t="n">
        <v>-46.644405</v>
      </c>
      <c r="D5654" s="40" t="n">
        <v>17</v>
      </c>
      <c r="E5654" s="41" t="n">
        <v>2359.7415</v>
      </c>
    </row>
    <row r="5655">
      <c r="A5655" s="42">
        <f>_xlfn.XLOOKUP(17854,Trip[shape_id],Trip[shape_id],"Não encontrado")</f>
        <v/>
      </c>
      <c r="B5655" s="43" t="n">
        <v>-23.528683</v>
      </c>
      <c r="C5655" s="43" t="n">
        <v>-46.643613</v>
      </c>
      <c r="D5655" s="43" t="n">
        <v>18</v>
      </c>
      <c r="E5655" s="44" t="n">
        <v>2453.9949</v>
      </c>
    </row>
    <row r="5656">
      <c r="A5656" s="39">
        <f>_xlfn.XLOOKUP(17854,Trip[shape_id],Trip[shape_id],"Não encontrado")</f>
        <v/>
      </c>
      <c r="B5656" s="40" t="n">
        <v>-23.528962</v>
      </c>
      <c r="C5656" s="40" t="n">
        <v>-46.643203</v>
      </c>
      <c r="D5656" s="40" t="n">
        <v>19</v>
      </c>
      <c r="E5656" s="41" t="n">
        <v>2506.031</v>
      </c>
    </row>
    <row r="5657">
      <c r="A5657" s="42">
        <f>_xlfn.XLOOKUP(17854,Trip[shape_id],Trip[shape_id],"Não encontrado")</f>
        <v/>
      </c>
      <c r="B5657" s="43" t="n">
        <v>-23.529282</v>
      </c>
      <c r="C5657" s="43" t="n">
        <v>-46.642809</v>
      </c>
      <c r="D5657" s="43" t="n">
        <v>20</v>
      </c>
      <c r="E5657" s="44" t="n">
        <v>2559.6487</v>
      </c>
    </row>
    <row r="5658">
      <c r="A5658" s="39">
        <f>_xlfn.XLOOKUP(17854,Trip[shape_id],Trip[shape_id],"Não encontrado")</f>
        <v/>
      </c>
      <c r="B5658" s="40" t="n">
        <v>-23.529945</v>
      </c>
      <c r="C5658" s="40" t="n">
        <v>-46.642168</v>
      </c>
      <c r="D5658" s="40" t="n">
        <v>21</v>
      </c>
      <c r="E5658" s="41" t="n">
        <v>2658.0176</v>
      </c>
    </row>
    <row r="5659">
      <c r="A5659" s="42">
        <f>_xlfn.XLOOKUP(17854,Trip[shape_id],Trip[shape_id],"Não encontrado")</f>
        <v/>
      </c>
      <c r="B5659" s="43" t="n">
        <v>-23.53012</v>
      </c>
      <c r="C5659" s="43" t="n">
        <v>-46.642007</v>
      </c>
      <c r="D5659" s="43" t="n">
        <v>22</v>
      </c>
      <c r="E5659" s="44" t="n">
        <v>2683.4331</v>
      </c>
    </row>
    <row r="5660">
      <c r="A5660" s="39">
        <f>_xlfn.XLOOKUP(17854,Trip[shape_id],Trip[shape_id],"Não encontrado")</f>
        <v/>
      </c>
      <c r="B5660" s="40" t="n">
        <v>-23.531352</v>
      </c>
      <c r="C5660" s="40" t="n">
        <v>-46.641305</v>
      </c>
      <c r="D5660" s="40" t="n">
        <v>23</v>
      </c>
      <c r="E5660" s="41" t="n">
        <v>2837.5642</v>
      </c>
    </row>
    <row r="5661">
      <c r="A5661" s="42">
        <f>_xlfn.XLOOKUP(17854,Trip[shape_id],Trip[shape_id],"Não encontrado")</f>
        <v/>
      </c>
      <c r="B5661" s="43" t="n">
        <v>-23.53289</v>
      </c>
      <c r="C5661" s="43" t="n">
        <v>-46.640298</v>
      </c>
      <c r="D5661" s="43" t="n">
        <v>24</v>
      </c>
      <c r="E5661" s="44" t="n">
        <v>3036.533</v>
      </c>
    </row>
    <row r="5662">
      <c r="A5662" s="39">
        <f>_xlfn.XLOOKUP(17854,Trip[shape_id],Trip[shape_id],"Não encontrado")</f>
        <v/>
      </c>
      <c r="B5662" s="40" t="n">
        <v>-23.533477</v>
      </c>
      <c r="C5662" s="40" t="n">
        <v>-46.639663</v>
      </c>
      <c r="D5662" s="40" t="n">
        <v>25</v>
      </c>
      <c r="E5662" s="41" t="n">
        <v>3128.354</v>
      </c>
    </row>
    <row r="5663">
      <c r="A5663" s="42">
        <f>_xlfn.XLOOKUP(17854,Trip[shape_id],Trip[shape_id],"Não encontrado")</f>
        <v/>
      </c>
      <c r="B5663" s="43" t="n">
        <v>-23.53416</v>
      </c>
      <c r="C5663" s="43" t="n">
        <v>-46.638656</v>
      </c>
      <c r="D5663" s="43" t="n">
        <v>26</v>
      </c>
      <c r="E5663" s="44" t="n">
        <v>3256.0093</v>
      </c>
    </row>
    <row r="5664">
      <c r="A5664" s="39">
        <f>_xlfn.XLOOKUP(17854,Trip[shape_id],Trip[shape_id],"Não encontrado")</f>
        <v/>
      </c>
      <c r="B5664" s="40" t="n">
        <v>-23.53466</v>
      </c>
      <c r="C5664" s="40" t="n">
        <v>-46.637345</v>
      </c>
      <c r="D5664" s="40" t="n">
        <v>27</v>
      </c>
      <c r="E5664" s="41" t="n">
        <v>3400.8823</v>
      </c>
    </row>
    <row r="5665">
      <c r="A5665" s="42">
        <f>_xlfn.XLOOKUP(17854,Trip[shape_id],Trip[shape_id],"Não encontrado")</f>
        <v/>
      </c>
      <c r="B5665" s="43" t="n">
        <v>-23.53473</v>
      </c>
      <c r="C5665" s="43" t="n">
        <v>-46.637098</v>
      </c>
      <c r="D5665" s="43" t="n">
        <v>28</v>
      </c>
      <c r="E5665" s="44" t="n">
        <v>3427.269</v>
      </c>
    </row>
    <row r="5666">
      <c r="A5666" s="39">
        <f>_xlfn.XLOOKUP(17854,Trip[shape_id],Trip[shape_id],"Não encontrado")</f>
        <v/>
      </c>
      <c r="B5666" s="40" t="n">
        <v>-23.534943</v>
      </c>
      <c r="C5666" s="40" t="n">
        <v>-46.636257</v>
      </c>
      <c r="D5666" s="40" t="n">
        <v>29</v>
      </c>
      <c r="E5666" s="41" t="n">
        <v>3516.3281</v>
      </c>
    </row>
    <row r="5667">
      <c r="A5667" s="42">
        <f>_xlfn.XLOOKUP(17854,Trip[shape_id],Trip[shape_id],"Não encontrado")</f>
        <v/>
      </c>
      <c r="B5667" s="43" t="n">
        <v>-23.535131</v>
      </c>
      <c r="C5667" s="43" t="n">
        <v>-46.635476</v>
      </c>
      <c r="D5667" s="43" t="n">
        <v>30</v>
      </c>
      <c r="E5667" s="44" t="n">
        <v>3598.7522</v>
      </c>
    </row>
    <row r="5668">
      <c r="A5668" s="39">
        <f>_xlfn.XLOOKUP(17854,Trip[shape_id],Trip[shape_id],"Não encontrado")</f>
        <v/>
      </c>
      <c r="B5668" s="40" t="n">
        <v>-23.535167</v>
      </c>
      <c r="C5668" s="40" t="n">
        <v>-46.635349</v>
      </c>
      <c r="D5668" s="40" t="n">
        <v>31</v>
      </c>
      <c r="E5668" s="41" t="n">
        <v>3612.3196</v>
      </c>
    </row>
    <row r="5669">
      <c r="A5669" s="42">
        <f>_xlfn.XLOOKUP(17854,Trip[shape_id],Trip[shape_id],"Não encontrado")</f>
        <v/>
      </c>
      <c r="B5669" s="43" t="n">
        <v>-23.53557</v>
      </c>
      <c r="C5669" s="43" t="n">
        <v>-46.634102</v>
      </c>
      <c r="D5669" s="43" t="n">
        <v>32</v>
      </c>
      <c r="E5669" s="44" t="n">
        <v>3862.4829</v>
      </c>
    </row>
    <row r="5670">
      <c r="A5670" s="39">
        <f>_xlfn.XLOOKUP(17854,Trip[shape_id],Trip[shape_id],"Não encontrado")</f>
        <v/>
      </c>
      <c r="B5670" s="40" t="n">
        <v>-23.535814</v>
      </c>
      <c r="C5670" s="40" t="n">
        <v>-46.633005</v>
      </c>
      <c r="D5670" s="40" t="n">
        <v>33</v>
      </c>
      <c r="E5670" s="41" t="n">
        <v>4020.9854</v>
      </c>
    </row>
    <row r="5671">
      <c r="A5671" s="42">
        <f>_xlfn.XLOOKUP(17854,Trip[shape_id],Trip[shape_id],"Não encontrado")</f>
        <v/>
      </c>
      <c r="B5671" s="43" t="n">
        <v>-23.536199</v>
      </c>
      <c r="C5671" s="43" t="n">
        <v>-46.63151</v>
      </c>
      <c r="D5671" s="43" t="n">
        <v>34</v>
      </c>
      <c r="E5671" s="44" t="n">
        <v>4215.186</v>
      </c>
    </row>
    <row r="5672">
      <c r="A5672" s="39">
        <f>_xlfn.XLOOKUP(17854,Trip[shape_id],Trip[shape_id],"Não encontrado")</f>
        <v/>
      </c>
      <c r="B5672" s="40" t="n">
        <v>-23.536686</v>
      </c>
      <c r="C5672" s="40" t="n">
        <v>-46.629683</v>
      </c>
      <c r="D5672" s="40" t="n">
        <v>35</v>
      </c>
      <c r="E5672" s="41" t="n">
        <v>4627.3535</v>
      </c>
    </row>
    <row r="5673">
      <c r="A5673" s="42">
        <f>_xlfn.XLOOKUP(17854,Trip[shape_id],Trip[shape_id],"Não encontrado")</f>
        <v/>
      </c>
      <c r="B5673" s="43" t="n">
        <v>-23.537699</v>
      </c>
      <c r="C5673" s="43" t="n">
        <v>-46.625799</v>
      </c>
      <c r="D5673" s="43" t="n">
        <v>36</v>
      </c>
      <c r="E5673" s="44" t="n">
        <v>4709.0854</v>
      </c>
    </row>
    <row r="5674">
      <c r="A5674" s="39">
        <f>_xlfn.XLOOKUP(17854,Trip[shape_id],Trip[shape_id],"Não encontrado")</f>
        <v/>
      </c>
      <c r="B5674" s="40" t="n">
        <v>-23.53791</v>
      </c>
      <c r="C5674" s="40" t="n">
        <v>-46.625032</v>
      </c>
      <c r="D5674" s="40" t="n">
        <v>37</v>
      </c>
      <c r="E5674" s="41" t="n">
        <v>4837.1494</v>
      </c>
    </row>
    <row r="5675">
      <c r="A5675" s="42">
        <f>_xlfn.XLOOKUP(17854,Trip[shape_id],Trip[shape_id],"Não encontrado")</f>
        <v/>
      </c>
      <c r="B5675" s="43" t="n">
        <v>-23.538286</v>
      </c>
      <c r="C5675" s="43" t="n">
        <v>-46.623846</v>
      </c>
      <c r="D5675" s="43" t="n">
        <v>38</v>
      </c>
      <c r="E5675" s="44" t="n">
        <v>4930.8618</v>
      </c>
    </row>
    <row r="5676">
      <c r="A5676" s="39">
        <f>_xlfn.XLOOKUP(17854,Trip[shape_id],Trip[shape_id],"Não encontrado")</f>
        <v/>
      </c>
      <c r="B5676" s="40" t="n">
        <v>-23.538699</v>
      </c>
      <c r="C5676" s="40" t="n">
        <v>-46.623045</v>
      </c>
      <c r="D5676" s="40" t="n">
        <v>39</v>
      </c>
      <c r="E5676" s="41" t="n">
        <v>5032.7676</v>
      </c>
    </row>
    <row r="5677">
      <c r="A5677" s="42">
        <f>_xlfn.XLOOKUP(17854,Trip[shape_id],Trip[shape_id],"Não encontrado")</f>
        <v/>
      </c>
      <c r="B5677" s="43" t="n">
        <v>-23.539133</v>
      </c>
      <c r="C5677" s="43" t="n">
        <v>-46.622165</v>
      </c>
      <c r="D5677" s="43" t="n">
        <v>40</v>
      </c>
      <c r="E5677" s="44" t="n">
        <v>5147.8306</v>
      </c>
    </row>
    <row r="5678">
      <c r="A5678" s="39">
        <f>_xlfn.XLOOKUP(17854,Trip[shape_id],Trip[shape_id],"Não encontrado")</f>
        <v/>
      </c>
      <c r="B5678" s="40" t="n">
        <v>-23.539721</v>
      </c>
      <c r="C5678" s="40" t="n">
        <v>-46.621236</v>
      </c>
      <c r="D5678" s="40" t="n">
        <v>41</v>
      </c>
      <c r="E5678" s="41" t="n">
        <v>5289.7427</v>
      </c>
    </row>
    <row r="5679">
      <c r="A5679" s="42">
        <f>_xlfn.XLOOKUP(17854,Trip[shape_id],Trip[shape_id],"Não encontrado")</f>
        <v/>
      </c>
      <c r="B5679" s="43" t="n">
        <v>-23.540532</v>
      </c>
      <c r="C5679" s="43" t="n">
        <v>-46.62016</v>
      </c>
      <c r="D5679" s="43" t="n">
        <v>42</v>
      </c>
      <c r="E5679" s="44" t="n">
        <v>5412.2051</v>
      </c>
    </row>
    <row r="5680">
      <c r="A5680" s="39">
        <f>_xlfn.XLOOKUP(17854,Trip[shape_id],Trip[shape_id],"Não encontrado")</f>
        <v/>
      </c>
      <c r="B5680" s="40" t="n">
        <v>-23.541417</v>
      </c>
      <c r="C5680" s="40" t="n">
        <v>-46.619441</v>
      </c>
      <c r="D5680" s="40" t="n">
        <v>43</v>
      </c>
      <c r="E5680" s="41" t="n">
        <v>5464.5874</v>
      </c>
    </row>
    <row r="5681">
      <c r="A5681" s="42">
        <f>_xlfn.XLOOKUP(17854,Trip[shape_id],Trip[shape_id],"Não encontrado")</f>
        <v/>
      </c>
      <c r="B5681" s="43" t="n">
        <v>-23.5418</v>
      </c>
      <c r="C5681" s="43" t="n">
        <v>-46.61914</v>
      </c>
      <c r="D5681" s="43" t="n">
        <v>44</v>
      </c>
      <c r="E5681" s="44" t="n">
        <v>5515.3843</v>
      </c>
    </row>
    <row r="5682">
      <c r="A5682" s="39">
        <f>_xlfn.XLOOKUP(17854,Trip[shape_id],Trip[shape_id],"Não encontrado")</f>
        <v/>
      </c>
      <c r="B5682" s="40" t="n">
        <v>-23.542172</v>
      </c>
      <c r="C5682" s="40" t="n">
        <v>-46.618849</v>
      </c>
      <c r="D5682" s="40" t="n">
        <v>45</v>
      </c>
      <c r="E5682" s="41" t="n">
        <v>5685.6523</v>
      </c>
    </row>
    <row r="5683">
      <c r="A5683" s="42">
        <f>_xlfn.XLOOKUP(17854,Trip[shape_id],Trip[shape_id],"Não encontrado")</f>
        <v/>
      </c>
      <c r="B5683" s="43" t="n">
        <v>-23.543431</v>
      </c>
      <c r="C5683" s="43" t="n">
        <v>-46.617892</v>
      </c>
      <c r="D5683" s="43" t="n">
        <v>46</v>
      </c>
      <c r="E5683" s="44" t="n">
        <v>5749.291</v>
      </c>
    </row>
    <row r="5684">
      <c r="A5684" s="39">
        <f>_xlfn.XLOOKUP(17854,Trip[shape_id],Trip[shape_id],"Não encontrado")</f>
        <v/>
      </c>
      <c r="B5684" s="40" t="n">
        <v>-23.543902</v>
      </c>
      <c r="C5684" s="40" t="n">
        <v>-46.617535</v>
      </c>
      <c r="D5684" s="40" t="n">
        <v>47</v>
      </c>
      <c r="E5684" s="41" t="n">
        <v>5768.5894</v>
      </c>
    </row>
    <row r="5685">
      <c r="A5685" s="42">
        <f>_xlfn.XLOOKUP(17854,Trip[shape_id],Trip[shape_id],"Não encontrado")</f>
        <v/>
      </c>
      <c r="B5685" s="43" t="n">
        <v>-23.544045</v>
      </c>
      <c r="C5685" s="43" t="n">
        <v>-46.617427</v>
      </c>
      <c r="D5685" s="43" t="n">
        <v>48</v>
      </c>
      <c r="E5685" s="44" t="n">
        <v>5936.9492</v>
      </c>
    </row>
    <row r="5686">
      <c r="A5686" s="39">
        <f>_xlfn.XLOOKUP(17854,Trip[shape_id],Trip[shape_id],"Não encontrado")</f>
        <v/>
      </c>
      <c r="B5686" s="40" t="n">
        <v>-23.545309</v>
      </c>
      <c r="C5686" s="40" t="n">
        <v>-46.616511</v>
      </c>
      <c r="D5686" s="40" t="n">
        <v>49</v>
      </c>
      <c r="E5686" s="41" t="n">
        <v>5936.9492</v>
      </c>
    </row>
    <row r="5687">
      <c r="A5687" s="42">
        <f>_xlfn.XLOOKUP(17854,Trip[shape_id],Trip[shape_id],"Não encontrado")</f>
        <v/>
      </c>
      <c r="B5687" s="43" t="n">
        <v>-23.540236</v>
      </c>
      <c r="C5687" s="43" t="n">
        <v>-46.576605</v>
      </c>
      <c r="D5687" s="43" t="n">
        <v>50</v>
      </c>
      <c r="E5687" s="44" t="n">
        <v>5936.9492</v>
      </c>
    </row>
    <row r="5688">
      <c r="A5688" s="39">
        <f>_xlfn.XLOOKUP(17854,Trip[shape_id],Trip[shape_id],"Não encontrado")</f>
        <v/>
      </c>
      <c r="B5688" s="40" t="n">
        <v>-23.540183</v>
      </c>
      <c r="C5688" s="40" t="n">
        <v>-46.576319</v>
      </c>
      <c r="D5688" s="40" t="n">
        <v>51</v>
      </c>
      <c r="E5688" s="41" t="n">
        <v>5966.7368</v>
      </c>
    </row>
    <row r="5689">
      <c r="A5689" s="42">
        <f>_xlfn.XLOOKUP(17854,Trip[shape_id],Trip[shape_id],"Não encontrado")</f>
        <v/>
      </c>
      <c r="B5689" s="43" t="n">
        <v>-23.539902</v>
      </c>
      <c r="C5689" s="43" t="n">
        <v>-46.57482</v>
      </c>
      <c r="D5689" s="43" t="n">
        <v>52</v>
      </c>
      <c r="E5689" s="44" t="n">
        <v>6122.9316</v>
      </c>
    </row>
    <row r="5690">
      <c r="A5690" s="39">
        <f>_xlfn.XLOOKUP(17854,Trip[shape_id],Trip[shape_id],"Não encontrado")</f>
        <v/>
      </c>
      <c r="B5690" s="40" t="n">
        <v>-23.539663</v>
      </c>
      <c r="C5690" s="40" t="n">
        <v>-46.573876</v>
      </c>
      <c r="D5690" s="40" t="n">
        <v>53</v>
      </c>
      <c r="E5690" s="41" t="n">
        <v>6222.8921</v>
      </c>
    </row>
    <row r="5691">
      <c r="A5691" s="42">
        <f>_xlfn.XLOOKUP(17854,Trip[shape_id],Trip[shape_id],"Não encontrado")</f>
        <v/>
      </c>
      <c r="B5691" s="43" t="n">
        <v>-23.5395</v>
      </c>
      <c r="C5691" s="43" t="n">
        <v>-46.573271</v>
      </c>
      <c r="D5691" s="43" t="n">
        <v>54</v>
      </c>
      <c r="E5691" s="44" t="n">
        <v>6287.2524</v>
      </c>
    </row>
    <row r="5692">
      <c r="A5692" s="39">
        <f>_xlfn.XLOOKUP(17854,Trip[shape_id],Trip[shape_id],"Não encontrado")</f>
        <v/>
      </c>
      <c r="B5692" s="40" t="n">
        <v>-23.539378</v>
      </c>
      <c r="C5692" s="40" t="n">
        <v>-46.572831</v>
      </c>
      <c r="D5692" s="40" t="n">
        <v>55</v>
      </c>
      <c r="E5692" s="41" t="n">
        <v>6334.1689</v>
      </c>
    </row>
    <row r="5693">
      <c r="A5693" s="42">
        <f>_xlfn.XLOOKUP(17854,Trip[shape_id],Trip[shape_id],"Não encontrado")</f>
        <v/>
      </c>
      <c r="B5693" s="43" t="n">
        <v>-23.539069</v>
      </c>
      <c r="C5693" s="43" t="n">
        <v>-46.571358</v>
      </c>
      <c r="D5693" s="43" t="n">
        <v>56</v>
      </c>
      <c r="E5693" s="44" t="n">
        <v>6488.4224</v>
      </c>
    </row>
    <row r="5694">
      <c r="A5694" s="39">
        <f>_xlfn.XLOOKUP(17854,Trip[shape_id],Trip[shape_id],"Não encontrado")</f>
        <v/>
      </c>
      <c r="B5694" s="40" t="n">
        <v>-23.538711</v>
      </c>
      <c r="C5694" s="40" t="n">
        <v>-46.569503</v>
      </c>
      <c r="D5694" s="40" t="n">
        <v>57</v>
      </c>
      <c r="E5694" s="41" t="n">
        <v>6681.9434</v>
      </c>
    </row>
    <row r="5695">
      <c r="A5695" s="42">
        <f>_xlfn.XLOOKUP(17854,Trip[shape_id],Trip[shape_id],"Não encontrado")</f>
        <v/>
      </c>
      <c r="B5695" s="43" t="n">
        <v>-23.538235</v>
      </c>
      <c r="C5695" s="43" t="n">
        <v>-46.567089</v>
      </c>
      <c r="D5695" s="43" t="n">
        <v>58</v>
      </c>
      <c r="E5695" s="44" t="n">
        <v>6934.0146</v>
      </c>
    </row>
    <row r="5696">
      <c r="A5696" s="39">
        <f>_xlfn.XLOOKUP(17854,Trip[shape_id],Trip[shape_id],"Não encontrado")</f>
        <v/>
      </c>
      <c r="B5696" s="40" t="n">
        <v>-23.537987</v>
      </c>
      <c r="C5696" s="40" t="n">
        <v>-46.565819</v>
      </c>
      <c r="D5696" s="40" t="n">
        <v>59</v>
      </c>
      <c r="E5696" s="41" t="n">
        <v>7066.5732</v>
      </c>
    </row>
    <row r="5697">
      <c r="A5697" s="42">
        <f>_xlfn.XLOOKUP(17854,Trip[shape_id],Trip[shape_id],"Não encontrado")</f>
        <v/>
      </c>
      <c r="B5697" s="43" t="n">
        <v>-23.537755</v>
      </c>
      <c r="C5697" s="43" t="n">
        <v>-46.56465</v>
      </c>
      <c r="D5697" s="43" t="n">
        <v>60</v>
      </c>
      <c r="E5697" s="44" t="n">
        <v>7188.6763</v>
      </c>
    </row>
    <row r="5698">
      <c r="A5698" s="39">
        <f>_xlfn.XLOOKUP(17854,Trip[shape_id],Trip[shape_id],"Não encontrado")</f>
        <v/>
      </c>
      <c r="B5698" s="40" t="n">
        <v>-23.537463</v>
      </c>
      <c r="C5698" s="40" t="n">
        <v>-46.563164</v>
      </c>
      <c r="D5698" s="40" t="n">
        <v>61</v>
      </c>
      <c r="E5698" s="41" t="n">
        <v>7343.8228</v>
      </c>
    </row>
    <row r="5699">
      <c r="A5699" s="42">
        <f>_xlfn.XLOOKUP(17854,Trip[shape_id],Trip[shape_id],"Não encontrado")</f>
        <v/>
      </c>
      <c r="B5699" s="43" t="n">
        <v>-23.537386</v>
      </c>
      <c r="C5699" s="43" t="n">
        <v>-46.562779</v>
      </c>
      <c r="D5699" s="43" t="n">
        <v>62</v>
      </c>
      <c r="E5699" s="44" t="n">
        <v>7384.0503</v>
      </c>
    </row>
    <row r="5700">
      <c r="A5700" s="39">
        <f>_xlfn.XLOOKUP(17854,Trip[shape_id],Trip[shape_id],"Não encontrado")</f>
        <v/>
      </c>
      <c r="B5700" s="40" t="n">
        <v>-23.537188</v>
      </c>
      <c r="C5700" s="40" t="n">
        <v>-46.561783</v>
      </c>
      <c r="D5700" s="40" t="n">
        <v>63</v>
      </c>
      <c r="E5700" s="41" t="n">
        <v>7488.0913</v>
      </c>
    </row>
    <row r="5701">
      <c r="A5701" s="42">
        <f>_xlfn.XLOOKUP(17854,Trip[shape_id],Trip[shape_id],"Não encontrado")</f>
        <v/>
      </c>
      <c r="B5701" s="43" t="n">
        <v>-23.536971</v>
      </c>
      <c r="C5701" s="43" t="n">
        <v>-46.560664</v>
      </c>
      <c r="D5701" s="43" t="n">
        <v>64</v>
      </c>
      <c r="E5701" s="44" t="n">
        <v>7604.855</v>
      </c>
    </row>
    <row r="5702">
      <c r="A5702" s="39">
        <f>_xlfn.XLOOKUP(17854,Trip[shape_id],Trip[shape_id],"Não encontrado")</f>
        <v/>
      </c>
      <c r="B5702" s="40" t="n">
        <v>-23.536767</v>
      </c>
      <c r="C5702" s="40" t="n">
        <v>-46.559635</v>
      </c>
      <c r="D5702" s="40" t="n">
        <v>65</v>
      </c>
      <c r="E5702" s="41" t="n">
        <v>7712.3306</v>
      </c>
    </row>
    <row r="5703">
      <c r="A5703" s="42">
        <f>_xlfn.XLOOKUP(17854,Trip[shape_id],Trip[shape_id],"Não encontrado")</f>
        <v/>
      </c>
      <c r="B5703" s="43" t="n">
        <v>-23.536487</v>
      </c>
      <c r="C5703" s="43" t="n">
        <v>-46.558236</v>
      </c>
      <c r="D5703" s="43" t="n">
        <v>66</v>
      </c>
      <c r="E5703" s="44" t="n">
        <v>7858.5137</v>
      </c>
    </row>
    <row r="5704">
      <c r="A5704" s="39">
        <f>_xlfn.XLOOKUP(17854,Trip[shape_id],Trip[shape_id],"Não encontrado")</f>
        <v/>
      </c>
      <c r="B5704" s="40" t="n">
        <v>-23.536322</v>
      </c>
      <c r="C5704" s="40" t="n">
        <v>-46.557416</v>
      </c>
      <c r="D5704" s="40" t="n">
        <v>67</v>
      </c>
      <c r="E5704" s="41" t="n">
        <v>7944.2173</v>
      </c>
    </row>
    <row r="5705">
      <c r="A5705" s="42">
        <f>_xlfn.XLOOKUP(17854,Trip[shape_id],Trip[shape_id],"Não encontrado")</f>
        <v/>
      </c>
      <c r="B5705" s="43" t="n">
        <v>-23.536004</v>
      </c>
      <c r="C5705" s="43" t="n">
        <v>-46.555839</v>
      </c>
      <c r="D5705" s="43" t="n">
        <v>68</v>
      </c>
      <c r="E5705" s="44" t="n">
        <v>8109.0562</v>
      </c>
    </row>
    <row r="5706">
      <c r="A5706" s="39">
        <f>_xlfn.XLOOKUP(17854,Trip[shape_id],Trip[shape_id],"Não encontrado")</f>
        <v/>
      </c>
      <c r="B5706" s="40" t="n">
        <v>-23.535679</v>
      </c>
      <c r="C5706" s="40" t="n">
        <v>-46.554259</v>
      </c>
      <c r="D5706" s="40" t="n">
        <v>69</v>
      </c>
      <c r="E5706" s="41" t="n">
        <v>8274.3613</v>
      </c>
    </row>
    <row r="5707">
      <c r="A5707" s="42">
        <f>_xlfn.XLOOKUP(17854,Trip[shape_id],Trip[shape_id],"Não encontrado")</f>
        <v/>
      </c>
      <c r="B5707" s="43" t="n">
        <v>-23.535467</v>
      </c>
      <c r="C5707" s="43" t="n">
        <v>-46.553236</v>
      </c>
      <c r="D5707" s="43" t="n">
        <v>70</v>
      </c>
      <c r="E5707" s="44" t="n">
        <v>8381.429700000001</v>
      </c>
    </row>
    <row r="5708">
      <c r="A5708" s="39">
        <f>_xlfn.XLOOKUP(17854,Trip[shape_id],Trip[shape_id],"Não encontrado")</f>
        <v/>
      </c>
      <c r="B5708" s="40" t="n">
        <v>-23.534758</v>
      </c>
      <c r="C5708" s="40" t="n">
        <v>-46.549721</v>
      </c>
      <c r="D5708" s="40" t="n">
        <v>71</v>
      </c>
      <c r="E5708" s="41" t="n">
        <v>8748.848599999999</v>
      </c>
    </row>
    <row r="5709">
      <c r="A5709" s="42">
        <f>_xlfn.XLOOKUP(17854,Trip[shape_id],Trip[shape_id],"Não encontrado")</f>
        <v/>
      </c>
      <c r="B5709" s="43" t="n">
        <v>-23.534563</v>
      </c>
      <c r="C5709" s="43" t="n">
        <v>-46.548738</v>
      </c>
      <c r="D5709" s="43" t="n">
        <v>72</v>
      </c>
      <c r="E5709" s="44" t="n">
        <v>8851.5244</v>
      </c>
    </row>
    <row r="5710">
      <c r="A5710" s="39">
        <f>_xlfn.XLOOKUP(17854,Trip[shape_id],Trip[shape_id],"Não encontrado")</f>
        <v/>
      </c>
      <c r="B5710" s="40" t="n">
        <v>-23.534059</v>
      </c>
      <c r="C5710" s="40" t="n">
        <v>-46.546259</v>
      </c>
      <c r="D5710" s="40" t="n">
        <v>73</v>
      </c>
      <c r="E5710" s="41" t="n">
        <v>9110.747100000001</v>
      </c>
    </row>
    <row r="5711">
      <c r="A5711" s="42">
        <f>_xlfn.XLOOKUP(17854,Trip[shape_id],Trip[shape_id],"Não encontrado")</f>
        <v/>
      </c>
      <c r="B5711" s="43" t="n">
        <v>-23.533697</v>
      </c>
      <c r="C5711" s="43" t="n">
        <v>-46.544549</v>
      </c>
      <c r="D5711" s="43" t="n">
        <v>74</v>
      </c>
      <c r="E5711" s="44" t="n">
        <v>9289.9072</v>
      </c>
    </row>
    <row r="5712">
      <c r="A5712" s="39">
        <f>_xlfn.XLOOKUP(17854,Trip[shape_id],Trip[shape_id],"Não encontrado")</f>
        <v/>
      </c>
      <c r="B5712" s="40" t="n">
        <v>-23.53341</v>
      </c>
      <c r="C5712" s="40" t="n">
        <v>-46.543078</v>
      </c>
      <c r="D5712" s="40" t="n">
        <v>75</v>
      </c>
      <c r="E5712" s="41" t="n">
        <v>9443.445299999999</v>
      </c>
    </row>
    <row r="5713">
      <c r="A5713" s="42">
        <f>_xlfn.XLOOKUP(17854,Trip[shape_id],Trip[shape_id],"Não encontrado")</f>
        <v/>
      </c>
      <c r="B5713" s="43" t="n">
        <v>-23.53317</v>
      </c>
      <c r="C5713" s="43" t="n">
        <v>-46.541768</v>
      </c>
      <c r="D5713" s="43" t="n">
        <v>76</v>
      </c>
      <c r="E5713" s="44" t="n">
        <v>9579.832</v>
      </c>
    </row>
    <row r="5714">
      <c r="A5714" s="39">
        <f>_xlfn.XLOOKUP(17854,Trip[shape_id],Trip[shape_id],"Não encontrado")</f>
        <v/>
      </c>
      <c r="B5714" s="40" t="n">
        <v>-23.533079</v>
      </c>
      <c r="C5714" s="40" t="n">
        <v>-46.541286</v>
      </c>
      <c r="D5714" s="40" t="n">
        <v>77</v>
      </c>
      <c r="E5714" s="41" t="n">
        <v>9630.073200000001</v>
      </c>
    </row>
    <row r="5715">
      <c r="A5715" s="42">
        <f>_xlfn.XLOOKUP(17854,Trip[shape_id],Trip[shape_id],"Não encontrado")</f>
        <v/>
      </c>
      <c r="B5715" s="43" t="n">
        <v>-23.533021</v>
      </c>
      <c r="C5715" s="43" t="n">
        <v>-46.540967</v>
      </c>
      <c r="D5715" s="43" t="n">
        <v>78</v>
      </c>
      <c r="E5715" s="44" t="n">
        <v>9663.2754</v>
      </c>
    </row>
    <row r="5716">
      <c r="A5716" s="39">
        <f>_xlfn.XLOOKUP(17854,Trip[shape_id],Trip[shape_id],"Não encontrado")</f>
        <v/>
      </c>
      <c r="B5716" s="40" t="n">
        <v>-23.532691</v>
      </c>
      <c r="C5716" s="40" t="n">
        <v>-46.53919</v>
      </c>
      <c r="D5716" s="40" t="n">
        <v>79</v>
      </c>
      <c r="E5716" s="41" t="n">
        <v>9848.3789</v>
      </c>
    </row>
    <row r="5717">
      <c r="A5717" s="42">
        <f>_xlfn.XLOOKUP(17854,Trip[shape_id],Trip[shape_id],"Não encontrado")</f>
        <v/>
      </c>
      <c r="B5717" s="43" t="n">
        <v>-23.532543</v>
      </c>
      <c r="C5717" s="43" t="n">
        <v>-46.538499</v>
      </c>
      <c r="D5717" s="43" t="n">
        <v>80</v>
      </c>
      <c r="E5717" s="44" t="n">
        <v>9920.819299999999</v>
      </c>
    </row>
    <row r="5718">
      <c r="A5718" s="39">
        <f>_xlfn.XLOOKUP(17854,Trip[shape_id],Trip[shape_id],"Não encontrado")</f>
        <v/>
      </c>
      <c r="B5718" s="40" t="n">
        <v>-23.532171</v>
      </c>
      <c r="C5718" s="40" t="n">
        <v>-46.536742</v>
      </c>
      <c r="D5718" s="40" t="n">
        <v>81</v>
      </c>
      <c r="E5718" s="41" t="n">
        <v>10104.907</v>
      </c>
    </row>
    <row r="5719">
      <c r="A5719" s="42">
        <f>_xlfn.XLOOKUP(17854,Trip[shape_id],Trip[shape_id],"Não encontrado")</f>
        <v/>
      </c>
      <c r="B5719" s="43" t="n">
        <v>-23.53187</v>
      </c>
      <c r="C5719" s="43" t="n">
        <v>-46.535201</v>
      </c>
      <c r="D5719" s="43" t="n">
        <v>82</v>
      </c>
      <c r="E5719" s="44" t="n">
        <v>10265.761</v>
      </c>
    </row>
    <row r="5720">
      <c r="A5720" s="39">
        <f>_xlfn.XLOOKUP(17854,Trip[shape_id],Trip[shape_id],"Não encontrado")</f>
        <v/>
      </c>
      <c r="B5720" s="40" t="n">
        <v>-23.531705</v>
      </c>
      <c r="C5720" s="40" t="n">
        <v>-46.534364</v>
      </c>
      <c r="D5720" s="40" t="n">
        <v>83</v>
      </c>
      <c r="E5720" s="41" t="n">
        <v>10353.164</v>
      </c>
    </row>
    <row r="5721">
      <c r="A5721" s="42">
        <f>_xlfn.XLOOKUP(17854,Trip[shape_id],Trip[shape_id],"Não encontrado")</f>
        <v/>
      </c>
      <c r="B5721" s="43" t="n">
        <v>-23.531596</v>
      </c>
      <c r="C5721" s="43" t="n">
        <v>-46.533799</v>
      </c>
      <c r="D5721" s="43" t="n">
        <v>84</v>
      </c>
      <c r="E5721" s="44" t="n">
        <v>10412.109</v>
      </c>
    </row>
    <row r="5722">
      <c r="A5722" s="39">
        <f>_xlfn.XLOOKUP(17854,Trip[shape_id],Trip[shape_id],"Não encontrado")</f>
        <v/>
      </c>
      <c r="B5722" s="40" t="n">
        <v>-23.531517</v>
      </c>
      <c r="C5722" s="40" t="n">
        <v>-46.533182</v>
      </c>
      <c r="D5722" s="40" t="n">
        <v>85</v>
      </c>
      <c r="E5722" s="41" t="n">
        <v>10475.72</v>
      </c>
    </row>
    <row r="5723">
      <c r="A5723" s="42">
        <f>_xlfn.XLOOKUP(17854,Trip[shape_id],Trip[shape_id],"Não encontrado")</f>
        <v/>
      </c>
      <c r="B5723" s="43" t="n">
        <v>-23.531495</v>
      </c>
      <c r="C5723" s="43" t="n">
        <v>-46.532717</v>
      </c>
      <c r="D5723" s="43" t="n">
        <v>86</v>
      </c>
      <c r="E5723" s="44" t="n">
        <v>10523.267</v>
      </c>
    </row>
    <row r="5724">
      <c r="A5724" s="39">
        <f>_xlfn.XLOOKUP(17854,Trip[shape_id],Trip[shape_id],"Não encontrado")</f>
        <v/>
      </c>
      <c r="B5724" s="40" t="n">
        <v>-23.531489</v>
      </c>
      <c r="C5724" s="40" t="n">
        <v>-46.532152</v>
      </c>
      <c r="D5724" s="40" t="n">
        <v>87</v>
      </c>
      <c r="E5724" s="41" t="n">
        <v>10580.967</v>
      </c>
    </row>
    <row r="5725">
      <c r="A5725" s="42">
        <f>_xlfn.XLOOKUP(17854,Trip[shape_id],Trip[shape_id],"Não encontrado")</f>
        <v/>
      </c>
      <c r="B5725" s="43" t="n">
        <v>-23.531568</v>
      </c>
      <c r="C5725" s="43" t="n">
        <v>-46.531492</v>
      </c>
      <c r="D5725" s="43" t="n">
        <v>88</v>
      </c>
      <c r="E5725" s="44" t="n">
        <v>10648.93</v>
      </c>
    </row>
    <row r="5726">
      <c r="A5726" s="39">
        <f>_xlfn.XLOOKUP(17854,Trip[shape_id],Trip[shape_id],"Não encontrado")</f>
        <v/>
      </c>
      <c r="B5726" s="40" t="n">
        <v>-23.531666</v>
      </c>
      <c r="C5726" s="40" t="n">
        <v>-46.530722</v>
      </c>
      <c r="D5726" s="40" t="n">
        <v>89</v>
      </c>
      <c r="E5726" s="41" t="n">
        <v>10728.305</v>
      </c>
    </row>
    <row r="5727">
      <c r="A5727" s="42">
        <f>_xlfn.XLOOKUP(17854,Trip[shape_id],Trip[shape_id],"Não encontrado")</f>
        <v/>
      </c>
      <c r="B5727" s="43" t="n">
        <v>-23.531796</v>
      </c>
      <c r="C5727" s="43" t="n">
        <v>-46.529765</v>
      </c>
      <c r="D5727" s="43" t="n">
        <v>90</v>
      </c>
      <c r="E5727" s="44" t="n">
        <v>10827.085</v>
      </c>
    </row>
    <row r="5728">
      <c r="A5728" s="39">
        <f>_xlfn.XLOOKUP(17854,Trip[shape_id],Trip[shape_id],"Não encontrado")</f>
        <v/>
      </c>
      <c r="B5728" s="40" t="n">
        <v>-23.531913</v>
      </c>
      <c r="C5728" s="40" t="n">
        <v>-46.528869</v>
      </c>
      <c r="D5728" s="40" t="n">
        <v>91</v>
      </c>
      <c r="E5728" s="41" t="n">
        <v>10919.494</v>
      </c>
    </row>
    <row r="5729">
      <c r="A5729" s="42">
        <f>_xlfn.XLOOKUP(17854,Trip[shape_id],Trip[shape_id],"Não encontrado")</f>
        <v/>
      </c>
      <c r="B5729" s="43" t="n">
        <v>-23.531919</v>
      </c>
      <c r="C5729" s="43" t="n">
        <v>-46.528394</v>
      </c>
      <c r="D5729" s="43" t="n">
        <v>92</v>
      </c>
      <c r="E5729" s="44" t="n">
        <v>10968.004</v>
      </c>
    </row>
    <row r="5730">
      <c r="A5730" s="39">
        <f>_xlfn.XLOOKUP(17854,Trip[shape_id],Trip[shape_id],"Não encontrado")</f>
        <v/>
      </c>
      <c r="B5730" s="40" t="n">
        <v>-23.53187</v>
      </c>
      <c r="C5730" s="40" t="n">
        <v>-46.527927</v>
      </c>
      <c r="D5730" s="40" t="n">
        <v>93</v>
      </c>
      <c r="E5730" s="41" t="n">
        <v>11016</v>
      </c>
    </row>
    <row r="5731">
      <c r="A5731" s="42">
        <f>_xlfn.XLOOKUP(17854,Trip[shape_id],Trip[shape_id],"Não encontrado")</f>
        <v/>
      </c>
      <c r="B5731" s="43" t="n">
        <v>-23.531827</v>
      </c>
      <c r="C5731" s="43" t="n">
        <v>-46.527536</v>
      </c>
      <c r="D5731" s="43" t="n">
        <v>94</v>
      </c>
      <c r="E5731" s="44" t="n">
        <v>11056.211</v>
      </c>
    </row>
    <row r="5732">
      <c r="A5732" s="39">
        <f>_xlfn.XLOOKUP(17854,Trip[shape_id],Trip[shape_id],"Não encontrado")</f>
        <v/>
      </c>
      <c r="B5732" s="40" t="n">
        <v>-23.531732</v>
      </c>
      <c r="C5732" s="40" t="n">
        <v>-46.526698</v>
      </c>
      <c r="D5732" s="40" t="n">
        <v>95</v>
      </c>
      <c r="E5732" s="41" t="n">
        <v>11142.429</v>
      </c>
    </row>
    <row r="5733">
      <c r="A5733" s="42">
        <f>_xlfn.XLOOKUP(17854,Trip[shape_id],Trip[shape_id],"Não encontrado")</f>
        <v/>
      </c>
      <c r="B5733" s="43" t="n">
        <v>-23.531676</v>
      </c>
      <c r="C5733" s="43" t="n">
        <v>-46.526238</v>
      </c>
      <c r="D5733" s="43" t="n">
        <v>96</v>
      </c>
      <c r="E5733" s="44" t="n">
        <v>11189.81</v>
      </c>
    </row>
    <row r="5734">
      <c r="A5734" s="39">
        <f>_xlfn.XLOOKUP(17854,Trip[shape_id],Trip[shape_id],"Não encontrado")</f>
        <v/>
      </c>
      <c r="B5734" s="40" t="n">
        <v>-23.531594</v>
      </c>
      <c r="C5734" s="40" t="n">
        <v>-46.525624</v>
      </c>
      <c r="D5734" s="40" t="n">
        <v>97</v>
      </c>
      <c r="E5734" s="41" t="n">
        <v>11253.163</v>
      </c>
    </row>
    <row r="5735">
      <c r="A5735" s="42">
        <f>_xlfn.XLOOKUP(17854,Trip[shape_id],Trip[shape_id],"Não encontrado")</f>
        <v/>
      </c>
      <c r="B5735" s="43" t="n">
        <v>-23.531515</v>
      </c>
      <c r="C5735" s="43" t="n">
        <v>-46.525029</v>
      </c>
      <c r="D5735" s="43" t="n">
        <v>98</v>
      </c>
      <c r="E5735" s="44" t="n">
        <v>11314.549</v>
      </c>
    </row>
    <row r="5736">
      <c r="A5736" s="39">
        <f>_xlfn.XLOOKUP(17854,Trip[shape_id],Trip[shape_id],"Não encontrado")</f>
        <v/>
      </c>
      <c r="B5736" s="40" t="n">
        <v>-23.531425</v>
      </c>
      <c r="C5736" s="40" t="n">
        <v>-46.524371</v>
      </c>
      <c r="D5736" s="40" t="n">
        <v>99</v>
      </c>
      <c r="E5736" s="41" t="n">
        <v>11382.477</v>
      </c>
    </row>
    <row r="5737">
      <c r="A5737" s="42">
        <f>_xlfn.XLOOKUP(17854,Trip[shape_id],Trip[shape_id],"Não encontrado")</f>
        <v/>
      </c>
      <c r="B5737" s="43" t="n">
        <v>-23.531371</v>
      </c>
      <c r="C5737" s="43" t="n">
        <v>-46.523818</v>
      </c>
      <c r="D5737" s="43" t="n">
        <v>100</v>
      </c>
      <c r="E5737" s="44" t="n">
        <v>11439.263</v>
      </c>
    </row>
    <row r="5738">
      <c r="A5738" s="39">
        <f>_xlfn.XLOOKUP(17854,Trip[shape_id],Trip[shape_id],"Não encontrado")</f>
        <v/>
      </c>
      <c r="B5738" s="40" t="n">
        <v>-23.531324</v>
      </c>
      <c r="C5738" s="40" t="n">
        <v>-46.523373</v>
      </c>
      <c r="D5738" s="40" t="n">
        <v>101</v>
      </c>
      <c r="E5738" s="41" t="n">
        <v>11485.002</v>
      </c>
    </row>
    <row r="5739">
      <c r="A5739" s="42">
        <f>_xlfn.XLOOKUP(17854,Trip[shape_id],Trip[shape_id],"Não encontrado")</f>
        <v/>
      </c>
      <c r="B5739" s="43" t="n">
        <v>-23.531137</v>
      </c>
      <c r="C5739" s="43" t="n">
        <v>-46.521799</v>
      </c>
      <c r="D5739" s="43" t="n">
        <v>102</v>
      </c>
      <c r="E5739" s="44" t="n">
        <v>11647.063</v>
      </c>
    </row>
    <row r="5740">
      <c r="A5740" s="39">
        <f>_xlfn.XLOOKUP(17854,Trip[shape_id],Trip[shape_id],"Não encontrado")</f>
        <v/>
      </c>
      <c r="B5740" s="40" t="n">
        <v>-23.531042</v>
      </c>
      <c r="C5740" s="40" t="n">
        <v>-46.521047</v>
      </c>
      <c r="D5740" s="40" t="n">
        <v>103</v>
      </c>
      <c r="E5740" s="41" t="n">
        <v>11724.572</v>
      </c>
    </row>
    <row r="5741">
      <c r="A5741" s="42">
        <f>_xlfn.XLOOKUP(17854,Trip[shape_id],Trip[shape_id],"Não encontrado")</f>
        <v/>
      </c>
      <c r="B5741" s="43" t="n">
        <v>-23.530942</v>
      </c>
      <c r="C5741" s="43" t="n">
        <v>-46.520593</v>
      </c>
      <c r="D5741" s="43" t="n">
        <v>104</v>
      </c>
      <c r="E5741" s="44" t="n">
        <v>11772.238</v>
      </c>
    </row>
    <row r="5742">
      <c r="A5742" s="39">
        <f>_xlfn.XLOOKUP(17854,Trip[shape_id],Trip[shape_id],"Não encontrado")</f>
        <v/>
      </c>
      <c r="B5742" s="40" t="n">
        <v>-23.530828</v>
      </c>
      <c r="C5742" s="40" t="n">
        <v>-46.520239</v>
      </c>
      <c r="D5742" s="40" t="n">
        <v>105</v>
      </c>
      <c r="E5742" s="41" t="n">
        <v>11810.529</v>
      </c>
    </row>
    <row r="5743">
      <c r="A5743" s="42">
        <f>_xlfn.XLOOKUP(17854,Trip[shape_id],Trip[shape_id],"Não encontrado")</f>
        <v/>
      </c>
      <c r="B5743" s="43" t="n">
        <v>-23.53068</v>
      </c>
      <c r="C5743" s="43" t="n">
        <v>-46.51993</v>
      </c>
      <c r="D5743" s="43" t="n">
        <v>106</v>
      </c>
      <c r="E5743" s="44" t="n">
        <v>11846.087</v>
      </c>
    </row>
    <row r="5744">
      <c r="A5744" s="39">
        <f>_xlfn.XLOOKUP(17854,Trip[shape_id],Trip[shape_id],"Não encontrado")</f>
        <v/>
      </c>
      <c r="B5744" s="40" t="n">
        <v>-23.530268</v>
      </c>
      <c r="C5744" s="40" t="n">
        <v>-46.519082</v>
      </c>
      <c r="D5744" s="40" t="n">
        <v>107</v>
      </c>
      <c r="E5744" s="41" t="n">
        <v>11943.969</v>
      </c>
    </row>
    <row r="5745">
      <c r="A5745" s="42">
        <f>_xlfn.XLOOKUP(17854,Trip[shape_id],Trip[shape_id],"Não encontrado")</f>
        <v/>
      </c>
      <c r="B5745" s="43" t="n">
        <v>-23.52992</v>
      </c>
      <c r="C5745" s="43" t="n">
        <v>-46.518365</v>
      </c>
      <c r="D5745" s="43" t="n">
        <v>108</v>
      </c>
      <c r="E5745" s="44" t="n">
        <v>12026.712</v>
      </c>
    </row>
    <row r="5746">
      <c r="A5746" s="39">
        <f>_xlfn.XLOOKUP(17854,Trip[shape_id],Trip[shape_id],"Não encontrado")</f>
        <v/>
      </c>
      <c r="B5746" s="40" t="n">
        <v>-23.529653</v>
      </c>
      <c r="C5746" s="40" t="n">
        <v>-46.517818</v>
      </c>
      <c r="D5746" s="40" t="n">
        <v>109</v>
      </c>
      <c r="E5746" s="41" t="n">
        <v>12089.915</v>
      </c>
    </row>
    <row r="5747">
      <c r="A5747" s="42">
        <f>_xlfn.XLOOKUP(17854,Trip[shape_id],Trip[shape_id],"Não encontrado")</f>
        <v/>
      </c>
      <c r="B5747" s="43" t="n">
        <v>-23.529273</v>
      </c>
      <c r="C5747" s="43" t="n">
        <v>-46.517014</v>
      </c>
      <c r="D5747" s="43" t="n">
        <v>110</v>
      </c>
      <c r="E5747" s="44" t="n">
        <v>12182.176</v>
      </c>
    </row>
    <row r="5748">
      <c r="A5748" s="39">
        <f>_xlfn.XLOOKUP(17854,Trip[shape_id],Trip[shape_id],"Não encontrado")</f>
        <v/>
      </c>
      <c r="B5748" s="40" t="n">
        <v>-23.529035</v>
      </c>
      <c r="C5748" s="40" t="n">
        <v>-46.516522</v>
      </c>
      <c r="D5748" s="40" t="n">
        <v>111</v>
      </c>
      <c r="E5748" s="41" t="n">
        <v>12238.913</v>
      </c>
    </row>
    <row r="5749">
      <c r="A5749" s="42">
        <f>_xlfn.XLOOKUP(17854,Trip[shape_id],Trip[shape_id],"Não encontrado")</f>
        <v/>
      </c>
      <c r="B5749" s="43" t="n">
        <v>-23.528841</v>
      </c>
      <c r="C5749" s="43" t="n">
        <v>-46.516124</v>
      </c>
      <c r="D5749" s="43" t="n">
        <v>112</v>
      </c>
      <c r="E5749" s="44" t="n">
        <v>12284.886</v>
      </c>
    </row>
    <row r="5750">
      <c r="A5750" s="39">
        <f>_xlfn.XLOOKUP(17854,Trip[shape_id],Trip[shape_id],"Não encontrado")</f>
        <v/>
      </c>
      <c r="B5750" s="40" t="n">
        <v>-23.528574</v>
      </c>
      <c r="C5750" s="40" t="n">
        <v>-46.515578</v>
      </c>
      <c r="D5750" s="40" t="n">
        <v>113</v>
      </c>
      <c r="E5750" s="41" t="n">
        <v>12347.999</v>
      </c>
    </row>
    <row r="5751">
      <c r="A5751" s="42">
        <f>_xlfn.XLOOKUP(17854,Trip[shape_id],Trip[shape_id],"Não encontrado")</f>
        <v/>
      </c>
      <c r="B5751" s="43" t="n">
        <v>-23.528307</v>
      </c>
      <c r="C5751" s="43" t="n">
        <v>-46.514999</v>
      </c>
      <c r="D5751" s="43" t="n">
        <v>114</v>
      </c>
      <c r="E5751" s="44" t="n">
        <v>12414.108</v>
      </c>
    </row>
    <row r="5752">
      <c r="A5752" s="39">
        <f>_xlfn.XLOOKUP(17854,Trip[shape_id],Trip[shape_id],"Não encontrado")</f>
        <v/>
      </c>
      <c r="B5752" s="40" t="n">
        <v>-23.528141</v>
      </c>
      <c r="C5752" s="40" t="n">
        <v>-46.514574</v>
      </c>
      <c r="D5752" s="40" t="n">
        <v>115</v>
      </c>
      <c r="E5752" s="41" t="n">
        <v>12461.242</v>
      </c>
    </row>
    <row r="5753">
      <c r="A5753" s="42">
        <f>_xlfn.XLOOKUP(17854,Trip[shape_id],Trip[shape_id],"Não encontrado")</f>
        <v/>
      </c>
      <c r="B5753" s="43" t="n">
        <v>-23.527991</v>
      </c>
      <c r="C5753" s="43" t="n">
        <v>-46.514014</v>
      </c>
      <c r="D5753" s="43" t="n">
        <v>116</v>
      </c>
      <c r="E5753" s="44" t="n">
        <v>12520.793</v>
      </c>
    </row>
    <row r="5754">
      <c r="A5754" s="39">
        <f>_xlfn.XLOOKUP(17854,Trip[shape_id],Trip[shape_id],"Não encontrado")</f>
        <v/>
      </c>
      <c r="B5754" s="40" t="n">
        <v>-23.52791</v>
      </c>
      <c r="C5754" s="40" t="n">
        <v>-46.513552</v>
      </c>
      <c r="D5754" s="40" t="n">
        <v>117</v>
      </c>
      <c r="E5754" s="41" t="n">
        <v>12568.817</v>
      </c>
    </row>
    <row r="5755">
      <c r="A5755" s="42">
        <f>_xlfn.XLOOKUP(17854,Trip[shape_id],Trip[shape_id],"Não encontrado")</f>
        <v/>
      </c>
      <c r="B5755" s="43" t="n">
        <v>-23.527899</v>
      </c>
      <c r="C5755" s="43" t="n">
        <v>-46.513484</v>
      </c>
      <c r="D5755" s="43" t="n">
        <v>118</v>
      </c>
      <c r="E5755" s="44" t="n">
        <v>12575.868</v>
      </c>
    </row>
    <row r="5756">
      <c r="A5756" s="39">
        <f>_xlfn.XLOOKUP(17854,Trip[shape_id],Trip[shape_id],"Não encontrado")</f>
        <v/>
      </c>
      <c r="B5756" s="40" t="n">
        <v>-23.52776</v>
      </c>
      <c r="C5756" s="40" t="n">
        <v>-46.512561</v>
      </c>
      <c r="D5756" s="40" t="n">
        <v>119</v>
      </c>
      <c r="E5756" s="41" t="n">
        <v>12671.373</v>
      </c>
    </row>
    <row r="5757">
      <c r="A5757" s="42">
        <f>_xlfn.XLOOKUP(17854,Trip[shape_id],Trip[shape_id],"Não encontrado")</f>
        <v/>
      </c>
      <c r="B5757" s="43" t="n">
        <v>-23.527564</v>
      </c>
      <c r="C5757" s="43" t="n">
        <v>-46.511255</v>
      </c>
      <c r="D5757" s="43" t="n">
        <v>120</v>
      </c>
      <c r="E5757" s="44" t="n">
        <v>12806.496</v>
      </c>
    </row>
    <row r="5758">
      <c r="A5758" s="39">
        <f>_xlfn.XLOOKUP(17854,Trip[shape_id],Trip[shape_id],"Não encontrado")</f>
        <v/>
      </c>
      <c r="B5758" s="40" t="n">
        <v>-23.52749</v>
      </c>
      <c r="C5758" s="40" t="n">
        <v>-46.510763</v>
      </c>
      <c r="D5758" s="40" t="n">
        <v>121</v>
      </c>
      <c r="E5758" s="41" t="n">
        <v>12857.403</v>
      </c>
    </row>
    <row r="5759">
      <c r="A5759" s="42">
        <f>_xlfn.XLOOKUP(17854,Trip[shape_id],Trip[shape_id],"Não encontrado")</f>
        <v/>
      </c>
      <c r="B5759" s="43" t="n">
        <v>-23.527353</v>
      </c>
      <c r="C5759" s="43" t="n">
        <v>-46.509862</v>
      </c>
      <c r="D5759" s="43" t="n">
        <v>122</v>
      </c>
      <c r="E5759" s="44" t="n">
        <v>12950.656</v>
      </c>
    </row>
    <row r="5760">
      <c r="A5760" s="39">
        <f>_xlfn.XLOOKUP(17854,Trip[shape_id],Trip[shape_id],"Não encontrado")</f>
        <v/>
      </c>
      <c r="B5760" s="40" t="n">
        <v>-23.527248</v>
      </c>
      <c r="C5760" s="40" t="n">
        <v>-46.509073</v>
      </c>
      <c r="D5760" s="40" t="n">
        <v>123</v>
      </c>
      <c r="E5760" s="41" t="n">
        <v>13032.063</v>
      </c>
    </row>
    <row r="5761">
      <c r="A5761" s="42">
        <f>_xlfn.XLOOKUP(17854,Trip[shape_id],Trip[shape_id],"Não encontrado")</f>
        <v/>
      </c>
      <c r="B5761" s="43" t="n">
        <v>-23.527237</v>
      </c>
      <c r="C5761" s="43" t="n">
        <v>-46.508366</v>
      </c>
      <c r="D5761" s="43" t="n">
        <v>124</v>
      </c>
      <c r="E5761" s="44" t="n">
        <v>13104.272</v>
      </c>
    </row>
    <row r="5762">
      <c r="A5762" s="39">
        <f>_xlfn.XLOOKUP(17854,Trip[shape_id],Trip[shape_id],"Não encontrado")</f>
        <v/>
      </c>
      <c r="B5762" s="40" t="n">
        <v>-23.527336</v>
      </c>
      <c r="C5762" s="40" t="n">
        <v>-46.507593</v>
      </c>
      <c r="D5762" s="40" t="n">
        <v>125</v>
      </c>
      <c r="E5762" s="41" t="n">
        <v>13183.969</v>
      </c>
    </row>
    <row r="5763">
      <c r="A5763" s="42">
        <f>_xlfn.XLOOKUP(17854,Trip[shape_id],Trip[shape_id],"Não encontrado")</f>
        <v/>
      </c>
      <c r="B5763" s="43" t="n">
        <v>-23.527607</v>
      </c>
      <c r="C5763" s="43" t="n">
        <v>-46.506687</v>
      </c>
      <c r="D5763" s="43" t="n">
        <v>126</v>
      </c>
      <c r="E5763" s="44" t="n">
        <v>13281.235</v>
      </c>
    </row>
    <row r="5764">
      <c r="A5764" s="39">
        <f>_xlfn.XLOOKUP(17854,Trip[shape_id],Trip[shape_id],"Não encontrado")</f>
        <v/>
      </c>
      <c r="B5764" s="40" t="n">
        <v>-23.527819</v>
      </c>
      <c r="C5764" s="40" t="n">
        <v>-46.506219</v>
      </c>
      <c r="D5764" s="40" t="n">
        <v>127</v>
      </c>
      <c r="E5764" s="41" t="n">
        <v>13334.483</v>
      </c>
    </row>
    <row r="5765">
      <c r="A5765" s="42">
        <f>_xlfn.XLOOKUP(17854,Trip[shape_id],Trip[shape_id],"Não encontrado")</f>
        <v/>
      </c>
      <c r="B5765" s="43" t="n">
        <v>-23.527907</v>
      </c>
      <c r="C5765" s="43" t="n">
        <v>-46.50603</v>
      </c>
      <c r="D5765" s="43" t="n">
        <v>128</v>
      </c>
      <c r="E5765" s="44" t="n">
        <v>13356.105</v>
      </c>
    </row>
    <row r="5766">
      <c r="A5766" s="39">
        <f>_xlfn.XLOOKUP(17854,Trip[shape_id],Trip[shape_id],"Não encontrado")</f>
        <v/>
      </c>
      <c r="B5766" s="40" t="n">
        <v>-23.528111</v>
      </c>
      <c r="C5766" s="40" t="n">
        <v>-46.505635</v>
      </c>
      <c r="D5766" s="40" t="n">
        <v>129</v>
      </c>
      <c r="E5766" s="41" t="n">
        <v>13402.339</v>
      </c>
    </row>
    <row r="5767">
      <c r="A5767" s="42">
        <f>_xlfn.XLOOKUP(17854,Trip[shape_id],Trip[shape_id],"Não encontrado")</f>
        <v/>
      </c>
      <c r="B5767" s="43" t="n">
        <v>-23.529118</v>
      </c>
      <c r="C5767" s="43" t="n">
        <v>-46.504071</v>
      </c>
      <c r="D5767" s="43" t="n">
        <v>130</v>
      </c>
      <c r="E5767" s="44" t="n">
        <v>13597.139</v>
      </c>
    </row>
    <row r="5768">
      <c r="A5768" s="39">
        <f>_xlfn.XLOOKUP(17854,Trip[shape_id],Trip[shape_id],"Não encontrado")</f>
        <v/>
      </c>
      <c r="B5768" s="40" t="n">
        <v>-23.529305</v>
      </c>
      <c r="C5768" s="40" t="n">
        <v>-46.503781</v>
      </c>
      <c r="D5768" s="40" t="n">
        <v>131</v>
      </c>
      <c r="E5768" s="41" t="n">
        <v>13633.276</v>
      </c>
    </row>
    <row r="5769">
      <c r="A5769" s="42">
        <f>_xlfn.XLOOKUP(17854,Trip[shape_id],Trip[shape_id],"Não encontrado")</f>
        <v/>
      </c>
      <c r="B5769" s="43" t="n">
        <v>-23.529412</v>
      </c>
      <c r="C5769" s="43" t="n">
        <v>-46.503617</v>
      </c>
      <c r="D5769" s="43" t="n">
        <v>132</v>
      </c>
      <c r="E5769" s="44" t="n">
        <v>13653.793</v>
      </c>
    </row>
    <row r="5770">
      <c r="A5770" s="39">
        <f>_xlfn.XLOOKUP(17854,Trip[shape_id],Trip[shape_id],"Não encontrado")</f>
        <v/>
      </c>
      <c r="B5770" s="40" t="n">
        <v>-23.529491</v>
      </c>
      <c r="C5770" s="40" t="n">
        <v>-46.503501</v>
      </c>
      <c r="D5770" s="40" t="n">
        <v>133</v>
      </c>
      <c r="E5770" s="41" t="n">
        <v>13668.52</v>
      </c>
    </row>
    <row r="5771">
      <c r="A5771" s="42">
        <f>_xlfn.XLOOKUP(17854,Trip[shape_id],Trip[shape_id],"Não encontrado")</f>
        <v/>
      </c>
      <c r="B5771" s="43" t="n">
        <v>-23.52994</v>
      </c>
      <c r="C5771" s="43" t="n">
        <v>-46.502834</v>
      </c>
      <c r="D5771" s="43" t="n">
        <v>134</v>
      </c>
      <c r="E5771" s="44" t="n">
        <v>13752.854</v>
      </c>
    </row>
    <row r="5772">
      <c r="A5772" s="39">
        <f>_xlfn.XLOOKUP(17854,Trip[shape_id],Trip[shape_id],"Não encontrado")</f>
        <v/>
      </c>
      <c r="B5772" s="40" t="n">
        <v>-23.530307</v>
      </c>
      <c r="C5772" s="40" t="n">
        <v>-46.502294</v>
      </c>
      <c r="D5772" s="40" t="n">
        <v>135</v>
      </c>
      <c r="E5772" s="41" t="n">
        <v>13821.358</v>
      </c>
    </row>
    <row r="5773">
      <c r="A5773" s="42">
        <f>_xlfn.XLOOKUP(17854,Trip[shape_id],Trip[shape_id],"Não encontrado")</f>
        <v/>
      </c>
      <c r="B5773" s="43" t="n">
        <v>-23.531159</v>
      </c>
      <c r="C5773" s="43" t="n">
        <v>-46.500992</v>
      </c>
      <c r="D5773" s="43" t="n">
        <v>136</v>
      </c>
      <c r="E5773" s="44" t="n">
        <v>13984.396</v>
      </c>
    </row>
    <row r="5774">
      <c r="A5774" s="39">
        <f>_xlfn.XLOOKUP(17854,Trip[shape_id],Trip[shape_id],"Não encontrado")</f>
        <v/>
      </c>
      <c r="B5774" s="40" t="n">
        <v>-23.53143</v>
      </c>
      <c r="C5774" s="40" t="n">
        <v>-46.500581</v>
      </c>
      <c r="D5774" s="40" t="n">
        <v>137</v>
      </c>
      <c r="E5774" s="41" t="n">
        <v>14035.994</v>
      </c>
    </row>
    <row r="5775">
      <c r="A5775" s="42">
        <f>_xlfn.XLOOKUP(17854,Trip[shape_id],Trip[shape_id],"Não encontrado")</f>
        <v/>
      </c>
      <c r="B5775" s="43" t="n">
        <v>-23.532005</v>
      </c>
      <c r="C5775" s="43" t="n">
        <v>-46.499704</v>
      </c>
      <c r="D5775" s="43" t="n">
        <v>138</v>
      </c>
      <c r="E5775" s="44" t="n">
        <v>14145.884</v>
      </c>
    </row>
    <row r="5776">
      <c r="A5776" s="39">
        <f>_xlfn.XLOOKUP(17854,Trip[shape_id],Trip[shape_id],"Não encontrado")</f>
        <v/>
      </c>
      <c r="B5776" s="40" t="n">
        <v>-23.53237</v>
      </c>
      <c r="C5776" s="40" t="n">
        <v>-46.499143</v>
      </c>
      <c r="D5776" s="40" t="n">
        <v>139</v>
      </c>
      <c r="E5776" s="41" t="n">
        <v>14215.997</v>
      </c>
    </row>
    <row r="5777">
      <c r="A5777" s="42">
        <f>_xlfn.XLOOKUP(17854,Trip[shape_id],Trip[shape_id],"Não encontrado")</f>
        <v/>
      </c>
      <c r="B5777" s="43" t="n">
        <v>-23.532905</v>
      </c>
      <c r="C5777" s="43" t="n">
        <v>-46.498324</v>
      </c>
      <c r="D5777" s="43" t="n">
        <v>140</v>
      </c>
      <c r="E5777" s="44" t="n">
        <v>14318.492</v>
      </c>
    </row>
    <row r="5778">
      <c r="A5778" s="39">
        <f>_xlfn.XLOOKUP(17854,Trip[shape_id],Trip[shape_id],"Não encontrado")</f>
        <v/>
      </c>
      <c r="B5778" s="40" t="n">
        <v>-23.533127</v>
      </c>
      <c r="C5778" s="40" t="n">
        <v>-46.497986</v>
      </c>
      <c r="D5778" s="40" t="n">
        <v>141</v>
      </c>
      <c r="E5778" s="41" t="n">
        <v>14360.869</v>
      </c>
    </row>
    <row r="5779">
      <c r="A5779" s="42">
        <f>_xlfn.XLOOKUP(17854,Trip[shape_id],Trip[shape_id],"Não encontrado")</f>
        <v/>
      </c>
      <c r="B5779" s="43" t="n">
        <v>-23.53327</v>
      </c>
      <c r="C5779" s="43" t="n">
        <v>-46.497772</v>
      </c>
      <c r="D5779" s="43" t="n">
        <v>142</v>
      </c>
      <c r="E5779" s="44" t="n">
        <v>14387.857</v>
      </c>
    </row>
    <row r="5780">
      <c r="A5780" s="39">
        <f>_xlfn.XLOOKUP(17854,Trip[shape_id],Trip[shape_id],"Não encontrado")</f>
        <v/>
      </c>
      <c r="B5780" s="40" t="n">
        <v>-23.53358</v>
      </c>
      <c r="C5780" s="40" t="n">
        <v>-46.497376</v>
      </c>
      <c r="D5780" s="40" t="n">
        <v>143</v>
      </c>
      <c r="E5780" s="41" t="n">
        <v>14440.904</v>
      </c>
    </row>
    <row r="5781">
      <c r="A5781" s="42">
        <f>_xlfn.XLOOKUP(17854,Trip[shape_id],Trip[shape_id],"Não encontrado")</f>
        <v/>
      </c>
      <c r="B5781" s="43" t="n">
        <v>-23.533621</v>
      </c>
      <c r="C5781" s="43" t="n">
        <v>-46.497326</v>
      </c>
      <c r="D5781" s="43" t="n">
        <v>144</v>
      </c>
      <c r="E5781" s="44" t="n">
        <v>14447.737</v>
      </c>
    </row>
    <row r="5782">
      <c r="A5782" s="39">
        <f>_xlfn.XLOOKUP(17854,Trip[shape_id],Trip[shape_id],"Não encontrado")</f>
        <v/>
      </c>
      <c r="B5782" s="40" t="n">
        <v>-23.534393</v>
      </c>
      <c r="C5782" s="40" t="n">
        <v>-46.496436</v>
      </c>
      <c r="D5782" s="40" t="n">
        <v>145</v>
      </c>
      <c r="E5782" s="41" t="n">
        <v>14572.517</v>
      </c>
    </row>
    <row r="5783">
      <c r="A5783" s="42">
        <f>_xlfn.XLOOKUP(17854,Trip[shape_id],Trip[shape_id],"Não encontrado")</f>
        <v/>
      </c>
      <c r="B5783" s="43" t="n">
        <v>-23.534685</v>
      </c>
      <c r="C5783" s="43" t="n">
        <v>-46.495996</v>
      </c>
      <c r="D5783" s="43" t="n">
        <v>146</v>
      </c>
      <c r="E5783" s="44" t="n">
        <v>14627.875</v>
      </c>
    </row>
    <row r="5784">
      <c r="A5784" s="39">
        <f>_xlfn.XLOOKUP(17854,Trip[shape_id],Trip[shape_id],"Não encontrado")</f>
        <v/>
      </c>
      <c r="B5784" s="40" t="n">
        <v>-23.534936</v>
      </c>
      <c r="C5784" s="40" t="n">
        <v>-46.495531</v>
      </c>
      <c r="D5784" s="40" t="n">
        <v>147</v>
      </c>
      <c r="E5784" s="41" t="n">
        <v>14682.896</v>
      </c>
    </row>
    <row r="5785">
      <c r="A5785" s="42">
        <f>_xlfn.XLOOKUP(17854,Trip[shape_id],Trip[shape_id],"Não encontrado")</f>
        <v/>
      </c>
      <c r="B5785" s="43" t="n">
        <v>-23.535069</v>
      </c>
      <c r="C5785" s="43" t="n">
        <v>-46.495199</v>
      </c>
      <c r="D5785" s="43" t="n">
        <v>148</v>
      </c>
      <c r="E5785" s="44" t="n">
        <v>14719.86</v>
      </c>
    </row>
    <row r="5786">
      <c r="A5786" s="39">
        <f>_xlfn.XLOOKUP(17854,Trip[shape_id],Trip[shape_id],"Não encontrado")</f>
        <v/>
      </c>
      <c r="B5786" s="40" t="n">
        <v>-23.535184</v>
      </c>
      <c r="C5786" s="40" t="n">
        <v>-46.494787</v>
      </c>
      <c r="D5786" s="40" t="n">
        <v>149</v>
      </c>
      <c r="E5786" s="41" t="n">
        <v>14763.817</v>
      </c>
    </row>
    <row r="5787">
      <c r="A5787" s="42">
        <f>_xlfn.XLOOKUP(17854,Trip[shape_id],Trip[shape_id],"Não encontrado")</f>
        <v/>
      </c>
      <c r="B5787" s="43" t="n">
        <v>-23.535295</v>
      </c>
      <c r="C5787" s="43" t="n">
        <v>-46.494195</v>
      </c>
      <c r="D5787" s="43" t="n">
        <v>150</v>
      </c>
      <c r="E5787" s="44" t="n">
        <v>14825.506</v>
      </c>
    </row>
    <row r="5788">
      <c r="A5788" s="39">
        <f>_xlfn.XLOOKUP(17854,Trip[shape_id],Trip[shape_id],"Não encontrado")</f>
        <v/>
      </c>
      <c r="B5788" s="40" t="n">
        <v>-23.535483</v>
      </c>
      <c r="C5788" s="40" t="n">
        <v>-46.49244</v>
      </c>
      <c r="D5788" s="40" t="n">
        <v>151</v>
      </c>
      <c r="E5788" s="41" t="n">
        <v>15005.921</v>
      </c>
    </row>
    <row r="5789">
      <c r="A5789" s="42">
        <f>_xlfn.XLOOKUP(17854,Trip[shape_id],Trip[shape_id],"Não encontrado")</f>
        <v/>
      </c>
      <c r="B5789" s="43" t="n">
        <v>-23.535605</v>
      </c>
      <c r="C5789" s="43" t="n">
        <v>-46.491296</v>
      </c>
      <c r="D5789" s="43" t="n">
        <v>152</v>
      </c>
      <c r="E5789" s="44" t="n">
        <v>15123.518</v>
      </c>
    </row>
    <row r="5790">
      <c r="A5790" s="39">
        <f>_xlfn.XLOOKUP(17854,Trip[shape_id],Trip[shape_id],"Não encontrado")</f>
        <v/>
      </c>
      <c r="B5790" s="40" t="n">
        <v>-23.535632</v>
      </c>
      <c r="C5790" s="40" t="n">
        <v>-46.490359</v>
      </c>
      <c r="D5790" s="40" t="n">
        <v>153</v>
      </c>
      <c r="E5790" s="41" t="n">
        <v>15219.245</v>
      </c>
    </row>
    <row r="5791">
      <c r="A5791" s="42">
        <f>_xlfn.XLOOKUP(17854,Trip[shape_id],Trip[shape_id],"Não encontrado")</f>
        <v/>
      </c>
      <c r="B5791" s="43" t="n">
        <v>-23.535505</v>
      </c>
      <c r="C5791" s="43" t="n">
        <v>-46.48917</v>
      </c>
      <c r="D5791" s="43" t="n">
        <v>154</v>
      </c>
      <c r="E5791" s="44" t="n">
        <v>15341.471</v>
      </c>
    </row>
    <row r="5792">
      <c r="A5792" s="39">
        <f>_xlfn.XLOOKUP(17854,Trip[shape_id],Trip[shape_id],"Não encontrado")</f>
        <v/>
      </c>
      <c r="B5792" s="40" t="n">
        <v>-23.535468</v>
      </c>
      <c r="C5792" s="40" t="n">
        <v>-46.488773</v>
      </c>
      <c r="D5792" s="40" t="n">
        <v>155</v>
      </c>
      <c r="E5792" s="41" t="n">
        <v>15382.217</v>
      </c>
    </row>
    <row r="5793">
      <c r="A5793" s="42">
        <f>_xlfn.XLOOKUP(17854,Trip[shape_id],Trip[shape_id],"Não encontrado")</f>
        <v/>
      </c>
      <c r="B5793" s="43" t="n">
        <v>-23.535437</v>
      </c>
      <c r="C5793" s="43" t="n">
        <v>-46.488407</v>
      </c>
      <c r="D5793" s="43" t="n">
        <v>156</v>
      </c>
      <c r="E5793" s="44" t="n">
        <v>15419.748</v>
      </c>
    </row>
    <row r="5794">
      <c r="A5794" s="39">
        <f>_xlfn.XLOOKUP(17854,Trip[shape_id],Trip[shape_id],"Não encontrado")</f>
        <v/>
      </c>
      <c r="B5794" s="40" t="n">
        <v>-23.53551</v>
      </c>
      <c r="C5794" s="40" t="n">
        <v>-46.487983</v>
      </c>
      <c r="D5794" s="40" t="n">
        <v>157</v>
      </c>
      <c r="E5794" s="41" t="n">
        <v>15463.793</v>
      </c>
    </row>
    <row r="5795">
      <c r="A5795" s="42">
        <f>_xlfn.XLOOKUP(17854,Trip[shape_id],Trip[shape_id],"Não encontrado")</f>
        <v/>
      </c>
      <c r="B5795" s="43" t="n">
        <v>-23.5356</v>
      </c>
      <c r="C5795" s="43" t="n">
        <v>-46.487654</v>
      </c>
      <c r="D5795" s="43" t="n">
        <v>158</v>
      </c>
      <c r="E5795" s="44" t="n">
        <v>15498.836</v>
      </c>
    </row>
    <row r="5796">
      <c r="A5796" s="39">
        <f>_xlfn.XLOOKUP(17854,Trip[shape_id],Trip[shape_id],"Não encontrado")</f>
        <v/>
      </c>
      <c r="B5796" s="40" t="n">
        <v>-23.535673</v>
      </c>
      <c r="C5796" s="40" t="n">
        <v>-46.48752</v>
      </c>
      <c r="D5796" s="40" t="n">
        <v>159</v>
      </c>
      <c r="E5796" s="41" t="n">
        <v>15514.729</v>
      </c>
    </row>
    <row r="5797">
      <c r="A5797" s="42">
        <f>_xlfn.XLOOKUP(17854,Trip[shape_id],Trip[shape_id],"Não encontrado")</f>
        <v/>
      </c>
      <c r="B5797" s="43" t="n">
        <v>-23.535827</v>
      </c>
      <c r="C5797" s="43" t="n">
        <v>-46.487243</v>
      </c>
      <c r="D5797" s="43" t="n">
        <v>160</v>
      </c>
      <c r="E5797" s="44" t="n">
        <v>15547.758</v>
      </c>
    </row>
    <row r="5798">
      <c r="A5798" s="39">
        <f>_xlfn.XLOOKUP(17854,Trip[shape_id],Trip[shape_id],"Não encontrado")</f>
        <v/>
      </c>
      <c r="B5798" s="40" t="n">
        <v>-23.536138</v>
      </c>
      <c r="C5798" s="40" t="n">
        <v>-46.486885</v>
      </c>
      <c r="D5798" s="40" t="n">
        <v>161</v>
      </c>
      <c r="E5798" s="41" t="n">
        <v>15597.984</v>
      </c>
    </row>
    <row r="5799">
      <c r="A5799" s="42">
        <f>_xlfn.XLOOKUP(17854,Trip[shape_id],Trip[shape_id],"Não encontrado")</f>
        <v/>
      </c>
      <c r="B5799" s="43" t="n">
        <v>-23.536418</v>
      </c>
      <c r="C5799" s="43" t="n">
        <v>-46.486673</v>
      </c>
      <c r="D5799" s="43" t="n">
        <v>162</v>
      </c>
      <c r="E5799" s="44" t="n">
        <v>15635.804</v>
      </c>
    </row>
    <row r="5800">
      <c r="A5800" s="39">
        <f>_xlfn.XLOOKUP(17854,Trip[shape_id],Trip[shape_id],"Não encontrado")</f>
        <v/>
      </c>
      <c r="B5800" s="40" t="n">
        <v>-23.536971</v>
      </c>
      <c r="C5800" s="40" t="n">
        <v>-46.486452</v>
      </c>
      <c r="D5800" s="40" t="n">
        <v>163</v>
      </c>
      <c r="E5800" s="41" t="n">
        <v>15701.074</v>
      </c>
    </row>
    <row r="5801">
      <c r="A5801" s="42">
        <f>_xlfn.XLOOKUP(17854,Trip[shape_id],Trip[shape_id],"Não encontrado")</f>
        <v/>
      </c>
      <c r="B5801" s="43" t="n">
        <v>-23.537045</v>
      </c>
      <c r="C5801" s="43" t="n">
        <v>-46.486425</v>
      </c>
      <c r="D5801" s="43" t="n">
        <v>164</v>
      </c>
      <c r="E5801" s="44" t="n">
        <v>15709.722</v>
      </c>
    </row>
    <row r="5802">
      <c r="A5802" s="39">
        <f>_xlfn.XLOOKUP(17854,Trip[shape_id],Trip[shape_id],"Não encontrado")</f>
        <v/>
      </c>
      <c r="B5802" s="40" t="n">
        <v>-23.537995</v>
      </c>
      <c r="C5802" s="40" t="n">
        <v>-46.486107</v>
      </c>
      <c r="D5802" s="40" t="n">
        <v>165</v>
      </c>
      <c r="E5802" s="41" t="n">
        <v>15819.832</v>
      </c>
    </row>
    <row r="5803">
      <c r="A5803" s="42">
        <f>_xlfn.XLOOKUP(17854,Trip[shape_id],Trip[shape_id],"Não encontrado")</f>
        <v/>
      </c>
      <c r="B5803" s="43" t="n">
        <v>-23.538113</v>
      </c>
      <c r="C5803" s="43" t="n">
        <v>-46.486069</v>
      </c>
      <c r="D5803" s="43" t="n">
        <v>166</v>
      </c>
      <c r="E5803" s="44" t="n">
        <v>15833.465</v>
      </c>
    </row>
    <row r="5804">
      <c r="A5804" s="39">
        <f>_xlfn.XLOOKUP(17854,Trip[shape_id],Trip[shape_id],"Não encontrado")</f>
        <v/>
      </c>
      <c r="B5804" s="40" t="n">
        <v>-23.538806</v>
      </c>
      <c r="C5804" s="40" t="n">
        <v>-46.485747</v>
      </c>
      <c r="D5804" s="40" t="n">
        <v>167</v>
      </c>
      <c r="E5804" s="41" t="n">
        <v>15916.962</v>
      </c>
    </row>
    <row r="5805">
      <c r="A5805" s="42">
        <f>_xlfn.XLOOKUP(17854,Trip[shape_id],Trip[shape_id],"Não encontrado")</f>
        <v/>
      </c>
      <c r="B5805" s="43" t="n">
        <v>-23.53938</v>
      </c>
      <c r="C5805" s="43" t="n">
        <v>-46.485265</v>
      </c>
      <c r="D5805" s="43" t="n">
        <v>168</v>
      </c>
      <c r="E5805" s="44" t="n">
        <v>15997.359</v>
      </c>
    </row>
    <row r="5806">
      <c r="A5806" s="39">
        <f>_xlfn.XLOOKUP(17854,Trip[shape_id],Trip[shape_id],"Não encontrado")</f>
        <v/>
      </c>
      <c r="B5806" s="40" t="n">
        <v>-23.540041</v>
      </c>
      <c r="C5806" s="40" t="n">
        <v>-46.484569</v>
      </c>
      <c r="D5806" s="40" t="n">
        <v>169</v>
      </c>
      <c r="E5806" s="41" t="n">
        <v>16099.389</v>
      </c>
    </row>
    <row r="5807">
      <c r="A5807" s="42">
        <f>_xlfn.XLOOKUP(17854,Trip[shape_id],Trip[shape_id],"Não encontrado")</f>
        <v/>
      </c>
      <c r="B5807" s="43" t="n">
        <v>-23.540321</v>
      </c>
      <c r="C5807" s="43" t="n">
        <v>-46.48428</v>
      </c>
      <c r="D5807" s="43" t="n">
        <v>170</v>
      </c>
      <c r="E5807" s="44" t="n">
        <v>16142.196</v>
      </c>
    </row>
    <row r="5808">
      <c r="A5808" s="39">
        <f>_xlfn.XLOOKUP(17854,Trip[shape_id],Trip[shape_id],"Não encontrado")</f>
        <v/>
      </c>
      <c r="B5808" s="40" t="n">
        <v>-23.540483</v>
      </c>
      <c r="C5808" s="40" t="n">
        <v>-46.484115</v>
      </c>
      <c r="D5808" s="40" t="n">
        <v>171</v>
      </c>
      <c r="E5808" s="41" t="n">
        <v>16166.809</v>
      </c>
    </row>
    <row r="5809">
      <c r="A5809" s="42">
        <f>_xlfn.XLOOKUP(17854,Trip[shape_id],Trip[shape_id],"Não encontrado")</f>
        <v/>
      </c>
      <c r="B5809" s="43" t="n">
        <v>-23.54087</v>
      </c>
      <c r="C5809" s="43" t="n">
        <v>-46.483723</v>
      </c>
      <c r="D5809" s="43" t="n">
        <v>172</v>
      </c>
      <c r="E5809" s="44" t="n">
        <v>16225.453</v>
      </c>
    </row>
    <row r="5810">
      <c r="A5810" s="39">
        <f>_xlfn.XLOOKUP(17854,Trip[shape_id],Trip[shape_id],"Não encontrado")</f>
        <v/>
      </c>
      <c r="B5810" s="40" t="n">
        <v>-23.541195</v>
      </c>
      <c r="C5810" s="40" t="n">
        <v>-46.483248</v>
      </c>
      <c r="D5810" s="40" t="n">
        <v>173</v>
      </c>
      <c r="E5810" s="41" t="n">
        <v>16285.852</v>
      </c>
    </row>
    <row r="5811">
      <c r="A5811" s="42">
        <f>_xlfn.XLOOKUP(17854,Trip[shape_id],Trip[shape_id],"Não encontrado")</f>
        <v/>
      </c>
      <c r="B5811" s="43" t="n">
        <v>-23.541425</v>
      </c>
      <c r="C5811" s="43" t="n">
        <v>-46.482917</v>
      </c>
      <c r="D5811" s="43" t="n">
        <v>174</v>
      </c>
      <c r="E5811" s="44" t="n">
        <v>16328.174</v>
      </c>
    </row>
    <row r="5812">
      <c r="A5812" s="39">
        <f>_xlfn.XLOOKUP(17854,Trip[shape_id],Trip[shape_id],"Não encontrado")</f>
        <v/>
      </c>
      <c r="B5812" s="40" t="n">
        <v>-23.54169</v>
      </c>
      <c r="C5812" s="40" t="n">
        <v>-46.482245</v>
      </c>
      <c r="D5812" s="40" t="n">
        <v>175</v>
      </c>
      <c r="E5812" s="41" t="n">
        <v>16402.805</v>
      </c>
    </row>
    <row r="5813">
      <c r="A5813" s="42">
        <f>_xlfn.XLOOKUP(17854,Trip[shape_id],Trip[shape_id],"Não encontrado")</f>
        <v/>
      </c>
      <c r="B5813" s="43" t="n">
        <v>-23.541868</v>
      </c>
      <c r="C5813" s="43" t="n">
        <v>-46.481553</v>
      </c>
      <c r="D5813" s="43" t="n">
        <v>176</v>
      </c>
      <c r="E5813" s="44" t="n">
        <v>16476.162</v>
      </c>
    </row>
    <row r="5814">
      <c r="A5814" s="39">
        <f>_xlfn.XLOOKUP(17854,Trip[shape_id],Trip[shape_id],"Não encontrado")</f>
        <v/>
      </c>
      <c r="B5814" s="40" t="n">
        <v>-23.541935</v>
      </c>
      <c r="C5814" s="40" t="n">
        <v>-46.481298</v>
      </c>
      <c r="D5814" s="40" t="n">
        <v>177</v>
      </c>
      <c r="E5814" s="41" t="n">
        <v>16503.236</v>
      </c>
    </row>
    <row r="5815">
      <c r="A5815" s="42">
        <f>_xlfn.XLOOKUP(17854,Trip[shape_id],Trip[shape_id],"Não encontrado")</f>
        <v/>
      </c>
      <c r="B5815" s="43" t="n">
        <v>-23.542021</v>
      </c>
      <c r="C5815" s="43" t="n">
        <v>-46.480907</v>
      </c>
      <c r="D5815" s="43" t="n">
        <v>178</v>
      </c>
      <c r="E5815" s="44" t="n">
        <v>16544.281</v>
      </c>
    </row>
    <row r="5816">
      <c r="A5816" s="39">
        <f>_xlfn.XLOOKUP(17854,Trip[shape_id],Trip[shape_id],"Não encontrado")</f>
        <v/>
      </c>
      <c r="B5816" s="40" t="n">
        <v>-23.542139</v>
      </c>
      <c r="C5816" s="40" t="n">
        <v>-46.480381</v>
      </c>
      <c r="D5816" s="40" t="n">
        <v>179</v>
      </c>
      <c r="E5816" s="41" t="n">
        <v>16599.557</v>
      </c>
    </row>
    <row r="5817">
      <c r="A5817" s="42">
        <f>_xlfn.XLOOKUP(17854,Trip[shape_id],Trip[shape_id],"Não encontrado")</f>
        <v/>
      </c>
      <c r="B5817" s="43" t="n">
        <v>-23.542297</v>
      </c>
      <c r="C5817" s="43" t="n">
        <v>-46.479679</v>
      </c>
      <c r="D5817" s="43" t="n">
        <v>180</v>
      </c>
      <c r="E5817" s="44" t="n">
        <v>16673.342</v>
      </c>
    </row>
    <row r="5818">
      <c r="A5818" s="39">
        <f>_xlfn.XLOOKUP(17854,Trip[shape_id],Trip[shape_id],"Não encontrado")</f>
        <v/>
      </c>
      <c r="B5818" s="40" t="n">
        <v>-23.542526</v>
      </c>
      <c r="C5818" s="40" t="n">
        <v>-46.478657</v>
      </c>
      <c r="D5818" s="40" t="n">
        <v>181</v>
      </c>
      <c r="E5818" s="41" t="n">
        <v>16780.734</v>
      </c>
    </row>
    <row r="5819">
      <c r="A5819" s="42">
        <f>_xlfn.XLOOKUP(17854,Trip[shape_id],Trip[shape_id],"Não encontrado")</f>
        <v/>
      </c>
      <c r="B5819" s="43" t="n">
        <v>-23.542684</v>
      </c>
      <c r="C5819" s="43" t="n">
        <v>-46.477873</v>
      </c>
      <c r="D5819" s="43" t="n">
        <v>182</v>
      </c>
      <c r="E5819" s="44" t="n">
        <v>16862.678</v>
      </c>
    </row>
    <row r="5820">
      <c r="A5820" s="39">
        <f>_xlfn.XLOOKUP(17854,Trip[shape_id],Trip[shape_id],"Não encontrado")</f>
        <v/>
      </c>
      <c r="B5820" s="40" t="n">
        <v>-23.542707</v>
      </c>
      <c r="C5820" s="40" t="n">
        <v>-46.477751</v>
      </c>
      <c r="D5820" s="40" t="n">
        <v>183</v>
      </c>
      <c r="E5820" s="41" t="n">
        <v>16875.393</v>
      </c>
    </row>
    <row r="5821">
      <c r="A5821" s="42">
        <f>_xlfn.XLOOKUP(17854,Trip[shape_id],Trip[shape_id],"Não encontrado")</f>
        <v/>
      </c>
      <c r="B5821" s="43" t="n">
        <v>-23.54279</v>
      </c>
      <c r="C5821" s="43" t="n">
        <v>-46.477237</v>
      </c>
      <c r="D5821" s="43" t="n">
        <v>184</v>
      </c>
      <c r="E5821" s="44" t="n">
        <v>16928.676</v>
      </c>
    </row>
    <row r="5822">
      <c r="A5822" s="39">
        <f>_xlfn.XLOOKUP(17854,Trip[shape_id],Trip[shape_id],"Não encontrado")</f>
        <v/>
      </c>
      <c r="B5822" s="40" t="n">
        <v>-23.542841</v>
      </c>
      <c r="C5822" s="40" t="n">
        <v>-46.476264</v>
      </c>
      <c r="D5822" s="40" t="n">
        <v>185</v>
      </c>
      <c r="E5822" s="41" t="n">
        <v>17028.188</v>
      </c>
    </row>
    <row r="5823">
      <c r="A5823" s="42">
        <f>_xlfn.XLOOKUP(17854,Trip[shape_id],Trip[shape_id],"Não encontrado")</f>
        <v/>
      </c>
      <c r="B5823" s="43" t="n">
        <v>-23.542738</v>
      </c>
      <c r="C5823" s="43" t="n">
        <v>-46.47551</v>
      </c>
      <c r="D5823" s="43" t="n">
        <v>186</v>
      </c>
      <c r="E5823" s="44" t="n">
        <v>17106.018</v>
      </c>
    </row>
    <row r="5824">
      <c r="A5824" s="39">
        <f>_xlfn.XLOOKUP(17854,Trip[shape_id],Trip[shape_id],"Não encontrado")</f>
        <v/>
      </c>
      <c r="B5824" s="40" t="n">
        <v>-23.542538</v>
      </c>
      <c r="C5824" s="40" t="n">
        <v>-46.474347</v>
      </c>
      <c r="D5824" s="40" t="n">
        <v>187</v>
      </c>
      <c r="E5824" s="41" t="n">
        <v>17226.818</v>
      </c>
    </row>
    <row r="5825">
      <c r="A5825" s="42">
        <f>_xlfn.XLOOKUP(17854,Trip[shape_id],Trip[shape_id],"Não encontrado")</f>
        <v/>
      </c>
      <c r="B5825" s="43" t="n">
        <v>-23.542343</v>
      </c>
      <c r="C5825" s="43" t="n">
        <v>-46.473571</v>
      </c>
      <c r="D5825" s="43" t="n">
        <v>188</v>
      </c>
      <c r="E5825" s="44" t="n">
        <v>17308.945</v>
      </c>
    </row>
    <row r="5826">
      <c r="A5826" s="39">
        <f>_xlfn.XLOOKUP(17854,Trip[shape_id],Trip[shape_id],"Não encontrado")</f>
        <v/>
      </c>
      <c r="B5826" s="40" t="n">
        <v>-23.541994</v>
      </c>
      <c r="C5826" s="40" t="n">
        <v>-46.471602</v>
      </c>
      <c r="D5826" s="40" t="n">
        <v>189</v>
      </c>
      <c r="E5826" s="41" t="n">
        <v>17513.68</v>
      </c>
    </row>
    <row r="5827">
      <c r="A5827" s="42">
        <f>_xlfn.XLOOKUP(17854,Trip[shape_id],Trip[shape_id],"Não encontrado")</f>
        <v/>
      </c>
      <c r="B5827" s="43" t="n">
        <v>-23.541986</v>
      </c>
      <c r="C5827" s="43" t="n">
        <v>-46.471267</v>
      </c>
      <c r="D5827" s="43" t="n">
        <v>190</v>
      </c>
      <c r="E5827" s="44" t="n">
        <v>17547.898</v>
      </c>
    </row>
    <row r="5828">
      <c r="A5828" s="39">
        <f>_xlfn.XLOOKUP(17854,Trip[shape_id],Trip[shape_id],"Não encontrado")</f>
        <v/>
      </c>
      <c r="B5828" s="40" t="n">
        <v>-23.541942</v>
      </c>
      <c r="C5828" s="40" t="n">
        <v>-46.471006</v>
      </c>
      <c r="D5828" s="40" t="n">
        <v>191</v>
      </c>
      <c r="E5828" s="41" t="n">
        <v>17679.795</v>
      </c>
    </row>
    <row r="5829">
      <c r="A5829" s="42">
        <f>_xlfn.XLOOKUP(17854,Trip[shape_id],Trip[shape_id],"Não encontrado")</f>
        <v/>
      </c>
      <c r="B5829" s="43" t="n">
        <v>-23.541784</v>
      </c>
      <c r="C5829" s="43" t="n">
        <v>-46.469994</v>
      </c>
      <c r="D5829" s="43" t="n">
        <v>192</v>
      </c>
      <c r="E5829" s="44" t="n">
        <v>17863.246</v>
      </c>
    </row>
    <row r="5830">
      <c r="A5830" s="39">
        <f>_xlfn.XLOOKUP(17854,Trip[shape_id],Trip[shape_id],"Não encontrado")</f>
        <v/>
      </c>
      <c r="B5830" s="40" t="n">
        <v>-23.541566</v>
      </c>
      <c r="C5830" s="40" t="n">
        <v>-46.468213</v>
      </c>
      <c r="D5830" s="40" t="n">
        <v>193</v>
      </c>
      <c r="E5830" s="41" t="n">
        <v>17967.623</v>
      </c>
    </row>
    <row r="5831">
      <c r="A5831" s="42">
        <f>_xlfn.XLOOKUP(17854,Trip[shape_id],Trip[shape_id],"Não encontrado")</f>
        <v/>
      </c>
      <c r="B5831" s="43" t="n">
        <v>-23.541415</v>
      </c>
      <c r="C5831" s="43" t="n">
        <v>-46.467204</v>
      </c>
      <c r="D5831" s="43" t="n">
        <v>194</v>
      </c>
      <c r="E5831" s="44" t="n">
        <v>18004.797</v>
      </c>
    </row>
    <row r="5832">
      <c r="A5832" s="39">
        <f>_xlfn.XLOOKUP(17854,Trip[shape_id],Trip[shape_id],"Não encontrado")</f>
        <v/>
      </c>
      <c r="B5832" s="40" t="n">
        <v>-23.541354</v>
      </c>
      <c r="C5832" s="40" t="n">
        <v>-46.466846</v>
      </c>
      <c r="D5832" s="40" t="n">
        <v>195</v>
      </c>
      <c r="E5832" s="41" t="n">
        <v>18096.428</v>
      </c>
    </row>
    <row r="5833">
      <c r="A5833" s="42">
        <f>_xlfn.XLOOKUP(17854,Trip[shape_id],Trip[shape_id],"Não encontrado")</f>
        <v/>
      </c>
      <c r="B5833" s="43" t="n">
        <v>-23.541217</v>
      </c>
      <c r="C5833" s="43" t="n">
        <v>-46.465961</v>
      </c>
      <c r="D5833" s="43" t="n">
        <v>196</v>
      </c>
      <c r="E5833" s="44" t="n">
        <v>18197.482</v>
      </c>
    </row>
    <row r="5834">
      <c r="A5834" s="39">
        <f>_xlfn.XLOOKUP(17854,Trip[shape_id],Trip[shape_id],"Não encontrado")</f>
        <v/>
      </c>
      <c r="B5834" s="40" t="n">
        <v>-23.540981</v>
      </c>
      <c r="C5834" s="40" t="n">
        <v>-46.465005</v>
      </c>
      <c r="D5834" s="40" t="n">
        <v>197</v>
      </c>
      <c r="E5834" s="41" t="n">
        <v>18265.18</v>
      </c>
    </row>
    <row r="5835">
      <c r="A5835" s="42">
        <f>_xlfn.XLOOKUP(17854,Trip[shape_id],Trip[shape_id],"Não encontrado")</f>
        <v/>
      </c>
      <c r="B5835" s="43" t="n">
        <v>-23.540755</v>
      </c>
      <c r="C5835" s="43" t="n">
        <v>-46.464389</v>
      </c>
      <c r="D5835" s="43" t="n">
        <v>198</v>
      </c>
      <c r="E5835" s="44" t="n">
        <v>18346.24</v>
      </c>
    </row>
    <row r="5836">
      <c r="A5836" s="39">
        <f>_xlfn.XLOOKUP(17854,Trip[shape_id],Trip[shape_id],"Não encontrado")</f>
        <v/>
      </c>
      <c r="B5836" s="40" t="n">
        <v>-23.540415</v>
      </c>
      <c r="C5836" s="40" t="n">
        <v>-46.463686</v>
      </c>
      <c r="D5836" s="40" t="n">
        <v>199</v>
      </c>
      <c r="E5836" s="41" t="n">
        <v>18359.752</v>
      </c>
    </row>
    <row r="5837">
      <c r="A5837" s="42">
        <f>_xlfn.XLOOKUP(17854,Trip[shape_id],Trip[shape_id],"Não encontrado")</f>
        <v/>
      </c>
      <c r="B5837" s="43" t="n">
        <v>-23.54037</v>
      </c>
      <c r="C5837" s="43" t="n">
        <v>-46.463563</v>
      </c>
      <c r="D5837" s="43" t="n">
        <v>200</v>
      </c>
      <c r="E5837" s="44" t="n">
        <v>18400.258</v>
      </c>
    </row>
    <row r="5838">
      <c r="A5838" s="39">
        <f>_xlfn.XLOOKUP(17854,Trip[shape_id],Trip[shape_id],"Não encontrado")</f>
        <v/>
      </c>
      <c r="B5838" s="40" t="n">
        <v>-23.540243</v>
      </c>
      <c r="C5838" s="40" t="n">
        <v>-46.463191</v>
      </c>
      <c r="D5838" s="40" t="n">
        <v>201</v>
      </c>
      <c r="E5838" s="41" t="n">
        <v>18436.959</v>
      </c>
    </row>
    <row r="5839">
      <c r="A5839" s="42">
        <f>_xlfn.XLOOKUP(17854,Trip[shape_id],Trip[shape_id],"Não encontrado")</f>
        <v/>
      </c>
      <c r="B5839" s="43" t="n">
        <v>-23.540176</v>
      </c>
      <c r="C5839" s="43" t="n">
        <v>-46.462839</v>
      </c>
      <c r="D5839" s="43" t="n">
        <v>202</v>
      </c>
      <c r="E5839" s="44" t="n">
        <v>18467.326</v>
      </c>
    </row>
    <row r="5840">
      <c r="A5840" s="39">
        <f>_xlfn.XLOOKUP(17854,Trip[shape_id],Trip[shape_id],"Não encontrado")</f>
        <v/>
      </c>
      <c r="B5840" s="40" t="n">
        <v>-23.540124</v>
      </c>
      <c r="C5840" s="40" t="n">
        <v>-46.462547</v>
      </c>
      <c r="D5840" s="40" t="n">
        <v>203</v>
      </c>
      <c r="E5840" s="41" t="n">
        <v>18497.273</v>
      </c>
    </row>
    <row r="5841">
      <c r="A5841" s="42">
        <f>_xlfn.XLOOKUP(17854,Trip[shape_id],Trip[shape_id],"Não encontrado")</f>
        <v/>
      </c>
      <c r="B5841" s="43" t="n">
        <v>-23.540112</v>
      </c>
      <c r="C5841" s="43" t="n">
        <v>-46.462254</v>
      </c>
      <c r="D5841" s="43" t="n">
        <v>204</v>
      </c>
      <c r="E5841" s="44" t="n">
        <v>18536.383</v>
      </c>
    </row>
    <row r="5842">
      <c r="A5842" s="39">
        <f>_xlfn.XLOOKUP(17854,Trip[shape_id],Trip[shape_id],"Não encontrado")</f>
        <v/>
      </c>
      <c r="B5842" s="40" t="n">
        <v>-23.540115</v>
      </c>
      <c r="C5842" s="40" t="n">
        <v>-46.461871</v>
      </c>
      <c r="D5842" s="40" t="n">
        <v>205</v>
      </c>
      <c r="E5842" s="41" t="n">
        <v>18588.398</v>
      </c>
    </row>
    <row r="5843">
      <c r="A5843" s="42">
        <f>_xlfn.XLOOKUP(17854,Trip[shape_id],Trip[shape_id],"Não encontrado")</f>
        <v/>
      </c>
      <c r="B5843" s="43" t="n">
        <v>-23.54015</v>
      </c>
      <c r="C5843" s="43" t="n">
        <v>-46.461363</v>
      </c>
      <c r="D5843" s="43" t="n">
        <v>206</v>
      </c>
      <c r="E5843" s="44" t="n">
        <v>18643.721</v>
      </c>
    </row>
    <row r="5844">
      <c r="A5844" s="39">
        <f>_xlfn.XLOOKUP(17854,Trip[shape_id],Trip[shape_id],"Não encontrado")</f>
        <v/>
      </c>
      <c r="B5844" s="40" t="n">
        <v>-23.540262</v>
      </c>
      <c r="C5844" s="40" t="n">
        <v>-46.460835</v>
      </c>
      <c r="D5844" s="40" t="n">
        <v>207</v>
      </c>
      <c r="E5844" s="41" t="n">
        <v>18675.031</v>
      </c>
    </row>
    <row r="5845">
      <c r="A5845" s="42">
        <f>_xlfn.XLOOKUP(17854,Trip[shape_id],Trip[shape_id],"Não encontrado")</f>
        <v/>
      </c>
      <c r="B5845" s="43" t="n">
        <v>-23.540316</v>
      </c>
      <c r="C5845" s="43" t="n">
        <v>-46.460534</v>
      </c>
      <c r="D5845" s="43" t="n">
        <v>208</v>
      </c>
      <c r="E5845" s="44" t="n">
        <v>18787.961</v>
      </c>
    </row>
    <row r="5846">
      <c r="A5846" s="39">
        <f>_xlfn.XLOOKUP(17854,Trip[shape_id],Trip[shape_id],"Não encontrado")</f>
        <v/>
      </c>
      <c r="B5846" s="40" t="n">
        <v>-23.540504</v>
      </c>
      <c r="C5846" s="40" t="n">
        <v>-46.459447</v>
      </c>
      <c r="D5846" s="40" t="n">
        <v>209</v>
      </c>
      <c r="E5846" s="41" t="n">
        <v>18923.691</v>
      </c>
    </row>
    <row r="5847">
      <c r="A5847" s="42">
        <f>_xlfn.XLOOKUP(17854,Trip[shape_id],Trip[shape_id],"Não encontrado")</f>
        <v/>
      </c>
      <c r="B5847" s="43" t="n">
        <v>-23.540807</v>
      </c>
      <c r="C5847" s="43" t="n">
        <v>-46.458159</v>
      </c>
      <c r="D5847" s="43" t="n">
        <v>210</v>
      </c>
      <c r="E5847" s="44" t="n">
        <v>18938.467</v>
      </c>
    </row>
    <row r="5848">
      <c r="A5848" s="39">
        <f>_xlfn.XLOOKUP(17854,Trip[shape_id],Trip[shape_id],"Não encontrado")</f>
        <v/>
      </c>
      <c r="B5848" s="40" t="n">
        <v>-23.540837</v>
      </c>
      <c r="C5848" s="40" t="n">
        <v>-46.458018</v>
      </c>
      <c r="D5848" s="40" t="n">
        <v>211</v>
      </c>
      <c r="E5848" s="41" t="n">
        <v>19021.439</v>
      </c>
    </row>
    <row r="5849">
      <c r="A5849" s="42">
        <f>_xlfn.XLOOKUP(17854,Trip[shape_id],Trip[shape_id],"Não encontrado")</f>
        <v/>
      </c>
      <c r="B5849" s="43" t="n">
        <v>-23.540992</v>
      </c>
      <c r="C5849" s="43" t="n">
        <v>-46.457223</v>
      </c>
      <c r="D5849" s="43" t="n">
        <v>212</v>
      </c>
      <c r="E5849" s="44" t="n">
        <v>19162.508</v>
      </c>
    </row>
    <row r="5850">
      <c r="A5850" s="39">
        <f>_xlfn.XLOOKUP(17854,Trip[shape_id],Trip[shape_id],"Não encontrado")</f>
        <v/>
      </c>
      <c r="B5850" s="40" t="n">
        <v>-23.541254</v>
      </c>
      <c r="C5850" s="40" t="n">
        <v>-46.455871</v>
      </c>
      <c r="D5850" s="40" t="n">
        <v>213</v>
      </c>
      <c r="E5850" s="41" t="n">
        <v>19259.305</v>
      </c>
    </row>
    <row r="5851">
      <c r="A5851" s="42">
        <f>_xlfn.XLOOKUP(17854,Trip[shape_id],Trip[shape_id],"Não encontrado")</f>
        <v/>
      </c>
      <c r="B5851" s="43" t="n">
        <v>-23.541374</v>
      </c>
      <c r="C5851" s="43" t="n">
        <v>-46.454932</v>
      </c>
      <c r="D5851" s="43" t="n">
        <v>214</v>
      </c>
      <c r="E5851" s="44" t="n">
        <v>19289.893</v>
      </c>
    </row>
    <row r="5852">
      <c r="A5852" s="39">
        <f>_xlfn.XLOOKUP(17854,Trip[shape_id],Trip[shape_id],"Não encontrado")</f>
        <v/>
      </c>
      <c r="B5852" s="40" t="n">
        <v>-23.54141</v>
      </c>
      <c r="C5852" s="40" t="n">
        <v>-46.454635</v>
      </c>
      <c r="D5852" s="40" t="n">
        <v>215</v>
      </c>
      <c r="E5852" s="41" t="n">
        <v>19313.555</v>
      </c>
    </row>
    <row r="5853">
      <c r="A5853" s="42">
        <f>_xlfn.XLOOKUP(17854,Trip[shape_id],Trip[shape_id],"Não encontrado")</f>
        <v/>
      </c>
      <c r="B5853" s="43" t="n">
        <v>-23.541436</v>
      </c>
      <c r="C5853" s="43" t="n">
        <v>-46.454405</v>
      </c>
      <c r="D5853" s="43" t="n">
        <v>216</v>
      </c>
      <c r="E5853" s="44" t="n">
        <v>19372.77</v>
      </c>
    </row>
    <row r="5854">
      <c r="A5854" s="39">
        <f>_xlfn.XLOOKUP(17854,Trip[shape_id],Trip[shape_id],"Não encontrado")</f>
        <v/>
      </c>
      <c r="B5854" s="40" t="n">
        <v>-23.541498</v>
      </c>
      <c r="C5854" s="40" t="n">
        <v>-46.453829</v>
      </c>
      <c r="D5854" s="40" t="n">
        <v>217</v>
      </c>
      <c r="E5854" s="41" t="n">
        <v>19415.119</v>
      </c>
    </row>
    <row r="5855">
      <c r="A5855" s="42">
        <f>_xlfn.XLOOKUP(17854,Trip[shape_id],Trip[shape_id],"Não encontrado")</f>
        <v/>
      </c>
      <c r="B5855" s="43" t="n">
        <v>-23.541542</v>
      </c>
      <c r="C5855" s="43" t="n">
        <v>-46.453417</v>
      </c>
      <c r="D5855" s="43" t="n">
        <v>218</v>
      </c>
      <c r="E5855" s="44" t="n">
        <v>19448.088</v>
      </c>
    </row>
    <row r="5856">
      <c r="A5856" s="39">
        <f>_xlfn.XLOOKUP(17854,Trip[shape_id],Trip[shape_id],"Não encontrado")</f>
        <v/>
      </c>
      <c r="B5856" s="40" t="n">
        <v>-23.541574</v>
      </c>
      <c r="C5856" s="40" t="n">
        <v>-46.453096</v>
      </c>
      <c r="D5856" s="40" t="n">
        <v>219</v>
      </c>
      <c r="E5856" s="41" t="n">
        <v>19462.039</v>
      </c>
    </row>
    <row r="5857">
      <c r="A5857" s="42">
        <f>_xlfn.XLOOKUP(17854,Trip[shape_id],Trip[shape_id],"Não encontrado")</f>
        <v/>
      </c>
      <c r="B5857" s="43" t="n">
        <v>-23.541586</v>
      </c>
      <c r="C5857" s="43" t="n">
        <v>-46.45296</v>
      </c>
      <c r="D5857" s="43" t="n">
        <v>220</v>
      </c>
      <c r="E5857" s="44" t="n">
        <v>19591.709</v>
      </c>
    </row>
    <row r="5858">
      <c r="A5858" s="39">
        <f>_xlfn.XLOOKUP(17854,Trip[shape_id],Trip[shape_id],"Não encontrado")</f>
        <v/>
      </c>
      <c r="B5858" s="40" t="n">
        <v>-23.541678</v>
      </c>
      <c r="C5858" s="40" t="n">
        <v>-46.451694</v>
      </c>
      <c r="D5858" s="40" t="n">
        <v>221</v>
      </c>
      <c r="E5858" s="41" t="n">
        <v>19636.779</v>
      </c>
    </row>
    <row r="5859">
      <c r="A5859" s="42">
        <f>_xlfn.XLOOKUP(17854,Trip[shape_id],Trip[shape_id],"Não encontrado")</f>
        <v/>
      </c>
      <c r="B5859" s="43" t="n">
        <v>-23.541695</v>
      </c>
      <c r="C5859" s="43" t="n">
        <v>-46.451253</v>
      </c>
      <c r="D5859" s="43" t="n">
        <v>222</v>
      </c>
      <c r="E5859" s="44" t="n">
        <v>19749.199</v>
      </c>
    </row>
    <row r="5860">
      <c r="A5860" s="39">
        <f>_xlfn.XLOOKUP(17854,Trip[shape_id],Trip[shape_id],"Não encontrado")</f>
        <v/>
      </c>
      <c r="B5860" s="40" t="n">
        <v>-23.541738</v>
      </c>
      <c r="C5860" s="40" t="n">
        <v>-46.450153</v>
      </c>
      <c r="D5860" s="40" t="n">
        <v>223</v>
      </c>
      <c r="E5860" s="41" t="n">
        <v>19770.238</v>
      </c>
    </row>
    <row r="5861">
      <c r="A5861" s="42">
        <f>_xlfn.XLOOKUP(17854,Trip[shape_id],Trip[shape_id],"Não encontrado")</f>
        <v/>
      </c>
      <c r="B5861" s="43" t="n">
        <v>-23.541742</v>
      </c>
      <c r="C5861" s="43" t="n">
        <v>-46.449947</v>
      </c>
      <c r="D5861" s="43" t="n">
        <v>224</v>
      </c>
      <c r="E5861" s="44" t="n">
        <v>19844.064</v>
      </c>
    </row>
    <row r="5862">
      <c r="A5862" s="39">
        <f>_xlfn.XLOOKUP(17854,Trip[shape_id],Trip[shape_id],"Não encontrado")</f>
        <v/>
      </c>
      <c r="B5862" s="40" t="n">
        <v>-23.541747</v>
      </c>
      <c r="C5862" s="40" t="n">
        <v>-46.449224</v>
      </c>
      <c r="D5862" s="40" t="n">
        <v>225</v>
      </c>
      <c r="E5862" s="41" t="n">
        <v>19921.361</v>
      </c>
    </row>
    <row r="5863">
      <c r="A5863" s="42">
        <f>_xlfn.XLOOKUP(17854,Trip[shape_id],Trip[shape_id],"Não encontrado")</f>
        <v/>
      </c>
      <c r="B5863" s="43" t="n">
        <v>-23.54175</v>
      </c>
      <c r="C5863" s="43" t="n">
        <v>-46.448467</v>
      </c>
      <c r="D5863" s="43" t="n">
        <v>226</v>
      </c>
      <c r="E5863" s="44" t="n">
        <v>19939.844</v>
      </c>
    </row>
    <row r="5864">
      <c r="A5864" s="39">
        <f>_xlfn.XLOOKUP(17854,Trip[shape_id],Trip[shape_id],"Não encontrado")</f>
        <v/>
      </c>
      <c r="B5864" s="40" t="n">
        <v>-23.541752</v>
      </c>
      <c r="C5864" s="40" t="n">
        <v>-46.448286</v>
      </c>
      <c r="D5864" s="40" t="n">
        <v>227</v>
      </c>
      <c r="E5864" s="41" t="n">
        <v>19953.645</v>
      </c>
    </row>
    <row r="5865">
      <c r="A5865" s="42">
        <f>_xlfn.XLOOKUP(17854,Trip[shape_id],Trip[shape_id],"Não encontrado")</f>
        <v/>
      </c>
      <c r="B5865" s="43" t="n">
        <v>-23.541758</v>
      </c>
      <c r="C5865" s="43" t="n">
        <v>-46.448151</v>
      </c>
      <c r="D5865" s="43" t="n">
        <v>228</v>
      </c>
      <c r="E5865" s="44" t="n">
        <v>19953.645</v>
      </c>
    </row>
    <row r="5866">
      <c r="A5866" s="39">
        <f>_xlfn.XLOOKUP(17854,Trip[shape_id],Trip[shape_id],"Não encontrado")</f>
        <v/>
      </c>
      <c r="B5866" s="40" t="n">
        <v>-23.541771</v>
      </c>
      <c r="C5866" s="40" t="n">
        <v>-46.447785</v>
      </c>
      <c r="D5866" s="40" t="n">
        <v>229</v>
      </c>
      <c r="E5866" s="41" t="n">
        <v>20075.453</v>
      </c>
    </row>
    <row r="5867">
      <c r="A5867" s="42">
        <f>_xlfn.XLOOKUP(17854,Trip[shape_id],Trip[shape_id],"Não encontrado")</f>
        <v/>
      </c>
      <c r="B5867" s="43" t="n">
        <v>-23.541801</v>
      </c>
      <c r="C5867" s="43" t="n">
        <v>-46.446959</v>
      </c>
      <c r="D5867" s="43" t="n">
        <v>230</v>
      </c>
      <c r="E5867" s="44" t="n">
        <v>20208.705</v>
      </c>
    </row>
    <row r="5868">
      <c r="A5868" s="39">
        <f>_xlfn.XLOOKUP(17854,Trip[shape_id],Trip[shape_id],"Não encontrado")</f>
        <v/>
      </c>
      <c r="B5868" s="40" t="n">
        <v>-23.5418</v>
      </c>
      <c r="C5868" s="40" t="n">
        <v>-46.445654</v>
      </c>
      <c r="D5868" s="40" t="n">
        <v>231</v>
      </c>
      <c r="E5868" s="41" t="n">
        <v>20253.633</v>
      </c>
    </row>
    <row r="5869">
      <c r="A5869" s="42">
        <f>_xlfn.XLOOKUP(17854,Trip[shape_id],Trip[shape_id],"Não encontrado")</f>
        <v/>
      </c>
      <c r="B5869" s="43" t="n">
        <v>-23.541801</v>
      </c>
      <c r="C5869" s="43" t="n">
        <v>-46.445214</v>
      </c>
      <c r="D5869" s="43" t="n">
        <v>232</v>
      </c>
      <c r="E5869" s="44" t="n">
        <v>20333.191</v>
      </c>
    </row>
    <row r="5870">
      <c r="A5870" s="39">
        <f>_xlfn.XLOOKUP(17854,Trip[shape_id],Trip[shape_id],"Não encontrado")</f>
        <v/>
      </c>
      <c r="B5870" s="40" t="n">
        <v>-23.541727</v>
      </c>
      <c r="C5870" s="40" t="n">
        <v>-46.444439</v>
      </c>
      <c r="D5870" s="40" t="n">
        <v>233</v>
      </c>
      <c r="E5870" s="41" t="n">
        <v>20368.078</v>
      </c>
    </row>
    <row r="5871">
      <c r="A5871" s="42">
        <f>_xlfn.XLOOKUP(17854,Trip[shape_id],Trip[shape_id],"Não encontrado")</f>
        <v/>
      </c>
      <c r="B5871" s="43" t="n">
        <v>-23.541696</v>
      </c>
      <c r="C5871" s="43" t="n">
        <v>-46.444099</v>
      </c>
      <c r="D5871" s="43" t="n">
        <v>234</v>
      </c>
      <c r="E5871" s="44" t="n">
        <v>20426.418</v>
      </c>
    </row>
    <row r="5872">
      <c r="A5872" s="39">
        <f>_xlfn.XLOOKUP(17854,Trip[shape_id],Trip[shape_id],"Não encontrado")</f>
        <v/>
      </c>
      <c r="B5872" s="40" t="n">
        <v>-23.541639</v>
      </c>
      <c r="C5872" s="40" t="n">
        <v>-46.443531</v>
      </c>
      <c r="D5872" s="40" t="n">
        <v>235</v>
      </c>
      <c r="E5872" s="41" t="n">
        <v>20501.293</v>
      </c>
    </row>
    <row r="5873">
      <c r="A5873" s="42">
        <f>_xlfn.XLOOKUP(17854,Trip[shape_id],Trip[shape_id],"Não encontrado")</f>
        <v/>
      </c>
      <c r="B5873" s="43" t="n">
        <v>-23.541566</v>
      </c>
      <c r="C5873" s="43" t="n">
        <v>-46.442802</v>
      </c>
      <c r="D5873" s="43" t="n">
        <v>236</v>
      </c>
      <c r="E5873" s="44" t="n">
        <v>20555.752</v>
      </c>
    </row>
    <row r="5874">
      <c r="A5874" s="39">
        <f>_xlfn.XLOOKUP(17854,Trip[shape_id],Trip[shape_id],"Não encontrado")</f>
        <v/>
      </c>
      <c r="B5874" s="40" t="n">
        <v>-23.541511</v>
      </c>
      <c r="C5874" s="40" t="n">
        <v>-46.442272</v>
      </c>
      <c r="D5874" s="40" t="n">
        <v>237</v>
      </c>
      <c r="E5874" s="41" t="n">
        <v>20563.576</v>
      </c>
    </row>
    <row r="5875">
      <c r="A5875" s="42">
        <f>_xlfn.XLOOKUP(17854,Trip[shape_id],Trip[shape_id],"Não encontrado")</f>
        <v/>
      </c>
      <c r="B5875" s="43" t="n">
        <v>-23.541502</v>
      </c>
      <c r="C5875" s="43" t="n">
        <v>-46.442196</v>
      </c>
      <c r="D5875" s="43" t="n">
        <v>238</v>
      </c>
      <c r="E5875" s="44" t="n">
        <v>20690.564</v>
      </c>
    </row>
    <row r="5876">
      <c r="A5876" s="39">
        <f>_xlfn.XLOOKUP(17854,Trip[shape_id],Trip[shape_id],"Não encontrado")</f>
        <v/>
      </c>
      <c r="B5876" s="40" t="n">
        <v>-23.541299</v>
      </c>
      <c r="C5876" s="40" t="n">
        <v>-46.440972</v>
      </c>
      <c r="D5876" s="40" t="n">
        <v>239</v>
      </c>
      <c r="E5876" s="41" t="n">
        <v>20743.551</v>
      </c>
    </row>
    <row r="5877">
      <c r="A5877" s="42">
        <f>_xlfn.XLOOKUP(17854,Trip[shape_id],Trip[shape_id],"Não encontrado")</f>
        <v/>
      </c>
      <c r="B5877" s="43" t="n">
        <v>-23.541227</v>
      </c>
      <c r="C5877" s="43" t="n">
        <v>-46.440459</v>
      </c>
      <c r="D5877" s="43" t="n">
        <v>240</v>
      </c>
      <c r="E5877" s="44" t="n">
        <v>20866.545</v>
      </c>
    </row>
    <row r="5878">
      <c r="A5878" s="39">
        <f>_xlfn.XLOOKUP(17854,Trip[shape_id],Trip[shape_id],"Não encontrado")</f>
        <v/>
      </c>
      <c r="B5878" s="40" t="n">
        <v>-23.541061</v>
      </c>
      <c r="C5878" s="40" t="n">
        <v>-46.439268</v>
      </c>
      <c r="D5878" s="40" t="n">
        <v>241</v>
      </c>
      <c r="E5878" s="41" t="n">
        <v>21020.531</v>
      </c>
    </row>
    <row r="5879">
      <c r="A5879" s="42">
        <f>_xlfn.XLOOKUP(17854,Trip[shape_id],Trip[shape_id],"Não encontrado")</f>
        <v/>
      </c>
      <c r="B5879" s="43" t="n">
        <v>-23.54072</v>
      </c>
      <c r="C5879" s="43" t="n">
        <v>-46.437806</v>
      </c>
      <c r="D5879" s="43" t="n">
        <v>242</v>
      </c>
      <c r="E5879" s="44" t="n">
        <v>21277.201</v>
      </c>
    </row>
    <row r="5880">
      <c r="A5880" s="39">
        <f>_xlfn.XLOOKUP(17854,Trip[shape_id],Trip[shape_id],"Não encontrado")</f>
        <v/>
      </c>
      <c r="B5880" s="40" t="n">
        <v>-23.540152</v>
      </c>
      <c r="C5880" s="40" t="n">
        <v>-46.435369</v>
      </c>
      <c r="D5880" s="40" t="n">
        <v>243</v>
      </c>
      <c r="E5880" s="41" t="n">
        <v>21308.084</v>
      </c>
    </row>
    <row r="5881">
      <c r="A5881" s="42">
        <f>_xlfn.XLOOKUP(17854,Trip[shape_id],Trip[shape_id],"Não encontrado")</f>
        <v/>
      </c>
      <c r="B5881" s="43" t="n">
        <v>-23.540076</v>
      </c>
      <c r="C5881" s="43" t="n">
        <v>-46.435078</v>
      </c>
      <c r="D5881" s="43" t="n">
        <v>244</v>
      </c>
      <c r="E5881" s="44" t="n">
        <v>21516.908</v>
      </c>
    </row>
    <row r="5882">
      <c r="A5882" s="39">
        <f>_xlfn.XLOOKUP(17854,Trip[shape_id],Trip[shape_id],"Não encontrado")</f>
        <v/>
      </c>
      <c r="B5882" s="40" t="n">
        <v>-23.539544</v>
      </c>
      <c r="C5882" s="40" t="n">
        <v>-46.433116</v>
      </c>
      <c r="D5882" s="40" t="n">
        <v>245</v>
      </c>
      <c r="E5882" s="41" t="n">
        <v>21576.678</v>
      </c>
    </row>
    <row r="5883">
      <c r="A5883" s="42">
        <f>_xlfn.XLOOKUP(17854,Trip[shape_id],Trip[shape_id],"Não encontrado")</f>
        <v/>
      </c>
      <c r="B5883" s="43" t="n">
        <v>-23.53939</v>
      </c>
      <c r="C5883" s="43" t="n">
        <v>-46.432555</v>
      </c>
      <c r="D5883" s="43" t="n">
        <v>246</v>
      </c>
      <c r="E5883" s="44" t="n">
        <v>21638.953</v>
      </c>
    </row>
    <row r="5884">
      <c r="A5884" s="39">
        <f>_xlfn.XLOOKUP(17854,Trip[shape_id],Trip[shape_id],"Não encontrado")</f>
        <v/>
      </c>
      <c r="B5884" s="40" t="n">
        <v>-23.539219</v>
      </c>
      <c r="C5884" s="40" t="n">
        <v>-46.431974</v>
      </c>
      <c r="D5884" s="40" t="n">
        <v>247</v>
      </c>
      <c r="E5884" s="41" t="n">
        <v>21674.646</v>
      </c>
    </row>
    <row r="5885">
      <c r="A5885" s="42">
        <f>_xlfn.XLOOKUP(17854,Trip[shape_id],Trip[shape_id],"Não encontrado")</f>
        <v/>
      </c>
      <c r="B5885" s="43" t="n">
        <v>-23.539121</v>
      </c>
      <c r="C5885" s="43" t="n">
        <v>-46.431641</v>
      </c>
      <c r="D5885" s="43" t="n">
        <v>248</v>
      </c>
      <c r="E5885" s="44" t="n">
        <v>21674.646</v>
      </c>
    </row>
    <row r="5886">
      <c r="A5886" s="39">
        <f>_xlfn.XLOOKUP(17854,Trip[shape_id],Trip[shape_id],"Não encontrado")</f>
        <v/>
      </c>
      <c r="B5886" s="40" t="n">
        <v>-23.538895</v>
      </c>
      <c r="C5886" s="40" t="n">
        <v>-46.43088</v>
      </c>
      <c r="D5886" s="40" t="n">
        <v>249</v>
      </c>
      <c r="E5886" s="41" t="n">
        <v>21787.555</v>
      </c>
    </row>
    <row r="5887">
      <c r="A5887" s="42">
        <f>_xlfn.XLOOKUP(17854,Trip[shape_id],Trip[shape_id],"Não encontrado")</f>
        <v/>
      </c>
      <c r="B5887" s="43" t="n">
        <v>-23.538834</v>
      </c>
      <c r="C5887" s="43" t="n">
        <v>-46.430581</v>
      </c>
      <c r="D5887" s="43" t="n">
        <v>250</v>
      </c>
      <c r="E5887" s="44" t="n">
        <v>21851.914</v>
      </c>
    </row>
    <row r="5888">
      <c r="A5888" s="39">
        <f>_xlfn.XLOOKUP(17854,Trip[shape_id],Trip[shape_id],"Não encontrado")</f>
        <v/>
      </c>
      <c r="B5888" s="40" t="n">
        <v>-23.538711</v>
      </c>
      <c r="C5888" s="40" t="n">
        <v>-46.429965</v>
      </c>
      <c r="D5888" s="40" t="n">
        <v>251</v>
      </c>
      <c r="E5888" s="41" t="n">
        <v>21909.5</v>
      </c>
    </row>
    <row r="5889">
      <c r="A5889" s="42">
        <f>_xlfn.XLOOKUP(17854,Trip[shape_id],Trip[shape_id],"Não encontrado")</f>
        <v/>
      </c>
      <c r="B5889" s="43" t="n">
        <v>-23.538609</v>
      </c>
      <c r="C5889" s="43" t="n">
        <v>-46.429412</v>
      </c>
      <c r="D5889" s="43" t="n">
        <v>252</v>
      </c>
      <c r="E5889" s="44" t="n">
        <v>21954.092</v>
      </c>
    </row>
    <row r="5890">
      <c r="A5890" s="39">
        <f>_xlfn.XLOOKUP(17854,Trip[shape_id],Trip[shape_id],"Não encontrado")</f>
        <v/>
      </c>
      <c r="B5890" s="40" t="n">
        <v>-23.538529</v>
      </c>
      <c r="C5890" s="40" t="n">
        <v>-46.428984</v>
      </c>
      <c r="D5890" s="40" t="n">
        <v>253</v>
      </c>
      <c r="E5890" s="41" t="n">
        <v>22082.232</v>
      </c>
    </row>
    <row r="5891">
      <c r="A5891" s="42">
        <f>_xlfn.XLOOKUP(17854,Trip[shape_id],Trip[shape_id],"Não encontrado")</f>
        <v/>
      </c>
      <c r="B5891" s="43" t="n">
        <v>-23.538485</v>
      </c>
      <c r="C5891" s="43" t="n">
        <v>-46.42773</v>
      </c>
      <c r="D5891" s="43" t="n">
        <v>254</v>
      </c>
      <c r="E5891" s="44" t="n">
        <v>22106.152</v>
      </c>
    </row>
    <row r="5892">
      <c r="A5892" s="39">
        <f>_xlfn.XLOOKUP(17854,Trip[shape_id],Trip[shape_id],"Não encontrado")</f>
        <v/>
      </c>
      <c r="B5892" s="40" t="n">
        <v>-23.538475</v>
      </c>
      <c r="C5892" s="40" t="n">
        <v>-46.427496</v>
      </c>
      <c r="D5892" s="40" t="n">
        <v>255</v>
      </c>
      <c r="E5892" s="41" t="n">
        <v>22210.225</v>
      </c>
    </row>
    <row r="5893">
      <c r="A5893" s="42">
        <f>_xlfn.XLOOKUP(17854,Trip[shape_id],Trip[shape_id],"Não encontrado")</f>
        <v/>
      </c>
      <c r="B5893" s="43" t="n">
        <v>-23.538594</v>
      </c>
      <c r="C5893" s="43" t="n">
        <v>-46.426485</v>
      </c>
      <c r="D5893" s="43" t="n">
        <v>256</v>
      </c>
      <c r="E5893" s="44" t="n">
        <v>22366.439</v>
      </c>
    </row>
    <row r="5894">
      <c r="A5894" s="39">
        <f>_xlfn.XLOOKUP(17854,Trip[shape_id],Trip[shape_id],"Não encontrado")</f>
        <v/>
      </c>
      <c r="B5894" s="40" t="n">
        <v>-23.538991</v>
      </c>
      <c r="C5894" s="40" t="n">
        <v>-46.425017</v>
      </c>
      <c r="D5894" s="40" t="n">
        <v>257</v>
      </c>
      <c r="E5894" s="41" t="n">
        <v>22521.844</v>
      </c>
    </row>
    <row r="5895">
      <c r="A5895" s="42">
        <f>_xlfn.XLOOKUP(17854,Trip[shape_id],Trip[shape_id],"Não encontrado")</f>
        <v/>
      </c>
      <c r="B5895" s="43" t="n">
        <v>-23.539384</v>
      </c>
      <c r="C5895" s="43" t="n">
        <v>-46.423556</v>
      </c>
      <c r="D5895" s="43" t="n">
        <v>258</v>
      </c>
      <c r="E5895" s="44" t="n">
        <v>22564.824</v>
      </c>
    </row>
    <row r="5896">
      <c r="A5896" s="39">
        <f>_xlfn.XLOOKUP(17854,Trip[shape_id],Trip[shape_id],"Não encontrado")</f>
        <v/>
      </c>
      <c r="B5896" s="40" t="n">
        <v>-23.539547</v>
      </c>
      <c r="C5896" s="40" t="n">
        <v>-46.423174</v>
      </c>
      <c r="D5896" s="40" t="n">
        <v>259</v>
      </c>
      <c r="E5896" s="41" t="n">
        <v>22609.85</v>
      </c>
    </row>
    <row r="5897">
      <c r="A5897" s="42">
        <f>_xlfn.XLOOKUP(17854,Trip[shape_id],Trip[shape_id],"Não encontrado")</f>
        <v/>
      </c>
      <c r="B5897" s="43" t="n">
        <v>-23.539722</v>
      </c>
      <c r="C5897" s="43" t="n">
        <v>-46.422776</v>
      </c>
      <c r="D5897" s="43" t="n">
        <v>260</v>
      </c>
      <c r="E5897" s="44" t="n">
        <v>22691.924</v>
      </c>
    </row>
    <row r="5898">
      <c r="A5898" s="39">
        <f>_xlfn.XLOOKUP(17854,Trip[shape_id],Trip[shape_id],"Não encontrado")</f>
        <v/>
      </c>
      <c r="B5898" s="40" t="n">
        <v>-23.54013</v>
      </c>
      <c r="C5898" s="40" t="n">
        <v>-46.422105</v>
      </c>
      <c r="D5898" s="40" t="n">
        <v>261</v>
      </c>
      <c r="E5898" s="41" t="n">
        <v>22731.537</v>
      </c>
    </row>
    <row r="5899">
      <c r="A5899" s="42">
        <f>_xlfn.XLOOKUP(17854,Trip[shape_id],Trip[shape_id],"Não encontrado")</f>
        <v/>
      </c>
      <c r="B5899" s="43" t="n">
        <v>-23.540321</v>
      </c>
      <c r="C5899" s="43" t="n">
        <v>-46.421777</v>
      </c>
      <c r="D5899" s="43" t="n">
        <v>262</v>
      </c>
      <c r="E5899" s="44" t="n">
        <v>22757.318</v>
      </c>
    </row>
    <row r="5900">
      <c r="A5900" s="39">
        <f>_xlfn.XLOOKUP(17854,Trip[shape_id],Trip[shape_id],"Não encontrado")</f>
        <v/>
      </c>
      <c r="B5900" s="40" t="n">
        <v>-23.540446</v>
      </c>
      <c r="C5900" s="40" t="n">
        <v>-46.421564</v>
      </c>
      <c r="D5900" s="40" t="n">
        <v>263</v>
      </c>
      <c r="E5900" s="41" t="n">
        <v>22820.582</v>
      </c>
    </row>
    <row r="5901">
      <c r="A5901" s="42">
        <f>_xlfn.XLOOKUP(17854,Trip[shape_id],Trip[shape_id],"Não encontrado")</f>
        <v/>
      </c>
      <c r="B5901" s="43" t="n">
        <v>-23.540709</v>
      </c>
      <c r="C5901" s="43" t="n">
        <v>-46.421014</v>
      </c>
      <c r="D5901" s="43" t="n">
        <v>264</v>
      </c>
      <c r="E5901" s="44" t="n">
        <v>22858.047</v>
      </c>
    </row>
    <row r="5902">
      <c r="A5902" s="39">
        <f>_xlfn.XLOOKUP(17854,Trip[shape_id],Trip[shape_id],"Não encontrado")</f>
        <v/>
      </c>
      <c r="B5902" s="40" t="n">
        <v>-23.540853</v>
      </c>
      <c r="C5902" s="40" t="n">
        <v>-46.420682</v>
      </c>
      <c r="D5902" s="40" t="n">
        <v>265</v>
      </c>
      <c r="E5902" s="41" t="n">
        <v>22901.238</v>
      </c>
    </row>
    <row r="5903">
      <c r="A5903" s="42">
        <f>_xlfn.XLOOKUP(17854,Trip[shape_id],Trip[shape_id],"Não encontrado")</f>
        <v/>
      </c>
      <c r="B5903" s="43" t="n">
        <v>-23.541042</v>
      </c>
      <c r="C5903" s="43" t="n">
        <v>-46.420312</v>
      </c>
      <c r="D5903" s="43" t="n">
        <v>266</v>
      </c>
      <c r="E5903" s="44" t="n">
        <v>22980.836</v>
      </c>
    </row>
    <row r="5904">
      <c r="A5904" s="39">
        <f>_xlfn.XLOOKUP(17854,Trip[shape_id],Trip[shape_id],"Não encontrado")</f>
        <v/>
      </c>
      <c r="B5904" s="40" t="n">
        <v>-23.541362</v>
      </c>
      <c r="C5904" s="40" t="n">
        <v>-46.419614</v>
      </c>
      <c r="D5904" s="40" t="n">
        <v>267</v>
      </c>
      <c r="E5904" s="41" t="n">
        <v>23103.889</v>
      </c>
    </row>
    <row r="5905">
      <c r="A5905" s="42">
        <f>_xlfn.XLOOKUP(17854,Trip[shape_id],Trip[shape_id],"Não encontrado")</f>
        <v/>
      </c>
      <c r="B5905" s="43" t="n">
        <v>-23.541738</v>
      </c>
      <c r="C5905" s="43" t="n">
        <v>-46.41848</v>
      </c>
      <c r="D5905" s="43" t="n">
        <v>268</v>
      </c>
      <c r="E5905" s="44" t="n">
        <v>23319.281</v>
      </c>
    </row>
    <row r="5906">
      <c r="A5906" s="39">
        <f>_xlfn.XLOOKUP(17854,Trip[shape_id],Trip[shape_id],"Não encontrado")</f>
        <v/>
      </c>
      <c r="B5906" s="40" t="n">
        <v>-23.542117</v>
      </c>
      <c r="C5906" s="40" t="n">
        <v>-46.416411</v>
      </c>
      <c r="D5906" s="40" t="n">
        <v>269</v>
      </c>
      <c r="E5906" s="41" t="n">
        <v>23407.227</v>
      </c>
    </row>
    <row r="5907">
      <c r="A5907" s="42">
        <f>_xlfn.XLOOKUP(17854,Trip[shape_id],Trip[shape_id],"Não encontrado")</f>
        <v/>
      </c>
      <c r="B5907" s="43" t="n">
        <v>-23.542308</v>
      </c>
      <c r="C5907" s="43" t="n">
        <v>-46.415575</v>
      </c>
      <c r="D5907" s="43" t="n">
        <v>270</v>
      </c>
      <c r="E5907" s="44" t="n">
        <v>23407.227</v>
      </c>
    </row>
    <row r="5908">
      <c r="A5908" s="39">
        <f>_xlfn.XLOOKUP(17854,Trip[shape_id],Trip[shape_id],"Não encontrado")</f>
        <v/>
      </c>
      <c r="B5908" s="40" t="n">
        <v>-23.542458</v>
      </c>
      <c r="C5908" s="40" t="n">
        <v>-46.414919</v>
      </c>
      <c r="D5908" s="40" t="n">
        <v>271</v>
      </c>
      <c r="E5908" s="41" t="n">
        <v>23476.238</v>
      </c>
    </row>
    <row r="5909">
      <c r="A5909" s="42">
        <f>_xlfn.XLOOKUP(17854,Trip[shape_id],Trip[shape_id],"Não encontrado")</f>
        <v/>
      </c>
      <c r="B5909" s="43" t="n">
        <v>-23.542744</v>
      </c>
      <c r="C5909" s="43" t="n">
        <v>-46.413976</v>
      </c>
      <c r="D5909" s="43" t="n">
        <v>272</v>
      </c>
      <c r="E5909" s="44" t="n">
        <v>23577.602</v>
      </c>
    </row>
    <row r="5910">
      <c r="A5910" s="39">
        <f>_xlfn.XLOOKUP(17854,Trip[shape_id],Trip[shape_id],"Não encontrado")</f>
        <v/>
      </c>
      <c r="B5910" s="40" t="n">
        <v>-23.542923</v>
      </c>
      <c r="C5910" s="40" t="n">
        <v>-46.413383</v>
      </c>
      <c r="D5910" s="40" t="n">
        <v>273</v>
      </c>
      <c r="E5910" s="41" t="n">
        <v>23641.314</v>
      </c>
    </row>
    <row r="5911">
      <c r="A5911" s="42">
        <f>_xlfn.XLOOKUP(17854,Trip[shape_id],Trip[shape_id],"Não encontrado")</f>
        <v/>
      </c>
      <c r="B5911" s="43" t="n">
        <v>-23.543126</v>
      </c>
      <c r="C5911" s="43" t="n">
        <v>-46.412787</v>
      </c>
      <c r="D5911" s="43" t="n">
        <v>274</v>
      </c>
      <c r="E5911" s="44" t="n">
        <v>23706.191</v>
      </c>
    </row>
    <row r="5912">
      <c r="A5912" s="39">
        <f>_xlfn.XLOOKUP(17854,Trip[shape_id],Trip[shape_id],"Não encontrado")</f>
        <v/>
      </c>
      <c r="B5912" s="40" t="n">
        <v>-23.543418</v>
      </c>
      <c r="C5912" s="40" t="n">
        <v>-46.411592</v>
      </c>
      <c r="D5912" s="40" t="n">
        <v>275</v>
      </c>
      <c r="E5912" s="41" t="n">
        <v>23832.424</v>
      </c>
    </row>
    <row r="5913">
      <c r="A5913" s="42">
        <f>_xlfn.XLOOKUP(17854,Trip[shape_id],Trip[shape_id],"Não encontrado")</f>
        <v/>
      </c>
      <c r="B5913" s="43" t="n">
        <v>-23.543543</v>
      </c>
      <c r="C5913" s="43" t="n">
        <v>-46.41111</v>
      </c>
      <c r="D5913" s="43" t="n">
        <v>276</v>
      </c>
      <c r="E5913" s="44" t="n">
        <v>23883.549</v>
      </c>
    </row>
    <row r="5914">
      <c r="A5914" s="39">
        <f>_xlfn.XLOOKUP(17854,Trip[shape_id],Trip[shape_id],"Não encontrado")</f>
        <v/>
      </c>
      <c r="B5914" s="40" t="n">
        <v>-23.543913</v>
      </c>
      <c r="C5914" s="40" t="n">
        <v>-46.409695</v>
      </c>
      <c r="D5914" s="40" t="n">
        <v>277</v>
      </c>
      <c r="E5914" s="41" t="n">
        <v>24033.729</v>
      </c>
    </row>
    <row r="5915">
      <c r="A5915" s="42">
        <f>_xlfn.XLOOKUP(17854,Trip[shape_id],Trip[shape_id],"Não encontrado")</f>
        <v/>
      </c>
      <c r="B5915" s="43" t="n">
        <v>-23.544183</v>
      </c>
      <c r="C5915" s="43" t="n">
        <v>-46.408671</v>
      </c>
      <c r="D5915" s="43" t="n">
        <v>278</v>
      </c>
      <c r="E5915" s="44" t="n">
        <v>24142.479</v>
      </c>
    </row>
    <row r="5916">
      <c r="A5916" s="39">
        <f>_xlfn.XLOOKUP(17854,Trip[shape_id],Trip[shape_id],"Não encontrado")</f>
        <v/>
      </c>
      <c r="B5916" s="40" t="n">
        <v>-23.544502</v>
      </c>
      <c r="C5916" s="40" t="n">
        <v>-46.407768</v>
      </c>
      <c r="D5916" s="40" t="n">
        <v>279</v>
      </c>
      <c r="E5916" s="41" t="n">
        <v>24241.219</v>
      </c>
    </row>
    <row r="5917">
      <c r="A5917" s="42">
        <f>_xlfn.XLOOKUP(17854,Trip[shape_id],Trip[shape_id],"Não encontrado")</f>
        <v/>
      </c>
      <c r="B5917" s="43" t="n">
        <v>-23.544808</v>
      </c>
      <c r="C5917" s="43" t="n">
        <v>-46.406552</v>
      </c>
      <c r="D5917" s="43" t="n">
        <v>280</v>
      </c>
      <c r="E5917" s="44" t="n">
        <v>24369.922</v>
      </c>
    </row>
    <row r="5918">
      <c r="A5918" s="39">
        <f>_xlfn.XLOOKUP(17854,Trip[shape_id],Trip[shape_id],"Não encontrado")</f>
        <v/>
      </c>
      <c r="B5918" s="40" t="n">
        <v>-23.545074</v>
      </c>
      <c r="C5918" s="40" t="n">
        <v>-46.405601</v>
      </c>
      <c r="D5918" s="40" t="n">
        <v>281</v>
      </c>
      <c r="E5918" s="41" t="n">
        <v>24471.396</v>
      </c>
    </row>
    <row r="5919">
      <c r="A5919" s="42">
        <f>_xlfn.XLOOKUP(17854,Trip[shape_id],Trip[shape_id],"Não encontrado")</f>
        <v/>
      </c>
      <c r="B5919" s="43" t="n">
        <v>-23.545651</v>
      </c>
      <c r="C5919" s="43" t="n">
        <v>-46.403515</v>
      </c>
      <c r="D5919" s="43" t="n">
        <v>282</v>
      </c>
      <c r="E5919" s="44" t="n">
        <v>24693.77</v>
      </c>
    </row>
    <row r="5920">
      <c r="A5920" s="39">
        <f>_xlfn.XLOOKUP(17854,Trip[shape_id],Trip[shape_id],"Não encontrado")</f>
        <v/>
      </c>
      <c r="B5920" s="40" t="n">
        <v>-23.546061</v>
      </c>
      <c r="C5920" s="40" t="n">
        <v>-46.401949</v>
      </c>
      <c r="D5920" s="40" t="n">
        <v>283</v>
      </c>
      <c r="E5920" s="41" t="n">
        <v>24859.99</v>
      </c>
    </row>
    <row r="5921">
      <c r="A5921" s="42">
        <f>_xlfn.XLOOKUP(17854,Trip[shape_id],Trip[shape_id],"Não encontrado")</f>
        <v/>
      </c>
      <c r="B5921" s="43" t="n">
        <v>-23.546224</v>
      </c>
      <c r="C5921" s="43" t="n">
        <v>-46.401454</v>
      </c>
      <c r="D5921" s="43" t="n">
        <v>284</v>
      </c>
      <c r="E5921" s="44" t="n">
        <v>24913.66</v>
      </c>
    </row>
    <row r="5922">
      <c r="A5922" s="39">
        <f>_xlfn.XLOOKUP(17854,Trip[shape_id],Trip[shape_id],"Não encontrado")</f>
        <v/>
      </c>
      <c r="B5922" s="40" t="n">
        <v>-23.546431</v>
      </c>
      <c r="C5922" s="40" t="n">
        <v>-46.400984</v>
      </c>
      <c r="D5922" s="40" t="n">
        <v>285</v>
      </c>
      <c r="E5922" s="41" t="n">
        <v>24966.844</v>
      </c>
    </row>
    <row r="5923">
      <c r="A5923" s="42">
        <f>_xlfn.XLOOKUP(17854,Trip[shape_id],Trip[shape_id],"Não encontrado")</f>
        <v/>
      </c>
      <c r="B5923" s="43" t="n">
        <v>-23.547209</v>
      </c>
      <c r="C5923" s="43" t="n">
        <v>-46.399695</v>
      </c>
      <c r="D5923" s="43" t="n">
        <v>286</v>
      </c>
      <c r="E5923" s="44" t="n">
        <v>25124.154</v>
      </c>
    </row>
    <row r="5924">
      <c r="A5924" s="39">
        <f>_xlfn.XLOOKUP(17854,Trip[shape_id],Trip[shape_id],"Não encontrado")</f>
        <v/>
      </c>
      <c r="B5924" s="40" t="n">
        <v>-23.548172</v>
      </c>
      <c r="C5924" s="40" t="n">
        <v>-46.398236</v>
      </c>
      <c r="D5924" s="40" t="n">
        <v>287</v>
      </c>
      <c r="E5924" s="41" t="n">
        <v>25307.367</v>
      </c>
    </row>
    <row r="5925">
      <c r="A5925" s="42">
        <f>_xlfn.XLOOKUP(17854,Trip[shape_id],Trip[shape_id],"Não encontrado")</f>
        <v/>
      </c>
      <c r="B5925" s="43" t="n">
        <v>-23.549343</v>
      </c>
      <c r="C5925" s="43" t="n">
        <v>-46.397095</v>
      </c>
      <c r="D5925" s="43" t="n">
        <v>288</v>
      </c>
      <c r="E5925" s="44" t="n">
        <v>25481.699</v>
      </c>
    </row>
    <row r="5926">
      <c r="A5926" s="39">
        <f>_xlfn.XLOOKUP(17854,Trip[shape_id],Trip[shape_id],"Não encontrado")</f>
        <v/>
      </c>
      <c r="B5926" s="40" t="n">
        <v>-23.550717</v>
      </c>
      <c r="C5926" s="40" t="n">
        <v>-46.395974</v>
      </c>
      <c r="D5926" s="40" t="n">
        <v>289</v>
      </c>
      <c r="E5926" s="41" t="n">
        <v>25672.111</v>
      </c>
    </row>
    <row r="5927">
      <c r="A5927" s="42">
        <f>_xlfn.XLOOKUP(17854,Trip[shape_id],Trip[shape_id],"Não encontrado")</f>
        <v/>
      </c>
      <c r="B5927" s="43" t="n">
        <v>-23.551165</v>
      </c>
      <c r="C5927" s="43" t="n">
        <v>-46.395502</v>
      </c>
      <c r="D5927" s="43" t="n">
        <v>290</v>
      </c>
      <c r="E5927" s="44" t="n">
        <v>25741.279</v>
      </c>
    </row>
    <row r="5928">
      <c r="A5928" s="39">
        <f>_xlfn.XLOOKUP(17854,Trip[shape_id],Trip[shape_id],"Não encontrado")</f>
        <v/>
      </c>
      <c r="B5928" s="40" t="n">
        <v>-23.551541</v>
      </c>
      <c r="C5928" s="40" t="n">
        <v>-46.394898</v>
      </c>
      <c r="D5928" s="40" t="n">
        <v>291</v>
      </c>
      <c r="E5928" s="41" t="n">
        <v>25815.691</v>
      </c>
    </row>
    <row r="5929">
      <c r="A5929" s="42">
        <f>_xlfn.XLOOKUP(17854,Trip[shape_id],Trip[shape_id],"Não encontrado")</f>
        <v/>
      </c>
      <c r="B5929" s="43" t="n">
        <v>-23.551674</v>
      </c>
      <c r="C5929" s="43" t="n">
        <v>-46.39467</v>
      </c>
      <c r="D5929" s="43" t="n">
        <v>292</v>
      </c>
      <c r="E5929" s="44" t="n">
        <v>25843.24</v>
      </c>
    </row>
    <row r="5930">
      <c r="A5930" s="39">
        <f>_xlfn.XLOOKUP(17854,Trip[shape_id],Trip[shape_id],"Não encontrado")</f>
        <v/>
      </c>
      <c r="B5930" s="40" t="n">
        <v>-23.552275</v>
      </c>
      <c r="C5930" s="40" t="n">
        <v>-46.393641</v>
      </c>
      <c r="D5930" s="40" t="n">
        <v>293</v>
      </c>
      <c r="E5930" s="41" t="n">
        <v>25967.613</v>
      </c>
    </row>
    <row r="5931">
      <c r="A5931" s="42">
        <f>_xlfn.XLOOKUP(17854,Trip[shape_id],Trip[shape_id],"Não encontrado")</f>
        <v/>
      </c>
      <c r="B5931" s="43" t="n">
        <v>-23.552685</v>
      </c>
      <c r="C5931" s="43" t="n">
        <v>-46.393049</v>
      </c>
      <c r="D5931" s="43" t="n">
        <v>294</v>
      </c>
      <c r="E5931" s="44" t="n">
        <v>26043.213</v>
      </c>
    </row>
    <row r="5932">
      <c r="A5932" s="39">
        <f>_xlfn.XLOOKUP(17854,Trip[shape_id],Trip[shape_id],"Não encontrado")</f>
        <v/>
      </c>
      <c r="B5932" s="40" t="n">
        <v>-23.553054</v>
      </c>
      <c r="C5932" s="40" t="n">
        <v>-46.392642</v>
      </c>
      <c r="D5932" s="40" t="n">
        <v>295</v>
      </c>
      <c r="E5932" s="41" t="n">
        <v>26101.496</v>
      </c>
    </row>
    <row r="5933">
      <c r="A5933" s="42">
        <f>_xlfn.XLOOKUP(17854,Trip[shape_id],Trip[shape_id],"Não encontrado")</f>
        <v/>
      </c>
      <c r="B5933" s="43" t="n">
        <v>-23.553636</v>
      </c>
      <c r="C5933" s="43" t="n">
        <v>-46.39227</v>
      </c>
      <c r="D5933" s="43" t="n">
        <v>296</v>
      </c>
      <c r="E5933" s="44" t="n">
        <v>26176.311</v>
      </c>
    </row>
    <row r="5934">
      <c r="A5934" s="39">
        <f>_xlfn.XLOOKUP(17854,Trip[shape_id],Trip[shape_id],"Não encontrado")</f>
        <v/>
      </c>
      <c r="B5934" s="40" t="n">
        <v>-23.554196</v>
      </c>
      <c r="C5934" s="40" t="n">
        <v>-46.391882</v>
      </c>
      <c r="D5934" s="40" t="n">
        <v>297</v>
      </c>
      <c r="E5934" s="41" t="n">
        <v>26249.904</v>
      </c>
    </row>
    <row r="5935">
      <c r="A5935" s="42">
        <f>_xlfn.XLOOKUP(17854,Trip[shape_id],Trip[shape_id],"Não encontrado")</f>
        <v/>
      </c>
      <c r="B5935" s="43" t="n">
        <v>-23.55429</v>
      </c>
      <c r="C5935" s="43" t="n">
        <v>-46.391813</v>
      </c>
      <c r="D5935" s="43" t="n">
        <v>298</v>
      </c>
      <c r="E5935" s="44" t="n">
        <v>26262.475</v>
      </c>
    </row>
    <row r="5936">
      <c r="A5936" s="39">
        <f>_xlfn.XLOOKUP(17854,Trip[shape_id],Trip[shape_id],"Não encontrado")</f>
        <v/>
      </c>
      <c r="B5936" s="40" t="n">
        <v>-23.554722</v>
      </c>
      <c r="C5936" s="40" t="n">
        <v>-46.391369</v>
      </c>
      <c r="D5936" s="40" t="n">
        <v>299</v>
      </c>
      <c r="E5936" s="41" t="n">
        <v>26328.385</v>
      </c>
    </row>
    <row r="5937">
      <c r="A5937" s="42">
        <f>_xlfn.XLOOKUP(17854,Trip[shape_id],Trip[shape_id],"Não encontrado")</f>
        <v/>
      </c>
      <c r="B5937" s="43" t="n">
        <v>-23.554996</v>
      </c>
      <c r="C5937" s="43" t="n">
        <v>-46.390938</v>
      </c>
      <c r="D5937" s="43" t="n">
        <v>300</v>
      </c>
      <c r="E5937" s="44" t="n">
        <v>26381.838</v>
      </c>
    </row>
    <row r="5938">
      <c r="A5938" s="39">
        <f>_xlfn.XLOOKUP(17854,Trip[shape_id],Trip[shape_id],"Não encontrado")</f>
        <v/>
      </c>
      <c r="B5938" s="40" t="n">
        <v>-23.555055</v>
      </c>
      <c r="C5938" s="40" t="n">
        <v>-46.390843</v>
      </c>
      <c r="D5938" s="40" t="n">
        <v>301</v>
      </c>
      <c r="E5938" s="41" t="n">
        <v>26393.533</v>
      </c>
    </row>
    <row r="5939">
      <c r="A5939" s="42">
        <f>_xlfn.XLOOKUP(17854,Trip[shape_id],Trip[shape_id],"Não encontrado")</f>
        <v/>
      </c>
      <c r="B5939" s="43" t="n">
        <v>-23.555277</v>
      </c>
      <c r="C5939" s="43" t="n">
        <v>-46.390113</v>
      </c>
      <c r="D5939" s="43" t="n">
        <v>302</v>
      </c>
      <c r="E5939" s="44" t="n">
        <v>26472.016</v>
      </c>
    </row>
    <row r="5940">
      <c r="A5940" s="39">
        <f>_xlfn.XLOOKUP(17854,Trip[shape_id],Trip[shape_id],"Não encontrado")</f>
        <v/>
      </c>
      <c r="B5940" s="40" t="n">
        <v>-23.55533</v>
      </c>
      <c r="C5940" s="40" t="n">
        <v>-46.389516</v>
      </c>
      <c r="D5940" s="40" t="n">
        <v>303</v>
      </c>
      <c r="E5940" s="41" t="n">
        <v>26533.25</v>
      </c>
    </row>
    <row r="5941">
      <c r="A5941" s="42">
        <f>_xlfn.XLOOKUP(17854,Trip[shape_id],Trip[shape_id],"Não encontrado")</f>
        <v/>
      </c>
      <c r="B5941" s="43" t="n">
        <v>-23.555339</v>
      </c>
      <c r="C5941" s="43" t="n">
        <v>-46.389018</v>
      </c>
      <c r="D5941" s="43" t="n">
        <v>304</v>
      </c>
      <c r="E5941" s="44" t="n">
        <v>26584.105</v>
      </c>
    </row>
    <row r="5942">
      <c r="A5942" s="39">
        <f>_xlfn.XLOOKUP(17854,Trip[shape_id],Trip[shape_id],"Não encontrado")</f>
        <v/>
      </c>
      <c r="B5942" s="40" t="n">
        <v>-23.555162</v>
      </c>
      <c r="C5942" s="40" t="n">
        <v>-46.387757</v>
      </c>
      <c r="D5942" s="40" t="n">
        <v>305</v>
      </c>
      <c r="E5942" s="41" t="n">
        <v>26714.336</v>
      </c>
    </row>
    <row r="5943">
      <c r="A5943" s="42">
        <f>_xlfn.XLOOKUP(17854,Trip[shape_id],Trip[shape_id],"Não encontrado")</f>
        <v/>
      </c>
      <c r="B5943" s="43" t="n">
        <v>-23.555031</v>
      </c>
      <c r="C5943" s="43" t="n">
        <v>-46.38701</v>
      </c>
      <c r="D5943" s="43" t="n">
        <v>306</v>
      </c>
      <c r="E5943" s="44" t="n">
        <v>26791.971</v>
      </c>
    </row>
    <row r="5944">
      <c r="A5944" s="39">
        <f>_xlfn.XLOOKUP(17854,Trip[shape_id],Trip[shape_id],"Não encontrado")</f>
        <v/>
      </c>
      <c r="B5944" s="40" t="n">
        <v>-23.5548</v>
      </c>
      <c r="C5944" s="40" t="n">
        <v>-46.385731</v>
      </c>
      <c r="D5944" s="40" t="n">
        <v>307</v>
      </c>
      <c r="E5944" s="41" t="n">
        <v>26925.037</v>
      </c>
    </row>
    <row r="5945">
      <c r="A5945" s="42">
        <f>_xlfn.XLOOKUP(17854,Trip[shape_id],Trip[shape_id],"Não encontrado")</f>
        <v/>
      </c>
      <c r="B5945" s="43" t="n">
        <v>-23.554576</v>
      </c>
      <c r="C5945" s="43" t="n">
        <v>-46.384474</v>
      </c>
      <c r="D5945" s="43" t="n">
        <v>308</v>
      </c>
      <c r="E5945" s="44" t="n">
        <v>27055.752</v>
      </c>
    </row>
    <row r="5946">
      <c r="A5946" s="39">
        <f>_xlfn.XLOOKUP(17854,Trip[shape_id],Trip[shape_id],"Não encontrado")</f>
        <v/>
      </c>
      <c r="B5946" s="40" t="n">
        <v>-23.554397</v>
      </c>
      <c r="C5946" s="40" t="n">
        <v>-46.383564</v>
      </c>
      <c r="D5946" s="40" t="n">
        <v>309</v>
      </c>
      <c r="E5946" s="41" t="n">
        <v>27150.754</v>
      </c>
    </row>
    <row r="5947">
      <c r="A5947" s="42">
        <f>_xlfn.XLOOKUP(17854,Trip[shape_id],Trip[shape_id],"Não encontrado")</f>
        <v/>
      </c>
      <c r="B5947" s="43" t="n">
        <v>-23.55418</v>
      </c>
      <c r="C5947" s="43" t="n">
        <v>-46.382495</v>
      </c>
      <c r="D5947" s="43" t="n">
        <v>310</v>
      </c>
      <c r="E5947" s="44" t="n">
        <v>27262.512</v>
      </c>
    </row>
    <row r="5948">
      <c r="A5948" s="39">
        <f>_xlfn.XLOOKUP(17854,Trip[shape_id],Trip[shape_id],"Não encontrado")</f>
        <v/>
      </c>
      <c r="B5948" s="40" t="n">
        <v>-23.554147</v>
      </c>
      <c r="C5948" s="40" t="n">
        <v>-46.382309</v>
      </c>
      <c r="D5948" s="40" t="n">
        <v>311</v>
      </c>
      <c r="E5948" s="41" t="n">
        <v>27281.852</v>
      </c>
    </row>
    <row r="5949">
      <c r="A5949" s="42">
        <f>_xlfn.XLOOKUP(17854,Trip[shape_id],Trip[shape_id],"Não encontrado")</f>
        <v/>
      </c>
      <c r="B5949" s="43" t="n">
        <v>-23.55392</v>
      </c>
      <c r="C5949" s="43" t="n">
        <v>-46.381734</v>
      </c>
      <c r="D5949" s="43" t="n">
        <v>312</v>
      </c>
      <c r="E5949" s="44" t="n">
        <v>27345.715</v>
      </c>
    </row>
    <row r="5950">
      <c r="A5950" s="39">
        <f>_xlfn.XLOOKUP(17854,Trip[shape_id],Trip[shape_id],"Não encontrado")</f>
        <v/>
      </c>
      <c r="B5950" s="40" t="n">
        <v>-23.553618</v>
      </c>
      <c r="C5950" s="40" t="n">
        <v>-46.381282</v>
      </c>
      <c r="D5950" s="40" t="n">
        <v>313</v>
      </c>
      <c r="E5950" s="41" t="n">
        <v>27402.709</v>
      </c>
    </row>
    <row r="5951">
      <c r="A5951" s="42">
        <f>_xlfn.XLOOKUP(17854,Trip[shape_id],Trip[shape_id],"Não encontrado")</f>
        <v/>
      </c>
      <c r="B5951" s="43" t="n">
        <v>-23.553019</v>
      </c>
      <c r="C5951" s="43" t="n">
        <v>-46.380825</v>
      </c>
      <c r="D5951" s="43" t="n">
        <v>314</v>
      </c>
      <c r="E5951" s="44" t="n">
        <v>27483.814</v>
      </c>
    </row>
    <row r="5952">
      <c r="A5952" s="39">
        <f>_xlfn.XLOOKUP(17854,Trip[shape_id],Trip[shape_id],"Não encontrado")</f>
        <v/>
      </c>
      <c r="B5952" s="40" t="n">
        <v>-23.552696</v>
      </c>
      <c r="C5952" s="40" t="n">
        <v>-46.38067</v>
      </c>
      <c r="D5952" s="40" t="n">
        <v>315</v>
      </c>
      <c r="E5952" s="41" t="n">
        <v>27522.932</v>
      </c>
    </row>
    <row r="5953">
      <c r="A5953" s="42">
        <f>_xlfn.XLOOKUP(17854,Trip[shape_id],Trip[shape_id],"Não encontrado")</f>
        <v/>
      </c>
      <c r="B5953" s="43" t="n">
        <v>-23.552192</v>
      </c>
      <c r="C5953" s="43" t="n">
        <v>-46.380548</v>
      </c>
      <c r="D5953" s="43" t="n">
        <v>316</v>
      </c>
      <c r="E5953" s="44" t="n">
        <v>27580.123</v>
      </c>
    </row>
    <row r="5954">
      <c r="A5954" s="39">
        <f>_xlfn.XLOOKUP(17854,Trip[shape_id],Trip[shape_id],"Não encontrado")</f>
        <v/>
      </c>
      <c r="B5954" s="40" t="n">
        <v>-23.551249</v>
      </c>
      <c r="C5954" s="40" t="n">
        <v>-46.380399</v>
      </c>
      <c r="D5954" s="40" t="n">
        <v>317</v>
      </c>
      <c r="E5954" s="41" t="n">
        <v>27685.664</v>
      </c>
    </row>
    <row r="5955">
      <c r="A5955" s="42">
        <f>_xlfn.XLOOKUP(17854,Trip[shape_id],Trip[shape_id],"Não encontrado")</f>
        <v/>
      </c>
      <c r="B5955" s="43" t="n">
        <v>-23.550237</v>
      </c>
      <c r="C5955" s="43" t="n">
        <v>-46.380087</v>
      </c>
      <c r="D5955" s="43" t="n">
        <v>318</v>
      </c>
      <c r="E5955" s="44" t="n">
        <v>27802.184</v>
      </c>
    </row>
    <row r="5956">
      <c r="A5956" s="39">
        <f>_xlfn.XLOOKUP(17854,Trip[shape_id],Trip[shape_id],"Não encontrado")</f>
        <v/>
      </c>
      <c r="B5956" s="40" t="n">
        <v>-23.549465</v>
      </c>
      <c r="C5956" s="40" t="n">
        <v>-46.379635</v>
      </c>
      <c r="D5956" s="40" t="n">
        <v>319</v>
      </c>
      <c r="E5956" s="41" t="n">
        <v>27899.344</v>
      </c>
    </row>
    <row r="5957">
      <c r="A5957" s="42">
        <f>_xlfn.XLOOKUP(17854,Trip[shape_id],Trip[shape_id],"Não encontrado")</f>
        <v/>
      </c>
      <c r="B5957" s="43" t="n">
        <v>-23.548661</v>
      </c>
      <c r="C5957" s="43" t="n">
        <v>-46.378785</v>
      </c>
      <c r="D5957" s="43" t="n">
        <v>320</v>
      </c>
      <c r="E5957" s="44" t="n">
        <v>28023.686</v>
      </c>
    </row>
    <row r="5958">
      <c r="A5958" s="39">
        <f>_xlfn.XLOOKUP(17854,Trip[shape_id],Trip[shape_id],"Não encontrado")</f>
        <v/>
      </c>
      <c r="B5958" s="40" t="n">
        <v>-23.547919</v>
      </c>
      <c r="C5958" s="40" t="n">
        <v>-46.378097</v>
      </c>
      <c r="D5958" s="40" t="n">
        <v>321</v>
      </c>
      <c r="E5958" s="41" t="n">
        <v>28131.797</v>
      </c>
    </row>
    <row r="5959">
      <c r="A5959" s="42">
        <f>_xlfn.XLOOKUP(17854,Trip[shape_id],Trip[shape_id],"Não encontrado")</f>
        <v/>
      </c>
      <c r="B5959" s="43" t="n">
        <v>-23.547153</v>
      </c>
      <c r="C5959" s="43" t="n">
        <v>-46.377655</v>
      </c>
      <c r="D5959" s="43" t="n">
        <v>322</v>
      </c>
      <c r="E5959" s="44" t="n">
        <v>28227.891</v>
      </c>
    </row>
    <row r="5960">
      <c r="A5960" s="39">
        <f>_xlfn.XLOOKUP(17854,Trip[shape_id],Trip[shape_id],"Não encontrado")</f>
        <v/>
      </c>
      <c r="B5960" s="40" t="n">
        <v>-23.546392</v>
      </c>
      <c r="C5960" s="40" t="n">
        <v>-46.377202</v>
      </c>
      <c r="D5960" s="40" t="n">
        <v>323</v>
      </c>
      <c r="E5960" s="41" t="n">
        <v>28324.031</v>
      </c>
    </row>
    <row r="5961">
      <c r="A5961" s="42">
        <f>_xlfn.XLOOKUP(17854,Trip[shape_id],Trip[shape_id],"Não encontrado")</f>
        <v/>
      </c>
      <c r="B5961" s="43" t="n">
        <v>-23.545978</v>
      </c>
      <c r="C5961" s="43" t="n">
        <v>-46.376952</v>
      </c>
      <c r="D5961" s="43" t="n">
        <v>324</v>
      </c>
      <c r="E5961" s="44" t="n">
        <v>28376.51</v>
      </c>
    </row>
    <row r="5962">
      <c r="A5962" s="39">
        <f>_xlfn.XLOOKUP(17854,Trip[shape_id],Trip[shape_id],"Não encontrado")</f>
        <v/>
      </c>
      <c r="B5962" s="40" t="n">
        <v>-23.54543</v>
      </c>
      <c r="C5962" s="40" t="n">
        <v>-46.37645</v>
      </c>
      <c r="D5962" s="40" t="n">
        <v>325</v>
      </c>
      <c r="E5962" s="41" t="n">
        <v>28455.951</v>
      </c>
    </row>
    <row r="5963">
      <c r="A5963" s="42">
        <f>_xlfn.XLOOKUP(17854,Trip[shape_id],Trip[shape_id],"Não encontrado")</f>
        <v/>
      </c>
      <c r="B5963" s="43" t="n">
        <v>-23.54498</v>
      </c>
      <c r="C5963" s="43" t="n">
        <v>-46.375866</v>
      </c>
      <c r="D5963" s="43" t="n">
        <v>326</v>
      </c>
      <c r="E5963" s="44" t="n">
        <v>28533.666</v>
      </c>
    </row>
    <row r="5964">
      <c r="A5964" s="39">
        <f>_xlfn.XLOOKUP(17854,Trip[shape_id],Trip[shape_id],"Não encontrado")</f>
        <v/>
      </c>
      <c r="B5964" s="40" t="n">
        <v>-23.544691</v>
      </c>
      <c r="C5964" s="40" t="n">
        <v>-46.375261</v>
      </c>
      <c r="D5964" s="40" t="n">
        <v>327</v>
      </c>
      <c r="E5964" s="41" t="n">
        <v>28603.24</v>
      </c>
    </row>
    <row r="5965">
      <c r="A5965" s="42">
        <f>_xlfn.XLOOKUP(17854,Trip[shape_id],Trip[shape_id],"Não encontrado")</f>
        <v/>
      </c>
      <c r="B5965" s="43" t="n">
        <v>-23.544317</v>
      </c>
      <c r="C5965" s="43" t="n">
        <v>-46.374233</v>
      </c>
      <c r="D5965" s="43" t="n">
        <v>328</v>
      </c>
      <c r="E5965" s="44" t="n">
        <v>28716.084</v>
      </c>
    </row>
    <row r="5966">
      <c r="A5966" s="39">
        <f>_xlfn.XLOOKUP(17854,Trip[shape_id],Trip[shape_id],"Não encontrado")</f>
        <v/>
      </c>
      <c r="B5966" s="40" t="n">
        <v>-23.543804</v>
      </c>
      <c r="C5966" s="40" t="n">
        <v>-46.372706</v>
      </c>
      <c r="D5966" s="40" t="n">
        <v>329</v>
      </c>
      <c r="E5966" s="41" t="n">
        <v>28882.031</v>
      </c>
    </row>
    <row r="5967">
      <c r="A5967" s="42">
        <f>_xlfn.XLOOKUP(17854,Trip[shape_id],Trip[shape_id],"Não encontrado")</f>
        <v/>
      </c>
      <c r="B5967" s="43" t="n">
        <v>-23.543458</v>
      </c>
      <c r="C5967" s="43" t="n">
        <v>-46.372095</v>
      </c>
      <c r="D5967" s="43" t="n">
        <v>330</v>
      </c>
      <c r="E5967" s="44" t="n">
        <v>28955.248</v>
      </c>
    </row>
    <row r="5968">
      <c r="A5968" s="39">
        <f>_xlfn.XLOOKUP(17854,Trip[shape_id],Trip[shape_id],"Não encontrado")</f>
        <v/>
      </c>
      <c r="B5968" s="40" t="n">
        <v>-23.542449</v>
      </c>
      <c r="C5968" s="40" t="n">
        <v>-46.370689</v>
      </c>
      <c r="D5968" s="40" t="n">
        <v>331</v>
      </c>
      <c r="E5968" s="41" t="n">
        <v>29137.178</v>
      </c>
    </row>
    <row r="5969">
      <c r="A5969" s="42">
        <f>_xlfn.XLOOKUP(17854,Trip[shape_id],Trip[shape_id],"Não encontrado")</f>
        <v/>
      </c>
      <c r="B5969" s="43" t="n">
        <v>-23.541494</v>
      </c>
      <c r="C5969" s="43" t="n">
        <v>-46.36933</v>
      </c>
      <c r="D5969" s="43" t="n">
        <v>332</v>
      </c>
      <c r="E5969" s="44" t="n">
        <v>29311.656</v>
      </c>
    </row>
    <row r="5970">
      <c r="A5970" s="39">
        <f>_xlfn.XLOOKUP(17854,Trip[shape_id],Trip[shape_id],"Não encontrado")</f>
        <v/>
      </c>
      <c r="B5970" s="40" t="n">
        <v>-23.541113</v>
      </c>
      <c r="C5970" s="40" t="n">
        <v>-46.368791</v>
      </c>
      <c r="D5970" s="40" t="n">
        <v>333</v>
      </c>
      <c r="E5970" s="41" t="n">
        <v>29381.008</v>
      </c>
    </row>
    <row r="5971">
      <c r="A5971" s="42">
        <f>_xlfn.XLOOKUP(17854,Trip[shape_id],Trip[shape_id],"Não encontrado")</f>
        <v/>
      </c>
      <c r="B5971" s="43" t="n">
        <v>-23.540687</v>
      </c>
      <c r="C5971" s="43" t="n">
        <v>-46.368207</v>
      </c>
      <c r="D5971" s="43" t="n">
        <v>334</v>
      </c>
      <c r="E5971" s="44" t="n">
        <v>29457.047</v>
      </c>
    </row>
    <row r="5972">
      <c r="A5972" s="39">
        <f>_xlfn.XLOOKUP(17854,Trip[shape_id],Trip[shape_id],"Não encontrado")</f>
        <v/>
      </c>
      <c r="B5972" s="40" t="n">
        <v>-23.540515</v>
      </c>
      <c r="C5972" s="40" t="n">
        <v>-46.367973</v>
      </c>
      <c r="D5972" s="40" t="n">
        <v>335</v>
      </c>
      <c r="E5972" s="41" t="n">
        <v>29487.605</v>
      </c>
    </row>
    <row r="5973">
      <c r="A5973" s="42">
        <f>_xlfn.XLOOKUP(17854,Trip[shape_id],Trip[shape_id],"Não encontrado")</f>
        <v/>
      </c>
      <c r="B5973" s="43" t="n">
        <v>-23.539908</v>
      </c>
      <c r="C5973" s="43" t="n">
        <v>-46.36716</v>
      </c>
      <c r="D5973" s="43" t="n">
        <v>336</v>
      </c>
      <c r="E5973" s="44" t="n">
        <v>29594.428</v>
      </c>
    </row>
    <row r="5974">
      <c r="A5974" s="39">
        <f>_xlfn.XLOOKUP(17854,Trip[shape_id],Trip[shape_id],"Não encontrado")</f>
        <v/>
      </c>
      <c r="B5974" s="40" t="n">
        <v>-23.539424</v>
      </c>
      <c r="C5974" s="40" t="n">
        <v>-46.366499</v>
      </c>
      <c r="D5974" s="40" t="n">
        <v>337</v>
      </c>
      <c r="E5974" s="41" t="n">
        <v>29680.619</v>
      </c>
    </row>
    <row r="5975">
      <c r="A5975" s="42">
        <f>_xlfn.XLOOKUP(17854,Trip[shape_id],Trip[shape_id],"Não encontrado")</f>
        <v/>
      </c>
      <c r="B5975" s="43" t="n">
        <v>-23.536936</v>
      </c>
      <c r="C5975" s="43" t="n">
        <v>-46.363005</v>
      </c>
      <c r="D5975" s="43" t="n">
        <v>338</v>
      </c>
      <c r="E5975" s="44" t="n">
        <v>30131.416</v>
      </c>
    </row>
    <row r="5976">
      <c r="A5976" s="39">
        <f>_xlfn.XLOOKUP(17854,Trip[shape_id],Trip[shape_id],"Não encontrado")</f>
        <v/>
      </c>
      <c r="B5976" s="40" t="n">
        <v>-23.535062</v>
      </c>
      <c r="C5976" s="40" t="n">
        <v>-46.360366</v>
      </c>
      <c r="D5976" s="40" t="n">
        <v>339</v>
      </c>
      <c r="E5976" s="41" t="n">
        <v>30471.555</v>
      </c>
    </row>
    <row r="5977">
      <c r="A5977" s="42">
        <f>_xlfn.XLOOKUP(17854,Trip[shape_id],Trip[shape_id],"Não encontrado")</f>
        <v/>
      </c>
      <c r="B5977" s="43" t="n">
        <v>-23.534042</v>
      </c>
      <c r="C5977" s="43" t="n">
        <v>-46.358591</v>
      </c>
      <c r="D5977" s="43" t="n">
        <v>340</v>
      </c>
      <c r="E5977" s="44" t="n">
        <v>30685.129</v>
      </c>
    </row>
    <row r="5978">
      <c r="A5978" s="39">
        <f>_xlfn.XLOOKUP(17854,Trip[shape_id],Trip[shape_id],"Não encontrado")</f>
        <v/>
      </c>
      <c r="B5978" s="40" t="n">
        <v>-23.532196</v>
      </c>
      <c r="C5978" s="40" t="n">
        <v>-46.35538</v>
      </c>
      <c r="D5978" s="40" t="n">
        <v>341</v>
      </c>
      <c r="E5978" s="41" t="n">
        <v>31071.539</v>
      </c>
    </row>
    <row r="5979">
      <c r="A5979" s="42">
        <f>_xlfn.XLOOKUP(17854,Trip[shape_id],Trip[shape_id],"Não encontrado")</f>
        <v/>
      </c>
      <c r="B5979" s="43" t="n">
        <v>-23.531083</v>
      </c>
      <c r="C5979" s="43" t="n">
        <v>-46.353449</v>
      </c>
      <c r="D5979" s="43" t="n">
        <v>342</v>
      </c>
      <c r="E5979" s="44" t="n">
        <v>31304.084</v>
      </c>
    </row>
    <row r="5980">
      <c r="A5980" s="39">
        <f>_xlfn.XLOOKUP(17854,Trip[shape_id],Trip[shape_id],"Não encontrado")</f>
        <v/>
      </c>
      <c r="B5980" s="40" t="n">
        <v>-23.529935</v>
      </c>
      <c r="C5980" s="40" t="n">
        <v>-46.351458</v>
      </c>
      <c r="D5980" s="40" t="n">
        <v>343</v>
      </c>
      <c r="E5980" s="41" t="n">
        <v>31543.881</v>
      </c>
    </row>
    <row r="5981">
      <c r="A5981" s="42">
        <f>_xlfn.XLOOKUP(17854,Trip[shape_id],Trip[shape_id],"Não encontrado")</f>
        <v/>
      </c>
      <c r="B5981" s="43" t="n">
        <v>-23.528904</v>
      </c>
      <c r="C5981" s="43" t="n">
        <v>-46.349665</v>
      </c>
      <c r="D5981" s="43" t="n">
        <v>344</v>
      </c>
      <c r="E5981" s="44" t="n">
        <v>31759.666</v>
      </c>
    </row>
    <row r="5982">
      <c r="A5982" s="39">
        <f>_xlfn.XLOOKUP(17854,Trip[shape_id],Trip[shape_id],"Não encontrado")</f>
        <v/>
      </c>
      <c r="B5982" s="40" t="n">
        <v>-23.527273</v>
      </c>
      <c r="C5982" s="40" t="n">
        <v>-46.346838</v>
      </c>
      <c r="D5982" s="40" t="n">
        <v>345</v>
      </c>
      <c r="E5982" s="41" t="n">
        <v>32100.213</v>
      </c>
    </row>
    <row r="5983">
      <c r="A5983" s="42">
        <f>_xlfn.XLOOKUP(17854,Trip[shape_id],Trip[shape_id],"Não encontrado")</f>
        <v/>
      </c>
      <c r="B5983" s="43" t="n">
        <v>-23.525846</v>
      </c>
      <c r="C5983" s="43" t="n">
        <v>-46.34436</v>
      </c>
      <c r="D5983" s="43" t="n">
        <v>346</v>
      </c>
      <c r="E5983" s="44" t="n">
        <v>32398.564</v>
      </c>
    </row>
    <row r="5984">
      <c r="A5984" s="39">
        <f>_xlfn.XLOOKUP(17854,Trip[shape_id],Trip[shape_id],"Não encontrado")</f>
        <v/>
      </c>
      <c r="B5984" s="40" t="n">
        <v>-23.52521</v>
      </c>
      <c r="C5984" s="40" t="n">
        <v>-46.343252</v>
      </c>
      <c r="D5984" s="40" t="n">
        <v>347</v>
      </c>
      <c r="E5984" s="41" t="n">
        <v>32531.848</v>
      </c>
    </row>
    <row r="5985">
      <c r="A5985" s="42">
        <f>_xlfn.XLOOKUP(17854,Trip[shape_id],Trip[shape_id],"Não encontrado")</f>
        <v/>
      </c>
      <c r="B5985" s="43" t="n">
        <v>-23.524917</v>
      </c>
      <c r="C5985" s="43" t="n">
        <v>-46.342746</v>
      </c>
      <c r="D5985" s="43" t="n">
        <v>348</v>
      </c>
      <c r="E5985" s="44" t="n">
        <v>32592.865</v>
      </c>
    </row>
    <row r="5986">
      <c r="A5986" s="39">
        <f>_xlfn.XLOOKUP(17854,Trip[shape_id],Trip[shape_id],"Não encontrado")</f>
        <v/>
      </c>
      <c r="B5986" s="40" t="n">
        <v>-23.524426</v>
      </c>
      <c r="C5986" s="40" t="n">
        <v>-46.341894</v>
      </c>
      <c r="D5986" s="40" t="n">
        <v>349</v>
      </c>
      <c r="E5986" s="41" t="n">
        <v>32695.469</v>
      </c>
    </row>
    <row r="5987">
      <c r="A5987" s="42">
        <f>_xlfn.XLOOKUP(17854,Trip[shape_id],Trip[shape_id],"Não encontrado")</f>
        <v/>
      </c>
      <c r="B5987" s="43" t="n">
        <v>-23.523649</v>
      </c>
      <c r="C5987" s="43" t="n">
        <v>-46.340551</v>
      </c>
      <c r="D5987" s="43" t="n">
        <v>350</v>
      </c>
      <c r="E5987" s="44" t="n">
        <v>32857.383</v>
      </c>
    </row>
    <row r="5988">
      <c r="A5988" s="39">
        <f>_xlfn.XLOOKUP(17854,Trip[shape_id],Trip[shape_id],"Não encontrado")</f>
        <v/>
      </c>
      <c r="B5988" s="40" t="n">
        <v>-23.523404</v>
      </c>
      <c r="C5988" s="40" t="n">
        <v>-46.339648</v>
      </c>
      <c r="D5988" s="40" t="n">
        <v>351</v>
      </c>
      <c r="E5988" s="41" t="n">
        <v>32953.508</v>
      </c>
    </row>
    <row r="5989">
      <c r="A5989" s="42">
        <f>_xlfn.XLOOKUP(17854,Trip[shape_id],Trip[shape_id],"Não encontrado")</f>
        <v/>
      </c>
      <c r="B5989" s="43" t="n">
        <v>-23.523557</v>
      </c>
      <c r="C5989" s="43" t="n">
        <v>-46.338359</v>
      </c>
      <c r="D5989" s="43" t="n">
        <v>352</v>
      </c>
      <c r="E5989" s="44" t="n">
        <v>33086.23</v>
      </c>
    </row>
    <row r="5990">
      <c r="A5990" s="39">
        <f>_xlfn.XLOOKUP(17854,Trip[shape_id],Trip[shape_id],"Não encontrado")</f>
        <v/>
      </c>
      <c r="B5990" s="40" t="n">
        <v>-23.524945</v>
      </c>
      <c r="C5990" s="40" t="n">
        <v>-46.334351</v>
      </c>
      <c r="D5990" s="40" t="n">
        <v>353</v>
      </c>
      <c r="E5990" s="41" t="n">
        <v>33523.453</v>
      </c>
    </row>
    <row r="5991">
      <c r="A5991" s="42">
        <f>_xlfn.XLOOKUP(17854,Trip[shape_id],Trip[shape_id],"Não encontrado")</f>
        <v/>
      </c>
      <c r="B5991" s="43" t="n">
        <v>-23.525285</v>
      </c>
      <c r="C5991" s="43" t="n">
        <v>-46.333363</v>
      </c>
      <c r="D5991" s="43" t="n">
        <v>354</v>
      </c>
      <c r="E5991" s="44" t="n">
        <v>33631.148</v>
      </c>
    </row>
    <row r="5992">
      <c r="A5992" s="39">
        <f>_xlfn.XLOOKUP(17854,Trip[shape_id],Trip[shape_id],"Não encontrado")</f>
        <v/>
      </c>
      <c r="B5992" s="40" t="n">
        <v>-23.525397</v>
      </c>
      <c r="C5992" s="40" t="n">
        <v>-46.333044</v>
      </c>
      <c r="D5992" s="40" t="n">
        <v>355</v>
      </c>
      <c r="E5992" s="41" t="n">
        <v>33666.008</v>
      </c>
    </row>
    <row r="5993">
      <c r="A5993" s="42">
        <f>_xlfn.XLOOKUP(17854,Trip[shape_id],Trip[shape_id],"Não encontrado")</f>
        <v/>
      </c>
      <c r="B5993" s="43" t="n">
        <v>-23.525486</v>
      </c>
      <c r="C5993" s="43" t="n">
        <v>-46.332789</v>
      </c>
      <c r="D5993" s="43" t="n">
        <v>356</v>
      </c>
      <c r="E5993" s="44" t="n">
        <v>33693.852</v>
      </c>
    </row>
    <row r="5994">
      <c r="A5994" s="39">
        <f>_xlfn.XLOOKUP(17854,Trip[shape_id],Trip[shape_id],"Não encontrado")</f>
        <v/>
      </c>
      <c r="B5994" s="40" t="n">
        <v>-23.525539</v>
      </c>
      <c r="C5994" s="40" t="n">
        <v>-46.332641</v>
      </c>
      <c r="D5994" s="40" t="n">
        <v>357</v>
      </c>
      <c r="E5994" s="41" t="n">
        <v>33710.066</v>
      </c>
    </row>
    <row r="5995">
      <c r="A5995" s="42">
        <f>_xlfn.XLOOKUP(17854,Trip[shape_id],Trip[shape_id],"Não encontrado")</f>
        <v/>
      </c>
      <c r="B5995" s="43" t="n">
        <v>-23.52569</v>
      </c>
      <c r="C5995" s="43" t="n">
        <v>-46.332208</v>
      </c>
      <c r="D5995" s="43" t="n">
        <v>358</v>
      </c>
      <c r="E5995" s="44" t="n">
        <v>33757.34</v>
      </c>
    </row>
    <row r="5996">
      <c r="A5996" s="39">
        <f>_xlfn.XLOOKUP(17854,Trip[shape_id],Trip[shape_id],"Não encontrado")</f>
        <v/>
      </c>
      <c r="B5996" s="40" t="n">
        <v>-23.525914</v>
      </c>
      <c r="C5996" s="40" t="n">
        <v>-46.331573</v>
      </c>
      <c r="D5996" s="40" t="n">
        <v>359</v>
      </c>
      <c r="E5996" s="41" t="n">
        <v>33826.77</v>
      </c>
    </row>
    <row r="5997">
      <c r="A5997" s="42">
        <f>_xlfn.XLOOKUP(17854,Trip[shape_id],Trip[shape_id],"Não encontrado")</f>
        <v/>
      </c>
      <c r="B5997" s="43" t="n">
        <v>-23.526025</v>
      </c>
      <c r="C5997" s="43" t="n">
        <v>-46.331258</v>
      </c>
      <c r="D5997" s="43" t="n">
        <v>360</v>
      </c>
      <c r="E5997" s="44" t="n">
        <v>33861.207</v>
      </c>
    </row>
    <row r="5998">
      <c r="A5998" s="39">
        <f>_xlfn.XLOOKUP(17854,Trip[shape_id],Trip[shape_id],"Não encontrado")</f>
        <v/>
      </c>
      <c r="B5998" s="40" t="n">
        <v>-23.526514</v>
      </c>
      <c r="C5998" s="40" t="n">
        <v>-46.329911</v>
      </c>
      <c r="D5998" s="40" t="n">
        <v>361</v>
      </c>
      <c r="E5998" s="41" t="n">
        <v>34009.039</v>
      </c>
    </row>
    <row r="5999">
      <c r="A5999" s="42">
        <f>_xlfn.XLOOKUP(17854,Trip[shape_id],Trip[shape_id],"Não encontrado")</f>
        <v/>
      </c>
      <c r="B5999" s="43" t="n">
        <v>-23.527175</v>
      </c>
      <c r="C5999" s="43" t="n">
        <v>-46.32809</v>
      </c>
      <c r="D5999" s="43" t="n">
        <v>362</v>
      </c>
      <c r="E5999" s="44" t="n">
        <v>34208.891</v>
      </c>
    </row>
    <row r="6000">
      <c r="A6000" s="39">
        <f>_xlfn.XLOOKUP(17854,Trip[shape_id],Trip[shape_id],"Não encontrado")</f>
        <v/>
      </c>
      <c r="B6000" s="40" t="n">
        <v>-23.527444</v>
      </c>
      <c r="C6000" s="40" t="n">
        <v>-46.327348</v>
      </c>
      <c r="D6000" s="40" t="n">
        <v>363</v>
      </c>
      <c r="E6000" s="41" t="n">
        <v>34290.309</v>
      </c>
    </row>
    <row r="6001">
      <c r="A6001" s="42">
        <f>_xlfn.XLOOKUP(17854,Trip[shape_id],Trip[shape_id],"Não encontrado")</f>
        <v/>
      </c>
      <c r="B6001" s="43" t="n">
        <v>-23.527525</v>
      </c>
      <c r="C6001" s="43" t="n">
        <v>-46.327122</v>
      </c>
      <c r="D6001" s="43" t="n">
        <v>364</v>
      </c>
      <c r="E6001" s="44" t="n">
        <v>34315.07</v>
      </c>
    </row>
    <row r="6002">
      <c r="A6002" s="39">
        <f>_xlfn.XLOOKUP(17854,Trip[shape_id],Trip[shape_id],"Não encontrado")</f>
        <v/>
      </c>
      <c r="B6002" s="40" t="n">
        <v>-23.527646</v>
      </c>
      <c r="C6002" s="40" t="n">
        <v>-46.326762</v>
      </c>
      <c r="D6002" s="40" t="n">
        <v>365</v>
      </c>
      <c r="E6002" s="41" t="n">
        <v>34354.199</v>
      </c>
    </row>
    <row r="6003">
      <c r="A6003" s="42">
        <f>_xlfn.XLOOKUP(17854,Trip[shape_id],Trip[shape_id],"Não encontrado")</f>
        <v/>
      </c>
      <c r="B6003" s="43" t="n">
        <v>-23.527892</v>
      </c>
      <c r="C6003" s="43" t="n">
        <v>-46.326025</v>
      </c>
      <c r="D6003" s="43" t="n">
        <v>366</v>
      </c>
      <c r="E6003" s="44" t="n">
        <v>34434.242</v>
      </c>
    </row>
    <row r="6004">
      <c r="A6004" s="39">
        <f>_xlfn.XLOOKUP(17854,Trip[shape_id],Trip[shape_id],"Não encontrado")</f>
        <v/>
      </c>
      <c r="B6004" s="40" t="n">
        <v>-23.528244</v>
      </c>
      <c r="C6004" s="40" t="n">
        <v>-46.324978</v>
      </c>
      <c r="D6004" s="40" t="n">
        <v>367</v>
      </c>
      <c r="E6004" s="41" t="n">
        <v>34548.047</v>
      </c>
    </row>
    <row r="6005">
      <c r="A6005" s="42">
        <f>_xlfn.XLOOKUP(17854,Trip[shape_id],Trip[shape_id],"Não encontrado")</f>
        <v/>
      </c>
      <c r="B6005" s="43" t="n">
        <v>-23.528658</v>
      </c>
      <c r="C6005" s="43" t="n">
        <v>-46.323738</v>
      </c>
      <c r="D6005" s="43" t="n">
        <v>368</v>
      </c>
      <c r="E6005" s="44" t="n">
        <v>34682.719</v>
      </c>
    </row>
    <row r="6006">
      <c r="A6006" s="39">
        <f>_xlfn.XLOOKUP(17854,Trip[shape_id],Trip[shape_id],"Não encontrado")</f>
        <v/>
      </c>
      <c r="B6006" s="40" t="n">
        <v>-23.528858</v>
      </c>
      <c r="C6006" s="40" t="n">
        <v>-46.323138</v>
      </c>
      <c r="D6006" s="40" t="n">
        <v>369</v>
      </c>
      <c r="E6006" s="41" t="n">
        <v>34747.871</v>
      </c>
    </row>
    <row r="6007">
      <c r="A6007" s="42">
        <f>_xlfn.XLOOKUP(17854,Trip[shape_id],Trip[shape_id],"Não encontrado")</f>
        <v/>
      </c>
      <c r="B6007" s="43" t="n">
        <v>-23.529238</v>
      </c>
      <c r="C6007" s="43" t="n">
        <v>-46.322011</v>
      </c>
      <c r="D6007" s="43" t="n">
        <v>370</v>
      </c>
      <c r="E6007" s="44" t="n">
        <v>34870.414</v>
      </c>
    </row>
    <row r="6008">
      <c r="A6008" s="39">
        <f>_xlfn.XLOOKUP(17854,Trip[shape_id],Trip[shape_id],"Não encontrado")</f>
        <v/>
      </c>
      <c r="B6008" s="40" t="n">
        <v>-23.529392</v>
      </c>
      <c r="C6008" s="40" t="n">
        <v>-46.321546</v>
      </c>
      <c r="D6008" s="40" t="n">
        <v>371</v>
      </c>
      <c r="E6008" s="41" t="n">
        <v>34920.871</v>
      </c>
    </row>
    <row r="6009">
      <c r="A6009" s="42">
        <f>_xlfn.XLOOKUP(17854,Trip[shape_id],Trip[shape_id],"Não encontrado")</f>
        <v/>
      </c>
      <c r="B6009" s="43" t="n">
        <v>-23.53006</v>
      </c>
      <c r="C6009" s="43" t="n">
        <v>-46.319611</v>
      </c>
      <c r="D6009" s="43" t="n">
        <v>372</v>
      </c>
      <c r="E6009" s="44" t="n">
        <v>35131.863</v>
      </c>
    </row>
    <row r="6010">
      <c r="A6010" s="39">
        <f>_xlfn.XLOOKUP(17854,Trip[shape_id],Trip[shape_id],"Não encontrado")</f>
        <v/>
      </c>
      <c r="B6010" s="40" t="n">
        <v>-23.530427</v>
      </c>
      <c r="C6010" s="40" t="n">
        <v>-46.318546</v>
      </c>
      <c r="D6010" s="40" t="n">
        <v>373</v>
      </c>
      <c r="E6010" s="41" t="n">
        <v>35247.965</v>
      </c>
    </row>
    <row r="6011">
      <c r="A6011" s="42">
        <f>_xlfn.XLOOKUP(17854,Trip[shape_id],Trip[shape_id],"Não encontrado")</f>
        <v/>
      </c>
      <c r="B6011" s="43" t="n">
        <v>-23.530844</v>
      </c>
      <c r="C6011" s="43" t="n">
        <v>-46.31734</v>
      </c>
      <c r="D6011" s="43" t="n">
        <v>374</v>
      </c>
      <c r="E6011" s="44" t="n">
        <v>35379.492</v>
      </c>
    </row>
    <row r="6012">
      <c r="A6012" s="39">
        <f>_xlfn.XLOOKUP(17854,Trip[shape_id],Trip[shape_id],"Não encontrado")</f>
        <v/>
      </c>
      <c r="B6012" s="40" t="n">
        <v>-23.53134</v>
      </c>
      <c r="C6012" s="40" t="n">
        <v>-46.315903</v>
      </c>
      <c r="D6012" s="40" t="n">
        <v>375</v>
      </c>
      <c r="E6012" s="41" t="n">
        <v>35536.18</v>
      </c>
    </row>
    <row r="6013">
      <c r="A6013" s="42">
        <f>_xlfn.XLOOKUP(17854,Trip[shape_id],Trip[shape_id],"Não encontrado")</f>
        <v/>
      </c>
      <c r="B6013" s="43" t="n">
        <v>-23.531539</v>
      </c>
      <c r="C6013" s="43" t="n">
        <v>-46.315324</v>
      </c>
      <c r="D6013" s="43" t="n">
        <v>376</v>
      </c>
      <c r="E6013" s="44" t="n">
        <v>35599.281</v>
      </c>
    </row>
    <row r="6014">
      <c r="A6014" s="39">
        <f>_xlfn.XLOOKUP(17854,Trip[shape_id],Trip[shape_id],"Não encontrado")</f>
        <v/>
      </c>
      <c r="B6014" s="40" t="n">
        <v>-23.532217</v>
      </c>
      <c r="C6014" s="40" t="n">
        <v>-46.313359</v>
      </c>
      <c r="D6014" s="40" t="n">
        <v>377</v>
      </c>
      <c r="E6014" s="41" t="n">
        <v>35813.531</v>
      </c>
    </row>
    <row r="6015">
      <c r="A6015" s="42">
        <f>_xlfn.XLOOKUP(17854,Trip[shape_id],Trip[shape_id],"Não encontrado")</f>
        <v/>
      </c>
      <c r="B6015" s="43" t="n">
        <v>-23.532316</v>
      </c>
      <c r="C6015" s="43" t="n">
        <v>-46.313072</v>
      </c>
      <c r="D6015" s="43" t="n">
        <v>378</v>
      </c>
      <c r="E6015" s="44" t="n">
        <v>35844.824</v>
      </c>
    </row>
    <row r="6016">
      <c r="A6016" s="39">
        <f>_xlfn.XLOOKUP(17854,Trip[shape_id],Trip[shape_id],"Não encontrado")</f>
        <v/>
      </c>
      <c r="B6016" s="40" t="n">
        <v>-23.532801</v>
      </c>
      <c r="C6016" s="40" t="n">
        <v>-46.311745</v>
      </c>
      <c r="D6016" s="40" t="n">
        <v>379</v>
      </c>
      <c r="E6016" s="41" t="n">
        <v>35990.59</v>
      </c>
    </row>
    <row r="6017">
      <c r="A6017" s="42">
        <f>_xlfn.XLOOKUP(17854,Trip[shape_id],Trip[shape_id],"Não encontrado")</f>
        <v/>
      </c>
      <c r="B6017" s="43" t="n">
        <v>-23.533357</v>
      </c>
      <c r="C6017" s="43" t="n">
        <v>-46.310225</v>
      </c>
      <c r="D6017" s="43" t="n">
        <v>380</v>
      </c>
      <c r="E6017" s="44" t="n">
        <v>36157.574</v>
      </c>
    </row>
    <row r="6018">
      <c r="A6018" s="39">
        <f>_xlfn.XLOOKUP(17854,Trip[shape_id],Trip[shape_id],"Não encontrado")</f>
        <v/>
      </c>
      <c r="B6018" s="40" t="n">
        <v>-23.533768</v>
      </c>
      <c r="C6018" s="40" t="n">
        <v>-46.309095</v>
      </c>
      <c r="D6018" s="40" t="n">
        <v>381</v>
      </c>
      <c r="E6018" s="41" t="n">
        <v>36281.617</v>
      </c>
    </row>
    <row r="6019">
      <c r="A6019" s="42">
        <f>_xlfn.XLOOKUP(17854,Trip[shape_id],Trip[shape_id],"Não encontrado")</f>
        <v/>
      </c>
      <c r="B6019" s="43" t="n">
        <v>-23.534035</v>
      </c>
      <c r="C6019" s="43" t="n">
        <v>-46.308363</v>
      </c>
      <c r="D6019" s="43" t="n">
        <v>382</v>
      </c>
      <c r="E6019" s="44" t="n">
        <v>36362</v>
      </c>
    </row>
    <row r="6020">
      <c r="A6020" s="39">
        <f>_xlfn.XLOOKUP(17854,Trip[shape_id],Trip[shape_id],"Não encontrado")</f>
        <v/>
      </c>
      <c r="B6020" s="40" t="n">
        <v>-23.534404</v>
      </c>
      <c r="C6020" s="40" t="n">
        <v>-46.307348</v>
      </c>
      <c r="D6020" s="40" t="n">
        <v>383</v>
      </c>
      <c r="E6020" s="41" t="n">
        <v>36473.414</v>
      </c>
    </row>
    <row r="6021">
      <c r="A6021" s="42">
        <f>_xlfn.XLOOKUP(17854,Trip[shape_id],Trip[shape_id],"Não encontrado")</f>
        <v/>
      </c>
      <c r="B6021" s="43" t="n">
        <v>-23.534627</v>
      </c>
      <c r="C6021" s="43" t="n">
        <v>-46.30673</v>
      </c>
      <c r="D6021" s="43" t="n">
        <v>384</v>
      </c>
      <c r="E6021" s="44" t="n">
        <v>36541.18</v>
      </c>
    </row>
    <row r="6022">
      <c r="A6022" s="39">
        <f>_xlfn.XLOOKUP(17854,Trip[shape_id],Trip[shape_id],"Não encontrado")</f>
        <v/>
      </c>
      <c r="B6022" s="40" t="n">
        <v>-23.534688</v>
      </c>
      <c r="C6022" s="40" t="n">
        <v>-46.306546</v>
      </c>
      <c r="D6022" s="40" t="n">
        <v>385</v>
      </c>
      <c r="E6022" s="41" t="n">
        <v>36561.145</v>
      </c>
    </row>
    <row r="6023">
      <c r="A6023" s="42">
        <f>_xlfn.XLOOKUP(17854,Trip[shape_id],Trip[shape_id],"Não encontrado")</f>
        <v/>
      </c>
      <c r="B6023" s="43" t="n">
        <v>-23.534909</v>
      </c>
      <c r="C6023" s="43" t="n">
        <v>-46.305885</v>
      </c>
      <c r="D6023" s="43" t="n">
        <v>386</v>
      </c>
      <c r="E6023" s="44" t="n">
        <v>36632.941</v>
      </c>
    </row>
    <row r="6024">
      <c r="A6024" s="39">
        <f>_xlfn.XLOOKUP(17854,Trip[shape_id],Trip[shape_id],"Não encontrado")</f>
        <v/>
      </c>
      <c r="B6024" s="40" t="n">
        <v>-23.53503</v>
      </c>
      <c r="C6024" s="40" t="n">
        <v>-46.305516</v>
      </c>
      <c r="D6024" s="40" t="n">
        <v>387</v>
      </c>
      <c r="E6024" s="41" t="n">
        <v>36672.934</v>
      </c>
    </row>
    <row r="6025">
      <c r="A6025" s="42">
        <f>_xlfn.XLOOKUP(17854,Trip[shape_id],Trip[shape_id],"Não encontrado")</f>
        <v/>
      </c>
      <c r="B6025" s="43" t="n">
        <v>-23.53538</v>
      </c>
      <c r="C6025" s="43" t="n">
        <v>-46.304464</v>
      </c>
      <c r="D6025" s="43" t="n">
        <v>388</v>
      </c>
      <c r="E6025" s="44" t="n">
        <v>36787.137</v>
      </c>
    </row>
    <row r="6026">
      <c r="A6026" s="39">
        <f>_xlfn.XLOOKUP(17854,Trip[shape_id],Trip[shape_id],"Não encontrado")</f>
        <v/>
      </c>
      <c r="B6026" s="40" t="n">
        <v>-23.535612</v>
      </c>
      <c r="C6026" s="40" t="n">
        <v>-46.303761</v>
      </c>
      <c r="D6026" s="40" t="n">
        <v>389</v>
      </c>
      <c r="E6026" s="41" t="n">
        <v>36863.383</v>
      </c>
    </row>
    <row r="6027">
      <c r="A6027" s="42">
        <f>_xlfn.XLOOKUP(17854,Trip[shape_id],Trip[shape_id],"Não encontrado")</f>
        <v/>
      </c>
      <c r="B6027" s="43" t="n">
        <v>-23.536141</v>
      </c>
      <c r="C6027" s="43" t="n">
        <v>-46.302377</v>
      </c>
      <c r="D6027" s="43" t="n">
        <v>390</v>
      </c>
      <c r="E6027" s="44" t="n">
        <v>37016.371</v>
      </c>
    </row>
    <row r="6028">
      <c r="A6028" s="39">
        <f>_xlfn.XLOOKUP(17854,Trip[shape_id],Trip[shape_id],"Não encontrado")</f>
        <v/>
      </c>
      <c r="B6028" s="40" t="n">
        <v>-23.536219</v>
      </c>
      <c r="C6028" s="40" t="n">
        <v>-46.301924</v>
      </c>
      <c r="D6028" s="40" t="n">
        <v>391</v>
      </c>
      <c r="E6028" s="41" t="n">
        <v>37063.43</v>
      </c>
    </row>
    <row r="6029">
      <c r="A6029" s="42">
        <f>_xlfn.XLOOKUP(17854,Trip[shape_id],Trip[shape_id],"Não encontrado")</f>
        <v/>
      </c>
      <c r="B6029" s="43" t="n">
        <v>-23.536334</v>
      </c>
      <c r="C6029" s="43" t="n">
        <v>-46.30125</v>
      </c>
      <c r="D6029" s="43" t="n">
        <v>392</v>
      </c>
      <c r="E6029" s="44" t="n">
        <v>37133.422</v>
      </c>
    </row>
    <row r="6030">
      <c r="A6030" s="39">
        <f>_xlfn.XLOOKUP(17854,Trip[shape_id],Trip[shape_id],"Não encontrado")</f>
        <v/>
      </c>
      <c r="B6030" s="40" t="n">
        <v>-23.536309</v>
      </c>
      <c r="C6030" s="40" t="n">
        <v>-46.300793</v>
      </c>
      <c r="D6030" s="40" t="n">
        <v>393</v>
      </c>
      <c r="E6030" s="41" t="n">
        <v>37180.168</v>
      </c>
    </row>
    <row r="6031">
      <c r="A6031" s="42">
        <f>_xlfn.XLOOKUP(17854,Trip[shape_id],Trip[shape_id],"Não encontrado")</f>
        <v/>
      </c>
      <c r="B6031" s="43" t="n">
        <v>-23.536278</v>
      </c>
      <c r="C6031" s="43" t="n">
        <v>-46.300208</v>
      </c>
      <c r="D6031" s="43" t="n">
        <v>394</v>
      </c>
      <c r="E6031" s="44" t="n">
        <v>37240.004</v>
      </c>
    </row>
    <row r="6032">
      <c r="A6032" s="39">
        <f>_xlfn.XLOOKUP(17854,Trip[shape_id],Trip[shape_id],"Não encontrado")</f>
        <v/>
      </c>
      <c r="B6032" s="40" t="n">
        <v>-23.536252</v>
      </c>
      <c r="C6032" s="40" t="n">
        <v>-46.299722</v>
      </c>
      <c r="D6032" s="40" t="n">
        <v>395</v>
      </c>
      <c r="E6032" s="41" t="n">
        <v>37289.715</v>
      </c>
    </row>
    <row r="6033">
      <c r="A6033" s="42">
        <f>_xlfn.XLOOKUP(17854,Trip[shape_id],Trip[shape_id],"Não encontrado")</f>
        <v/>
      </c>
      <c r="B6033" s="43" t="n">
        <v>-23.536141</v>
      </c>
      <c r="C6033" s="43" t="n">
        <v>-46.298835</v>
      </c>
      <c r="D6033" s="43" t="n">
        <v>396</v>
      </c>
      <c r="E6033" s="44" t="n">
        <v>37381.121</v>
      </c>
    </row>
    <row r="6034">
      <c r="A6034" s="39">
        <f>_xlfn.XLOOKUP(17854,Trip[shape_id],Trip[shape_id],"Não encontrado")</f>
        <v/>
      </c>
      <c r="B6034" s="40" t="n">
        <v>-23.536069</v>
      </c>
      <c r="C6034" s="40" t="n">
        <v>-46.298263</v>
      </c>
      <c r="D6034" s="40" t="n">
        <v>397</v>
      </c>
      <c r="E6034" s="41" t="n">
        <v>37440.07</v>
      </c>
    </row>
    <row r="6035">
      <c r="A6035" s="42">
        <f>_xlfn.XLOOKUP(17854,Trip[shape_id],Trip[shape_id],"Não encontrado")</f>
        <v/>
      </c>
      <c r="B6035" s="43" t="n">
        <v>-23.53598</v>
      </c>
      <c r="C6035" s="43" t="n">
        <v>-46.297548</v>
      </c>
      <c r="D6035" s="43" t="n">
        <v>398</v>
      </c>
      <c r="E6035" s="44" t="n">
        <v>37513.742</v>
      </c>
    </row>
    <row r="6036">
      <c r="A6036" s="39">
        <f>_xlfn.XLOOKUP(17854,Trip[shape_id],Trip[shape_id],"Não encontrado")</f>
        <v/>
      </c>
      <c r="B6036" s="40" t="n">
        <v>-23.535901</v>
      </c>
      <c r="C6036" s="40" t="n">
        <v>-46.296908</v>
      </c>
      <c r="D6036" s="40" t="n">
        <v>399</v>
      </c>
      <c r="E6036" s="41" t="n">
        <v>37579.68</v>
      </c>
    </row>
    <row r="6037">
      <c r="A6037" s="42">
        <f>_xlfn.XLOOKUP(17854,Trip[shape_id],Trip[shape_id],"Não encontrado")</f>
        <v/>
      </c>
      <c r="B6037" s="43" t="n">
        <v>-23.535769</v>
      </c>
      <c r="C6037" s="43" t="n">
        <v>-46.295813</v>
      </c>
      <c r="D6037" s="43" t="n">
        <v>400</v>
      </c>
      <c r="E6037" s="44" t="n">
        <v>37692.445</v>
      </c>
    </row>
    <row r="6038">
      <c r="A6038" s="39">
        <f>_xlfn.XLOOKUP(17854,Trip[shape_id],Trip[shape_id],"Não encontrado")</f>
        <v/>
      </c>
      <c r="B6038" s="40" t="n">
        <v>-23.5356</v>
      </c>
      <c r="C6038" s="40" t="n">
        <v>-46.294414</v>
      </c>
      <c r="D6038" s="40" t="n">
        <v>401</v>
      </c>
      <c r="E6038" s="41" t="n">
        <v>37836.523</v>
      </c>
    </row>
    <row r="6039">
      <c r="A6039" s="42">
        <f>_xlfn.XLOOKUP(17854,Trip[shape_id],Trip[shape_id],"Não encontrado")</f>
        <v/>
      </c>
      <c r="B6039" s="43" t="n">
        <v>-23.535475</v>
      </c>
      <c r="C6039" s="43" t="n">
        <v>-46.293335</v>
      </c>
      <c r="D6039" s="43" t="n">
        <v>402</v>
      </c>
      <c r="E6039" s="44" t="n">
        <v>37947.57</v>
      </c>
    </row>
    <row r="6040">
      <c r="A6040" s="39">
        <f>_xlfn.XLOOKUP(17854,Trip[shape_id],Trip[shape_id],"Não encontrado")</f>
        <v/>
      </c>
      <c r="B6040" s="40" t="n">
        <v>-23.535392</v>
      </c>
      <c r="C6040" s="40" t="n">
        <v>-46.292613</v>
      </c>
      <c r="D6040" s="40" t="n">
        <v>403</v>
      </c>
      <c r="E6040" s="41" t="n">
        <v>38021.867</v>
      </c>
    </row>
    <row r="6041">
      <c r="A6041" s="42">
        <f>_xlfn.XLOOKUP(17854,Trip[shape_id],Trip[shape_id],"Não encontrado")</f>
        <v/>
      </c>
      <c r="B6041" s="43" t="n">
        <v>-23.53518</v>
      </c>
      <c r="C6041" s="43" t="n">
        <v>-46.290781</v>
      </c>
      <c r="D6041" s="43" t="n">
        <v>404</v>
      </c>
      <c r="E6041" s="44" t="n">
        <v>38210.406</v>
      </c>
    </row>
    <row r="6042">
      <c r="A6042" s="39">
        <f>_xlfn.XLOOKUP(17854,Trip[shape_id],Trip[shape_id],"Não encontrado")</f>
        <v/>
      </c>
      <c r="B6042" s="40" t="n">
        <v>-23.535098</v>
      </c>
      <c r="C6042" s="40" t="n">
        <v>-46.290072</v>
      </c>
      <c r="D6042" s="40" t="n">
        <v>405</v>
      </c>
      <c r="E6042" s="41" t="n">
        <v>38283.371</v>
      </c>
    </row>
    <row r="6043">
      <c r="A6043" s="42">
        <f>_xlfn.XLOOKUP(17854,Trip[shape_id],Trip[shape_id],"Não encontrado")</f>
        <v/>
      </c>
      <c r="B6043" s="43" t="n">
        <v>-23.53493</v>
      </c>
      <c r="C6043" s="43" t="n">
        <v>-46.288624</v>
      </c>
      <c r="D6043" s="43" t="n">
        <v>406</v>
      </c>
      <c r="E6043" s="44" t="n">
        <v>38432.398</v>
      </c>
    </row>
    <row r="6044">
      <c r="A6044" s="39">
        <f>_xlfn.XLOOKUP(17854,Trip[shape_id],Trip[shape_id],"Não encontrado")</f>
        <v/>
      </c>
      <c r="B6044" s="40" t="n">
        <v>-23.534773</v>
      </c>
      <c r="C6044" s="40" t="n">
        <v>-46.287149</v>
      </c>
      <c r="D6044" s="40" t="n">
        <v>407</v>
      </c>
      <c r="E6044" s="41" t="n">
        <v>38584.016</v>
      </c>
    </row>
    <row r="6045">
      <c r="A6045" s="42">
        <f>_xlfn.XLOOKUP(17854,Trip[shape_id],Trip[shape_id],"Não encontrado")</f>
        <v/>
      </c>
      <c r="B6045" s="43" t="n">
        <v>-23.534536</v>
      </c>
      <c r="C6045" s="43" t="n">
        <v>-46.284923</v>
      </c>
      <c r="D6045" s="43" t="n">
        <v>408</v>
      </c>
      <c r="E6045" s="44" t="n">
        <v>38812.832</v>
      </c>
    </row>
    <row r="6046">
      <c r="A6046" s="39">
        <f>_xlfn.XLOOKUP(17854,Trip[shape_id],Trip[shape_id],"Não encontrado")</f>
        <v/>
      </c>
      <c r="B6046" s="40" t="n">
        <v>-23.534407</v>
      </c>
      <c r="C6046" s="40" t="n">
        <v>-46.283749</v>
      </c>
      <c r="D6046" s="40" t="n">
        <v>409</v>
      </c>
      <c r="E6046" s="41" t="n">
        <v>38933.563</v>
      </c>
    </row>
    <row r="6047">
      <c r="A6047" s="42">
        <f>_xlfn.XLOOKUP(17854,Trip[shape_id],Trip[shape_id],"Não encontrado")</f>
        <v/>
      </c>
      <c r="B6047" s="43" t="n">
        <v>-23.53427</v>
      </c>
      <c r="C6047" s="43" t="n">
        <v>-46.282523</v>
      </c>
      <c r="D6047" s="43" t="n">
        <v>410</v>
      </c>
      <c r="E6047" s="44" t="n">
        <v>39059.672</v>
      </c>
    </row>
    <row r="6048">
      <c r="A6048" s="39">
        <f>_xlfn.XLOOKUP(17854,Trip[shape_id],Trip[shape_id],"Não encontrado")</f>
        <v/>
      </c>
      <c r="B6048" s="40" t="n">
        <v>-23.534237</v>
      </c>
      <c r="C6048" s="40" t="n">
        <v>-46.282236</v>
      </c>
      <c r="D6048" s="40" t="n">
        <v>411</v>
      </c>
      <c r="E6048" s="41" t="n">
        <v>39089.207</v>
      </c>
    </row>
    <row r="6049">
      <c r="A6049" s="42">
        <f>_xlfn.XLOOKUP(17854,Trip[shape_id],Trip[shape_id],"Não encontrado")</f>
        <v/>
      </c>
      <c r="B6049" s="43" t="n">
        <v>-23.534214</v>
      </c>
      <c r="C6049" s="43" t="n">
        <v>-46.282025</v>
      </c>
      <c r="D6049" s="43" t="n">
        <v>412</v>
      </c>
      <c r="E6049" s="44" t="n">
        <v>39110.902</v>
      </c>
    </row>
    <row r="6050">
      <c r="A6050" s="39">
        <f>_xlfn.XLOOKUP(17854,Trip[shape_id],Trip[shape_id],"Não encontrado")</f>
        <v/>
      </c>
      <c r="B6050" s="40" t="n">
        <v>-23.534241</v>
      </c>
      <c r="C6050" s="40" t="n">
        <v>-46.281062</v>
      </c>
      <c r="D6050" s="40" t="n">
        <v>413</v>
      </c>
      <c r="E6050" s="41" t="n">
        <v>39209.285</v>
      </c>
    </row>
    <row r="6051">
      <c r="A6051" s="42">
        <f>_xlfn.XLOOKUP(17854,Trip[shape_id],Trip[shape_id],"Não encontrado")</f>
        <v/>
      </c>
      <c r="B6051" s="43" t="n">
        <v>-23.534531</v>
      </c>
      <c r="C6051" s="43" t="n">
        <v>-46.279952</v>
      </c>
      <c r="D6051" s="43" t="n">
        <v>414</v>
      </c>
      <c r="E6051" s="44" t="n">
        <v>39327.094</v>
      </c>
    </row>
    <row r="6052">
      <c r="A6052" s="39">
        <f>_xlfn.XLOOKUP(17854,Trip[shape_id],Trip[shape_id],"Não encontrado")</f>
        <v/>
      </c>
      <c r="B6052" s="40" t="n">
        <v>-23.534761</v>
      </c>
      <c r="C6052" s="40" t="n">
        <v>-46.279609</v>
      </c>
      <c r="D6052" s="40" t="n">
        <v>415</v>
      </c>
      <c r="E6052" s="41" t="n">
        <v>39370.402</v>
      </c>
    </row>
    <row r="6053">
      <c r="A6053" s="42">
        <f>_xlfn.XLOOKUP(17854,Trip[shape_id],Trip[shape_id],"Não encontrado")</f>
        <v/>
      </c>
      <c r="B6053" s="43" t="n">
        <v>-23.535198</v>
      </c>
      <c r="C6053" s="43" t="n">
        <v>-46.278961</v>
      </c>
      <c r="D6053" s="43" t="n">
        <v>416</v>
      </c>
      <c r="E6053" s="44" t="n">
        <v>39452.383</v>
      </c>
    </row>
    <row r="6054">
      <c r="A6054" s="39">
        <f>_xlfn.XLOOKUP(17854,Trip[shape_id],Trip[shape_id],"Não encontrado")</f>
        <v/>
      </c>
      <c r="B6054" s="40" t="n">
        <v>-23.535278</v>
      </c>
      <c r="C6054" s="40" t="n">
        <v>-46.278853</v>
      </c>
      <c r="D6054" s="40" t="n">
        <v>417</v>
      </c>
      <c r="E6054" s="41" t="n">
        <v>39466.527</v>
      </c>
    </row>
    <row r="6055">
      <c r="A6055" s="42">
        <f>_xlfn.XLOOKUP(17854,Trip[shape_id],Trip[shape_id],"Não encontrado")</f>
        <v/>
      </c>
      <c r="B6055" s="43" t="n">
        <v>-23.535511</v>
      </c>
      <c r="C6055" s="43" t="n">
        <v>-46.278542</v>
      </c>
      <c r="D6055" s="43" t="n">
        <v>418</v>
      </c>
      <c r="E6055" s="44" t="n">
        <v>39507.445</v>
      </c>
    </row>
    <row r="6056">
      <c r="A6056" s="39">
        <f>_xlfn.XLOOKUP(17854,Trip[shape_id],Trip[shape_id],"Não encontrado")</f>
        <v/>
      </c>
      <c r="B6056" s="40" t="n">
        <v>-23.535802</v>
      </c>
      <c r="C6056" s="40" t="n">
        <v>-46.278158</v>
      </c>
      <c r="D6056" s="40" t="n">
        <v>419</v>
      </c>
      <c r="E6056" s="41" t="n">
        <v>39558.203</v>
      </c>
    </row>
    <row r="6057">
      <c r="A6057" s="42">
        <f>_xlfn.XLOOKUP(17854,Trip[shape_id],Trip[shape_id],"Não encontrado")</f>
        <v/>
      </c>
      <c r="B6057" s="43" t="n">
        <v>-23.535946</v>
      </c>
      <c r="C6057" s="43" t="n">
        <v>-46.277975</v>
      </c>
      <c r="D6057" s="43" t="n">
        <v>420</v>
      </c>
      <c r="E6057" s="44" t="n">
        <v>39582.77</v>
      </c>
    </row>
    <row r="6058">
      <c r="A6058" s="39">
        <f>_xlfn.XLOOKUP(17854,Trip[shape_id],Trip[shape_id],"Não encontrado")</f>
        <v/>
      </c>
      <c r="B6058" s="40" t="n">
        <v>-23.536195</v>
      </c>
      <c r="C6058" s="40" t="n">
        <v>-46.277661</v>
      </c>
      <c r="D6058" s="40" t="n">
        <v>421</v>
      </c>
      <c r="E6058" s="41" t="n">
        <v>39625.063</v>
      </c>
    </row>
    <row r="6059">
      <c r="A6059" s="42">
        <f>_xlfn.XLOOKUP(17854,Trip[shape_id],Trip[shape_id],"Não encontrado")</f>
        <v/>
      </c>
      <c r="B6059" s="43" t="n">
        <v>-23.536588</v>
      </c>
      <c r="C6059" s="43" t="n">
        <v>-46.27717</v>
      </c>
      <c r="D6059" s="43" t="n">
        <v>422</v>
      </c>
      <c r="E6059" s="44" t="n">
        <v>39691.457</v>
      </c>
    </row>
    <row r="6060">
      <c r="A6060" s="39">
        <f>_xlfn.XLOOKUP(17854,Trip[shape_id],Trip[shape_id],"Não encontrado")</f>
        <v/>
      </c>
      <c r="B6060" s="40" t="n">
        <v>-23.536757</v>
      </c>
      <c r="C6060" s="40" t="n">
        <v>-46.276956</v>
      </c>
      <c r="D6060" s="40" t="n">
        <v>423</v>
      </c>
      <c r="E6060" s="41" t="n">
        <v>39720.23</v>
      </c>
    </row>
    <row r="6061">
      <c r="A6061" s="42">
        <f>_xlfn.XLOOKUP(17854,Trip[shape_id],Trip[shape_id],"Não encontrado")</f>
        <v/>
      </c>
      <c r="B6061" s="43" t="n">
        <v>-23.537107</v>
      </c>
      <c r="C6061" s="43" t="n">
        <v>-46.276518</v>
      </c>
      <c r="D6061" s="43" t="n">
        <v>424</v>
      </c>
      <c r="E6061" s="44" t="n">
        <v>39779.414</v>
      </c>
    </row>
    <row r="6062">
      <c r="A6062" s="39">
        <f>_xlfn.XLOOKUP(17854,Trip[shape_id],Trip[shape_id],"Não encontrado")</f>
        <v/>
      </c>
      <c r="B6062" s="40" t="n">
        <v>-23.537547</v>
      </c>
      <c r="C6062" s="40" t="n">
        <v>-46.275962</v>
      </c>
      <c r="D6062" s="40" t="n">
        <v>425</v>
      </c>
      <c r="E6062" s="41" t="n">
        <v>39854.234</v>
      </c>
    </row>
    <row r="6063">
      <c r="A6063" s="42">
        <f>_xlfn.XLOOKUP(17854,Trip[shape_id],Trip[shape_id],"Não encontrado")</f>
        <v/>
      </c>
      <c r="B6063" s="43" t="n">
        <v>-23.537983</v>
      </c>
      <c r="C6063" s="43" t="n">
        <v>-46.275407</v>
      </c>
      <c r="D6063" s="43" t="n">
        <v>426</v>
      </c>
      <c r="E6063" s="44" t="n">
        <v>39928.688</v>
      </c>
    </row>
    <row r="6064">
      <c r="A6064" s="39">
        <f>_xlfn.XLOOKUP(17854,Trip[shape_id],Trip[shape_id],"Não encontrado")</f>
        <v/>
      </c>
      <c r="B6064" s="40" t="n">
        <v>-23.538255</v>
      </c>
      <c r="C6064" s="40" t="n">
        <v>-46.275077</v>
      </c>
      <c r="D6064" s="40" t="n">
        <v>427</v>
      </c>
      <c r="E6064" s="41" t="n">
        <v>39973.887</v>
      </c>
    </row>
    <row r="6065">
      <c r="A6065" s="42">
        <f>_xlfn.XLOOKUP(17854,Trip[shape_id],Trip[shape_id],"Não encontrado")</f>
        <v/>
      </c>
      <c r="B6065" s="43" t="n">
        <v>-23.53866</v>
      </c>
      <c r="C6065" s="43" t="n">
        <v>-46.27459</v>
      </c>
      <c r="D6065" s="43" t="n">
        <v>428</v>
      </c>
      <c r="E6065" s="44" t="n">
        <v>40040.855</v>
      </c>
    </row>
    <row r="6066">
      <c r="A6066" s="39">
        <f>_xlfn.XLOOKUP(17854,Trip[shape_id],Trip[shape_id],"Não encontrado")</f>
        <v/>
      </c>
      <c r="B6066" s="40" t="n">
        <v>-23.538873</v>
      </c>
      <c r="C6066" s="40" t="n">
        <v>-46.274331</v>
      </c>
      <c r="D6066" s="40" t="n">
        <v>429</v>
      </c>
      <c r="E6066" s="41" t="n">
        <v>40076.293</v>
      </c>
    </row>
    <row r="6067">
      <c r="A6067" s="42">
        <f>_xlfn.XLOOKUP(17854,Trip[shape_id],Trip[shape_id],"Não encontrado")</f>
        <v/>
      </c>
      <c r="B6067" s="43" t="n">
        <v>-23.539251</v>
      </c>
      <c r="C6067" s="43" t="n">
        <v>-46.273864</v>
      </c>
      <c r="D6067" s="43" t="n">
        <v>430</v>
      </c>
      <c r="E6067" s="44" t="n">
        <v>40139.746</v>
      </c>
    </row>
    <row r="6068">
      <c r="A6068" s="39">
        <f>_xlfn.XLOOKUP(17854,Trip[shape_id],Trip[shape_id],"Não encontrado")</f>
        <v/>
      </c>
      <c r="B6068" s="40" t="n">
        <v>-23.539536</v>
      </c>
      <c r="C6068" s="40" t="n">
        <v>-46.273515</v>
      </c>
      <c r="D6068" s="40" t="n">
        <v>431</v>
      </c>
      <c r="E6068" s="41" t="n">
        <v>40187.352</v>
      </c>
    </row>
    <row r="6069">
      <c r="A6069" s="42">
        <f>_xlfn.XLOOKUP(17854,Trip[shape_id],Trip[shape_id],"Não encontrado")</f>
        <v/>
      </c>
      <c r="B6069" s="43" t="n">
        <v>-23.539732</v>
      </c>
      <c r="C6069" s="43" t="n">
        <v>-46.273273</v>
      </c>
      <c r="D6069" s="43" t="n">
        <v>432</v>
      </c>
      <c r="E6069" s="44" t="n">
        <v>40220.242</v>
      </c>
    </row>
    <row r="6070">
      <c r="A6070" s="39">
        <f>_xlfn.XLOOKUP(17854,Trip[shape_id],Trip[shape_id],"Não encontrado")</f>
        <v/>
      </c>
      <c r="B6070" s="40" t="n">
        <v>-23.540341</v>
      </c>
      <c r="C6070" s="40" t="n">
        <v>-46.272354</v>
      </c>
      <c r="D6070" s="40" t="n">
        <v>433</v>
      </c>
      <c r="E6070" s="41" t="n">
        <v>40335.805</v>
      </c>
    </row>
    <row r="6071">
      <c r="A6071" s="42">
        <f>_xlfn.XLOOKUP(17854,Trip[shape_id],Trip[shape_id],"Não encontrado")</f>
        <v/>
      </c>
      <c r="B6071" s="43" t="n">
        <v>-23.5407</v>
      </c>
      <c r="C6071" s="43" t="n">
        <v>-46.271132</v>
      </c>
      <c r="D6071" s="43" t="n">
        <v>434</v>
      </c>
      <c r="E6071" s="44" t="n">
        <v>40466.766</v>
      </c>
    </row>
    <row r="6072">
      <c r="A6072" s="39">
        <f>_xlfn.XLOOKUP(17854,Trip[shape_id],Trip[shape_id],"Não encontrado")</f>
        <v/>
      </c>
      <c r="B6072" s="40" t="n">
        <v>-23.541049</v>
      </c>
      <c r="C6072" s="40" t="n">
        <v>-46.269211</v>
      </c>
      <c r="D6072" s="40" t="n">
        <v>435</v>
      </c>
      <c r="E6072" s="41" t="n">
        <v>40666.691</v>
      </c>
    </row>
    <row r="6073">
      <c r="A6073" s="42">
        <f>_xlfn.XLOOKUP(17854,Trip[shape_id],Trip[shape_id],"Não encontrado")</f>
        <v/>
      </c>
      <c r="B6073" s="43" t="n">
        <v>-23.541119</v>
      </c>
      <c r="C6073" s="43" t="n">
        <v>-46.268756</v>
      </c>
      <c r="D6073" s="43" t="n">
        <v>436</v>
      </c>
      <c r="E6073" s="44" t="n">
        <v>40713.793</v>
      </c>
    </row>
    <row r="6074">
      <c r="A6074" s="39">
        <f>_xlfn.XLOOKUP(17854,Trip[shape_id],Trip[shape_id],"Não encontrado")</f>
        <v/>
      </c>
      <c r="B6074" s="40" t="n">
        <v>-23.541271</v>
      </c>
      <c r="C6074" s="40" t="n">
        <v>-46.267748</v>
      </c>
      <c r="D6074" s="40" t="n">
        <v>437</v>
      </c>
      <c r="E6074" s="41" t="n">
        <v>40818.086</v>
      </c>
    </row>
    <row r="6075">
      <c r="A6075" s="42">
        <f>_xlfn.XLOOKUP(17854,Trip[shape_id],Trip[shape_id],"Não encontrado")</f>
        <v/>
      </c>
      <c r="B6075" s="43" t="n">
        <v>-23.541541</v>
      </c>
      <c r="C6075" s="43" t="n">
        <v>-46.265964</v>
      </c>
      <c r="D6075" s="43" t="n">
        <v>438</v>
      </c>
      <c r="E6075" s="44" t="n">
        <v>41002.688</v>
      </c>
    </row>
    <row r="6076">
      <c r="A6076" s="39">
        <f>_xlfn.XLOOKUP(17854,Trip[shape_id],Trip[shape_id],"Não encontrado")</f>
        <v/>
      </c>
      <c r="B6076" s="40" t="n">
        <v>-23.541742</v>
      </c>
      <c r="C6076" s="40" t="n">
        <v>-46.264638</v>
      </c>
      <c r="D6076" s="40" t="n">
        <v>439</v>
      </c>
      <c r="E6076" s="41" t="n">
        <v>41139.902</v>
      </c>
    </row>
    <row r="6077">
      <c r="A6077" s="42">
        <f>_xlfn.XLOOKUP(17854,Trip[shape_id],Trip[shape_id],"Não encontrado")</f>
        <v/>
      </c>
      <c r="B6077" s="43" t="n">
        <v>-23.541916</v>
      </c>
      <c r="C6077" s="43" t="n">
        <v>-46.26348</v>
      </c>
      <c r="D6077" s="43" t="n">
        <v>440</v>
      </c>
      <c r="E6077" s="44" t="n">
        <v>41259.703</v>
      </c>
    </row>
    <row r="6078">
      <c r="A6078" s="39">
        <f>_xlfn.XLOOKUP(17854,Trip[shape_id],Trip[shape_id],"Não encontrado")</f>
        <v/>
      </c>
      <c r="B6078" s="40" t="n">
        <v>-23.542214</v>
      </c>
      <c r="C6078" s="40" t="n">
        <v>-46.261505</v>
      </c>
      <c r="D6078" s="40" t="n">
        <v>441</v>
      </c>
      <c r="E6078" s="41" t="n">
        <v>41464.051</v>
      </c>
    </row>
    <row r="6079">
      <c r="A6079" s="42">
        <f>_xlfn.XLOOKUP(17854,Trip[shape_id],Trip[shape_id],"Não encontrado")</f>
        <v/>
      </c>
      <c r="B6079" s="43" t="n">
        <v>-23.542404</v>
      </c>
      <c r="C6079" s="43" t="n">
        <v>-46.260251</v>
      </c>
      <c r="D6079" s="43" t="n">
        <v>442</v>
      </c>
      <c r="E6079" s="44" t="n">
        <v>41593.813</v>
      </c>
    </row>
    <row r="6080">
      <c r="A6080" s="39">
        <f>_xlfn.XLOOKUP(17854,Trip[shape_id],Trip[shape_id],"Não encontrado")</f>
        <v/>
      </c>
      <c r="B6080" s="40" t="n">
        <v>-23.542565</v>
      </c>
      <c r="C6080" s="40" t="n">
        <v>-46.259183</v>
      </c>
      <c r="D6080" s="40" t="n">
        <v>443</v>
      </c>
      <c r="E6080" s="41" t="n">
        <v>41704.313</v>
      </c>
    </row>
    <row r="6081">
      <c r="A6081" s="42">
        <f>_xlfn.XLOOKUP(17854,Trip[shape_id],Trip[shape_id],"Não encontrado")</f>
        <v/>
      </c>
      <c r="B6081" s="43" t="n">
        <v>-23.542739</v>
      </c>
      <c r="C6081" s="43" t="n">
        <v>-46.258023</v>
      </c>
      <c r="D6081" s="43" t="n">
        <v>444</v>
      </c>
      <c r="E6081" s="44" t="n">
        <v>41824.316</v>
      </c>
    </row>
    <row r="6082">
      <c r="A6082" s="39">
        <f>_xlfn.XLOOKUP(17854,Trip[shape_id],Trip[shape_id],"Não encontrado")</f>
        <v/>
      </c>
      <c r="B6082" s="40" t="n">
        <v>-23.542742</v>
      </c>
      <c r="C6082" s="40" t="n">
        <v>-46.258004</v>
      </c>
      <c r="D6082" s="40" t="n">
        <v>445</v>
      </c>
      <c r="E6082" s="41" t="n">
        <v>41826.281</v>
      </c>
    </row>
    <row r="6083">
      <c r="A6083" s="42">
        <f>_xlfn.XLOOKUP(17854,Trip[shape_id],Trip[shape_id],"Não encontrado")</f>
        <v/>
      </c>
      <c r="B6083" s="43" t="n">
        <v>-23.542889</v>
      </c>
      <c r="C6083" s="43" t="n">
        <v>-46.257024</v>
      </c>
      <c r="D6083" s="43" t="n">
        <v>446</v>
      </c>
      <c r="E6083" s="44" t="n">
        <v>41927.664</v>
      </c>
    </row>
    <row r="6084">
      <c r="A6084" s="39">
        <f>_xlfn.XLOOKUP(17854,Trip[shape_id],Trip[shape_id],"Não encontrado")</f>
        <v/>
      </c>
      <c r="B6084" s="40" t="n">
        <v>-23.543054</v>
      </c>
      <c r="C6084" s="40" t="n">
        <v>-46.255923</v>
      </c>
      <c r="D6084" s="40" t="n">
        <v>447</v>
      </c>
      <c r="E6084" s="41" t="n">
        <v>42041.559</v>
      </c>
    </row>
    <row r="6085">
      <c r="A6085" s="42">
        <f>_xlfn.XLOOKUP(17854,Trip[shape_id],Trip[shape_id],"Não encontrado")</f>
        <v/>
      </c>
      <c r="B6085" s="43" t="n">
        <v>-23.543348</v>
      </c>
      <c r="C6085" s="43" t="n">
        <v>-46.253959</v>
      </c>
      <c r="D6085" s="43" t="n">
        <v>448</v>
      </c>
      <c r="E6085" s="44" t="n">
        <v>42244.723</v>
      </c>
    </row>
    <row r="6086">
      <c r="A6086" s="39">
        <f>_xlfn.XLOOKUP(17854,Trip[shape_id],Trip[shape_id],"Não encontrado")</f>
        <v/>
      </c>
      <c r="B6086" s="40" t="n">
        <v>-23.54359</v>
      </c>
      <c r="C6086" s="40" t="n">
        <v>-46.25235</v>
      </c>
      <c r="D6086" s="40" t="n">
        <v>449</v>
      </c>
      <c r="E6086" s="41" t="n">
        <v>42411.184</v>
      </c>
    </row>
    <row r="6087">
      <c r="A6087" s="42">
        <f>_xlfn.XLOOKUP(17854,Trip[shape_id],Trip[shape_id],"Não encontrado")</f>
        <v/>
      </c>
      <c r="B6087" s="43" t="n">
        <v>-23.543575</v>
      </c>
      <c r="C6087" s="43" t="n">
        <v>-46.251077</v>
      </c>
      <c r="D6087" s="43" t="n">
        <v>450</v>
      </c>
      <c r="E6087" s="44" t="n">
        <v>42541.176</v>
      </c>
    </row>
    <row r="6088">
      <c r="A6088" s="39">
        <f>_xlfn.XLOOKUP(17854,Trip[shape_id],Trip[shape_id],"Não encontrado")</f>
        <v/>
      </c>
      <c r="B6088" s="40" t="n">
        <v>-23.543506</v>
      </c>
      <c r="C6088" s="40" t="n">
        <v>-46.249929</v>
      </c>
      <c r="D6088" s="40" t="n">
        <v>451</v>
      </c>
      <c r="E6088" s="41" t="n">
        <v>42658.645</v>
      </c>
    </row>
    <row r="6089">
      <c r="A6089" s="42">
        <f>_xlfn.XLOOKUP(17854,Trip[shape_id],Trip[shape_id],"Não encontrado")</f>
        <v/>
      </c>
      <c r="B6089" s="43" t="n">
        <v>-23.543343</v>
      </c>
      <c r="C6089" s="43" t="n">
        <v>-46.248837</v>
      </c>
      <c r="D6089" s="43" t="n">
        <v>452</v>
      </c>
      <c r="E6089" s="44" t="n">
        <v>42771.598</v>
      </c>
    </row>
    <row r="6090">
      <c r="A6090" s="39">
        <f>_xlfn.XLOOKUP(17854,Trip[shape_id],Trip[shape_id],"Não encontrado")</f>
        <v/>
      </c>
      <c r="B6090" s="40" t="n">
        <v>-23.543002</v>
      </c>
      <c r="C6090" s="40" t="n">
        <v>-46.247665</v>
      </c>
      <c r="D6090" s="40" t="n">
        <v>453</v>
      </c>
      <c r="E6090" s="41" t="n">
        <v>42897.086</v>
      </c>
    </row>
    <row r="6091">
      <c r="A6091" s="42">
        <f>_xlfn.XLOOKUP(17854,Trip[shape_id],Trip[shape_id],"Não encontrado")</f>
        <v/>
      </c>
      <c r="B6091" s="43" t="n">
        <v>-23.542647</v>
      </c>
      <c r="C6091" s="43" t="n">
        <v>-46.246451</v>
      </c>
      <c r="D6091" s="43" t="n">
        <v>454</v>
      </c>
      <c r="E6091" s="44" t="n">
        <v>43027.133</v>
      </c>
    </row>
    <row r="6092">
      <c r="A6092" s="39">
        <f>_xlfn.XLOOKUP(17854,Trip[shape_id],Trip[shape_id],"Não encontrado")</f>
        <v/>
      </c>
      <c r="B6092" s="40" t="n">
        <v>-23.542375</v>
      </c>
      <c r="C6092" s="40" t="n">
        <v>-46.245514</v>
      </c>
      <c r="D6092" s="40" t="n">
        <v>455</v>
      </c>
      <c r="E6092" s="41" t="n">
        <v>43127.438</v>
      </c>
    </row>
    <row r="6093">
      <c r="A6093" s="42">
        <f>_xlfn.XLOOKUP(17854,Trip[shape_id],Trip[shape_id],"Não encontrado")</f>
        <v/>
      </c>
      <c r="B6093" s="43" t="n">
        <v>-23.542031</v>
      </c>
      <c r="C6093" s="43" t="n">
        <v>-46.244334</v>
      </c>
      <c r="D6093" s="43" t="n">
        <v>456</v>
      </c>
      <c r="E6093" s="44" t="n">
        <v>43253.805</v>
      </c>
    </row>
    <row r="6094">
      <c r="A6094" s="39">
        <f>_xlfn.XLOOKUP(17854,Trip[shape_id],Trip[shape_id],"Não encontrado")</f>
        <v/>
      </c>
      <c r="B6094" s="40" t="n">
        <v>-23.541824</v>
      </c>
      <c r="C6094" s="40" t="n">
        <v>-46.243633</v>
      </c>
      <c r="D6094" s="40" t="n">
        <v>457</v>
      </c>
      <c r="E6094" s="41" t="n">
        <v>43328.965</v>
      </c>
    </row>
    <row r="6095">
      <c r="A6095" s="42">
        <f>_xlfn.XLOOKUP(17854,Trip[shape_id],Trip[shape_id],"Não encontrado")</f>
        <v/>
      </c>
      <c r="B6095" s="43" t="n">
        <v>-23.54143</v>
      </c>
      <c r="C6095" s="43" t="n">
        <v>-46.242312</v>
      </c>
      <c r="D6095" s="43" t="n">
        <v>458</v>
      </c>
      <c r="E6095" s="44" t="n">
        <v>43470.734</v>
      </c>
    </row>
    <row r="6096">
      <c r="A6096" s="39">
        <f>_xlfn.XLOOKUP(17854,Trip[shape_id],Trip[shape_id],"Não encontrado")</f>
        <v/>
      </c>
      <c r="B6096" s="40" t="n">
        <v>-23.541159</v>
      </c>
      <c r="C6096" s="40" t="n">
        <v>-46.241405</v>
      </c>
      <c r="D6096" s="40" t="n">
        <v>459</v>
      </c>
      <c r="E6096" s="41" t="n">
        <v>43568.09</v>
      </c>
    </row>
    <row r="6097">
      <c r="A6097" s="42">
        <f>_xlfn.XLOOKUP(17854,Trip[shape_id],Trip[shape_id],"Não encontrado")</f>
        <v/>
      </c>
      <c r="B6097" s="43" t="n">
        <v>-23.540917</v>
      </c>
      <c r="C6097" s="43" t="n">
        <v>-46.2406</v>
      </c>
      <c r="D6097" s="43" t="n">
        <v>460</v>
      </c>
      <c r="E6097" s="44" t="n">
        <v>43654.547</v>
      </c>
    </row>
    <row r="6098">
      <c r="A6098" s="39">
        <f>_xlfn.XLOOKUP(17854,Trip[shape_id],Trip[shape_id],"Não encontrado")</f>
        <v/>
      </c>
      <c r="B6098" s="40" t="n">
        <v>-23.540807</v>
      </c>
      <c r="C6098" s="40" t="n">
        <v>-46.240234</v>
      </c>
      <c r="D6098" s="40" t="n">
        <v>461</v>
      </c>
      <c r="E6098" s="41" t="n">
        <v>43693.855</v>
      </c>
    </row>
    <row r="6099">
      <c r="A6099" s="42">
        <f>_xlfn.XLOOKUP(17854,Trip[shape_id],Trip[shape_id],"Não encontrado")</f>
        <v/>
      </c>
      <c r="B6099" s="43" t="n">
        <v>-23.540179</v>
      </c>
      <c r="C6099" s="43" t="n">
        <v>-46.238151</v>
      </c>
      <c r="D6099" s="43" t="n">
        <v>462</v>
      </c>
      <c r="E6099" s="44" t="n">
        <v>43917.633</v>
      </c>
    </row>
    <row r="6100">
      <c r="A6100" s="39">
        <f>_xlfn.XLOOKUP(17854,Trip[shape_id],Trip[shape_id],"Não encontrado")</f>
        <v/>
      </c>
      <c r="B6100" s="40" t="n">
        <v>-23.539808</v>
      </c>
      <c r="C6100" s="40" t="n">
        <v>-46.236926</v>
      </c>
      <c r="D6100" s="40" t="n">
        <v>463</v>
      </c>
      <c r="E6100" s="41" t="n">
        <v>44049.293</v>
      </c>
    </row>
    <row r="6101">
      <c r="A6101" s="42">
        <f>_xlfn.XLOOKUP(17854,Trip[shape_id],Trip[shape_id],"Não encontrado")</f>
        <v/>
      </c>
      <c r="B6101" s="43" t="n">
        <v>-23.539415</v>
      </c>
      <c r="C6101" s="43" t="n">
        <v>-46.235624</v>
      </c>
      <c r="D6101" s="43" t="n">
        <v>464</v>
      </c>
      <c r="E6101" s="44" t="n">
        <v>44189.184</v>
      </c>
    </row>
    <row r="6102">
      <c r="A6102" s="39">
        <f>_xlfn.XLOOKUP(17854,Trip[shape_id],Trip[shape_id],"Não encontrado")</f>
        <v/>
      </c>
      <c r="B6102" s="40" t="n">
        <v>-23.539142</v>
      </c>
      <c r="C6102" s="40" t="n">
        <v>-46.234717</v>
      </c>
      <c r="D6102" s="40" t="n">
        <v>465</v>
      </c>
      <c r="E6102" s="41" t="n">
        <v>44286.609</v>
      </c>
    </row>
    <row r="6103">
      <c r="A6103" s="42">
        <f>_xlfn.XLOOKUP(17854,Trip[shape_id],Trip[shape_id],"Não encontrado")</f>
        <v/>
      </c>
      <c r="B6103" s="43" t="n">
        <v>-23.538677</v>
      </c>
      <c r="C6103" s="43" t="n">
        <v>-46.233179</v>
      </c>
      <c r="D6103" s="43" t="n">
        <v>466</v>
      </c>
      <c r="E6103" s="44" t="n">
        <v>44451.883</v>
      </c>
    </row>
    <row r="6104">
      <c r="A6104" s="39">
        <f>_xlfn.XLOOKUP(17854,Trip[shape_id],Trip[shape_id],"Não encontrado")</f>
        <v/>
      </c>
      <c r="B6104" s="40" t="n">
        <v>-23.538405</v>
      </c>
      <c r="C6104" s="40" t="n">
        <v>-46.232281</v>
      </c>
      <c r="D6104" s="40" t="n">
        <v>467</v>
      </c>
      <c r="E6104" s="41" t="n">
        <v>44548.398</v>
      </c>
    </row>
    <row r="6105">
      <c r="A6105" s="42">
        <f>_xlfn.XLOOKUP(17854,Trip[shape_id],Trip[shape_id],"Não encontrado")</f>
        <v/>
      </c>
      <c r="B6105" s="43" t="n">
        <v>-23.538158</v>
      </c>
      <c r="C6105" s="43" t="n">
        <v>-46.231462</v>
      </c>
      <c r="D6105" s="43" t="n">
        <v>468</v>
      </c>
      <c r="E6105" s="44" t="n">
        <v>44636.387</v>
      </c>
    </row>
    <row r="6106">
      <c r="A6106" s="39">
        <f>_xlfn.XLOOKUP(17854,Trip[shape_id],Trip[shape_id],"Não encontrado")</f>
        <v/>
      </c>
      <c r="B6106" s="40" t="n">
        <v>-23.537747</v>
      </c>
      <c r="C6106" s="40" t="n">
        <v>-46.23011</v>
      </c>
      <c r="D6106" s="40" t="n">
        <v>469</v>
      </c>
      <c r="E6106" s="41" t="n">
        <v>44781.754</v>
      </c>
    </row>
    <row r="6107">
      <c r="A6107" s="42">
        <f>_xlfn.XLOOKUP(17854,Trip[shape_id],Trip[shape_id],"Não encontrado")</f>
        <v/>
      </c>
      <c r="B6107" s="43" t="n">
        <v>-23.537505</v>
      </c>
      <c r="C6107" s="43" t="n">
        <v>-46.229322</v>
      </c>
      <c r="D6107" s="43" t="n">
        <v>470</v>
      </c>
      <c r="E6107" s="44" t="n">
        <v>44866.566</v>
      </c>
    </row>
    <row r="6108">
      <c r="A6108" s="39">
        <f>_xlfn.XLOOKUP(17854,Trip[shape_id],Trip[shape_id],"Não encontrado")</f>
        <v/>
      </c>
      <c r="B6108" s="40" t="n">
        <v>-23.53732</v>
      </c>
      <c r="C6108" s="40" t="n">
        <v>-46.228716</v>
      </c>
      <c r="D6108" s="40" t="n">
        <v>471</v>
      </c>
      <c r="E6108" s="41" t="n">
        <v>44931.75</v>
      </c>
    </row>
    <row r="6109">
      <c r="A6109" s="42">
        <f>_xlfn.XLOOKUP(17854,Trip[shape_id],Trip[shape_id],"Não encontrado")</f>
        <v/>
      </c>
      <c r="B6109" s="43" t="n">
        <v>-23.536974</v>
      </c>
      <c r="C6109" s="43" t="n">
        <v>-46.227592</v>
      </c>
      <c r="D6109" s="43" t="n">
        <v>472</v>
      </c>
      <c r="E6109" s="44" t="n">
        <v>45052.754</v>
      </c>
    </row>
    <row r="6110">
      <c r="A6110" s="39">
        <f>_xlfn.XLOOKUP(17854,Trip[shape_id],Trip[shape_id],"Não encontrado")</f>
        <v/>
      </c>
      <c r="B6110" s="40" t="n">
        <v>-23.536533</v>
      </c>
      <c r="C6110" s="40" t="n">
        <v>-46.226157</v>
      </c>
      <c r="D6110" s="40" t="n">
        <v>473</v>
      </c>
      <c r="E6110" s="41" t="n">
        <v>45207.211</v>
      </c>
    </row>
    <row r="6111">
      <c r="A6111" s="42">
        <f>_xlfn.XLOOKUP(17854,Trip[shape_id],Trip[shape_id],"Não encontrado")</f>
        <v/>
      </c>
      <c r="B6111" s="43" t="n">
        <v>-23.536227</v>
      </c>
      <c r="C6111" s="43" t="n">
        <v>-46.225157</v>
      </c>
      <c r="D6111" s="43" t="n">
        <v>474</v>
      </c>
      <c r="E6111" s="44" t="n">
        <v>45314.801</v>
      </c>
    </row>
    <row r="6112">
      <c r="A6112" s="39">
        <f>_xlfn.XLOOKUP(17854,Trip[shape_id],Trip[shape_id],"Não encontrado")</f>
        <v/>
      </c>
      <c r="B6112" s="40" t="n">
        <v>-23.535761</v>
      </c>
      <c r="C6112" s="40" t="n">
        <v>-46.223644</v>
      </c>
      <c r="D6112" s="40" t="n">
        <v>475</v>
      </c>
      <c r="E6112" s="41" t="n">
        <v>45477.691</v>
      </c>
    </row>
    <row r="6113">
      <c r="A6113" s="42">
        <f>_xlfn.XLOOKUP(17854,Trip[shape_id],Trip[shape_id],"Não encontrado")</f>
        <v/>
      </c>
      <c r="B6113" s="43" t="n">
        <v>-23.535293</v>
      </c>
      <c r="C6113" s="43" t="n">
        <v>-46.22212</v>
      </c>
      <c r="D6113" s="43" t="n">
        <v>476</v>
      </c>
      <c r="E6113" s="44" t="n">
        <v>45641.719</v>
      </c>
    </row>
    <row r="6114">
      <c r="A6114" s="39">
        <f>_xlfn.XLOOKUP(17854,Trip[shape_id],Trip[shape_id],"Não encontrado")</f>
        <v/>
      </c>
      <c r="B6114" s="40" t="n">
        <v>-23.535114</v>
      </c>
      <c r="C6114" s="40" t="n">
        <v>-46.221523</v>
      </c>
      <c r="D6114" s="40" t="n">
        <v>477</v>
      </c>
      <c r="E6114" s="41" t="n">
        <v>45705.824</v>
      </c>
    </row>
    <row r="6115">
      <c r="A6115" s="42">
        <f>_xlfn.XLOOKUP(17854,Trip[shape_id],Trip[shape_id],"Não encontrado")</f>
        <v/>
      </c>
      <c r="B6115" s="43" t="n">
        <v>-23.534957</v>
      </c>
      <c r="C6115" s="43" t="n">
        <v>-46.221006</v>
      </c>
      <c r="D6115" s="43" t="n">
        <v>478</v>
      </c>
      <c r="E6115" s="44" t="n">
        <v>45761.406</v>
      </c>
    </row>
    <row r="6116">
      <c r="A6116" s="39">
        <f>_xlfn.XLOOKUP(17854,Trip[shape_id],Trip[shape_id],"Não encontrado")</f>
        <v/>
      </c>
      <c r="B6116" s="40" t="n">
        <v>-23.53475</v>
      </c>
      <c r="C6116" s="40" t="n">
        <v>-46.220317</v>
      </c>
      <c r="D6116" s="40" t="n">
        <v>479</v>
      </c>
      <c r="E6116" s="41" t="n">
        <v>45835.402</v>
      </c>
    </row>
    <row r="6117">
      <c r="A6117" s="42">
        <f>_xlfn.XLOOKUP(17854,Trip[shape_id],Trip[shape_id],"Não encontrado")</f>
        <v/>
      </c>
      <c r="B6117" s="43" t="n">
        <v>-23.534583</v>
      </c>
      <c r="C6117" s="43" t="n">
        <v>-46.219766</v>
      </c>
      <c r="D6117" s="43" t="n">
        <v>480</v>
      </c>
      <c r="E6117" s="44" t="n">
        <v>45894.629</v>
      </c>
    </row>
    <row r="6118">
      <c r="A6118" s="39">
        <f>_xlfn.XLOOKUP(17854,Trip[shape_id],Trip[shape_id],"Não encontrado")</f>
        <v/>
      </c>
      <c r="B6118" s="40" t="n">
        <v>-23.534433</v>
      </c>
      <c r="C6118" s="40" t="n">
        <v>-46.219265</v>
      </c>
      <c r="D6118" s="40" t="n">
        <v>481</v>
      </c>
      <c r="E6118" s="41" t="n">
        <v>45948.418</v>
      </c>
    </row>
    <row r="6119">
      <c r="A6119" s="42">
        <f>_xlfn.XLOOKUP(17854,Trip[shape_id],Trip[shape_id],"Não encontrado")</f>
        <v/>
      </c>
      <c r="B6119" s="43" t="n">
        <v>-23.534291</v>
      </c>
      <c r="C6119" s="43" t="n">
        <v>-46.218968</v>
      </c>
      <c r="D6119" s="43" t="n">
        <v>482</v>
      </c>
      <c r="E6119" s="44" t="n">
        <v>45982.582</v>
      </c>
    </row>
    <row r="6120">
      <c r="A6120" s="39">
        <f>_xlfn.XLOOKUP(17854,Trip[shape_id],Trip[shape_id],"Não encontrado")</f>
        <v/>
      </c>
      <c r="B6120" s="40" t="n">
        <v>-23.533911</v>
      </c>
      <c r="C6120" s="40" t="n">
        <v>-46.21817</v>
      </c>
      <c r="D6120" s="40" t="n">
        <v>483</v>
      </c>
      <c r="E6120" s="41" t="n">
        <v>46074.297</v>
      </c>
    </row>
    <row r="6121">
      <c r="A6121" s="42">
        <f>_xlfn.XLOOKUP(17854,Trip[shape_id],Trip[shape_id],"Não encontrado")</f>
        <v/>
      </c>
      <c r="B6121" s="43" t="n">
        <v>-23.533672</v>
      </c>
      <c r="C6121" s="43" t="n">
        <v>-46.217668</v>
      </c>
      <c r="D6121" s="43" t="n">
        <v>484</v>
      </c>
      <c r="E6121" s="44" t="n">
        <v>46131.988</v>
      </c>
    </row>
    <row r="6122">
      <c r="A6122" s="39">
        <f>_xlfn.XLOOKUP(17854,Trip[shape_id],Trip[shape_id],"Não encontrado")</f>
        <v/>
      </c>
      <c r="B6122" s="40" t="n">
        <v>-23.533593</v>
      </c>
      <c r="C6122" s="40" t="n">
        <v>-46.217506</v>
      </c>
      <c r="D6122" s="40" t="n">
        <v>485</v>
      </c>
      <c r="E6122" s="41" t="n">
        <v>46150.703</v>
      </c>
    </row>
    <row r="6123">
      <c r="A6123" s="42">
        <f>_xlfn.XLOOKUP(17854,Trip[shape_id],Trip[shape_id],"Não encontrado")</f>
        <v/>
      </c>
      <c r="B6123" s="43" t="n">
        <v>-23.533299</v>
      </c>
      <c r="C6123" s="43" t="n">
        <v>-46.217049</v>
      </c>
      <c r="D6123" s="43" t="n">
        <v>486</v>
      </c>
      <c r="E6123" s="44" t="n">
        <v>46207.605</v>
      </c>
    </row>
    <row r="6124">
      <c r="A6124" s="39">
        <f>_xlfn.XLOOKUP(17854,Trip[shape_id],Trip[shape_id],"Não encontrado")</f>
        <v/>
      </c>
      <c r="B6124" s="40" t="n">
        <v>-23.533143</v>
      </c>
      <c r="C6124" s="40" t="n">
        <v>-46.216803</v>
      </c>
      <c r="D6124" s="40" t="n">
        <v>487</v>
      </c>
      <c r="E6124" s="41" t="n">
        <v>46238.094</v>
      </c>
    </row>
    <row r="6125">
      <c r="A6125" s="42">
        <f>_xlfn.XLOOKUP(17854,Trip[shape_id],Trip[shape_id],"Não encontrado")</f>
        <v/>
      </c>
      <c r="B6125" s="43" t="n">
        <v>-23.53281</v>
      </c>
      <c r="C6125" s="43" t="n">
        <v>-46.216283</v>
      </c>
      <c r="D6125" s="43" t="n">
        <v>488</v>
      </c>
      <c r="E6125" s="44" t="n">
        <v>46302.746</v>
      </c>
    </row>
    <row r="6126">
      <c r="A6126" s="39">
        <f>_xlfn.XLOOKUP(17854,Trip[shape_id],Trip[shape_id],"Não encontrado")</f>
        <v/>
      </c>
      <c r="B6126" s="40" t="n">
        <v>-23.532597</v>
      </c>
      <c r="C6126" s="40" t="n">
        <v>-46.215951</v>
      </c>
      <c r="D6126" s="40" t="n">
        <v>489</v>
      </c>
      <c r="E6126" s="41" t="n">
        <v>46344.047</v>
      </c>
    </row>
    <row r="6127">
      <c r="A6127" s="42">
        <f>_xlfn.XLOOKUP(17854,Trip[shape_id],Trip[shape_id],"Não encontrado")</f>
        <v/>
      </c>
      <c r="B6127" s="43" t="n">
        <v>-23.532305</v>
      </c>
      <c r="C6127" s="43" t="n">
        <v>-46.215492</v>
      </c>
      <c r="D6127" s="43" t="n">
        <v>490</v>
      </c>
      <c r="E6127" s="44" t="n">
        <v>46400.992</v>
      </c>
    </row>
    <row r="6128">
      <c r="A6128" s="39">
        <f>_xlfn.XLOOKUP(17854,Trip[shape_id],Trip[shape_id],"Não encontrado")</f>
        <v/>
      </c>
      <c r="B6128" s="40" t="n">
        <v>-23.532027</v>
      </c>
      <c r="C6128" s="40" t="n">
        <v>-46.215061</v>
      </c>
      <c r="D6128" s="40" t="n">
        <v>491</v>
      </c>
      <c r="E6128" s="41" t="n">
        <v>46454.703</v>
      </c>
    </row>
    <row r="6129">
      <c r="A6129" s="42">
        <f>_xlfn.XLOOKUP(17854,Trip[shape_id],Trip[shape_id],"Não encontrado")</f>
        <v/>
      </c>
      <c r="B6129" s="43" t="n">
        <v>-23.531895</v>
      </c>
      <c r="C6129" s="43" t="n">
        <v>-46.214859</v>
      </c>
      <c r="D6129" s="43" t="n">
        <v>492</v>
      </c>
      <c r="E6129" s="44" t="n">
        <v>46479.984</v>
      </c>
    </row>
    <row r="6130">
      <c r="A6130" s="39">
        <f>_xlfn.XLOOKUP(17854,Trip[shape_id],Trip[shape_id],"Não encontrado")</f>
        <v/>
      </c>
      <c r="B6130" s="40" t="n">
        <v>-23.531548</v>
      </c>
      <c r="C6130" s="40" t="n">
        <v>-46.214357</v>
      </c>
      <c r="D6130" s="40" t="n">
        <v>493</v>
      </c>
      <c r="E6130" s="41" t="n">
        <v>46544.055</v>
      </c>
    </row>
    <row r="6131">
      <c r="A6131" s="42">
        <f>_xlfn.XLOOKUP(17854,Trip[shape_id],Trip[shape_id],"Não encontrado")</f>
        <v/>
      </c>
      <c r="B6131" s="43" t="n">
        <v>-23.531043</v>
      </c>
      <c r="C6131" s="43" t="n">
        <v>-46.213623</v>
      </c>
      <c r="D6131" s="43" t="n">
        <v>494</v>
      </c>
      <c r="E6131" s="44" t="n">
        <v>46637.574</v>
      </c>
    </row>
    <row r="6132">
      <c r="A6132" s="39">
        <f>_xlfn.XLOOKUP(17854,Trip[shape_id],Trip[shape_id],"Não encontrado")</f>
        <v/>
      </c>
      <c r="B6132" s="40" t="n">
        <v>-23.530884</v>
      </c>
      <c r="C6132" s="40" t="n">
        <v>-46.213396</v>
      </c>
      <c r="D6132" s="40" t="n">
        <v>495</v>
      </c>
      <c r="E6132" s="41" t="n">
        <v>46666.684</v>
      </c>
    </row>
    <row r="6133">
      <c r="A6133" s="42">
        <f>_xlfn.XLOOKUP(17854,Trip[shape_id],Trip[shape_id],"Não encontrado")</f>
        <v/>
      </c>
      <c r="B6133" s="43" t="n">
        <v>-23.530623</v>
      </c>
      <c r="C6133" s="43" t="n">
        <v>-46.213017</v>
      </c>
      <c r="D6133" s="43" t="n">
        <v>496</v>
      </c>
      <c r="E6133" s="44" t="n">
        <v>46714.988</v>
      </c>
    </row>
    <row r="6134">
      <c r="A6134" s="39">
        <f>_xlfn.XLOOKUP(17854,Trip[shape_id],Trip[shape_id],"Não encontrado")</f>
        <v/>
      </c>
      <c r="B6134" s="40" t="n">
        <v>-23.530348</v>
      </c>
      <c r="C6134" s="40" t="n">
        <v>-46.21262</v>
      </c>
      <c r="D6134" s="40" t="n">
        <v>497</v>
      </c>
      <c r="E6134" s="41" t="n">
        <v>46765.695</v>
      </c>
    </row>
    <row r="6135">
      <c r="A6135" s="42">
        <f>_xlfn.XLOOKUP(17854,Trip[shape_id],Trip[shape_id],"Não encontrado")</f>
        <v/>
      </c>
      <c r="B6135" s="43" t="n">
        <v>-23.5299</v>
      </c>
      <c r="C6135" s="43" t="n">
        <v>-46.211974</v>
      </c>
      <c r="D6135" s="43" t="n">
        <v>498</v>
      </c>
      <c r="E6135" s="44" t="n">
        <v>46848.238</v>
      </c>
    </row>
    <row r="6136">
      <c r="A6136" s="39">
        <f>_xlfn.XLOOKUP(17854,Trip[shape_id],Trip[shape_id],"Não encontrado")</f>
        <v/>
      </c>
      <c r="B6136" s="40" t="n">
        <v>-23.529704</v>
      </c>
      <c r="C6136" s="40" t="n">
        <v>-46.211691</v>
      </c>
      <c r="D6136" s="40" t="n">
        <v>499</v>
      </c>
      <c r="E6136" s="41" t="n">
        <v>46884.383</v>
      </c>
    </row>
    <row r="6137">
      <c r="A6137" s="42">
        <f>_xlfn.XLOOKUP(17854,Trip[shape_id],Trip[shape_id],"Não encontrado")</f>
        <v/>
      </c>
      <c r="B6137" s="43" t="n">
        <v>-23.529584</v>
      </c>
      <c r="C6137" s="43" t="n">
        <v>-46.211514</v>
      </c>
      <c r="D6137" s="43" t="n">
        <v>500</v>
      </c>
      <c r="E6137" s="44" t="n">
        <v>46906.816</v>
      </c>
    </row>
    <row r="6138">
      <c r="A6138" s="39">
        <f>_xlfn.XLOOKUP(17854,Trip[shape_id],Trip[shape_id],"Não encontrado")</f>
        <v/>
      </c>
      <c r="B6138" s="40" t="n">
        <v>-23.52924</v>
      </c>
      <c r="C6138" s="40" t="n">
        <v>-46.211008</v>
      </c>
      <c r="D6138" s="40" t="n">
        <v>501</v>
      </c>
      <c r="E6138" s="41" t="n">
        <v>46971.016</v>
      </c>
    </row>
    <row r="6139">
      <c r="A6139" s="42">
        <f>_xlfn.XLOOKUP(17854,Trip[shape_id],Trip[shape_id],"Não encontrado")</f>
        <v/>
      </c>
      <c r="B6139" s="43" t="n">
        <v>-23.528799</v>
      </c>
      <c r="C6139" s="43" t="n">
        <v>-46.210358</v>
      </c>
      <c r="D6139" s="43" t="n">
        <v>502</v>
      </c>
      <c r="E6139" s="44" t="n">
        <v>47053.426</v>
      </c>
    </row>
    <row r="6140">
      <c r="A6140" s="39">
        <f>_xlfn.XLOOKUP(17854,Trip[shape_id],Trip[shape_id],"Não encontrado")</f>
        <v/>
      </c>
      <c r="B6140" s="40" t="n">
        <v>-23.528421</v>
      </c>
      <c r="C6140" s="40" t="n">
        <v>-46.209802</v>
      </c>
      <c r="D6140" s="40" t="n">
        <v>503</v>
      </c>
      <c r="E6140" s="41" t="n">
        <v>47123.969</v>
      </c>
    </row>
    <row r="6141">
      <c r="A6141" s="42">
        <f>_xlfn.XLOOKUP(17854,Trip[shape_id],Trip[shape_id],"Não encontrado")</f>
        <v/>
      </c>
      <c r="B6141" s="43" t="n">
        <v>-23.528147</v>
      </c>
      <c r="C6141" s="43" t="n">
        <v>-46.2094</v>
      </c>
      <c r="D6141" s="43" t="n">
        <v>504</v>
      </c>
      <c r="E6141" s="44" t="n">
        <v>47175.02</v>
      </c>
    </row>
    <row r="6142">
      <c r="A6142" s="39">
        <f>_xlfn.XLOOKUP(17854,Trip[shape_id],Trip[shape_id],"Não encontrado")</f>
        <v/>
      </c>
      <c r="B6142" s="40" t="n">
        <v>-23.527755</v>
      </c>
      <c r="C6142" s="40" t="n">
        <v>-46.208825</v>
      </c>
      <c r="D6142" s="40" t="n">
        <v>505</v>
      </c>
      <c r="E6142" s="41" t="n">
        <v>47248.043</v>
      </c>
    </row>
    <row r="6143">
      <c r="A6143" s="42">
        <f>_xlfn.XLOOKUP(17854,Trip[shape_id],Trip[shape_id],"Não encontrado")</f>
        <v/>
      </c>
      <c r="B6143" s="43" t="n">
        <v>-23.527281</v>
      </c>
      <c r="C6143" s="43" t="n">
        <v>-46.208128</v>
      </c>
      <c r="D6143" s="43" t="n">
        <v>506</v>
      </c>
      <c r="E6143" s="44" t="n">
        <v>47336.484</v>
      </c>
    </row>
    <row r="6144">
      <c r="A6144" s="39">
        <f>_xlfn.XLOOKUP(17854,Trip[shape_id],Trip[shape_id],"Não encontrado")</f>
        <v/>
      </c>
      <c r="B6144" s="40" t="n">
        <v>-23.527018</v>
      </c>
      <c r="C6144" s="40" t="n">
        <v>-46.207743</v>
      </c>
      <c r="D6144" s="40" t="n">
        <v>507</v>
      </c>
      <c r="E6144" s="41" t="n">
        <v>47385.414</v>
      </c>
    </row>
    <row r="6145">
      <c r="A6145" s="42">
        <f>_xlfn.XLOOKUP(17854,Trip[shape_id],Trip[shape_id],"Não encontrado")</f>
        <v/>
      </c>
      <c r="B6145" s="43" t="n">
        <v>-23.526542</v>
      </c>
      <c r="C6145" s="43" t="n">
        <v>-46.207044</v>
      </c>
      <c r="D6145" s="43" t="n">
        <v>508</v>
      </c>
      <c r="E6145" s="44" t="n">
        <v>47474.152</v>
      </c>
    </row>
    <row r="6146">
      <c r="A6146" s="39">
        <f>_xlfn.XLOOKUP(17854,Trip[shape_id],Trip[shape_id],"Não encontrado")</f>
        <v/>
      </c>
      <c r="B6146" s="40" t="n">
        <v>-23.5263</v>
      </c>
      <c r="C6146" s="40" t="n">
        <v>-46.206687</v>
      </c>
      <c r="D6146" s="40" t="n">
        <v>509</v>
      </c>
      <c r="E6146" s="41" t="n">
        <v>47519.402</v>
      </c>
    </row>
    <row r="6147">
      <c r="A6147" s="42">
        <f>_xlfn.XLOOKUP(17854,Trip[shape_id],Trip[shape_id],"Não encontrado")</f>
        <v/>
      </c>
      <c r="B6147" s="43" t="n">
        <v>-23.52593</v>
      </c>
      <c r="C6147" s="43" t="n">
        <v>-46.206138</v>
      </c>
      <c r="D6147" s="43" t="n">
        <v>510</v>
      </c>
      <c r="E6147" s="44" t="n">
        <v>47588.848</v>
      </c>
    </row>
    <row r="6148">
      <c r="A6148" s="39">
        <f>_xlfn.XLOOKUP(17854,Trip[shape_id],Trip[shape_id],"Não encontrado")</f>
        <v/>
      </c>
      <c r="B6148" s="40" t="n">
        <v>-23.525543</v>
      </c>
      <c r="C6148" s="40" t="n">
        <v>-46.205564</v>
      </c>
      <c r="D6148" s="40" t="n">
        <v>511</v>
      </c>
      <c r="E6148" s="41" t="n">
        <v>47661.465</v>
      </c>
    </row>
    <row r="6149">
      <c r="A6149" s="42">
        <f>_xlfn.XLOOKUP(17854,Trip[shape_id],Trip[shape_id],"Não encontrado")</f>
        <v/>
      </c>
      <c r="B6149" s="43" t="n">
        <v>-23.525077</v>
      </c>
      <c r="C6149" s="43" t="n">
        <v>-46.204873</v>
      </c>
      <c r="D6149" s="43" t="n">
        <v>512</v>
      </c>
      <c r="E6149" s="44" t="n">
        <v>47748.891</v>
      </c>
    </row>
    <row r="6150">
      <c r="A6150" s="39">
        <f>_xlfn.XLOOKUP(17854,Trip[shape_id],Trip[shape_id],"Não encontrado")</f>
        <v/>
      </c>
      <c r="B6150" s="40" t="n">
        <v>-23.52484</v>
      </c>
      <c r="C6150" s="40" t="n">
        <v>-46.204512</v>
      </c>
      <c r="D6150" s="40" t="n">
        <v>513</v>
      </c>
      <c r="E6150" s="41" t="n">
        <v>47794.145</v>
      </c>
    </row>
    <row r="6151">
      <c r="A6151" s="42">
        <f>_xlfn.XLOOKUP(17854,Trip[shape_id],Trip[shape_id],"Não encontrado")</f>
        <v/>
      </c>
      <c r="B6151" s="43" t="n">
        <v>-23.524326</v>
      </c>
      <c r="C6151" s="43" t="n">
        <v>-46.203734</v>
      </c>
      <c r="D6151" s="43" t="n">
        <v>514</v>
      </c>
      <c r="E6151" s="44" t="n">
        <v>47891.883</v>
      </c>
    </row>
    <row r="6152">
      <c r="A6152" s="39">
        <f>_xlfn.XLOOKUP(17854,Trip[shape_id],Trip[shape_id],"Não encontrado")</f>
        <v/>
      </c>
      <c r="B6152" s="40" t="n">
        <v>-23.523885</v>
      </c>
      <c r="C6152" s="40" t="n">
        <v>-46.202964</v>
      </c>
      <c r="D6152" s="40" t="n">
        <v>515</v>
      </c>
      <c r="E6152" s="41" t="n">
        <v>47984.449</v>
      </c>
    </row>
    <row r="6153">
      <c r="A6153" s="42">
        <f>_xlfn.XLOOKUP(17854,Trip[shape_id],Trip[shape_id],"Não encontrado")</f>
        <v/>
      </c>
      <c r="B6153" s="43" t="n">
        <v>-23.52379</v>
      </c>
      <c r="C6153" s="43" t="n">
        <v>-46.202773</v>
      </c>
      <c r="D6153" s="43" t="n">
        <v>516</v>
      </c>
      <c r="E6153" s="44" t="n">
        <v>48006.613</v>
      </c>
    </row>
    <row r="6154">
      <c r="A6154" s="39">
        <f>_xlfn.XLOOKUP(17854,Trip[shape_id],Trip[shape_id],"Não encontrado")</f>
        <v/>
      </c>
      <c r="B6154" s="40" t="n">
        <v>-23.523443</v>
      </c>
      <c r="C6154" s="40" t="n">
        <v>-46.202082</v>
      </c>
      <c r="D6154" s="40" t="n">
        <v>517</v>
      </c>
      <c r="E6154" s="41" t="n">
        <v>48086.965</v>
      </c>
    </row>
    <row r="6155">
      <c r="A6155" s="42">
        <f>_xlfn.XLOOKUP(17854,Trip[shape_id],Trip[shape_id],"Não encontrado")</f>
        <v/>
      </c>
      <c r="B6155" s="43" t="n">
        <v>-23.523197</v>
      </c>
      <c r="C6155" s="43" t="n">
        <v>-46.201591</v>
      </c>
      <c r="D6155" s="43" t="n">
        <v>518</v>
      </c>
      <c r="E6155" s="44" t="n">
        <v>48144.031</v>
      </c>
    </row>
    <row r="6156">
      <c r="A6156" s="39">
        <f>_xlfn.XLOOKUP(17854,Trip[shape_id],Trip[shape_id],"Não encontrado")</f>
        <v/>
      </c>
      <c r="B6156" s="40" t="n">
        <v>-23.523062</v>
      </c>
      <c r="C6156" s="40" t="n">
        <v>-46.201321</v>
      </c>
      <c r="D6156" s="40" t="n">
        <v>519</v>
      </c>
      <c r="E6156" s="41" t="n">
        <v>48175.398</v>
      </c>
    </row>
    <row r="6157">
      <c r="A6157" s="42">
        <f>_xlfn.XLOOKUP(17854,Trip[shape_id],Trip[shape_id],"Não encontrado")</f>
        <v/>
      </c>
      <c r="B6157" s="43" t="n">
        <v>-23.522877</v>
      </c>
      <c r="C6157" s="43" t="n">
        <v>-46.200905</v>
      </c>
      <c r="D6157" s="43" t="n">
        <v>520</v>
      </c>
      <c r="E6157" s="44" t="n">
        <v>48222.563</v>
      </c>
    </row>
    <row r="6158">
      <c r="A6158" s="39">
        <f>_xlfn.XLOOKUP(17854,Trip[shape_id],Trip[shape_id],"Não encontrado")</f>
        <v/>
      </c>
      <c r="B6158" s="40" t="n">
        <v>-23.522652</v>
      </c>
      <c r="C6158" s="40" t="n">
        <v>-46.200398</v>
      </c>
      <c r="D6158" s="40" t="n">
        <v>521</v>
      </c>
      <c r="E6158" s="41" t="n">
        <v>48280.023</v>
      </c>
    </row>
    <row r="6159">
      <c r="A6159" s="42">
        <f>_xlfn.XLOOKUP(17854,Trip[shape_id],Trip[shape_id],"Não encontrado")</f>
        <v/>
      </c>
      <c r="B6159" s="43" t="n">
        <v>-23.522055</v>
      </c>
      <c r="C6159" s="43" t="n">
        <v>-46.199111</v>
      </c>
      <c r="D6159" s="43" t="n">
        <v>522</v>
      </c>
      <c r="E6159" s="44" t="n">
        <v>48427.152</v>
      </c>
    </row>
    <row r="6160">
      <c r="A6160" s="39">
        <f>_xlfn.XLOOKUP(17854,Trip[shape_id],Trip[shape_id],"Não encontrado")</f>
        <v/>
      </c>
      <c r="B6160" s="40" t="n">
        <v>-23.521674</v>
      </c>
      <c r="C6160" s="40" t="n">
        <v>-46.198291</v>
      </c>
      <c r="D6160" s="40" t="n">
        <v>523</v>
      </c>
      <c r="E6160" s="41" t="n">
        <v>48520.926</v>
      </c>
    </row>
    <row r="6161">
      <c r="A6161" s="42">
        <f>_xlfn.XLOOKUP(17854,Trip[shape_id],Trip[shape_id],"Não encontrado")</f>
        <v/>
      </c>
      <c r="B6161" s="43" t="n">
        <v>-23.52145</v>
      </c>
      <c r="C6161" s="43" t="n">
        <v>-46.197805</v>
      </c>
      <c r="D6161" s="43" t="n">
        <v>524</v>
      </c>
      <c r="E6161" s="44" t="n">
        <v>48576.414</v>
      </c>
    </row>
    <row r="6162">
      <c r="A6162" s="39">
        <f>_xlfn.XLOOKUP(17854,Trip[shape_id],Trip[shape_id],"Não encontrado")</f>
        <v/>
      </c>
      <c r="B6162" s="40" t="n">
        <v>-23.521125</v>
      </c>
      <c r="C6162" s="40" t="n">
        <v>-46.197108</v>
      </c>
      <c r="D6162" s="40" t="n">
        <v>525</v>
      </c>
      <c r="E6162" s="41" t="n">
        <v>48656.18</v>
      </c>
    </row>
    <row r="6163">
      <c r="A6163" s="42">
        <f>_xlfn.XLOOKUP(17854,Trip[shape_id],Trip[shape_id],"Não encontrado")</f>
        <v/>
      </c>
      <c r="B6163" s="43" t="n">
        <v>-23.520793</v>
      </c>
      <c r="C6163" s="43" t="n">
        <v>-46.196392</v>
      </c>
      <c r="D6163" s="43" t="n">
        <v>526</v>
      </c>
      <c r="E6163" s="44" t="n">
        <v>48738.027</v>
      </c>
    </row>
    <row r="6164">
      <c r="A6164" s="39">
        <f>_xlfn.XLOOKUP(17854,Trip[shape_id],Trip[shape_id],"Não encontrado")</f>
        <v/>
      </c>
      <c r="B6164" s="40" t="n">
        <v>-23.520629</v>
      </c>
      <c r="C6164" s="40" t="n">
        <v>-46.196038</v>
      </c>
      <c r="D6164" s="40" t="n">
        <v>527</v>
      </c>
      <c r="E6164" s="41" t="n">
        <v>48778.484</v>
      </c>
    </row>
    <row r="6165">
      <c r="A6165" s="42">
        <f>_xlfn.XLOOKUP(17854,Trip[shape_id],Trip[shape_id],"Não encontrado")</f>
        <v/>
      </c>
      <c r="B6165" s="43" t="n">
        <v>-23.520464</v>
      </c>
      <c r="C6165" s="43" t="n">
        <v>-46.195681</v>
      </c>
      <c r="D6165" s="43" t="n">
        <v>528</v>
      </c>
      <c r="E6165" s="44" t="n">
        <v>48819.266</v>
      </c>
    </row>
    <row r="6166">
      <c r="A6166" s="39">
        <f>_xlfn.XLOOKUP(17854,Trip[shape_id],Trip[shape_id],"Não encontrado")</f>
        <v/>
      </c>
      <c r="B6166" s="40" t="n">
        <v>-23.520281</v>
      </c>
      <c r="C6166" s="40" t="n">
        <v>-46.195278</v>
      </c>
      <c r="D6166" s="40" t="n">
        <v>529</v>
      </c>
      <c r="E6166" s="41" t="n">
        <v>48865.141</v>
      </c>
    </row>
    <row r="6167">
      <c r="A6167" s="42">
        <f>_xlfn.XLOOKUP(17854,Trip[shape_id],Trip[shape_id],"Não encontrado")</f>
        <v/>
      </c>
      <c r="B6167" s="43" t="n">
        <v>-23.520058</v>
      </c>
      <c r="C6167" s="43" t="n">
        <v>-46.194782</v>
      </c>
      <c r="D6167" s="43" t="n">
        <v>530</v>
      </c>
      <c r="E6167" s="44" t="n">
        <v>48921.496</v>
      </c>
    </row>
    <row r="6168">
      <c r="A6168" s="39">
        <f>_xlfn.XLOOKUP(17854,Trip[shape_id],Trip[shape_id],"Não encontrado")</f>
        <v/>
      </c>
      <c r="B6168" s="40" t="n">
        <v>-23.519616</v>
      </c>
      <c r="C6168" s="40" t="n">
        <v>-46.19379</v>
      </c>
      <c r="D6168" s="40" t="n">
        <v>531</v>
      </c>
      <c r="E6168" s="41" t="n">
        <v>49034.012</v>
      </c>
    </row>
    <row r="6169">
      <c r="A6169" s="42">
        <f>_xlfn.XLOOKUP(17854,Trip[shape_id],Trip[shape_id],"Não encontrado")</f>
        <v/>
      </c>
      <c r="B6169" s="43" t="n">
        <v>-23.519126</v>
      </c>
      <c r="C6169" s="43" t="n">
        <v>-46.192696</v>
      </c>
      <c r="D6169" s="43" t="n">
        <v>532</v>
      </c>
      <c r="E6169" s="44" t="n">
        <v>49158.219</v>
      </c>
    </row>
    <row r="6170">
      <c r="A6170" s="39">
        <f>_xlfn.XLOOKUP(17854,Trip[shape_id],Trip[shape_id],"Não encontrado")</f>
        <v/>
      </c>
      <c r="B6170" s="40" t="n">
        <v>-23.518614</v>
      </c>
      <c r="C6170" s="40" t="n">
        <v>-46.19155</v>
      </c>
      <c r="D6170" s="40" t="n">
        <v>533</v>
      </c>
      <c r="E6170" s="41" t="n">
        <v>49288.27</v>
      </c>
    </row>
    <row r="6171">
      <c r="A6171" s="42">
        <f>_xlfn.XLOOKUP(17854,Trip[shape_id],Trip[shape_id],"Não encontrado")</f>
        <v/>
      </c>
      <c r="B6171" s="43" t="n">
        <v>-23.517928</v>
      </c>
      <c r="C6171" s="43" t="n">
        <v>-46.190016</v>
      </c>
      <c r="D6171" s="43" t="n">
        <v>534</v>
      </c>
      <c r="E6171" s="44" t="n">
        <v>49462.383</v>
      </c>
    </row>
    <row r="6172">
      <c r="A6172" s="39">
        <f>_xlfn.XLOOKUP(17854,Trip[shape_id],Trip[shape_id],"Não encontrado")</f>
        <v/>
      </c>
      <c r="B6172" s="40" t="n">
        <v>-23.5174</v>
      </c>
      <c r="C6172" s="40" t="n">
        <v>-46.188837</v>
      </c>
      <c r="D6172" s="40" t="n">
        <v>535</v>
      </c>
      <c r="E6172" s="41" t="n">
        <v>49596.238</v>
      </c>
    </row>
    <row r="6173">
      <c r="A6173" s="42">
        <f>_xlfn.XLOOKUP(17854,Trip[shape_id],Trip[shape_id],"Não encontrado")</f>
        <v/>
      </c>
      <c r="B6173" s="43" t="n">
        <v>-23.517084</v>
      </c>
      <c r="C6173" s="43" t="n">
        <v>-46.188128</v>
      </c>
      <c r="D6173" s="43" t="n">
        <v>536</v>
      </c>
      <c r="E6173" s="44" t="n">
        <v>49676.66</v>
      </c>
    </row>
    <row r="6174">
      <c r="A6174" s="39">
        <f>_xlfn.XLOOKUP(17854,Trip[shape_id],Trip[shape_id],"Não encontrado")</f>
        <v/>
      </c>
      <c r="B6174" s="40" t="n">
        <v>-23.516902</v>
      </c>
      <c r="C6174" s="40" t="n">
        <v>-46.187726</v>
      </c>
      <c r="D6174" s="40" t="n">
        <v>537</v>
      </c>
      <c r="E6174" s="41" t="n">
        <v>49722.398</v>
      </c>
    </row>
    <row r="6175">
      <c r="A6175" s="42">
        <f>_xlfn.XLOOKUP(17854,Trip[shape_id],Trip[shape_id],"Não encontrado")</f>
        <v/>
      </c>
      <c r="B6175" s="43" t="n">
        <v>-23.516735</v>
      </c>
      <c r="C6175" s="43" t="n">
        <v>-46.187346</v>
      </c>
      <c r="D6175" s="43" t="n">
        <v>538</v>
      </c>
      <c r="E6175" s="44" t="n">
        <v>49765.391</v>
      </c>
    </row>
    <row r="6176">
      <c r="A6176" s="39">
        <f>_xlfn.XLOOKUP(17854,Trip[shape_id],Trip[shape_id],"Não encontrado")</f>
        <v/>
      </c>
      <c r="B6176" s="40" t="n">
        <v>-23.516471</v>
      </c>
      <c r="C6176" s="40" t="n">
        <v>-46.186738</v>
      </c>
      <c r="D6176" s="40" t="n">
        <v>539</v>
      </c>
      <c r="E6176" s="41" t="n">
        <v>49834.023</v>
      </c>
    </row>
    <row r="6177">
      <c r="A6177" s="42">
        <f>_xlfn.XLOOKUP(17854,Trip[shape_id],Trip[shape_id],"Não encontrado")</f>
        <v/>
      </c>
      <c r="B6177" s="43" t="n">
        <v>-23.516023</v>
      </c>
      <c r="C6177" s="43" t="n">
        <v>-46.18571</v>
      </c>
      <c r="D6177" s="43" t="n">
        <v>540</v>
      </c>
      <c r="E6177" s="44" t="n">
        <v>49950.145</v>
      </c>
    </row>
    <row r="6178">
      <c r="A6178" s="39">
        <f>_xlfn.XLOOKUP(17854,Trip[shape_id],Trip[shape_id],"Não encontrado")</f>
        <v/>
      </c>
      <c r="B6178" s="40" t="n">
        <v>-23.515805</v>
      </c>
      <c r="C6178" s="40" t="n">
        <v>-46.185208</v>
      </c>
      <c r="D6178" s="40" t="n">
        <v>541</v>
      </c>
      <c r="E6178" s="41" t="n">
        <v>50006.813</v>
      </c>
    </row>
    <row r="6179">
      <c r="A6179" s="42">
        <f>_xlfn.XLOOKUP(17854,Trip[shape_id],Trip[shape_id],"Não encontrado")</f>
        <v/>
      </c>
      <c r="B6179" s="43" t="n">
        <v>-23.515696</v>
      </c>
      <c r="C6179" s="43" t="n">
        <v>-46.18493</v>
      </c>
      <c r="D6179" s="43" t="n">
        <v>542</v>
      </c>
      <c r="E6179" s="44" t="n">
        <v>50037.664</v>
      </c>
    </row>
    <row r="6180">
      <c r="A6180" s="39">
        <f>_xlfn.XLOOKUP(17855,Trip[shape_id],Trip[shape_id],"Não encontrado")</f>
        <v/>
      </c>
      <c r="B6180" s="40" t="n">
        <v>-23.515696</v>
      </c>
      <c r="C6180" s="40" t="n">
        <v>-46.18493</v>
      </c>
      <c r="D6180" s="40" t="n">
        <v>1</v>
      </c>
      <c r="E6180" s="41" t="n">
        <v>30.851604</v>
      </c>
    </row>
    <row r="6181">
      <c r="A6181" s="42">
        <f>_xlfn.XLOOKUP(17855,Trip[shape_id],Trip[shape_id],"Não encontrado")</f>
        <v/>
      </c>
      <c r="B6181" s="43" t="n">
        <v>-23.515805</v>
      </c>
      <c r="C6181" s="43" t="n">
        <v>-46.185208</v>
      </c>
      <c r="D6181" s="43" t="n">
        <v>2</v>
      </c>
      <c r="E6181" s="44" t="n">
        <v>87.520844</v>
      </c>
    </row>
    <row r="6182">
      <c r="A6182" s="39">
        <f>_xlfn.XLOOKUP(17855,Trip[shape_id],Trip[shape_id],"Não encontrado")</f>
        <v/>
      </c>
      <c r="B6182" s="40" t="n">
        <v>-23.516023</v>
      </c>
      <c r="C6182" s="40" t="n">
        <v>-46.18571</v>
      </c>
      <c r="D6182" s="40" t="n">
        <v>3</v>
      </c>
      <c r="E6182" s="41" t="n">
        <v>203.64282</v>
      </c>
    </row>
    <row r="6183">
      <c r="A6183" s="42">
        <f>_xlfn.XLOOKUP(17855,Trip[shape_id],Trip[shape_id],"Não encontrado")</f>
        <v/>
      </c>
      <c r="B6183" s="43" t="n">
        <v>-23.516471</v>
      </c>
      <c r="C6183" s="43" t="n">
        <v>-46.186738</v>
      </c>
      <c r="D6183" s="43" t="n">
        <v>4</v>
      </c>
      <c r="E6183" s="44" t="n">
        <v>272.27618</v>
      </c>
    </row>
    <row r="6184">
      <c r="A6184" s="39">
        <f>_xlfn.XLOOKUP(17855,Trip[shape_id],Trip[shape_id],"Não encontrado")</f>
        <v/>
      </c>
      <c r="B6184" s="40" t="n">
        <v>-23.516735</v>
      </c>
      <c r="C6184" s="40" t="n">
        <v>-46.187346</v>
      </c>
      <c r="D6184" s="40" t="n">
        <v>5</v>
      </c>
      <c r="E6184" s="41" t="n">
        <v>315.26691</v>
      </c>
    </row>
    <row r="6185">
      <c r="A6185" s="42">
        <f>_xlfn.XLOOKUP(17855,Trip[shape_id],Trip[shape_id],"Não encontrado")</f>
        <v/>
      </c>
      <c r="B6185" s="43" t="n">
        <v>-23.516902</v>
      </c>
      <c r="C6185" s="43" t="n">
        <v>-46.187726</v>
      </c>
      <c r="D6185" s="43" t="n">
        <v>6</v>
      </c>
      <c r="E6185" s="44" t="n">
        <v>361.00348</v>
      </c>
    </row>
    <row r="6186">
      <c r="A6186" s="39">
        <f>_xlfn.XLOOKUP(17855,Trip[shape_id],Trip[shape_id],"Não encontrado")</f>
        <v/>
      </c>
      <c r="B6186" s="40" t="n">
        <v>-23.517084</v>
      </c>
      <c r="C6186" s="40" t="n">
        <v>-46.188128</v>
      </c>
      <c r="D6186" s="40" t="n">
        <v>7</v>
      </c>
      <c r="E6186" s="41" t="n">
        <v>441.42621</v>
      </c>
    </row>
    <row r="6187">
      <c r="A6187" s="42">
        <f>_xlfn.XLOOKUP(17855,Trip[shape_id],Trip[shape_id],"Não encontrado")</f>
        <v/>
      </c>
      <c r="B6187" s="43" t="n">
        <v>-23.5174</v>
      </c>
      <c r="C6187" s="43" t="n">
        <v>-46.188837</v>
      </c>
      <c r="D6187" s="43" t="n">
        <v>8</v>
      </c>
      <c r="E6187" s="44" t="n">
        <v>575.28308</v>
      </c>
    </row>
    <row r="6188">
      <c r="A6188" s="39">
        <f>_xlfn.XLOOKUP(17855,Trip[shape_id],Trip[shape_id],"Não encontrado")</f>
        <v/>
      </c>
      <c r="B6188" s="40" t="n">
        <v>-23.517928</v>
      </c>
      <c r="C6188" s="40" t="n">
        <v>-46.190016</v>
      </c>
      <c r="D6188" s="40" t="n">
        <v>9</v>
      </c>
      <c r="E6188" s="41" t="n">
        <v>749.39648</v>
      </c>
    </row>
    <row r="6189">
      <c r="A6189" s="42">
        <f>_xlfn.XLOOKUP(17855,Trip[shape_id],Trip[shape_id],"Não encontrado")</f>
        <v/>
      </c>
      <c r="B6189" s="43" t="n">
        <v>-23.518614</v>
      </c>
      <c r="C6189" s="43" t="n">
        <v>-46.19155</v>
      </c>
      <c r="D6189" s="43" t="n">
        <v>10</v>
      </c>
      <c r="E6189" s="44" t="n">
        <v>879.44678</v>
      </c>
    </row>
    <row r="6190">
      <c r="A6190" s="39">
        <f>_xlfn.XLOOKUP(17855,Trip[shape_id],Trip[shape_id],"Não encontrado")</f>
        <v/>
      </c>
      <c r="B6190" s="40" t="n">
        <v>-23.519126</v>
      </c>
      <c r="C6190" s="40" t="n">
        <v>-46.192696</v>
      </c>
      <c r="D6190" s="40" t="n">
        <v>11</v>
      </c>
      <c r="E6190" s="41" t="n">
        <v>1003.6552</v>
      </c>
    </row>
    <row r="6191">
      <c r="A6191" s="42">
        <f>_xlfn.XLOOKUP(17855,Trip[shape_id],Trip[shape_id],"Não encontrado")</f>
        <v/>
      </c>
      <c r="B6191" s="43" t="n">
        <v>-23.519616</v>
      </c>
      <c r="C6191" s="43" t="n">
        <v>-46.19379</v>
      </c>
      <c r="D6191" s="43" t="n">
        <v>12</v>
      </c>
      <c r="E6191" s="44" t="n">
        <v>1116.1708</v>
      </c>
    </row>
    <row r="6192">
      <c r="A6192" s="39">
        <f>_xlfn.XLOOKUP(17855,Trip[shape_id],Trip[shape_id],"Não encontrado")</f>
        <v/>
      </c>
      <c r="B6192" s="40" t="n">
        <v>-23.520058</v>
      </c>
      <c r="C6192" s="40" t="n">
        <v>-46.194782</v>
      </c>
      <c r="D6192" s="40" t="n">
        <v>13</v>
      </c>
      <c r="E6192" s="41" t="n">
        <v>1172.5253</v>
      </c>
    </row>
    <row r="6193">
      <c r="A6193" s="42">
        <f>_xlfn.XLOOKUP(17855,Trip[shape_id],Trip[shape_id],"Não encontrado")</f>
        <v/>
      </c>
      <c r="B6193" s="43" t="n">
        <v>-23.520281</v>
      </c>
      <c r="C6193" s="43" t="n">
        <v>-46.195278</v>
      </c>
      <c r="D6193" s="43" t="n">
        <v>14</v>
      </c>
      <c r="E6193" s="44" t="n">
        <v>1218.4016</v>
      </c>
    </row>
    <row r="6194">
      <c r="A6194" s="39">
        <f>_xlfn.XLOOKUP(17855,Trip[shape_id],Trip[shape_id],"Não encontrado")</f>
        <v/>
      </c>
      <c r="B6194" s="40" t="n">
        <v>-23.520464</v>
      </c>
      <c r="C6194" s="40" t="n">
        <v>-46.195681</v>
      </c>
      <c r="D6194" s="40" t="n">
        <v>15</v>
      </c>
      <c r="E6194" s="41" t="n">
        <v>1259.1837</v>
      </c>
    </row>
    <row r="6195">
      <c r="A6195" s="42">
        <f>_xlfn.XLOOKUP(17855,Trip[shape_id],Trip[shape_id],"Não encontrado")</f>
        <v/>
      </c>
      <c r="B6195" s="43" t="n">
        <v>-23.520629</v>
      </c>
      <c r="C6195" s="43" t="n">
        <v>-46.196038</v>
      </c>
      <c r="D6195" s="43" t="n">
        <v>16</v>
      </c>
      <c r="E6195" s="44" t="n">
        <v>1299.6421</v>
      </c>
    </row>
    <row r="6196">
      <c r="A6196" s="39">
        <f>_xlfn.XLOOKUP(17855,Trip[shape_id],Trip[shape_id],"Não encontrado")</f>
        <v/>
      </c>
      <c r="B6196" s="40" t="n">
        <v>-23.520793</v>
      </c>
      <c r="C6196" s="40" t="n">
        <v>-46.196392</v>
      </c>
      <c r="D6196" s="40" t="n">
        <v>17</v>
      </c>
      <c r="E6196" s="41" t="n">
        <v>1381.4879</v>
      </c>
    </row>
    <row r="6197">
      <c r="A6197" s="42">
        <f>_xlfn.XLOOKUP(17855,Trip[shape_id],Trip[shape_id],"Não encontrado")</f>
        <v/>
      </c>
      <c r="B6197" s="43" t="n">
        <v>-23.521125</v>
      </c>
      <c r="C6197" s="43" t="n">
        <v>-46.197108</v>
      </c>
      <c r="D6197" s="43" t="n">
        <v>18</v>
      </c>
      <c r="E6197" s="44" t="n">
        <v>1461.2518</v>
      </c>
    </row>
    <row r="6198">
      <c r="A6198" s="39">
        <f>_xlfn.XLOOKUP(17855,Trip[shape_id],Trip[shape_id],"Não encontrado")</f>
        <v/>
      </c>
      <c r="B6198" s="40" t="n">
        <v>-23.52145</v>
      </c>
      <c r="C6198" s="40" t="n">
        <v>-46.197805</v>
      </c>
      <c r="D6198" s="40" t="n">
        <v>19</v>
      </c>
      <c r="E6198" s="41" t="n">
        <v>1461.2518</v>
      </c>
    </row>
    <row r="6199">
      <c r="A6199" s="42">
        <f>_xlfn.XLOOKUP(17855,Trip[shape_id],Trip[shape_id],"Não encontrado")</f>
        <v/>
      </c>
      <c r="B6199" s="43" t="n">
        <v>-23.521674</v>
      </c>
      <c r="C6199" s="43" t="n">
        <v>-46.198291</v>
      </c>
      <c r="D6199" s="43" t="n">
        <v>20</v>
      </c>
      <c r="E6199" s="44" t="n">
        <v>1610.5111</v>
      </c>
    </row>
    <row r="6200">
      <c r="A6200" s="39">
        <f>_xlfn.XLOOKUP(17855,Trip[shape_id],Trip[shape_id],"Não encontrado")</f>
        <v/>
      </c>
      <c r="B6200" s="40" t="n">
        <v>-23.522055</v>
      </c>
      <c r="C6200" s="40" t="n">
        <v>-46.199111</v>
      </c>
      <c r="D6200" s="40" t="n">
        <v>21</v>
      </c>
      <c r="E6200" s="41" t="n">
        <v>1757.6382</v>
      </c>
    </row>
    <row r="6201">
      <c r="A6201" s="42">
        <f>_xlfn.XLOOKUP(17855,Trip[shape_id],Trip[shape_id],"Não encontrado")</f>
        <v/>
      </c>
      <c r="B6201" s="43" t="n">
        <v>-23.522652</v>
      </c>
      <c r="C6201" s="43" t="n">
        <v>-46.200398</v>
      </c>
      <c r="D6201" s="43" t="n">
        <v>22</v>
      </c>
      <c r="E6201" s="44" t="n">
        <v>1815.0992</v>
      </c>
    </row>
    <row r="6202">
      <c r="A6202" s="39">
        <f>_xlfn.XLOOKUP(17855,Trip[shape_id],Trip[shape_id],"Não encontrado")</f>
        <v/>
      </c>
      <c r="B6202" s="40" t="n">
        <v>-23.522877</v>
      </c>
      <c r="C6202" s="40" t="n">
        <v>-46.200905</v>
      </c>
      <c r="D6202" s="40" t="n">
        <v>23</v>
      </c>
      <c r="E6202" s="41" t="n">
        <v>1862.2653</v>
      </c>
    </row>
    <row r="6203">
      <c r="A6203" s="42">
        <f>_xlfn.XLOOKUP(17855,Trip[shape_id],Trip[shape_id],"Não encontrado")</f>
        <v/>
      </c>
      <c r="B6203" s="43" t="n">
        <v>-23.523062</v>
      </c>
      <c r="C6203" s="43" t="n">
        <v>-46.201321</v>
      </c>
      <c r="D6203" s="43" t="n">
        <v>24</v>
      </c>
      <c r="E6203" s="44" t="n">
        <v>1893.6312</v>
      </c>
    </row>
    <row r="6204">
      <c r="A6204" s="39">
        <f>_xlfn.XLOOKUP(17855,Trip[shape_id],Trip[shape_id],"Não encontrado")</f>
        <v/>
      </c>
      <c r="B6204" s="40" t="n">
        <v>-23.523197</v>
      </c>
      <c r="C6204" s="40" t="n">
        <v>-46.201591</v>
      </c>
      <c r="D6204" s="40" t="n">
        <v>25</v>
      </c>
      <c r="E6204" s="41" t="n">
        <v>1950.6974</v>
      </c>
    </row>
    <row r="6205">
      <c r="A6205" s="42">
        <f>_xlfn.XLOOKUP(17855,Trip[shape_id],Trip[shape_id],"Não encontrado")</f>
        <v/>
      </c>
      <c r="B6205" s="43" t="n">
        <v>-23.523443</v>
      </c>
      <c r="C6205" s="43" t="n">
        <v>-46.202082</v>
      </c>
      <c r="D6205" s="43" t="n">
        <v>26</v>
      </c>
      <c r="E6205" s="44" t="n">
        <v>2031.0503</v>
      </c>
    </row>
    <row r="6206">
      <c r="A6206" s="39">
        <f>_xlfn.XLOOKUP(17855,Trip[shape_id],Trip[shape_id],"Não encontrado")</f>
        <v/>
      </c>
      <c r="B6206" s="40" t="n">
        <v>-23.52379</v>
      </c>
      <c r="C6206" s="40" t="n">
        <v>-46.202773</v>
      </c>
      <c r="D6206" s="40" t="n">
        <v>27</v>
      </c>
      <c r="E6206" s="41" t="n">
        <v>2053.2124</v>
      </c>
    </row>
    <row r="6207">
      <c r="A6207" s="42">
        <f>_xlfn.XLOOKUP(17855,Trip[shape_id],Trip[shape_id],"Não encontrado")</f>
        <v/>
      </c>
      <c r="B6207" s="43" t="n">
        <v>-23.523885</v>
      </c>
      <c r="C6207" s="43" t="n">
        <v>-46.202964</v>
      </c>
      <c r="D6207" s="43" t="n">
        <v>28</v>
      </c>
      <c r="E6207" s="44" t="n">
        <v>2145.7805</v>
      </c>
    </row>
    <row r="6208">
      <c r="A6208" s="39">
        <f>_xlfn.XLOOKUP(17855,Trip[shape_id],Trip[shape_id],"Não encontrado")</f>
        <v/>
      </c>
      <c r="B6208" s="40" t="n">
        <v>-23.524326</v>
      </c>
      <c r="C6208" s="40" t="n">
        <v>-46.203734</v>
      </c>
      <c r="D6208" s="40" t="n">
        <v>29</v>
      </c>
      <c r="E6208" s="41" t="n">
        <v>2243.5203</v>
      </c>
    </row>
    <row r="6209">
      <c r="A6209" s="42">
        <f>_xlfn.XLOOKUP(17855,Trip[shape_id],Trip[shape_id],"Não encontrado")</f>
        <v/>
      </c>
      <c r="B6209" s="43" t="n">
        <v>-23.52484</v>
      </c>
      <c r="C6209" s="43" t="n">
        <v>-46.204512</v>
      </c>
      <c r="D6209" s="43" t="n">
        <v>30</v>
      </c>
      <c r="E6209" s="44" t="n">
        <v>2288.7759</v>
      </c>
    </row>
    <row r="6210">
      <c r="A6210" s="39">
        <f>_xlfn.XLOOKUP(17855,Trip[shape_id],Trip[shape_id],"Não encontrado")</f>
        <v/>
      </c>
      <c r="B6210" s="40" t="n">
        <v>-23.525077</v>
      </c>
      <c r="C6210" s="40" t="n">
        <v>-46.204873</v>
      </c>
      <c r="D6210" s="40" t="n">
        <v>31</v>
      </c>
      <c r="E6210" s="41" t="n">
        <v>2376.2009</v>
      </c>
    </row>
    <row r="6211">
      <c r="A6211" s="42">
        <f>_xlfn.XLOOKUP(17855,Trip[shape_id],Trip[shape_id],"Não encontrado")</f>
        <v/>
      </c>
      <c r="B6211" s="43" t="n">
        <v>-23.525543</v>
      </c>
      <c r="C6211" s="43" t="n">
        <v>-46.205564</v>
      </c>
      <c r="D6211" s="43" t="n">
        <v>32</v>
      </c>
      <c r="E6211" s="44" t="n">
        <v>2448.8169</v>
      </c>
    </row>
    <row r="6212">
      <c r="A6212" s="39">
        <f>_xlfn.XLOOKUP(17855,Trip[shape_id],Trip[shape_id],"Não encontrado")</f>
        <v/>
      </c>
      <c r="B6212" s="40" t="n">
        <v>-23.52593</v>
      </c>
      <c r="C6212" s="40" t="n">
        <v>-46.206138</v>
      </c>
      <c r="D6212" s="40" t="n">
        <v>33</v>
      </c>
      <c r="E6212" s="41" t="n">
        <v>2518.2605</v>
      </c>
    </row>
    <row r="6213">
      <c r="A6213" s="42">
        <f>_xlfn.XLOOKUP(17855,Trip[shape_id],Trip[shape_id],"Não encontrado")</f>
        <v/>
      </c>
      <c r="B6213" s="43" t="n">
        <v>-23.5263</v>
      </c>
      <c r="C6213" s="43" t="n">
        <v>-46.206687</v>
      </c>
      <c r="D6213" s="43" t="n">
        <v>34</v>
      </c>
      <c r="E6213" s="44" t="n">
        <v>2563.5093</v>
      </c>
    </row>
    <row r="6214">
      <c r="A6214" s="39">
        <f>_xlfn.XLOOKUP(17855,Trip[shape_id],Trip[shape_id],"Não encontrado")</f>
        <v/>
      </c>
      <c r="B6214" s="40" t="n">
        <v>-23.526542</v>
      </c>
      <c r="C6214" s="40" t="n">
        <v>-46.207044</v>
      </c>
      <c r="D6214" s="40" t="n">
        <v>35</v>
      </c>
      <c r="E6214" s="41" t="n">
        <v>2652.248</v>
      </c>
    </row>
    <row r="6215">
      <c r="A6215" s="42">
        <f>_xlfn.XLOOKUP(17855,Trip[shape_id],Trip[shape_id],"Não encontrado")</f>
        <v/>
      </c>
      <c r="B6215" s="43" t="n">
        <v>-23.527018</v>
      </c>
      <c r="C6215" s="43" t="n">
        <v>-46.207743</v>
      </c>
      <c r="D6215" s="43" t="n">
        <v>36</v>
      </c>
      <c r="E6215" s="44" t="n">
        <v>2701.1785</v>
      </c>
    </row>
    <row r="6216">
      <c r="A6216" s="39">
        <f>_xlfn.XLOOKUP(17855,Trip[shape_id],Trip[shape_id],"Não encontrado")</f>
        <v/>
      </c>
      <c r="B6216" s="40" t="n">
        <v>-23.527281</v>
      </c>
      <c r="C6216" s="40" t="n">
        <v>-46.208128</v>
      </c>
      <c r="D6216" s="40" t="n">
        <v>37</v>
      </c>
      <c r="E6216" s="41" t="n">
        <v>2789.6211</v>
      </c>
    </row>
    <row r="6217">
      <c r="A6217" s="42">
        <f>_xlfn.XLOOKUP(17855,Trip[shape_id],Trip[shape_id],"Não encontrado")</f>
        <v/>
      </c>
      <c r="B6217" s="43" t="n">
        <v>-23.527755</v>
      </c>
      <c r="C6217" s="43" t="n">
        <v>-46.208825</v>
      </c>
      <c r="D6217" s="43" t="n">
        <v>38</v>
      </c>
      <c r="E6217" s="44" t="n">
        <v>2862.6465</v>
      </c>
    </row>
    <row r="6218">
      <c r="A6218" s="39">
        <f>_xlfn.XLOOKUP(17855,Trip[shape_id],Trip[shape_id],"Não encontrado")</f>
        <v/>
      </c>
      <c r="B6218" s="40" t="n">
        <v>-23.528147</v>
      </c>
      <c r="C6218" s="40" t="n">
        <v>-46.2094</v>
      </c>
      <c r="D6218" s="40" t="n">
        <v>39</v>
      </c>
      <c r="E6218" s="41" t="n">
        <v>2913.6968</v>
      </c>
    </row>
    <row r="6219">
      <c r="A6219" s="42">
        <f>_xlfn.XLOOKUP(17855,Trip[shape_id],Trip[shape_id],"Não encontrado")</f>
        <v/>
      </c>
      <c r="B6219" s="43" t="n">
        <v>-23.528421</v>
      </c>
      <c r="C6219" s="43" t="n">
        <v>-46.209802</v>
      </c>
      <c r="D6219" s="43" t="n">
        <v>40</v>
      </c>
      <c r="E6219" s="44" t="n">
        <v>2984.24</v>
      </c>
    </row>
    <row r="6220">
      <c r="A6220" s="39">
        <f>_xlfn.XLOOKUP(17855,Trip[shape_id],Trip[shape_id],"Não encontrado")</f>
        <v/>
      </c>
      <c r="B6220" s="40" t="n">
        <v>-23.528799</v>
      </c>
      <c r="C6220" s="40" t="n">
        <v>-46.210358</v>
      </c>
      <c r="D6220" s="40" t="n">
        <v>41</v>
      </c>
      <c r="E6220" s="41" t="n">
        <v>3066.6499</v>
      </c>
    </row>
    <row r="6221">
      <c r="A6221" s="42">
        <f>_xlfn.XLOOKUP(17855,Trip[shape_id],Trip[shape_id],"Não encontrado")</f>
        <v/>
      </c>
      <c r="B6221" s="43" t="n">
        <v>-23.52924</v>
      </c>
      <c r="C6221" s="43" t="n">
        <v>-46.211008</v>
      </c>
      <c r="D6221" s="43" t="n">
        <v>42</v>
      </c>
      <c r="E6221" s="44" t="n">
        <v>3130.8486</v>
      </c>
    </row>
    <row r="6222">
      <c r="A6222" s="39">
        <f>_xlfn.XLOOKUP(17855,Trip[shape_id],Trip[shape_id],"Não encontrado")</f>
        <v/>
      </c>
      <c r="B6222" s="40" t="n">
        <v>-23.529584</v>
      </c>
      <c r="C6222" s="40" t="n">
        <v>-46.211514</v>
      </c>
      <c r="D6222" s="40" t="n">
        <v>43</v>
      </c>
      <c r="E6222" s="41" t="n">
        <v>3153.2834</v>
      </c>
    </row>
    <row r="6223">
      <c r="A6223" s="42">
        <f>_xlfn.XLOOKUP(17855,Trip[shape_id],Trip[shape_id],"Não encontrado")</f>
        <v/>
      </c>
      <c r="B6223" s="43" t="n">
        <v>-23.529704</v>
      </c>
      <c r="C6223" s="43" t="n">
        <v>-46.211691</v>
      </c>
      <c r="D6223" s="43" t="n">
        <v>44</v>
      </c>
      <c r="E6223" s="44" t="n">
        <v>3189.4272</v>
      </c>
    </row>
    <row r="6224">
      <c r="A6224" s="39">
        <f>_xlfn.XLOOKUP(17855,Trip[shape_id],Trip[shape_id],"Não encontrado")</f>
        <v/>
      </c>
      <c r="B6224" s="40" t="n">
        <v>-23.5299</v>
      </c>
      <c r="C6224" s="40" t="n">
        <v>-46.211974</v>
      </c>
      <c r="D6224" s="40" t="n">
        <v>45</v>
      </c>
      <c r="E6224" s="41" t="n">
        <v>3271.9717</v>
      </c>
    </row>
    <row r="6225">
      <c r="A6225" s="42">
        <f>_xlfn.XLOOKUP(17855,Trip[shape_id],Trip[shape_id],"Não encontrado")</f>
        <v/>
      </c>
      <c r="B6225" s="43" t="n">
        <v>-23.530348</v>
      </c>
      <c r="C6225" s="43" t="n">
        <v>-46.21262</v>
      </c>
      <c r="D6225" s="43" t="n">
        <v>46</v>
      </c>
      <c r="E6225" s="44" t="n">
        <v>3322.6782</v>
      </c>
    </row>
    <row r="6226">
      <c r="A6226" s="39">
        <f>_xlfn.XLOOKUP(17855,Trip[shape_id],Trip[shape_id],"Não encontrado")</f>
        <v/>
      </c>
      <c r="B6226" s="40" t="n">
        <v>-23.530623</v>
      </c>
      <c r="C6226" s="40" t="n">
        <v>-46.213017</v>
      </c>
      <c r="D6226" s="40" t="n">
        <v>47</v>
      </c>
      <c r="E6226" s="41" t="n">
        <v>3370.9841</v>
      </c>
    </row>
    <row r="6227">
      <c r="A6227" s="42">
        <f>_xlfn.XLOOKUP(17855,Trip[shape_id],Trip[shape_id],"Não encontrado")</f>
        <v/>
      </c>
      <c r="B6227" s="43" t="n">
        <v>-23.530884</v>
      </c>
      <c r="C6227" s="43" t="n">
        <v>-46.213396</v>
      </c>
      <c r="D6227" s="43" t="n">
        <v>48</v>
      </c>
      <c r="E6227" s="44" t="n">
        <v>3400.0947</v>
      </c>
    </row>
    <row r="6228">
      <c r="A6228" s="39">
        <f>_xlfn.XLOOKUP(17855,Trip[shape_id],Trip[shape_id],"Não encontrado")</f>
        <v/>
      </c>
      <c r="B6228" s="40" t="n">
        <v>-23.531043</v>
      </c>
      <c r="C6228" s="40" t="n">
        <v>-46.213623</v>
      </c>
      <c r="D6228" s="40" t="n">
        <v>49</v>
      </c>
      <c r="E6228" s="41" t="n">
        <v>3493.6157</v>
      </c>
    </row>
    <row r="6229">
      <c r="A6229" s="42">
        <f>_xlfn.XLOOKUP(17855,Trip[shape_id],Trip[shape_id],"Não encontrado")</f>
        <v/>
      </c>
      <c r="B6229" s="43" t="n">
        <v>-23.531548</v>
      </c>
      <c r="C6229" s="43" t="n">
        <v>-46.214357</v>
      </c>
      <c r="D6229" s="43" t="n">
        <v>50</v>
      </c>
      <c r="E6229" s="44" t="n">
        <v>3557.6841</v>
      </c>
    </row>
    <row r="6230">
      <c r="A6230" s="39">
        <f>_xlfn.XLOOKUP(17855,Trip[shape_id],Trip[shape_id],"Não encontrado")</f>
        <v/>
      </c>
      <c r="B6230" s="40" t="n">
        <v>-23.531895</v>
      </c>
      <c r="C6230" s="40" t="n">
        <v>-46.214859</v>
      </c>
      <c r="D6230" s="40" t="n">
        <v>51</v>
      </c>
      <c r="E6230" s="41" t="n">
        <v>3582.967</v>
      </c>
    </row>
    <row r="6231">
      <c r="A6231" s="42">
        <f>_xlfn.XLOOKUP(17855,Trip[shape_id],Trip[shape_id],"Não encontrado")</f>
        <v/>
      </c>
      <c r="B6231" s="43" t="n">
        <v>-23.532027</v>
      </c>
      <c r="C6231" s="43" t="n">
        <v>-46.215061</v>
      </c>
      <c r="D6231" s="43" t="n">
        <v>52</v>
      </c>
      <c r="E6231" s="44" t="n">
        <v>3636.6794</v>
      </c>
    </row>
    <row r="6232">
      <c r="A6232" s="39">
        <f>_xlfn.XLOOKUP(17855,Trip[shape_id],Trip[shape_id],"Não encontrado")</f>
        <v/>
      </c>
      <c r="B6232" s="40" t="n">
        <v>-23.532305</v>
      </c>
      <c r="C6232" s="40" t="n">
        <v>-46.215492</v>
      </c>
      <c r="D6232" s="40" t="n">
        <v>53</v>
      </c>
      <c r="E6232" s="41" t="n">
        <v>3693.6245</v>
      </c>
    </row>
    <row r="6233">
      <c r="A6233" s="42">
        <f>_xlfn.XLOOKUP(17855,Trip[shape_id],Trip[shape_id],"Não encontrado")</f>
        <v/>
      </c>
      <c r="B6233" s="43" t="n">
        <v>-23.532597</v>
      </c>
      <c r="C6233" s="43" t="n">
        <v>-46.215951</v>
      </c>
      <c r="D6233" s="43" t="n">
        <v>54</v>
      </c>
      <c r="E6233" s="44" t="n">
        <v>3734.9268</v>
      </c>
    </row>
    <row r="6234">
      <c r="A6234" s="39">
        <f>_xlfn.XLOOKUP(17855,Trip[shape_id],Trip[shape_id],"Não encontrado")</f>
        <v/>
      </c>
      <c r="B6234" s="40" t="n">
        <v>-23.53281</v>
      </c>
      <c r="C6234" s="40" t="n">
        <v>-46.216283</v>
      </c>
      <c r="D6234" s="40" t="n">
        <v>55</v>
      </c>
      <c r="E6234" s="41" t="n">
        <v>3799.5779</v>
      </c>
    </row>
    <row r="6235">
      <c r="A6235" s="42">
        <f>_xlfn.XLOOKUP(17855,Trip[shape_id],Trip[shape_id],"Não encontrado")</f>
        <v/>
      </c>
      <c r="B6235" s="43" t="n">
        <v>-23.533143</v>
      </c>
      <c r="C6235" s="43" t="n">
        <v>-46.216803</v>
      </c>
      <c r="D6235" s="43" t="n">
        <v>56</v>
      </c>
      <c r="E6235" s="44" t="n">
        <v>3830.0662</v>
      </c>
    </row>
    <row r="6236">
      <c r="A6236" s="39">
        <f>_xlfn.XLOOKUP(17855,Trip[shape_id],Trip[shape_id],"Não encontrado")</f>
        <v/>
      </c>
      <c r="B6236" s="40" t="n">
        <v>-23.533299</v>
      </c>
      <c r="C6236" s="40" t="n">
        <v>-46.217049</v>
      </c>
      <c r="D6236" s="40" t="n">
        <v>57</v>
      </c>
      <c r="E6236" s="41" t="n">
        <v>3886.9695</v>
      </c>
    </row>
    <row r="6237">
      <c r="A6237" s="42">
        <f>_xlfn.XLOOKUP(17855,Trip[shape_id],Trip[shape_id],"Não encontrado")</f>
        <v/>
      </c>
      <c r="B6237" s="43" t="n">
        <v>-23.533593</v>
      </c>
      <c r="C6237" s="43" t="n">
        <v>-46.217506</v>
      </c>
      <c r="D6237" s="43" t="n">
        <v>58</v>
      </c>
      <c r="E6237" s="44" t="n">
        <v>3905.6833</v>
      </c>
    </row>
    <row r="6238">
      <c r="A6238" s="39">
        <f>_xlfn.XLOOKUP(17855,Trip[shape_id],Trip[shape_id],"Não encontrado")</f>
        <v/>
      </c>
      <c r="B6238" s="40" t="n">
        <v>-23.533672</v>
      </c>
      <c r="C6238" s="40" t="n">
        <v>-46.217668</v>
      </c>
      <c r="D6238" s="40" t="n">
        <v>59</v>
      </c>
      <c r="E6238" s="41" t="n">
        <v>3963.3757</v>
      </c>
    </row>
    <row r="6239">
      <c r="A6239" s="42">
        <f>_xlfn.XLOOKUP(17855,Trip[shape_id],Trip[shape_id],"Não encontrado")</f>
        <v/>
      </c>
      <c r="B6239" s="43" t="n">
        <v>-23.533911</v>
      </c>
      <c r="C6239" s="43" t="n">
        <v>-46.21817</v>
      </c>
      <c r="D6239" s="43" t="n">
        <v>60</v>
      </c>
      <c r="E6239" s="44" t="n">
        <v>4055.0896</v>
      </c>
    </row>
    <row r="6240">
      <c r="A6240" s="39">
        <f>_xlfn.XLOOKUP(17855,Trip[shape_id],Trip[shape_id],"Não encontrado")</f>
        <v/>
      </c>
      <c r="B6240" s="40" t="n">
        <v>-23.534291</v>
      </c>
      <c r="C6240" s="40" t="n">
        <v>-46.218968</v>
      </c>
      <c r="D6240" s="40" t="n">
        <v>61</v>
      </c>
      <c r="E6240" s="41" t="n">
        <v>4089.2527</v>
      </c>
    </row>
    <row r="6241">
      <c r="A6241" s="42">
        <f>_xlfn.XLOOKUP(17855,Trip[shape_id],Trip[shape_id],"Não encontrado")</f>
        <v/>
      </c>
      <c r="B6241" s="43" t="n">
        <v>-23.534433</v>
      </c>
      <c r="C6241" s="43" t="n">
        <v>-46.219265</v>
      </c>
      <c r="D6241" s="43" t="n">
        <v>62</v>
      </c>
      <c r="E6241" s="44" t="n">
        <v>4143.0415</v>
      </c>
    </row>
    <row r="6242">
      <c r="A6242" s="39">
        <f>_xlfn.XLOOKUP(17855,Trip[shape_id],Trip[shape_id],"Não encontrado")</f>
        <v/>
      </c>
      <c r="B6242" s="40" t="n">
        <v>-23.534583</v>
      </c>
      <c r="C6242" s="40" t="n">
        <v>-46.219766</v>
      </c>
      <c r="D6242" s="40" t="n">
        <v>63</v>
      </c>
      <c r="E6242" s="41" t="n">
        <v>4202.2686</v>
      </c>
    </row>
    <row r="6243">
      <c r="A6243" s="42">
        <f>_xlfn.XLOOKUP(17855,Trip[shape_id],Trip[shape_id],"Não encontrado")</f>
        <v/>
      </c>
      <c r="B6243" s="43" t="n">
        <v>-23.53475</v>
      </c>
      <c r="C6243" s="43" t="n">
        <v>-46.220317</v>
      </c>
      <c r="D6243" s="43" t="n">
        <v>64</v>
      </c>
      <c r="E6243" s="44" t="n">
        <v>4276.2661</v>
      </c>
    </row>
    <row r="6244">
      <c r="A6244" s="39">
        <f>_xlfn.XLOOKUP(17855,Trip[shape_id],Trip[shape_id],"Não encontrado")</f>
        <v/>
      </c>
      <c r="B6244" s="40" t="n">
        <v>-23.534957</v>
      </c>
      <c r="C6244" s="40" t="n">
        <v>-46.221006</v>
      </c>
      <c r="D6244" s="40" t="n">
        <v>65</v>
      </c>
      <c r="E6244" s="41" t="n">
        <v>4331.8486</v>
      </c>
    </row>
    <row r="6245">
      <c r="A6245" s="42">
        <f>_xlfn.XLOOKUP(17855,Trip[shape_id],Trip[shape_id],"Não encontrado")</f>
        <v/>
      </c>
      <c r="B6245" s="43" t="n">
        <v>-23.535114</v>
      </c>
      <c r="C6245" s="43" t="n">
        <v>-46.221523</v>
      </c>
      <c r="D6245" s="43" t="n">
        <v>66</v>
      </c>
      <c r="E6245" s="44" t="n">
        <v>4395.9531</v>
      </c>
    </row>
    <row r="6246">
      <c r="A6246" s="39">
        <f>_xlfn.XLOOKUP(17855,Trip[shape_id],Trip[shape_id],"Não encontrado")</f>
        <v/>
      </c>
      <c r="B6246" s="40" t="n">
        <v>-23.535293</v>
      </c>
      <c r="C6246" s="40" t="n">
        <v>-46.22212</v>
      </c>
      <c r="D6246" s="40" t="n">
        <v>67</v>
      </c>
      <c r="E6246" s="41" t="n">
        <v>4559.979</v>
      </c>
    </row>
    <row r="6247">
      <c r="A6247" s="42">
        <f>_xlfn.XLOOKUP(17855,Trip[shape_id],Trip[shape_id],"Não encontrado")</f>
        <v/>
      </c>
      <c r="B6247" s="43" t="n">
        <v>-23.535761</v>
      </c>
      <c r="C6247" s="43" t="n">
        <v>-46.223644</v>
      </c>
      <c r="D6247" s="43" t="n">
        <v>68</v>
      </c>
      <c r="E6247" s="44" t="n">
        <v>4722.8687</v>
      </c>
    </row>
    <row r="6248">
      <c r="A6248" s="39">
        <f>_xlfn.XLOOKUP(17855,Trip[shape_id],Trip[shape_id],"Não encontrado")</f>
        <v/>
      </c>
      <c r="B6248" s="40" t="n">
        <v>-23.536227</v>
      </c>
      <c r="C6248" s="40" t="n">
        <v>-46.225157</v>
      </c>
      <c r="D6248" s="40" t="n">
        <v>69</v>
      </c>
      <c r="E6248" s="41" t="n">
        <v>4722.8687</v>
      </c>
    </row>
    <row r="6249">
      <c r="A6249" s="42">
        <f>_xlfn.XLOOKUP(17855,Trip[shape_id],Trip[shape_id],"Não encontrado")</f>
        <v/>
      </c>
      <c r="B6249" s="43" t="n">
        <v>-23.536533</v>
      </c>
      <c r="C6249" s="43" t="n">
        <v>-46.226157</v>
      </c>
      <c r="D6249" s="43" t="n">
        <v>70</v>
      </c>
      <c r="E6249" s="44" t="n">
        <v>4984.9155</v>
      </c>
    </row>
    <row r="6250">
      <c r="A6250" s="39">
        <f>_xlfn.XLOOKUP(17855,Trip[shape_id],Trip[shape_id],"Não encontrado")</f>
        <v/>
      </c>
      <c r="B6250" s="40" t="n">
        <v>-23.536974</v>
      </c>
      <c r="C6250" s="40" t="n">
        <v>-46.227592</v>
      </c>
      <c r="D6250" s="40" t="n">
        <v>71</v>
      </c>
      <c r="E6250" s="41" t="n">
        <v>5105.918</v>
      </c>
    </row>
    <row r="6251">
      <c r="A6251" s="42">
        <f>_xlfn.XLOOKUP(17855,Trip[shape_id],Trip[shape_id],"Não encontrado")</f>
        <v/>
      </c>
      <c r="B6251" s="43" t="n">
        <v>-23.53732</v>
      </c>
      <c r="C6251" s="43" t="n">
        <v>-46.228716</v>
      </c>
      <c r="D6251" s="43" t="n">
        <v>72</v>
      </c>
      <c r="E6251" s="44" t="n">
        <v>5171.1016</v>
      </c>
    </row>
    <row r="6252">
      <c r="A6252" s="39">
        <f>_xlfn.XLOOKUP(17855,Trip[shape_id],Trip[shape_id],"Não encontrado")</f>
        <v/>
      </c>
      <c r="B6252" s="40" t="n">
        <v>-23.537505</v>
      </c>
      <c r="C6252" s="40" t="n">
        <v>-46.229322</v>
      </c>
      <c r="D6252" s="40" t="n">
        <v>73</v>
      </c>
      <c r="E6252" s="41" t="n">
        <v>5255.9121</v>
      </c>
    </row>
    <row r="6253">
      <c r="A6253" s="42">
        <f>_xlfn.XLOOKUP(17855,Trip[shape_id],Trip[shape_id],"Não encontrado")</f>
        <v/>
      </c>
      <c r="B6253" s="43" t="n">
        <v>-23.537747</v>
      </c>
      <c r="C6253" s="43" t="n">
        <v>-46.23011</v>
      </c>
      <c r="D6253" s="43" t="n">
        <v>74</v>
      </c>
      <c r="E6253" s="44" t="n">
        <v>5401.2778</v>
      </c>
    </row>
    <row r="6254">
      <c r="A6254" s="39">
        <f>_xlfn.XLOOKUP(17855,Trip[shape_id],Trip[shape_id],"Não encontrado")</f>
        <v/>
      </c>
      <c r="B6254" s="40" t="n">
        <v>-23.538158</v>
      </c>
      <c r="C6254" s="40" t="n">
        <v>-46.231462</v>
      </c>
      <c r="D6254" s="40" t="n">
        <v>75</v>
      </c>
      <c r="E6254" s="41" t="n">
        <v>5489.2676</v>
      </c>
    </row>
    <row r="6255">
      <c r="A6255" s="42">
        <f>_xlfn.XLOOKUP(17855,Trip[shape_id],Trip[shape_id],"Não encontrado")</f>
        <v/>
      </c>
      <c r="B6255" s="43" t="n">
        <v>-23.538405</v>
      </c>
      <c r="C6255" s="43" t="n">
        <v>-46.232281</v>
      </c>
      <c r="D6255" s="43" t="n">
        <v>76</v>
      </c>
      <c r="E6255" s="44" t="n">
        <v>5585.7852</v>
      </c>
    </row>
    <row r="6256">
      <c r="A6256" s="39">
        <f>_xlfn.XLOOKUP(17855,Trip[shape_id],Trip[shape_id],"Não encontrado")</f>
        <v/>
      </c>
      <c r="B6256" s="40" t="n">
        <v>-23.538677</v>
      </c>
      <c r="C6256" s="40" t="n">
        <v>-46.233179</v>
      </c>
      <c r="D6256" s="40" t="n">
        <v>77</v>
      </c>
      <c r="E6256" s="41" t="n">
        <v>5751.0605</v>
      </c>
    </row>
    <row r="6257">
      <c r="A6257" s="42">
        <f>_xlfn.XLOOKUP(17855,Trip[shape_id],Trip[shape_id],"Não encontrado")</f>
        <v/>
      </c>
      <c r="B6257" s="43" t="n">
        <v>-23.539142</v>
      </c>
      <c r="C6257" s="43" t="n">
        <v>-46.234717</v>
      </c>
      <c r="D6257" s="43" t="n">
        <v>78</v>
      </c>
      <c r="E6257" s="44" t="n">
        <v>5848.4854</v>
      </c>
    </row>
    <row r="6258">
      <c r="A6258" s="39">
        <f>_xlfn.XLOOKUP(17855,Trip[shape_id],Trip[shape_id],"Não encontrado")</f>
        <v/>
      </c>
      <c r="B6258" s="40" t="n">
        <v>-23.539415</v>
      </c>
      <c r="C6258" s="40" t="n">
        <v>-46.235624</v>
      </c>
      <c r="D6258" s="40" t="n">
        <v>79</v>
      </c>
      <c r="E6258" s="41" t="n">
        <v>5988.377</v>
      </c>
    </row>
    <row r="6259">
      <c r="A6259" s="42">
        <f>_xlfn.XLOOKUP(17855,Trip[shape_id],Trip[shape_id],"Não encontrado")</f>
        <v/>
      </c>
      <c r="B6259" s="43" t="n">
        <v>-23.539808</v>
      </c>
      <c r="C6259" s="43" t="n">
        <v>-46.236926</v>
      </c>
      <c r="D6259" s="43" t="n">
        <v>80</v>
      </c>
      <c r="E6259" s="44" t="n">
        <v>6120.0376</v>
      </c>
    </row>
    <row r="6260">
      <c r="A6260" s="39">
        <f>_xlfn.XLOOKUP(17855,Trip[shape_id],Trip[shape_id],"Não encontrado")</f>
        <v/>
      </c>
      <c r="B6260" s="40" t="n">
        <v>-23.540179</v>
      </c>
      <c r="C6260" s="40" t="n">
        <v>-46.238151</v>
      </c>
      <c r="D6260" s="40" t="n">
        <v>81</v>
      </c>
      <c r="E6260" s="41" t="n">
        <v>6343.8154</v>
      </c>
    </row>
    <row r="6261">
      <c r="A6261" s="42">
        <f>_xlfn.XLOOKUP(17855,Trip[shape_id],Trip[shape_id],"Não encontrado")</f>
        <v/>
      </c>
      <c r="B6261" s="43" t="n">
        <v>-23.540807</v>
      </c>
      <c r="C6261" s="43" t="n">
        <v>-46.240234</v>
      </c>
      <c r="D6261" s="43" t="n">
        <v>82</v>
      </c>
      <c r="E6261" s="44" t="n">
        <v>6383.123</v>
      </c>
    </row>
    <row r="6262">
      <c r="A6262" s="39">
        <f>_xlfn.XLOOKUP(17855,Trip[shape_id],Trip[shape_id],"Não encontrado")</f>
        <v/>
      </c>
      <c r="B6262" s="40" t="n">
        <v>-23.540917</v>
      </c>
      <c r="C6262" s="40" t="n">
        <v>-46.2406</v>
      </c>
      <c r="D6262" s="40" t="n">
        <v>83</v>
      </c>
      <c r="E6262" s="41" t="n">
        <v>6469.5801</v>
      </c>
    </row>
    <row r="6263">
      <c r="A6263" s="42">
        <f>_xlfn.XLOOKUP(17855,Trip[shape_id],Trip[shape_id],"Não encontrado")</f>
        <v/>
      </c>
      <c r="B6263" s="43" t="n">
        <v>-23.541159</v>
      </c>
      <c r="C6263" s="43" t="n">
        <v>-46.241405</v>
      </c>
      <c r="D6263" s="43" t="n">
        <v>84</v>
      </c>
      <c r="E6263" s="44" t="n">
        <v>6566.9351</v>
      </c>
    </row>
    <row r="6264">
      <c r="A6264" s="39">
        <f>_xlfn.XLOOKUP(17855,Trip[shape_id],Trip[shape_id],"Não encontrado")</f>
        <v/>
      </c>
      <c r="B6264" s="40" t="n">
        <v>-23.54143</v>
      </c>
      <c r="C6264" s="40" t="n">
        <v>-46.242312</v>
      </c>
      <c r="D6264" s="40" t="n">
        <v>85</v>
      </c>
      <c r="E6264" s="41" t="n">
        <v>6708.7036</v>
      </c>
    </row>
    <row r="6265">
      <c r="A6265" s="42">
        <f>_xlfn.XLOOKUP(17855,Trip[shape_id],Trip[shape_id],"Não encontrado")</f>
        <v/>
      </c>
      <c r="B6265" s="43" t="n">
        <v>-23.541824</v>
      </c>
      <c r="C6265" s="43" t="n">
        <v>-46.243633</v>
      </c>
      <c r="D6265" s="43" t="n">
        <v>86</v>
      </c>
      <c r="E6265" s="44" t="n">
        <v>6783.8638</v>
      </c>
    </row>
    <row r="6266">
      <c r="A6266" s="39">
        <f>_xlfn.XLOOKUP(17855,Trip[shape_id],Trip[shape_id],"Não encontrado")</f>
        <v/>
      </c>
      <c r="B6266" s="40" t="n">
        <v>-23.542031</v>
      </c>
      <c r="C6266" s="40" t="n">
        <v>-46.244334</v>
      </c>
      <c r="D6266" s="40" t="n">
        <v>87</v>
      </c>
      <c r="E6266" s="41" t="n">
        <v>6910.2319</v>
      </c>
    </row>
    <row r="6267">
      <c r="A6267" s="42">
        <f>_xlfn.XLOOKUP(17855,Trip[shape_id],Trip[shape_id],"Não encontrado")</f>
        <v/>
      </c>
      <c r="B6267" s="43" t="n">
        <v>-23.542375</v>
      </c>
      <c r="C6267" s="43" t="n">
        <v>-46.245514</v>
      </c>
      <c r="D6267" s="43" t="n">
        <v>88</v>
      </c>
      <c r="E6267" s="44" t="n">
        <v>7010.5376</v>
      </c>
    </row>
    <row r="6268">
      <c r="A6268" s="39">
        <f>_xlfn.XLOOKUP(17855,Trip[shape_id],Trip[shape_id],"Não encontrado")</f>
        <v/>
      </c>
      <c r="B6268" s="40" t="n">
        <v>-23.542647</v>
      </c>
      <c r="C6268" s="40" t="n">
        <v>-46.246451</v>
      </c>
      <c r="D6268" s="40" t="n">
        <v>89</v>
      </c>
      <c r="E6268" s="41" t="n">
        <v>7140.5825</v>
      </c>
    </row>
    <row r="6269">
      <c r="A6269" s="42">
        <f>_xlfn.XLOOKUP(17855,Trip[shape_id],Trip[shape_id],"Não encontrado")</f>
        <v/>
      </c>
      <c r="B6269" s="43" t="n">
        <v>-23.543002</v>
      </c>
      <c r="C6269" s="43" t="n">
        <v>-46.247665</v>
      </c>
      <c r="D6269" s="43" t="n">
        <v>90</v>
      </c>
      <c r="E6269" s="44" t="n">
        <v>7266.0708</v>
      </c>
    </row>
    <row r="6270">
      <c r="A6270" s="39">
        <f>_xlfn.XLOOKUP(17855,Trip[shape_id],Trip[shape_id],"Não encontrado")</f>
        <v/>
      </c>
      <c r="B6270" s="40" t="n">
        <v>-23.543343</v>
      </c>
      <c r="C6270" s="40" t="n">
        <v>-46.248837</v>
      </c>
      <c r="D6270" s="40" t="n">
        <v>91</v>
      </c>
      <c r="E6270" s="41" t="n">
        <v>7379.0244</v>
      </c>
    </row>
    <row r="6271">
      <c r="A6271" s="42">
        <f>_xlfn.XLOOKUP(17855,Trip[shape_id],Trip[shape_id],"Não encontrado")</f>
        <v/>
      </c>
      <c r="B6271" s="43" t="n">
        <v>-23.543506</v>
      </c>
      <c r="C6271" s="43" t="n">
        <v>-46.249929</v>
      </c>
      <c r="D6271" s="43" t="n">
        <v>92</v>
      </c>
      <c r="E6271" s="44" t="n">
        <v>7496.4927</v>
      </c>
    </row>
    <row r="6272">
      <c r="A6272" s="39">
        <f>_xlfn.XLOOKUP(17855,Trip[shape_id],Trip[shape_id],"Não encontrado")</f>
        <v/>
      </c>
      <c r="B6272" s="40" t="n">
        <v>-23.543575</v>
      </c>
      <c r="C6272" s="40" t="n">
        <v>-46.251077</v>
      </c>
      <c r="D6272" s="40" t="n">
        <v>93</v>
      </c>
      <c r="E6272" s="41" t="n">
        <v>7626.4858</v>
      </c>
    </row>
    <row r="6273">
      <c r="A6273" s="42">
        <f>_xlfn.XLOOKUP(17855,Trip[shape_id],Trip[shape_id],"Não encontrado")</f>
        <v/>
      </c>
      <c r="B6273" s="43" t="n">
        <v>-23.54359</v>
      </c>
      <c r="C6273" s="43" t="n">
        <v>-46.25235</v>
      </c>
      <c r="D6273" s="43" t="n">
        <v>94</v>
      </c>
      <c r="E6273" s="44" t="n">
        <v>7792.9487</v>
      </c>
    </row>
    <row r="6274">
      <c r="A6274" s="39">
        <f>_xlfn.XLOOKUP(17855,Trip[shape_id],Trip[shape_id],"Não encontrado")</f>
        <v/>
      </c>
      <c r="B6274" s="40" t="n">
        <v>-23.543348</v>
      </c>
      <c r="C6274" s="40" t="n">
        <v>-46.253959</v>
      </c>
      <c r="D6274" s="40" t="n">
        <v>95</v>
      </c>
      <c r="E6274" s="41" t="n">
        <v>7996.1143</v>
      </c>
    </row>
    <row r="6275">
      <c r="A6275" s="42">
        <f>_xlfn.XLOOKUP(17855,Trip[shape_id],Trip[shape_id],"Não encontrado")</f>
        <v/>
      </c>
      <c r="B6275" s="43" t="n">
        <v>-23.543054</v>
      </c>
      <c r="C6275" s="43" t="n">
        <v>-46.255923</v>
      </c>
      <c r="D6275" s="43" t="n">
        <v>96</v>
      </c>
      <c r="E6275" s="44" t="n">
        <v>8110.0107</v>
      </c>
    </row>
    <row r="6276">
      <c r="A6276" s="39">
        <f>_xlfn.XLOOKUP(17855,Trip[shape_id],Trip[shape_id],"Não encontrado")</f>
        <v/>
      </c>
      <c r="B6276" s="40" t="n">
        <v>-23.542889</v>
      </c>
      <c r="C6276" s="40" t="n">
        <v>-46.257024</v>
      </c>
      <c r="D6276" s="40" t="n">
        <v>97</v>
      </c>
      <c r="E6276" s="41" t="n">
        <v>8211.392599999999</v>
      </c>
    </row>
    <row r="6277">
      <c r="A6277" s="42">
        <f>_xlfn.XLOOKUP(17855,Trip[shape_id],Trip[shape_id],"Não encontrado")</f>
        <v/>
      </c>
      <c r="B6277" s="43" t="n">
        <v>-23.542742</v>
      </c>
      <c r="C6277" s="43" t="n">
        <v>-46.258004</v>
      </c>
      <c r="D6277" s="43" t="n">
        <v>98</v>
      </c>
      <c r="E6277" s="44" t="n">
        <v>8213.358399999999</v>
      </c>
    </row>
    <row r="6278">
      <c r="A6278" s="39">
        <f>_xlfn.XLOOKUP(17855,Trip[shape_id],Trip[shape_id],"Não encontrado")</f>
        <v/>
      </c>
      <c r="B6278" s="40" t="n">
        <v>-23.542739</v>
      </c>
      <c r="C6278" s="40" t="n">
        <v>-46.258023</v>
      </c>
      <c r="D6278" s="40" t="n">
        <v>99</v>
      </c>
      <c r="E6278" s="41" t="n">
        <v>8213.358399999999</v>
      </c>
    </row>
    <row r="6279">
      <c r="A6279" s="42">
        <f>_xlfn.XLOOKUP(17855,Trip[shape_id],Trip[shape_id],"Não encontrado")</f>
        <v/>
      </c>
      <c r="B6279" s="43" t="n">
        <v>-23.542565</v>
      </c>
      <c r="C6279" s="43" t="n">
        <v>-46.259183</v>
      </c>
      <c r="D6279" s="43" t="n">
        <v>100</v>
      </c>
      <c r="E6279" s="44" t="n">
        <v>8443.8613</v>
      </c>
    </row>
    <row r="6280">
      <c r="A6280" s="39">
        <f>_xlfn.XLOOKUP(17855,Trip[shape_id],Trip[shape_id],"Não encontrado")</f>
        <v/>
      </c>
      <c r="B6280" s="40" t="n">
        <v>-23.542404</v>
      </c>
      <c r="C6280" s="40" t="n">
        <v>-46.260251</v>
      </c>
      <c r="D6280" s="40" t="n">
        <v>101</v>
      </c>
      <c r="E6280" s="41" t="n">
        <v>8573.623</v>
      </c>
    </row>
    <row r="6281">
      <c r="A6281" s="42">
        <f>_xlfn.XLOOKUP(17855,Trip[shape_id],Trip[shape_id],"Não encontrado")</f>
        <v/>
      </c>
      <c r="B6281" s="43" t="n">
        <v>-23.542214</v>
      </c>
      <c r="C6281" s="43" t="n">
        <v>-46.261505</v>
      </c>
      <c r="D6281" s="43" t="n">
        <v>102</v>
      </c>
      <c r="E6281" s="44" t="n">
        <v>8777.9707</v>
      </c>
    </row>
    <row r="6282">
      <c r="A6282" s="39">
        <f>_xlfn.XLOOKUP(17855,Trip[shape_id],Trip[shape_id],"Não encontrado")</f>
        <v/>
      </c>
      <c r="B6282" s="40" t="n">
        <v>-23.541916</v>
      </c>
      <c r="C6282" s="40" t="n">
        <v>-46.26348</v>
      </c>
      <c r="D6282" s="40" t="n">
        <v>103</v>
      </c>
      <c r="E6282" s="41" t="n">
        <v>8897.772499999999</v>
      </c>
    </row>
    <row r="6283">
      <c r="A6283" s="42">
        <f>_xlfn.XLOOKUP(17855,Trip[shape_id],Trip[shape_id],"Não encontrado")</f>
        <v/>
      </c>
      <c r="B6283" s="43" t="n">
        <v>-23.541742</v>
      </c>
      <c r="C6283" s="43" t="n">
        <v>-46.264638</v>
      </c>
      <c r="D6283" s="43" t="n">
        <v>104</v>
      </c>
      <c r="E6283" s="44" t="n">
        <v>9034.9863</v>
      </c>
    </row>
    <row r="6284">
      <c r="A6284" s="39">
        <f>_xlfn.XLOOKUP(17855,Trip[shape_id],Trip[shape_id],"Não encontrado")</f>
        <v/>
      </c>
      <c r="B6284" s="40" t="n">
        <v>-23.541541</v>
      </c>
      <c r="C6284" s="40" t="n">
        <v>-46.265964</v>
      </c>
      <c r="D6284" s="40" t="n">
        <v>105</v>
      </c>
      <c r="E6284" s="41" t="n">
        <v>9219.5869</v>
      </c>
    </row>
    <row r="6285">
      <c r="A6285" s="42">
        <f>_xlfn.XLOOKUP(17855,Trip[shape_id],Trip[shape_id],"Não encontrado")</f>
        <v/>
      </c>
      <c r="B6285" s="43" t="n">
        <v>-23.541271</v>
      </c>
      <c r="C6285" s="43" t="n">
        <v>-46.267748</v>
      </c>
      <c r="D6285" s="43" t="n">
        <v>106</v>
      </c>
      <c r="E6285" s="44" t="n">
        <v>9323.8809</v>
      </c>
    </row>
    <row r="6286">
      <c r="A6286" s="39">
        <f>_xlfn.XLOOKUP(17855,Trip[shape_id],Trip[shape_id],"Não encontrado")</f>
        <v/>
      </c>
      <c r="B6286" s="40" t="n">
        <v>-23.541119</v>
      </c>
      <c r="C6286" s="40" t="n">
        <v>-46.268756</v>
      </c>
      <c r="D6286" s="40" t="n">
        <v>107</v>
      </c>
      <c r="E6286" s="41" t="n">
        <v>9370.983399999999</v>
      </c>
    </row>
    <row r="6287">
      <c r="A6287" s="42">
        <f>_xlfn.XLOOKUP(17855,Trip[shape_id],Trip[shape_id],"Não encontrado")</f>
        <v/>
      </c>
      <c r="B6287" s="43" t="n">
        <v>-23.541049</v>
      </c>
      <c r="C6287" s="43" t="n">
        <v>-46.269211</v>
      </c>
      <c r="D6287" s="43" t="n">
        <v>108</v>
      </c>
      <c r="E6287" s="44" t="n">
        <v>9570.9082</v>
      </c>
    </row>
    <row r="6288">
      <c r="A6288" s="39">
        <f>_xlfn.XLOOKUP(17855,Trip[shape_id],Trip[shape_id],"Não encontrado")</f>
        <v/>
      </c>
      <c r="B6288" s="40" t="n">
        <v>-23.5407</v>
      </c>
      <c r="C6288" s="40" t="n">
        <v>-46.271132</v>
      </c>
      <c r="D6288" s="40" t="n">
        <v>109</v>
      </c>
      <c r="E6288" s="41" t="n">
        <v>9701.868200000001</v>
      </c>
    </row>
    <row r="6289">
      <c r="A6289" s="42">
        <f>_xlfn.XLOOKUP(17855,Trip[shape_id],Trip[shape_id],"Não encontrado")</f>
        <v/>
      </c>
      <c r="B6289" s="43" t="n">
        <v>-23.540341</v>
      </c>
      <c r="C6289" s="43" t="n">
        <v>-46.272354</v>
      </c>
      <c r="D6289" s="43" t="n">
        <v>110</v>
      </c>
      <c r="E6289" s="44" t="n">
        <v>9817.4316</v>
      </c>
    </row>
    <row r="6290">
      <c r="A6290" s="39">
        <f>_xlfn.XLOOKUP(17855,Trip[shape_id],Trip[shape_id],"Não encontrado")</f>
        <v/>
      </c>
      <c r="B6290" s="40" t="n">
        <v>-23.539732</v>
      </c>
      <c r="C6290" s="40" t="n">
        <v>-46.273273</v>
      </c>
      <c r="D6290" s="40" t="n">
        <v>111</v>
      </c>
      <c r="E6290" s="41" t="n">
        <v>9850.3223</v>
      </c>
    </row>
    <row r="6291">
      <c r="A6291" s="42">
        <f>_xlfn.XLOOKUP(17855,Trip[shape_id],Trip[shape_id],"Não encontrado")</f>
        <v/>
      </c>
      <c r="B6291" s="43" t="n">
        <v>-23.539536</v>
      </c>
      <c r="C6291" s="43" t="n">
        <v>-46.273515</v>
      </c>
      <c r="D6291" s="43" t="n">
        <v>112</v>
      </c>
      <c r="E6291" s="44" t="n">
        <v>9897.9277</v>
      </c>
    </row>
    <row r="6292">
      <c r="A6292" s="39">
        <f>_xlfn.XLOOKUP(17855,Trip[shape_id],Trip[shape_id],"Não encontrado")</f>
        <v/>
      </c>
      <c r="B6292" s="40" t="n">
        <v>-23.539251</v>
      </c>
      <c r="C6292" s="40" t="n">
        <v>-46.273864</v>
      </c>
      <c r="D6292" s="40" t="n">
        <v>113</v>
      </c>
      <c r="E6292" s="41" t="n">
        <v>9961.382799999999</v>
      </c>
    </row>
    <row r="6293">
      <c r="A6293" s="42">
        <f>_xlfn.XLOOKUP(17855,Trip[shape_id],Trip[shape_id],"Não encontrado")</f>
        <v/>
      </c>
      <c r="B6293" s="43" t="n">
        <v>-23.538873</v>
      </c>
      <c r="C6293" s="43" t="n">
        <v>-46.274331</v>
      </c>
      <c r="D6293" s="43" t="n">
        <v>114</v>
      </c>
      <c r="E6293" s="44" t="n">
        <v>9996.8223</v>
      </c>
    </row>
    <row r="6294">
      <c r="A6294" s="39">
        <f>_xlfn.XLOOKUP(17855,Trip[shape_id],Trip[shape_id],"Não encontrado")</f>
        <v/>
      </c>
      <c r="B6294" s="40" t="n">
        <v>-23.53866</v>
      </c>
      <c r="C6294" s="40" t="n">
        <v>-46.27459</v>
      </c>
      <c r="D6294" s="40" t="n">
        <v>115</v>
      </c>
      <c r="E6294" s="41" t="n">
        <v>10063.791</v>
      </c>
    </row>
    <row r="6295">
      <c r="A6295" s="42">
        <f>_xlfn.XLOOKUP(17855,Trip[shape_id],Trip[shape_id],"Não encontrado")</f>
        <v/>
      </c>
      <c r="B6295" s="43" t="n">
        <v>-23.538255</v>
      </c>
      <c r="C6295" s="43" t="n">
        <v>-46.275077</v>
      </c>
      <c r="D6295" s="43" t="n">
        <v>116</v>
      </c>
      <c r="E6295" s="44" t="n">
        <v>10108.99</v>
      </c>
    </row>
    <row r="6296">
      <c r="A6296" s="39">
        <f>_xlfn.XLOOKUP(17855,Trip[shape_id],Trip[shape_id],"Não encontrado")</f>
        <v/>
      </c>
      <c r="B6296" s="40" t="n">
        <v>-23.537983</v>
      </c>
      <c r="C6296" s="40" t="n">
        <v>-46.275407</v>
      </c>
      <c r="D6296" s="40" t="n">
        <v>117</v>
      </c>
      <c r="E6296" s="41" t="n">
        <v>10183.444</v>
      </c>
    </row>
    <row r="6297">
      <c r="A6297" s="42">
        <f>_xlfn.XLOOKUP(17855,Trip[shape_id],Trip[shape_id],"Não encontrado")</f>
        <v/>
      </c>
      <c r="B6297" s="43" t="n">
        <v>-23.537547</v>
      </c>
      <c r="C6297" s="43" t="n">
        <v>-46.275962</v>
      </c>
      <c r="D6297" s="43" t="n">
        <v>118</v>
      </c>
      <c r="E6297" s="44" t="n">
        <v>10258.265</v>
      </c>
    </row>
    <row r="6298">
      <c r="A6298" s="39">
        <f>_xlfn.XLOOKUP(17855,Trip[shape_id],Trip[shape_id],"Não encontrado")</f>
        <v/>
      </c>
      <c r="B6298" s="40" t="n">
        <v>-23.537107</v>
      </c>
      <c r="C6298" s="40" t="n">
        <v>-46.276518</v>
      </c>
      <c r="D6298" s="40" t="n">
        <v>119</v>
      </c>
      <c r="E6298" s="41" t="n">
        <v>10317.45</v>
      </c>
    </row>
    <row r="6299">
      <c r="A6299" s="42">
        <f>_xlfn.XLOOKUP(17855,Trip[shape_id],Trip[shape_id],"Não encontrado")</f>
        <v/>
      </c>
      <c r="B6299" s="43" t="n">
        <v>-23.536757</v>
      </c>
      <c r="C6299" s="43" t="n">
        <v>-46.276956</v>
      </c>
      <c r="D6299" s="43" t="n">
        <v>120</v>
      </c>
      <c r="E6299" s="44" t="n">
        <v>10346.223</v>
      </c>
    </row>
    <row r="6300">
      <c r="A6300" s="39">
        <f>_xlfn.XLOOKUP(17855,Trip[shape_id],Trip[shape_id],"Não encontrado")</f>
        <v/>
      </c>
      <c r="B6300" s="40" t="n">
        <v>-23.536588</v>
      </c>
      <c r="C6300" s="40" t="n">
        <v>-46.27717</v>
      </c>
      <c r="D6300" s="40" t="n">
        <v>121</v>
      </c>
      <c r="E6300" s="41" t="n">
        <v>10412.617</v>
      </c>
    </row>
    <row r="6301">
      <c r="A6301" s="42">
        <f>_xlfn.XLOOKUP(17855,Trip[shape_id],Trip[shape_id],"Não encontrado")</f>
        <v/>
      </c>
      <c r="B6301" s="43" t="n">
        <v>-23.536195</v>
      </c>
      <c r="C6301" s="43" t="n">
        <v>-46.277661</v>
      </c>
      <c r="D6301" s="43" t="n">
        <v>122</v>
      </c>
      <c r="E6301" s="44" t="n">
        <v>10454.908</v>
      </c>
    </row>
    <row r="6302">
      <c r="A6302" s="39">
        <f>_xlfn.XLOOKUP(17855,Trip[shape_id],Trip[shape_id],"Não encontrado")</f>
        <v/>
      </c>
      <c r="B6302" s="40" t="n">
        <v>-23.535946</v>
      </c>
      <c r="C6302" s="40" t="n">
        <v>-46.277975</v>
      </c>
      <c r="D6302" s="40" t="n">
        <v>123</v>
      </c>
      <c r="E6302" s="41" t="n">
        <v>10479.476</v>
      </c>
    </row>
    <row r="6303">
      <c r="A6303" s="42">
        <f>_xlfn.XLOOKUP(17855,Trip[shape_id],Trip[shape_id],"Não encontrado")</f>
        <v/>
      </c>
      <c r="B6303" s="43" t="n">
        <v>-23.535802</v>
      </c>
      <c r="C6303" s="43" t="n">
        <v>-46.278158</v>
      </c>
      <c r="D6303" s="43" t="n">
        <v>124</v>
      </c>
      <c r="E6303" s="44" t="n">
        <v>10530.232</v>
      </c>
    </row>
    <row r="6304">
      <c r="A6304" s="39">
        <f>_xlfn.XLOOKUP(17855,Trip[shape_id],Trip[shape_id],"Não encontrado")</f>
        <v/>
      </c>
      <c r="B6304" s="40" t="n">
        <v>-23.535511</v>
      </c>
      <c r="C6304" s="40" t="n">
        <v>-46.278542</v>
      </c>
      <c r="D6304" s="40" t="n">
        <v>125</v>
      </c>
      <c r="E6304" s="41" t="n">
        <v>10571.152</v>
      </c>
    </row>
    <row r="6305">
      <c r="A6305" s="42">
        <f>_xlfn.XLOOKUP(17855,Trip[shape_id],Trip[shape_id],"Não encontrado")</f>
        <v/>
      </c>
      <c r="B6305" s="43" t="n">
        <v>-23.535278</v>
      </c>
      <c r="C6305" s="43" t="n">
        <v>-46.278853</v>
      </c>
      <c r="D6305" s="43" t="n">
        <v>126</v>
      </c>
      <c r="E6305" s="44" t="n">
        <v>10585.299</v>
      </c>
    </row>
    <row r="6306">
      <c r="A6306" s="39">
        <f>_xlfn.XLOOKUP(17855,Trip[shape_id],Trip[shape_id],"Não encontrado")</f>
        <v/>
      </c>
      <c r="B6306" s="40" t="n">
        <v>-23.535198</v>
      </c>
      <c r="C6306" s="40" t="n">
        <v>-46.278961</v>
      </c>
      <c r="D6306" s="40" t="n">
        <v>127</v>
      </c>
      <c r="E6306" s="41" t="n">
        <v>10667.279</v>
      </c>
    </row>
    <row r="6307">
      <c r="A6307" s="42">
        <f>_xlfn.XLOOKUP(17855,Trip[shape_id],Trip[shape_id],"Não encontrado")</f>
        <v/>
      </c>
      <c r="B6307" s="43" t="n">
        <v>-23.534761</v>
      </c>
      <c r="C6307" s="43" t="n">
        <v>-46.279609</v>
      </c>
      <c r="D6307" s="43" t="n">
        <v>128</v>
      </c>
      <c r="E6307" s="44" t="n">
        <v>10710.588</v>
      </c>
    </row>
    <row r="6308">
      <c r="A6308" s="39">
        <f>_xlfn.XLOOKUP(17855,Trip[shape_id],Trip[shape_id],"Não encontrado")</f>
        <v/>
      </c>
      <c r="B6308" s="40" t="n">
        <v>-23.534531</v>
      </c>
      <c r="C6308" s="40" t="n">
        <v>-46.279952</v>
      </c>
      <c r="D6308" s="40" t="n">
        <v>129</v>
      </c>
      <c r="E6308" s="41" t="n">
        <v>10828.397</v>
      </c>
    </row>
    <row r="6309">
      <c r="A6309" s="42">
        <f>_xlfn.XLOOKUP(17855,Trip[shape_id],Trip[shape_id],"Não encontrado")</f>
        <v/>
      </c>
      <c r="B6309" s="43" t="n">
        <v>-23.534241</v>
      </c>
      <c r="C6309" s="43" t="n">
        <v>-46.281062</v>
      </c>
      <c r="D6309" s="43" t="n">
        <v>130</v>
      </c>
      <c r="E6309" s="44" t="n">
        <v>10926.779</v>
      </c>
    </row>
    <row r="6310">
      <c r="A6310" s="39">
        <f>_xlfn.XLOOKUP(17855,Trip[shape_id],Trip[shape_id],"Não encontrado")</f>
        <v/>
      </c>
      <c r="B6310" s="40" t="n">
        <v>-23.534214</v>
      </c>
      <c r="C6310" s="40" t="n">
        <v>-46.282025</v>
      </c>
      <c r="D6310" s="40" t="n">
        <v>131</v>
      </c>
      <c r="E6310" s="41" t="n">
        <v>10948.476</v>
      </c>
    </row>
    <row r="6311">
      <c r="A6311" s="42">
        <f>_xlfn.XLOOKUP(17855,Trip[shape_id],Trip[shape_id],"Não encontrado")</f>
        <v/>
      </c>
      <c r="B6311" s="43" t="n">
        <v>-23.534237</v>
      </c>
      <c r="C6311" s="43" t="n">
        <v>-46.282236</v>
      </c>
      <c r="D6311" s="43" t="n">
        <v>132</v>
      </c>
      <c r="E6311" s="44" t="n">
        <v>10978.01</v>
      </c>
    </row>
    <row r="6312">
      <c r="A6312" s="39">
        <f>_xlfn.XLOOKUP(17855,Trip[shape_id],Trip[shape_id],"Não encontrado")</f>
        <v/>
      </c>
      <c r="B6312" s="40" t="n">
        <v>-23.53427</v>
      </c>
      <c r="C6312" s="40" t="n">
        <v>-46.282523</v>
      </c>
      <c r="D6312" s="40" t="n">
        <v>133</v>
      </c>
      <c r="E6312" s="41" t="n">
        <v>11104.118</v>
      </c>
    </row>
    <row r="6313">
      <c r="A6313" s="42">
        <f>_xlfn.XLOOKUP(17855,Trip[shape_id],Trip[shape_id],"Não encontrado")</f>
        <v/>
      </c>
      <c r="B6313" s="43" t="n">
        <v>-23.534407</v>
      </c>
      <c r="C6313" s="43" t="n">
        <v>-46.283749</v>
      </c>
      <c r="D6313" s="43" t="n">
        <v>134</v>
      </c>
      <c r="E6313" s="44" t="n">
        <v>11224.849</v>
      </c>
    </row>
    <row r="6314">
      <c r="A6314" s="39">
        <f>_xlfn.XLOOKUP(17855,Trip[shape_id],Trip[shape_id],"Não encontrado")</f>
        <v/>
      </c>
      <c r="B6314" s="40" t="n">
        <v>-23.534536</v>
      </c>
      <c r="C6314" s="40" t="n">
        <v>-46.284923</v>
      </c>
      <c r="D6314" s="40" t="n">
        <v>135</v>
      </c>
      <c r="E6314" s="41" t="n">
        <v>11453.666</v>
      </c>
    </row>
    <row r="6315">
      <c r="A6315" s="42">
        <f>_xlfn.XLOOKUP(17855,Trip[shape_id],Trip[shape_id],"Não encontrado")</f>
        <v/>
      </c>
      <c r="B6315" s="43" t="n">
        <v>-23.534773</v>
      </c>
      <c r="C6315" s="43" t="n">
        <v>-46.287149</v>
      </c>
      <c r="D6315" s="43" t="n">
        <v>136</v>
      </c>
      <c r="E6315" s="44" t="n">
        <v>11605.285</v>
      </c>
    </row>
    <row r="6316">
      <c r="A6316" s="39">
        <f>_xlfn.XLOOKUP(17855,Trip[shape_id],Trip[shape_id],"Não encontrado")</f>
        <v/>
      </c>
      <c r="B6316" s="40" t="n">
        <v>-23.53493</v>
      </c>
      <c r="C6316" s="40" t="n">
        <v>-46.288624</v>
      </c>
      <c r="D6316" s="40" t="n">
        <v>137</v>
      </c>
      <c r="E6316" s="41" t="n">
        <v>11754.313</v>
      </c>
    </row>
    <row r="6317">
      <c r="A6317" s="42">
        <f>_xlfn.XLOOKUP(17855,Trip[shape_id],Trip[shape_id],"Não encontrado")</f>
        <v/>
      </c>
      <c r="B6317" s="43" t="n">
        <v>-23.535098</v>
      </c>
      <c r="C6317" s="43" t="n">
        <v>-46.290072</v>
      </c>
      <c r="D6317" s="43" t="n">
        <v>138</v>
      </c>
      <c r="E6317" s="44" t="n">
        <v>11827.278</v>
      </c>
    </row>
    <row r="6318">
      <c r="A6318" s="39">
        <f>_xlfn.XLOOKUP(17855,Trip[shape_id],Trip[shape_id],"Não encontrado")</f>
        <v/>
      </c>
      <c r="B6318" s="40" t="n">
        <v>-23.53518</v>
      </c>
      <c r="C6318" s="40" t="n">
        <v>-46.290781</v>
      </c>
      <c r="D6318" s="40" t="n">
        <v>139</v>
      </c>
      <c r="E6318" s="41" t="n">
        <v>12015.818</v>
      </c>
    </row>
    <row r="6319">
      <c r="A6319" s="42">
        <f>_xlfn.XLOOKUP(17855,Trip[shape_id],Trip[shape_id],"Não encontrado")</f>
        <v/>
      </c>
      <c r="B6319" s="43" t="n">
        <v>-23.535392</v>
      </c>
      <c r="C6319" s="43" t="n">
        <v>-46.292613</v>
      </c>
      <c r="D6319" s="43" t="n">
        <v>140</v>
      </c>
      <c r="E6319" s="44" t="n">
        <v>12090.115</v>
      </c>
    </row>
    <row r="6320">
      <c r="A6320" s="39">
        <f>_xlfn.XLOOKUP(17855,Trip[shape_id],Trip[shape_id],"Não encontrado")</f>
        <v/>
      </c>
      <c r="B6320" s="40" t="n">
        <v>-23.535475</v>
      </c>
      <c r="C6320" s="40" t="n">
        <v>-46.293335</v>
      </c>
      <c r="D6320" s="40" t="n">
        <v>141</v>
      </c>
      <c r="E6320" s="41" t="n">
        <v>12201.162</v>
      </c>
    </row>
    <row r="6321">
      <c r="A6321" s="42">
        <f>_xlfn.XLOOKUP(17855,Trip[shape_id],Trip[shape_id],"Não encontrado")</f>
        <v/>
      </c>
      <c r="B6321" s="43" t="n">
        <v>-23.5356</v>
      </c>
      <c r="C6321" s="43" t="n">
        <v>-46.294414</v>
      </c>
      <c r="D6321" s="43" t="n">
        <v>142</v>
      </c>
      <c r="E6321" s="44" t="n">
        <v>12345.24</v>
      </c>
    </row>
    <row r="6322">
      <c r="A6322" s="39">
        <f>_xlfn.XLOOKUP(17855,Trip[shape_id],Trip[shape_id],"Não encontrado")</f>
        <v/>
      </c>
      <c r="B6322" s="40" t="n">
        <v>-23.535769</v>
      </c>
      <c r="C6322" s="40" t="n">
        <v>-46.295813</v>
      </c>
      <c r="D6322" s="40" t="n">
        <v>143</v>
      </c>
      <c r="E6322" s="41" t="n">
        <v>12458.006</v>
      </c>
    </row>
    <row r="6323">
      <c r="A6323" s="42">
        <f>_xlfn.XLOOKUP(17855,Trip[shape_id],Trip[shape_id],"Não encontrado")</f>
        <v/>
      </c>
      <c r="B6323" s="43" t="n">
        <v>-23.535901</v>
      </c>
      <c r="C6323" s="43" t="n">
        <v>-46.296908</v>
      </c>
      <c r="D6323" s="43" t="n">
        <v>144</v>
      </c>
      <c r="E6323" s="44" t="n">
        <v>12523.941</v>
      </c>
    </row>
    <row r="6324">
      <c r="A6324" s="39">
        <f>_xlfn.XLOOKUP(17855,Trip[shape_id],Trip[shape_id],"Não encontrado")</f>
        <v/>
      </c>
      <c r="B6324" s="40" t="n">
        <v>-23.53598</v>
      </c>
      <c r="C6324" s="40" t="n">
        <v>-46.297548</v>
      </c>
      <c r="D6324" s="40" t="n">
        <v>145</v>
      </c>
      <c r="E6324" s="41" t="n">
        <v>12597.615</v>
      </c>
    </row>
    <row r="6325">
      <c r="A6325" s="42">
        <f>_xlfn.XLOOKUP(17855,Trip[shape_id],Trip[shape_id],"Não encontrado")</f>
        <v/>
      </c>
      <c r="B6325" s="43" t="n">
        <v>-23.536069</v>
      </c>
      <c r="C6325" s="43" t="n">
        <v>-46.298263</v>
      </c>
      <c r="D6325" s="43" t="n">
        <v>146</v>
      </c>
      <c r="E6325" s="44" t="n">
        <v>12656.565</v>
      </c>
    </row>
    <row r="6326">
      <c r="A6326" s="39">
        <f>_xlfn.XLOOKUP(17855,Trip[shape_id],Trip[shape_id],"Não encontrado")</f>
        <v/>
      </c>
      <c r="B6326" s="40" t="n">
        <v>-23.536141</v>
      </c>
      <c r="C6326" s="40" t="n">
        <v>-46.298835</v>
      </c>
      <c r="D6326" s="40" t="n">
        <v>147</v>
      </c>
      <c r="E6326" s="41" t="n">
        <v>12747.971</v>
      </c>
    </row>
    <row r="6327">
      <c r="A6327" s="42">
        <f>_xlfn.XLOOKUP(17855,Trip[shape_id],Trip[shape_id],"Não encontrado")</f>
        <v/>
      </c>
      <c r="B6327" s="43" t="n">
        <v>-23.536252</v>
      </c>
      <c r="C6327" s="43" t="n">
        <v>-46.299722</v>
      </c>
      <c r="D6327" s="43" t="n">
        <v>148</v>
      </c>
      <c r="E6327" s="44" t="n">
        <v>12797.681</v>
      </c>
    </row>
    <row r="6328">
      <c r="A6328" s="39">
        <f>_xlfn.XLOOKUP(17855,Trip[shape_id],Trip[shape_id],"Não encontrado")</f>
        <v/>
      </c>
      <c r="B6328" s="40" t="n">
        <v>-23.536278</v>
      </c>
      <c r="C6328" s="40" t="n">
        <v>-46.300208</v>
      </c>
      <c r="D6328" s="40" t="n">
        <v>149</v>
      </c>
      <c r="E6328" s="41" t="n">
        <v>12857.516</v>
      </c>
    </row>
    <row r="6329">
      <c r="A6329" s="42">
        <f>_xlfn.XLOOKUP(17855,Trip[shape_id],Trip[shape_id],"Não encontrado")</f>
        <v/>
      </c>
      <c r="B6329" s="43" t="n">
        <v>-23.536309</v>
      </c>
      <c r="C6329" s="43" t="n">
        <v>-46.300793</v>
      </c>
      <c r="D6329" s="43" t="n">
        <v>150</v>
      </c>
      <c r="E6329" s="44" t="n">
        <v>12904.264</v>
      </c>
    </row>
    <row r="6330">
      <c r="A6330" s="39">
        <f>_xlfn.XLOOKUP(17855,Trip[shape_id],Trip[shape_id],"Não encontrado")</f>
        <v/>
      </c>
      <c r="B6330" s="40" t="n">
        <v>-23.536334</v>
      </c>
      <c r="C6330" s="40" t="n">
        <v>-46.30125</v>
      </c>
      <c r="D6330" s="40" t="n">
        <v>151</v>
      </c>
      <c r="E6330" s="41" t="n">
        <v>12974.257</v>
      </c>
    </row>
    <row r="6331">
      <c r="A6331" s="42">
        <f>_xlfn.XLOOKUP(17855,Trip[shape_id],Trip[shape_id],"Não encontrado")</f>
        <v/>
      </c>
      <c r="B6331" s="43" t="n">
        <v>-23.536219</v>
      </c>
      <c r="C6331" s="43" t="n">
        <v>-46.301924</v>
      </c>
      <c r="D6331" s="43" t="n">
        <v>152</v>
      </c>
      <c r="E6331" s="44" t="n">
        <v>13021.313</v>
      </c>
    </row>
    <row r="6332">
      <c r="A6332" s="39">
        <f>_xlfn.XLOOKUP(17855,Trip[shape_id],Trip[shape_id],"Não encontrado")</f>
        <v/>
      </c>
      <c r="B6332" s="40" t="n">
        <v>-23.536141</v>
      </c>
      <c r="C6332" s="40" t="n">
        <v>-46.302377</v>
      </c>
      <c r="D6332" s="40" t="n">
        <v>153</v>
      </c>
      <c r="E6332" s="41" t="n">
        <v>13174.301</v>
      </c>
    </row>
    <row r="6333">
      <c r="A6333" s="42">
        <f>_xlfn.XLOOKUP(17855,Trip[shape_id],Trip[shape_id],"Não encontrado")</f>
        <v/>
      </c>
      <c r="B6333" s="43" t="n">
        <v>-23.535612</v>
      </c>
      <c r="C6333" s="43" t="n">
        <v>-46.303761</v>
      </c>
      <c r="D6333" s="43" t="n">
        <v>154</v>
      </c>
      <c r="E6333" s="44" t="n">
        <v>13250.547</v>
      </c>
    </row>
    <row r="6334">
      <c r="A6334" s="39">
        <f>_xlfn.XLOOKUP(17855,Trip[shape_id],Trip[shape_id],"Não encontrado")</f>
        <v/>
      </c>
      <c r="B6334" s="40" t="n">
        <v>-23.53538</v>
      </c>
      <c r="C6334" s="40" t="n">
        <v>-46.304464</v>
      </c>
      <c r="D6334" s="40" t="n">
        <v>155</v>
      </c>
      <c r="E6334" s="41" t="n">
        <v>13364.75</v>
      </c>
    </row>
    <row r="6335">
      <c r="A6335" s="42">
        <f>_xlfn.XLOOKUP(17855,Trip[shape_id],Trip[shape_id],"Não encontrado")</f>
        <v/>
      </c>
      <c r="B6335" s="43" t="n">
        <v>-23.53503</v>
      </c>
      <c r="C6335" s="43" t="n">
        <v>-46.305516</v>
      </c>
      <c r="D6335" s="43" t="n">
        <v>156</v>
      </c>
      <c r="E6335" s="44" t="n">
        <v>13404.742</v>
      </c>
    </row>
    <row r="6336">
      <c r="A6336" s="39">
        <f>_xlfn.XLOOKUP(17855,Trip[shape_id],Trip[shape_id],"Não encontrado")</f>
        <v/>
      </c>
      <c r="B6336" s="40" t="n">
        <v>-23.534909</v>
      </c>
      <c r="C6336" s="40" t="n">
        <v>-46.305885</v>
      </c>
      <c r="D6336" s="40" t="n">
        <v>157</v>
      </c>
      <c r="E6336" s="41" t="n">
        <v>13476.54</v>
      </c>
    </row>
    <row r="6337">
      <c r="A6337" s="42">
        <f>_xlfn.XLOOKUP(17855,Trip[shape_id],Trip[shape_id],"Não encontrado")</f>
        <v/>
      </c>
      <c r="B6337" s="43" t="n">
        <v>-23.534688</v>
      </c>
      <c r="C6337" s="43" t="n">
        <v>-46.306546</v>
      </c>
      <c r="D6337" s="43" t="n">
        <v>158</v>
      </c>
      <c r="E6337" s="44" t="n">
        <v>13496.507</v>
      </c>
    </row>
    <row r="6338">
      <c r="A6338" s="39">
        <f>_xlfn.XLOOKUP(17855,Trip[shape_id],Trip[shape_id],"Não encontrado")</f>
        <v/>
      </c>
      <c r="B6338" s="40" t="n">
        <v>-23.534627</v>
      </c>
      <c r="C6338" s="40" t="n">
        <v>-46.30673</v>
      </c>
      <c r="D6338" s="40" t="n">
        <v>159</v>
      </c>
      <c r="E6338" s="41" t="n">
        <v>13564.274</v>
      </c>
    </row>
    <row r="6339">
      <c r="A6339" s="42">
        <f>_xlfn.XLOOKUP(17855,Trip[shape_id],Trip[shape_id],"Não encontrado")</f>
        <v/>
      </c>
      <c r="B6339" s="43" t="n">
        <v>-23.534404</v>
      </c>
      <c r="C6339" s="43" t="n">
        <v>-46.307348</v>
      </c>
      <c r="D6339" s="43" t="n">
        <v>160</v>
      </c>
      <c r="E6339" s="44" t="n">
        <v>13675.687</v>
      </c>
    </row>
    <row r="6340">
      <c r="A6340" s="39">
        <f>_xlfn.XLOOKUP(17855,Trip[shape_id],Trip[shape_id],"Não encontrado")</f>
        <v/>
      </c>
      <c r="B6340" s="40" t="n">
        <v>-23.534035</v>
      </c>
      <c r="C6340" s="40" t="n">
        <v>-46.308363</v>
      </c>
      <c r="D6340" s="40" t="n">
        <v>161</v>
      </c>
      <c r="E6340" s="41" t="n">
        <v>13675.687</v>
      </c>
    </row>
    <row r="6341">
      <c r="A6341" s="42">
        <f>_xlfn.XLOOKUP(17855,Trip[shape_id],Trip[shape_id],"Não encontrado")</f>
        <v/>
      </c>
      <c r="B6341" s="43" t="n">
        <v>-23.533768</v>
      </c>
      <c r="C6341" s="43" t="n">
        <v>-46.309095</v>
      </c>
      <c r="D6341" s="43" t="n">
        <v>162</v>
      </c>
      <c r="E6341" s="44" t="n">
        <v>13880.115</v>
      </c>
    </row>
    <row r="6342">
      <c r="A6342" s="39">
        <f>_xlfn.XLOOKUP(17855,Trip[shape_id],Trip[shape_id],"Não encontrado")</f>
        <v/>
      </c>
      <c r="B6342" s="40" t="n">
        <v>-23.533357</v>
      </c>
      <c r="C6342" s="40" t="n">
        <v>-46.310225</v>
      </c>
      <c r="D6342" s="40" t="n">
        <v>163</v>
      </c>
      <c r="E6342" s="41" t="n">
        <v>14047.1</v>
      </c>
    </row>
    <row r="6343">
      <c r="A6343" s="42">
        <f>_xlfn.XLOOKUP(17855,Trip[shape_id],Trip[shape_id],"Não encontrado")</f>
        <v/>
      </c>
      <c r="B6343" s="43" t="n">
        <v>-23.532801</v>
      </c>
      <c r="C6343" s="43" t="n">
        <v>-46.311745</v>
      </c>
      <c r="D6343" s="43" t="n">
        <v>164</v>
      </c>
      <c r="E6343" s="44" t="n">
        <v>14192.865</v>
      </c>
    </row>
    <row r="6344">
      <c r="A6344" s="39">
        <f>_xlfn.XLOOKUP(17855,Trip[shape_id],Trip[shape_id],"Não encontrado")</f>
        <v/>
      </c>
      <c r="B6344" s="40" t="n">
        <v>-23.532316</v>
      </c>
      <c r="C6344" s="40" t="n">
        <v>-46.313072</v>
      </c>
      <c r="D6344" s="40" t="n">
        <v>165</v>
      </c>
      <c r="E6344" s="41" t="n">
        <v>14224.156</v>
      </c>
    </row>
    <row r="6345">
      <c r="A6345" s="42">
        <f>_xlfn.XLOOKUP(17855,Trip[shape_id],Trip[shape_id],"Não encontrado")</f>
        <v/>
      </c>
      <c r="B6345" s="43" t="n">
        <v>-23.532217</v>
      </c>
      <c r="C6345" s="43" t="n">
        <v>-46.313359</v>
      </c>
      <c r="D6345" s="43" t="n">
        <v>166</v>
      </c>
      <c r="E6345" s="44" t="n">
        <v>14438.404</v>
      </c>
    </row>
    <row r="6346">
      <c r="A6346" s="39">
        <f>_xlfn.XLOOKUP(17855,Trip[shape_id],Trip[shape_id],"Não encontrado")</f>
        <v/>
      </c>
      <c r="B6346" s="40" t="n">
        <v>-23.531539</v>
      </c>
      <c r="C6346" s="40" t="n">
        <v>-46.315324</v>
      </c>
      <c r="D6346" s="40" t="n">
        <v>167</v>
      </c>
      <c r="E6346" s="41" t="n">
        <v>14501.504</v>
      </c>
    </row>
    <row r="6347">
      <c r="A6347" s="42">
        <f>_xlfn.XLOOKUP(17855,Trip[shape_id],Trip[shape_id],"Não encontrado")</f>
        <v/>
      </c>
      <c r="B6347" s="43" t="n">
        <v>-23.53134</v>
      </c>
      <c r="C6347" s="43" t="n">
        <v>-46.315903</v>
      </c>
      <c r="D6347" s="43" t="n">
        <v>168</v>
      </c>
      <c r="E6347" s="44" t="n">
        <v>14658.191</v>
      </c>
    </row>
    <row r="6348">
      <c r="A6348" s="39">
        <f>_xlfn.XLOOKUP(17855,Trip[shape_id],Trip[shape_id],"Não encontrado")</f>
        <v/>
      </c>
      <c r="B6348" s="40" t="n">
        <v>-23.530844</v>
      </c>
      <c r="C6348" s="40" t="n">
        <v>-46.31734</v>
      </c>
      <c r="D6348" s="40" t="n">
        <v>169</v>
      </c>
      <c r="E6348" s="41" t="n">
        <v>14789.72</v>
      </c>
    </row>
    <row r="6349">
      <c r="A6349" s="42">
        <f>_xlfn.XLOOKUP(17855,Trip[shape_id],Trip[shape_id],"Não encontrado")</f>
        <v/>
      </c>
      <c r="B6349" s="43" t="n">
        <v>-23.530427</v>
      </c>
      <c r="C6349" s="43" t="n">
        <v>-46.318546</v>
      </c>
      <c r="D6349" s="43" t="n">
        <v>170</v>
      </c>
      <c r="E6349" s="44" t="n">
        <v>14905.822</v>
      </c>
    </row>
    <row r="6350">
      <c r="A6350" s="39">
        <f>_xlfn.XLOOKUP(17855,Trip[shape_id],Trip[shape_id],"Não encontrado")</f>
        <v/>
      </c>
      <c r="B6350" s="40" t="n">
        <v>-23.53006</v>
      </c>
      <c r="C6350" s="40" t="n">
        <v>-46.319611</v>
      </c>
      <c r="D6350" s="40" t="n">
        <v>171</v>
      </c>
      <c r="E6350" s="41" t="n">
        <v>15116.816</v>
      </c>
    </row>
    <row r="6351">
      <c r="A6351" s="42">
        <f>_xlfn.XLOOKUP(17855,Trip[shape_id],Trip[shape_id],"Não encontrado")</f>
        <v/>
      </c>
      <c r="B6351" s="43" t="n">
        <v>-23.529392</v>
      </c>
      <c r="C6351" s="43" t="n">
        <v>-46.321546</v>
      </c>
      <c r="D6351" s="43" t="n">
        <v>172</v>
      </c>
      <c r="E6351" s="44" t="n">
        <v>15167.271</v>
      </c>
    </row>
    <row r="6352">
      <c r="A6352" s="39">
        <f>_xlfn.XLOOKUP(17855,Trip[shape_id],Trip[shape_id],"Não encontrado")</f>
        <v/>
      </c>
      <c r="B6352" s="40" t="n">
        <v>-23.529238</v>
      </c>
      <c r="C6352" s="40" t="n">
        <v>-46.322011</v>
      </c>
      <c r="D6352" s="40" t="n">
        <v>173</v>
      </c>
      <c r="E6352" s="41" t="n">
        <v>15289.813</v>
      </c>
    </row>
    <row r="6353">
      <c r="A6353" s="42">
        <f>_xlfn.XLOOKUP(17855,Trip[shape_id],Trip[shape_id],"Não encontrado")</f>
        <v/>
      </c>
      <c r="B6353" s="43" t="n">
        <v>-23.528858</v>
      </c>
      <c r="C6353" s="43" t="n">
        <v>-46.323138</v>
      </c>
      <c r="D6353" s="43" t="n">
        <v>174</v>
      </c>
      <c r="E6353" s="44" t="n">
        <v>15354.965</v>
      </c>
    </row>
    <row r="6354">
      <c r="A6354" s="39">
        <f>_xlfn.XLOOKUP(17855,Trip[shape_id],Trip[shape_id],"Não encontrado")</f>
        <v/>
      </c>
      <c r="B6354" s="40" t="n">
        <v>-23.528658</v>
      </c>
      <c r="C6354" s="40" t="n">
        <v>-46.323738</v>
      </c>
      <c r="D6354" s="40" t="n">
        <v>175</v>
      </c>
      <c r="E6354" s="41" t="n">
        <v>15489.638</v>
      </c>
    </row>
    <row r="6355">
      <c r="A6355" s="42">
        <f>_xlfn.XLOOKUP(17855,Trip[shape_id],Trip[shape_id],"Não encontrado")</f>
        <v/>
      </c>
      <c r="B6355" s="43" t="n">
        <v>-23.528244</v>
      </c>
      <c r="C6355" s="43" t="n">
        <v>-46.324978</v>
      </c>
      <c r="D6355" s="43" t="n">
        <v>176</v>
      </c>
      <c r="E6355" s="44" t="n">
        <v>15603.442</v>
      </c>
    </row>
    <row r="6356">
      <c r="A6356" s="39">
        <f>_xlfn.XLOOKUP(17855,Trip[shape_id],Trip[shape_id],"Não encontrado")</f>
        <v/>
      </c>
      <c r="B6356" s="40" t="n">
        <v>-23.527892</v>
      </c>
      <c r="C6356" s="40" t="n">
        <v>-46.326025</v>
      </c>
      <c r="D6356" s="40" t="n">
        <v>177</v>
      </c>
      <c r="E6356" s="41" t="n">
        <v>15683.484</v>
      </c>
    </row>
    <row r="6357">
      <c r="A6357" s="42">
        <f>_xlfn.XLOOKUP(17855,Trip[shape_id],Trip[shape_id],"Não encontrado")</f>
        <v/>
      </c>
      <c r="B6357" s="43" t="n">
        <v>-23.527646</v>
      </c>
      <c r="C6357" s="43" t="n">
        <v>-46.326762</v>
      </c>
      <c r="D6357" s="43" t="n">
        <v>178</v>
      </c>
      <c r="E6357" s="44" t="n">
        <v>15722.613</v>
      </c>
    </row>
    <row r="6358">
      <c r="A6358" s="39">
        <f>_xlfn.XLOOKUP(17855,Trip[shape_id],Trip[shape_id],"Não encontrado")</f>
        <v/>
      </c>
      <c r="B6358" s="40" t="n">
        <v>-23.527525</v>
      </c>
      <c r="C6358" s="40" t="n">
        <v>-46.327122</v>
      </c>
      <c r="D6358" s="40" t="n">
        <v>179</v>
      </c>
      <c r="E6358" s="41" t="n">
        <v>15747.374</v>
      </c>
    </row>
    <row r="6359">
      <c r="A6359" s="42">
        <f>_xlfn.XLOOKUP(17855,Trip[shape_id],Trip[shape_id],"Não encontrado")</f>
        <v/>
      </c>
      <c r="B6359" s="43" t="n">
        <v>-23.527444</v>
      </c>
      <c r="C6359" s="43" t="n">
        <v>-46.327348</v>
      </c>
      <c r="D6359" s="43" t="n">
        <v>180</v>
      </c>
      <c r="E6359" s="44" t="n">
        <v>15828.793</v>
      </c>
    </row>
    <row r="6360">
      <c r="A6360" s="39">
        <f>_xlfn.XLOOKUP(17855,Trip[shape_id],Trip[shape_id],"Não encontrado")</f>
        <v/>
      </c>
      <c r="B6360" s="40" t="n">
        <v>-23.527175</v>
      </c>
      <c r="C6360" s="40" t="n">
        <v>-46.32809</v>
      </c>
      <c r="D6360" s="40" t="n">
        <v>181</v>
      </c>
      <c r="E6360" s="41" t="n">
        <v>16028.645</v>
      </c>
    </row>
    <row r="6361">
      <c r="A6361" s="42">
        <f>_xlfn.XLOOKUP(17855,Trip[shape_id],Trip[shape_id],"Não encontrado")</f>
        <v/>
      </c>
      <c r="B6361" s="43" t="n">
        <v>-23.526514</v>
      </c>
      <c r="C6361" s="43" t="n">
        <v>-46.329911</v>
      </c>
      <c r="D6361" s="43" t="n">
        <v>182</v>
      </c>
      <c r="E6361" s="44" t="n">
        <v>16176.479</v>
      </c>
    </row>
    <row r="6362">
      <c r="A6362" s="39">
        <f>_xlfn.XLOOKUP(17855,Trip[shape_id],Trip[shape_id],"Não encontrado")</f>
        <v/>
      </c>
      <c r="B6362" s="40" t="n">
        <v>-23.526025</v>
      </c>
      <c r="C6362" s="40" t="n">
        <v>-46.331258</v>
      </c>
      <c r="D6362" s="40" t="n">
        <v>183</v>
      </c>
      <c r="E6362" s="41" t="n">
        <v>16210.916</v>
      </c>
    </row>
    <row r="6363">
      <c r="A6363" s="42">
        <f>_xlfn.XLOOKUP(17855,Trip[shape_id],Trip[shape_id],"Não encontrado")</f>
        <v/>
      </c>
      <c r="B6363" s="43" t="n">
        <v>-23.525914</v>
      </c>
      <c r="C6363" s="43" t="n">
        <v>-46.331573</v>
      </c>
      <c r="D6363" s="43" t="n">
        <v>184</v>
      </c>
      <c r="E6363" s="44" t="n">
        <v>16280.347</v>
      </c>
    </row>
    <row r="6364">
      <c r="A6364" s="39">
        <f>_xlfn.XLOOKUP(17855,Trip[shape_id],Trip[shape_id],"Não encontrado")</f>
        <v/>
      </c>
      <c r="B6364" s="40" t="n">
        <v>-23.52569</v>
      </c>
      <c r="C6364" s="40" t="n">
        <v>-46.332208</v>
      </c>
      <c r="D6364" s="40" t="n">
        <v>185</v>
      </c>
      <c r="E6364" s="41" t="n">
        <v>16327.622</v>
      </c>
    </row>
    <row r="6365">
      <c r="A6365" s="42">
        <f>_xlfn.XLOOKUP(17855,Trip[shape_id],Trip[shape_id],"Não encontrado")</f>
        <v/>
      </c>
      <c r="B6365" s="43" t="n">
        <v>-23.525539</v>
      </c>
      <c r="C6365" s="43" t="n">
        <v>-46.332641</v>
      </c>
      <c r="D6365" s="43" t="n">
        <v>186</v>
      </c>
      <c r="E6365" s="44" t="n">
        <v>16343.836</v>
      </c>
    </row>
    <row r="6366">
      <c r="A6366" s="39">
        <f>_xlfn.XLOOKUP(17855,Trip[shape_id],Trip[shape_id],"Não encontrado")</f>
        <v/>
      </c>
      <c r="B6366" s="40" t="n">
        <v>-23.525486</v>
      </c>
      <c r="C6366" s="40" t="n">
        <v>-46.332789</v>
      </c>
      <c r="D6366" s="40" t="n">
        <v>187</v>
      </c>
      <c r="E6366" s="41" t="n">
        <v>16343.836</v>
      </c>
    </row>
    <row r="6367">
      <c r="A6367" s="42">
        <f>_xlfn.XLOOKUP(17855,Trip[shape_id],Trip[shape_id],"Não encontrado")</f>
        <v/>
      </c>
      <c r="B6367" s="43" t="n">
        <v>-23.525397</v>
      </c>
      <c r="C6367" s="43" t="n">
        <v>-46.333044</v>
      </c>
      <c r="D6367" s="43" t="n">
        <v>188</v>
      </c>
      <c r="E6367" s="44" t="n">
        <v>16406.537</v>
      </c>
    </row>
    <row r="6368">
      <c r="A6368" s="39">
        <f>_xlfn.XLOOKUP(17855,Trip[shape_id],Trip[shape_id],"Não encontrado")</f>
        <v/>
      </c>
      <c r="B6368" s="40" t="n">
        <v>-23.525285</v>
      </c>
      <c r="C6368" s="40" t="n">
        <v>-46.333363</v>
      </c>
      <c r="D6368" s="40" t="n">
        <v>189</v>
      </c>
      <c r="E6368" s="41" t="n">
        <v>16406.537</v>
      </c>
    </row>
    <row r="6369">
      <c r="A6369" s="42">
        <f>_xlfn.XLOOKUP(17855,Trip[shape_id],Trip[shape_id],"Não encontrado")</f>
        <v/>
      </c>
      <c r="B6369" s="43" t="n">
        <v>-23.524945</v>
      </c>
      <c r="C6369" s="43" t="n">
        <v>-46.334351</v>
      </c>
      <c r="D6369" s="43" t="n">
        <v>190</v>
      </c>
      <c r="E6369" s="44" t="n">
        <v>16951.451</v>
      </c>
    </row>
    <row r="6370">
      <c r="A6370" s="39">
        <f>_xlfn.XLOOKUP(17855,Trip[shape_id],Trip[shape_id],"Não encontrado")</f>
        <v/>
      </c>
      <c r="B6370" s="40" t="n">
        <v>-23.523557</v>
      </c>
      <c r="C6370" s="40" t="n">
        <v>-46.338359</v>
      </c>
      <c r="D6370" s="40" t="n">
        <v>191</v>
      </c>
      <c r="E6370" s="41" t="n">
        <v>17084.174</v>
      </c>
    </row>
    <row r="6371">
      <c r="A6371" s="42">
        <f>_xlfn.XLOOKUP(17855,Trip[shape_id],Trip[shape_id],"Não encontrado")</f>
        <v/>
      </c>
      <c r="B6371" s="43" t="n">
        <v>-23.523404</v>
      </c>
      <c r="C6371" s="43" t="n">
        <v>-46.339648</v>
      </c>
      <c r="D6371" s="43" t="n">
        <v>192</v>
      </c>
      <c r="E6371" s="44" t="n">
        <v>17180.301</v>
      </c>
    </row>
    <row r="6372">
      <c r="A6372" s="39">
        <f>_xlfn.XLOOKUP(17855,Trip[shape_id],Trip[shape_id],"Não encontrado")</f>
        <v/>
      </c>
      <c r="B6372" s="40" t="n">
        <v>-23.523649</v>
      </c>
      <c r="C6372" s="40" t="n">
        <v>-46.340551</v>
      </c>
      <c r="D6372" s="40" t="n">
        <v>193</v>
      </c>
      <c r="E6372" s="41" t="n">
        <v>17342.213</v>
      </c>
    </row>
    <row r="6373">
      <c r="A6373" s="42">
        <f>_xlfn.XLOOKUP(17855,Trip[shape_id],Trip[shape_id],"Não encontrado")</f>
        <v/>
      </c>
      <c r="B6373" s="43" t="n">
        <v>-23.524426</v>
      </c>
      <c r="C6373" s="43" t="n">
        <v>-46.341894</v>
      </c>
      <c r="D6373" s="43" t="n">
        <v>194</v>
      </c>
      <c r="E6373" s="44" t="n">
        <v>17444.816</v>
      </c>
    </row>
    <row r="6374">
      <c r="A6374" s="39">
        <f>_xlfn.XLOOKUP(17855,Trip[shape_id],Trip[shape_id],"Não encontrado")</f>
        <v/>
      </c>
      <c r="B6374" s="40" t="n">
        <v>-23.524917</v>
      </c>
      <c r="C6374" s="40" t="n">
        <v>-46.342746</v>
      </c>
      <c r="D6374" s="40" t="n">
        <v>195</v>
      </c>
      <c r="E6374" s="41" t="n">
        <v>17505.834</v>
      </c>
    </row>
    <row r="6375">
      <c r="A6375" s="42">
        <f>_xlfn.XLOOKUP(17855,Trip[shape_id],Trip[shape_id],"Não encontrado")</f>
        <v/>
      </c>
      <c r="B6375" s="43" t="n">
        <v>-23.52521</v>
      </c>
      <c r="C6375" s="43" t="n">
        <v>-46.343252</v>
      </c>
      <c r="D6375" s="43" t="n">
        <v>196</v>
      </c>
      <c r="E6375" s="44" t="n">
        <v>17505.834</v>
      </c>
    </row>
    <row r="6376">
      <c r="A6376" s="39">
        <f>_xlfn.XLOOKUP(17855,Trip[shape_id],Trip[shape_id],"Não encontrado")</f>
        <v/>
      </c>
      <c r="B6376" s="40" t="n">
        <v>-23.525846</v>
      </c>
      <c r="C6376" s="40" t="n">
        <v>-46.34436</v>
      </c>
      <c r="D6376" s="40" t="n">
        <v>197</v>
      </c>
      <c r="E6376" s="41" t="n">
        <v>17937.469</v>
      </c>
    </row>
    <row r="6377">
      <c r="A6377" s="42">
        <f>_xlfn.XLOOKUP(17855,Trip[shape_id],Trip[shape_id],"Não encontrado")</f>
        <v/>
      </c>
      <c r="B6377" s="43" t="n">
        <v>-23.527273</v>
      </c>
      <c r="C6377" s="43" t="n">
        <v>-46.346838</v>
      </c>
      <c r="D6377" s="43" t="n">
        <v>198</v>
      </c>
      <c r="E6377" s="44" t="n">
        <v>18278.016</v>
      </c>
    </row>
    <row r="6378">
      <c r="A6378" s="39">
        <f>_xlfn.XLOOKUP(17855,Trip[shape_id],Trip[shape_id],"Não encontrado")</f>
        <v/>
      </c>
      <c r="B6378" s="40" t="n">
        <v>-23.528904</v>
      </c>
      <c r="C6378" s="40" t="n">
        <v>-46.349665</v>
      </c>
      <c r="D6378" s="40" t="n">
        <v>199</v>
      </c>
      <c r="E6378" s="41" t="n">
        <v>18493.801</v>
      </c>
    </row>
    <row r="6379">
      <c r="A6379" s="42">
        <f>_xlfn.XLOOKUP(17855,Trip[shape_id],Trip[shape_id],"Não encontrado")</f>
        <v/>
      </c>
      <c r="B6379" s="43" t="n">
        <v>-23.529935</v>
      </c>
      <c r="C6379" s="43" t="n">
        <v>-46.351458</v>
      </c>
      <c r="D6379" s="43" t="n">
        <v>200</v>
      </c>
      <c r="E6379" s="44" t="n">
        <v>18733.598</v>
      </c>
    </row>
    <row r="6380">
      <c r="A6380" s="39">
        <f>_xlfn.XLOOKUP(17855,Trip[shape_id],Trip[shape_id],"Não encontrado")</f>
        <v/>
      </c>
      <c r="B6380" s="40" t="n">
        <v>-23.531083</v>
      </c>
      <c r="C6380" s="40" t="n">
        <v>-46.353449</v>
      </c>
      <c r="D6380" s="40" t="n">
        <v>201</v>
      </c>
      <c r="E6380" s="41" t="n">
        <v>18966.143</v>
      </c>
    </row>
    <row r="6381">
      <c r="A6381" s="42">
        <f>_xlfn.XLOOKUP(17855,Trip[shape_id],Trip[shape_id],"Não encontrado")</f>
        <v/>
      </c>
      <c r="B6381" s="43" t="n">
        <v>-23.532196</v>
      </c>
      <c r="C6381" s="43" t="n">
        <v>-46.35538</v>
      </c>
      <c r="D6381" s="43" t="n">
        <v>202</v>
      </c>
      <c r="E6381" s="44" t="n">
        <v>19352.553</v>
      </c>
    </row>
    <row r="6382">
      <c r="A6382" s="39">
        <f>_xlfn.XLOOKUP(17855,Trip[shape_id],Trip[shape_id],"Não encontrado")</f>
        <v/>
      </c>
      <c r="B6382" s="40" t="n">
        <v>-23.534042</v>
      </c>
      <c r="C6382" s="40" t="n">
        <v>-46.358591</v>
      </c>
      <c r="D6382" s="40" t="n">
        <v>203</v>
      </c>
      <c r="E6382" s="41" t="n">
        <v>19566.127</v>
      </c>
    </row>
    <row r="6383">
      <c r="A6383" s="42">
        <f>_xlfn.XLOOKUP(17855,Trip[shape_id],Trip[shape_id],"Não encontrado")</f>
        <v/>
      </c>
      <c r="B6383" s="43" t="n">
        <v>-23.535062</v>
      </c>
      <c r="C6383" s="43" t="n">
        <v>-46.360366</v>
      </c>
      <c r="D6383" s="43" t="n">
        <v>204</v>
      </c>
      <c r="E6383" s="44" t="n">
        <v>19906.266</v>
      </c>
    </row>
    <row r="6384">
      <c r="A6384" s="39">
        <f>_xlfn.XLOOKUP(17855,Trip[shape_id],Trip[shape_id],"Não encontrado")</f>
        <v/>
      </c>
      <c r="B6384" s="40" t="n">
        <v>-23.536936</v>
      </c>
      <c r="C6384" s="40" t="n">
        <v>-46.363005</v>
      </c>
      <c r="D6384" s="40" t="n">
        <v>205</v>
      </c>
      <c r="E6384" s="41" t="n">
        <v>20357.063</v>
      </c>
    </row>
    <row r="6385">
      <c r="A6385" s="42">
        <f>_xlfn.XLOOKUP(17855,Trip[shape_id],Trip[shape_id],"Não encontrado")</f>
        <v/>
      </c>
      <c r="B6385" s="43" t="n">
        <v>-23.539424</v>
      </c>
      <c r="C6385" s="43" t="n">
        <v>-46.366499</v>
      </c>
      <c r="D6385" s="43" t="n">
        <v>206</v>
      </c>
      <c r="E6385" s="44" t="n">
        <v>20443.254</v>
      </c>
    </row>
    <row r="6386">
      <c r="A6386" s="39">
        <f>_xlfn.XLOOKUP(17855,Trip[shape_id],Trip[shape_id],"Não encontrado")</f>
        <v/>
      </c>
      <c r="B6386" s="40" t="n">
        <v>-23.539908</v>
      </c>
      <c r="C6386" s="40" t="n">
        <v>-46.36716</v>
      </c>
      <c r="D6386" s="40" t="n">
        <v>207</v>
      </c>
      <c r="E6386" s="41" t="n">
        <v>20550.076</v>
      </c>
    </row>
    <row r="6387">
      <c r="A6387" s="42">
        <f>_xlfn.XLOOKUP(17855,Trip[shape_id],Trip[shape_id],"Não encontrado")</f>
        <v/>
      </c>
      <c r="B6387" s="43" t="n">
        <v>-23.540515</v>
      </c>
      <c r="C6387" s="43" t="n">
        <v>-46.367973</v>
      </c>
      <c r="D6387" s="43" t="n">
        <v>208</v>
      </c>
      <c r="E6387" s="44" t="n">
        <v>20580.635</v>
      </c>
    </row>
    <row r="6388">
      <c r="A6388" s="39">
        <f>_xlfn.XLOOKUP(17855,Trip[shape_id],Trip[shape_id],"Não encontrado")</f>
        <v/>
      </c>
      <c r="B6388" s="40" t="n">
        <v>-23.540687</v>
      </c>
      <c r="C6388" s="40" t="n">
        <v>-46.368207</v>
      </c>
      <c r="D6388" s="40" t="n">
        <v>209</v>
      </c>
      <c r="E6388" s="41" t="n">
        <v>20580.635</v>
      </c>
    </row>
    <row r="6389">
      <c r="A6389" s="42">
        <f>_xlfn.XLOOKUP(17855,Trip[shape_id],Trip[shape_id],"Não encontrado")</f>
        <v/>
      </c>
      <c r="B6389" s="43" t="n">
        <v>-23.541113</v>
      </c>
      <c r="C6389" s="43" t="n">
        <v>-46.368791</v>
      </c>
      <c r="D6389" s="43" t="n">
        <v>210</v>
      </c>
      <c r="E6389" s="44" t="n">
        <v>20726.025</v>
      </c>
    </row>
    <row r="6390">
      <c r="A6390" s="39">
        <f>_xlfn.XLOOKUP(17855,Trip[shape_id],Trip[shape_id],"Não encontrado")</f>
        <v/>
      </c>
      <c r="B6390" s="40" t="n">
        <v>-23.541494</v>
      </c>
      <c r="C6390" s="40" t="n">
        <v>-46.36933</v>
      </c>
      <c r="D6390" s="40" t="n">
        <v>211</v>
      </c>
      <c r="E6390" s="41" t="n">
        <v>20900.504</v>
      </c>
    </row>
    <row r="6391">
      <c r="A6391" s="42">
        <f>_xlfn.XLOOKUP(17855,Trip[shape_id],Trip[shape_id],"Não encontrado")</f>
        <v/>
      </c>
      <c r="B6391" s="43" t="n">
        <v>-23.542449</v>
      </c>
      <c r="C6391" s="43" t="n">
        <v>-46.370689</v>
      </c>
      <c r="D6391" s="43" t="n">
        <v>212</v>
      </c>
      <c r="E6391" s="44" t="n">
        <v>21082.434</v>
      </c>
    </row>
    <row r="6392">
      <c r="A6392" s="39">
        <f>_xlfn.XLOOKUP(17855,Trip[shape_id],Trip[shape_id],"Não encontrado")</f>
        <v/>
      </c>
      <c r="B6392" s="40" t="n">
        <v>-23.543458</v>
      </c>
      <c r="C6392" s="40" t="n">
        <v>-46.372095</v>
      </c>
      <c r="D6392" s="40" t="n">
        <v>213</v>
      </c>
      <c r="E6392" s="41" t="n">
        <v>21155.65</v>
      </c>
    </row>
    <row r="6393">
      <c r="A6393" s="42">
        <f>_xlfn.XLOOKUP(17855,Trip[shape_id],Trip[shape_id],"Não encontrado")</f>
        <v/>
      </c>
      <c r="B6393" s="43" t="n">
        <v>-23.543804</v>
      </c>
      <c r="C6393" s="43" t="n">
        <v>-46.372706</v>
      </c>
      <c r="D6393" s="43" t="n">
        <v>214</v>
      </c>
      <c r="E6393" s="44" t="n">
        <v>21321.598</v>
      </c>
    </row>
    <row r="6394">
      <c r="A6394" s="39">
        <f>_xlfn.XLOOKUP(17855,Trip[shape_id],Trip[shape_id],"Não encontrado")</f>
        <v/>
      </c>
      <c r="B6394" s="40" t="n">
        <v>-23.544317</v>
      </c>
      <c r="C6394" s="40" t="n">
        <v>-46.374233</v>
      </c>
      <c r="D6394" s="40" t="n">
        <v>215</v>
      </c>
      <c r="E6394" s="41" t="n">
        <v>21434.441</v>
      </c>
    </row>
    <row r="6395">
      <c r="A6395" s="42">
        <f>_xlfn.XLOOKUP(17855,Trip[shape_id],Trip[shape_id],"Não encontrado")</f>
        <v/>
      </c>
      <c r="B6395" s="43" t="n">
        <v>-23.544691</v>
      </c>
      <c r="C6395" s="43" t="n">
        <v>-46.375261</v>
      </c>
      <c r="D6395" s="43" t="n">
        <v>216</v>
      </c>
      <c r="E6395" s="44" t="n">
        <v>21504.016</v>
      </c>
    </row>
    <row r="6396">
      <c r="A6396" s="39">
        <f>_xlfn.XLOOKUP(17855,Trip[shape_id],Trip[shape_id],"Não encontrado")</f>
        <v/>
      </c>
      <c r="B6396" s="40" t="n">
        <v>-23.54498</v>
      </c>
      <c r="C6396" s="40" t="n">
        <v>-46.375866</v>
      </c>
      <c r="D6396" s="40" t="n">
        <v>217</v>
      </c>
      <c r="E6396" s="41" t="n">
        <v>21581.73</v>
      </c>
    </row>
    <row r="6397">
      <c r="A6397" s="42">
        <f>_xlfn.XLOOKUP(17855,Trip[shape_id],Trip[shape_id],"Não encontrado")</f>
        <v/>
      </c>
      <c r="B6397" s="43" t="n">
        <v>-23.54543</v>
      </c>
      <c r="C6397" s="43" t="n">
        <v>-46.37645</v>
      </c>
      <c r="D6397" s="43" t="n">
        <v>218</v>
      </c>
      <c r="E6397" s="44" t="n">
        <v>21661.172</v>
      </c>
    </row>
    <row r="6398">
      <c r="A6398" s="39">
        <f>_xlfn.XLOOKUP(17855,Trip[shape_id],Trip[shape_id],"Não encontrado")</f>
        <v/>
      </c>
      <c r="B6398" s="40" t="n">
        <v>-23.545978</v>
      </c>
      <c r="C6398" s="40" t="n">
        <v>-46.376952</v>
      </c>
      <c r="D6398" s="40" t="n">
        <v>219</v>
      </c>
      <c r="E6398" s="41" t="n">
        <v>21713.65</v>
      </c>
    </row>
    <row r="6399">
      <c r="A6399" s="42">
        <f>_xlfn.XLOOKUP(17855,Trip[shape_id],Trip[shape_id],"Não encontrado")</f>
        <v/>
      </c>
      <c r="B6399" s="43" t="n">
        <v>-23.546392</v>
      </c>
      <c r="C6399" s="43" t="n">
        <v>-46.377202</v>
      </c>
      <c r="D6399" s="43" t="n">
        <v>220</v>
      </c>
      <c r="E6399" s="44" t="n">
        <v>21809.791</v>
      </c>
    </row>
    <row r="6400">
      <c r="A6400" s="39">
        <f>_xlfn.XLOOKUP(17855,Trip[shape_id],Trip[shape_id],"Não encontrado")</f>
        <v/>
      </c>
      <c r="B6400" s="40" t="n">
        <v>-23.547153</v>
      </c>
      <c r="C6400" s="40" t="n">
        <v>-46.377655</v>
      </c>
      <c r="D6400" s="40" t="n">
        <v>221</v>
      </c>
      <c r="E6400" s="41" t="n">
        <v>21905.885</v>
      </c>
    </row>
    <row r="6401">
      <c r="A6401" s="42">
        <f>_xlfn.XLOOKUP(17855,Trip[shape_id],Trip[shape_id],"Não encontrado")</f>
        <v/>
      </c>
      <c r="B6401" s="43" t="n">
        <v>-23.547919</v>
      </c>
      <c r="C6401" s="43" t="n">
        <v>-46.378097</v>
      </c>
      <c r="D6401" s="43" t="n">
        <v>222</v>
      </c>
      <c r="E6401" s="44" t="n">
        <v>22013.996</v>
      </c>
    </row>
    <row r="6402">
      <c r="A6402" s="39">
        <f>_xlfn.XLOOKUP(17855,Trip[shape_id],Trip[shape_id],"Não encontrado")</f>
        <v/>
      </c>
      <c r="B6402" s="40" t="n">
        <v>-23.548661</v>
      </c>
      <c r="C6402" s="40" t="n">
        <v>-46.378785</v>
      </c>
      <c r="D6402" s="40" t="n">
        <v>223</v>
      </c>
      <c r="E6402" s="41" t="n">
        <v>22138.338</v>
      </c>
    </row>
    <row r="6403">
      <c r="A6403" s="42">
        <f>_xlfn.XLOOKUP(17855,Trip[shape_id],Trip[shape_id],"Não encontrado")</f>
        <v/>
      </c>
      <c r="B6403" s="43" t="n">
        <v>-23.549465</v>
      </c>
      <c r="C6403" s="43" t="n">
        <v>-46.379635</v>
      </c>
      <c r="D6403" s="43" t="n">
        <v>224</v>
      </c>
      <c r="E6403" s="44" t="n">
        <v>22235.498</v>
      </c>
    </row>
    <row r="6404">
      <c r="A6404" s="39">
        <f>_xlfn.XLOOKUP(17855,Trip[shape_id],Trip[shape_id],"Não encontrado")</f>
        <v/>
      </c>
      <c r="B6404" s="40" t="n">
        <v>-23.550237</v>
      </c>
      <c r="C6404" s="40" t="n">
        <v>-46.380087</v>
      </c>
      <c r="D6404" s="40" t="n">
        <v>225</v>
      </c>
      <c r="E6404" s="41" t="n">
        <v>22352.018</v>
      </c>
    </row>
    <row r="6405">
      <c r="A6405" s="42">
        <f>_xlfn.XLOOKUP(17855,Trip[shape_id],Trip[shape_id],"Não encontrado")</f>
        <v/>
      </c>
      <c r="B6405" s="43" t="n">
        <v>-23.551249</v>
      </c>
      <c r="C6405" s="43" t="n">
        <v>-46.380399</v>
      </c>
      <c r="D6405" s="43" t="n">
        <v>226</v>
      </c>
      <c r="E6405" s="44" t="n">
        <v>22457.559</v>
      </c>
    </row>
    <row r="6406">
      <c r="A6406" s="39">
        <f>_xlfn.XLOOKUP(17855,Trip[shape_id],Trip[shape_id],"Não encontrado")</f>
        <v/>
      </c>
      <c r="B6406" s="40" t="n">
        <v>-23.552192</v>
      </c>
      <c r="C6406" s="40" t="n">
        <v>-46.380548</v>
      </c>
      <c r="D6406" s="40" t="n">
        <v>227</v>
      </c>
      <c r="E6406" s="41" t="n">
        <v>22514.75</v>
      </c>
    </row>
    <row r="6407">
      <c r="A6407" s="42">
        <f>_xlfn.XLOOKUP(17855,Trip[shape_id],Trip[shape_id],"Não encontrado")</f>
        <v/>
      </c>
      <c r="B6407" s="43" t="n">
        <v>-23.552696</v>
      </c>
      <c r="C6407" s="43" t="n">
        <v>-46.38067</v>
      </c>
      <c r="D6407" s="43" t="n">
        <v>228</v>
      </c>
      <c r="E6407" s="44" t="n">
        <v>22553.867</v>
      </c>
    </row>
    <row r="6408">
      <c r="A6408" s="39">
        <f>_xlfn.XLOOKUP(17855,Trip[shape_id],Trip[shape_id],"Não encontrado")</f>
        <v/>
      </c>
      <c r="B6408" s="40" t="n">
        <v>-23.553019</v>
      </c>
      <c r="C6408" s="40" t="n">
        <v>-46.380825</v>
      </c>
      <c r="D6408" s="40" t="n">
        <v>229</v>
      </c>
      <c r="E6408" s="41" t="n">
        <v>22634.973</v>
      </c>
    </row>
    <row r="6409">
      <c r="A6409" s="42">
        <f>_xlfn.XLOOKUP(17855,Trip[shape_id],Trip[shape_id],"Não encontrado")</f>
        <v/>
      </c>
      <c r="B6409" s="43" t="n">
        <v>-23.553618</v>
      </c>
      <c r="C6409" s="43" t="n">
        <v>-46.381282</v>
      </c>
      <c r="D6409" s="43" t="n">
        <v>230</v>
      </c>
      <c r="E6409" s="44" t="n">
        <v>22691.967</v>
      </c>
    </row>
    <row r="6410">
      <c r="A6410" s="39">
        <f>_xlfn.XLOOKUP(17855,Trip[shape_id],Trip[shape_id],"Não encontrado")</f>
        <v/>
      </c>
      <c r="B6410" s="40" t="n">
        <v>-23.55392</v>
      </c>
      <c r="C6410" s="40" t="n">
        <v>-46.381734</v>
      </c>
      <c r="D6410" s="40" t="n">
        <v>231</v>
      </c>
      <c r="E6410" s="41" t="n">
        <v>22755.83</v>
      </c>
    </row>
    <row r="6411">
      <c r="A6411" s="42">
        <f>_xlfn.XLOOKUP(17855,Trip[shape_id],Trip[shape_id],"Não encontrado")</f>
        <v/>
      </c>
      <c r="B6411" s="43" t="n">
        <v>-23.554147</v>
      </c>
      <c r="C6411" s="43" t="n">
        <v>-46.382309</v>
      </c>
      <c r="D6411" s="43" t="n">
        <v>232</v>
      </c>
      <c r="E6411" s="44" t="n">
        <v>22775.17</v>
      </c>
    </row>
    <row r="6412">
      <c r="A6412" s="39">
        <f>_xlfn.XLOOKUP(17855,Trip[shape_id],Trip[shape_id],"Não encontrado")</f>
        <v/>
      </c>
      <c r="B6412" s="40" t="n">
        <v>-23.55418</v>
      </c>
      <c r="C6412" s="40" t="n">
        <v>-46.382495</v>
      </c>
      <c r="D6412" s="40" t="n">
        <v>233</v>
      </c>
      <c r="E6412" s="41" t="n">
        <v>22886.928</v>
      </c>
    </row>
    <row r="6413">
      <c r="A6413" s="42">
        <f>_xlfn.XLOOKUP(17855,Trip[shape_id],Trip[shape_id],"Não encontrado")</f>
        <v/>
      </c>
      <c r="B6413" s="43" t="n">
        <v>-23.554397</v>
      </c>
      <c r="C6413" s="43" t="n">
        <v>-46.383564</v>
      </c>
      <c r="D6413" s="43" t="n">
        <v>234</v>
      </c>
      <c r="E6413" s="44" t="n">
        <v>22886.928</v>
      </c>
    </row>
    <row r="6414">
      <c r="A6414" s="39">
        <f>_xlfn.XLOOKUP(17855,Trip[shape_id],Trip[shape_id],"Não encontrado")</f>
        <v/>
      </c>
      <c r="B6414" s="40" t="n">
        <v>-23.554576</v>
      </c>
      <c r="C6414" s="40" t="n">
        <v>-46.384474</v>
      </c>
      <c r="D6414" s="40" t="n">
        <v>235</v>
      </c>
      <c r="E6414" s="41" t="n">
        <v>23112.645</v>
      </c>
    </row>
    <row r="6415">
      <c r="A6415" s="42">
        <f>_xlfn.XLOOKUP(17855,Trip[shape_id],Trip[shape_id],"Não encontrado")</f>
        <v/>
      </c>
      <c r="B6415" s="43" t="n">
        <v>-23.5548</v>
      </c>
      <c r="C6415" s="43" t="n">
        <v>-46.385731</v>
      </c>
      <c r="D6415" s="43" t="n">
        <v>236</v>
      </c>
      <c r="E6415" s="44" t="n">
        <v>23245.711</v>
      </c>
    </row>
    <row r="6416">
      <c r="A6416" s="39">
        <f>_xlfn.XLOOKUP(17855,Trip[shape_id],Trip[shape_id],"Não encontrado")</f>
        <v/>
      </c>
      <c r="B6416" s="40" t="n">
        <v>-23.555031</v>
      </c>
      <c r="C6416" s="40" t="n">
        <v>-46.38701</v>
      </c>
      <c r="D6416" s="40" t="n">
        <v>237</v>
      </c>
      <c r="E6416" s="41" t="n">
        <v>23323.346</v>
      </c>
    </row>
    <row r="6417">
      <c r="A6417" s="42">
        <f>_xlfn.XLOOKUP(17855,Trip[shape_id],Trip[shape_id],"Não encontrado")</f>
        <v/>
      </c>
      <c r="B6417" s="43" t="n">
        <v>-23.555162</v>
      </c>
      <c r="C6417" s="43" t="n">
        <v>-46.387757</v>
      </c>
      <c r="D6417" s="43" t="n">
        <v>238</v>
      </c>
      <c r="E6417" s="44" t="n">
        <v>23453.576</v>
      </c>
    </row>
    <row r="6418">
      <c r="A6418" s="39">
        <f>_xlfn.XLOOKUP(17855,Trip[shape_id],Trip[shape_id],"Não encontrado")</f>
        <v/>
      </c>
      <c r="B6418" s="40" t="n">
        <v>-23.555339</v>
      </c>
      <c r="C6418" s="40" t="n">
        <v>-46.389018</v>
      </c>
      <c r="D6418" s="40" t="n">
        <v>239</v>
      </c>
      <c r="E6418" s="41" t="n">
        <v>23504.432</v>
      </c>
    </row>
    <row r="6419">
      <c r="A6419" s="42">
        <f>_xlfn.XLOOKUP(17855,Trip[shape_id],Trip[shape_id],"Não encontrado")</f>
        <v/>
      </c>
      <c r="B6419" s="43" t="n">
        <v>-23.55533</v>
      </c>
      <c r="C6419" s="43" t="n">
        <v>-46.389516</v>
      </c>
      <c r="D6419" s="43" t="n">
        <v>240</v>
      </c>
      <c r="E6419" s="44" t="n">
        <v>23565.666</v>
      </c>
    </row>
    <row r="6420">
      <c r="A6420" s="39">
        <f>_xlfn.XLOOKUP(17855,Trip[shape_id],Trip[shape_id],"Não encontrado")</f>
        <v/>
      </c>
      <c r="B6420" s="40" t="n">
        <v>-23.555277</v>
      </c>
      <c r="C6420" s="40" t="n">
        <v>-46.390113</v>
      </c>
      <c r="D6420" s="40" t="n">
        <v>241</v>
      </c>
      <c r="E6420" s="41" t="n">
        <v>23644.148</v>
      </c>
    </row>
    <row r="6421">
      <c r="A6421" s="42">
        <f>_xlfn.XLOOKUP(17855,Trip[shape_id],Trip[shape_id],"Não encontrado")</f>
        <v/>
      </c>
      <c r="B6421" s="43" t="n">
        <v>-23.555055</v>
      </c>
      <c r="C6421" s="43" t="n">
        <v>-46.390843</v>
      </c>
      <c r="D6421" s="43" t="n">
        <v>242</v>
      </c>
      <c r="E6421" s="44" t="n">
        <v>23655.844</v>
      </c>
    </row>
    <row r="6422">
      <c r="A6422" s="39">
        <f>_xlfn.XLOOKUP(17855,Trip[shape_id],Trip[shape_id],"Não encontrado")</f>
        <v/>
      </c>
      <c r="B6422" s="40" t="n">
        <v>-23.554996</v>
      </c>
      <c r="C6422" s="40" t="n">
        <v>-46.390938</v>
      </c>
      <c r="D6422" s="40" t="n">
        <v>243</v>
      </c>
      <c r="E6422" s="41" t="n">
        <v>23709.297</v>
      </c>
    </row>
    <row r="6423">
      <c r="A6423" s="42">
        <f>_xlfn.XLOOKUP(17855,Trip[shape_id],Trip[shape_id],"Não encontrado")</f>
        <v/>
      </c>
      <c r="B6423" s="43" t="n">
        <v>-23.554722</v>
      </c>
      <c r="C6423" s="43" t="n">
        <v>-46.391369</v>
      </c>
      <c r="D6423" s="43" t="n">
        <v>244</v>
      </c>
      <c r="E6423" s="44" t="n">
        <v>23775.207</v>
      </c>
    </row>
    <row r="6424">
      <c r="A6424" s="39">
        <f>_xlfn.XLOOKUP(17855,Trip[shape_id],Trip[shape_id],"Não encontrado")</f>
        <v/>
      </c>
      <c r="B6424" s="40" t="n">
        <v>-23.55429</v>
      </c>
      <c r="C6424" s="40" t="n">
        <v>-46.391813</v>
      </c>
      <c r="D6424" s="40" t="n">
        <v>245</v>
      </c>
      <c r="E6424" s="41" t="n">
        <v>23787.777</v>
      </c>
    </row>
    <row r="6425">
      <c r="A6425" s="42">
        <f>_xlfn.XLOOKUP(17855,Trip[shape_id],Trip[shape_id],"Não encontrado")</f>
        <v/>
      </c>
      <c r="B6425" s="43" t="n">
        <v>-23.554196</v>
      </c>
      <c r="C6425" s="43" t="n">
        <v>-46.391882</v>
      </c>
      <c r="D6425" s="43" t="n">
        <v>246</v>
      </c>
      <c r="E6425" s="44" t="n">
        <v>23861.371</v>
      </c>
    </row>
    <row r="6426">
      <c r="A6426" s="39">
        <f>_xlfn.XLOOKUP(17855,Trip[shape_id],Trip[shape_id],"Não encontrado")</f>
        <v/>
      </c>
      <c r="B6426" s="40" t="n">
        <v>-23.553636</v>
      </c>
      <c r="C6426" s="40" t="n">
        <v>-46.39227</v>
      </c>
      <c r="D6426" s="40" t="n">
        <v>247</v>
      </c>
      <c r="E6426" s="41" t="n">
        <v>23936.186</v>
      </c>
    </row>
    <row r="6427">
      <c r="A6427" s="42">
        <f>_xlfn.XLOOKUP(17855,Trip[shape_id],Trip[shape_id],"Não encontrado")</f>
        <v/>
      </c>
      <c r="B6427" s="43" t="n">
        <v>-23.553054</v>
      </c>
      <c r="C6427" s="43" t="n">
        <v>-46.392642</v>
      </c>
      <c r="D6427" s="43" t="n">
        <v>248</v>
      </c>
      <c r="E6427" s="44" t="n">
        <v>23994.469</v>
      </c>
    </row>
    <row r="6428">
      <c r="A6428" s="39">
        <f>_xlfn.XLOOKUP(17855,Trip[shape_id],Trip[shape_id],"Não encontrado")</f>
        <v/>
      </c>
      <c r="B6428" s="40" t="n">
        <v>-23.552685</v>
      </c>
      <c r="C6428" s="40" t="n">
        <v>-46.393049</v>
      </c>
      <c r="D6428" s="40" t="n">
        <v>249</v>
      </c>
      <c r="E6428" s="41" t="n">
        <v>24070.068</v>
      </c>
    </row>
    <row r="6429">
      <c r="A6429" s="42">
        <f>_xlfn.XLOOKUP(17855,Trip[shape_id],Trip[shape_id],"Não encontrado")</f>
        <v/>
      </c>
      <c r="B6429" s="43" t="n">
        <v>-23.552275</v>
      </c>
      <c r="C6429" s="43" t="n">
        <v>-46.393641</v>
      </c>
      <c r="D6429" s="43" t="n">
        <v>250</v>
      </c>
      <c r="E6429" s="44" t="n">
        <v>24194.441</v>
      </c>
    </row>
    <row r="6430">
      <c r="A6430" s="39">
        <f>_xlfn.XLOOKUP(17855,Trip[shape_id],Trip[shape_id],"Não encontrado")</f>
        <v/>
      </c>
      <c r="B6430" s="40" t="n">
        <v>-23.551674</v>
      </c>
      <c r="C6430" s="40" t="n">
        <v>-46.39467</v>
      </c>
      <c r="D6430" s="40" t="n">
        <v>251</v>
      </c>
      <c r="E6430" s="41" t="n">
        <v>24221.99</v>
      </c>
    </row>
    <row r="6431">
      <c r="A6431" s="42">
        <f>_xlfn.XLOOKUP(17855,Trip[shape_id],Trip[shape_id],"Não encontrado")</f>
        <v/>
      </c>
      <c r="B6431" s="43" t="n">
        <v>-23.551541</v>
      </c>
      <c r="C6431" s="43" t="n">
        <v>-46.394898</v>
      </c>
      <c r="D6431" s="43" t="n">
        <v>252</v>
      </c>
      <c r="E6431" s="44" t="n">
        <v>24296.402</v>
      </c>
    </row>
    <row r="6432">
      <c r="A6432" s="39">
        <f>_xlfn.XLOOKUP(17855,Trip[shape_id],Trip[shape_id],"Não encontrado")</f>
        <v/>
      </c>
      <c r="B6432" s="40" t="n">
        <v>-23.551165</v>
      </c>
      <c r="C6432" s="40" t="n">
        <v>-46.395502</v>
      </c>
      <c r="D6432" s="40" t="n">
        <v>253</v>
      </c>
      <c r="E6432" s="41" t="n">
        <v>24365.57</v>
      </c>
    </row>
    <row r="6433">
      <c r="A6433" s="42">
        <f>_xlfn.XLOOKUP(17855,Trip[shape_id],Trip[shape_id],"Não encontrado")</f>
        <v/>
      </c>
      <c r="B6433" s="43" t="n">
        <v>-23.550717</v>
      </c>
      <c r="C6433" s="43" t="n">
        <v>-46.395974</v>
      </c>
      <c r="D6433" s="43" t="n">
        <v>254</v>
      </c>
      <c r="E6433" s="44" t="n">
        <v>24555.982</v>
      </c>
    </row>
    <row r="6434">
      <c r="A6434" s="39">
        <f>_xlfn.XLOOKUP(17855,Trip[shape_id],Trip[shape_id],"Não encontrado")</f>
        <v/>
      </c>
      <c r="B6434" s="40" t="n">
        <v>-23.549343</v>
      </c>
      <c r="C6434" s="40" t="n">
        <v>-46.397095</v>
      </c>
      <c r="D6434" s="40" t="n">
        <v>255</v>
      </c>
      <c r="E6434" s="41" t="n">
        <v>24730.314</v>
      </c>
    </row>
    <row r="6435">
      <c r="A6435" s="42">
        <f>_xlfn.XLOOKUP(17855,Trip[shape_id],Trip[shape_id],"Não encontrado")</f>
        <v/>
      </c>
      <c r="B6435" s="43" t="n">
        <v>-23.548172</v>
      </c>
      <c r="C6435" s="43" t="n">
        <v>-46.398236</v>
      </c>
      <c r="D6435" s="43" t="n">
        <v>256</v>
      </c>
      <c r="E6435" s="44" t="n">
        <v>24913.527</v>
      </c>
    </row>
    <row r="6436">
      <c r="A6436" s="39">
        <f>_xlfn.XLOOKUP(17855,Trip[shape_id],Trip[shape_id],"Não encontrado")</f>
        <v/>
      </c>
      <c r="B6436" s="40" t="n">
        <v>-23.547209</v>
      </c>
      <c r="C6436" s="40" t="n">
        <v>-46.399695</v>
      </c>
      <c r="D6436" s="40" t="n">
        <v>257</v>
      </c>
      <c r="E6436" s="41" t="n">
        <v>25070.838</v>
      </c>
    </row>
    <row r="6437">
      <c r="A6437" s="42">
        <f>_xlfn.XLOOKUP(17855,Trip[shape_id],Trip[shape_id],"Não encontrado")</f>
        <v/>
      </c>
      <c r="B6437" s="43" t="n">
        <v>-23.546431</v>
      </c>
      <c r="C6437" s="43" t="n">
        <v>-46.400984</v>
      </c>
      <c r="D6437" s="43" t="n">
        <v>258</v>
      </c>
      <c r="E6437" s="44" t="n">
        <v>25124.021</v>
      </c>
    </row>
    <row r="6438">
      <c r="A6438" s="39">
        <f>_xlfn.XLOOKUP(17855,Trip[shape_id],Trip[shape_id],"Não encontrado")</f>
        <v/>
      </c>
      <c r="B6438" s="40" t="n">
        <v>-23.546224</v>
      </c>
      <c r="C6438" s="40" t="n">
        <v>-46.401454</v>
      </c>
      <c r="D6438" s="40" t="n">
        <v>259</v>
      </c>
      <c r="E6438" s="41" t="n">
        <v>25177.691</v>
      </c>
    </row>
    <row r="6439">
      <c r="A6439" s="42">
        <f>_xlfn.XLOOKUP(17855,Trip[shape_id],Trip[shape_id],"Não encontrado")</f>
        <v/>
      </c>
      <c r="B6439" s="43" t="n">
        <v>-23.546061</v>
      </c>
      <c r="C6439" s="43" t="n">
        <v>-46.401949</v>
      </c>
      <c r="D6439" s="43" t="n">
        <v>260</v>
      </c>
      <c r="E6439" s="44" t="n">
        <v>25343.912</v>
      </c>
    </row>
    <row r="6440">
      <c r="A6440" s="39">
        <f>_xlfn.XLOOKUP(17855,Trip[shape_id],Trip[shape_id],"Não encontrado")</f>
        <v/>
      </c>
      <c r="B6440" s="40" t="n">
        <v>-23.545651</v>
      </c>
      <c r="C6440" s="40" t="n">
        <v>-46.403515</v>
      </c>
      <c r="D6440" s="40" t="n">
        <v>261</v>
      </c>
      <c r="E6440" s="41" t="n">
        <v>25566.285</v>
      </c>
    </row>
    <row r="6441">
      <c r="A6441" s="42">
        <f>_xlfn.XLOOKUP(17855,Trip[shape_id],Trip[shape_id],"Não encontrado")</f>
        <v/>
      </c>
      <c r="B6441" s="43" t="n">
        <v>-23.545074</v>
      </c>
      <c r="C6441" s="43" t="n">
        <v>-46.405601</v>
      </c>
      <c r="D6441" s="43" t="n">
        <v>262</v>
      </c>
      <c r="E6441" s="44" t="n">
        <v>25667.76</v>
      </c>
    </row>
    <row r="6442">
      <c r="A6442" s="39">
        <f>_xlfn.XLOOKUP(17855,Trip[shape_id],Trip[shape_id],"Não encontrado")</f>
        <v/>
      </c>
      <c r="B6442" s="40" t="n">
        <v>-23.544808</v>
      </c>
      <c r="C6442" s="40" t="n">
        <v>-46.406552</v>
      </c>
      <c r="D6442" s="40" t="n">
        <v>263</v>
      </c>
      <c r="E6442" s="41" t="n">
        <v>25796.463</v>
      </c>
    </row>
    <row r="6443">
      <c r="A6443" s="42">
        <f>_xlfn.XLOOKUP(17855,Trip[shape_id],Trip[shape_id],"Não encontrado")</f>
        <v/>
      </c>
      <c r="B6443" s="43" t="n">
        <v>-23.544502</v>
      </c>
      <c r="C6443" s="43" t="n">
        <v>-46.407768</v>
      </c>
      <c r="D6443" s="43" t="n">
        <v>264</v>
      </c>
      <c r="E6443" s="44" t="n">
        <v>25895.203</v>
      </c>
    </row>
    <row r="6444">
      <c r="A6444" s="39">
        <f>_xlfn.XLOOKUP(17855,Trip[shape_id],Trip[shape_id],"Não encontrado")</f>
        <v/>
      </c>
      <c r="B6444" s="40" t="n">
        <v>-23.544183</v>
      </c>
      <c r="C6444" s="40" t="n">
        <v>-46.408671</v>
      </c>
      <c r="D6444" s="40" t="n">
        <v>265</v>
      </c>
      <c r="E6444" s="41" t="n">
        <v>26003.953</v>
      </c>
    </row>
    <row r="6445">
      <c r="A6445" s="42">
        <f>_xlfn.XLOOKUP(17855,Trip[shape_id],Trip[shape_id],"Não encontrado")</f>
        <v/>
      </c>
      <c r="B6445" s="43" t="n">
        <v>-23.543913</v>
      </c>
      <c r="C6445" s="43" t="n">
        <v>-46.409695</v>
      </c>
      <c r="D6445" s="43" t="n">
        <v>266</v>
      </c>
      <c r="E6445" s="44" t="n">
        <v>26154.133</v>
      </c>
    </row>
    <row r="6446">
      <c r="A6446" s="39">
        <f>_xlfn.XLOOKUP(17855,Trip[shape_id],Trip[shape_id],"Não encontrado")</f>
        <v/>
      </c>
      <c r="B6446" s="40" t="n">
        <v>-23.543543</v>
      </c>
      <c r="C6446" s="40" t="n">
        <v>-46.41111</v>
      </c>
      <c r="D6446" s="40" t="n">
        <v>267</v>
      </c>
      <c r="E6446" s="41" t="n">
        <v>26205.258</v>
      </c>
    </row>
    <row r="6447">
      <c r="A6447" s="42">
        <f>_xlfn.XLOOKUP(17855,Trip[shape_id],Trip[shape_id],"Não encontrado")</f>
        <v/>
      </c>
      <c r="B6447" s="43" t="n">
        <v>-23.543418</v>
      </c>
      <c r="C6447" s="43" t="n">
        <v>-46.411592</v>
      </c>
      <c r="D6447" s="43" t="n">
        <v>268</v>
      </c>
      <c r="E6447" s="44" t="n">
        <v>26331.49</v>
      </c>
    </row>
    <row r="6448">
      <c r="A6448" s="39">
        <f>_xlfn.XLOOKUP(17855,Trip[shape_id],Trip[shape_id],"Não encontrado")</f>
        <v/>
      </c>
      <c r="B6448" s="40" t="n">
        <v>-23.543126</v>
      </c>
      <c r="C6448" s="40" t="n">
        <v>-46.412787</v>
      </c>
      <c r="D6448" s="40" t="n">
        <v>269</v>
      </c>
      <c r="E6448" s="41" t="n">
        <v>26396.367</v>
      </c>
    </row>
    <row r="6449">
      <c r="A6449" s="42">
        <f>_xlfn.XLOOKUP(17855,Trip[shape_id],Trip[shape_id],"Não encontrado")</f>
        <v/>
      </c>
      <c r="B6449" s="43" t="n">
        <v>-23.542923</v>
      </c>
      <c r="C6449" s="43" t="n">
        <v>-46.413383</v>
      </c>
      <c r="D6449" s="43" t="n">
        <v>270</v>
      </c>
      <c r="E6449" s="44" t="n">
        <v>26460.08</v>
      </c>
    </row>
    <row r="6450">
      <c r="A6450" s="39">
        <f>_xlfn.XLOOKUP(17855,Trip[shape_id],Trip[shape_id],"Não encontrado")</f>
        <v/>
      </c>
      <c r="B6450" s="40" t="n">
        <v>-23.542744</v>
      </c>
      <c r="C6450" s="40" t="n">
        <v>-46.413976</v>
      </c>
      <c r="D6450" s="40" t="n">
        <v>271</v>
      </c>
      <c r="E6450" s="41" t="n">
        <v>26561.443</v>
      </c>
    </row>
    <row r="6451">
      <c r="A6451" s="42">
        <f>_xlfn.XLOOKUP(17855,Trip[shape_id],Trip[shape_id],"Não encontrado")</f>
        <v/>
      </c>
      <c r="B6451" s="43" t="n">
        <v>-23.542458</v>
      </c>
      <c r="C6451" s="43" t="n">
        <v>-46.414919</v>
      </c>
      <c r="D6451" s="43" t="n">
        <v>272</v>
      </c>
      <c r="E6451" s="44" t="n">
        <v>26630.455</v>
      </c>
    </row>
    <row r="6452">
      <c r="A6452" s="39">
        <f>_xlfn.XLOOKUP(17855,Trip[shape_id],Trip[shape_id],"Não encontrado")</f>
        <v/>
      </c>
      <c r="B6452" s="40" t="n">
        <v>-23.542308</v>
      </c>
      <c r="C6452" s="40" t="n">
        <v>-46.415575</v>
      </c>
      <c r="D6452" s="40" t="n">
        <v>273</v>
      </c>
      <c r="E6452" s="41" t="n">
        <v>26630.455</v>
      </c>
    </row>
    <row r="6453">
      <c r="A6453" s="42">
        <f>_xlfn.XLOOKUP(17855,Trip[shape_id],Trip[shape_id],"Não encontrado")</f>
        <v/>
      </c>
      <c r="B6453" s="43" t="n">
        <v>-23.542117</v>
      </c>
      <c r="C6453" s="43" t="n">
        <v>-46.416411</v>
      </c>
      <c r="D6453" s="43" t="n">
        <v>274</v>
      </c>
      <c r="E6453" s="44" t="n">
        <v>26718.4</v>
      </c>
    </row>
    <row r="6454">
      <c r="A6454" s="39">
        <f>_xlfn.XLOOKUP(17855,Trip[shape_id],Trip[shape_id],"Não encontrado")</f>
        <v/>
      </c>
      <c r="B6454" s="40" t="n">
        <v>-23.541738</v>
      </c>
      <c r="C6454" s="40" t="n">
        <v>-46.41848</v>
      </c>
      <c r="D6454" s="40" t="n">
        <v>275</v>
      </c>
      <c r="E6454" s="41" t="n">
        <v>26933.793</v>
      </c>
    </row>
    <row r="6455">
      <c r="A6455" s="42">
        <f>_xlfn.XLOOKUP(17855,Trip[shape_id],Trip[shape_id],"Não encontrado")</f>
        <v/>
      </c>
      <c r="B6455" s="43" t="n">
        <v>-23.541362</v>
      </c>
      <c r="C6455" s="43" t="n">
        <v>-46.419614</v>
      </c>
      <c r="D6455" s="43" t="n">
        <v>276</v>
      </c>
      <c r="E6455" s="44" t="n">
        <v>27056.846</v>
      </c>
    </row>
    <row r="6456">
      <c r="A6456" s="39">
        <f>_xlfn.XLOOKUP(17855,Trip[shape_id],Trip[shape_id],"Não encontrado")</f>
        <v/>
      </c>
      <c r="B6456" s="40" t="n">
        <v>-23.541042</v>
      </c>
      <c r="C6456" s="40" t="n">
        <v>-46.420312</v>
      </c>
      <c r="D6456" s="40" t="n">
        <v>277</v>
      </c>
      <c r="E6456" s="41" t="n">
        <v>27136.443</v>
      </c>
    </row>
    <row r="6457">
      <c r="A6457" s="42">
        <f>_xlfn.XLOOKUP(17855,Trip[shape_id],Trip[shape_id],"Não encontrado")</f>
        <v/>
      </c>
      <c r="B6457" s="43" t="n">
        <v>-23.540853</v>
      </c>
      <c r="C6457" s="43" t="n">
        <v>-46.420682</v>
      </c>
      <c r="D6457" s="43" t="n">
        <v>278</v>
      </c>
      <c r="E6457" s="44" t="n">
        <v>27179.635</v>
      </c>
    </row>
    <row r="6458">
      <c r="A6458" s="39">
        <f>_xlfn.XLOOKUP(17855,Trip[shape_id],Trip[shape_id],"Não encontrado")</f>
        <v/>
      </c>
      <c r="B6458" s="40" t="n">
        <v>-23.540709</v>
      </c>
      <c r="C6458" s="40" t="n">
        <v>-46.421014</v>
      </c>
      <c r="D6458" s="40" t="n">
        <v>279</v>
      </c>
      <c r="E6458" s="41" t="n">
        <v>27217.1</v>
      </c>
    </row>
    <row r="6459">
      <c r="A6459" s="42">
        <f>_xlfn.XLOOKUP(17855,Trip[shape_id],Trip[shape_id],"Não encontrado")</f>
        <v/>
      </c>
      <c r="B6459" s="43" t="n">
        <v>-23.540446</v>
      </c>
      <c r="C6459" s="43" t="n">
        <v>-46.421564</v>
      </c>
      <c r="D6459" s="43" t="n">
        <v>280</v>
      </c>
      <c r="E6459" s="44" t="n">
        <v>27280.363</v>
      </c>
    </row>
    <row r="6460">
      <c r="A6460" s="39">
        <f>_xlfn.XLOOKUP(17855,Trip[shape_id],Trip[shape_id],"Não encontrado")</f>
        <v/>
      </c>
      <c r="B6460" s="40" t="n">
        <v>-23.540321</v>
      </c>
      <c r="C6460" s="40" t="n">
        <v>-46.421777</v>
      </c>
      <c r="D6460" s="40" t="n">
        <v>281</v>
      </c>
      <c r="E6460" s="41" t="n">
        <v>27306.145</v>
      </c>
    </row>
    <row r="6461">
      <c r="A6461" s="42">
        <f>_xlfn.XLOOKUP(17855,Trip[shape_id],Trip[shape_id],"Não encontrado")</f>
        <v/>
      </c>
      <c r="B6461" s="43" t="n">
        <v>-23.54013</v>
      </c>
      <c r="C6461" s="43" t="n">
        <v>-46.422105</v>
      </c>
      <c r="D6461" s="43" t="n">
        <v>282</v>
      </c>
      <c r="E6461" s="44" t="n">
        <v>27345.758</v>
      </c>
    </row>
    <row r="6462">
      <c r="A6462" s="39">
        <f>_xlfn.XLOOKUP(17855,Trip[shape_id],Trip[shape_id],"Não encontrado")</f>
        <v/>
      </c>
      <c r="B6462" s="40" t="n">
        <v>-23.539722</v>
      </c>
      <c r="C6462" s="40" t="n">
        <v>-46.422776</v>
      </c>
      <c r="D6462" s="40" t="n">
        <v>283</v>
      </c>
      <c r="E6462" s="41" t="n">
        <v>27427.832</v>
      </c>
    </row>
    <row r="6463">
      <c r="A6463" s="42">
        <f>_xlfn.XLOOKUP(17855,Trip[shape_id],Trip[shape_id],"Não encontrado")</f>
        <v/>
      </c>
      <c r="B6463" s="43" t="n">
        <v>-23.539547</v>
      </c>
      <c r="C6463" s="43" t="n">
        <v>-46.423174</v>
      </c>
      <c r="D6463" s="43" t="n">
        <v>284</v>
      </c>
      <c r="E6463" s="44" t="n">
        <v>27472.857</v>
      </c>
    </row>
    <row r="6464">
      <c r="A6464" s="39">
        <f>_xlfn.XLOOKUP(17855,Trip[shape_id],Trip[shape_id],"Não encontrado")</f>
        <v/>
      </c>
      <c r="B6464" s="40" t="n">
        <v>-23.539384</v>
      </c>
      <c r="C6464" s="40" t="n">
        <v>-46.423556</v>
      </c>
      <c r="D6464" s="40" t="n">
        <v>285</v>
      </c>
      <c r="E6464" s="41" t="n">
        <v>27515.838</v>
      </c>
    </row>
    <row r="6465">
      <c r="A6465" s="42">
        <f>_xlfn.XLOOKUP(17855,Trip[shape_id],Trip[shape_id],"Não encontrado")</f>
        <v/>
      </c>
      <c r="B6465" s="43" t="n">
        <v>-23.538991</v>
      </c>
      <c r="C6465" s="43" t="n">
        <v>-46.425017</v>
      </c>
      <c r="D6465" s="43" t="n">
        <v>286</v>
      </c>
      <c r="E6465" s="44" t="n">
        <v>27671.242</v>
      </c>
    </row>
    <row r="6466">
      <c r="A6466" s="39">
        <f>_xlfn.XLOOKUP(17855,Trip[shape_id],Trip[shape_id],"Não encontrado")</f>
        <v/>
      </c>
      <c r="B6466" s="40" t="n">
        <v>-23.538594</v>
      </c>
      <c r="C6466" s="40" t="n">
        <v>-46.426485</v>
      </c>
      <c r="D6466" s="40" t="n">
        <v>287</v>
      </c>
      <c r="E6466" s="41" t="n">
        <v>27827.457</v>
      </c>
    </row>
    <row r="6467">
      <c r="A6467" s="42">
        <f>_xlfn.XLOOKUP(17855,Trip[shape_id],Trip[shape_id],"Não encontrado")</f>
        <v/>
      </c>
      <c r="B6467" s="43" t="n">
        <v>-23.538475</v>
      </c>
      <c r="C6467" s="43" t="n">
        <v>-46.427496</v>
      </c>
      <c r="D6467" s="43" t="n">
        <v>288</v>
      </c>
      <c r="E6467" s="44" t="n">
        <v>27931.529</v>
      </c>
    </row>
    <row r="6468">
      <c r="A6468" s="39">
        <f>_xlfn.XLOOKUP(17855,Trip[shape_id],Trip[shape_id],"Não encontrado")</f>
        <v/>
      </c>
      <c r="B6468" s="40" t="n">
        <v>-23.538485</v>
      </c>
      <c r="C6468" s="40" t="n">
        <v>-46.42773</v>
      </c>
      <c r="D6468" s="40" t="n">
        <v>289</v>
      </c>
      <c r="E6468" s="41" t="n">
        <v>27955.449</v>
      </c>
    </row>
    <row r="6469">
      <c r="A6469" s="42">
        <f>_xlfn.XLOOKUP(17855,Trip[shape_id],Trip[shape_id],"Não encontrado")</f>
        <v/>
      </c>
      <c r="B6469" s="43" t="n">
        <v>-23.538529</v>
      </c>
      <c r="C6469" s="43" t="n">
        <v>-46.428984</v>
      </c>
      <c r="D6469" s="43" t="n">
        <v>290</v>
      </c>
      <c r="E6469" s="44" t="n">
        <v>28083.59</v>
      </c>
    </row>
    <row r="6470">
      <c r="A6470" s="39">
        <f>_xlfn.XLOOKUP(17855,Trip[shape_id],Trip[shape_id],"Não encontrado")</f>
        <v/>
      </c>
      <c r="B6470" s="40" t="n">
        <v>-23.538609</v>
      </c>
      <c r="C6470" s="40" t="n">
        <v>-46.429412</v>
      </c>
      <c r="D6470" s="40" t="n">
        <v>291</v>
      </c>
      <c r="E6470" s="41" t="n">
        <v>28128.182</v>
      </c>
    </row>
    <row r="6471">
      <c r="A6471" s="42">
        <f>_xlfn.XLOOKUP(17855,Trip[shape_id],Trip[shape_id],"Não encontrado")</f>
        <v/>
      </c>
      <c r="B6471" s="43" t="n">
        <v>-23.538711</v>
      </c>
      <c r="C6471" s="43" t="n">
        <v>-46.429965</v>
      </c>
      <c r="D6471" s="43" t="n">
        <v>292</v>
      </c>
      <c r="E6471" s="44" t="n">
        <v>28185.768</v>
      </c>
    </row>
    <row r="6472">
      <c r="A6472" s="39">
        <f>_xlfn.XLOOKUP(17855,Trip[shape_id],Trip[shape_id],"Não encontrado")</f>
        <v/>
      </c>
      <c r="B6472" s="40" t="n">
        <v>-23.538834</v>
      </c>
      <c r="C6472" s="40" t="n">
        <v>-46.430581</v>
      </c>
      <c r="D6472" s="40" t="n">
        <v>293</v>
      </c>
      <c r="E6472" s="41" t="n">
        <v>28250.127</v>
      </c>
    </row>
    <row r="6473">
      <c r="A6473" s="42">
        <f>_xlfn.XLOOKUP(17855,Trip[shape_id],Trip[shape_id],"Não encontrado")</f>
        <v/>
      </c>
      <c r="B6473" s="43" t="n">
        <v>-23.538895</v>
      </c>
      <c r="C6473" s="43" t="n">
        <v>-46.43088</v>
      </c>
      <c r="D6473" s="43" t="n">
        <v>294</v>
      </c>
      <c r="E6473" s="44" t="n">
        <v>28281.396</v>
      </c>
    </row>
    <row r="6474">
      <c r="A6474" s="39">
        <f>_xlfn.XLOOKUP(17855,Trip[shape_id],Trip[shape_id],"Não encontrado")</f>
        <v/>
      </c>
      <c r="B6474" s="40" t="n">
        <v>-23.539121</v>
      </c>
      <c r="C6474" s="40" t="n">
        <v>-46.431641</v>
      </c>
      <c r="D6474" s="40" t="n">
        <v>295</v>
      </c>
      <c r="E6474" s="41" t="n">
        <v>28363.035</v>
      </c>
    </row>
    <row r="6475">
      <c r="A6475" s="42">
        <f>_xlfn.XLOOKUP(17855,Trip[shape_id],Trip[shape_id],"Não encontrado")</f>
        <v/>
      </c>
      <c r="B6475" s="43" t="n">
        <v>-23.539219</v>
      </c>
      <c r="C6475" s="43" t="n">
        <v>-46.431974</v>
      </c>
      <c r="D6475" s="43" t="n">
        <v>296</v>
      </c>
      <c r="E6475" s="44" t="n">
        <v>28398.729</v>
      </c>
    </row>
    <row r="6476">
      <c r="A6476" s="39">
        <f>_xlfn.XLOOKUP(17855,Trip[shape_id],Trip[shape_id],"Não encontrado")</f>
        <v/>
      </c>
      <c r="B6476" s="40" t="n">
        <v>-23.53939</v>
      </c>
      <c r="C6476" s="40" t="n">
        <v>-46.432555</v>
      </c>
      <c r="D6476" s="40" t="n">
        <v>297</v>
      </c>
      <c r="E6476" s="41" t="n">
        <v>28461.004</v>
      </c>
    </row>
    <row r="6477">
      <c r="A6477" s="42">
        <f>_xlfn.XLOOKUP(17855,Trip[shape_id],Trip[shape_id],"Não encontrado")</f>
        <v/>
      </c>
      <c r="B6477" s="43" t="n">
        <v>-23.539544</v>
      </c>
      <c r="C6477" s="43" t="n">
        <v>-46.433116</v>
      </c>
      <c r="D6477" s="43" t="n">
        <v>298</v>
      </c>
      <c r="E6477" s="44" t="n">
        <v>28520.773</v>
      </c>
    </row>
    <row r="6478">
      <c r="A6478" s="39">
        <f>_xlfn.XLOOKUP(17855,Trip[shape_id],Trip[shape_id],"Não encontrado")</f>
        <v/>
      </c>
      <c r="B6478" s="40" t="n">
        <v>-23.540076</v>
      </c>
      <c r="C6478" s="40" t="n">
        <v>-46.435078</v>
      </c>
      <c r="D6478" s="40" t="n">
        <v>299</v>
      </c>
      <c r="E6478" s="41" t="n">
        <v>28729.598</v>
      </c>
    </row>
    <row r="6479">
      <c r="A6479" s="42">
        <f>_xlfn.XLOOKUP(17855,Trip[shape_id],Trip[shape_id],"Não encontrado")</f>
        <v/>
      </c>
      <c r="B6479" s="43" t="n">
        <v>-23.540152</v>
      </c>
      <c r="C6479" s="43" t="n">
        <v>-46.435369</v>
      </c>
      <c r="D6479" s="43" t="n">
        <v>300</v>
      </c>
      <c r="E6479" s="44" t="n">
        <v>28760.48</v>
      </c>
    </row>
    <row r="6480">
      <c r="A6480" s="39">
        <f>_xlfn.XLOOKUP(17855,Trip[shape_id],Trip[shape_id],"Não encontrado")</f>
        <v/>
      </c>
      <c r="B6480" s="40" t="n">
        <v>-23.54072</v>
      </c>
      <c r="C6480" s="40" t="n">
        <v>-46.437806</v>
      </c>
      <c r="D6480" s="40" t="n">
        <v>301</v>
      </c>
      <c r="E6480" s="41" t="n">
        <v>29017.15</v>
      </c>
    </row>
    <row r="6481">
      <c r="A6481" s="42">
        <f>_xlfn.XLOOKUP(17855,Trip[shape_id],Trip[shape_id],"Não encontrado")</f>
        <v/>
      </c>
      <c r="B6481" s="43" t="n">
        <v>-23.541061</v>
      </c>
      <c r="C6481" s="43" t="n">
        <v>-46.439268</v>
      </c>
      <c r="D6481" s="43" t="n">
        <v>302</v>
      </c>
      <c r="E6481" s="44" t="n">
        <v>29171.137</v>
      </c>
    </row>
    <row r="6482">
      <c r="A6482" s="39">
        <f>_xlfn.XLOOKUP(17855,Trip[shape_id],Trip[shape_id],"Não encontrado")</f>
        <v/>
      </c>
      <c r="B6482" s="40" t="n">
        <v>-23.541227</v>
      </c>
      <c r="C6482" s="40" t="n">
        <v>-46.440459</v>
      </c>
      <c r="D6482" s="40" t="n">
        <v>303</v>
      </c>
      <c r="E6482" s="41" t="n">
        <v>29294.131</v>
      </c>
    </row>
    <row r="6483">
      <c r="A6483" s="42">
        <f>_xlfn.XLOOKUP(17855,Trip[shape_id],Trip[shape_id],"Não encontrado")</f>
        <v/>
      </c>
      <c r="B6483" s="43" t="n">
        <v>-23.541299</v>
      </c>
      <c r="C6483" s="43" t="n">
        <v>-46.440972</v>
      </c>
      <c r="D6483" s="43" t="n">
        <v>304</v>
      </c>
      <c r="E6483" s="44" t="n">
        <v>29347.117</v>
      </c>
    </row>
    <row r="6484">
      <c r="A6484" s="39">
        <f>_xlfn.XLOOKUP(17855,Trip[shape_id],Trip[shape_id],"Não encontrado")</f>
        <v/>
      </c>
      <c r="B6484" s="40" t="n">
        <v>-23.541502</v>
      </c>
      <c r="C6484" s="40" t="n">
        <v>-46.442196</v>
      </c>
      <c r="D6484" s="40" t="n">
        <v>305</v>
      </c>
      <c r="E6484" s="41" t="n">
        <v>29474.105</v>
      </c>
    </row>
    <row r="6485">
      <c r="A6485" s="42">
        <f>_xlfn.XLOOKUP(17855,Trip[shape_id],Trip[shape_id],"Não encontrado")</f>
        <v/>
      </c>
      <c r="B6485" s="43" t="n">
        <v>-23.541511</v>
      </c>
      <c r="C6485" s="43" t="n">
        <v>-46.442272</v>
      </c>
      <c r="D6485" s="43" t="n">
        <v>306</v>
      </c>
      <c r="E6485" s="44" t="n">
        <v>29481.93</v>
      </c>
    </row>
    <row r="6486">
      <c r="A6486" s="39">
        <f>_xlfn.XLOOKUP(17855,Trip[shape_id],Trip[shape_id],"Não encontrado")</f>
        <v/>
      </c>
      <c r="B6486" s="40" t="n">
        <v>-23.541566</v>
      </c>
      <c r="C6486" s="40" t="n">
        <v>-46.442802</v>
      </c>
      <c r="D6486" s="40" t="n">
        <v>307</v>
      </c>
      <c r="E6486" s="41" t="n">
        <v>29536.389</v>
      </c>
    </row>
    <row r="6487">
      <c r="A6487" s="42">
        <f>_xlfn.XLOOKUP(17855,Trip[shape_id],Trip[shape_id],"Não encontrado")</f>
        <v/>
      </c>
      <c r="B6487" s="43" t="n">
        <v>-23.541639</v>
      </c>
      <c r="C6487" s="43" t="n">
        <v>-46.443531</v>
      </c>
      <c r="D6487" s="43" t="n">
        <v>308</v>
      </c>
      <c r="E6487" s="44" t="n">
        <v>29611.264</v>
      </c>
    </row>
    <row r="6488">
      <c r="A6488" s="39">
        <f>_xlfn.XLOOKUP(17855,Trip[shape_id],Trip[shape_id],"Não encontrado")</f>
        <v/>
      </c>
      <c r="B6488" s="40" t="n">
        <v>-23.541696</v>
      </c>
      <c r="C6488" s="40" t="n">
        <v>-46.444099</v>
      </c>
      <c r="D6488" s="40" t="n">
        <v>309</v>
      </c>
      <c r="E6488" s="41" t="n">
        <v>29669.604</v>
      </c>
    </row>
    <row r="6489">
      <c r="A6489" s="42">
        <f>_xlfn.XLOOKUP(17855,Trip[shape_id],Trip[shape_id],"Não encontrado")</f>
        <v/>
      </c>
      <c r="B6489" s="43" t="n">
        <v>-23.541727</v>
      </c>
      <c r="C6489" s="43" t="n">
        <v>-46.444439</v>
      </c>
      <c r="D6489" s="43" t="n">
        <v>310</v>
      </c>
      <c r="E6489" s="44" t="n">
        <v>29704.49</v>
      </c>
    </row>
    <row r="6490">
      <c r="A6490" s="39">
        <f>_xlfn.XLOOKUP(17855,Trip[shape_id],Trip[shape_id],"Não encontrado")</f>
        <v/>
      </c>
      <c r="B6490" s="40" t="n">
        <v>-23.541801</v>
      </c>
      <c r="C6490" s="40" t="n">
        <v>-46.445214</v>
      </c>
      <c r="D6490" s="40" t="n">
        <v>311</v>
      </c>
      <c r="E6490" s="41" t="n">
        <v>29784.049</v>
      </c>
    </row>
    <row r="6491">
      <c r="A6491" s="42">
        <f>_xlfn.XLOOKUP(17855,Trip[shape_id],Trip[shape_id],"Não encontrado")</f>
        <v/>
      </c>
      <c r="B6491" s="43" t="n">
        <v>-23.5418</v>
      </c>
      <c r="C6491" s="43" t="n">
        <v>-46.445654</v>
      </c>
      <c r="D6491" s="43" t="n">
        <v>312</v>
      </c>
      <c r="E6491" s="44" t="n">
        <v>29828.977</v>
      </c>
    </row>
    <row r="6492">
      <c r="A6492" s="39">
        <f>_xlfn.XLOOKUP(17855,Trip[shape_id],Trip[shape_id],"Não encontrado")</f>
        <v/>
      </c>
      <c r="B6492" s="40" t="n">
        <v>-23.541801</v>
      </c>
      <c r="C6492" s="40" t="n">
        <v>-46.446959</v>
      </c>
      <c r="D6492" s="40" t="n">
        <v>313</v>
      </c>
      <c r="E6492" s="41" t="n">
        <v>29962.229</v>
      </c>
    </row>
    <row r="6493">
      <c r="A6493" s="42">
        <f>_xlfn.XLOOKUP(17855,Trip[shape_id],Trip[shape_id],"Não encontrado")</f>
        <v/>
      </c>
      <c r="B6493" s="43" t="n">
        <v>-23.541771</v>
      </c>
      <c r="C6493" s="43" t="n">
        <v>-46.447785</v>
      </c>
      <c r="D6493" s="43" t="n">
        <v>314</v>
      </c>
      <c r="E6493" s="44" t="n">
        <v>30046.637</v>
      </c>
    </row>
    <row r="6494">
      <c r="A6494" s="39">
        <f>_xlfn.XLOOKUP(17855,Trip[shape_id],Trip[shape_id],"Não encontrado")</f>
        <v/>
      </c>
      <c r="B6494" s="40" t="n">
        <v>-23.541758</v>
      </c>
      <c r="C6494" s="40" t="n">
        <v>-46.448151</v>
      </c>
      <c r="D6494" s="40" t="n">
        <v>315</v>
      </c>
      <c r="E6494" s="41" t="n">
        <v>30084.037</v>
      </c>
    </row>
    <row r="6495">
      <c r="A6495" s="42">
        <f>_xlfn.XLOOKUP(17855,Trip[shape_id],Trip[shape_id],"Não encontrado")</f>
        <v/>
      </c>
      <c r="B6495" s="43" t="n">
        <v>-23.541752</v>
      </c>
      <c r="C6495" s="43" t="n">
        <v>-46.448286</v>
      </c>
      <c r="D6495" s="43" t="n">
        <v>316</v>
      </c>
      <c r="E6495" s="44" t="n">
        <v>30097.838</v>
      </c>
    </row>
    <row r="6496">
      <c r="A6496" s="39">
        <f>_xlfn.XLOOKUP(17855,Trip[shape_id],Trip[shape_id],"Não encontrado")</f>
        <v/>
      </c>
      <c r="B6496" s="40" t="n">
        <v>-23.54175</v>
      </c>
      <c r="C6496" s="40" t="n">
        <v>-46.448467</v>
      </c>
      <c r="D6496" s="40" t="n">
        <v>317</v>
      </c>
      <c r="E6496" s="41" t="n">
        <v>30116.32</v>
      </c>
    </row>
    <row r="6497">
      <c r="A6497" s="42">
        <f>_xlfn.XLOOKUP(17855,Trip[shape_id],Trip[shape_id],"Não encontrado")</f>
        <v/>
      </c>
      <c r="B6497" s="43" t="n">
        <v>-23.541747</v>
      </c>
      <c r="C6497" s="43" t="n">
        <v>-46.449224</v>
      </c>
      <c r="D6497" s="43" t="n">
        <v>318</v>
      </c>
      <c r="E6497" s="44" t="n">
        <v>30193.617</v>
      </c>
    </row>
    <row r="6498">
      <c r="A6498" s="39">
        <f>_xlfn.XLOOKUP(17855,Trip[shape_id],Trip[shape_id],"Não encontrado")</f>
        <v/>
      </c>
      <c r="B6498" s="40" t="n">
        <v>-23.541742</v>
      </c>
      <c r="C6498" s="40" t="n">
        <v>-46.449947</v>
      </c>
      <c r="D6498" s="40" t="n">
        <v>319</v>
      </c>
      <c r="E6498" s="41" t="n">
        <v>30267.443</v>
      </c>
    </row>
    <row r="6499">
      <c r="A6499" s="42">
        <f>_xlfn.XLOOKUP(17855,Trip[shape_id],Trip[shape_id],"Não encontrado")</f>
        <v/>
      </c>
      <c r="B6499" s="43" t="n">
        <v>-23.541738</v>
      </c>
      <c r="C6499" s="43" t="n">
        <v>-46.450153</v>
      </c>
      <c r="D6499" s="43" t="n">
        <v>320</v>
      </c>
      <c r="E6499" s="44" t="n">
        <v>30288.482</v>
      </c>
    </row>
    <row r="6500">
      <c r="A6500" s="39">
        <f>_xlfn.XLOOKUP(17855,Trip[shape_id],Trip[shape_id],"Não encontrado")</f>
        <v/>
      </c>
      <c r="B6500" s="40" t="n">
        <v>-23.541695</v>
      </c>
      <c r="C6500" s="40" t="n">
        <v>-46.451253</v>
      </c>
      <c r="D6500" s="40" t="n">
        <v>321</v>
      </c>
      <c r="E6500" s="41" t="n">
        <v>30400.902</v>
      </c>
    </row>
    <row r="6501">
      <c r="A6501" s="42">
        <f>_xlfn.XLOOKUP(17855,Trip[shape_id],Trip[shape_id],"Não encontrado")</f>
        <v/>
      </c>
      <c r="B6501" s="43" t="n">
        <v>-23.541678</v>
      </c>
      <c r="C6501" s="43" t="n">
        <v>-46.451694</v>
      </c>
      <c r="D6501" s="43" t="n">
        <v>322</v>
      </c>
      <c r="E6501" s="44" t="n">
        <v>30445.973</v>
      </c>
    </row>
    <row r="6502">
      <c r="A6502" s="39">
        <f>_xlfn.XLOOKUP(17855,Trip[shape_id],Trip[shape_id],"Não encontrado")</f>
        <v/>
      </c>
      <c r="B6502" s="40" t="n">
        <v>-23.541586</v>
      </c>
      <c r="C6502" s="40" t="n">
        <v>-46.45296</v>
      </c>
      <c r="D6502" s="40" t="n">
        <v>323</v>
      </c>
      <c r="E6502" s="41" t="n">
        <v>30575.643</v>
      </c>
    </row>
    <row r="6503">
      <c r="A6503" s="42">
        <f>_xlfn.XLOOKUP(17855,Trip[shape_id],Trip[shape_id],"Não encontrado")</f>
        <v/>
      </c>
      <c r="B6503" s="43" t="n">
        <v>-23.541574</v>
      </c>
      <c r="C6503" s="43" t="n">
        <v>-46.453096</v>
      </c>
      <c r="D6503" s="43" t="n">
        <v>324</v>
      </c>
      <c r="E6503" s="44" t="n">
        <v>30589.594</v>
      </c>
    </row>
    <row r="6504">
      <c r="A6504" s="39">
        <f>_xlfn.XLOOKUP(17855,Trip[shape_id],Trip[shape_id],"Não encontrado")</f>
        <v/>
      </c>
      <c r="B6504" s="40" t="n">
        <v>-23.541542</v>
      </c>
      <c r="C6504" s="40" t="n">
        <v>-46.453417</v>
      </c>
      <c r="D6504" s="40" t="n">
        <v>325</v>
      </c>
      <c r="E6504" s="41" t="n">
        <v>30622.563</v>
      </c>
    </row>
    <row r="6505">
      <c r="A6505" s="42">
        <f>_xlfn.XLOOKUP(17855,Trip[shape_id],Trip[shape_id],"Não encontrado")</f>
        <v/>
      </c>
      <c r="B6505" s="43" t="n">
        <v>-23.541498</v>
      </c>
      <c r="C6505" s="43" t="n">
        <v>-46.453829</v>
      </c>
      <c r="D6505" s="43" t="n">
        <v>326</v>
      </c>
      <c r="E6505" s="44" t="n">
        <v>30664.912</v>
      </c>
    </row>
    <row r="6506">
      <c r="A6506" s="39">
        <f>_xlfn.XLOOKUP(17855,Trip[shape_id],Trip[shape_id],"Não encontrado")</f>
        <v/>
      </c>
      <c r="B6506" s="40" t="n">
        <v>-23.541436</v>
      </c>
      <c r="C6506" s="40" t="n">
        <v>-46.454405</v>
      </c>
      <c r="D6506" s="40" t="n">
        <v>327</v>
      </c>
      <c r="E6506" s="41" t="n">
        <v>30724.127</v>
      </c>
    </row>
    <row r="6507">
      <c r="A6507" s="42">
        <f>_xlfn.XLOOKUP(17855,Trip[shape_id],Trip[shape_id],"Não encontrado")</f>
        <v/>
      </c>
      <c r="B6507" s="43" t="n">
        <v>-23.54141</v>
      </c>
      <c r="C6507" s="43" t="n">
        <v>-46.454635</v>
      </c>
      <c r="D6507" s="43" t="n">
        <v>328</v>
      </c>
      <c r="E6507" s="44" t="n">
        <v>30747.789</v>
      </c>
    </row>
    <row r="6508">
      <c r="A6508" s="39">
        <f>_xlfn.XLOOKUP(17855,Trip[shape_id],Trip[shape_id],"Não encontrado")</f>
        <v/>
      </c>
      <c r="B6508" s="40" t="n">
        <v>-23.541374</v>
      </c>
      <c r="C6508" s="40" t="n">
        <v>-46.454932</v>
      </c>
      <c r="D6508" s="40" t="n">
        <v>329</v>
      </c>
      <c r="E6508" s="41" t="n">
        <v>30778.377</v>
      </c>
    </row>
    <row r="6509">
      <c r="A6509" s="42">
        <f>_xlfn.XLOOKUP(17855,Trip[shape_id],Trip[shape_id],"Não encontrado")</f>
        <v/>
      </c>
      <c r="B6509" s="43" t="n">
        <v>-23.541254</v>
      </c>
      <c r="C6509" s="43" t="n">
        <v>-46.455871</v>
      </c>
      <c r="D6509" s="43" t="n">
        <v>330</v>
      </c>
      <c r="E6509" s="44" t="n">
        <v>30875.174</v>
      </c>
    </row>
    <row r="6510">
      <c r="A6510" s="39">
        <f>_xlfn.XLOOKUP(17855,Trip[shape_id],Trip[shape_id],"Não encontrado")</f>
        <v/>
      </c>
      <c r="B6510" s="40" t="n">
        <v>-23.540992</v>
      </c>
      <c r="C6510" s="40" t="n">
        <v>-46.457223</v>
      </c>
      <c r="D6510" s="40" t="n">
        <v>331</v>
      </c>
      <c r="E6510" s="41" t="n">
        <v>31016.242</v>
      </c>
    </row>
    <row r="6511">
      <c r="A6511" s="42">
        <f>_xlfn.XLOOKUP(17855,Trip[shape_id],Trip[shape_id],"Não encontrado")</f>
        <v/>
      </c>
      <c r="B6511" s="43" t="n">
        <v>-23.540837</v>
      </c>
      <c r="C6511" s="43" t="n">
        <v>-46.458018</v>
      </c>
      <c r="D6511" s="43" t="n">
        <v>332</v>
      </c>
      <c r="E6511" s="44" t="n">
        <v>31099.215</v>
      </c>
    </row>
    <row r="6512">
      <c r="A6512" s="39">
        <f>_xlfn.XLOOKUP(17855,Trip[shape_id],Trip[shape_id],"Não encontrado")</f>
        <v/>
      </c>
      <c r="B6512" s="40" t="n">
        <v>-23.540807</v>
      </c>
      <c r="C6512" s="40" t="n">
        <v>-46.458159</v>
      </c>
      <c r="D6512" s="40" t="n">
        <v>333</v>
      </c>
      <c r="E6512" s="41" t="n">
        <v>31113.99</v>
      </c>
    </row>
    <row r="6513">
      <c r="A6513" s="42">
        <f>_xlfn.XLOOKUP(17855,Trip[shape_id],Trip[shape_id],"Não encontrado")</f>
        <v/>
      </c>
      <c r="B6513" s="43" t="n">
        <v>-23.540504</v>
      </c>
      <c r="C6513" s="43" t="n">
        <v>-46.459447</v>
      </c>
      <c r="D6513" s="43" t="n">
        <v>334</v>
      </c>
      <c r="E6513" s="44" t="n">
        <v>31249.721</v>
      </c>
    </row>
    <row r="6514">
      <c r="A6514" s="39">
        <f>_xlfn.XLOOKUP(17855,Trip[shape_id],Trip[shape_id],"Não encontrado")</f>
        <v/>
      </c>
      <c r="B6514" s="40" t="n">
        <v>-23.540316</v>
      </c>
      <c r="C6514" s="40" t="n">
        <v>-46.460534</v>
      </c>
      <c r="D6514" s="40" t="n">
        <v>335</v>
      </c>
      <c r="E6514" s="41" t="n">
        <v>31362.65</v>
      </c>
    </row>
    <row r="6515">
      <c r="A6515" s="42">
        <f>_xlfn.XLOOKUP(17855,Trip[shape_id],Trip[shape_id],"Não encontrado")</f>
        <v/>
      </c>
      <c r="B6515" s="43" t="n">
        <v>-23.540262</v>
      </c>
      <c r="C6515" s="43" t="n">
        <v>-46.460835</v>
      </c>
      <c r="D6515" s="43" t="n">
        <v>336</v>
      </c>
      <c r="E6515" s="44" t="n">
        <v>31393.961</v>
      </c>
    </row>
    <row r="6516">
      <c r="A6516" s="39">
        <f>_xlfn.XLOOKUP(17855,Trip[shape_id],Trip[shape_id],"Não encontrado")</f>
        <v/>
      </c>
      <c r="B6516" s="40" t="n">
        <v>-23.54015</v>
      </c>
      <c r="C6516" s="40" t="n">
        <v>-46.461363</v>
      </c>
      <c r="D6516" s="40" t="n">
        <v>337</v>
      </c>
      <c r="E6516" s="41" t="n">
        <v>31449.283</v>
      </c>
    </row>
    <row r="6517">
      <c r="A6517" s="42">
        <f>_xlfn.XLOOKUP(17855,Trip[shape_id],Trip[shape_id],"Não encontrado")</f>
        <v/>
      </c>
      <c r="B6517" s="43" t="n">
        <v>-23.540115</v>
      </c>
      <c r="C6517" s="43" t="n">
        <v>-46.461871</v>
      </c>
      <c r="D6517" s="43" t="n">
        <v>338</v>
      </c>
      <c r="E6517" s="44" t="n">
        <v>31501.299</v>
      </c>
    </row>
    <row r="6518">
      <c r="A6518" s="39">
        <f>_xlfn.XLOOKUP(17855,Trip[shape_id],Trip[shape_id],"Não encontrado")</f>
        <v/>
      </c>
      <c r="B6518" s="40" t="n">
        <v>-23.540112</v>
      </c>
      <c r="C6518" s="40" t="n">
        <v>-46.462254</v>
      </c>
      <c r="D6518" s="40" t="n">
        <v>339</v>
      </c>
      <c r="E6518" s="41" t="n">
        <v>31540.408</v>
      </c>
    </row>
    <row r="6519">
      <c r="A6519" s="42">
        <f>_xlfn.XLOOKUP(17855,Trip[shape_id],Trip[shape_id],"Não encontrado")</f>
        <v/>
      </c>
      <c r="B6519" s="43" t="n">
        <v>-23.540124</v>
      </c>
      <c r="C6519" s="43" t="n">
        <v>-46.462547</v>
      </c>
      <c r="D6519" s="43" t="n">
        <v>340</v>
      </c>
      <c r="E6519" s="44" t="n">
        <v>31570.355</v>
      </c>
    </row>
    <row r="6520">
      <c r="A6520" s="39">
        <f>_xlfn.XLOOKUP(17855,Trip[shape_id],Trip[shape_id],"Não encontrado")</f>
        <v/>
      </c>
      <c r="B6520" s="40" t="n">
        <v>-23.540176</v>
      </c>
      <c r="C6520" s="40" t="n">
        <v>-46.462839</v>
      </c>
      <c r="D6520" s="40" t="n">
        <v>341</v>
      </c>
      <c r="E6520" s="41" t="n">
        <v>31600.723</v>
      </c>
    </row>
    <row r="6521">
      <c r="A6521" s="42">
        <f>_xlfn.XLOOKUP(17855,Trip[shape_id],Trip[shape_id],"Não encontrado")</f>
        <v/>
      </c>
      <c r="B6521" s="43" t="n">
        <v>-23.540243</v>
      </c>
      <c r="C6521" s="43" t="n">
        <v>-46.463191</v>
      </c>
      <c r="D6521" s="43" t="n">
        <v>342</v>
      </c>
      <c r="E6521" s="44" t="n">
        <v>31637.424</v>
      </c>
    </row>
    <row r="6522">
      <c r="A6522" s="39">
        <f>_xlfn.XLOOKUP(17855,Trip[shape_id],Trip[shape_id],"Não encontrado")</f>
        <v/>
      </c>
      <c r="B6522" s="40" t="n">
        <v>-23.54037</v>
      </c>
      <c r="C6522" s="40" t="n">
        <v>-46.463563</v>
      </c>
      <c r="D6522" s="40" t="n">
        <v>343</v>
      </c>
      <c r="E6522" s="41" t="n">
        <v>31677.93</v>
      </c>
    </row>
    <row r="6523">
      <c r="A6523" s="42">
        <f>_xlfn.XLOOKUP(17855,Trip[shape_id],Trip[shape_id],"Não encontrado")</f>
        <v/>
      </c>
      <c r="B6523" s="43" t="n">
        <v>-23.540415</v>
      </c>
      <c r="C6523" s="43" t="n">
        <v>-46.463686</v>
      </c>
      <c r="D6523" s="43" t="n">
        <v>344</v>
      </c>
      <c r="E6523" s="44" t="n">
        <v>31691.441</v>
      </c>
    </row>
    <row r="6524">
      <c r="A6524" s="39">
        <f>_xlfn.XLOOKUP(17855,Trip[shape_id],Trip[shape_id],"Não encontrado")</f>
        <v/>
      </c>
      <c r="B6524" s="40" t="n">
        <v>-23.540755</v>
      </c>
      <c r="C6524" s="40" t="n">
        <v>-46.464389</v>
      </c>
      <c r="D6524" s="40" t="n">
        <v>345</v>
      </c>
      <c r="E6524" s="41" t="n">
        <v>31772.502</v>
      </c>
    </row>
    <row r="6525">
      <c r="A6525" s="42">
        <f>_xlfn.XLOOKUP(17855,Trip[shape_id],Trip[shape_id],"Não encontrado")</f>
        <v/>
      </c>
      <c r="B6525" s="43" t="n">
        <v>-23.540981</v>
      </c>
      <c r="C6525" s="43" t="n">
        <v>-46.465005</v>
      </c>
      <c r="D6525" s="43" t="n">
        <v>346</v>
      </c>
      <c r="E6525" s="44" t="n">
        <v>31840.199</v>
      </c>
    </row>
    <row r="6526">
      <c r="A6526" s="39">
        <f>_xlfn.XLOOKUP(17855,Trip[shape_id],Trip[shape_id],"Não encontrado")</f>
        <v/>
      </c>
      <c r="B6526" s="40" t="n">
        <v>-23.541217</v>
      </c>
      <c r="C6526" s="40" t="n">
        <v>-46.465961</v>
      </c>
      <c r="D6526" s="40" t="n">
        <v>347</v>
      </c>
      <c r="E6526" s="41" t="n">
        <v>31941.254</v>
      </c>
    </row>
    <row r="6527">
      <c r="A6527" s="42">
        <f>_xlfn.XLOOKUP(17855,Trip[shape_id],Trip[shape_id],"Não encontrado")</f>
        <v/>
      </c>
      <c r="B6527" s="43" t="n">
        <v>-23.541354</v>
      </c>
      <c r="C6527" s="43" t="n">
        <v>-46.466846</v>
      </c>
      <c r="D6527" s="43" t="n">
        <v>348</v>
      </c>
      <c r="E6527" s="44" t="n">
        <v>32032.885</v>
      </c>
    </row>
    <row r="6528">
      <c r="A6528" s="39">
        <f>_xlfn.XLOOKUP(17855,Trip[shape_id],Trip[shape_id],"Não encontrado")</f>
        <v/>
      </c>
      <c r="B6528" s="40" t="n">
        <v>-23.541415</v>
      </c>
      <c r="C6528" s="40" t="n">
        <v>-46.467204</v>
      </c>
      <c r="D6528" s="40" t="n">
        <v>349</v>
      </c>
      <c r="E6528" s="41" t="n">
        <v>32070.059</v>
      </c>
    </row>
    <row r="6529">
      <c r="A6529" s="42">
        <f>_xlfn.XLOOKUP(17855,Trip[shape_id],Trip[shape_id],"Não encontrado")</f>
        <v/>
      </c>
      <c r="B6529" s="43" t="n">
        <v>-23.541566</v>
      </c>
      <c r="C6529" s="43" t="n">
        <v>-46.468213</v>
      </c>
      <c r="D6529" s="43" t="n">
        <v>350</v>
      </c>
      <c r="E6529" s="44" t="n">
        <v>32174.436</v>
      </c>
    </row>
    <row r="6530">
      <c r="A6530" s="39">
        <f>_xlfn.XLOOKUP(17855,Trip[shape_id],Trip[shape_id],"Não encontrado")</f>
        <v/>
      </c>
      <c r="B6530" s="40" t="n">
        <v>-23.541784</v>
      </c>
      <c r="C6530" s="40" t="n">
        <v>-46.469994</v>
      </c>
      <c r="D6530" s="40" t="n">
        <v>351</v>
      </c>
      <c r="E6530" s="41" t="n">
        <v>32357.887</v>
      </c>
    </row>
    <row r="6531">
      <c r="A6531" s="42">
        <f>_xlfn.XLOOKUP(17855,Trip[shape_id],Trip[shape_id],"Não encontrado")</f>
        <v/>
      </c>
      <c r="B6531" s="43" t="n">
        <v>-23.541942</v>
      </c>
      <c r="C6531" s="43" t="n">
        <v>-46.471006</v>
      </c>
      <c r="D6531" s="43" t="n">
        <v>352</v>
      </c>
      <c r="E6531" s="44" t="n">
        <v>32462.691</v>
      </c>
    </row>
    <row r="6532">
      <c r="A6532" s="39">
        <f>_xlfn.XLOOKUP(17855,Trip[shape_id],Trip[shape_id],"Não encontrado")</f>
        <v/>
      </c>
      <c r="B6532" s="40" t="n">
        <v>-23.541986</v>
      </c>
      <c r="C6532" s="40" t="n">
        <v>-46.471267</v>
      </c>
      <c r="D6532" s="40" t="n">
        <v>353</v>
      </c>
      <c r="E6532" s="41" t="n">
        <v>32489.783</v>
      </c>
    </row>
    <row r="6533">
      <c r="A6533" s="42">
        <f>_xlfn.XLOOKUP(17855,Trip[shape_id],Trip[shape_id],"Não encontrado")</f>
        <v/>
      </c>
      <c r="B6533" s="43" t="n">
        <v>-23.541994</v>
      </c>
      <c r="C6533" s="43" t="n">
        <v>-46.471602</v>
      </c>
      <c r="D6533" s="43" t="n">
        <v>354</v>
      </c>
      <c r="E6533" s="44" t="n">
        <v>32728.736</v>
      </c>
    </row>
    <row r="6534">
      <c r="A6534" s="39">
        <f>_xlfn.XLOOKUP(17855,Trip[shape_id],Trip[shape_id],"Não encontrado")</f>
        <v/>
      </c>
      <c r="B6534" s="40" t="n">
        <v>-23.542343</v>
      </c>
      <c r="C6534" s="40" t="n">
        <v>-46.473571</v>
      </c>
      <c r="D6534" s="40" t="n">
        <v>355</v>
      </c>
      <c r="E6534" s="41" t="n">
        <v>32810.863</v>
      </c>
    </row>
    <row r="6535">
      <c r="A6535" s="42">
        <f>_xlfn.XLOOKUP(17855,Trip[shape_id],Trip[shape_id],"Não encontrado")</f>
        <v/>
      </c>
      <c r="B6535" s="43" t="n">
        <v>-23.542538</v>
      </c>
      <c r="C6535" s="43" t="n">
        <v>-46.474347</v>
      </c>
      <c r="D6535" s="43" t="n">
        <v>356</v>
      </c>
      <c r="E6535" s="44" t="n">
        <v>32931.664</v>
      </c>
    </row>
    <row r="6536">
      <c r="A6536" s="39">
        <f>_xlfn.XLOOKUP(17855,Trip[shape_id],Trip[shape_id],"Não encontrado")</f>
        <v/>
      </c>
      <c r="B6536" s="40" t="n">
        <v>-23.542738</v>
      </c>
      <c r="C6536" s="40" t="n">
        <v>-46.47551</v>
      </c>
      <c r="D6536" s="40" t="n">
        <v>357</v>
      </c>
      <c r="E6536" s="41" t="n">
        <v>33009.492</v>
      </c>
    </row>
    <row r="6537">
      <c r="A6537" s="42">
        <f>_xlfn.XLOOKUP(17855,Trip[shape_id],Trip[shape_id],"Não encontrado")</f>
        <v/>
      </c>
      <c r="B6537" s="43" t="n">
        <v>-23.542841</v>
      </c>
      <c r="C6537" s="43" t="n">
        <v>-46.476264</v>
      </c>
      <c r="D6537" s="43" t="n">
        <v>358</v>
      </c>
      <c r="E6537" s="44" t="n">
        <v>33109.004</v>
      </c>
    </row>
    <row r="6538">
      <c r="A6538" s="39">
        <f>_xlfn.XLOOKUP(17855,Trip[shape_id],Trip[shape_id],"Não encontrado")</f>
        <v/>
      </c>
      <c r="B6538" s="40" t="n">
        <v>-23.54279</v>
      </c>
      <c r="C6538" s="40" t="n">
        <v>-46.477237</v>
      </c>
      <c r="D6538" s="40" t="n">
        <v>359</v>
      </c>
      <c r="E6538" s="41" t="n">
        <v>33162.285</v>
      </c>
    </row>
    <row r="6539">
      <c r="A6539" s="42">
        <f>_xlfn.XLOOKUP(17855,Trip[shape_id],Trip[shape_id],"Não encontrado")</f>
        <v/>
      </c>
      <c r="B6539" s="43" t="n">
        <v>-23.542707</v>
      </c>
      <c r="C6539" s="43" t="n">
        <v>-46.477751</v>
      </c>
      <c r="D6539" s="43" t="n">
        <v>360</v>
      </c>
      <c r="E6539" s="44" t="n">
        <v>33175</v>
      </c>
    </row>
    <row r="6540">
      <c r="A6540" s="39">
        <f>_xlfn.XLOOKUP(17855,Trip[shape_id],Trip[shape_id],"Não encontrado")</f>
        <v/>
      </c>
      <c r="B6540" s="40" t="n">
        <v>-23.542684</v>
      </c>
      <c r="C6540" s="40" t="n">
        <v>-46.477873</v>
      </c>
      <c r="D6540" s="40" t="n">
        <v>361</v>
      </c>
      <c r="E6540" s="41" t="n">
        <v>33256.941</v>
      </c>
    </row>
    <row r="6541">
      <c r="A6541" s="42">
        <f>_xlfn.XLOOKUP(17855,Trip[shape_id],Trip[shape_id],"Não encontrado")</f>
        <v/>
      </c>
      <c r="B6541" s="43" t="n">
        <v>-23.542526</v>
      </c>
      <c r="C6541" s="43" t="n">
        <v>-46.478657</v>
      </c>
      <c r="D6541" s="43" t="n">
        <v>362</v>
      </c>
      <c r="E6541" s="44" t="n">
        <v>33364.332</v>
      </c>
    </row>
    <row r="6542">
      <c r="A6542" s="39">
        <f>_xlfn.XLOOKUP(17855,Trip[shape_id],Trip[shape_id],"Não encontrado")</f>
        <v/>
      </c>
      <c r="B6542" s="40" t="n">
        <v>-23.542297</v>
      </c>
      <c r="C6542" s="40" t="n">
        <v>-46.479679</v>
      </c>
      <c r="D6542" s="40" t="n">
        <v>363</v>
      </c>
      <c r="E6542" s="41" t="n">
        <v>33438.117</v>
      </c>
    </row>
    <row r="6543">
      <c r="A6543" s="42">
        <f>_xlfn.XLOOKUP(17855,Trip[shape_id],Trip[shape_id],"Não encontrado")</f>
        <v/>
      </c>
      <c r="B6543" s="43" t="n">
        <v>-23.542139</v>
      </c>
      <c r="C6543" s="43" t="n">
        <v>-46.480381</v>
      </c>
      <c r="D6543" s="43" t="n">
        <v>364</v>
      </c>
      <c r="E6543" s="44" t="n">
        <v>33493.395</v>
      </c>
    </row>
    <row r="6544">
      <c r="A6544" s="39">
        <f>_xlfn.XLOOKUP(17855,Trip[shape_id],Trip[shape_id],"Não encontrado")</f>
        <v/>
      </c>
      <c r="B6544" s="40" t="n">
        <v>-23.542021</v>
      </c>
      <c r="C6544" s="40" t="n">
        <v>-46.480907</v>
      </c>
      <c r="D6544" s="40" t="n">
        <v>365</v>
      </c>
      <c r="E6544" s="41" t="n">
        <v>33534.438</v>
      </c>
    </row>
    <row r="6545">
      <c r="A6545" s="42">
        <f>_xlfn.XLOOKUP(17855,Trip[shape_id],Trip[shape_id],"Não encontrado")</f>
        <v/>
      </c>
      <c r="B6545" s="43" t="n">
        <v>-23.541935</v>
      </c>
      <c r="C6545" s="43" t="n">
        <v>-46.481298</v>
      </c>
      <c r="D6545" s="43" t="n">
        <v>366</v>
      </c>
      <c r="E6545" s="44" t="n">
        <v>33561.512</v>
      </c>
    </row>
    <row r="6546">
      <c r="A6546" s="39">
        <f>_xlfn.XLOOKUP(17855,Trip[shape_id],Trip[shape_id],"Não encontrado")</f>
        <v/>
      </c>
      <c r="B6546" s="40" t="n">
        <v>-23.541868</v>
      </c>
      <c r="C6546" s="40" t="n">
        <v>-46.481553</v>
      </c>
      <c r="D6546" s="40" t="n">
        <v>367</v>
      </c>
      <c r="E6546" s="41" t="n">
        <v>33634.871</v>
      </c>
    </row>
    <row r="6547">
      <c r="A6547" s="42">
        <f>_xlfn.XLOOKUP(17855,Trip[shape_id],Trip[shape_id],"Não encontrado")</f>
        <v/>
      </c>
      <c r="B6547" s="43" t="n">
        <v>-23.54169</v>
      </c>
      <c r="C6547" s="43" t="n">
        <v>-46.482245</v>
      </c>
      <c r="D6547" s="43" t="n">
        <v>368</v>
      </c>
      <c r="E6547" s="44" t="n">
        <v>33709.5</v>
      </c>
    </row>
    <row r="6548">
      <c r="A6548" s="39">
        <f>_xlfn.XLOOKUP(17855,Trip[shape_id],Trip[shape_id],"Não encontrado")</f>
        <v/>
      </c>
      <c r="B6548" s="40" t="n">
        <v>-23.541425</v>
      </c>
      <c r="C6548" s="40" t="n">
        <v>-46.482917</v>
      </c>
      <c r="D6548" s="40" t="n">
        <v>369</v>
      </c>
      <c r="E6548" s="41" t="n">
        <v>33751.824</v>
      </c>
    </row>
    <row r="6549">
      <c r="A6549" s="42">
        <f>_xlfn.XLOOKUP(17855,Trip[shape_id],Trip[shape_id],"Não encontrado")</f>
        <v/>
      </c>
      <c r="B6549" s="43" t="n">
        <v>-23.541195</v>
      </c>
      <c r="C6549" s="43" t="n">
        <v>-46.483248</v>
      </c>
      <c r="D6549" s="43" t="n">
        <v>370</v>
      </c>
      <c r="E6549" s="44" t="n">
        <v>33812.223</v>
      </c>
    </row>
    <row r="6550">
      <c r="A6550" s="39">
        <f>_xlfn.XLOOKUP(17855,Trip[shape_id],Trip[shape_id],"Não encontrado")</f>
        <v/>
      </c>
      <c r="B6550" s="40" t="n">
        <v>-23.54087</v>
      </c>
      <c r="C6550" s="40" t="n">
        <v>-46.483723</v>
      </c>
      <c r="D6550" s="40" t="n">
        <v>371</v>
      </c>
      <c r="E6550" s="41" t="n">
        <v>33870.867</v>
      </c>
    </row>
    <row r="6551">
      <c r="A6551" s="42">
        <f>_xlfn.XLOOKUP(17855,Trip[shape_id],Trip[shape_id],"Não encontrado")</f>
        <v/>
      </c>
      <c r="B6551" s="43" t="n">
        <v>-23.540483</v>
      </c>
      <c r="C6551" s="43" t="n">
        <v>-46.484115</v>
      </c>
      <c r="D6551" s="43" t="n">
        <v>372</v>
      </c>
      <c r="E6551" s="44" t="n">
        <v>33895.48</v>
      </c>
    </row>
    <row r="6552">
      <c r="A6552" s="39">
        <f>_xlfn.XLOOKUP(17855,Trip[shape_id],Trip[shape_id],"Não encontrado")</f>
        <v/>
      </c>
      <c r="B6552" s="40" t="n">
        <v>-23.540321</v>
      </c>
      <c r="C6552" s="40" t="n">
        <v>-46.48428</v>
      </c>
      <c r="D6552" s="40" t="n">
        <v>373</v>
      </c>
      <c r="E6552" s="41" t="n">
        <v>33938.289</v>
      </c>
    </row>
    <row r="6553">
      <c r="A6553" s="42">
        <f>_xlfn.XLOOKUP(17855,Trip[shape_id],Trip[shape_id],"Não encontrado")</f>
        <v/>
      </c>
      <c r="B6553" s="43" t="n">
        <v>-23.540041</v>
      </c>
      <c r="C6553" s="43" t="n">
        <v>-46.484569</v>
      </c>
      <c r="D6553" s="43" t="n">
        <v>374</v>
      </c>
      <c r="E6553" s="44" t="n">
        <v>34040.32</v>
      </c>
    </row>
    <row r="6554">
      <c r="A6554" s="39">
        <f>_xlfn.XLOOKUP(17855,Trip[shape_id],Trip[shape_id],"Não encontrado")</f>
        <v/>
      </c>
      <c r="B6554" s="40" t="n">
        <v>-23.53938</v>
      </c>
      <c r="C6554" s="40" t="n">
        <v>-46.485265</v>
      </c>
      <c r="D6554" s="40" t="n">
        <v>375</v>
      </c>
      <c r="E6554" s="41" t="n">
        <v>34120.719</v>
      </c>
    </row>
    <row r="6555">
      <c r="A6555" s="42">
        <f>_xlfn.XLOOKUP(17855,Trip[shape_id],Trip[shape_id],"Não encontrado")</f>
        <v/>
      </c>
      <c r="B6555" s="43" t="n">
        <v>-23.538806</v>
      </c>
      <c r="C6555" s="43" t="n">
        <v>-46.485747</v>
      </c>
      <c r="D6555" s="43" t="n">
        <v>376</v>
      </c>
      <c r="E6555" s="44" t="n">
        <v>34204.215</v>
      </c>
    </row>
    <row r="6556">
      <c r="A6556" s="39">
        <f>_xlfn.XLOOKUP(17855,Trip[shape_id],Trip[shape_id],"Não encontrado")</f>
        <v/>
      </c>
      <c r="B6556" s="40" t="n">
        <v>-23.538113</v>
      </c>
      <c r="C6556" s="40" t="n">
        <v>-46.486069</v>
      </c>
      <c r="D6556" s="40" t="n">
        <v>377</v>
      </c>
      <c r="E6556" s="41" t="n">
        <v>34217.848</v>
      </c>
    </row>
    <row r="6557">
      <c r="A6557" s="42">
        <f>_xlfn.XLOOKUP(17855,Trip[shape_id],Trip[shape_id],"Não encontrado")</f>
        <v/>
      </c>
      <c r="B6557" s="43" t="n">
        <v>-23.537995</v>
      </c>
      <c r="C6557" s="43" t="n">
        <v>-46.486107</v>
      </c>
      <c r="D6557" s="43" t="n">
        <v>378</v>
      </c>
      <c r="E6557" s="44" t="n">
        <v>34327.957</v>
      </c>
    </row>
    <row r="6558">
      <c r="A6558" s="39">
        <f>_xlfn.XLOOKUP(17855,Trip[shape_id],Trip[shape_id],"Não encontrado")</f>
        <v/>
      </c>
      <c r="B6558" s="40" t="n">
        <v>-23.537045</v>
      </c>
      <c r="C6558" s="40" t="n">
        <v>-46.486425</v>
      </c>
      <c r="D6558" s="40" t="n">
        <v>379</v>
      </c>
      <c r="E6558" s="41" t="n">
        <v>34336.605</v>
      </c>
    </row>
    <row r="6559">
      <c r="A6559" s="42">
        <f>_xlfn.XLOOKUP(17855,Trip[shape_id],Trip[shape_id],"Não encontrado")</f>
        <v/>
      </c>
      <c r="B6559" s="43" t="n">
        <v>-23.536971</v>
      </c>
      <c r="C6559" s="43" t="n">
        <v>-46.486452</v>
      </c>
      <c r="D6559" s="43" t="n">
        <v>380</v>
      </c>
      <c r="E6559" s="44" t="n">
        <v>34401.875</v>
      </c>
    </row>
    <row r="6560">
      <c r="A6560" s="39">
        <f>_xlfn.XLOOKUP(17855,Trip[shape_id],Trip[shape_id],"Não encontrado")</f>
        <v/>
      </c>
      <c r="B6560" s="40" t="n">
        <v>-23.536418</v>
      </c>
      <c r="C6560" s="40" t="n">
        <v>-46.486673</v>
      </c>
      <c r="D6560" s="40" t="n">
        <v>381</v>
      </c>
      <c r="E6560" s="41" t="n">
        <v>34439.695</v>
      </c>
    </row>
    <row r="6561">
      <c r="A6561" s="42">
        <f>_xlfn.XLOOKUP(17855,Trip[shape_id],Trip[shape_id],"Não encontrado")</f>
        <v/>
      </c>
      <c r="B6561" s="43" t="n">
        <v>-23.536138</v>
      </c>
      <c r="C6561" s="43" t="n">
        <v>-46.486885</v>
      </c>
      <c r="D6561" s="43" t="n">
        <v>382</v>
      </c>
      <c r="E6561" s="44" t="n">
        <v>34489.922</v>
      </c>
    </row>
    <row r="6562">
      <c r="A6562" s="39">
        <f>_xlfn.XLOOKUP(17855,Trip[shape_id],Trip[shape_id],"Não encontrado")</f>
        <v/>
      </c>
      <c r="B6562" s="40" t="n">
        <v>-23.535827</v>
      </c>
      <c r="C6562" s="40" t="n">
        <v>-46.487243</v>
      </c>
      <c r="D6562" s="40" t="n">
        <v>383</v>
      </c>
      <c r="E6562" s="41" t="n">
        <v>34522.953</v>
      </c>
    </row>
    <row r="6563">
      <c r="A6563" s="42">
        <f>_xlfn.XLOOKUP(17855,Trip[shape_id],Trip[shape_id],"Não encontrado")</f>
        <v/>
      </c>
      <c r="B6563" s="43" t="n">
        <v>-23.535673</v>
      </c>
      <c r="C6563" s="43" t="n">
        <v>-46.48752</v>
      </c>
      <c r="D6563" s="43" t="n">
        <v>384</v>
      </c>
      <c r="E6563" s="44" t="n">
        <v>34538.848</v>
      </c>
    </row>
    <row r="6564">
      <c r="A6564" s="39">
        <f>_xlfn.XLOOKUP(17855,Trip[shape_id],Trip[shape_id],"Não encontrado")</f>
        <v/>
      </c>
      <c r="B6564" s="40" t="n">
        <v>-23.5356</v>
      </c>
      <c r="C6564" s="40" t="n">
        <v>-46.487654</v>
      </c>
      <c r="D6564" s="40" t="n">
        <v>385</v>
      </c>
      <c r="E6564" s="41" t="n">
        <v>34573.891</v>
      </c>
    </row>
    <row r="6565">
      <c r="A6565" s="42">
        <f>_xlfn.XLOOKUP(17855,Trip[shape_id],Trip[shape_id],"Não encontrado")</f>
        <v/>
      </c>
      <c r="B6565" s="43" t="n">
        <v>-23.53551</v>
      </c>
      <c r="C6565" s="43" t="n">
        <v>-46.487983</v>
      </c>
      <c r="D6565" s="43" t="n">
        <v>386</v>
      </c>
      <c r="E6565" s="44" t="n">
        <v>34617.934</v>
      </c>
    </row>
    <row r="6566">
      <c r="A6566" s="39">
        <f>_xlfn.XLOOKUP(17855,Trip[shape_id],Trip[shape_id],"Não encontrado")</f>
        <v/>
      </c>
      <c r="B6566" s="40" t="n">
        <v>-23.535437</v>
      </c>
      <c r="C6566" s="40" t="n">
        <v>-46.488407</v>
      </c>
      <c r="D6566" s="40" t="n">
        <v>387</v>
      </c>
      <c r="E6566" s="41" t="n">
        <v>34655.465</v>
      </c>
    </row>
    <row r="6567">
      <c r="A6567" s="42">
        <f>_xlfn.XLOOKUP(17855,Trip[shape_id],Trip[shape_id],"Não encontrado")</f>
        <v/>
      </c>
      <c r="B6567" s="43" t="n">
        <v>-23.535468</v>
      </c>
      <c r="C6567" s="43" t="n">
        <v>-46.488773</v>
      </c>
      <c r="D6567" s="43" t="n">
        <v>388</v>
      </c>
      <c r="E6567" s="44" t="n">
        <v>34696.211</v>
      </c>
    </row>
    <row r="6568">
      <c r="A6568" s="39">
        <f>_xlfn.XLOOKUP(17855,Trip[shape_id],Trip[shape_id],"Não encontrado")</f>
        <v/>
      </c>
      <c r="B6568" s="40" t="n">
        <v>-23.535505</v>
      </c>
      <c r="C6568" s="40" t="n">
        <v>-46.48917</v>
      </c>
      <c r="D6568" s="40" t="n">
        <v>389</v>
      </c>
      <c r="E6568" s="41" t="n">
        <v>34818.438</v>
      </c>
    </row>
    <row r="6569">
      <c r="A6569" s="42">
        <f>_xlfn.XLOOKUP(17855,Trip[shape_id],Trip[shape_id],"Não encontrado")</f>
        <v/>
      </c>
      <c r="B6569" s="43" t="n">
        <v>-23.535632</v>
      </c>
      <c r="C6569" s="43" t="n">
        <v>-46.490359</v>
      </c>
      <c r="D6569" s="43" t="n">
        <v>390</v>
      </c>
      <c r="E6569" s="44" t="n">
        <v>34914.164</v>
      </c>
    </row>
    <row r="6570">
      <c r="A6570" s="39">
        <f>_xlfn.XLOOKUP(17855,Trip[shape_id],Trip[shape_id],"Não encontrado")</f>
        <v/>
      </c>
      <c r="B6570" s="40" t="n">
        <v>-23.535605</v>
      </c>
      <c r="C6570" s="40" t="n">
        <v>-46.491296</v>
      </c>
      <c r="D6570" s="40" t="n">
        <v>391</v>
      </c>
      <c r="E6570" s="41" t="n">
        <v>35031.762</v>
      </c>
    </row>
    <row r="6571">
      <c r="A6571" s="42">
        <f>_xlfn.XLOOKUP(17855,Trip[shape_id],Trip[shape_id],"Não encontrado")</f>
        <v/>
      </c>
      <c r="B6571" s="43" t="n">
        <v>-23.535483</v>
      </c>
      <c r="C6571" s="43" t="n">
        <v>-46.49244</v>
      </c>
      <c r="D6571" s="43" t="n">
        <v>392</v>
      </c>
      <c r="E6571" s="44" t="n">
        <v>35212.176</v>
      </c>
    </row>
    <row r="6572">
      <c r="A6572" s="39">
        <f>_xlfn.XLOOKUP(17855,Trip[shape_id],Trip[shape_id],"Não encontrado")</f>
        <v/>
      </c>
      <c r="B6572" s="40" t="n">
        <v>-23.535295</v>
      </c>
      <c r="C6572" s="40" t="n">
        <v>-46.494195</v>
      </c>
      <c r="D6572" s="40" t="n">
        <v>393</v>
      </c>
      <c r="E6572" s="41" t="n">
        <v>35273.863</v>
      </c>
    </row>
    <row r="6573">
      <c r="A6573" s="42">
        <f>_xlfn.XLOOKUP(17855,Trip[shape_id],Trip[shape_id],"Não encontrado")</f>
        <v/>
      </c>
      <c r="B6573" s="43" t="n">
        <v>-23.535184</v>
      </c>
      <c r="C6573" s="43" t="n">
        <v>-46.494787</v>
      </c>
      <c r="D6573" s="43" t="n">
        <v>394</v>
      </c>
      <c r="E6573" s="44" t="n">
        <v>35317.82</v>
      </c>
    </row>
    <row r="6574">
      <c r="A6574" s="39">
        <f>_xlfn.XLOOKUP(17855,Trip[shape_id],Trip[shape_id],"Não encontrado")</f>
        <v/>
      </c>
      <c r="B6574" s="40" t="n">
        <v>-23.535069</v>
      </c>
      <c r="C6574" s="40" t="n">
        <v>-46.495199</v>
      </c>
      <c r="D6574" s="40" t="n">
        <v>395</v>
      </c>
      <c r="E6574" s="41" t="n">
        <v>35354.785</v>
      </c>
    </row>
    <row r="6575">
      <c r="A6575" s="42">
        <f>_xlfn.XLOOKUP(17855,Trip[shape_id],Trip[shape_id],"Não encontrado")</f>
        <v/>
      </c>
      <c r="B6575" s="43" t="n">
        <v>-23.534936</v>
      </c>
      <c r="C6575" s="43" t="n">
        <v>-46.495531</v>
      </c>
      <c r="D6575" s="43" t="n">
        <v>396</v>
      </c>
      <c r="E6575" s="44" t="n">
        <v>35409.809</v>
      </c>
    </row>
    <row r="6576">
      <c r="A6576" s="39">
        <f>_xlfn.XLOOKUP(17855,Trip[shape_id],Trip[shape_id],"Não encontrado")</f>
        <v/>
      </c>
      <c r="B6576" s="40" t="n">
        <v>-23.534685</v>
      </c>
      <c r="C6576" s="40" t="n">
        <v>-46.495996</v>
      </c>
      <c r="D6576" s="40" t="n">
        <v>397</v>
      </c>
      <c r="E6576" s="41" t="n">
        <v>35465.168</v>
      </c>
    </row>
    <row r="6577">
      <c r="A6577" s="42">
        <f>_xlfn.XLOOKUP(17855,Trip[shape_id],Trip[shape_id],"Não encontrado")</f>
        <v/>
      </c>
      <c r="B6577" s="43" t="n">
        <v>-23.534393</v>
      </c>
      <c r="C6577" s="43" t="n">
        <v>-46.496436</v>
      </c>
      <c r="D6577" s="43" t="n">
        <v>398</v>
      </c>
      <c r="E6577" s="44" t="n">
        <v>35589.945</v>
      </c>
    </row>
    <row r="6578">
      <c r="A6578" s="39">
        <f>_xlfn.XLOOKUP(17855,Trip[shape_id],Trip[shape_id],"Não encontrado")</f>
        <v/>
      </c>
      <c r="B6578" s="40" t="n">
        <v>-23.533621</v>
      </c>
      <c r="C6578" s="40" t="n">
        <v>-46.497326</v>
      </c>
      <c r="D6578" s="40" t="n">
        <v>399</v>
      </c>
      <c r="E6578" s="41" t="n">
        <v>35596.777</v>
      </c>
    </row>
    <row r="6579">
      <c r="A6579" s="42">
        <f>_xlfn.XLOOKUP(17855,Trip[shape_id],Trip[shape_id],"Não encontrado")</f>
        <v/>
      </c>
      <c r="B6579" s="43" t="n">
        <v>-23.53358</v>
      </c>
      <c r="C6579" s="43" t="n">
        <v>-46.497376</v>
      </c>
      <c r="D6579" s="43" t="n">
        <v>400</v>
      </c>
      <c r="E6579" s="44" t="n">
        <v>35649.824</v>
      </c>
    </row>
    <row r="6580">
      <c r="A6580" s="39">
        <f>_xlfn.XLOOKUP(17855,Trip[shape_id],Trip[shape_id],"Não encontrado")</f>
        <v/>
      </c>
      <c r="B6580" s="40" t="n">
        <v>-23.53327</v>
      </c>
      <c r="C6580" s="40" t="n">
        <v>-46.497772</v>
      </c>
      <c r="D6580" s="40" t="n">
        <v>401</v>
      </c>
      <c r="E6580" s="41" t="n">
        <v>35676.813</v>
      </c>
    </row>
    <row r="6581">
      <c r="A6581" s="42">
        <f>_xlfn.XLOOKUP(17855,Trip[shape_id],Trip[shape_id],"Não encontrado")</f>
        <v/>
      </c>
      <c r="B6581" s="43" t="n">
        <v>-23.533127</v>
      </c>
      <c r="C6581" s="43" t="n">
        <v>-46.497986</v>
      </c>
      <c r="D6581" s="43" t="n">
        <v>402</v>
      </c>
      <c r="E6581" s="44" t="n">
        <v>35719.188</v>
      </c>
    </row>
    <row r="6582">
      <c r="A6582" s="39">
        <f>_xlfn.XLOOKUP(17855,Trip[shape_id],Trip[shape_id],"Não encontrado")</f>
        <v/>
      </c>
      <c r="B6582" s="40" t="n">
        <v>-23.532905</v>
      </c>
      <c r="C6582" s="40" t="n">
        <v>-46.498324</v>
      </c>
      <c r="D6582" s="40" t="n">
        <v>403</v>
      </c>
      <c r="E6582" s="41" t="n">
        <v>35821.684</v>
      </c>
    </row>
    <row r="6583">
      <c r="A6583" s="42">
        <f>_xlfn.XLOOKUP(17855,Trip[shape_id],Trip[shape_id],"Não encontrado")</f>
        <v/>
      </c>
      <c r="B6583" s="43" t="n">
        <v>-23.53237</v>
      </c>
      <c r="C6583" s="43" t="n">
        <v>-46.499143</v>
      </c>
      <c r="D6583" s="43" t="n">
        <v>404</v>
      </c>
      <c r="E6583" s="44" t="n">
        <v>35891.797</v>
      </c>
    </row>
    <row r="6584">
      <c r="A6584" s="39">
        <f>_xlfn.XLOOKUP(17855,Trip[shape_id],Trip[shape_id],"Não encontrado")</f>
        <v/>
      </c>
      <c r="B6584" s="40" t="n">
        <v>-23.532005</v>
      </c>
      <c r="C6584" s="40" t="n">
        <v>-46.499704</v>
      </c>
      <c r="D6584" s="40" t="n">
        <v>405</v>
      </c>
      <c r="E6584" s="41" t="n">
        <v>36001.688</v>
      </c>
    </row>
    <row r="6585">
      <c r="A6585" s="42">
        <f>_xlfn.XLOOKUP(17855,Trip[shape_id],Trip[shape_id],"Não encontrado")</f>
        <v/>
      </c>
      <c r="B6585" s="43" t="n">
        <v>-23.53143</v>
      </c>
      <c r="C6585" s="43" t="n">
        <v>-46.500581</v>
      </c>
      <c r="D6585" s="43" t="n">
        <v>406</v>
      </c>
      <c r="E6585" s="44" t="n">
        <v>36053.285</v>
      </c>
    </row>
    <row r="6586">
      <c r="A6586" s="39">
        <f>_xlfn.XLOOKUP(17855,Trip[shape_id],Trip[shape_id],"Não encontrado")</f>
        <v/>
      </c>
      <c r="B6586" s="40" t="n">
        <v>-23.531159</v>
      </c>
      <c r="C6586" s="40" t="n">
        <v>-46.500992</v>
      </c>
      <c r="D6586" s="40" t="n">
        <v>407</v>
      </c>
      <c r="E6586" s="41" t="n">
        <v>36216.324</v>
      </c>
    </row>
    <row r="6587">
      <c r="A6587" s="42">
        <f>_xlfn.XLOOKUP(17855,Trip[shape_id],Trip[shape_id],"Não encontrado")</f>
        <v/>
      </c>
      <c r="B6587" s="43" t="n">
        <v>-23.530307</v>
      </c>
      <c r="C6587" s="43" t="n">
        <v>-46.502294</v>
      </c>
      <c r="D6587" s="43" t="n">
        <v>408</v>
      </c>
      <c r="E6587" s="44" t="n">
        <v>36284.828</v>
      </c>
    </row>
    <row r="6588">
      <c r="A6588" s="39">
        <f>_xlfn.XLOOKUP(17855,Trip[shape_id],Trip[shape_id],"Não encontrado")</f>
        <v/>
      </c>
      <c r="B6588" s="40" t="n">
        <v>-23.52994</v>
      </c>
      <c r="C6588" s="40" t="n">
        <v>-46.502834</v>
      </c>
      <c r="D6588" s="40" t="n">
        <v>409</v>
      </c>
      <c r="E6588" s="41" t="n">
        <v>36369.16</v>
      </c>
    </row>
    <row r="6589">
      <c r="A6589" s="42">
        <f>_xlfn.XLOOKUP(17855,Trip[shape_id],Trip[shape_id],"Não encontrado")</f>
        <v/>
      </c>
      <c r="B6589" s="43" t="n">
        <v>-23.529491</v>
      </c>
      <c r="C6589" s="43" t="n">
        <v>-46.503501</v>
      </c>
      <c r="D6589" s="43" t="n">
        <v>410</v>
      </c>
      <c r="E6589" s="44" t="n">
        <v>36383.887</v>
      </c>
    </row>
    <row r="6590">
      <c r="A6590" s="39">
        <f>_xlfn.XLOOKUP(17855,Trip[shape_id],Trip[shape_id],"Não encontrado")</f>
        <v/>
      </c>
      <c r="B6590" s="40" t="n">
        <v>-23.529412</v>
      </c>
      <c r="C6590" s="40" t="n">
        <v>-46.503617</v>
      </c>
      <c r="D6590" s="40" t="n">
        <v>411</v>
      </c>
      <c r="E6590" s="41" t="n">
        <v>36404.402</v>
      </c>
    </row>
    <row r="6591">
      <c r="A6591" s="42">
        <f>_xlfn.XLOOKUP(17855,Trip[shape_id],Trip[shape_id],"Não encontrado")</f>
        <v/>
      </c>
      <c r="B6591" s="43" t="n">
        <v>-23.529305</v>
      </c>
      <c r="C6591" s="43" t="n">
        <v>-46.503781</v>
      </c>
      <c r="D6591" s="43" t="n">
        <v>412</v>
      </c>
      <c r="E6591" s="44" t="n">
        <v>36440.539</v>
      </c>
    </row>
    <row r="6592">
      <c r="A6592" s="39">
        <f>_xlfn.XLOOKUP(17855,Trip[shape_id],Trip[shape_id],"Não encontrado")</f>
        <v/>
      </c>
      <c r="B6592" s="40" t="n">
        <v>-23.529118</v>
      </c>
      <c r="C6592" s="40" t="n">
        <v>-46.504071</v>
      </c>
      <c r="D6592" s="40" t="n">
        <v>413</v>
      </c>
      <c r="E6592" s="41" t="n">
        <v>36635.34</v>
      </c>
    </row>
    <row r="6593">
      <c r="A6593" s="42">
        <f>_xlfn.XLOOKUP(17855,Trip[shape_id],Trip[shape_id],"Não encontrado")</f>
        <v/>
      </c>
      <c r="B6593" s="43" t="n">
        <v>-23.528111</v>
      </c>
      <c r="C6593" s="43" t="n">
        <v>-46.505635</v>
      </c>
      <c r="D6593" s="43" t="n">
        <v>414</v>
      </c>
      <c r="E6593" s="44" t="n">
        <v>36681.574</v>
      </c>
    </row>
    <row r="6594">
      <c r="A6594" s="39">
        <f>_xlfn.XLOOKUP(17855,Trip[shape_id],Trip[shape_id],"Não encontrado")</f>
        <v/>
      </c>
      <c r="B6594" s="40" t="n">
        <v>-23.527907</v>
      </c>
      <c r="C6594" s="40" t="n">
        <v>-46.50603</v>
      </c>
      <c r="D6594" s="40" t="n">
        <v>415</v>
      </c>
      <c r="E6594" s="41" t="n">
        <v>36703.195</v>
      </c>
    </row>
    <row r="6595">
      <c r="A6595" s="42">
        <f>_xlfn.XLOOKUP(17855,Trip[shape_id],Trip[shape_id],"Não encontrado")</f>
        <v/>
      </c>
      <c r="B6595" s="43" t="n">
        <v>-23.527819</v>
      </c>
      <c r="C6595" s="43" t="n">
        <v>-46.506219</v>
      </c>
      <c r="D6595" s="43" t="n">
        <v>416</v>
      </c>
      <c r="E6595" s="44" t="n">
        <v>36756.445</v>
      </c>
    </row>
    <row r="6596">
      <c r="A6596" s="39">
        <f>_xlfn.XLOOKUP(17855,Trip[shape_id],Trip[shape_id],"Não encontrado")</f>
        <v/>
      </c>
      <c r="B6596" s="40" t="n">
        <v>-23.527607</v>
      </c>
      <c r="C6596" s="40" t="n">
        <v>-46.506687</v>
      </c>
      <c r="D6596" s="40" t="n">
        <v>417</v>
      </c>
      <c r="E6596" s="41" t="n">
        <v>36853.711</v>
      </c>
    </row>
    <row r="6597">
      <c r="A6597" s="42">
        <f>_xlfn.XLOOKUP(17855,Trip[shape_id],Trip[shape_id],"Não encontrado")</f>
        <v/>
      </c>
      <c r="B6597" s="43" t="n">
        <v>-23.527336</v>
      </c>
      <c r="C6597" s="43" t="n">
        <v>-46.507593</v>
      </c>
      <c r="D6597" s="43" t="n">
        <v>418</v>
      </c>
      <c r="E6597" s="44" t="n">
        <v>36933.406</v>
      </c>
    </row>
    <row r="6598">
      <c r="A6598" s="39">
        <f>_xlfn.XLOOKUP(17855,Trip[shape_id],Trip[shape_id],"Não encontrado")</f>
        <v/>
      </c>
      <c r="B6598" s="40" t="n">
        <v>-23.527237</v>
      </c>
      <c r="C6598" s="40" t="n">
        <v>-46.508366</v>
      </c>
      <c r="D6598" s="40" t="n">
        <v>419</v>
      </c>
      <c r="E6598" s="41" t="n">
        <v>37005.617</v>
      </c>
    </row>
    <row r="6599">
      <c r="A6599" s="42">
        <f>_xlfn.XLOOKUP(17855,Trip[shape_id],Trip[shape_id],"Não encontrado")</f>
        <v/>
      </c>
      <c r="B6599" s="43" t="n">
        <v>-23.527248</v>
      </c>
      <c r="C6599" s="43" t="n">
        <v>-46.509073</v>
      </c>
      <c r="D6599" s="43" t="n">
        <v>420</v>
      </c>
      <c r="E6599" s="44" t="n">
        <v>37087.023</v>
      </c>
    </row>
    <row r="6600">
      <c r="A6600" s="39">
        <f>_xlfn.XLOOKUP(17855,Trip[shape_id],Trip[shape_id],"Não encontrado")</f>
        <v/>
      </c>
      <c r="B6600" s="40" t="n">
        <v>-23.527353</v>
      </c>
      <c r="C6600" s="40" t="n">
        <v>-46.509862</v>
      </c>
      <c r="D6600" s="40" t="n">
        <v>421</v>
      </c>
      <c r="E6600" s="41" t="n">
        <v>37180.277</v>
      </c>
    </row>
    <row r="6601">
      <c r="A6601" s="42">
        <f>_xlfn.XLOOKUP(17855,Trip[shape_id],Trip[shape_id],"Não encontrado")</f>
        <v/>
      </c>
      <c r="B6601" s="43" t="n">
        <v>-23.52749</v>
      </c>
      <c r="C6601" s="43" t="n">
        <v>-46.510763</v>
      </c>
      <c r="D6601" s="43" t="n">
        <v>422</v>
      </c>
      <c r="E6601" s="44" t="n">
        <v>37231.184</v>
      </c>
    </row>
    <row r="6602">
      <c r="A6602" s="39">
        <f>_xlfn.XLOOKUP(17855,Trip[shape_id],Trip[shape_id],"Não encontrado")</f>
        <v/>
      </c>
      <c r="B6602" s="40" t="n">
        <v>-23.527564</v>
      </c>
      <c r="C6602" s="40" t="n">
        <v>-46.511255</v>
      </c>
      <c r="D6602" s="40" t="n">
        <v>423</v>
      </c>
      <c r="E6602" s="41" t="n">
        <v>37366.309</v>
      </c>
    </row>
    <row r="6603">
      <c r="A6603" s="42">
        <f>_xlfn.XLOOKUP(17855,Trip[shape_id],Trip[shape_id],"Não encontrado")</f>
        <v/>
      </c>
      <c r="B6603" s="43" t="n">
        <v>-23.52776</v>
      </c>
      <c r="C6603" s="43" t="n">
        <v>-46.512561</v>
      </c>
      <c r="D6603" s="43" t="n">
        <v>424</v>
      </c>
      <c r="E6603" s="44" t="n">
        <v>37461.813</v>
      </c>
    </row>
    <row r="6604">
      <c r="A6604" s="39">
        <f>_xlfn.XLOOKUP(17855,Trip[shape_id],Trip[shape_id],"Não encontrado")</f>
        <v/>
      </c>
      <c r="B6604" s="40" t="n">
        <v>-23.527899</v>
      </c>
      <c r="C6604" s="40" t="n">
        <v>-46.513484</v>
      </c>
      <c r="D6604" s="40" t="n">
        <v>425</v>
      </c>
      <c r="E6604" s="41" t="n">
        <v>37468.863</v>
      </c>
    </row>
    <row r="6605">
      <c r="A6605" s="42">
        <f>_xlfn.XLOOKUP(17855,Trip[shape_id],Trip[shape_id],"Não encontrado")</f>
        <v/>
      </c>
      <c r="B6605" s="43" t="n">
        <v>-23.52791</v>
      </c>
      <c r="C6605" s="43" t="n">
        <v>-46.513552</v>
      </c>
      <c r="D6605" s="43" t="n">
        <v>426</v>
      </c>
      <c r="E6605" s="44" t="n">
        <v>37516.887</v>
      </c>
    </row>
    <row r="6606">
      <c r="A6606" s="39">
        <f>_xlfn.XLOOKUP(17855,Trip[shape_id],Trip[shape_id],"Não encontrado")</f>
        <v/>
      </c>
      <c r="B6606" s="40" t="n">
        <v>-23.527991</v>
      </c>
      <c r="C6606" s="40" t="n">
        <v>-46.514014</v>
      </c>
      <c r="D6606" s="40" t="n">
        <v>427</v>
      </c>
      <c r="E6606" s="41" t="n">
        <v>37576.438</v>
      </c>
    </row>
    <row r="6607">
      <c r="A6607" s="42">
        <f>_xlfn.XLOOKUP(17855,Trip[shape_id],Trip[shape_id],"Não encontrado")</f>
        <v/>
      </c>
      <c r="B6607" s="43" t="n">
        <v>-23.528141</v>
      </c>
      <c r="C6607" s="43" t="n">
        <v>-46.514574</v>
      </c>
      <c r="D6607" s="43" t="n">
        <v>428</v>
      </c>
      <c r="E6607" s="44" t="n">
        <v>37623.57</v>
      </c>
    </row>
    <row r="6608">
      <c r="A6608" s="39">
        <f>_xlfn.XLOOKUP(17855,Trip[shape_id],Trip[shape_id],"Não encontrado")</f>
        <v/>
      </c>
      <c r="B6608" s="40" t="n">
        <v>-23.528307</v>
      </c>
      <c r="C6608" s="40" t="n">
        <v>-46.514999</v>
      </c>
      <c r="D6608" s="40" t="n">
        <v>429</v>
      </c>
      <c r="E6608" s="41" t="n">
        <v>37689.68</v>
      </c>
    </row>
    <row r="6609">
      <c r="A6609" s="42">
        <f>_xlfn.XLOOKUP(17855,Trip[shape_id],Trip[shape_id],"Não encontrado")</f>
        <v/>
      </c>
      <c r="B6609" s="43" t="n">
        <v>-23.528574</v>
      </c>
      <c r="C6609" s="43" t="n">
        <v>-46.515578</v>
      </c>
      <c r="D6609" s="43" t="n">
        <v>430</v>
      </c>
      <c r="E6609" s="44" t="n">
        <v>37752.793</v>
      </c>
    </row>
    <row r="6610">
      <c r="A6610" s="39">
        <f>_xlfn.XLOOKUP(17855,Trip[shape_id],Trip[shape_id],"Não encontrado")</f>
        <v/>
      </c>
      <c r="B6610" s="40" t="n">
        <v>-23.528841</v>
      </c>
      <c r="C6610" s="40" t="n">
        <v>-46.516124</v>
      </c>
      <c r="D6610" s="40" t="n">
        <v>431</v>
      </c>
      <c r="E6610" s="41" t="n">
        <v>37798.766</v>
      </c>
    </row>
    <row r="6611">
      <c r="A6611" s="42">
        <f>_xlfn.XLOOKUP(17855,Trip[shape_id],Trip[shape_id],"Não encontrado")</f>
        <v/>
      </c>
      <c r="B6611" s="43" t="n">
        <v>-23.529035</v>
      </c>
      <c r="C6611" s="43" t="n">
        <v>-46.516522</v>
      </c>
      <c r="D6611" s="43" t="n">
        <v>432</v>
      </c>
      <c r="E6611" s="44" t="n">
        <v>37855.504</v>
      </c>
    </row>
    <row r="6612">
      <c r="A6612" s="39">
        <f>_xlfn.XLOOKUP(17855,Trip[shape_id],Trip[shape_id],"Não encontrado")</f>
        <v/>
      </c>
      <c r="B6612" s="40" t="n">
        <v>-23.529273</v>
      </c>
      <c r="C6612" s="40" t="n">
        <v>-46.517014</v>
      </c>
      <c r="D6612" s="40" t="n">
        <v>433</v>
      </c>
      <c r="E6612" s="41" t="n">
        <v>37947.766</v>
      </c>
    </row>
    <row r="6613">
      <c r="A6613" s="42">
        <f>_xlfn.XLOOKUP(17855,Trip[shape_id],Trip[shape_id],"Não encontrado")</f>
        <v/>
      </c>
      <c r="B6613" s="43" t="n">
        <v>-23.529653</v>
      </c>
      <c r="C6613" s="43" t="n">
        <v>-46.517818</v>
      </c>
      <c r="D6613" s="43" t="n">
        <v>434</v>
      </c>
      <c r="E6613" s="44" t="n">
        <v>38010.969</v>
      </c>
    </row>
    <row r="6614">
      <c r="A6614" s="39">
        <f>_xlfn.XLOOKUP(17855,Trip[shape_id],Trip[shape_id],"Não encontrado")</f>
        <v/>
      </c>
      <c r="B6614" s="40" t="n">
        <v>-23.52992</v>
      </c>
      <c r="C6614" s="40" t="n">
        <v>-46.518365</v>
      </c>
      <c r="D6614" s="40" t="n">
        <v>435</v>
      </c>
      <c r="E6614" s="41" t="n">
        <v>38093.711</v>
      </c>
    </row>
    <row r="6615">
      <c r="A6615" s="42">
        <f>_xlfn.XLOOKUP(17855,Trip[shape_id],Trip[shape_id],"Não encontrado")</f>
        <v/>
      </c>
      <c r="B6615" s="43" t="n">
        <v>-23.530268</v>
      </c>
      <c r="C6615" s="43" t="n">
        <v>-46.519082</v>
      </c>
      <c r="D6615" s="43" t="n">
        <v>436</v>
      </c>
      <c r="E6615" s="44" t="n">
        <v>38191.594</v>
      </c>
    </row>
    <row r="6616">
      <c r="A6616" s="39">
        <f>_xlfn.XLOOKUP(17855,Trip[shape_id],Trip[shape_id],"Não encontrado")</f>
        <v/>
      </c>
      <c r="B6616" s="40" t="n">
        <v>-23.53068</v>
      </c>
      <c r="C6616" s="40" t="n">
        <v>-46.51993</v>
      </c>
      <c r="D6616" s="40" t="n">
        <v>437</v>
      </c>
      <c r="E6616" s="41" t="n">
        <v>38227.152</v>
      </c>
    </row>
    <row r="6617">
      <c r="A6617" s="42">
        <f>_xlfn.XLOOKUP(17855,Trip[shape_id],Trip[shape_id],"Não encontrado")</f>
        <v/>
      </c>
      <c r="B6617" s="43" t="n">
        <v>-23.530828</v>
      </c>
      <c r="C6617" s="43" t="n">
        <v>-46.520239</v>
      </c>
      <c r="D6617" s="43" t="n">
        <v>438</v>
      </c>
      <c r="E6617" s="44" t="n">
        <v>38265.441</v>
      </c>
    </row>
    <row r="6618">
      <c r="A6618" s="39">
        <f>_xlfn.XLOOKUP(17855,Trip[shape_id],Trip[shape_id],"Não encontrado")</f>
        <v/>
      </c>
      <c r="B6618" s="40" t="n">
        <v>-23.530942</v>
      </c>
      <c r="C6618" s="40" t="n">
        <v>-46.520593</v>
      </c>
      <c r="D6618" s="40" t="n">
        <v>439</v>
      </c>
      <c r="E6618" s="41" t="n">
        <v>38313.105</v>
      </c>
    </row>
    <row r="6619">
      <c r="A6619" s="42">
        <f>_xlfn.XLOOKUP(17855,Trip[shape_id],Trip[shape_id],"Não encontrado")</f>
        <v/>
      </c>
      <c r="B6619" s="43" t="n">
        <v>-23.531042</v>
      </c>
      <c r="C6619" s="43" t="n">
        <v>-46.521047</v>
      </c>
      <c r="D6619" s="43" t="n">
        <v>440</v>
      </c>
      <c r="E6619" s="44" t="n">
        <v>38390.613</v>
      </c>
    </row>
    <row r="6620">
      <c r="A6620" s="39">
        <f>_xlfn.XLOOKUP(17855,Trip[shape_id],Trip[shape_id],"Não encontrado")</f>
        <v/>
      </c>
      <c r="B6620" s="40" t="n">
        <v>-23.531137</v>
      </c>
      <c r="C6620" s="40" t="n">
        <v>-46.521799</v>
      </c>
      <c r="D6620" s="40" t="n">
        <v>441</v>
      </c>
      <c r="E6620" s="41" t="n">
        <v>38552.676</v>
      </c>
    </row>
    <row r="6621">
      <c r="A6621" s="42">
        <f>_xlfn.XLOOKUP(17855,Trip[shape_id],Trip[shape_id],"Não encontrado")</f>
        <v/>
      </c>
      <c r="B6621" s="43" t="n">
        <v>-23.531324</v>
      </c>
      <c r="C6621" s="43" t="n">
        <v>-46.523373</v>
      </c>
      <c r="D6621" s="43" t="n">
        <v>442</v>
      </c>
      <c r="E6621" s="44" t="n">
        <v>38598.414</v>
      </c>
    </row>
    <row r="6622">
      <c r="A6622" s="39">
        <f>_xlfn.XLOOKUP(17855,Trip[shape_id],Trip[shape_id],"Não encontrado")</f>
        <v/>
      </c>
      <c r="B6622" s="40" t="n">
        <v>-23.531371</v>
      </c>
      <c r="C6622" s="40" t="n">
        <v>-46.523818</v>
      </c>
      <c r="D6622" s="40" t="n">
        <v>443</v>
      </c>
      <c r="E6622" s="41" t="n">
        <v>38655.199</v>
      </c>
    </row>
    <row r="6623">
      <c r="A6623" s="42">
        <f>_xlfn.XLOOKUP(17855,Trip[shape_id],Trip[shape_id],"Não encontrado")</f>
        <v/>
      </c>
      <c r="B6623" s="43" t="n">
        <v>-23.531425</v>
      </c>
      <c r="C6623" s="43" t="n">
        <v>-46.524371</v>
      </c>
      <c r="D6623" s="43" t="n">
        <v>444</v>
      </c>
      <c r="E6623" s="44" t="n">
        <v>38723.129</v>
      </c>
    </row>
    <row r="6624">
      <c r="A6624" s="39">
        <f>_xlfn.XLOOKUP(17855,Trip[shape_id],Trip[shape_id],"Não encontrado")</f>
        <v/>
      </c>
      <c r="B6624" s="40" t="n">
        <v>-23.531515</v>
      </c>
      <c r="C6624" s="40" t="n">
        <v>-46.525029</v>
      </c>
      <c r="D6624" s="40" t="n">
        <v>445</v>
      </c>
      <c r="E6624" s="41" t="n">
        <v>38784.516</v>
      </c>
    </row>
    <row r="6625">
      <c r="A6625" s="42">
        <f>_xlfn.XLOOKUP(17855,Trip[shape_id],Trip[shape_id],"Não encontrado")</f>
        <v/>
      </c>
      <c r="B6625" s="43" t="n">
        <v>-23.531594</v>
      </c>
      <c r="C6625" s="43" t="n">
        <v>-46.525624</v>
      </c>
      <c r="D6625" s="43" t="n">
        <v>446</v>
      </c>
      <c r="E6625" s="44" t="n">
        <v>38847.871</v>
      </c>
    </row>
    <row r="6626">
      <c r="A6626" s="39">
        <f>_xlfn.XLOOKUP(17855,Trip[shape_id],Trip[shape_id],"Não encontrado")</f>
        <v/>
      </c>
      <c r="B6626" s="40" t="n">
        <v>-23.531676</v>
      </c>
      <c r="C6626" s="40" t="n">
        <v>-46.526238</v>
      </c>
      <c r="D6626" s="40" t="n">
        <v>447</v>
      </c>
      <c r="E6626" s="41" t="n">
        <v>38895.254</v>
      </c>
    </row>
    <row r="6627">
      <c r="A6627" s="42">
        <f>_xlfn.XLOOKUP(17855,Trip[shape_id],Trip[shape_id],"Não encontrado")</f>
        <v/>
      </c>
      <c r="B6627" s="43" t="n">
        <v>-23.531732</v>
      </c>
      <c r="C6627" s="43" t="n">
        <v>-46.526698</v>
      </c>
      <c r="D6627" s="43" t="n">
        <v>448</v>
      </c>
      <c r="E6627" s="44" t="n">
        <v>38981.473</v>
      </c>
    </row>
    <row r="6628">
      <c r="A6628" s="39">
        <f>_xlfn.XLOOKUP(17855,Trip[shape_id],Trip[shape_id],"Não encontrado")</f>
        <v/>
      </c>
      <c r="B6628" s="40" t="n">
        <v>-23.531827</v>
      </c>
      <c r="C6628" s="40" t="n">
        <v>-46.527536</v>
      </c>
      <c r="D6628" s="40" t="n">
        <v>449</v>
      </c>
      <c r="E6628" s="41" t="n">
        <v>39021.684</v>
      </c>
    </row>
    <row r="6629">
      <c r="A6629" s="42">
        <f>_xlfn.XLOOKUP(17855,Trip[shape_id],Trip[shape_id],"Não encontrado")</f>
        <v/>
      </c>
      <c r="B6629" s="43" t="n">
        <v>-23.53187</v>
      </c>
      <c r="C6629" s="43" t="n">
        <v>-46.527927</v>
      </c>
      <c r="D6629" s="43" t="n">
        <v>450</v>
      </c>
      <c r="E6629" s="44" t="n">
        <v>39069.68</v>
      </c>
    </row>
    <row r="6630">
      <c r="A6630" s="39">
        <f>_xlfn.XLOOKUP(17855,Trip[shape_id],Trip[shape_id],"Não encontrado")</f>
        <v/>
      </c>
      <c r="B6630" s="40" t="n">
        <v>-23.531919</v>
      </c>
      <c r="C6630" s="40" t="n">
        <v>-46.528394</v>
      </c>
      <c r="D6630" s="40" t="n">
        <v>451</v>
      </c>
      <c r="E6630" s="41" t="n">
        <v>39118.191</v>
      </c>
    </row>
    <row r="6631">
      <c r="A6631" s="42">
        <f>_xlfn.XLOOKUP(17855,Trip[shape_id],Trip[shape_id],"Não encontrado")</f>
        <v/>
      </c>
      <c r="B6631" s="43" t="n">
        <v>-23.531913</v>
      </c>
      <c r="C6631" s="43" t="n">
        <v>-46.528869</v>
      </c>
      <c r="D6631" s="43" t="n">
        <v>452</v>
      </c>
      <c r="E6631" s="44" t="n">
        <v>39210.602</v>
      </c>
    </row>
    <row r="6632">
      <c r="A6632" s="39">
        <f>_xlfn.XLOOKUP(17855,Trip[shape_id],Trip[shape_id],"Não encontrado")</f>
        <v/>
      </c>
      <c r="B6632" s="40" t="n">
        <v>-23.531796</v>
      </c>
      <c r="C6632" s="40" t="n">
        <v>-46.529765</v>
      </c>
      <c r="D6632" s="40" t="n">
        <v>453</v>
      </c>
      <c r="E6632" s="41" t="n">
        <v>39309.383</v>
      </c>
    </row>
    <row r="6633">
      <c r="A6633" s="42">
        <f>_xlfn.XLOOKUP(17855,Trip[shape_id],Trip[shape_id],"Não encontrado")</f>
        <v/>
      </c>
      <c r="B6633" s="43" t="n">
        <v>-23.531666</v>
      </c>
      <c r="C6633" s="43" t="n">
        <v>-46.530722</v>
      </c>
      <c r="D6633" s="43" t="n">
        <v>454</v>
      </c>
      <c r="E6633" s="44" t="n">
        <v>39388.758</v>
      </c>
    </row>
    <row r="6634">
      <c r="A6634" s="39">
        <f>_xlfn.XLOOKUP(17855,Trip[shape_id],Trip[shape_id],"Não encontrado")</f>
        <v/>
      </c>
      <c r="B6634" s="40" t="n">
        <v>-23.531568</v>
      </c>
      <c r="C6634" s="40" t="n">
        <v>-46.531492</v>
      </c>
      <c r="D6634" s="40" t="n">
        <v>455</v>
      </c>
      <c r="E6634" s="41" t="n">
        <v>39456.719</v>
      </c>
    </row>
    <row r="6635">
      <c r="A6635" s="42">
        <f>_xlfn.XLOOKUP(17855,Trip[shape_id],Trip[shape_id],"Não encontrado")</f>
        <v/>
      </c>
      <c r="B6635" s="43" t="n">
        <v>-23.531489</v>
      </c>
      <c r="C6635" s="43" t="n">
        <v>-46.532152</v>
      </c>
      <c r="D6635" s="43" t="n">
        <v>456</v>
      </c>
      <c r="E6635" s="44" t="n">
        <v>39514.418</v>
      </c>
    </row>
    <row r="6636">
      <c r="A6636" s="39">
        <f>_xlfn.XLOOKUP(17855,Trip[shape_id],Trip[shape_id],"Não encontrado")</f>
        <v/>
      </c>
      <c r="B6636" s="40" t="n">
        <v>-23.531495</v>
      </c>
      <c r="C6636" s="40" t="n">
        <v>-46.532717</v>
      </c>
      <c r="D6636" s="40" t="n">
        <v>457</v>
      </c>
      <c r="E6636" s="41" t="n">
        <v>39561.965</v>
      </c>
    </row>
    <row r="6637">
      <c r="A6637" s="42">
        <f>_xlfn.XLOOKUP(17855,Trip[shape_id],Trip[shape_id],"Não encontrado")</f>
        <v/>
      </c>
      <c r="B6637" s="43" t="n">
        <v>-23.531517</v>
      </c>
      <c r="C6637" s="43" t="n">
        <v>-46.533182</v>
      </c>
      <c r="D6637" s="43" t="n">
        <v>458</v>
      </c>
      <c r="E6637" s="44" t="n">
        <v>39625.574</v>
      </c>
    </row>
    <row r="6638">
      <c r="A6638" s="39">
        <f>_xlfn.XLOOKUP(17855,Trip[shape_id],Trip[shape_id],"Não encontrado")</f>
        <v/>
      </c>
      <c r="B6638" s="40" t="n">
        <v>-23.531596</v>
      </c>
      <c r="C6638" s="40" t="n">
        <v>-46.533799</v>
      </c>
      <c r="D6638" s="40" t="n">
        <v>459</v>
      </c>
      <c r="E6638" s="41" t="n">
        <v>39684.52</v>
      </c>
    </row>
    <row r="6639">
      <c r="A6639" s="42">
        <f>_xlfn.XLOOKUP(17855,Trip[shape_id],Trip[shape_id],"Não encontrado")</f>
        <v/>
      </c>
      <c r="B6639" s="43" t="n">
        <v>-23.531705</v>
      </c>
      <c r="C6639" s="43" t="n">
        <v>-46.534364</v>
      </c>
      <c r="D6639" s="43" t="n">
        <v>460</v>
      </c>
      <c r="E6639" s="44" t="n">
        <v>39771.922</v>
      </c>
    </row>
    <row r="6640">
      <c r="A6640" s="39">
        <f>_xlfn.XLOOKUP(17855,Trip[shape_id],Trip[shape_id],"Não encontrado")</f>
        <v/>
      </c>
      <c r="B6640" s="40" t="n">
        <v>-23.53187</v>
      </c>
      <c r="C6640" s="40" t="n">
        <v>-46.535201</v>
      </c>
      <c r="D6640" s="40" t="n">
        <v>461</v>
      </c>
      <c r="E6640" s="41" t="n">
        <v>39932.777</v>
      </c>
    </row>
    <row r="6641">
      <c r="A6641" s="42">
        <f>_xlfn.XLOOKUP(17855,Trip[shape_id],Trip[shape_id],"Não encontrado")</f>
        <v/>
      </c>
      <c r="B6641" s="43" t="n">
        <v>-23.532171</v>
      </c>
      <c r="C6641" s="43" t="n">
        <v>-46.536742</v>
      </c>
      <c r="D6641" s="43" t="n">
        <v>462</v>
      </c>
      <c r="E6641" s="44" t="n">
        <v>40116.863</v>
      </c>
    </row>
    <row r="6642">
      <c r="A6642" s="39">
        <f>_xlfn.XLOOKUP(17855,Trip[shape_id],Trip[shape_id],"Não encontrado")</f>
        <v/>
      </c>
      <c r="B6642" s="40" t="n">
        <v>-23.532543</v>
      </c>
      <c r="C6642" s="40" t="n">
        <v>-46.538499</v>
      </c>
      <c r="D6642" s="40" t="n">
        <v>463</v>
      </c>
      <c r="E6642" s="41" t="n">
        <v>40189.305</v>
      </c>
    </row>
    <row r="6643">
      <c r="A6643" s="42">
        <f>_xlfn.XLOOKUP(17855,Trip[shape_id],Trip[shape_id],"Não encontrado")</f>
        <v/>
      </c>
      <c r="B6643" s="43" t="n">
        <v>-23.532691</v>
      </c>
      <c r="C6643" s="43" t="n">
        <v>-46.53919</v>
      </c>
      <c r="D6643" s="43" t="n">
        <v>464</v>
      </c>
      <c r="E6643" s="44" t="n">
        <v>40374.41</v>
      </c>
    </row>
    <row r="6644">
      <c r="A6644" s="39">
        <f>_xlfn.XLOOKUP(17855,Trip[shape_id],Trip[shape_id],"Não encontrado")</f>
        <v/>
      </c>
      <c r="B6644" s="40" t="n">
        <v>-23.533021</v>
      </c>
      <c r="C6644" s="40" t="n">
        <v>-46.540967</v>
      </c>
      <c r="D6644" s="40" t="n">
        <v>465</v>
      </c>
      <c r="E6644" s="41" t="n">
        <v>40407.613</v>
      </c>
    </row>
    <row r="6645">
      <c r="A6645" s="42">
        <f>_xlfn.XLOOKUP(17855,Trip[shape_id],Trip[shape_id],"Não encontrado")</f>
        <v/>
      </c>
      <c r="B6645" s="43" t="n">
        <v>-23.533079</v>
      </c>
      <c r="C6645" s="43" t="n">
        <v>-46.541286</v>
      </c>
      <c r="D6645" s="43" t="n">
        <v>466</v>
      </c>
      <c r="E6645" s="44" t="n">
        <v>40457.855</v>
      </c>
    </row>
    <row r="6646">
      <c r="A6646" s="39">
        <f>_xlfn.XLOOKUP(17855,Trip[shape_id],Trip[shape_id],"Não encontrado")</f>
        <v/>
      </c>
      <c r="B6646" s="40" t="n">
        <v>-23.53317</v>
      </c>
      <c r="C6646" s="40" t="n">
        <v>-46.541768</v>
      </c>
      <c r="D6646" s="40" t="n">
        <v>467</v>
      </c>
      <c r="E6646" s="41" t="n">
        <v>40594.242</v>
      </c>
    </row>
    <row r="6647">
      <c r="A6647" s="42">
        <f>_xlfn.XLOOKUP(17855,Trip[shape_id],Trip[shape_id],"Não encontrado")</f>
        <v/>
      </c>
      <c r="B6647" s="43" t="n">
        <v>-23.53341</v>
      </c>
      <c r="C6647" s="43" t="n">
        <v>-46.543078</v>
      </c>
      <c r="D6647" s="43" t="n">
        <v>468</v>
      </c>
      <c r="E6647" s="44" t="n">
        <v>40747.781</v>
      </c>
    </row>
    <row r="6648">
      <c r="A6648" s="39">
        <f>_xlfn.XLOOKUP(17855,Trip[shape_id],Trip[shape_id],"Não encontrado")</f>
        <v/>
      </c>
      <c r="B6648" s="40" t="n">
        <v>-23.533697</v>
      </c>
      <c r="C6648" s="40" t="n">
        <v>-46.544549</v>
      </c>
      <c r="D6648" s="40" t="n">
        <v>469</v>
      </c>
      <c r="E6648" s="41" t="n">
        <v>40926.941</v>
      </c>
    </row>
    <row r="6649">
      <c r="A6649" s="42">
        <f>_xlfn.XLOOKUP(17855,Trip[shape_id],Trip[shape_id],"Não encontrado")</f>
        <v/>
      </c>
      <c r="B6649" s="43" t="n">
        <v>-23.534059</v>
      </c>
      <c r="C6649" s="43" t="n">
        <v>-46.546259</v>
      </c>
      <c r="D6649" s="43" t="n">
        <v>470</v>
      </c>
      <c r="E6649" s="44" t="n">
        <v>41186.164</v>
      </c>
    </row>
    <row r="6650">
      <c r="A6650" s="39">
        <f>_xlfn.XLOOKUP(17855,Trip[shape_id],Trip[shape_id],"Não encontrado")</f>
        <v/>
      </c>
      <c r="B6650" s="40" t="n">
        <v>-23.534563</v>
      </c>
      <c r="C6650" s="40" t="n">
        <v>-46.548738</v>
      </c>
      <c r="D6650" s="40" t="n">
        <v>471</v>
      </c>
      <c r="E6650" s="41" t="n">
        <v>41288.84</v>
      </c>
    </row>
    <row r="6651">
      <c r="A6651" s="42">
        <f>_xlfn.XLOOKUP(17855,Trip[shape_id],Trip[shape_id],"Não encontrado")</f>
        <v/>
      </c>
      <c r="B6651" s="43" t="n">
        <v>-23.534758</v>
      </c>
      <c r="C6651" s="43" t="n">
        <v>-46.549721</v>
      </c>
      <c r="D6651" s="43" t="n">
        <v>472</v>
      </c>
      <c r="E6651" s="44" t="n">
        <v>41656.258</v>
      </c>
    </row>
    <row r="6652">
      <c r="A6652" s="39">
        <f>_xlfn.XLOOKUP(17855,Trip[shape_id],Trip[shape_id],"Não encontrado")</f>
        <v/>
      </c>
      <c r="B6652" s="40" t="n">
        <v>-23.535467</v>
      </c>
      <c r="C6652" s="40" t="n">
        <v>-46.553236</v>
      </c>
      <c r="D6652" s="40" t="n">
        <v>473</v>
      </c>
      <c r="E6652" s="41" t="n">
        <v>41763.328</v>
      </c>
    </row>
    <row r="6653">
      <c r="A6653" s="42">
        <f>_xlfn.XLOOKUP(17855,Trip[shape_id],Trip[shape_id],"Não encontrado")</f>
        <v/>
      </c>
      <c r="B6653" s="43" t="n">
        <v>-23.535679</v>
      </c>
      <c r="C6653" s="43" t="n">
        <v>-46.554259</v>
      </c>
      <c r="D6653" s="43" t="n">
        <v>474</v>
      </c>
      <c r="E6653" s="44" t="n">
        <v>41928.633</v>
      </c>
    </row>
    <row r="6654">
      <c r="A6654" s="39">
        <f>_xlfn.XLOOKUP(17855,Trip[shape_id],Trip[shape_id],"Não encontrado")</f>
        <v/>
      </c>
      <c r="B6654" s="40" t="n">
        <v>-23.536004</v>
      </c>
      <c r="C6654" s="40" t="n">
        <v>-46.555839</v>
      </c>
      <c r="D6654" s="40" t="n">
        <v>475</v>
      </c>
      <c r="E6654" s="41" t="n">
        <v>42093.473</v>
      </c>
    </row>
    <row r="6655">
      <c r="A6655" s="42">
        <f>_xlfn.XLOOKUP(17855,Trip[shape_id],Trip[shape_id],"Não encontrado")</f>
        <v/>
      </c>
      <c r="B6655" s="43" t="n">
        <v>-23.536322</v>
      </c>
      <c r="C6655" s="43" t="n">
        <v>-46.557416</v>
      </c>
      <c r="D6655" s="43" t="n">
        <v>476</v>
      </c>
      <c r="E6655" s="44" t="n">
        <v>42179.176</v>
      </c>
    </row>
    <row r="6656">
      <c r="A6656" s="39">
        <f>_xlfn.XLOOKUP(17855,Trip[shape_id],Trip[shape_id],"Não encontrado")</f>
        <v/>
      </c>
      <c r="B6656" s="40" t="n">
        <v>-23.536487</v>
      </c>
      <c r="C6656" s="40" t="n">
        <v>-46.558236</v>
      </c>
      <c r="D6656" s="40" t="n">
        <v>477</v>
      </c>
      <c r="E6656" s="41" t="n">
        <v>42325.359</v>
      </c>
    </row>
    <row r="6657">
      <c r="A6657" s="42">
        <f>_xlfn.XLOOKUP(17855,Trip[shape_id],Trip[shape_id],"Não encontrado")</f>
        <v/>
      </c>
      <c r="B6657" s="43" t="n">
        <v>-23.536767</v>
      </c>
      <c r="C6657" s="43" t="n">
        <v>-46.559635</v>
      </c>
      <c r="D6657" s="43" t="n">
        <v>478</v>
      </c>
      <c r="E6657" s="44" t="n">
        <v>42432.836</v>
      </c>
    </row>
    <row r="6658">
      <c r="A6658" s="39">
        <f>_xlfn.XLOOKUP(17855,Trip[shape_id],Trip[shape_id],"Não encontrado")</f>
        <v/>
      </c>
      <c r="B6658" s="40" t="n">
        <v>-23.536971</v>
      </c>
      <c r="C6658" s="40" t="n">
        <v>-46.560664</v>
      </c>
      <c r="D6658" s="40" t="n">
        <v>479</v>
      </c>
      <c r="E6658" s="41" t="n">
        <v>42549.602</v>
      </c>
    </row>
    <row r="6659">
      <c r="A6659" s="42">
        <f>_xlfn.XLOOKUP(17855,Trip[shape_id],Trip[shape_id],"Não encontrado")</f>
        <v/>
      </c>
      <c r="B6659" s="43" t="n">
        <v>-23.537188</v>
      </c>
      <c r="C6659" s="43" t="n">
        <v>-46.561783</v>
      </c>
      <c r="D6659" s="43" t="n">
        <v>480</v>
      </c>
      <c r="E6659" s="44" t="n">
        <v>42653.645</v>
      </c>
    </row>
    <row r="6660">
      <c r="A6660" s="39">
        <f>_xlfn.XLOOKUP(17855,Trip[shape_id],Trip[shape_id],"Não encontrado")</f>
        <v/>
      </c>
      <c r="B6660" s="40" t="n">
        <v>-23.537386</v>
      </c>
      <c r="C6660" s="40" t="n">
        <v>-46.562779</v>
      </c>
      <c r="D6660" s="40" t="n">
        <v>481</v>
      </c>
      <c r="E6660" s="41" t="n">
        <v>42693.871</v>
      </c>
    </row>
    <row r="6661">
      <c r="A6661" s="42">
        <f>_xlfn.XLOOKUP(17855,Trip[shape_id],Trip[shape_id],"Não encontrado")</f>
        <v/>
      </c>
      <c r="B6661" s="43" t="n">
        <v>-23.537463</v>
      </c>
      <c r="C6661" s="43" t="n">
        <v>-46.563164</v>
      </c>
      <c r="D6661" s="43" t="n">
        <v>482</v>
      </c>
      <c r="E6661" s="44" t="n">
        <v>42693.871</v>
      </c>
    </row>
    <row r="6662">
      <c r="A6662" s="39">
        <f>_xlfn.XLOOKUP(17855,Trip[shape_id],Trip[shape_id],"Não encontrado")</f>
        <v/>
      </c>
      <c r="B6662" s="40" t="n">
        <v>-23.537755</v>
      </c>
      <c r="C6662" s="40" t="n">
        <v>-46.56465</v>
      </c>
      <c r="D6662" s="40" t="n">
        <v>483</v>
      </c>
      <c r="E6662" s="41" t="n">
        <v>42971.117</v>
      </c>
    </row>
    <row r="6663">
      <c r="A6663" s="42">
        <f>_xlfn.XLOOKUP(17855,Trip[shape_id],Trip[shape_id],"Não encontrado")</f>
        <v/>
      </c>
      <c r="B6663" s="43" t="n">
        <v>-23.537987</v>
      </c>
      <c r="C6663" s="43" t="n">
        <v>-46.565819</v>
      </c>
      <c r="D6663" s="43" t="n">
        <v>484</v>
      </c>
      <c r="E6663" s="44" t="n">
        <v>43103.676</v>
      </c>
    </row>
    <row r="6664">
      <c r="A6664" s="39">
        <f>_xlfn.XLOOKUP(17855,Trip[shape_id],Trip[shape_id],"Não encontrado")</f>
        <v/>
      </c>
      <c r="B6664" s="40" t="n">
        <v>-23.538235</v>
      </c>
      <c r="C6664" s="40" t="n">
        <v>-46.567089</v>
      </c>
      <c r="D6664" s="40" t="n">
        <v>485</v>
      </c>
      <c r="E6664" s="41" t="n">
        <v>43355.746</v>
      </c>
    </row>
    <row r="6665">
      <c r="A6665" s="42">
        <f>_xlfn.XLOOKUP(17855,Trip[shape_id],Trip[shape_id],"Não encontrado")</f>
        <v/>
      </c>
      <c r="B6665" s="43" t="n">
        <v>-23.538711</v>
      </c>
      <c r="C6665" s="43" t="n">
        <v>-46.569503</v>
      </c>
      <c r="D6665" s="43" t="n">
        <v>486</v>
      </c>
      <c r="E6665" s="44" t="n">
        <v>43549.266</v>
      </c>
    </row>
    <row r="6666">
      <c r="A6666" s="39">
        <f>_xlfn.XLOOKUP(17855,Trip[shape_id],Trip[shape_id],"Não encontrado")</f>
        <v/>
      </c>
      <c r="B6666" s="40" t="n">
        <v>-23.539069</v>
      </c>
      <c r="C6666" s="40" t="n">
        <v>-46.571358</v>
      </c>
      <c r="D6666" s="40" t="n">
        <v>487</v>
      </c>
      <c r="E6666" s="41" t="n">
        <v>43703.52</v>
      </c>
    </row>
    <row r="6667">
      <c r="A6667" s="42">
        <f>_xlfn.XLOOKUP(17855,Trip[shape_id],Trip[shape_id],"Não encontrado")</f>
        <v/>
      </c>
      <c r="B6667" s="43" t="n">
        <v>-23.539378</v>
      </c>
      <c r="C6667" s="43" t="n">
        <v>-46.572831</v>
      </c>
      <c r="D6667" s="43" t="n">
        <v>488</v>
      </c>
      <c r="E6667" s="44" t="n">
        <v>43750.438</v>
      </c>
    </row>
    <row r="6668">
      <c r="A6668" s="39">
        <f>_xlfn.XLOOKUP(17855,Trip[shape_id],Trip[shape_id],"Não encontrado")</f>
        <v/>
      </c>
      <c r="B6668" s="40" t="n">
        <v>-23.5395</v>
      </c>
      <c r="C6668" s="40" t="n">
        <v>-46.573271</v>
      </c>
      <c r="D6668" s="40" t="n">
        <v>489</v>
      </c>
      <c r="E6668" s="41" t="n">
        <v>43814.797</v>
      </c>
    </row>
    <row r="6669">
      <c r="A6669" s="42">
        <f>_xlfn.XLOOKUP(17855,Trip[shape_id],Trip[shape_id],"Não encontrado")</f>
        <v/>
      </c>
      <c r="B6669" s="43" t="n">
        <v>-23.539663</v>
      </c>
      <c r="C6669" s="43" t="n">
        <v>-46.573876</v>
      </c>
      <c r="D6669" s="43" t="n">
        <v>490</v>
      </c>
      <c r="E6669" s="44" t="n">
        <v>43914.758</v>
      </c>
    </row>
    <row r="6670">
      <c r="A6670" s="39">
        <f>_xlfn.XLOOKUP(17855,Trip[shape_id],Trip[shape_id],"Não encontrado")</f>
        <v/>
      </c>
      <c r="B6670" s="40" t="n">
        <v>-23.539902</v>
      </c>
      <c r="C6670" s="40" t="n">
        <v>-46.57482</v>
      </c>
      <c r="D6670" s="40" t="n">
        <v>491</v>
      </c>
      <c r="E6670" s="41" t="n">
        <v>44070.953</v>
      </c>
    </row>
    <row r="6671">
      <c r="A6671" s="42">
        <f>_xlfn.XLOOKUP(17855,Trip[shape_id],Trip[shape_id],"Não encontrado")</f>
        <v/>
      </c>
      <c r="B6671" s="43" t="n">
        <v>-23.540183</v>
      </c>
      <c r="C6671" s="43" t="n">
        <v>-46.576319</v>
      </c>
      <c r="D6671" s="43" t="n">
        <v>492</v>
      </c>
      <c r="E6671" s="44" t="n">
        <v>44100.742</v>
      </c>
    </row>
    <row r="6672">
      <c r="A6672" s="39">
        <f>_xlfn.XLOOKUP(17855,Trip[shape_id],Trip[shape_id],"Não encontrado")</f>
        <v/>
      </c>
      <c r="B6672" s="40" t="n">
        <v>-23.540236</v>
      </c>
      <c r="C6672" s="40" t="n">
        <v>-46.576605</v>
      </c>
      <c r="D6672" s="40" t="n">
        <v>493</v>
      </c>
      <c r="E6672" s="41" t="n">
        <v>44100.742</v>
      </c>
    </row>
    <row r="6673">
      <c r="A6673" s="42">
        <f>_xlfn.XLOOKUP(17855,Trip[shape_id],Trip[shape_id],"Não encontrado")</f>
        <v/>
      </c>
      <c r="B6673" s="43" t="n">
        <v>-23.545309</v>
      </c>
      <c r="C6673" s="43" t="n">
        <v>-46.616511</v>
      </c>
      <c r="D6673" s="43" t="n">
        <v>494</v>
      </c>
      <c r="E6673" s="44" t="n">
        <v>44100.742</v>
      </c>
    </row>
    <row r="6674">
      <c r="A6674" s="39">
        <f>_xlfn.XLOOKUP(17855,Trip[shape_id],Trip[shape_id],"Não encontrado")</f>
        <v/>
      </c>
      <c r="B6674" s="40" t="n">
        <v>-23.544045</v>
      </c>
      <c r="C6674" s="40" t="n">
        <v>-46.617427</v>
      </c>
      <c r="D6674" s="40" t="n">
        <v>495</v>
      </c>
      <c r="E6674" s="41" t="n">
        <v>44269.102</v>
      </c>
    </row>
    <row r="6675">
      <c r="A6675" s="42">
        <f>_xlfn.XLOOKUP(17855,Trip[shape_id],Trip[shape_id],"Não encontrado")</f>
        <v/>
      </c>
      <c r="B6675" s="43" t="n">
        <v>-23.543902</v>
      </c>
      <c r="C6675" s="43" t="n">
        <v>-46.617535</v>
      </c>
      <c r="D6675" s="43" t="n">
        <v>496</v>
      </c>
      <c r="E6675" s="44" t="n">
        <v>44288.398</v>
      </c>
    </row>
    <row r="6676">
      <c r="A6676" s="39">
        <f>_xlfn.XLOOKUP(17855,Trip[shape_id],Trip[shape_id],"Não encontrado")</f>
        <v/>
      </c>
      <c r="B6676" s="40" t="n">
        <v>-23.543431</v>
      </c>
      <c r="C6676" s="40" t="n">
        <v>-46.617892</v>
      </c>
      <c r="D6676" s="40" t="n">
        <v>497</v>
      </c>
      <c r="E6676" s="41" t="n">
        <v>44352.035</v>
      </c>
    </row>
    <row r="6677">
      <c r="A6677" s="42">
        <f>_xlfn.XLOOKUP(17855,Trip[shape_id],Trip[shape_id],"Não encontrado")</f>
        <v/>
      </c>
      <c r="B6677" s="43" t="n">
        <v>-23.542172</v>
      </c>
      <c r="C6677" s="43" t="n">
        <v>-46.618849</v>
      </c>
      <c r="D6677" s="43" t="n">
        <v>498</v>
      </c>
      <c r="E6677" s="44" t="n">
        <v>44522.305</v>
      </c>
    </row>
    <row r="6678">
      <c r="A6678" s="39">
        <f>_xlfn.XLOOKUP(17855,Trip[shape_id],Trip[shape_id],"Não encontrado")</f>
        <v/>
      </c>
      <c r="B6678" s="40" t="n">
        <v>-23.5418</v>
      </c>
      <c r="C6678" s="40" t="n">
        <v>-46.61914</v>
      </c>
      <c r="D6678" s="40" t="n">
        <v>499</v>
      </c>
      <c r="E6678" s="41" t="n">
        <v>44573.102</v>
      </c>
    </row>
    <row r="6679">
      <c r="A6679" s="42">
        <f>_xlfn.XLOOKUP(17855,Trip[shape_id],Trip[shape_id],"Não encontrado")</f>
        <v/>
      </c>
      <c r="B6679" s="43" t="n">
        <v>-23.541417</v>
      </c>
      <c r="C6679" s="43" t="n">
        <v>-46.619441</v>
      </c>
      <c r="D6679" s="43" t="n">
        <v>500</v>
      </c>
      <c r="E6679" s="44" t="n">
        <v>44625.484</v>
      </c>
    </row>
    <row r="6680">
      <c r="A6680" s="39">
        <f>_xlfn.XLOOKUP(17855,Trip[shape_id],Trip[shape_id],"Não encontrado")</f>
        <v/>
      </c>
      <c r="B6680" s="40" t="n">
        <v>-23.540532</v>
      </c>
      <c r="C6680" s="40" t="n">
        <v>-46.62016</v>
      </c>
      <c r="D6680" s="40" t="n">
        <v>501</v>
      </c>
      <c r="E6680" s="41" t="n">
        <v>44747.945</v>
      </c>
    </row>
    <row r="6681">
      <c r="A6681" s="42">
        <f>_xlfn.XLOOKUP(17855,Trip[shape_id],Trip[shape_id],"Não encontrado")</f>
        <v/>
      </c>
      <c r="B6681" s="43" t="n">
        <v>-23.539721</v>
      </c>
      <c r="C6681" s="43" t="n">
        <v>-46.621236</v>
      </c>
      <c r="D6681" s="43" t="n">
        <v>502</v>
      </c>
      <c r="E6681" s="44" t="n">
        <v>44889.859</v>
      </c>
    </row>
    <row r="6682">
      <c r="A6682" s="39">
        <f>_xlfn.XLOOKUP(17855,Trip[shape_id],Trip[shape_id],"Não encontrado")</f>
        <v/>
      </c>
      <c r="B6682" s="40" t="n">
        <v>-23.539133</v>
      </c>
      <c r="C6682" s="40" t="n">
        <v>-46.622165</v>
      </c>
      <c r="D6682" s="40" t="n">
        <v>503</v>
      </c>
      <c r="E6682" s="41" t="n">
        <v>45004.922</v>
      </c>
    </row>
    <row r="6683">
      <c r="A6683" s="42">
        <f>_xlfn.XLOOKUP(17855,Trip[shape_id],Trip[shape_id],"Não encontrado")</f>
        <v/>
      </c>
      <c r="B6683" s="43" t="n">
        <v>-23.538699</v>
      </c>
      <c r="C6683" s="43" t="n">
        <v>-46.623045</v>
      </c>
      <c r="D6683" s="43" t="n">
        <v>504</v>
      </c>
      <c r="E6683" s="44" t="n">
        <v>45106.828</v>
      </c>
    </row>
    <row r="6684">
      <c r="A6684" s="39">
        <f>_xlfn.XLOOKUP(17855,Trip[shape_id],Trip[shape_id],"Não encontrado")</f>
        <v/>
      </c>
      <c r="B6684" s="40" t="n">
        <v>-23.538286</v>
      </c>
      <c r="C6684" s="40" t="n">
        <v>-46.623846</v>
      </c>
      <c r="D6684" s="40" t="n">
        <v>505</v>
      </c>
      <c r="E6684" s="41" t="n">
        <v>45200.539</v>
      </c>
    </row>
    <row r="6685">
      <c r="A6685" s="42">
        <f>_xlfn.XLOOKUP(17855,Trip[shape_id],Trip[shape_id],"Não encontrado")</f>
        <v/>
      </c>
      <c r="B6685" s="43" t="n">
        <v>-23.53791</v>
      </c>
      <c r="C6685" s="43" t="n">
        <v>-46.625032</v>
      </c>
      <c r="D6685" s="43" t="n">
        <v>506</v>
      </c>
      <c r="E6685" s="44" t="n">
        <v>45328.602</v>
      </c>
    </row>
    <row r="6686">
      <c r="A6686" s="39">
        <f>_xlfn.XLOOKUP(17855,Trip[shape_id],Trip[shape_id],"Não encontrado")</f>
        <v/>
      </c>
      <c r="B6686" s="40" t="n">
        <v>-23.537699</v>
      </c>
      <c r="C6686" s="40" t="n">
        <v>-46.625799</v>
      </c>
      <c r="D6686" s="40" t="n">
        <v>507</v>
      </c>
      <c r="E6686" s="41" t="n">
        <v>45410.332</v>
      </c>
    </row>
    <row r="6687">
      <c r="A6687" s="42">
        <f>_xlfn.XLOOKUP(17855,Trip[shape_id],Trip[shape_id],"Não encontrado")</f>
        <v/>
      </c>
      <c r="B6687" s="43" t="n">
        <v>-23.536686</v>
      </c>
      <c r="C6687" s="43" t="n">
        <v>-46.629683</v>
      </c>
      <c r="D6687" s="43" t="n">
        <v>508</v>
      </c>
      <c r="E6687" s="44" t="n">
        <v>45822.5</v>
      </c>
    </row>
    <row r="6688">
      <c r="A6688" s="39">
        <f>_xlfn.XLOOKUP(17855,Trip[shape_id],Trip[shape_id],"Não encontrado")</f>
        <v/>
      </c>
      <c r="B6688" s="40" t="n">
        <v>-23.536199</v>
      </c>
      <c r="C6688" s="40" t="n">
        <v>-46.63151</v>
      </c>
      <c r="D6688" s="40" t="n">
        <v>509</v>
      </c>
      <c r="E6688" s="41" t="n">
        <v>46016.699</v>
      </c>
    </row>
    <row r="6689">
      <c r="A6689" s="42">
        <f>_xlfn.XLOOKUP(17855,Trip[shape_id],Trip[shape_id],"Não encontrado")</f>
        <v/>
      </c>
      <c r="B6689" s="43" t="n">
        <v>-23.535814</v>
      </c>
      <c r="C6689" s="43" t="n">
        <v>-46.633005</v>
      </c>
      <c r="D6689" s="43" t="n">
        <v>510</v>
      </c>
      <c r="E6689" s="44" t="n">
        <v>46175.203</v>
      </c>
    </row>
    <row r="6690">
      <c r="A6690" s="39">
        <f>_xlfn.XLOOKUP(17855,Trip[shape_id],Trip[shape_id],"Não encontrado")</f>
        <v/>
      </c>
      <c r="B6690" s="40" t="n">
        <v>-23.53557</v>
      </c>
      <c r="C6690" s="40" t="n">
        <v>-46.634102</v>
      </c>
      <c r="D6690" s="40" t="n">
        <v>511</v>
      </c>
      <c r="E6690" s="41" t="n">
        <v>46290.434</v>
      </c>
    </row>
    <row r="6691">
      <c r="A6691" s="42">
        <f>_xlfn.XLOOKUP(17855,Trip[shape_id],Trip[shape_id],"Não encontrado")</f>
        <v/>
      </c>
      <c r="B6691" s="43" t="n">
        <v>-23.535167</v>
      </c>
      <c r="C6691" s="43" t="n">
        <v>-46.635349</v>
      </c>
      <c r="D6691" s="43" t="n">
        <v>512</v>
      </c>
      <c r="E6691" s="44" t="n">
        <v>46425.363</v>
      </c>
    </row>
    <row r="6692">
      <c r="A6692" s="39">
        <f>_xlfn.XLOOKUP(17855,Trip[shape_id],Trip[shape_id],"Não encontrado")</f>
        <v/>
      </c>
      <c r="B6692" s="40" t="n">
        <v>-23.535131</v>
      </c>
      <c r="C6692" s="40" t="n">
        <v>-46.635476</v>
      </c>
      <c r="D6692" s="40" t="n">
        <v>513</v>
      </c>
      <c r="E6692" s="41" t="n">
        <v>46521.355</v>
      </c>
    </row>
    <row r="6693">
      <c r="A6693" s="42">
        <f>_xlfn.XLOOKUP(17855,Trip[shape_id],Trip[shape_id],"Não encontrado")</f>
        <v/>
      </c>
      <c r="B6693" s="43" t="n">
        <v>-23.534943</v>
      </c>
      <c r="C6693" s="43" t="n">
        <v>-46.636257</v>
      </c>
      <c r="D6693" s="43" t="n">
        <v>514</v>
      </c>
      <c r="E6693" s="44" t="n">
        <v>46610.414</v>
      </c>
    </row>
    <row r="6694">
      <c r="A6694" s="39">
        <f>_xlfn.XLOOKUP(17855,Trip[shape_id],Trip[shape_id],"Não encontrado")</f>
        <v/>
      </c>
      <c r="B6694" s="40" t="n">
        <v>-23.53473</v>
      </c>
      <c r="C6694" s="40" t="n">
        <v>-46.637098</v>
      </c>
      <c r="D6694" s="40" t="n">
        <v>515</v>
      </c>
      <c r="E6694" s="41" t="n">
        <v>46636.801</v>
      </c>
    </row>
    <row r="6695">
      <c r="A6695" s="42">
        <f>_xlfn.XLOOKUP(17855,Trip[shape_id],Trip[shape_id],"Não encontrado")</f>
        <v/>
      </c>
      <c r="B6695" s="43" t="n">
        <v>-23.53466</v>
      </c>
      <c r="C6695" s="43" t="n">
        <v>-46.637345</v>
      </c>
      <c r="D6695" s="43" t="n">
        <v>516</v>
      </c>
      <c r="E6695" s="44" t="n">
        <v>46781.676</v>
      </c>
    </row>
    <row r="6696">
      <c r="A6696" s="39">
        <f>_xlfn.XLOOKUP(17855,Trip[shape_id],Trip[shape_id],"Não encontrado")</f>
        <v/>
      </c>
      <c r="B6696" s="40" t="n">
        <v>-23.53416</v>
      </c>
      <c r="C6696" s="40" t="n">
        <v>-46.638656</v>
      </c>
      <c r="D6696" s="40" t="n">
        <v>517</v>
      </c>
      <c r="E6696" s="41" t="n">
        <v>46909.332</v>
      </c>
    </row>
    <row r="6697">
      <c r="A6697" s="42">
        <f>_xlfn.XLOOKUP(17855,Trip[shape_id],Trip[shape_id],"Não encontrado")</f>
        <v/>
      </c>
      <c r="B6697" s="43" t="n">
        <v>-23.533477</v>
      </c>
      <c r="C6697" s="43" t="n">
        <v>-46.639663</v>
      </c>
      <c r="D6697" s="43" t="n">
        <v>518</v>
      </c>
      <c r="E6697" s="44" t="n">
        <v>47001.152</v>
      </c>
    </row>
    <row r="6698">
      <c r="A6698" s="39">
        <f>_xlfn.XLOOKUP(17855,Trip[shape_id],Trip[shape_id],"Não encontrado")</f>
        <v/>
      </c>
      <c r="B6698" s="40" t="n">
        <v>-23.53289</v>
      </c>
      <c r="C6698" s="40" t="n">
        <v>-46.640298</v>
      </c>
      <c r="D6698" s="40" t="n">
        <v>519</v>
      </c>
      <c r="E6698" s="41" t="n">
        <v>47200.121</v>
      </c>
    </row>
    <row r="6699">
      <c r="A6699" s="42">
        <f>_xlfn.XLOOKUP(17855,Trip[shape_id],Trip[shape_id],"Não encontrado")</f>
        <v/>
      </c>
      <c r="B6699" s="43" t="n">
        <v>-23.531352</v>
      </c>
      <c r="C6699" s="43" t="n">
        <v>-46.641305</v>
      </c>
      <c r="D6699" s="43" t="n">
        <v>520</v>
      </c>
      <c r="E6699" s="44" t="n">
        <v>47354.254</v>
      </c>
    </row>
    <row r="6700">
      <c r="A6700" s="39">
        <f>_xlfn.XLOOKUP(17855,Trip[shape_id],Trip[shape_id],"Não encontrado")</f>
        <v/>
      </c>
      <c r="B6700" s="40" t="n">
        <v>-23.53012</v>
      </c>
      <c r="C6700" s="40" t="n">
        <v>-46.642007</v>
      </c>
      <c r="D6700" s="40" t="n">
        <v>521</v>
      </c>
      <c r="E6700" s="41" t="n">
        <v>47379.668</v>
      </c>
    </row>
    <row r="6701">
      <c r="A6701" s="42">
        <f>_xlfn.XLOOKUP(17855,Trip[shape_id],Trip[shape_id],"Não encontrado")</f>
        <v/>
      </c>
      <c r="B6701" s="43" t="n">
        <v>-23.529945</v>
      </c>
      <c r="C6701" s="43" t="n">
        <v>-46.642168</v>
      </c>
      <c r="D6701" s="43" t="n">
        <v>522</v>
      </c>
      <c r="E6701" s="44" t="n">
        <v>47379.668</v>
      </c>
    </row>
    <row r="6702">
      <c r="A6702" s="39">
        <f>_xlfn.XLOOKUP(17855,Trip[shape_id],Trip[shape_id],"Não encontrado")</f>
        <v/>
      </c>
      <c r="B6702" s="40" t="n">
        <v>-23.529282</v>
      </c>
      <c r="C6702" s="40" t="n">
        <v>-46.642809</v>
      </c>
      <c r="D6702" s="40" t="n">
        <v>523</v>
      </c>
      <c r="E6702" s="41" t="n">
        <v>47531.652</v>
      </c>
    </row>
    <row r="6703">
      <c r="A6703" s="42">
        <f>_xlfn.XLOOKUP(17855,Trip[shape_id],Trip[shape_id],"Não encontrado")</f>
        <v/>
      </c>
      <c r="B6703" s="43" t="n">
        <v>-23.528962</v>
      </c>
      <c r="C6703" s="43" t="n">
        <v>-46.643203</v>
      </c>
      <c r="D6703" s="43" t="n">
        <v>524</v>
      </c>
      <c r="E6703" s="44" t="n">
        <v>47583.688</v>
      </c>
    </row>
    <row r="6704">
      <c r="A6704" s="39">
        <f>_xlfn.XLOOKUP(17855,Trip[shape_id],Trip[shape_id],"Não encontrado")</f>
        <v/>
      </c>
      <c r="B6704" s="40" t="n">
        <v>-23.528683</v>
      </c>
      <c r="C6704" s="40" t="n">
        <v>-46.643613</v>
      </c>
      <c r="D6704" s="40" t="n">
        <v>525</v>
      </c>
      <c r="E6704" s="41" t="n">
        <v>47677.941</v>
      </c>
    </row>
    <row r="6705">
      <c r="A6705" s="42">
        <f>_xlfn.XLOOKUP(17855,Trip[shape_id],Trip[shape_id],"Não encontrado")</f>
        <v/>
      </c>
      <c r="B6705" s="43" t="n">
        <v>-23.528246</v>
      </c>
      <c r="C6705" s="43" t="n">
        <v>-46.644405</v>
      </c>
      <c r="D6705" s="43" t="n">
        <v>526</v>
      </c>
      <c r="E6705" s="44" t="n">
        <v>47735.457</v>
      </c>
    </row>
    <row r="6706">
      <c r="A6706" s="39">
        <f>_xlfn.XLOOKUP(17855,Trip[shape_id],Trip[shape_id],"Não encontrado")</f>
        <v/>
      </c>
      <c r="B6706" s="40" t="n">
        <v>-23.528058</v>
      </c>
      <c r="C6706" s="40" t="n">
        <v>-46.64493</v>
      </c>
      <c r="D6706" s="40" t="n">
        <v>527</v>
      </c>
      <c r="E6706" s="41" t="n">
        <v>47776.848</v>
      </c>
    </row>
    <row r="6707">
      <c r="A6707" s="42">
        <f>_xlfn.XLOOKUP(17855,Trip[shape_id],Trip[shape_id],"Não encontrado")</f>
        <v/>
      </c>
      <c r="B6707" s="43" t="n">
        <v>-23.527944</v>
      </c>
      <c r="C6707" s="43" t="n">
        <v>-46.645316</v>
      </c>
      <c r="D6707" s="43" t="n">
        <v>528</v>
      </c>
      <c r="E6707" s="44" t="n">
        <v>47840.063</v>
      </c>
    </row>
    <row r="6708">
      <c r="A6708" s="39">
        <f>_xlfn.XLOOKUP(17855,Trip[shape_id],Trip[shape_id],"Não encontrado")</f>
        <v/>
      </c>
      <c r="B6708" s="40" t="n">
        <v>-23.527815</v>
      </c>
      <c r="C6708" s="40" t="n">
        <v>-46.645919</v>
      </c>
      <c r="D6708" s="40" t="n">
        <v>529</v>
      </c>
      <c r="E6708" s="41" t="n">
        <v>47907.254</v>
      </c>
    </row>
    <row r="6709">
      <c r="A6709" s="42">
        <f>_xlfn.XLOOKUP(17855,Trip[shape_id],Trip[shape_id],"Não encontrado")</f>
        <v/>
      </c>
      <c r="B6709" s="43" t="n">
        <v>-23.527727</v>
      </c>
      <c r="C6709" s="43" t="n">
        <v>-46.64657</v>
      </c>
      <c r="D6709" s="43" t="n">
        <v>530</v>
      </c>
      <c r="E6709" s="44" t="n">
        <v>47948.617</v>
      </c>
    </row>
    <row r="6710">
      <c r="A6710" s="39">
        <f>_xlfn.XLOOKUP(17855,Trip[shape_id],Trip[shape_id],"Não encontrado")</f>
        <v/>
      </c>
      <c r="B6710" s="40" t="n">
        <v>-23.527721</v>
      </c>
      <c r="C6710" s="40" t="n">
        <v>-46.646975</v>
      </c>
      <c r="D6710" s="40" t="n">
        <v>531</v>
      </c>
      <c r="E6710" s="41" t="n">
        <v>48113.965</v>
      </c>
    </row>
    <row r="6711">
      <c r="A6711" s="42">
        <f>_xlfn.XLOOKUP(17855,Trip[shape_id],Trip[shape_id],"Não encontrado")</f>
        <v/>
      </c>
      <c r="B6711" s="43" t="n">
        <v>-23.527851</v>
      </c>
      <c r="C6711" s="43" t="n">
        <v>-46.648588</v>
      </c>
      <c r="D6711" s="43" t="n">
        <v>532</v>
      </c>
      <c r="E6711" s="44" t="n">
        <v>48209.473</v>
      </c>
    </row>
    <row r="6712">
      <c r="A6712" s="39">
        <f>_xlfn.XLOOKUP(17855,Trip[shape_id],Trip[shape_id],"Não encontrado")</f>
        <v/>
      </c>
      <c r="B6712" s="40" t="n">
        <v>-23.527923</v>
      </c>
      <c r="C6712" s="40" t="n">
        <v>-46.64952</v>
      </c>
      <c r="D6712" s="40" t="n">
        <v>533</v>
      </c>
      <c r="E6712" s="41" t="n">
        <v>48447.23</v>
      </c>
    </row>
    <row r="6713">
      <c r="A6713" s="42">
        <f>_xlfn.XLOOKUP(17855,Trip[shape_id],Trip[shape_id],"Não encontrado")</f>
        <v/>
      </c>
      <c r="B6713" s="43" t="n">
        <v>-23.52808</v>
      </c>
      <c r="C6713" s="43" t="n">
        <v>-46.651842</v>
      </c>
      <c r="D6713" s="43" t="n">
        <v>534</v>
      </c>
      <c r="E6713" s="44" t="n">
        <v>48532.996</v>
      </c>
    </row>
    <row r="6714">
      <c r="A6714" s="39">
        <f>_xlfn.XLOOKUP(17855,Trip[shape_id],Trip[shape_id],"Não encontrado")</f>
        <v/>
      </c>
      <c r="B6714" s="40" t="n">
        <v>-23.527997</v>
      </c>
      <c r="C6714" s="40" t="n">
        <v>-46.652677</v>
      </c>
      <c r="D6714" s="40" t="n">
        <v>535</v>
      </c>
      <c r="E6714" s="41" t="n">
        <v>48668.871</v>
      </c>
    </row>
    <row r="6715">
      <c r="A6715" s="42">
        <f>_xlfn.XLOOKUP(17855,Trip[shape_id],Trip[shape_id],"Não encontrado")</f>
        <v/>
      </c>
      <c r="B6715" s="43" t="n">
        <v>-23.527662</v>
      </c>
      <c r="C6715" s="43" t="n">
        <v>-46.653957</v>
      </c>
      <c r="D6715" s="43" t="n">
        <v>536</v>
      </c>
      <c r="E6715" s="44" t="n">
        <v>48898.871</v>
      </c>
    </row>
    <row r="6716">
      <c r="A6716" s="39">
        <f>_xlfn.XLOOKUP(17855,Trip[shape_id],Trip[shape_id],"Não encontrado")</f>
        <v/>
      </c>
      <c r="B6716" s="40" t="n">
        <v>-23.527023</v>
      </c>
      <c r="C6716" s="40" t="n">
        <v>-46.6561</v>
      </c>
      <c r="D6716" s="40" t="n">
        <v>537</v>
      </c>
      <c r="E6716" s="41" t="n">
        <v>49209.887</v>
      </c>
    </row>
    <row r="6717">
      <c r="A6717" s="42">
        <f>_xlfn.XLOOKUP(17855,Trip[shape_id],Trip[shape_id],"Não encontrado")</f>
        <v/>
      </c>
      <c r="B6717" s="43" t="n">
        <v>-23.526247</v>
      </c>
      <c r="C6717" s="43" t="n">
        <v>-46.659027</v>
      </c>
      <c r="D6717" s="43" t="n">
        <v>538</v>
      </c>
      <c r="E6717" s="44" t="n">
        <v>49389.355</v>
      </c>
    </row>
    <row r="6718">
      <c r="A6718" s="39">
        <f>_xlfn.XLOOKUP(17855,Trip[shape_id],Trip[shape_id],"Não encontrado")</f>
        <v/>
      </c>
      <c r="B6718" s="40" t="n">
        <v>-23.525885</v>
      </c>
      <c r="C6718" s="40" t="n">
        <v>-46.66074</v>
      </c>
      <c r="D6718" s="40" t="n">
        <v>539</v>
      </c>
      <c r="E6718" s="41" t="n">
        <v>49767.688</v>
      </c>
    </row>
    <row r="6719">
      <c r="A6719" s="42">
        <f>_xlfn.XLOOKUP(17855,Trip[shape_id],Trip[shape_id],"Não encontrado")</f>
        <v/>
      </c>
      <c r="B6719" s="43" t="n">
        <v>-23.525499</v>
      </c>
      <c r="C6719" s="43" t="n">
        <v>-46.664421</v>
      </c>
      <c r="D6719" s="43" t="n">
        <v>540</v>
      </c>
      <c r="E6719" s="44" t="n">
        <v>49970.727</v>
      </c>
    </row>
    <row r="6720">
      <c r="A6720" s="39">
        <f>_xlfn.XLOOKUP(17855,Trip[shape_id],Trip[shape_id],"Não encontrado")</f>
        <v/>
      </c>
      <c r="B6720" s="40" t="n">
        <v>-23.525288</v>
      </c>
      <c r="C6720" s="40" t="n">
        <v>-46.666396</v>
      </c>
      <c r="D6720" s="40" t="n">
        <v>541</v>
      </c>
      <c r="E6720" s="41" t="n">
        <v>50037.684</v>
      </c>
    </row>
    <row r="6721">
      <c r="A6721" s="42">
        <f>_xlfn.XLOOKUP(17855,Trip[shape_id],Trip[shape_id],"Não encontrado")</f>
        <v/>
      </c>
      <c r="B6721" s="43" t="n">
        <v>-23.52559</v>
      </c>
      <c r="C6721" s="43" t="n">
        <v>-46.666964</v>
      </c>
      <c r="D6721" s="43" t="n">
        <v>542</v>
      </c>
      <c r="E6721" s="44" t="n">
        <v>50037.684</v>
      </c>
    </row>
    <row r="6722">
      <c r="A6722" s="39">
        <f>_xlfn.XLOOKUP(17856,Trip[shape_id],Trip[shape_id],"Não encontrado")</f>
        <v/>
      </c>
      <c r="B6722" s="40" t="n">
        <v>-23.540236</v>
      </c>
      <c r="C6722" s="40" t="n">
        <v>-46.576605</v>
      </c>
      <c r="D6722" s="40" t="n">
        <v>1</v>
      </c>
      <c r="E6722" s="41" t="n">
        <v>0</v>
      </c>
    </row>
    <row r="6723">
      <c r="A6723" s="42">
        <f>_xlfn.XLOOKUP(17856,Trip[shape_id],Trip[shape_id],"Não encontrado")</f>
        <v/>
      </c>
      <c r="B6723" s="43" t="n">
        <v>-23.540031</v>
      </c>
      <c r="C6723" s="43" t="n">
        <v>-46.576484</v>
      </c>
      <c r="D6723" s="43" t="n">
        <v>2</v>
      </c>
      <c r="E6723" s="44" t="n">
        <v>25.848314</v>
      </c>
    </row>
    <row r="6724">
      <c r="A6724" s="39">
        <f>_xlfn.XLOOKUP(17856,Trip[shape_id],Trip[shape_id],"Não encontrado")</f>
        <v/>
      </c>
      <c r="B6724" s="40" t="n">
        <v>-23.539976</v>
      </c>
      <c r="C6724" s="40" t="n">
        <v>-46.576143</v>
      </c>
      <c r="D6724" s="40" t="n">
        <v>3</v>
      </c>
      <c r="E6724" s="41" t="n">
        <v>61.196747</v>
      </c>
    </row>
    <row r="6725">
      <c r="A6725" s="42">
        <f>_xlfn.XLOOKUP(17856,Trip[shape_id],Trip[shape_id],"Não encontrado")</f>
        <v/>
      </c>
      <c r="B6725" s="43" t="n">
        <v>-23.539768</v>
      </c>
      <c r="C6725" s="43" t="n">
        <v>-46.575</v>
      </c>
      <c r="D6725" s="43" t="n">
        <v>4</v>
      </c>
      <c r="E6725" s="44" t="n">
        <v>180.16046</v>
      </c>
    </row>
    <row r="6726">
      <c r="A6726" s="39">
        <f>_xlfn.XLOOKUP(17856,Trip[shape_id],Trip[shape_id],"Não encontrado")</f>
        <v/>
      </c>
      <c r="B6726" s="40" t="n">
        <v>-23.539698</v>
      </c>
      <c r="C6726" s="40" t="n">
        <v>-46.574652</v>
      </c>
      <c r="D6726" s="40" t="n">
        <v>5</v>
      </c>
      <c r="E6726" s="41" t="n">
        <v>216.53079</v>
      </c>
    </row>
    <row r="6727">
      <c r="A6727" s="42">
        <f>_xlfn.XLOOKUP(17856,Trip[shape_id],Trip[shape_id],"Não encontrado")</f>
        <v/>
      </c>
      <c r="B6727" s="43" t="n">
        <v>-23.539519</v>
      </c>
      <c r="C6727" s="43" t="n">
        <v>-46.573848</v>
      </c>
      <c r="D6727" s="43" t="n">
        <v>6</v>
      </c>
      <c r="E6727" s="44" t="n">
        <v>300.98734</v>
      </c>
    </row>
    <row r="6728">
      <c r="A6728" s="39">
        <f>_xlfn.XLOOKUP(17856,Trip[shape_id],Trip[shape_id],"Não encontrado")</f>
        <v/>
      </c>
      <c r="B6728" s="40" t="n">
        <v>-23.539054</v>
      </c>
      <c r="C6728" s="40" t="n">
        <v>-46.571694</v>
      </c>
      <c r="D6728" s="40" t="n">
        <v>7</v>
      </c>
      <c r="E6728" s="41" t="n">
        <v>526.88257</v>
      </c>
    </row>
    <row r="6729">
      <c r="A6729" s="42">
        <f>_xlfn.XLOOKUP(17856,Trip[shape_id],Trip[shape_id],"Não encontrado")</f>
        <v/>
      </c>
      <c r="B6729" s="43" t="n">
        <v>-23.538953</v>
      </c>
      <c r="C6729" s="43" t="n">
        <v>-46.571195</v>
      </c>
      <c r="D6729" s="43" t="n">
        <v>8</v>
      </c>
      <c r="E6729" s="44" t="n">
        <v>579.04938</v>
      </c>
    </row>
    <row r="6730">
      <c r="A6730" s="39">
        <f>_xlfn.XLOOKUP(17856,Trip[shape_id],Trip[shape_id],"Não encontrado")</f>
        <v/>
      </c>
      <c r="B6730" s="40" t="n">
        <v>-23.53877</v>
      </c>
      <c r="C6730" s="40" t="n">
        <v>-46.570262</v>
      </c>
      <c r="D6730" s="40" t="n">
        <v>9</v>
      </c>
      <c r="E6730" s="41" t="n">
        <v>676.45099</v>
      </c>
    </row>
    <row r="6731">
      <c r="A6731" s="42">
        <f>_xlfn.XLOOKUP(17856,Trip[shape_id],Trip[shape_id],"Não encontrado")</f>
        <v/>
      </c>
      <c r="B6731" s="43" t="n">
        <v>-23.538639</v>
      </c>
      <c r="C6731" s="43" t="n">
        <v>-46.56957</v>
      </c>
      <c r="D6731" s="43" t="n">
        <v>10</v>
      </c>
      <c r="E6731" s="44" t="n">
        <v>748.58606</v>
      </c>
    </row>
    <row r="6732">
      <c r="A6732" s="39">
        <f>_xlfn.XLOOKUP(17856,Trip[shape_id],Trip[shape_id],"Não encontrado")</f>
        <v/>
      </c>
      <c r="B6732" s="40" t="n">
        <v>-23.537756</v>
      </c>
      <c r="C6732" s="40" t="n">
        <v>-46.565093</v>
      </c>
      <c r="D6732" s="40" t="n">
        <v>11</v>
      </c>
      <c r="E6732" s="41" t="n">
        <v>1216.0825</v>
      </c>
    </row>
    <row r="6733">
      <c r="A6733" s="42">
        <f>_xlfn.XLOOKUP(17856,Trip[shape_id],Trip[shape_id],"Não encontrado")</f>
        <v/>
      </c>
      <c r="B6733" s="43" t="n">
        <v>-23.537393</v>
      </c>
      <c r="C6733" s="43" t="n">
        <v>-46.563283</v>
      </c>
      <c r="D6733" s="43" t="n">
        <v>12</v>
      </c>
      <c r="E6733" s="44" t="n">
        <v>1405.2273</v>
      </c>
    </row>
    <row r="6734">
      <c r="A6734" s="39">
        <f>_xlfn.XLOOKUP(17856,Trip[shape_id],Trip[shape_id],"Não encontrado")</f>
        <v/>
      </c>
      <c r="B6734" s="40" t="n">
        <v>-23.536785</v>
      </c>
      <c r="C6734" s="40" t="n">
        <v>-46.5602</v>
      </c>
      <c r="D6734" s="40" t="n">
        <v>13</v>
      </c>
      <c r="E6734" s="41" t="n">
        <v>1727.1609</v>
      </c>
    </row>
    <row r="6735">
      <c r="A6735" s="42">
        <f>_xlfn.XLOOKUP(17856,Trip[shape_id],Trip[shape_id],"Não encontrado")</f>
        <v/>
      </c>
      <c r="B6735" s="43" t="n">
        <v>-23.53633</v>
      </c>
      <c r="C6735" s="43" t="n">
        <v>-46.55786</v>
      </c>
      <c r="D6735" s="43" t="n">
        <v>14</v>
      </c>
      <c r="E6735" s="44" t="n">
        <v>1971.3608</v>
      </c>
    </row>
    <row r="6736">
      <c r="A6736" s="39">
        <f>_xlfn.XLOOKUP(17856,Trip[shape_id],Trip[shape_id],"Não encontrado")</f>
        <v/>
      </c>
      <c r="B6736" s="40" t="n">
        <v>-23.536206</v>
      </c>
      <c r="C6736" s="40" t="n">
        <v>-46.557216</v>
      </c>
      <c r="D6736" s="40" t="n">
        <v>15</v>
      </c>
      <c r="E6736" s="41" t="n">
        <v>2038.5403</v>
      </c>
    </row>
    <row r="6737">
      <c r="A6737" s="42">
        <f>_xlfn.XLOOKUP(17856,Trip[shape_id],Trip[shape_id],"Não encontrado")</f>
        <v/>
      </c>
      <c r="B6737" s="43" t="n">
        <v>-23.536002</v>
      </c>
      <c r="C6737" s="43" t="n">
        <v>-46.556353</v>
      </c>
      <c r="D6737" s="43" t="n">
        <v>16</v>
      </c>
      <c r="E6737" s="44" t="n">
        <v>2129.5142</v>
      </c>
    </row>
    <row r="6738">
      <c r="A6738" s="39">
        <f>_xlfn.XLOOKUP(17856,Trip[shape_id],Trip[shape_id],"Não encontrado")</f>
        <v/>
      </c>
      <c r="B6738" s="40" t="n">
        <v>-23.535872</v>
      </c>
      <c r="C6738" s="40" t="n">
        <v>-46.55594</v>
      </c>
      <c r="D6738" s="40" t="n">
        <v>17</v>
      </c>
      <c r="E6738" s="41" t="n">
        <v>2174.0769</v>
      </c>
    </row>
    <row r="6739">
      <c r="A6739" s="42">
        <f>_xlfn.XLOOKUP(17856,Trip[shape_id],Trip[shape_id],"Não encontrado")</f>
        <v/>
      </c>
      <c r="B6739" s="43" t="n">
        <v>-23.535782</v>
      </c>
      <c r="C6739" s="43" t="n">
        <v>-46.555645</v>
      </c>
      <c r="D6739" s="43" t="n">
        <v>18</v>
      </c>
      <c r="E6739" s="44" t="n">
        <v>2205.8066</v>
      </c>
    </row>
    <row r="6740">
      <c r="A6740" s="39">
        <f>_xlfn.XLOOKUP(17856,Trip[shape_id],Trip[shape_id],"Não encontrado")</f>
        <v/>
      </c>
      <c r="B6740" s="40" t="n">
        <v>-23.535494</v>
      </c>
      <c r="C6740" s="40" t="n">
        <v>-46.555172</v>
      </c>
      <c r="D6740" s="40" t="n">
        <v>19</v>
      </c>
      <c r="E6740" s="41" t="n">
        <v>2263.688</v>
      </c>
    </row>
    <row r="6741">
      <c r="A6741" s="42">
        <f>_xlfn.XLOOKUP(17856,Trip[shape_id],Trip[shape_id],"Não encontrado")</f>
        <v/>
      </c>
      <c r="B6741" s="43" t="n">
        <v>-23.53515</v>
      </c>
      <c r="C6741" s="43" t="n">
        <v>-46.554775</v>
      </c>
      <c r="D6741" s="43" t="n">
        <v>20</v>
      </c>
      <c r="E6741" s="44" t="n">
        <v>2319.3201</v>
      </c>
    </row>
    <row r="6742">
      <c r="A6742" s="39">
        <f>_xlfn.XLOOKUP(17856,Trip[shape_id],Trip[shape_id],"Não encontrado")</f>
        <v/>
      </c>
      <c r="B6742" s="40" t="n">
        <v>-23.534561</v>
      </c>
      <c r="C6742" s="40" t="n">
        <v>-46.554417</v>
      </c>
      <c r="D6742" s="40" t="n">
        <v>21</v>
      </c>
      <c r="E6742" s="41" t="n">
        <v>2394.0979</v>
      </c>
    </row>
    <row r="6743">
      <c r="A6743" s="42">
        <f>_xlfn.XLOOKUP(17856,Trip[shape_id],Trip[shape_id],"Não encontrado")</f>
        <v/>
      </c>
      <c r="B6743" s="43" t="n">
        <v>-23.534185</v>
      </c>
      <c r="C6743" s="43" t="n">
        <v>-46.554214</v>
      </c>
      <c r="D6743" s="43" t="n">
        <v>22</v>
      </c>
      <c r="E6743" s="44" t="n">
        <v>2440.6145</v>
      </c>
    </row>
    <row r="6744">
      <c r="A6744" s="39">
        <f>_xlfn.XLOOKUP(17856,Trip[shape_id],Trip[shape_id],"Não encontrado")</f>
        <v/>
      </c>
      <c r="B6744" s="40" t="n">
        <v>-23.534041</v>
      </c>
      <c r="C6744" s="40" t="n">
        <v>-46.554127</v>
      </c>
      <c r="D6744" s="40" t="n">
        <v>23</v>
      </c>
      <c r="E6744" s="41" t="n">
        <v>2458.8701</v>
      </c>
    </row>
    <row r="6745">
      <c r="A6745" s="42">
        <f>_xlfn.XLOOKUP(17856,Trip[shape_id],Trip[shape_id],"Não encontrado")</f>
        <v/>
      </c>
      <c r="B6745" s="43" t="n">
        <v>-23.533238</v>
      </c>
      <c r="C6745" s="43" t="n">
        <v>-46.553728</v>
      </c>
      <c r="D6745" s="43" t="n">
        <v>24</v>
      </c>
      <c r="E6745" s="44" t="n">
        <v>2556.6926</v>
      </c>
    </row>
    <row r="6746">
      <c r="A6746" s="39">
        <f>_xlfn.XLOOKUP(17856,Trip[shape_id],Trip[shape_id],"Não encontrado")</f>
        <v/>
      </c>
      <c r="B6746" s="40" t="n">
        <v>-23.532688</v>
      </c>
      <c r="C6746" s="40" t="n">
        <v>-46.553514</v>
      </c>
      <c r="D6746" s="40" t="n">
        <v>25</v>
      </c>
      <c r="E6746" s="41" t="n">
        <v>2621.4072</v>
      </c>
    </row>
    <row r="6747">
      <c r="A6747" s="42">
        <f>_xlfn.XLOOKUP(17856,Trip[shape_id],Trip[shape_id],"Não encontrado")</f>
        <v/>
      </c>
      <c r="B6747" s="43" t="n">
        <v>-23.532305</v>
      </c>
      <c r="C6747" s="43" t="n">
        <v>-46.553437</v>
      </c>
      <c r="D6747" s="43" t="n">
        <v>26</v>
      </c>
      <c r="E6747" s="44" t="n">
        <v>2664.5476</v>
      </c>
    </row>
    <row r="6748">
      <c r="A6748" s="39">
        <f>_xlfn.XLOOKUP(17856,Trip[shape_id],Trip[shape_id],"Não encontrado")</f>
        <v/>
      </c>
      <c r="B6748" s="40" t="n">
        <v>-23.531716</v>
      </c>
      <c r="C6748" s="40" t="n">
        <v>-46.553385</v>
      </c>
      <c r="D6748" s="40" t="n">
        <v>27</v>
      </c>
      <c r="E6748" s="41" t="n">
        <v>2729.9961</v>
      </c>
    </row>
    <row r="6749">
      <c r="A6749" s="42">
        <f>_xlfn.XLOOKUP(17856,Trip[shape_id],Trip[shape_id],"Não encontrado")</f>
        <v/>
      </c>
      <c r="B6749" s="43" t="n">
        <v>-23.531083</v>
      </c>
      <c r="C6749" s="43" t="n">
        <v>-46.553359</v>
      </c>
      <c r="D6749" s="43" t="n">
        <v>28</v>
      </c>
      <c r="E6749" s="44" t="n">
        <v>2800.1521</v>
      </c>
    </row>
    <row r="6750">
      <c r="A6750" s="39">
        <f>_xlfn.XLOOKUP(17856,Trip[shape_id],Trip[shape_id],"Não encontrado")</f>
        <v/>
      </c>
      <c r="B6750" s="40" t="n">
        <v>-23.53005</v>
      </c>
      <c r="C6750" s="40" t="n">
        <v>-46.553377</v>
      </c>
      <c r="D6750" s="40" t="n">
        <v>29</v>
      </c>
      <c r="E6750" s="41" t="n">
        <v>2914.5732</v>
      </c>
    </row>
    <row r="6751">
      <c r="A6751" s="42">
        <f>_xlfn.XLOOKUP(17856,Trip[shape_id],Trip[shape_id],"Não encontrado")</f>
        <v/>
      </c>
      <c r="B6751" s="43" t="n">
        <v>-23.529116</v>
      </c>
      <c r="C6751" s="43" t="n">
        <v>-46.553351</v>
      </c>
      <c r="D6751" s="43" t="n">
        <v>30</v>
      </c>
      <c r="E6751" s="44" t="n">
        <v>3018.0491</v>
      </c>
    </row>
    <row r="6752">
      <c r="A6752" s="39">
        <f>_xlfn.XLOOKUP(17856,Trip[shape_id],Trip[shape_id],"Não encontrado")</f>
        <v/>
      </c>
      <c r="B6752" s="40" t="n">
        <v>-23.527417</v>
      </c>
      <c r="C6752" s="40" t="n">
        <v>-46.553335</v>
      </c>
      <c r="D6752" s="40" t="n">
        <v>31</v>
      </c>
      <c r="E6752" s="41" t="n">
        <v>3206.2229</v>
      </c>
    </row>
    <row r="6753">
      <c r="A6753" s="42">
        <f>_xlfn.XLOOKUP(17856,Trip[shape_id],Trip[shape_id],"Não encontrado")</f>
        <v/>
      </c>
      <c r="B6753" s="43" t="n">
        <v>-23.526267</v>
      </c>
      <c r="C6753" s="43" t="n">
        <v>-46.553342</v>
      </c>
      <c r="D6753" s="43" t="n">
        <v>32</v>
      </c>
      <c r="E6753" s="44" t="n">
        <v>3333.5891</v>
      </c>
    </row>
    <row r="6754">
      <c r="A6754" s="39">
        <f>_xlfn.XLOOKUP(17856,Trip[shape_id],Trip[shape_id],"Não encontrado")</f>
        <v/>
      </c>
      <c r="B6754" s="40" t="n">
        <v>-23.525535</v>
      </c>
      <c r="C6754" s="40" t="n">
        <v>-46.553303</v>
      </c>
      <c r="D6754" s="40" t="n">
        <v>33</v>
      </c>
      <c r="E6754" s="41" t="n">
        <v>3414.7568</v>
      </c>
    </row>
    <row r="6755">
      <c r="A6755" s="42">
        <f>_xlfn.XLOOKUP(17856,Trip[shape_id],Trip[shape_id],"Não encontrado")</f>
        <v/>
      </c>
      <c r="B6755" s="43" t="n">
        <v>-23.525068</v>
      </c>
      <c r="C6755" s="43" t="n">
        <v>-46.553288</v>
      </c>
      <c r="D6755" s="43" t="n">
        <v>34</v>
      </c>
      <c r="E6755" s="44" t="n">
        <v>3466.5005</v>
      </c>
    </row>
    <row r="6756">
      <c r="A6756" s="39">
        <f>_xlfn.XLOOKUP(17856,Trip[shape_id],Trip[shape_id],"Não encontrado")</f>
        <v/>
      </c>
      <c r="B6756" s="40" t="n">
        <v>-23.52469</v>
      </c>
      <c r="C6756" s="40" t="n">
        <v>-46.553166</v>
      </c>
      <c r="D6756" s="40" t="n">
        <v>35</v>
      </c>
      <c r="E6756" s="41" t="n">
        <v>3510.179</v>
      </c>
    </row>
    <row r="6757">
      <c r="A6757" s="42">
        <f>_xlfn.XLOOKUP(17856,Trip[shape_id],Trip[shape_id],"Não encontrado")</f>
        <v/>
      </c>
      <c r="B6757" s="43" t="n">
        <v>-23.524173</v>
      </c>
      <c r="C6757" s="43" t="n">
        <v>-46.552947</v>
      </c>
      <c r="D6757" s="43" t="n">
        <v>36</v>
      </c>
      <c r="E6757" s="44" t="n">
        <v>3571.6501</v>
      </c>
    </row>
    <row r="6758">
      <c r="A6758" s="39">
        <f>_xlfn.XLOOKUP(17856,Trip[shape_id],Trip[shape_id],"Não encontrado")</f>
        <v/>
      </c>
      <c r="B6758" s="40" t="n">
        <v>-23.521081</v>
      </c>
      <c r="C6758" s="40" t="n">
        <v>-46.5511</v>
      </c>
      <c r="D6758" s="40" t="n">
        <v>37</v>
      </c>
      <c r="E6758" s="41" t="n">
        <v>3962.605</v>
      </c>
    </row>
    <row r="6759">
      <c r="A6759" s="42">
        <f>_xlfn.XLOOKUP(17856,Trip[shape_id],Trip[shape_id],"Não encontrado")</f>
        <v/>
      </c>
      <c r="B6759" s="43" t="n">
        <v>-23.520548</v>
      </c>
      <c r="C6759" s="43" t="n">
        <v>-46.550928</v>
      </c>
      <c r="D6759" s="43" t="n">
        <v>38</v>
      </c>
      <c r="E6759" s="44" t="n">
        <v>4024.1934</v>
      </c>
    </row>
    <row r="6760">
      <c r="A6760" s="39">
        <f>_xlfn.XLOOKUP(17856,Trip[shape_id],Trip[shape_id],"Não encontrado")</f>
        <v/>
      </c>
      <c r="B6760" s="40" t="n">
        <v>-23.520002</v>
      </c>
      <c r="C6760" s="40" t="n">
        <v>-46.550807</v>
      </c>
      <c r="D6760" s="40" t="n">
        <v>39</v>
      </c>
      <c r="E6760" s="41" t="n">
        <v>4085.9133</v>
      </c>
    </row>
    <row r="6761">
      <c r="A6761" s="42">
        <f>_xlfn.XLOOKUP(17856,Trip[shape_id],Trip[shape_id],"Não encontrado")</f>
        <v/>
      </c>
      <c r="B6761" s="43" t="n">
        <v>-23.519042</v>
      </c>
      <c r="C6761" s="43" t="n">
        <v>-46.550762</v>
      </c>
      <c r="D6761" s="43" t="n">
        <v>40</v>
      </c>
      <c r="E6761" s="44" t="n">
        <v>4192.334</v>
      </c>
    </row>
    <row r="6762">
      <c r="A6762" s="39">
        <f>_xlfn.XLOOKUP(17856,Trip[shape_id],Trip[shape_id],"Não encontrado")</f>
        <v/>
      </c>
      <c r="B6762" s="40" t="n">
        <v>-23.51805</v>
      </c>
      <c r="C6762" s="40" t="n">
        <v>-46.550749</v>
      </c>
      <c r="D6762" s="40" t="n">
        <v>41</v>
      </c>
      <c r="E6762" s="41" t="n">
        <v>4302.2075</v>
      </c>
    </row>
    <row r="6763">
      <c r="A6763" s="42">
        <f>_xlfn.XLOOKUP(17856,Trip[shape_id],Trip[shape_id],"Não encontrado")</f>
        <v/>
      </c>
      <c r="B6763" s="43" t="n">
        <v>-23.517643</v>
      </c>
      <c r="C6763" s="43" t="n">
        <v>-46.550738</v>
      </c>
      <c r="D6763" s="43" t="n">
        <v>42</v>
      </c>
      <c r="E6763" s="44" t="n">
        <v>4347.2974</v>
      </c>
    </row>
    <row r="6764">
      <c r="A6764" s="39">
        <f>_xlfn.XLOOKUP(17856,Trip[shape_id],Trip[shape_id],"Não encontrado")</f>
        <v/>
      </c>
      <c r="B6764" s="40" t="n">
        <v>-23.517073</v>
      </c>
      <c r="C6764" s="40" t="n">
        <v>-46.550712</v>
      </c>
      <c r="D6764" s="40" t="n">
        <v>43</v>
      </c>
      <c r="E6764" s="41" t="n">
        <v>4410.4814</v>
      </c>
    </row>
    <row r="6765">
      <c r="A6765" s="42">
        <f>_xlfn.XLOOKUP(17856,Trip[shape_id],Trip[shape_id],"Não encontrado")</f>
        <v/>
      </c>
      <c r="B6765" s="43" t="n">
        <v>-23.516375</v>
      </c>
      <c r="C6765" s="43" t="n">
        <v>-46.550756</v>
      </c>
      <c r="D6765" s="43" t="n">
        <v>44</v>
      </c>
      <c r="E6765" s="44" t="n">
        <v>4487.9165</v>
      </c>
    </row>
    <row r="6766">
      <c r="A6766" s="39">
        <f>_xlfn.XLOOKUP(17856,Trip[shape_id],Trip[shape_id],"Não encontrado")</f>
        <v/>
      </c>
      <c r="B6766" s="40" t="n">
        <v>-23.515999</v>
      </c>
      <c r="C6766" s="40" t="n">
        <v>-46.55082</v>
      </c>
      <c r="D6766" s="40" t="n">
        <v>45</v>
      </c>
      <c r="E6766" s="41" t="n">
        <v>4530.0688</v>
      </c>
    </row>
    <row r="6767">
      <c r="A6767" s="42">
        <f>_xlfn.XLOOKUP(17856,Trip[shape_id],Trip[shape_id],"Não encontrado")</f>
        <v/>
      </c>
      <c r="B6767" s="43" t="n">
        <v>-23.515418</v>
      </c>
      <c r="C6767" s="43" t="n">
        <v>-46.551048</v>
      </c>
      <c r="D6767" s="43" t="n">
        <v>46</v>
      </c>
      <c r="E6767" s="44" t="n">
        <v>4598.499</v>
      </c>
    </row>
    <row r="6768">
      <c r="A6768" s="39">
        <f>_xlfn.XLOOKUP(17856,Trip[shape_id],Trip[shape_id],"Não encontrado")</f>
        <v/>
      </c>
      <c r="B6768" s="40" t="n">
        <v>-23.514821</v>
      </c>
      <c r="C6768" s="40" t="n">
        <v>-46.551394</v>
      </c>
      <c r="D6768" s="40" t="n">
        <v>47</v>
      </c>
      <c r="E6768" s="41" t="n">
        <v>4673.4678</v>
      </c>
    </row>
    <row r="6769">
      <c r="A6769" s="42">
        <f>_xlfn.XLOOKUP(17856,Trip[shape_id],Trip[shape_id],"Não encontrado")</f>
        <v/>
      </c>
      <c r="B6769" s="43" t="n">
        <v>-23.514209</v>
      </c>
      <c r="C6769" s="43" t="n">
        <v>-46.551784</v>
      </c>
      <c r="D6769" s="43" t="n">
        <v>48</v>
      </c>
      <c r="E6769" s="44" t="n">
        <v>4752.0845</v>
      </c>
    </row>
    <row r="6770">
      <c r="A6770" s="39">
        <f>_xlfn.XLOOKUP(17856,Trip[shape_id],Trip[shape_id],"Não encontrado")</f>
        <v/>
      </c>
      <c r="B6770" s="40" t="n">
        <v>-23.513807</v>
      </c>
      <c r="C6770" s="40" t="n">
        <v>-46.552043</v>
      </c>
      <c r="D6770" s="40" t="n">
        <v>49</v>
      </c>
      <c r="E6770" s="41" t="n">
        <v>4803.8716</v>
      </c>
    </row>
    <row r="6771">
      <c r="A6771" s="42">
        <f>_xlfn.XLOOKUP(17856,Trip[shape_id],Trip[shape_id],"Não encontrado")</f>
        <v/>
      </c>
      <c r="B6771" s="43" t="n">
        <v>-23.513259</v>
      </c>
      <c r="C6771" s="43" t="n">
        <v>-46.552372</v>
      </c>
      <c r="D6771" s="43" t="n">
        <v>50</v>
      </c>
      <c r="E6771" s="44" t="n">
        <v>4873.2437</v>
      </c>
    </row>
    <row r="6772">
      <c r="A6772" s="39">
        <f>_xlfn.XLOOKUP(17856,Trip[shape_id],Trip[shape_id],"Não encontrado")</f>
        <v/>
      </c>
      <c r="B6772" s="40" t="n">
        <v>-23.51282</v>
      </c>
      <c r="C6772" s="40" t="n">
        <v>-46.552532</v>
      </c>
      <c r="D6772" s="40" t="n">
        <v>51</v>
      </c>
      <c r="E6772" s="41" t="n">
        <v>4924.5361</v>
      </c>
    </row>
    <row r="6773">
      <c r="A6773" s="42">
        <f>_xlfn.XLOOKUP(17856,Trip[shape_id],Trip[shape_id],"Não encontrado")</f>
        <v/>
      </c>
      <c r="B6773" s="43" t="n">
        <v>-23.512337</v>
      </c>
      <c r="C6773" s="43" t="n">
        <v>-46.552579</v>
      </c>
      <c r="D6773" s="43" t="n">
        <v>52</v>
      </c>
      <c r="E6773" s="44" t="n">
        <v>4978.2441</v>
      </c>
    </row>
    <row r="6774">
      <c r="A6774" s="39">
        <f>_xlfn.XLOOKUP(17856,Trip[shape_id],Trip[shape_id],"Não encontrado")</f>
        <v/>
      </c>
      <c r="B6774" s="40" t="n">
        <v>-23.511988</v>
      </c>
      <c r="C6774" s="40" t="n">
        <v>-46.552592</v>
      </c>
      <c r="D6774" s="40" t="n">
        <v>53</v>
      </c>
      <c r="E6774" s="41" t="n">
        <v>5016.9189</v>
      </c>
    </row>
    <row r="6775">
      <c r="A6775" s="42">
        <f>_xlfn.XLOOKUP(17856,Trip[shape_id],Trip[shape_id],"Não encontrado")</f>
        <v/>
      </c>
      <c r="B6775" s="43" t="n">
        <v>-23.511561</v>
      </c>
      <c r="C6775" s="43" t="n">
        <v>-46.552514</v>
      </c>
      <c r="D6775" s="43" t="n">
        <v>54</v>
      </c>
      <c r="E6775" s="44" t="n">
        <v>5064.876</v>
      </c>
    </row>
    <row r="6776">
      <c r="A6776" s="39">
        <f>_xlfn.XLOOKUP(17856,Trip[shape_id],Trip[shape_id],"Não encontrado")</f>
        <v/>
      </c>
      <c r="B6776" s="40" t="n">
        <v>-23.511115</v>
      </c>
      <c r="C6776" s="40" t="n">
        <v>-46.552351</v>
      </c>
      <c r="D6776" s="40" t="n">
        <v>55</v>
      </c>
      <c r="E6776" s="41" t="n">
        <v>5117.001</v>
      </c>
    </row>
    <row r="6777">
      <c r="A6777" s="42">
        <f>_xlfn.XLOOKUP(17856,Trip[shape_id],Trip[shape_id],"Não encontrado")</f>
        <v/>
      </c>
      <c r="B6777" s="43" t="n">
        <v>-23.510862</v>
      </c>
      <c r="C6777" s="43" t="n">
        <v>-46.552208</v>
      </c>
      <c r="D6777" s="43" t="n">
        <v>56</v>
      </c>
      <c r="E6777" s="44" t="n">
        <v>5148.5986</v>
      </c>
    </row>
    <row r="6778">
      <c r="A6778" s="39">
        <f>_xlfn.XLOOKUP(17856,Trip[shape_id],Trip[shape_id],"Não encontrado")</f>
        <v/>
      </c>
      <c r="B6778" s="40" t="n">
        <v>-23.510538</v>
      </c>
      <c r="C6778" s="40" t="n">
        <v>-46.551997</v>
      </c>
      <c r="D6778" s="40" t="n">
        <v>57</v>
      </c>
      <c r="E6778" s="41" t="n">
        <v>5190.4561</v>
      </c>
    </row>
    <row r="6779">
      <c r="A6779" s="42">
        <f>_xlfn.XLOOKUP(17856,Trip[shape_id],Trip[shape_id],"Não encontrado")</f>
        <v/>
      </c>
      <c r="B6779" s="43" t="n">
        <v>-23.510245</v>
      </c>
      <c r="C6779" s="43" t="n">
        <v>-46.551721</v>
      </c>
      <c r="D6779" s="43" t="n">
        <v>58</v>
      </c>
      <c r="E6779" s="44" t="n">
        <v>5233.4399</v>
      </c>
    </row>
    <row r="6780">
      <c r="A6780" s="39">
        <f>_xlfn.XLOOKUP(17856,Trip[shape_id],Trip[shape_id],"Não encontrado")</f>
        <v/>
      </c>
      <c r="B6780" s="40" t="n">
        <v>-23.509799</v>
      </c>
      <c r="C6780" s="40" t="n">
        <v>-46.551125</v>
      </c>
      <c r="D6780" s="40" t="n">
        <v>59</v>
      </c>
      <c r="E6780" s="41" t="n">
        <v>5311.8315</v>
      </c>
    </row>
    <row r="6781">
      <c r="A6781" s="42">
        <f>_xlfn.XLOOKUP(17856,Trip[shape_id],Trip[shape_id],"Não encontrado")</f>
        <v/>
      </c>
      <c r="B6781" s="43" t="n">
        <v>-23.50966</v>
      </c>
      <c r="C6781" s="43" t="n">
        <v>-46.550926</v>
      </c>
      <c r="D6781" s="43" t="n">
        <v>60</v>
      </c>
      <c r="E6781" s="44" t="n">
        <v>5337.3281</v>
      </c>
    </row>
    <row r="6782">
      <c r="A6782" s="39">
        <f>_xlfn.XLOOKUP(17856,Trip[shape_id],Trip[shape_id],"Não encontrado")</f>
        <v/>
      </c>
      <c r="B6782" s="40" t="n">
        <v>-23.509455</v>
      </c>
      <c r="C6782" s="40" t="n">
        <v>-46.55062</v>
      </c>
      <c r="D6782" s="40" t="n">
        <v>61</v>
      </c>
      <c r="E6782" s="41" t="n">
        <v>5375.957</v>
      </c>
    </row>
    <row r="6783">
      <c r="A6783" s="42">
        <f>_xlfn.XLOOKUP(17856,Trip[shape_id],Trip[shape_id],"Não encontrado")</f>
        <v/>
      </c>
      <c r="B6783" s="43" t="n">
        <v>-23.509313</v>
      </c>
      <c r="C6783" s="43" t="n">
        <v>-46.550353</v>
      </c>
      <c r="D6783" s="43" t="n">
        <v>62</v>
      </c>
      <c r="E6783" s="44" t="n">
        <v>5407.4365</v>
      </c>
    </row>
    <row r="6784">
      <c r="A6784" s="39">
        <f>_xlfn.XLOOKUP(17856,Trip[shape_id],Trip[shape_id],"Não encontrado")</f>
        <v/>
      </c>
      <c r="B6784" s="40" t="n">
        <v>-23.509205</v>
      </c>
      <c r="C6784" s="40" t="n">
        <v>-46.550071</v>
      </c>
      <c r="D6784" s="40" t="n">
        <v>63</v>
      </c>
      <c r="E6784" s="41" t="n">
        <v>5438.623</v>
      </c>
    </row>
    <row r="6785">
      <c r="A6785" s="42">
        <f>_xlfn.XLOOKUP(17856,Trip[shape_id],Trip[shape_id],"Não encontrado")</f>
        <v/>
      </c>
      <c r="B6785" s="43" t="n">
        <v>-23.509078</v>
      </c>
      <c r="C6785" s="43" t="n">
        <v>-46.549714</v>
      </c>
      <c r="D6785" s="43" t="n">
        <v>64</v>
      </c>
      <c r="E6785" s="44" t="n">
        <v>5477.7036</v>
      </c>
    </row>
    <row r="6786">
      <c r="A6786" s="39">
        <f>_xlfn.XLOOKUP(17856,Trip[shape_id],Trip[shape_id],"Não encontrado")</f>
        <v/>
      </c>
      <c r="B6786" s="40" t="n">
        <v>-23.508989</v>
      </c>
      <c r="C6786" s="40" t="n">
        <v>-46.54926</v>
      </c>
      <c r="D6786" s="40" t="n">
        <v>65</v>
      </c>
      <c r="E6786" s="41" t="n">
        <v>5525.1084</v>
      </c>
    </row>
    <row r="6787">
      <c r="A6787" s="42">
        <f>_xlfn.XLOOKUP(17856,Trip[shape_id],Trip[shape_id],"Não encontrado")</f>
        <v/>
      </c>
      <c r="B6787" s="43" t="n">
        <v>-23.508977</v>
      </c>
      <c r="C6787" s="43" t="n">
        <v>-46.548815</v>
      </c>
      <c r="D6787" s="43" t="n">
        <v>66</v>
      </c>
      <c r="E6787" s="44" t="n">
        <v>5570.5776</v>
      </c>
    </row>
    <row r="6788">
      <c r="A6788" s="39">
        <f>_xlfn.XLOOKUP(17856,Trip[shape_id],Trip[shape_id],"Não encontrado")</f>
        <v/>
      </c>
      <c r="B6788" s="40" t="n">
        <v>-23.509063</v>
      </c>
      <c r="C6788" s="40" t="n">
        <v>-46.547593</v>
      </c>
      <c r="D6788" s="40" t="n">
        <v>67</v>
      </c>
      <c r="E6788" s="41" t="n">
        <v>5695.7485</v>
      </c>
    </row>
    <row r="6789">
      <c r="A6789" s="42">
        <f>_xlfn.XLOOKUP(17856,Trip[shape_id],Trip[shape_id],"Não encontrado")</f>
        <v/>
      </c>
      <c r="B6789" s="43" t="n">
        <v>-23.50919</v>
      </c>
      <c r="C6789" s="43" t="n">
        <v>-46.546209</v>
      </c>
      <c r="D6789" s="43" t="n">
        <v>68</v>
      </c>
      <c r="E6789" s="44" t="n">
        <v>5837.7998</v>
      </c>
    </row>
    <row r="6790">
      <c r="A6790" s="39">
        <f>_xlfn.XLOOKUP(17856,Trip[shape_id],Trip[shape_id],"Não encontrado")</f>
        <v/>
      </c>
      <c r="B6790" s="40" t="n">
        <v>-23.509194</v>
      </c>
      <c r="C6790" s="40" t="n">
        <v>-46.545868</v>
      </c>
      <c r="D6790" s="40" t="n">
        <v>69</v>
      </c>
      <c r="E6790" s="41" t="n">
        <v>5872.6304</v>
      </c>
    </row>
    <row r="6791">
      <c r="A6791" s="42">
        <f>_xlfn.XLOOKUP(17856,Trip[shape_id],Trip[shape_id],"Não encontrado")</f>
        <v/>
      </c>
      <c r="B6791" s="43" t="n">
        <v>-23.509197</v>
      </c>
      <c r="C6791" s="43" t="n">
        <v>-46.54541</v>
      </c>
      <c r="D6791" s="43" t="n">
        <v>70</v>
      </c>
      <c r="E6791" s="44" t="n">
        <v>5919.4087</v>
      </c>
    </row>
    <row r="6792">
      <c r="A6792" s="39">
        <f>_xlfn.XLOOKUP(17856,Trip[shape_id],Trip[shape_id],"Não encontrado")</f>
        <v/>
      </c>
      <c r="B6792" s="40" t="n">
        <v>-23.509148</v>
      </c>
      <c r="C6792" s="40" t="n">
        <v>-46.544943</v>
      </c>
      <c r="D6792" s="40" t="n">
        <v>71</v>
      </c>
      <c r="E6792" s="41" t="n">
        <v>5967.4131</v>
      </c>
    </row>
    <row r="6793">
      <c r="A6793" s="42">
        <f>_xlfn.XLOOKUP(17856,Trip[shape_id],Trip[shape_id],"Não encontrado")</f>
        <v/>
      </c>
      <c r="B6793" s="43" t="n">
        <v>-23.509034</v>
      </c>
      <c r="C6793" s="43" t="n">
        <v>-46.544514</v>
      </c>
      <c r="D6793" s="43" t="n">
        <v>72</v>
      </c>
      <c r="E6793" s="44" t="n">
        <v>6013.0112</v>
      </c>
    </row>
    <row r="6794">
      <c r="A6794" s="39">
        <f>_xlfn.XLOOKUP(17856,Trip[shape_id],Trip[shape_id],"Não encontrado")</f>
        <v/>
      </c>
      <c r="B6794" s="40" t="n">
        <v>-23.508831</v>
      </c>
      <c r="C6794" s="40" t="n">
        <v>-46.544061</v>
      </c>
      <c r="D6794" s="40" t="n">
        <v>73</v>
      </c>
      <c r="E6794" s="41" t="n">
        <v>6064.4512</v>
      </c>
    </row>
    <row r="6795">
      <c r="A6795" s="42">
        <f>_xlfn.XLOOKUP(17856,Trip[shape_id],Trip[shape_id],"Não encontrado")</f>
        <v/>
      </c>
      <c r="B6795" s="43" t="n">
        <v>-23.508569</v>
      </c>
      <c r="C6795" s="43" t="n">
        <v>-46.543673</v>
      </c>
      <c r="D6795" s="43" t="n">
        <v>74</v>
      </c>
      <c r="E6795" s="44" t="n">
        <v>6113.5669</v>
      </c>
    </row>
    <row r="6796">
      <c r="A6796" s="39">
        <f>_xlfn.XLOOKUP(17856,Trip[shape_id],Trip[shape_id],"Não encontrado")</f>
        <v/>
      </c>
      <c r="B6796" s="40" t="n">
        <v>-23.508332</v>
      </c>
      <c r="C6796" s="40" t="n">
        <v>-46.543389</v>
      </c>
      <c r="D6796" s="40" t="n">
        <v>75</v>
      </c>
      <c r="E6796" s="41" t="n">
        <v>6152.686</v>
      </c>
    </row>
    <row r="6797">
      <c r="A6797" s="42">
        <f>_xlfn.XLOOKUP(17856,Trip[shape_id],Trip[shape_id],"Não encontrado")</f>
        <v/>
      </c>
      <c r="B6797" s="43" t="n">
        <v>-23.508067</v>
      </c>
      <c r="C6797" s="43" t="n">
        <v>-46.543161</v>
      </c>
      <c r="D6797" s="43" t="n">
        <v>76</v>
      </c>
      <c r="E6797" s="44" t="n">
        <v>6190.1514</v>
      </c>
    </row>
    <row r="6798">
      <c r="A6798" s="39">
        <f>_xlfn.XLOOKUP(17856,Trip[shape_id],Trip[shape_id],"Não encontrado")</f>
        <v/>
      </c>
      <c r="B6798" s="40" t="n">
        <v>-23.507689</v>
      </c>
      <c r="C6798" s="40" t="n">
        <v>-46.542851</v>
      </c>
      <c r="D6798" s="40" t="n">
        <v>77</v>
      </c>
      <c r="E6798" s="41" t="n">
        <v>6242.6401</v>
      </c>
    </row>
    <row r="6799">
      <c r="A6799" s="42">
        <f>_xlfn.XLOOKUP(17856,Trip[shape_id],Trip[shape_id],"Não encontrado")</f>
        <v/>
      </c>
      <c r="B6799" s="43" t="n">
        <v>-23.50738</v>
      </c>
      <c r="C6799" s="43" t="n">
        <v>-46.542605</v>
      </c>
      <c r="D6799" s="43" t="n">
        <v>78</v>
      </c>
      <c r="E6799" s="44" t="n">
        <v>6285.0952</v>
      </c>
    </row>
    <row r="6800">
      <c r="A6800" s="39">
        <f>_xlfn.XLOOKUP(17856,Trip[shape_id],Trip[shape_id],"Não encontrado")</f>
        <v/>
      </c>
      <c r="B6800" s="40" t="n">
        <v>-23.506972</v>
      </c>
      <c r="C6800" s="40" t="n">
        <v>-46.542274</v>
      </c>
      <c r="D6800" s="40" t="n">
        <v>79</v>
      </c>
      <c r="E6800" s="41" t="n">
        <v>6341.5288</v>
      </c>
    </row>
    <row r="6801">
      <c r="A6801" s="42">
        <f>_xlfn.XLOOKUP(17856,Trip[shape_id],Trip[shape_id],"Não encontrado")</f>
        <v/>
      </c>
      <c r="B6801" s="43" t="n">
        <v>-23.506225</v>
      </c>
      <c r="C6801" s="43" t="n">
        <v>-46.541589</v>
      </c>
      <c r="D6801" s="43" t="n">
        <v>80</v>
      </c>
      <c r="E6801" s="44" t="n">
        <v>6449.877</v>
      </c>
    </row>
    <row r="6802">
      <c r="A6802" s="39">
        <f>_xlfn.XLOOKUP(17856,Trip[shape_id],Trip[shape_id],"Não encontrado")</f>
        <v/>
      </c>
      <c r="B6802" s="40" t="n">
        <v>-23.505583</v>
      </c>
      <c r="C6802" s="40" t="n">
        <v>-46.540699</v>
      </c>
      <c r="D6802" s="40" t="n">
        <v>81</v>
      </c>
      <c r="E6802" s="41" t="n">
        <v>6565.2832</v>
      </c>
    </row>
    <row r="6803">
      <c r="A6803" s="42">
        <f>_xlfn.XLOOKUP(17856,Trip[shape_id],Trip[shape_id],"Não encontrado")</f>
        <v/>
      </c>
      <c r="B6803" s="43" t="n">
        <v>-23.504977</v>
      </c>
      <c r="C6803" s="43" t="n">
        <v>-46.539663</v>
      </c>
      <c r="D6803" s="43" t="n">
        <v>82</v>
      </c>
      <c r="E6803" s="44" t="n">
        <v>6690.5869</v>
      </c>
    </row>
    <row r="6804">
      <c r="A6804" s="39">
        <f>_xlfn.XLOOKUP(17856,Trip[shape_id],Trip[shape_id],"Não encontrado")</f>
        <v/>
      </c>
      <c r="B6804" s="40" t="n">
        <v>-23.503822</v>
      </c>
      <c r="C6804" s="40" t="n">
        <v>-46.537691</v>
      </c>
      <c r="D6804" s="40" t="n">
        <v>83</v>
      </c>
      <c r="E6804" s="41" t="n">
        <v>6929.1895</v>
      </c>
    </row>
    <row r="6805">
      <c r="A6805" s="42">
        <f>_xlfn.XLOOKUP(17856,Trip[shape_id],Trip[shape_id],"Não encontrado")</f>
        <v/>
      </c>
      <c r="B6805" s="43" t="n">
        <v>-23.502937</v>
      </c>
      <c r="C6805" s="43" t="n">
        <v>-46.536176</v>
      </c>
      <c r="D6805" s="43" t="n">
        <v>84</v>
      </c>
      <c r="E6805" s="44" t="n">
        <v>7112.3594</v>
      </c>
    </row>
    <row r="6806">
      <c r="A6806" s="39">
        <f>_xlfn.XLOOKUP(17856,Trip[shape_id],Trip[shape_id],"Não encontrado")</f>
        <v/>
      </c>
      <c r="B6806" s="40" t="n">
        <v>-23.501752</v>
      </c>
      <c r="C6806" s="40" t="n">
        <v>-46.534049</v>
      </c>
      <c r="D6806" s="40" t="n">
        <v>85</v>
      </c>
      <c r="E6806" s="41" t="n">
        <v>7366.1733</v>
      </c>
    </row>
    <row r="6807">
      <c r="A6807" s="42">
        <f>_xlfn.XLOOKUP(17856,Trip[shape_id],Trip[shape_id],"Não encontrado")</f>
        <v/>
      </c>
      <c r="B6807" s="43" t="n">
        <v>-23.501077</v>
      </c>
      <c r="C6807" s="43" t="n">
        <v>-46.532862</v>
      </c>
      <c r="D6807" s="43" t="n">
        <v>86</v>
      </c>
      <c r="E6807" s="44" t="n">
        <v>7508.6084</v>
      </c>
    </row>
    <row r="6808">
      <c r="A6808" s="39">
        <f>_xlfn.XLOOKUP(17856,Trip[shape_id],Trip[shape_id],"Não encontrado")</f>
        <v/>
      </c>
      <c r="B6808" s="40" t="n">
        <v>-23.500137</v>
      </c>
      <c r="C6808" s="40" t="n">
        <v>-46.531356</v>
      </c>
      <c r="D6808" s="40" t="n">
        <v>87</v>
      </c>
      <c r="E6808" s="41" t="n">
        <v>7694.3496</v>
      </c>
    </row>
    <row r="6809">
      <c r="A6809" s="42">
        <f>_xlfn.XLOOKUP(17856,Trip[shape_id],Trip[shape_id],"Não encontrado")</f>
        <v/>
      </c>
      <c r="B6809" s="43" t="n">
        <v>-23.49991</v>
      </c>
      <c r="C6809" s="43" t="n">
        <v>-46.530939</v>
      </c>
      <c r="D6809" s="43" t="n">
        <v>88</v>
      </c>
      <c r="E6809" s="44" t="n">
        <v>7743.8086</v>
      </c>
    </row>
    <row r="6810">
      <c r="A6810" s="39">
        <f>_xlfn.XLOOKUP(17856,Trip[shape_id],Trip[shape_id],"Não encontrado")</f>
        <v/>
      </c>
      <c r="B6810" s="40" t="n">
        <v>-23.499757</v>
      </c>
      <c r="C6810" s="40" t="n">
        <v>-46.53059</v>
      </c>
      <c r="D6810" s="40" t="n">
        <v>89</v>
      </c>
      <c r="E6810" s="41" t="n">
        <v>7783.2783</v>
      </c>
    </row>
    <row r="6811">
      <c r="A6811" s="42">
        <f>_xlfn.XLOOKUP(17856,Trip[shape_id],Trip[shape_id],"Não encontrado")</f>
        <v/>
      </c>
      <c r="B6811" s="43" t="n">
        <v>-23.499618</v>
      </c>
      <c r="C6811" s="43" t="n">
        <v>-46.530113</v>
      </c>
      <c r="D6811" s="43" t="n">
        <v>90</v>
      </c>
      <c r="E6811" s="44" t="n">
        <v>7834.374</v>
      </c>
    </row>
    <row r="6812">
      <c r="A6812" s="39">
        <f>_xlfn.XLOOKUP(17856,Trip[shape_id],Trip[shape_id],"Não encontrado")</f>
        <v/>
      </c>
      <c r="B6812" s="40" t="n">
        <v>-23.499608</v>
      </c>
      <c r="C6812" s="40" t="n">
        <v>-46.529397</v>
      </c>
      <c r="D6812" s="40" t="n">
        <v>91</v>
      </c>
      <c r="E6812" s="41" t="n">
        <v>7907.5156</v>
      </c>
    </row>
    <row r="6813">
      <c r="A6813" s="42">
        <f>_xlfn.XLOOKUP(17856,Trip[shape_id],Trip[shape_id],"Não encontrado")</f>
        <v/>
      </c>
      <c r="B6813" s="43" t="n">
        <v>-23.499608</v>
      </c>
      <c r="C6813" s="43" t="n">
        <v>-46.529105</v>
      </c>
      <c r="D6813" s="43" t="n">
        <v>92</v>
      </c>
      <c r="E6813" s="44" t="n">
        <v>7937.3408</v>
      </c>
    </row>
    <row r="6814">
      <c r="A6814" s="39">
        <f>_xlfn.XLOOKUP(17856,Trip[shape_id],Trip[shape_id],"Não encontrado")</f>
        <v/>
      </c>
      <c r="B6814" s="40" t="n">
        <v>-23.499706</v>
      </c>
      <c r="C6814" s="40" t="n">
        <v>-46.526534</v>
      </c>
      <c r="D6814" s="40" t="n">
        <v>93</v>
      </c>
      <c r="E6814" s="41" t="n">
        <v>8200.169900000001</v>
      </c>
    </row>
    <row r="6815">
      <c r="A6815" s="42">
        <f>_xlfn.XLOOKUP(17856,Trip[shape_id],Trip[shape_id],"Não encontrado")</f>
        <v/>
      </c>
      <c r="B6815" s="43" t="n">
        <v>-23.499705</v>
      </c>
      <c r="C6815" s="43" t="n">
        <v>-46.526076</v>
      </c>
      <c r="D6815" s="43" t="n">
        <v>94</v>
      </c>
      <c r="E6815" s="44" t="n">
        <v>8246.9512</v>
      </c>
    </row>
    <row r="6816">
      <c r="A6816" s="39">
        <f>_xlfn.XLOOKUP(17856,Trip[shape_id],Trip[shape_id],"Não encontrado")</f>
        <v/>
      </c>
      <c r="B6816" s="40" t="n">
        <v>-23.499712</v>
      </c>
      <c r="C6816" s="40" t="n">
        <v>-46.524887</v>
      </c>
      <c r="D6816" s="40" t="n">
        <v>95</v>
      </c>
      <c r="E6816" s="41" t="n">
        <v>8368.3994</v>
      </c>
    </row>
    <row r="6817">
      <c r="A6817" s="42">
        <f>_xlfn.XLOOKUP(17856,Trip[shape_id],Trip[shape_id],"Não encontrado")</f>
        <v/>
      </c>
      <c r="B6817" s="43" t="n">
        <v>-23.499713</v>
      </c>
      <c r="C6817" s="43" t="n">
        <v>-46.524665</v>
      </c>
      <c r="D6817" s="43" t="n">
        <v>96</v>
      </c>
      <c r="E6817" s="44" t="n">
        <v>8391.075199999999</v>
      </c>
    </row>
    <row r="6818">
      <c r="A6818" s="39">
        <f>_xlfn.XLOOKUP(17856,Trip[shape_id],Trip[shape_id],"Não encontrado")</f>
        <v/>
      </c>
      <c r="B6818" s="40" t="n">
        <v>-23.49965</v>
      </c>
      <c r="C6818" s="40" t="n">
        <v>-46.524465</v>
      </c>
      <c r="D6818" s="40" t="n">
        <v>97</v>
      </c>
      <c r="E6818" s="41" t="n">
        <v>8412.6621</v>
      </c>
    </row>
    <row r="6819">
      <c r="A6819" s="42">
        <f>_xlfn.XLOOKUP(17856,Trip[shape_id],Trip[shape_id],"Não encontrado")</f>
        <v/>
      </c>
      <c r="B6819" s="43" t="n">
        <v>-23.499437</v>
      </c>
      <c r="C6819" s="43" t="n">
        <v>-46.523783</v>
      </c>
      <c r="D6819" s="43" t="n">
        <v>98</v>
      </c>
      <c r="E6819" s="44" t="n">
        <v>8486.208000000001</v>
      </c>
    </row>
    <row r="6820">
      <c r="A6820" s="39">
        <f>_xlfn.XLOOKUP(17856,Trip[shape_id],Trip[shape_id],"Não encontrado")</f>
        <v/>
      </c>
      <c r="B6820" s="40" t="n">
        <v>-23.499171</v>
      </c>
      <c r="C6820" s="40" t="n">
        <v>-46.522978</v>
      </c>
      <c r="D6820" s="40" t="n">
        <v>99</v>
      </c>
      <c r="E6820" s="41" t="n">
        <v>8573.549800000001</v>
      </c>
    </row>
    <row r="6821">
      <c r="A6821" s="42">
        <f>_xlfn.XLOOKUP(17856,Trip[shape_id],Trip[shape_id],"Não encontrado")</f>
        <v/>
      </c>
      <c r="B6821" s="43" t="n">
        <v>-23.498601</v>
      </c>
      <c r="C6821" s="43" t="n">
        <v>-46.521026</v>
      </c>
      <c r="D6821" s="43" t="n">
        <v>100</v>
      </c>
      <c r="E6821" s="44" t="n">
        <v>8782.6855</v>
      </c>
    </row>
    <row r="6822">
      <c r="A6822" s="39">
        <f>_xlfn.XLOOKUP(17856,Trip[shape_id],Trip[shape_id],"Não encontrado")</f>
        <v/>
      </c>
      <c r="B6822" s="40" t="n">
        <v>-23.498264</v>
      </c>
      <c r="C6822" s="40" t="n">
        <v>-46.52005</v>
      </c>
      <c r="D6822" s="40" t="n">
        <v>101</v>
      </c>
      <c r="E6822" s="41" t="n">
        <v>8889.1338</v>
      </c>
    </row>
    <row r="6823">
      <c r="A6823" s="42">
        <f>_xlfn.XLOOKUP(17856,Trip[shape_id],Trip[shape_id],"Não encontrado")</f>
        <v/>
      </c>
      <c r="B6823" s="43" t="n">
        <v>-23.49796</v>
      </c>
      <c r="C6823" s="43" t="n">
        <v>-46.519249</v>
      </c>
      <c r="D6823" s="43" t="n">
        <v>102</v>
      </c>
      <c r="E6823" s="44" t="n">
        <v>8977.606400000001</v>
      </c>
    </row>
    <row r="6824">
      <c r="A6824" s="39">
        <f>_xlfn.XLOOKUP(17856,Trip[shape_id],Trip[shape_id],"Não encontrado")</f>
        <v/>
      </c>
      <c r="B6824" s="40" t="n">
        <v>-23.497273</v>
      </c>
      <c r="C6824" s="40" t="n">
        <v>-46.517547</v>
      </c>
      <c r="D6824" s="40" t="n">
        <v>103</v>
      </c>
      <c r="E6824" s="41" t="n">
        <v>9167.374</v>
      </c>
    </row>
    <row r="6825">
      <c r="A6825" s="42">
        <f>_xlfn.XLOOKUP(17856,Trip[shape_id],Trip[shape_id],"Não encontrado")</f>
        <v/>
      </c>
      <c r="B6825" s="43" t="n">
        <v>-23.497001</v>
      </c>
      <c r="C6825" s="43" t="n">
        <v>-46.516817</v>
      </c>
      <c r="D6825" s="43" t="n">
        <v>104</v>
      </c>
      <c r="E6825" s="44" t="n">
        <v>9247.793900000001</v>
      </c>
    </row>
    <row r="6826">
      <c r="A6826" s="39">
        <f>_xlfn.XLOOKUP(17856,Trip[shape_id],Trip[shape_id],"Não encontrado")</f>
        <v/>
      </c>
      <c r="B6826" s="40" t="n">
        <v>-23.496561</v>
      </c>
      <c r="C6826" s="40" t="n">
        <v>-46.515641</v>
      </c>
      <c r="D6826" s="40" t="n">
        <v>105</v>
      </c>
      <c r="E6826" s="41" t="n">
        <v>9377.4229</v>
      </c>
    </row>
    <row r="6827">
      <c r="A6827" s="42">
        <f>_xlfn.XLOOKUP(17856,Trip[shape_id],Trip[shape_id],"Não encontrado")</f>
        <v/>
      </c>
      <c r="B6827" s="43" t="n">
        <v>-23.496201</v>
      </c>
      <c r="C6827" s="43" t="n">
        <v>-46.514582</v>
      </c>
      <c r="D6827" s="43" t="n">
        <v>106</v>
      </c>
      <c r="E6827" s="44" t="n">
        <v>9492.707</v>
      </c>
    </row>
    <row r="6828">
      <c r="A6828" s="39">
        <f>_xlfn.XLOOKUP(17856,Trip[shape_id],Trip[shape_id],"Não encontrado")</f>
        <v/>
      </c>
      <c r="B6828" s="40" t="n">
        <v>-23.496166</v>
      </c>
      <c r="C6828" s="40" t="n">
        <v>-46.513558</v>
      </c>
      <c r="D6828" s="40" t="n">
        <v>107</v>
      </c>
      <c r="E6828" s="41" t="n">
        <v>9597.374</v>
      </c>
    </row>
    <row r="6829">
      <c r="A6829" s="42">
        <f>_xlfn.XLOOKUP(17856,Trip[shape_id],Trip[shape_id],"Não encontrado")</f>
        <v/>
      </c>
      <c r="B6829" s="43" t="n">
        <v>-23.496106</v>
      </c>
      <c r="C6829" s="43" t="n">
        <v>-46.512527</v>
      </c>
      <c r="D6829" s="43" t="n">
        <v>108</v>
      </c>
      <c r="E6829" s="44" t="n">
        <v>9702.893599999999</v>
      </c>
    </row>
    <row r="6830">
      <c r="A6830" s="39">
        <f>_xlfn.XLOOKUP(17856,Trip[shape_id],Trip[shape_id],"Não encontrado")</f>
        <v/>
      </c>
      <c r="B6830" s="40" t="n">
        <v>-23.496045</v>
      </c>
      <c r="C6830" s="40" t="n">
        <v>-46.511882</v>
      </c>
      <c r="D6830" s="40" t="n">
        <v>109</v>
      </c>
      <c r="E6830" s="41" t="n">
        <v>9769.122100000001</v>
      </c>
    </row>
    <row r="6831">
      <c r="A6831" s="42">
        <f>_xlfn.XLOOKUP(17856,Trip[shape_id],Trip[shape_id],"Não encontrado")</f>
        <v/>
      </c>
      <c r="B6831" s="43" t="n">
        <v>-23.495808</v>
      </c>
      <c r="C6831" s="43" t="n">
        <v>-46.510929</v>
      </c>
      <c r="D6831" s="43" t="n">
        <v>110</v>
      </c>
      <c r="E6831" s="44" t="n">
        <v>9869.9424</v>
      </c>
    </row>
    <row r="6832">
      <c r="A6832" s="39">
        <f>_xlfn.XLOOKUP(17856,Trip[shape_id],Trip[shape_id],"Não encontrado")</f>
        <v/>
      </c>
      <c r="B6832" s="40" t="n">
        <v>-23.495593</v>
      </c>
      <c r="C6832" s="40" t="n">
        <v>-46.51039</v>
      </c>
      <c r="D6832" s="40" t="n">
        <v>111</v>
      </c>
      <c r="E6832" s="41" t="n">
        <v>9929.926799999999</v>
      </c>
    </row>
    <row r="6833">
      <c r="A6833" s="42">
        <f>_xlfn.XLOOKUP(17856,Trip[shape_id],Trip[shape_id],"Não encontrado")</f>
        <v/>
      </c>
      <c r="B6833" s="43" t="n">
        <v>-23.495382</v>
      </c>
      <c r="C6833" s="43" t="n">
        <v>-46.510056</v>
      </c>
      <c r="D6833" s="43" t="n">
        <v>112</v>
      </c>
      <c r="E6833" s="44" t="n">
        <v>9971.2793</v>
      </c>
    </row>
    <row r="6834">
      <c r="A6834" s="39">
        <f>_xlfn.XLOOKUP(17856,Trip[shape_id],Trip[shape_id],"Não encontrado")</f>
        <v/>
      </c>
      <c r="B6834" s="40" t="n">
        <v>-23.495118</v>
      </c>
      <c r="C6834" s="40" t="n">
        <v>-46.509647</v>
      </c>
      <c r="D6834" s="40" t="n">
        <v>113</v>
      </c>
      <c r="E6834" s="41" t="n">
        <v>10022.271</v>
      </c>
    </row>
    <row r="6835">
      <c r="A6835" s="42">
        <f>_xlfn.XLOOKUP(17856,Trip[shape_id],Trip[shape_id],"Não encontrado")</f>
        <v/>
      </c>
      <c r="B6835" s="43" t="n">
        <v>-23.49434</v>
      </c>
      <c r="C6835" s="43" t="n">
        <v>-46.508808</v>
      </c>
      <c r="D6835" s="43" t="n">
        <v>114</v>
      </c>
      <c r="E6835" s="44" t="n">
        <v>10143.798</v>
      </c>
    </row>
    <row r="6836">
      <c r="A6836" s="39">
        <f>_xlfn.XLOOKUP(17856,Trip[shape_id],Trip[shape_id],"Não encontrado")</f>
        <v/>
      </c>
      <c r="B6836" s="40" t="n">
        <v>-23.493226</v>
      </c>
      <c r="C6836" s="40" t="n">
        <v>-46.507707</v>
      </c>
      <c r="D6836" s="40" t="n">
        <v>115</v>
      </c>
      <c r="E6836" s="41" t="n">
        <v>10310.74</v>
      </c>
    </row>
    <row r="6837">
      <c r="A6837" s="42">
        <f>_xlfn.XLOOKUP(17856,Trip[shape_id],Trip[shape_id],"Não encontrado")</f>
        <v/>
      </c>
      <c r="B6837" s="43" t="n">
        <v>-23.492673</v>
      </c>
      <c r="C6837" s="43" t="n">
        <v>-46.507147</v>
      </c>
      <c r="D6837" s="43" t="n">
        <v>116</v>
      </c>
      <c r="E6837" s="44" t="n">
        <v>10394.544</v>
      </c>
    </row>
    <row r="6838">
      <c r="A6838" s="39">
        <f>_xlfn.XLOOKUP(17856,Trip[shape_id],Trip[shape_id],"Não encontrado")</f>
        <v/>
      </c>
      <c r="B6838" s="40" t="n">
        <v>-23.49223</v>
      </c>
      <c r="C6838" s="40" t="n">
        <v>-46.506886</v>
      </c>
      <c r="D6838" s="40" t="n">
        <v>117</v>
      </c>
      <c r="E6838" s="41" t="n">
        <v>10450.382</v>
      </c>
    </row>
    <row r="6839">
      <c r="A6839" s="42">
        <f>_xlfn.XLOOKUP(17856,Trip[shape_id],Trip[shape_id],"Não encontrado")</f>
        <v/>
      </c>
      <c r="B6839" s="43" t="n">
        <v>-23.491692</v>
      </c>
      <c r="C6839" s="43" t="n">
        <v>-46.506658</v>
      </c>
      <c r="D6839" s="43" t="n">
        <v>118</v>
      </c>
      <c r="E6839" s="44" t="n">
        <v>10514.355</v>
      </c>
    </row>
    <row r="6840">
      <c r="A6840" s="39">
        <f>_xlfn.XLOOKUP(17856,Trip[shape_id],Trip[shape_id],"Não encontrado")</f>
        <v/>
      </c>
      <c r="B6840" s="40" t="n">
        <v>-23.490955</v>
      </c>
      <c r="C6840" s="40" t="n">
        <v>-46.506377</v>
      </c>
      <c r="D6840" s="40" t="n">
        <v>119</v>
      </c>
      <c r="E6840" s="41" t="n">
        <v>10600.879</v>
      </c>
    </row>
    <row r="6841">
      <c r="A6841" s="42">
        <f>_xlfn.XLOOKUP(17856,Trip[shape_id],Trip[shape_id],"Não encontrado")</f>
        <v/>
      </c>
      <c r="B6841" s="43" t="n">
        <v>-23.489507</v>
      </c>
      <c r="C6841" s="43" t="n">
        <v>-46.50583</v>
      </c>
      <c r="D6841" s="43" t="n">
        <v>120</v>
      </c>
      <c r="E6841" s="44" t="n">
        <v>10770.701</v>
      </c>
    </row>
    <row r="6842">
      <c r="A6842" s="39">
        <f>_xlfn.XLOOKUP(17856,Trip[shape_id],Trip[shape_id],"Não encontrado")</f>
        <v/>
      </c>
      <c r="B6842" s="40" t="n">
        <v>-23.486942</v>
      </c>
      <c r="C6842" s="40" t="n">
        <v>-46.504819</v>
      </c>
      <c r="D6842" s="40" t="n">
        <v>121</v>
      </c>
      <c r="E6842" s="41" t="n">
        <v>11072.967</v>
      </c>
    </row>
    <row r="6843">
      <c r="A6843" s="42">
        <f>_xlfn.XLOOKUP(17856,Trip[shape_id],Trip[shape_id],"Não encontrado")</f>
        <v/>
      </c>
      <c r="B6843" s="43" t="n">
        <v>-23.486293</v>
      </c>
      <c r="C6843" s="43" t="n">
        <v>-46.504314</v>
      </c>
      <c r="D6843" s="43" t="n">
        <v>122</v>
      </c>
      <c r="E6843" s="44" t="n">
        <v>11161.44</v>
      </c>
    </row>
    <row r="6844">
      <c r="A6844" s="39">
        <f>_xlfn.XLOOKUP(17856,Trip[shape_id],Trip[shape_id],"Não encontrado")</f>
        <v/>
      </c>
      <c r="B6844" s="40" t="n">
        <v>-23.485813</v>
      </c>
      <c r="C6844" s="40" t="n">
        <v>-46.503658</v>
      </c>
      <c r="D6844" s="40" t="n">
        <v>123</v>
      </c>
      <c r="E6844" s="41" t="n">
        <v>11246.978</v>
      </c>
    </row>
    <row r="6845">
      <c r="A6845" s="42">
        <f>_xlfn.XLOOKUP(17856,Trip[shape_id],Trip[shape_id],"Não encontrado")</f>
        <v/>
      </c>
      <c r="B6845" s="43" t="n">
        <v>-23.485554</v>
      </c>
      <c r="C6845" s="43" t="n">
        <v>-46.502953</v>
      </c>
      <c r="D6845" s="43" t="n">
        <v>124</v>
      </c>
      <c r="E6845" s="44" t="n">
        <v>11324.497</v>
      </c>
    </row>
    <row r="6846">
      <c r="A6846" s="39">
        <f>_xlfn.XLOOKUP(17856,Trip[shape_id],Trip[shape_id],"Não encontrado")</f>
        <v/>
      </c>
      <c r="B6846" s="40" t="n">
        <v>-23.485458</v>
      </c>
      <c r="C6846" s="40" t="n">
        <v>-46.502406</v>
      </c>
      <c r="D6846" s="40" t="n">
        <v>125</v>
      </c>
      <c r="E6846" s="41" t="n">
        <v>11381.377</v>
      </c>
    </row>
    <row r="6847">
      <c r="A6847" s="42">
        <f>_xlfn.XLOOKUP(17856,Trip[shape_id],Trip[shape_id],"Não encontrado")</f>
        <v/>
      </c>
      <c r="B6847" s="43" t="n">
        <v>-23.485497</v>
      </c>
      <c r="C6847" s="43" t="n">
        <v>-46.501154</v>
      </c>
      <c r="D6847" s="43" t="n">
        <v>126</v>
      </c>
      <c r="E6847" s="44" t="n">
        <v>11509.345</v>
      </c>
    </row>
    <row r="6848">
      <c r="A6848" s="39">
        <f>_xlfn.XLOOKUP(17856,Trip[shape_id],Trip[shape_id],"Não encontrado")</f>
        <v/>
      </c>
      <c r="B6848" s="40" t="n">
        <v>-23.485488</v>
      </c>
      <c r="C6848" s="40" t="n">
        <v>-46.500688</v>
      </c>
      <c r="D6848" s="40" t="n">
        <v>127</v>
      </c>
      <c r="E6848" s="41" t="n">
        <v>11556.958</v>
      </c>
    </row>
    <row r="6849">
      <c r="A6849" s="42">
        <f>_xlfn.XLOOKUP(17856,Trip[shape_id],Trip[shape_id],"Não encontrado")</f>
        <v/>
      </c>
      <c r="B6849" s="43" t="n">
        <v>-23.485477</v>
      </c>
      <c r="C6849" s="43" t="n">
        <v>-46.499088</v>
      </c>
      <c r="D6849" s="43" t="n">
        <v>128</v>
      </c>
      <c r="E6849" s="44" t="n">
        <v>11720.406</v>
      </c>
    </row>
    <row r="6850">
      <c r="A6850" s="39">
        <f>_xlfn.XLOOKUP(17856,Trip[shape_id],Trip[shape_id],"Não encontrado")</f>
        <v/>
      </c>
      <c r="B6850" s="40" t="n">
        <v>-23.485453</v>
      </c>
      <c r="C6850" s="40" t="n">
        <v>-46.498441</v>
      </c>
      <c r="D6850" s="40" t="n">
        <v>129</v>
      </c>
      <c r="E6850" s="41" t="n">
        <v>11786.552</v>
      </c>
    </row>
    <row r="6851">
      <c r="A6851" s="42">
        <f>_xlfn.XLOOKUP(17856,Trip[shape_id],Trip[shape_id],"Não encontrado")</f>
        <v/>
      </c>
      <c r="B6851" s="43" t="n">
        <v>-23.48541</v>
      </c>
      <c r="C6851" s="43" t="n">
        <v>-46.498174</v>
      </c>
      <c r="D6851" s="43" t="n">
        <v>130</v>
      </c>
      <c r="E6851" s="44" t="n">
        <v>11814.239</v>
      </c>
    </row>
    <row r="6852">
      <c r="A6852" s="39">
        <f>_xlfn.XLOOKUP(17856,Trip[shape_id],Trip[shape_id],"Não encontrado")</f>
        <v/>
      </c>
      <c r="B6852" s="40" t="n">
        <v>-23.485319</v>
      </c>
      <c r="C6852" s="40" t="n">
        <v>-46.497817</v>
      </c>
      <c r="D6852" s="40" t="n">
        <v>131</v>
      </c>
      <c r="E6852" s="41" t="n">
        <v>11852.074</v>
      </c>
    </row>
    <row r="6853">
      <c r="A6853" s="42">
        <f>_xlfn.XLOOKUP(17856,Trip[shape_id],Trip[shape_id],"Não encontrado")</f>
        <v/>
      </c>
      <c r="B6853" s="43" t="n">
        <v>-23.485228</v>
      </c>
      <c r="C6853" s="43" t="n">
        <v>-46.497542</v>
      </c>
      <c r="D6853" s="43" t="n">
        <v>132</v>
      </c>
      <c r="E6853" s="44" t="n">
        <v>11881.919</v>
      </c>
    </row>
    <row r="6854">
      <c r="A6854" s="39">
        <f>_xlfn.XLOOKUP(17856,Trip[shape_id],Trip[shape_id],"Não encontrado")</f>
        <v/>
      </c>
      <c r="B6854" s="40" t="n">
        <v>-23.4851</v>
      </c>
      <c r="C6854" s="40" t="n">
        <v>-46.497312</v>
      </c>
      <c r="D6854" s="40" t="n">
        <v>133</v>
      </c>
      <c r="E6854" s="41" t="n">
        <v>11909.359</v>
      </c>
    </row>
    <row r="6855">
      <c r="A6855" s="42">
        <f>_xlfn.XLOOKUP(17856,Trip[shape_id],Trip[shape_id],"Não encontrado")</f>
        <v/>
      </c>
      <c r="B6855" s="43" t="n">
        <v>-23.484932</v>
      </c>
      <c r="C6855" s="43" t="n">
        <v>-46.497027</v>
      </c>
      <c r="D6855" s="43" t="n">
        <v>134</v>
      </c>
      <c r="E6855" s="44" t="n">
        <v>11943.91</v>
      </c>
    </row>
    <row r="6856">
      <c r="A6856" s="39">
        <f>_xlfn.XLOOKUP(17856,Trip[shape_id],Trip[shape_id],"Não encontrado")</f>
        <v/>
      </c>
      <c r="B6856" s="40" t="n">
        <v>-23.484265</v>
      </c>
      <c r="C6856" s="40" t="n">
        <v>-46.496232</v>
      </c>
      <c r="D6856" s="40" t="n">
        <v>135</v>
      </c>
      <c r="E6856" s="41" t="n">
        <v>12053.692</v>
      </c>
    </row>
    <row r="6857">
      <c r="A6857" s="42">
        <f>_xlfn.XLOOKUP(17856,Trip[shape_id],Trip[shape_id],"Não encontrado")</f>
        <v/>
      </c>
      <c r="B6857" s="43" t="n">
        <v>-23.483773</v>
      </c>
      <c r="C6857" s="43" t="n">
        <v>-46.49569</v>
      </c>
      <c r="D6857" s="43" t="n">
        <v>136</v>
      </c>
      <c r="E6857" s="44" t="n">
        <v>12131.375</v>
      </c>
    </row>
    <row r="6858">
      <c r="A6858" s="39">
        <f>_xlfn.XLOOKUP(17856,Trip[shape_id],Trip[shape_id],"Não encontrado")</f>
        <v/>
      </c>
      <c r="B6858" s="40" t="n">
        <v>-23.483554</v>
      </c>
      <c r="C6858" s="40" t="n">
        <v>-46.495429</v>
      </c>
      <c r="D6858" s="40" t="n">
        <v>137</v>
      </c>
      <c r="E6858" s="41" t="n">
        <v>12167.419</v>
      </c>
    </row>
    <row r="6859">
      <c r="A6859" s="42">
        <f>_xlfn.XLOOKUP(17856,Trip[shape_id],Trip[shape_id],"Não encontrado")</f>
        <v/>
      </c>
      <c r="B6859" s="43" t="n">
        <v>-23.483356</v>
      </c>
      <c r="C6859" s="43" t="n">
        <v>-46.495171</v>
      </c>
      <c r="D6859" s="43" t="n">
        <v>138</v>
      </c>
      <c r="E6859" s="44" t="n">
        <v>12201.704</v>
      </c>
    </row>
    <row r="6860">
      <c r="A6860" s="39">
        <f>_xlfn.XLOOKUP(17856,Trip[shape_id],Trip[shape_id],"Não encontrado")</f>
        <v/>
      </c>
      <c r="B6860" s="40" t="n">
        <v>-23.483119</v>
      </c>
      <c r="C6860" s="40" t="n">
        <v>-46.494776</v>
      </c>
      <c r="D6860" s="40" t="n">
        <v>139</v>
      </c>
      <c r="E6860" s="41" t="n">
        <v>12249.841</v>
      </c>
    </row>
    <row r="6861">
      <c r="A6861" s="42">
        <f>_xlfn.XLOOKUP(17856,Trip[shape_id],Trip[shape_id],"Não encontrado")</f>
        <v/>
      </c>
      <c r="B6861" s="43" t="n">
        <v>-23.482929</v>
      </c>
      <c r="C6861" s="43" t="n">
        <v>-46.494391</v>
      </c>
      <c r="D6861" s="43" t="n">
        <v>140</v>
      </c>
      <c r="E6861" s="44" t="n">
        <v>12294.445</v>
      </c>
    </row>
    <row r="6862">
      <c r="A6862" s="39">
        <f>_xlfn.XLOOKUP(17856,Trip[shape_id],Trip[shape_id],"Não encontrado")</f>
        <v/>
      </c>
      <c r="B6862" s="40" t="n">
        <v>-23.482801</v>
      </c>
      <c r="C6862" s="40" t="n">
        <v>-46.494051</v>
      </c>
      <c r="D6862" s="40" t="n">
        <v>141</v>
      </c>
      <c r="E6862" s="41" t="n">
        <v>12331.959</v>
      </c>
    </row>
    <row r="6863">
      <c r="A6863" s="42">
        <f>_xlfn.XLOOKUP(17856,Trip[shape_id],Trip[shape_id],"Não encontrado")</f>
        <v/>
      </c>
      <c r="B6863" s="43" t="n">
        <v>-23.482652</v>
      </c>
      <c r="C6863" s="43" t="n">
        <v>-46.493548</v>
      </c>
      <c r="D6863" s="43" t="n">
        <v>142</v>
      </c>
      <c r="E6863" s="44" t="n">
        <v>12385.928</v>
      </c>
    </row>
    <row r="6864">
      <c r="A6864" s="39">
        <f>_xlfn.XLOOKUP(17856,Trip[shape_id],Trip[shape_id],"Não encontrado")</f>
        <v/>
      </c>
      <c r="B6864" s="40" t="n">
        <v>-23.482596</v>
      </c>
      <c r="C6864" s="40" t="n">
        <v>-46.493146</v>
      </c>
      <c r="D6864" s="40" t="n">
        <v>143</v>
      </c>
      <c r="E6864" s="41" t="n">
        <v>12427.46</v>
      </c>
    </row>
    <row r="6865">
      <c r="A6865" s="42">
        <f>_xlfn.XLOOKUP(17856,Trip[shape_id],Trip[shape_id],"Não encontrado")</f>
        <v/>
      </c>
      <c r="B6865" s="43" t="n">
        <v>-23.482568</v>
      </c>
      <c r="C6865" s="43" t="n">
        <v>-46.492729</v>
      </c>
      <c r="D6865" s="43" t="n">
        <v>144</v>
      </c>
      <c r="E6865" s="44" t="n">
        <v>12470.171</v>
      </c>
    </row>
    <row r="6866">
      <c r="A6866" s="39">
        <f>_xlfn.XLOOKUP(17856,Trip[shape_id],Trip[shape_id],"Não encontrado")</f>
        <v/>
      </c>
      <c r="B6866" s="40" t="n">
        <v>-23.482579</v>
      </c>
      <c r="C6866" s="40" t="n">
        <v>-46.492361</v>
      </c>
      <c r="D6866" s="40" t="n">
        <v>145</v>
      </c>
      <c r="E6866" s="41" t="n">
        <v>12507.783</v>
      </c>
    </row>
    <row r="6867">
      <c r="A6867" s="42">
        <f>_xlfn.XLOOKUP(17856,Trip[shape_id],Trip[shape_id],"Não encontrado")</f>
        <v/>
      </c>
      <c r="B6867" s="43" t="n">
        <v>-23.482613</v>
      </c>
      <c r="C6867" s="43" t="n">
        <v>-46.492103</v>
      </c>
      <c r="D6867" s="43" t="n">
        <v>146</v>
      </c>
      <c r="E6867" s="44" t="n">
        <v>12534.406</v>
      </c>
    </row>
    <row r="6868">
      <c r="A6868" s="39">
        <f>_xlfn.XLOOKUP(17856,Trip[shape_id],Trip[shape_id],"Não encontrado")</f>
        <v/>
      </c>
      <c r="B6868" s="40" t="n">
        <v>-23.482656</v>
      </c>
      <c r="C6868" s="40" t="n">
        <v>-46.491865</v>
      </c>
      <c r="D6868" s="40" t="n">
        <v>147</v>
      </c>
      <c r="E6868" s="41" t="n">
        <v>12559.181</v>
      </c>
    </row>
    <row r="6869">
      <c r="A6869" s="42">
        <f>_xlfn.XLOOKUP(17856,Trip[shape_id],Trip[shape_id],"Não encontrado")</f>
        <v/>
      </c>
      <c r="B6869" s="43" t="n">
        <v>-23.48294</v>
      </c>
      <c r="C6869" s="43" t="n">
        <v>-46.491087</v>
      </c>
      <c r="D6869" s="43" t="n">
        <v>148</v>
      </c>
      <c r="E6869" s="44" t="n">
        <v>12644.654</v>
      </c>
    </row>
    <row r="6870">
      <c r="A6870" s="39">
        <f>_xlfn.XLOOKUP(17856,Trip[shape_id],Trip[shape_id],"Não encontrado")</f>
        <v/>
      </c>
      <c r="B6870" s="40" t="n">
        <v>-23.48327</v>
      </c>
      <c r="C6870" s="40" t="n">
        <v>-46.490495</v>
      </c>
      <c r="D6870" s="40" t="n">
        <v>149</v>
      </c>
      <c r="E6870" s="41" t="n">
        <v>12715.315</v>
      </c>
    </row>
    <row r="6871">
      <c r="A6871" s="42">
        <f>_xlfn.XLOOKUP(17856,Trip[shape_id],Trip[shape_id],"Não encontrado")</f>
        <v/>
      </c>
      <c r="B6871" s="43" t="n">
        <v>-23.484569</v>
      </c>
      <c r="C6871" s="43" t="n">
        <v>-46.488485</v>
      </c>
      <c r="D6871" s="43" t="n">
        <v>150</v>
      </c>
      <c r="E6871" s="44" t="n">
        <v>12966.028</v>
      </c>
    </row>
    <row r="6872">
      <c r="A6872" s="39">
        <f>_xlfn.XLOOKUP(17856,Trip[shape_id],Trip[shape_id],"Não encontrado")</f>
        <v/>
      </c>
      <c r="B6872" s="40" t="n">
        <v>-23.484932</v>
      </c>
      <c r="C6872" s="40" t="n">
        <v>-46.487514</v>
      </c>
      <c r="D6872" s="40" t="n">
        <v>151</v>
      </c>
      <c r="E6872" s="41" t="n">
        <v>13073.057</v>
      </c>
    </row>
    <row r="6873">
      <c r="A6873" s="42">
        <f>_xlfn.XLOOKUP(17856,Trip[shape_id],Trip[shape_id],"Não encontrado")</f>
        <v/>
      </c>
      <c r="B6873" s="43" t="n">
        <v>-23.485369</v>
      </c>
      <c r="C6873" s="43" t="n">
        <v>-46.485327</v>
      </c>
      <c r="D6873" s="43" t="n">
        <v>152</v>
      </c>
      <c r="E6873" s="44" t="n">
        <v>13301.646</v>
      </c>
    </row>
    <row r="6874">
      <c r="A6874" s="39">
        <f>_xlfn.XLOOKUP(17856,Trip[shape_id],Trip[shape_id],"Não encontrado")</f>
        <v/>
      </c>
      <c r="B6874" s="40" t="n">
        <v>-23.485426</v>
      </c>
      <c r="C6874" s="40" t="n">
        <v>-46.484595</v>
      </c>
      <c r="D6874" s="40" t="n">
        <v>153</v>
      </c>
      <c r="E6874" s="41" t="n">
        <v>13376.688</v>
      </c>
    </row>
    <row r="6875">
      <c r="A6875" s="42">
        <f>_xlfn.XLOOKUP(17856,Trip[shape_id],Trip[shape_id],"Não encontrado")</f>
        <v/>
      </c>
      <c r="B6875" s="43" t="n">
        <v>-23.485406</v>
      </c>
      <c r="C6875" s="43" t="n">
        <v>-46.484014</v>
      </c>
      <c r="D6875" s="43" t="n">
        <v>154</v>
      </c>
      <c r="E6875" s="44" t="n">
        <v>13436.079</v>
      </c>
    </row>
    <row r="6876">
      <c r="A6876" s="39">
        <f>_xlfn.XLOOKUP(17856,Trip[shape_id],Trip[shape_id],"Não encontrado")</f>
        <v/>
      </c>
      <c r="B6876" s="40" t="n">
        <v>-23.485341</v>
      </c>
      <c r="C6876" s="40" t="n">
        <v>-46.48362</v>
      </c>
      <c r="D6876" s="40" t="n">
        <v>155</v>
      </c>
      <c r="E6876" s="41" t="n">
        <v>13476.966</v>
      </c>
    </row>
    <row r="6877">
      <c r="A6877" s="42">
        <f>_xlfn.XLOOKUP(17856,Trip[shape_id],Trip[shape_id],"Não encontrado")</f>
        <v/>
      </c>
      <c r="B6877" s="43" t="n">
        <v>-23.485123</v>
      </c>
      <c r="C6877" s="43" t="n">
        <v>-46.482486</v>
      </c>
      <c r="D6877" s="43" t="n">
        <v>156</v>
      </c>
      <c r="E6877" s="44" t="n">
        <v>13595.296</v>
      </c>
    </row>
    <row r="6878">
      <c r="A6878" s="39">
        <f>_xlfn.XLOOKUP(17856,Trip[shape_id],Trip[shape_id],"Não encontrado")</f>
        <v/>
      </c>
      <c r="B6878" s="40" t="n">
        <v>-23.485103</v>
      </c>
      <c r="C6878" s="40" t="n">
        <v>-46.48237</v>
      </c>
      <c r="D6878" s="40" t="n">
        <v>157</v>
      </c>
      <c r="E6878" s="41" t="n">
        <v>13607.352</v>
      </c>
    </row>
    <row r="6879">
      <c r="A6879" s="42">
        <f>_xlfn.XLOOKUP(17856,Trip[shape_id],Trip[shape_id],"Não encontrado")</f>
        <v/>
      </c>
      <c r="B6879" s="43" t="n">
        <v>-23.484896</v>
      </c>
      <c r="C6879" s="43" t="n">
        <v>-46.48096</v>
      </c>
      <c r="D6879" s="43" t="n">
        <v>158</v>
      </c>
      <c r="E6879" s="44" t="n">
        <v>13778.777</v>
      </c>
    </row>
    <row r="6880">
      <c r="A6880" s="39">
        <f>_xlfn.XLOOKUP(17856,Trip[shape_id],Trip[shape_id],"Não encontrado")</f>
        <v/>
      </c>
      <c r="B6880" s="40" t="n">
        <v>-23.484853</v>
      </c>
      <c r="C6880" s="40" t="n">
        <v>-46.480714</v>
      </c>
      <c r="D6880" s="40" t="n">
        <v>159</v>
      </c>
      <c r="E6880" s="41" t="n">
        <v>13841.946</v>
      </c>
    </row>
    <row r="6881">
      <c r="A6881" s="42">
        <f>_xlfn.XLOOKUP(17856,Trip[shape_id],Trip[shape_id],"Não encontrado")</f>
        <v/>
      </c>
      <c r="B6881" s="43" t="n">
        <v>-23.484735</v>
      </c>
      <c r="C6881" s="43" t="n">
        <v>-46.480109</v>
      </c>
      <c r="D6881" s="43" t="n">
        <v>160</v>
      </c>
      <c r="E6881" s="44" t="n">
        <v>13892.75</v>
      </c>
    </row>
    <row r="6882">
      <c r="A6882" s="39">
        <f>_xlfn.XLOOKUP(17856,Trip[shape_id],Trip[shape_id],"Não encontrado")</f>
        <v/>
      </c>
      <c r="B6882" s="40" t="n">
        <v>-23.484682</v>
      </c>
      <c r="C6882" s="40" t="n">
        <v>-46.479615</v>
      </c>
      <c r="D6882" s="40" t="n">
        <v>161</v>
      </c>
      <c r="E6882" s="41" t="n">
        <v>13927.289</v>
      </c>
    </row>
    <row r="6883">
      <c r="A6883" s="42">
        <f>_xlfn.XLOOKUP(17856,Trip[shape_id],Trip[shape_id],"Não encontrado")</f>
        <v/>
      </c>
      <c r="B6883" s="43" t="n">
        <v>-23.484628</v>
      </c>
      <c r="C6883" s="43" t="n">
        <v>-46.479282</v>
      </c>
      <c r="D6883" s="43" t="n">
        <v>162</v>
      </c>
      <c r="E6883" s="44" t="n">
        <v>13968.834</v>
      </c>
    </row>
    <row r="6884">
      <c r="A6884" s="39">
        <f>_xlfn.XLOOKUP(17856,Trip[shape_id],Trip[shape_id],"Não encontrado")</f>
        <v/>
      </c>
      <c r="B6884" s="40" t="n">
        <v>-23.484535</v>
      </c>
      <c r="C6884" s="40" t="n">
        <v>-46.478888</v>
      </c>
      <c r="D6884" s="40" t="n">
        <v>163</v>
      </c>
      <c r="E6884" s="41" t="n">
        <v>14028.915</v>
      </c>
    </row>
    <row r="6885">
      <c r="A6885" s="42">
        <f>_xlfn.XLOOKUP(17856,Trip[shape_id],Trip[shape_id],"Não encontrado")</f>
        <v/>
      </c>
      <c r="B6885" s="43" t="n">
        <v>-23.484445</v>
      </c>
      <c r="C6885" s="43" t="n">
        <v>-46.478308</v>
      </c>
      <c r="D6885" s="43" t="n">
        <v>164</v>
      </c>
      <c r="E6885" s="44" t="n">
        <v>14162.825</v>
      </c>
    </row>
    <row r="6886">
      <c r="A6886" s="39">
        <f>_xlfn.XLOOKUP(17856,Trip[shape_id],Trip[shape_id],"Não encontrado")</f>
        <v/>
      </c>
      <c r="B6886" s="40" t="n">
        <v>-23.484246</v>
      </c>
      <c r="C6886" s="40" t="n">
        <v>-46.477015</v>
      </c>
      <c r="D6886" s="40" t="n">
        <v>165</v>
      </c>
      <c r="E6886" s="41" t="n">
        <v>14278.949</v>
      </c>
    </row>
    <row r="6887">
      <c r="A6887" s="42">
        <f>_xlfn.XLOOKUP(17856,Trip[shape_id],Trip[shape_id],"Não encontrado")</f>
        <v/>
      </c>
      <c r="B6887" s="43" t="n">
        <v>-23.484072</v>
      </c>
      <c r="C6887" s="43" t="n">
        <v>-46.475894</v>
      </c>
      <c r="D6887" s="43" t="n">
        <v>166</v>
      </c>
      <c r="E6887" s="44" t="n">
        <v>14374.245</v>
      </c>
    </row>
    <row r="6888">
      <c r="A6888" s="39">
        <f>_xlfn.XLOOKUP(17856,Trip[shape_id],Trip[shape_id],"Não encontrado")</f>
        <v/>
      </c>
      <c r="B6888" s="40" t="n">
        <v>-23.483856</v>
      </c>
      <c r="C6888" s="40" t="n">
        <v>-46.474991</v>
      </c>
      <c r="D6888" s="40" t="n">
        <v>167</v>
      </c>
      <c r="E6888" s="41" t="n">
        <v>14500.038</v>
      </c>
    </row>
    <row r="6889">
      <c r="A6889" s="42">
        <f>_xlfn.XLOOKUP(17856,Trip[shape_id],Trip[shape_id],"Não encontrado")</f>
        <v/>
      </c>
      <c r="B6889" s="43" t="n">
        <v>-23.48339</v>
      </c>
      <c r="C6889" s="43" t="n">
        <v>-46.473868</v>
      </c>
      <c r="D6889" s="43" t="n">
        <v>168</v>
      </c>
      <c r="E6889" s="44" t="n">
        <v>14623.833</v>
      </c>
    </row>
    <row r="6890">
      <c r="A6890" s="39">
        <f>_xlfn.XLOOKUP(17856,Trip[shape_id],Trip[shape_id],"Não encontrado")</f>
        <v/>
      </c>
      <c r="B6890" s="40" t="n">
        <v>-23.482894</v>
      </c>
      <c r="C6890" s="40" t="n">
        <v>-46.472782</v>
      </c>
      <c r="D6890" s="40" t="n">
        <v>169</v>
      </c>
      <c r="E6890" s="41" t="n">
        <v>14745.083</v>
      </c>
    </row>
    <row r="6891">
      <c r="A6891" s="42">
        <f>_xlfn.XLOOKUP(17856,Trip[shape_id],Trip[shape_id],"Não encontrado")</f>
        <v/>
      </c>
      <c r="B6891" s="43" t="n">
        <v>-23.482559</v>
      </c>
      <c r="C6891" s="43" t="n">
        <v>-46.471652</v>
      </c>
      <c r="D6891" s="43" t="n">
        <v>170</v>
      </c>
      <c r="E6891" s="44" t="n">
        <v>14867.091</v>
      </c>
    </row>
    <row r="6892">
      <c r="A6892" s="39">
        <f>_xlfn.XLOOKUP(17856,Trip[shape_id],Trip[shape_id],"Não encontrado")</f>
        <v/>
      </c>
      <c r="B6892" s="40" t="n">
        <v>-23.482628</v>
      </c>
      <c r="C6892" s="40" t="n">
        <v>-46.47046</v>
      </c>
      <c r="D6892" s="40" t="n">
        <v>171</v>
      </c>
      <c r="E6892" s="41" t="n">
        <v>15004.553</v>
      </c>
    </row>
    <row r="6893">
      <c r="A6893" s="42">
        <f>_xlfn.XLOOKUP(17856,Trip[shape_id],Trip[shape_id],"Não encontrado")</f>
        <v/>
      </c>
      <c r="B6893" s="43" t="n">
        <v>-23.482927</v>
      </c>
      <c r="C6893" s="43" t="n">
        <v>-46.469154</v>
      </c>
      <c r="D6893" s="43" t="n">
        <v>172</v>
      </c>
      <c r="E6893" s="44" t="n">
        <v>15176.418</v>
      </c>
    </row>
    <row r="6894">
      <c r="A6894" s="39">
        <f>_xlfn.XLOOKUP(17856,Trip[shape_id],Trip[shape_id],"Não encontrado")</f>
        <v/>
      </c>
      <c r="B6894" s="40" t="n">
        <v>-23.483322</v>
      </c>
      <c r="C6894" s="40" t="n">
        <v>-46.467527</v>
      </c>
      <c r="D6894" s="40" t="n">
        <v>173</v>
      </c>
      <c r="E6894" s="41" t="n">
        <v>15285.021</v>
      </c>
    </row>
    <row r="6895">
      <c r="A6895" s="42">
        <f>_xlfn.XLOOKUP(17856,Trip[shape_id],Trip[shape_id],"Não encontrado")</f>
        <v/>
      </c>
      <c r="B6895" s="43" t="n">
        <v>-23.483815</v>
      </c>
      <c r="C6895" s="43" t="n">
        <v>-46.466608</v>
      </c>
      <c r="D6895" s="43" t="n">
        <v>174</v>
      </c>
      <c r="E6895" s="44" t="n">
        <v>15354.607</v>
      </c>
    </row>
    <row r="6896">
      <c r="A6896" s="39">
        <f>_xlfn.XLOOKUP(17856,Trip[shape_id],Trip[shape_id],"Não encontrado")</f>
        <v/>
      </c>
      <c r="B6896" s="40" t="n">
        <v>-23.484212</v>
      </c>
      <c r="C6896" s="40" t="n">
        <v>-46.46608</v>
      </c>
      <c r="D6896" s="40" t="n">
        <v>175</v>
      </c>
      <c r="E6896" s="41" t="n">
        <v>15470.034</v>
      </c>
    </row>
    <row r="6897">
      <c r="A6897" s="42">
        <f>_xlfn.XLOOKUP(17856,Trip[shape_id],Trip[shape_id],"Não encontrado")</f>
        <v/>
      </c>
      <c r="B6897" s="43" t="n">
        <v>-23.485025</v>
      </c>
      <c r="C6897" s="43" t="n">
        <v>-46.465373</v>
      </c>
      <c r="D6897" s="43" t="n">
        <v>176</v>
      </c>
      <c r="E6897" s="44" t="n">
        <v>15541.567</v>
      </c>
    </row>
    <row r="6898">
      <c r="A6898" s="39">
        <f>_xlfn.XLOOKUP(17856,Trip[shape_id],Trip[shape_id],"Não encontrado")</f>
        <v/>
      </c>
      <c r="B6898" s="40" t="n">
        <v>-23.485579</v>
      </c>
      <c r="C6898" s="40" t="n">
        <v>-46.465013</v>
      </c>
      <c r="D6898" s="40" t="n">
        <v>177</v>
      </c>
      <c r="E6898" s="41" t="n">
        <v>15588.772</v>
      </c>
    </row>
    <row r="6899">
      <c r="A6899" s="42">
        <f>_xlfn.XLOOKUP(17856,Trip[shape_id],Trip[shape_id],"Não encontrado")</f>
        <v/>
      </c>
      <c r="B6899" s="43" t="n">
        <v>-23.485946</v>
      </c>
      <c r="C6899" s="43" t="n">
        <v>-46.464778</v>
      </c>
      <c r="D6899" s="43" t="n">
        <v>178</v>
      </c>
      <c r="E6899" s="44" t="n">
        <v>15683.426</v>
      </c>
    </row>
    <row r="6900">
      <c r="A6900" s="39">
        <f>_xlfn.XLOOKUP(17856,Trip[shape_id],Trip[shape_id],"Não encontrado")</f>
        <v/>
      </c>
      <c r="B6900" s="40" t="n">
        <v>-23.486682</v>
      </c>
      <c r="C6900" s="40" t="n">
        <v>-46.464307</v>
      </c>
      <c r="D6900" s="40" t="n">
        <v>179</v>
      </c>
      <c r="E6900" s="41" t="n">
        <v>15719.045</v>
      </c>
    </row>
    <row r="6901">
      <c r="A6901" s="42">
        <f>_xlfn.XLOOKUP(17856,Trip[shape_id],Trip[shape_id],"Não encontrado")</f>
        <v/>
      </c>
      <c r="B6901" s="43" t="n">
        <v>-23.486958</v>
      </c>
      <c r="C6901" s="43" t="n">
        <v>-46.464128</v>
      </c>
      <c r="D6901" s="43" t="n">
        <v>180</v>
      </c>
      <c r="E6901" s="44" t="n">
        <v>15831.042</v>
      </c>
    </row>
    <row r="6902">
      <c r="A6902" s="39">
        <f>_xlfn.XLOOKUP(17856,Trip[shape_id],Trip[shape_id],"Não encontrado")</f>
        <v/>
      </c>
      <c r="B6902" s="40" t="n">
        <v>-23.48792</v>
      </c>
      <c r="C6902" s="40" t="n">
        <v>-46.46379</v>
      </c>
      <c r="D6902" s="40" t="n">
        <v>181</v>
      </c>
      <c r="E6902" s="41" t="n">
        <v>15930.598</v>
      </c>
    </row>
    <row r="6903">
      <c r="A6903" s="42">
        <f>_xlfn.XLOOKUP(17856,Trip[shape_id],Trip[shape_id],"Não encontrado")</f>
        <v/>
      </c>
      <c r="B6903" s="43" t="n">
        <v>-23.488791</v>
      </c>
      <c r="C6903" s="43" t="n">
        <v>-46.463549</v>
      </c>
      <c r="D6903" s="43" t="n">
        <v>182</v>
      </c>
      <c r="E6903" s="44" t="n">
        <v>15977.926</v>
      </c>
    </row>
    <row r="6904">
      <c r="A6904" s="39">
        <f>_xlfn.XLOOKUP(17856,Trip[shape_id],Trip[shape_id],"Não encontrado")</f>
        <v/>
      </c>
      <c r="B6904" s="40" t="n">
        <v>-23.489204</v>
      </c>
      <c r="C6904" s="40" t="n">
        <v>-46.46343</v>
      </c>
      <c r="D6904" s="40" t="n">
        <v>183</v>
      </c>
      <c r="E6904" s="41" t="n">
        <v>16049.181</v>
      </c>
    </row>
    <row r="6905">
      <c r="A6905" s="42">
        <f>_xlfn.XLOOKUP(17856,Trip[shape_id],Trip[shape_id],"Não encontrado")</f>
        <v/>
      </c>
      <c r="B6905" s="43" t="n">
        <v>-23.489798</v>
      </c>
      <c r="C6905" s="43" t="n">
        <v>-46.463162</v>
      </c>
      <c r="D6905" s="43" t="n">
        <v>184</v>
      </c>
      <c r="E6905" s="44" t="n">
        <v>16099.445</v>
      </c>
    </row>
    <row r="6906">
      <c r="A6906" s="39">
        <f>_xlfn.XLOOKUP(17856,Trip[shape_id],Trip[shape_id],"Não encontrado")</f>
        <v/>
      </c>
      <c r="B6906" s="40" t="n">
        <v>-23.490166</v>
      </c>
      <c r="C6906" s="40" t="n">
        <v>-46.462874</v>
      </c>
      <c r="D6906" s="40" t="n">
        <v>185</v>
      </c>
      <c r="E6906" s="41" t="n">
        <v>16121.263</v>
      </c>
    </row>
    <row r="6907">
      <c r="A6907" s="42">
        <f>_xlfn.XLOOKUP(17856,Trip[shape_id],Trip[shape_id],"Não encontrado")</f>
        <v/>
      </c>
      <c r="B6907" s="43" t="n">
        <v>-23.490323</v>
      </c>
      <c r="C6907" s="43" t="n">
        <v>-46.462745</v>
      </c>
      <c r="D6907" s="43" t="n">
        <v>186</v>
      </c>
      <c r="E6907" s="44" t="n">
        <v>16156.328</v>
      </c>
    </row>
    <row r="6908">
      <c r="A6908" s="39">
        <f>_xlfn.XLOOKUP(17856,Trip[shape_id],Trip[shape_id],"Não encontrado")</f>
        <v/>
      </c>
      <c r="B6908" s="40" t="n">
        <v>-23.490538</v>
      </c>
      <c r="C6908" s="40" t="n">
        <v>-46.462493</v>
      </c>
      <c r="D6908" s="40" t="n">
        <v>187</v>
      </c>
      <c r="E6908" s="41" t="n">
        <v>16200.291</v>
      </c>
    </row>
    <row r="6909">
      <c r="A6909" s="42">
        <f>_xlfn.XLOOKUP(17856,Trip[shape_id],Trip[shape_id],"Não encontrado")</f>
        <v/>
      </c>
      <c r="B6909" s="43" t="n">
        <v>-23.490769</v>
      </c>
      <c r="C6909" s="43" t="n">
        <v>-46.462143</v>
      </c>
      <c r="D6909" s="43" t="n">
        <v>188</v>
      </c>
      <c r="E6909" s="44" t="n">
        <v>16220.972</v>
      </c>
    </row>
    <row r="6910">
      <c r="A6910" s="39">
        <f>_xlfn.XLOOKUP(17856,Trip[shape_id],Trip[shape_id],"Não encontrado")</f>
        <v/>
      </c>
      <c r="B6910" s="40" t="n">
        <v>-23.490866</v>
      </c>
      <c r="C6910" s="40" t="n">
        <v>-46.46197</v>
      </c>
      <c r="D6910" s="40" t="n">
        <v>189</v>
      </c>
      <c r="E6910" s="41" t="n">
        <v>16257.938</v>
      </c>
    </row>
    <row r="6911">
      <c r="A6911" s="42">
        <f>_xlfn.XLOOKUP(17856,Trip[shape_id],Trip[shape_id],"Não encontrado")</f>
        <v/>
      </c>
      <c r="B6911" s="43" t="n">
        <v>-23.491003</v>
      </c>
      <c r="C6911" s="43" t="n">
        <v>-46.46164</v>
      </c>
      <c r="D6911" s="43" t="n">
        <v>190</v>
      </c>
      <c r="E6911" s="44" t="n">
        <v>16311.865</v>
      </c>
    </row>
    <row r="6912">
      <c r="A6912" s="39">
        <f>_xlfn.XLOOKUP(17856,Trip[shape_id],Trip[shape_id],"Não encontrado")</f>
        <v/>
      </c>
      <c r="B6912" s="40" t="n">
        <v>-23.491191</v>
      </c>
      <c r="C6912" s="40" t="n">
        <v>-46.461153</v>
      </c>
      <c r="D6912" s="40" t="n">
        <v>191</v>
      </c>
      <c r="E6912" s="41" t="n">
        <v>16449.094</v>
      </c>
    </row>
    <row r="6913">
      <c r="A6913" s="42">
        <f>_xlfn.XLOOKUP(17856,Trip[shape_id],Trip[shape_id],"Não encontrado")</f>
        <v/>
      </c>
      <c r="B6913" s="43" t="n">
        <v>-23.491652</v>
      </c>
      <c r="C6913" s="43" t="n">
        <v>-46.459906</v>
      </c>
      <c r="D6913" s="43" t="n">
        <v>192</v>
      </c>
      <c r="E6913" s="44" t="n">
        <v>16512.732</v>
      </c>
    </row>
    <row r="6914">
      <c r="A6914" s="39">
        <f>_xlfn.XLOOKUP(17856,Trip[shape_id],Trip[shape_id],"Não encontrado")</f>
        <v/>
      </c>
      <c r="B6914" s="40" t="n">
        <v>-23.491831</v>
      </c>
      <c r="C6914" s="40" t="n">
        <v>-46.459314</v>
      </c>
      <c r="D6914" s="40" t="n">
        <v>193</v>
      </c>
      <c r="E6914" s="41" t="n">
        <v>16559.664</v>
      </c>
    </row>
    <row r="6915">
      <c r="A6915" s="42">
        <f>_xlfn.XLOOKUP(17856,Trip[shape_id],Trip[shape_id],"Não encontrado")</f>
        <v/>
      </c>
      <c r="B6915" s="43" t="n">
        <v>-23.491929</v>
      </c>
      <c r="C6915" s="43" t="n">
        <v>-46.458867</v>
      </c>
      <c r="D6915" s="43" t="n">
        <v>194</v>
      </c>
      <c r="E6915" s="44" t="n">
        <v>16638.535</v>
      </c>
    </row>
    <row r="6916">
      <c r="A6916" s="39">
        <f>_xlfn.XLOOKUP(17856,Trip[shape_id],Trip[shape_id],"Não encontrado")</f>
        <v/>
      </c>
      <c r="B6916" s="40" t="n">
        <v>-23.492011</v>
      </c>
      <c r="C6916" s="40" t="n">
        <v>-46.4581</v>
      </c>
      <c r="D6916" s="40" t="n">
        <v>195</v>
      </c>
      <c r="E6916" s="41" t="n">
        <v>16721.09</v>
      </c>
    </row>
    <row r="6917">
      <c r="A6917" s="42">
        <f>_xlfn.XLOOKUP(17856,Trip[shape_id],Trip[shape_id],"Não encontrado")</f>
        <v/>
      </c>
      <c r="B6917" s="43" t="n">
        <v>-23.492066</v>
      </c>
      <c r="C6917" s="43" t="n">
        <v>-46.457294</v>
      </c>
      <c r="D6917" s="43" t="n">
        <v>196</v>
      </c>
      <c r="E6917" s="44" t="n">
        <v>16902.223</v>
      </c>
    </row>
    <row r="6918">
      <c r="A6918" s="39">
        <f>_xlfn.XLOOKUP(17856,Trip[shape_id],Trip[shape_id],"Não encontrado")</f>
        <v/>
      </c>
      <c r="B6918" s="40" t="n">
        <v>-23.492165</v>
      </c>
      <c r="C6918" s="40" t="n">
        <v>-46.455524</v>
      </c>
      <c r="D6918" s="40" t="n">
        <v>197</v>
      </c>
      <c r="E6918" s="41" t="n">
        <v>17048</v>
      </c>
    </row>
    <row r="6919">
      <c r="A6919" s="42">
        <f>_xlfn.XLOOKUP(17856,Trip[shape_id],Trip[shape_id],"Não encontrado")</f>
        <v/>
      </c>
      <c r="B6919" s="43" t="n">
        <v>-23.492065</v>
      </c>
      <c r="C6919" s="43" t="n">
        <v>-46.454101</v>
      </c>
      <c r="D6919" s="43" t="n">
        <v>198</v>
      </c>
      <c r="E6919" s="44" t="n">
        <v>17168.859</v>
      </c>
    </row>
    <row r="6920">
      <c r="A6920" s="39">
        <f>_xlfn.XLOOKUP(17856,Trip[shape_id],Trip[shape_id],"Não encontrado")</f>
        <v/>
      </c>
      <c r="B6920" s="40" t="n">
        <v>-23.49185</v>
      </c>
      <c r="C6920" s="40" t="n">
        <v>-46.452941</v>
      </c>
      <c r="D6920" s="40" t="n">
        <v>199</v>
      </c>
      <c r="E6920" s="41" t="n">
        <v>17329.85</v>
      </c>
    </row>
    <row r="6921">
      <c r="A6921" s="42">
        <f>_xlfn.XLOOKUP(17856,Trip[shape_id],Trip[shape_id],"Não encontrado")</f>
        <v/>
      </c>
      <c r="B6921" s="43" t="n">
        <v>-23.491476</v>
      </c>
      <c r="C6921" s="43" t="n">
        <v>-46.451418</v>
      </c>
      <c r="D6921" s="43" t="n">
        <v>200</v>
      </c>
      <c r="E6921" s="44" t="n">
        <v>17535.313</v>
      </c>
    </row>
    <row r="6922">
      <c r="A6922" s="39">
        <f>_xlfn.XLOOKUP(17856,Trip[shape_id],Trip[shape_id],"Não encontrado")</f>
        <v/>
      </c>
      <c r="B6922" s="40" t="n">
        <v>-23.490963</v>
      </c>
      <c r="C6922" s="40" t="n">
        <v>-46.449485</v>
      </c>
      <c r="D6922" s="40" t="n">
        <v>201</v>
      </c>
      <c r="E6922" s="41" t="n">
        <v>17684.115</v>
      </c>
    </row>
    <row r="6923">
      <c r="A6923" s="42">
        <f>_xlfn.XLOOKUP(17856,Trip[shape_id],Trip[shape_id],"Não encontrado")</f>
        <v/>
      </c>
      <c r="B6923" s="43" t="n">
        <v>-23.490629</v>
      </c>
      <c r="C6923" s="43" t="n">
        <v>-46.448074</v>
      </c>
      <c r="D6923" s="43" t="n">
        <v>202</v>
      </c>
      <c r="E6923" s="44" t="n">
        <v>17869.295</v>
      </c>
    </row>
    <row r="6924">
      <c r="A6924" s="39">
        <f>_xlfn.XLOOKUP(17856,Trip[shape_id],Trip[shape_id],"Não encontrado")</f>
        <v/>
      </c>
      <c r="B6924" s="40" t="n">
        <v>-23.490337</v>
      </c>
      <c r="C6924" s="40" t="n">
        <v>-46.446289</v>
      </c>
      <c r="D6924" s="40" t="n">
        <v>203</v>
      </c>
      <c r="E6924" s="41" t="n">
        <v>18012.117</v>
      </c>
    </row>
    <row r="6925">
      <c r="A6925" s="42">
        <f>_xlfn.XLOOKUP(17856,Trip[shape_id],Trip[shape_id],"Não encontrado")</f>
        <v/>
      </c>
      <c r="B6925" s="43" t="n">
        <v>-23.490358</v>
      </c>
      <c r="C6925" s="43" t="n">
        <v>-46.444891</v>
      </c>
      <c r="D6925" s="43" t="n">
        <v>204</v>
      </c>
      <c r="E6925" s="44" t="n">
        <v>18128.582</v>
      </c>
    </row>
    <row r="6926">
      <c r="A6926" s="39">
        <f>_xlfn.XLOOKUP(17856,Trip[shape_id],Trip[shape_id],"Não encontrado")</f>
        <v/>
      </c>
      <c r="B6926" s="40" t="n">
        <v>-23.490498</v>
      </c>
      <c r="C6926" s="40" t="n">
        <v>-46.443761</v>
      </c>
      <c r="D6926" s="40" t="n">
        <v>205</v>
      </c>
      <c r="E6926" s="41" t="n">
        <v>18128.582</v>
      </c>
    </row>
    <row r="6927">
      <c r="A6927" s="42">
        <f>_xlfn.XLOOKUP(17856,Trip[shape_id],Trip[shape_id],"Não encontrado")</f>
        <v/>
      </c>
      <c r="B6927" s="43" t="n">
        <v>-23.490584</v>
      </c>
      <c r="C6927" s="43" t="n">
        <v>-46.44307</v>
      </c>
      <c r="D6927" s="43" t="n">
        <v>206</v>
      </c>
      <c r="E6927" s="44" t="n">
        <v>18312.135</v>
      </c>
    </row>
    <row r="6928">
      <c r="A6928" s="39">
        <f>_xlfn.XLOOKUP(17856,Trip[shape_id],Trip[shape_id],"Não encontrado")</f>
        <v/>
      </c>
      <c r="B6928" s="40" t="n">
        <v>-23.490749</v>
      </c>
      <c r="C6928" s="40" t="n">
        <v>-46.441985</v>
      </c>
      <c r="D6928" s="40" t="n">
        <v>207</v>
      </c>
      <c r="E6928" s="41" t="n">
        <v>18774.326</v>
      </c>
    </row>
    <row r="6929">
      <c r="A6929" s="42">
        <f>_xlfn.XLOOKUP(17856,Trip[shape_id],Trip[shape_id],"Não encontrado")</f>
        <v/>
      </c>
      <c r="B6929" s="43" t="n">
        <v>-23.491036</v>
      </c>
      <c r="C6929" s="43" t="n">
        <v>-46.437471</v>
      </c>
      <c r="D6929" s="43" t="n">
        <v>208</v>
      </c>
      <c r="E6929" s="44" t="n">
        <v>19383.08</v>
      </c>
    </row>
    <row r="6930">
      <c r="A6930" s="39">
        <f>_xlfn.XLOOKUP(17856,Trip[shape_id],Trip[shape_id],"Não encontrado")</f>
        <v/>
      </c>
      <c r="B6930" s="40" t="n">
        <v>-23.491652</v>
      </c>
      <c r="C6930" s="40" t="n">
        <v>-46.431549</v>
      </c>
      <c r="D6930" s="40" t="n">
        <v>209</v>
      </c>
      <c r="E6930" s="41" t="n">
        <v>19892.074</v>
      </c>
    </row>
    <row r="6931">
      <c r="A6931" s="42">
        <f>_xlfn.XLOOKUP(17856,Trip[shape_id],Trip[shape_id],"Não encontrado")</f>
        <v/>
      </c>
      <c r="B6931" s="43" t="n">
        <v>-23.492203</v>
      </c>
      <c r="C6931" s="43" t="n">
        <v>-46.426602</v>
      </c>
      <c r="D6931" s="43" t="n">
        <v>210</v>
      </c>
      <c r="E6931" s="44" t="n">
        <v>20397.113</v>
      </c>
    </row>
    <row r="6932">
      <c r="A6932" s="39">
        <f>_xlfn.XLOOKUP(17856,Trip[shape_id],Trip[shape_id],"Não encontrado")</f>
        <v/>
      </c>
      <c r="B6932" s="40" t="n">
        <v>-23.492654</v>
      </c>
      <c r="C6932" s="40" t="n">
        <v>-46.421682</v>
      </c>
      <c r="D6932" s="40" t="n">
        <v>211</v>
      </c>
      <c r="E6932" s="41" t="n">
        <v>20397.113</v>
      </c>
    </row>
    <row r="6933">
      <c r="A6933" s="42">
        <f>_xlfn.XLOOKUP(17856,Trip[shape_id],Trip[shape_id],"Não encontrado")</f>
        <v/>
      </c>
      <c r="B6933" s="43" t="n">
        <v>-23.492699</v>
      </c>
      <c r="C6933" s="43" t="n">
        <v>-46.421096</v>
      </c>
      <c r="D6933" s="43" t="n">
        <v>212</v>
      </c>
      <c r="E6933" s="44" t="n">
        <v>21040.607</v>
      </c>
    </row>
    <row r="6934">
      <c r="A6934" s="39">
        <f>_xlfn.XLOOKUP(17856,Trip[shape_id],Trip[shape_id],"Não encontrado")</f>
        <v/>
      </c>
      <c r="B6934" s="40" t="n">
        <v>-23.493287</v>
      </c>
      <c r="C6934" s="40" t="n">
        <v>-46.41542</v>
      </c>
      <c r="D6934" s="40" t="n">
        <v>213</v>
      </c>
      <c r="E6934" s="41" t="n">
        <v>21392.449</v>
      </c>
    </row>
    <row r="6935">
      <c r="A6935" s="42">
        <f>_xlfn.XLOOKUP(17856,Trip[shape_id],Trip[shape_id],"Não encontrado")</f>
        <v/>
      </c>
      <c r="B6935" s="43" t="n">
        <v>-23.493588</v>
      </c>
      <c r="C6935" s="43" t="n">
        <v>-46.411991</v>
      </c>
      <c r="D6935" s="43" t="n">
        <v>214</v>
      </c>
      <c r="E6935" s="44" t="n">
        <v>21445.301</v>
      </c>
    </row>
    <row r="6936">
      <c r="A6936" s="39">
        <f>_xlfn.XLOOKUP(17856,Trip[shape_id],Trip[shape_id],"Não encontrado")</f>
        <v/>
      </c>
      <c r="B6936" s="40" t="n">
        <v>-23.493634</v>
      </c>
      <c r="C6936" s="40" t="n">
        <v>-46.411476</v>
      </c>
      <c r="D6936" s="40" t="n">
        <v>215</v>
      </c>
      <c r="E6936" s="41" t="n">
        <v>21685.09</v>
      </c>
    </row>
    <row r="6937">
      <c r="A6937" s="42">
        <f>_xlfn.XLOOKUP(17856,Trip[shape_id],Trip[shape_id],"Não encontrado")</f>
        <v/>
      </c>
      <c r="B6937" s="43" t="n">
        <v>-23.493898</v>
      </c>
      <c r="C6937" s="43" t="n">
        <v>-46.409146</v>
      </c>
      <c r="D6937" s="43" t="n">
        <v>216</v>
      </c>
      <c r="E6937" s="44" t="n">
        <v>21843.258</v>
      </c>
    </row>
    <row r="6938">
      <c r="A6938" s="39">
        <f>_xlfn.XLOOKUP(17856,Trip[shape_id],Trip[shape_id],"Não encontrado")</f>
        <v/>
      </c>
      <c r="B6938" s="40" t="n">
        <v>-23.494047</v>
      </c>
      <c r="C6938" s="40" t="n">
        <v>-46.407606</v>
      </c>
      <c r="D6938" s="40" t="n">
        <v>217</v>
      </c>
      <c r="E6938" s="41" t="n">
        <v>21910.756</v>
      </c>
    </row>
    <row r="6939">
      <c r="A6939" s="42">
        <f>_xlfn.XLOOKUP(17856,Trip[shape_id],Trip[shape_id],"Não encontrado")</f>
        <v/>
      </c>
      <c r="B6939" s="43" t="n">
        <v>-23.494092</v>
      </c>
      <c r="C6939" s="43" t="n">
        <v>-46.406947</v>
      </c>
      <c r="D6939" s="43" t="n">
        <v>218</v>
      </c>
      <c r="E6939" s="44" t="n">
        <v>21999.762</v>
      </c>
    </row>
    <row r="6940">
      <c r="A6940" s="39">
        <f>_xlfn.XLOOKUP(17856,Trip[shape_id],Trip[shape_id],"Não encontrado")</f>
        <v/>
      </c>
      <c r="B6940" s="40" t="n">
        <v>-23.494137</v>
      </c>
      <c r="C6940" s="40" t="n">
        <v>-46.406077</v>
      </c>
      <c r="D6940" s="40" t="n">
        <v>219</v>
      </c>
      <c r="E6940" s="41" t="n">
        <v>22154.451</v>
      </c>
    </row>
    <row r="6941">
      <c r="A6941" s="42">
        <f>_xlfn.XLOOKUP(17856,Trip[shape_id],Trip[shape_id],"Não encontrado")</f>
        <v/>
      </c>
      <c r="B6941" s="43" t="n">
        <v>-23.494105</v>
      </c>
      <c r="C6941" s="43" t="n">
        <v>-46.404563</v>
      </c>
      <c r="D6941" s="43" t="n">
        <v>220</v>
      </c>
      <c r="E6941" s="44" t="n">
        <v>22191.98</v>
      </c>
    </row>
    <row r="6942">
      <c r="A6942" s="39">
        <f>_xlfn.XLOOKUP(17856,Trip[shape_id],Trip[shape_id],"Não encontrado")</f>
        <v/>
      </c>
      <c r="B6942" s="40" t="n">
        <v>-23.494089</v>
      </c>
      <c r="C6942" s="40" t="n">
        <v>-46.404196</v>
      </c>
      <c r="D6942" s="40" t="n">
        <v>221</v>
      </c>
      <c r="E6942" s="41" t="n">
        <v>22242.906</v>
      </c>
    </row>
    <row r="6943">
      <c r="A6943" s="42">
        <f>_xlfn.XLOOKUP(17856,Trip[shape_id],Trip[shape_id],"Não encontrado")</f>
        <v/>
      </c>
      <c r="B6943" s="43" t="n">
        <v>-23.494067</v>
      </c>
      <c r="C6943" s="43" t="n">
        <v>-46.403698</v>
      </c>
      <c r="D6943" s="43" t="n">
        <v>222</v>
      </c>
      <c r="E6943" s="44" t="n">
        <v>22385.559</v>
      </c>
    </row>
    <row r="6944">
      <c r="A6944" s="39">
        <f>_xlfn.XLOOKUP(17856,Trip[shape_id],Trip[shape_id],"Não encontrado")</f>
        <v/>
      </c>
      <c r="B6944" s="40" t="n">
        <v>-23.493989</v>
      </c>
      <c r="C6944" s="40" t="n">
        <v>-46.402304</v>
      </c>
      <c r="D6944" s="40" t="n">
        <v>223</v>
      </c>
      <c r="E6944" s="41" t="n">
        <v>22385.559</v>
      </c>
    </row>
    <row r="6945">
      <c r="A6945" s="42">
        <f>_xlfn.XLOOKUP(17856,Trip[shape_id],Trip[shape_id],"Não encontrado")</f>
        <v/>
      </c>
      <c r="B6945" s="43" t="n">
        <v>-23.493758</v>
      </c>
      <c r="C6945" s="43" t="n">
        <v>-46.39912</v>
      </c>
      <c r="D6945" s="43" t="n">
        <v>224</v>
      </c>
      <c r="E6945" s="44" t="n">
        <v>22847.525</v>
      </c>
    </row>
    <row r="6946">
      <c r="A6946" s="39">
        <f>_xlfn.XLOOKUP(17856,Trip[shape_id],Trip[shape_id],"Não encontrado")</f>
        <v/>
      </c>
      <c r="B6946" s="40" t="n">
        <v>-23.493654</v>
      </c>
      <c r="C6946" s="40" t="n">
        <v>-46.397796</v>
      </c>
      <c r="D6946" s="40" t="n">
        <v>225</v>
      </c>
      <c r="E6946" s="41" t="n">
        <v>22942.758</v>
      </c>
    </row>
    <row r="6947">
      <c r="A6947" s="42">
        <f>_xlfn.XLOOKUP(17856,Trip[shape_id],Trip[shape_id],"Não encontrado")</f>
        <v/>
      </c>
      <c r="B6947" s="43" t="n">
        <v>-23.493554</v>
      </c>
      <c r="C6947" s="43" t="n">
        <v>-46.39687</v>
      </c>
      <c r="D6947" s="43" t="n">
        <v>226</v>
      </c>
      <c r="E6947" s="44" t="n">
        <v>22969.25</v>
      </c>
    </row>
    <row r="6948">
      <c r="A6948" s="39">
        <f>_xlfn.XLOOKUP(17856,Trip[shape_id],Trip[shape_id],"Não encontrado")</f>
        <v/>
      </c>
      <c r="B6948" s="40" t="n">
        <v>-23.493484</v>
      </c>
      <c r="C6948" s="40" t="n">
        <v>-46.396622</v>
      </c>
      <c r="D6948" s="40" t="n">
        <v>227</v>
      </c>
      <c r="E6948" s="41" t="n">
        <v>22993.281</v>
      </c>
    </row>
    <row r="6949">
      <c r="A6949" s="42">
        <f>_xlfn.XLOOKUP(17856,Trip[shape_id],Trip[shape_id],"Não encontrado")</f>
        <v/>
      </c>
      <c r="B6949" s="43" t="n">
        <v>-23.493398</v>
      </c>
      <c r="C6949" s="43" t="n">
        <v>-46.396406</v>
      </c>
      <c r="D6949" s="43" t="n">
        <v>228</v>
      </c>
      <c r="E6949" s="44" t="n">
        <v>23044.441</v>
      </c>
    </row>
    <row r="6950">
      <c r="A6950" s="39">
        <f>_xlfn.XLOOKUP(17856,Trip[shape_id],Trip[shape_id],"Não encontrado")</f>
        <v/>
      </c>
      <c r="B6950" s="40" t="n">
        <v>-23.493179</v>
      </c>
      <c r="C6950" s="40" t="n">
        <v>-46.395965</v>
      </c>
      <c r="D6950" s="40" t="n">
        <v>229</v>
      </c>
      <c r="E6950" s="41" t="n">
        <v>23117.279</v>
      </c>
    </row>
    <row r="6951">
      <c r="A6951" s="42">
        <f>_xlfn.XLOOKUP(17856,Trip[shape_id],Trip[shape_id],"Não encontrado")</f>
        <v/>
      </c>
      <c r="B6951" s="43" t="n">
        <v>-23.492799</v>
      </c>
      <c r="C6951" s="43" t="n">
        <v>-46.395383</v>
      </c>
      <c r="D6951" s="43" t="n">
        <v>230</v>
      </c>
      <c r="E6951" s="44" t="n">
        <v>23193.152</v>
      </c>
    </row>
    <row r="6952">
      <c r="A6952" s="39">
        <f>_xlfn.XLOOKUP(17856,Trip[shape_id],Trip[shape_id],"Não encontrado")</f>
        <v/>
      </c>
      <c r="B6952" s="40" t="n">
        <v>-23.492267</v>
      </c>
      <c r="C6952" s="40" t="n">
        <v>-46.394915</v>
      </c>
      <c r="D6952" s="40" t="n">
        <v>231</v>
      </c>
      <c r="E6952" s="41" t="n">
        <v>23338.867</v>
      </c>
    </row>
    <row r="6953">
      <c r="A6953" s="42">
        <f>_xlfn.XLOOKUP(17856,Trip[shape_id],Trip[shape_id],"Não encontrado")</f>
        <v/>
      </c>
      <c r="B6953" s="43" t="n">
        <v>-23.491304</v>
      </c>
      <c r="C6953" s="43" t="n">
        <v>-46.393943</v>
      </c>
      <c r="D6953" s="43" t="n">
        <v>232</v>
      </c>
      <c r="E6953" s="44" t="n">
        <v>23366.066</v>
      </c>
    </row>
    <row r="6954">
      <c r="A6954" s="39">
        <f>_xlfn.XLOOKUP(17856,Trip[shape_id],Trip[shape_id],"Não encontrado")</f>
        <v/>
      </c>
      <c r="B6954" s="40" t="n">
        <v>-23.491167</v>
      </c>
      <c r="C6954" s="40" t="n">
        <v>-46.393722</v>
      </c>
      <c r="D6954" s="40" t="n">
        <v>233</v>
      </c>
      <c r="E6954" s="41" t="n">
        <v>23458.496</v>
      </c>
    </row>
    <row r="6955">
      <c r="A6955" s="42">
        <f>_xlfn.XLOOKUP(17856,Trip[shape_id],Trip[shape_id],"Não encontrado")</f>
        <v/>
      </c>
      <c r="B6955" s="43" t="n">
        <v>-23.490484</v>
      </c>
      <c r="C6955" s="43" t="n">
        <v>-46.393202</v>
      </c>
      <c r="D6955" s="43" t="n">
        <v>234</v>
      </c>
      <c r="E6955" s="44" t="n">
        <v>23527.156</v>
      </c>
    </row>
    <row r="6956">
      <c r="A6956" s="39">
        <f>_xlfn.XLOOKUP(17856,Trip[shape_id],Trip[shape_id],"Não encontrado")</f>
        <v/>
      </c>
      <c r="B6956" s="40" t="n">
        <v>-23.490026</v>
      </c>
      <c r="C6956" s="40" t="n">
        <v>-46.392749</v>
      </c>
      <c r="D6956" s="40" t="n">
        <v>235</v>
      </c>
      <c r="E6956" s="41" t="n">
        <v>23612.799</v>
      </c>
    </row>
    <row r="6957">
      <c r="A6957" s="42">
        <f>_xlfn.XLOOKUP(17856,Trip[shape_id],Trip[shape_id],"Não encontrado")</f>
        <v/>
      </c>
      <c r="B6957" s="43" t="n">
        <v>-23.489453</v>
      </c>
      <c r="C6957" s="43" t="n">
        <v>-46.392186</v>
      </c>
      <c r="D6957" s="43" t="n">
        <v>236</v>
      </c>
      <c r="E6957" s="44" t="n">
        <v>23710.867</v>
      </c>
    </row>
    <row r="6958">
      <c r="A6958" s="39">
        <f>_xlfn.XLOOKUP(17856,Trip[shape_id],Trip[shape_id],"Não encontrado")</f>
        <v/>
      </c>
      <c r="B6958" s="40" t="n">
        <v>-23.488761</v>
      </c>
      <c r="C6958" s="40" t="n">
        <v>-46.391587</v>
      </c>
      <c r="D6958" s="40" t="n">
        <v>237</v>
      </c>
      <c r="E6958" s="41" t="n">
        <v>23815.383</v>
      </c>
    </row>
    <row r="6959">
      <c r="A6959" s="42">
        <f>_xlfn.XLOOKUP(17856,Trip[shape_id],Trip[shape_id],"Não encontrado")</f>
        <v/>
      </c>
      <c r="B6959" s="43" t="n">
        <v>-23.48806</v>
      </c>
      <c r="C6959" s="43" t="n">
        <v>-46.390902</v>
      </c>
      <c r="D6959" s="43" t="n">
        <v>238</v>
      </c>
      <c r="E6959" s="44" t="n">
        <v>23899.879</v>
      </c>
    </row>
    <row r="6960">
      <c r="A6960" s="39">
        <f>_xlfn.XLOOKUP(17856,Trip[shape_id],Trip[shape_id],"Não encontrado")</f>
        <v/>
      </c>
      <c r="B6960" s="40" t="n">
        <v>-23.487508</v>
      </c>
      <c r="C6960" s="40" t="n">
        <v>-46.390331</v>
      </c>
      <c r="D6960" s="40" t="n">
        <v>239</v>
      </c>
      <c r="E6960" s="41" t="n">
        <v>23928.119</v>
      </c>
    </row>
    <row r="6961">
      <c r="A6961" s="42">
        <f>_xlfn.XLOOKUP(17856,Trip[shape_id],Trip[shape_id],"Não encontrado")</f>
        <v/>
      </c>
      <c r="B6961" s="43" t="n">
        <v>-23.487331</v>
      </c>
      <c r="C6961" s="43" t="n">
        <v>-46.390132</v>
      </c>
      <c r="D6961" s="43" t="n">
        <v>240</v>
      </c>
      <c r="E6961" s="44" t="n">
        <v>23975.967</v>
      </c>
    </row>
    <row r="6962">
      <c r="A6962" s="39">
        <f>_xlfn.XLOOKUP(17856,Trip[shape_id],Trip[shape_id],"Não encontrado")</f>
        <v/>
      </c>
      <c r="B6962" s="40" t="n">
        <v>-23.487019</v>
      </c>
      <c r="C6962" s="40" t="n">
        <v>-46.389808</v>
      </c>
      <c r="D6962" s="40" t="n">
        <v>241</v>
      </c>
      <c r="E6962" s="41" t="n">
        <v>24017.625</v>
      </c>
    </row>
    <row r="6963">
      <c r="A6963" s="42">
        <f>_xlfn.XLOOKUP(17856,Trip[shape_id],Trip[shape_id],"Não encontrado")</f>
        <v/>
      </c>
      <c r="B6963" s="43" t="n">
        <v>-23.486798</v>
      </c>
      <c r="C6963" s="43" t="n">
        <v>-46.389478</v>
      </c>
      <c r="D6963" s="43" t="n">
        <v>242</v>
      </c>
      <c r="E6963" s="44" t="n">
        <v>24091.955</v>
      </c>
    </row>
    <row r="6964">
      <c r="A6964" s="39">
        <f>_xlfn.XLOOKUP(17856,Trip[shape_id],Trip[shape_id],"Não encontrado")</f>
        <v/>
      </c>
      <c r="B6964" s="40" t="n">
        <v>-23.486467</v>
      </c>
      <c r="C6964" s="40" t="n">
        <v>-46.388845</v>
      </c>
      <c r="D6964" s="40" t="n">
        <v>243</v>
      </c>
      <c r="E6964" s="41" t="n">
        <v>24097.73</v>
      </c>
    </row>
    <row r="6965">
      <c r="A6965" s="42">
        <f>_xlfn.XLOOKUP(17856,Trip[shape_id],Trip[shape_id],"Não encontrado")</f>
        <v/>
      </c>
      <c r="B6965" s="43" t="n">
        <v>-23.486438</v>
      </c>
      <c r="C6965" s="43" t="n">
        <v>-46.388798</v>
      </c>
      <c r="D6965" s="43" t="n">
        <v>244</v>
      </c>
      <c r="E6965" s="44" t="n">
        <v>24209.637</v>
      </c>
    </row>
    <row r="6966">
      <c r="A6966" s="39">
        <f>_xlfn.XLOOKUP(17856,Trip[shape_id],Trip[shape_id],"Não encontrado")</f>
        <v/>
      </c>
      <c r="B6966" s="40" t="n">
        <v>-23.485992</v>
      </c>
      <c r="C6966" s="40" t="n">
        <v>-46.387815</v>
      </c>
      <c r="D6966" s="40" t="n">
        <v>245</v>
      </c>
      <c r="E6966" s="41" t="n">
        <v>24379.391</v>
      </c>
    </row>
    <row r="6967">
      <c r="A6967" s="42">
        <f>_xlfn.XLOOKUP(17856,Trip[shape_id],Trip[shape_id],"Não encontrado")</f>
        <v/>
      </c>
      <c r="B6967" s="43" t="n">
        <v>-23.485227</v>
      </c>
      <c r="C6967" s="43" t="n">
        <v>-46.386375</v>
      </c>
      <c r="D6967" s="43" t="n">
        <v>246</v>
      </c>
      <c r="E6967" s="44" t="n">
        <v>24415.203</v>
      </c>
    </row>
    <row r="6968">
      <c r="A6968" s="39">
        <f>_xlfn.XLOOKUP(17856,Trip[shape_id],Trip[shape_id],"Não encontrado")</f>
        <v/>
      </c>
      <c r="B6968" s="40" t="n">
        <v>-23.485076</v>
      </c>
      <c r="C6968" s="40" t="n">
        <v>-46.386065</v>
      </c>
      <c r="D6968" s="40" t="n">
        <v>247</v>
      </c>
      <c r="E6968" s="41" t="n">
        <v>24415.203</v>
      </c>
    </row>
    <row r="6969">
      <c r="A6969" s="42">
        <f>_xlfn.XLOOKUP(17856,Trip[shape_id],Trip[shape_id],"Não encontrado")</f>
        <v/>
      </c>
      <c r="B6969" s="43" t="n">
        <v>-23.48445</v>
      </c>
      <c r="C6969" s="43" t="n">
        <v>-46.384773</v>
      </c>
      <c r="D6969" s="43" t="n">
        <v>248</v>
      </c>
      <c r="E6969" s="44" t="n">
        <v>24792.596</v>
      </c>
    </row>
    <row r="6970">
      <c r="A6970" s="39">
        <f>_xlfn.XLOOKUP(17856,Trip[shape_id],Trip[shape_id],"Não encontrado")</f>
        <v/>
      </c>
      <c r="B6970" s="40" t="n">
        <v>-23.483446</v>
      </c>
      <c r="C6970" s="40" t="n">
        <v>-46.382821</v>
      </c>
      <c r="D6970" s="40" t="n">
        <v>249</v>
      </c>
      <c r="E6970" s="41" t="n">
        <v>25049.408</v>
      </c>
    </row>
    <row r="6971">
      <c r="A6971" s="42">
        <f>_xlfn.XLOOKUP(17856,Trip[shape_id],Trip[shape_id],"Não encontrado")</f>
        <v/>
      </c>
      <c r="B6971" s="43" t="n">
        <v>-23.482339</v>
      </c>
      <c r="C6971" s="43" t="n">
        <v>-46.380612</v>
      </c>
      <c r="D6971" s="43" t="n">
        <v>250</v>
      </c>
      <c r="E6971" s="44" t="n">
        <v>25252.873</v>
      </c>
    </row>
    <row r="6972">
      <c r="A6972" s="39">
        <f>_xlfn.XLOOKUP(17856,Trip[shape_id],Trip[shape_id],"Não encontrado")</f>
        <v/>
      </c>
      <c r="B6972" s="40" t="n">
        <v>-23.481682</v>
      </c>
      <c r="C6972" s="40" t="n">
        <v>-46.378752</v>
      </c>
      <c r="D6972" s="40" t="n">
        <v>251</v>
      </c>
      <c r="E6972" s="41" t="n">
        <v>25546.818</v>
      </c>
    </row>
    <row r="6973">
      <c r="A6973" s="42">
        <f>_xlfn.XLOOKUP(17856,Trip[shape_id],Trip[shape_id],"Não encontrado")</f>
        <v/>
      </c>
      <c r="B6973" s="43" t="n">
        <v>-23.480913</v>
      </c>
      <c r="C6973" s="43" t="n">
        <v>-46.375998</v>
      </c>
      <c r="D6973" s="43" t="n">
        <v>252</v>
      </c>
      <c r="E6973" s="44" t="n">
        <v>26174.619</v>
      </c>
    </row>
    <row r="6974">
      <c r="A6974" s="39">
        <f>_xlfn.XLOOKUP(17856,Trip[shape_id],Trip[shape_id],"Não encontrado")</f>
        <v/>
      </c>
      <c r="B6974" s="40" t="n">
        <v>-23.479587</v>
      </c>
      <c r="C6974" s="40" t="n">
        <v>-46.370023</v>
      </c>
      <c r="D6974" s="40" t="n">
        <v>253</v>
      </c>
      <c r="E6974" s="41" t="n">
        <v>26269.113</v>
      </c>
    </row>
    <row r="6975">
      <c r="A6975" s="42">
        <f>_xlfn.XLOOKUP(17856,Trip[shape_id],Trip[shape_id],"Não encontrado")</f>
        <v/>
      </c>
      <c r="B6975" s="43" t="n">
        <v>-23.479415</v>
      </c>
      <c r="C6975" s="43" t="n">
        <v>-46.369117</v>
      </c>
      <c r="D6975" s="43" t="n">
        <v>254</v>
      </c>
      <c r="E6975" s="44" t="n">
        <v>26269.113</v>
      </c>
    </row>
    <row r="6976">
      <c r="A6976" s="39">
        <f>_xlfn.XLOOKUP(17856,Trip[shape_id],Trip[shape_id],"Não encontrado")</f>
        <v/>
      </c>
      <c r="B6976" s="40" t="n">
        <v>-23.478864</v>
      </c>
      <c r="C6976" s="40" t="n">
        <v>-46.366232</v>
      </c>
      <c r="D6976" s="40" t="n">
        <v>255</v>
      </c>
      <c r="E6976" s="41" t="n">
        <v>26570.088</v>
      </c>
    </row>
    <row r="6977">
      <c r="A6977" s="42">
        <f>_xlfn.XLOOKUP(17856,Trip[shape_id],Trip[shape_id],"Não encontrado")</f>
        <v/>
      </c>
      <c r="B6977" s="43" t="n">
        <v>-23.478445</v>
      </c>
      <c r="C6977" s="43" t="n">
        <v>-46.363603</v>
      </c>
      <c r="D6977" s="43" t="n">
        <v>256</v>
      </c>
      <c r="E6977" s="44" t="n">
        <v>26842.639</v>
      </c>
    </row>
    <row r="6978">
      <c r="A6978" s="39">
        <f>_xlfn.XLOOKUP(17856,Trip[shape_id],Trip[shape_id],"Não encontrado")</f>
        <v/>
      </c>
      <c r="B6978" s="40" t="n">
        <v>-23.478541</v>
      </c>
      <c r="C6978" s="40" t="n">
        <v>-46.362048</v>
      </c>
      <c r="D6978" s="40" t="n">
        <v>257</v>
      </c>
      <c r="E6978" s="41" t="n">
        <v>27001.85</v>
      </c>
    </row>
    <row r="6979">
      <c r="A6979" s="42">
        <f>_xlfn.XLOOKUP(17856,Trip[shape_id],Trip[shape_id],"Não encontrado")</f>
        <v/>
      </c>
      <c r="B6979" s="43" t="n">
        <v>-23.478993</v>
      </c>
      <c r="C6979" s="43" t="n">
        <v>-46.359262</v>
      </c>
      <c r="D6979" s="43" t="n">
        <v>258</v>
      </c>
      <c r="E6979" s="44" t="n">
        <v>27290.828</v>
      </c>
    </row>
    <row r="6980">
      <c r="A6980" s="39">
        <f>_xlfn.XLOOKUP(17856,Trip[shape_id],Trip[shape_id],"Não encontrado")</f>
        <v/>
      </c>
      <c r="B6980" s="40" t="n">
        <v>-23.479534</v>
      </c>
      <c r="C6980" s="40" t="n">
        <v>-46.355931</v>
      </c>
      <c r="D6980" s="40" t="n">
        <v>259</v>
      </c>
      <c r="E6980" s="41" t="n">
        <v>27636.348</v>
      </c>
    </row>
    <row r="6981">
      <c r="A6981" s="42">
        <f>_xlfn.XLOOKUP(17856,Trip[shape_id],Trip[shape_id],"Não encontrado")</f>
        <v/>
      </c>
      <c r="B6981" s="43" t="n">
        <v>-23.479923</v>
      </c>
      <c r="C6981" s="43" t="n">
        <v>-46.353876</v>
      </c>
      <c r="D6981" s="43" t="n">
        <v>260</v>
      </c>
      <c r="E6981" s="44" t="n">
        <v>27850.654</v>
      </c>
    </row>
    <row r="6982">
      <c r="A6982" s="39">
        <f>_xlfn.XLOOKUP(17856,Trip[shape_id],Trip[shape_id],"Não encontrado")</f>
        <v/>
      </c>
      <c r="B6982" s="40" t="n">
        <v>-23.48031</v>
      </c>
      <c r="C6982" s="40" t="n">
        <v>-46.352868</v>
      </c>
      <c r="D6982" s="40" t="n">
        <v>261</v>
      </c>
      <c r="E6982" s="41" t="n">
        <v>27962.191</v>
      </c>
    </row>
    <row r="6983">
      <c r="A6983" s="42">
        <f>_xlfn.XLOOKUP(17856,Trip[shape_id],Trip[shape_id],"Não encontrado")</f>
        <v/>
      </c>
      <c r="B6983" s="43" t="n">
        <v>-23.480683</v>
      </c>
      <c r="C6983" s="43" t="n">
        <v>-46.35204</v>
      </c>
      <c r="D6983" s="43" t="n">
        <v>262</v>
      </c>
      <c r="E6983" s="44" t="n">
        <v>28056.326</v>
      </c>
    </row>
    <row r="6984">
      <c r="A6984" s="39">
        <f>_xlfn.XLOOKUP(17856,Trip[shape_id],Trip[shape_id],"Não encontrado")</f>
        <v/>
      </c>
      <c r="B6984" s="40" t="n">
        <v>-23.481815</v>
      </c>
      <c r="C6984" s="40" t="n">
        <v>-46.351216</v>
      </c>
      <c r="D6984" s="40" t="n">
        <v>263</v>
      </c>
      <c r="E6984" s="41" t="n">
        <v>28207.334</v>
      </c>
    </row>
    <row r="6985">
      <c r="A6985" s="42">
        <f>_xlfn.XLOOKUP(17856,Trip[shape_id],Trip[shape_id],"Não encontrado")</f>
        <v/>
      </c>
      <c r="B6985" s="43" t="n">
        <v>-23.484094</v>
      </c>
      <c r="C6985" s="43" t="n">
        <v>-46.350474</v>
      </c>
      <c r="D6985" s="43" t="n">
        <v>264</v>
      </c>
      <c r="E6985" s="44" t="n">
        <v>28470.871</v>
      </c>
    </row>
    <row r="6986">
      <c r="A6986" s="39">
        <f>_xlfn.XLOOKUP(17856,Trip[shape_id],Trip[shape_id],"Não encontrado")</f>
        <v/>
      </c>
      <c r="B6986" s="40" t="n">
        <v>-23.48577</v>
      </c>
      <c r="C6986" s="40" t="n">
        <v>-46.348456</v>
      </c>
      <c r="D6986" s="40" t="n">
        <v>265</v>
      </c>
      <c r="E6986" s="41" t="n">
        <v>28748.27</v>
      </c>
    </row>
    <row r="6987">
      <c r="A6987" s="42">
        <f>_xlfn.XLOOKUP(17856,Trip[shape_id],Trip[shape_id],"Não encontrado")</f>
        <v/>
      </c>
      <c r="B6987" s="43" t="n">
        <v>-23.488092</v>
      </c>
      <c r="C6987" s="43" t="n">
        <v>-46.344994</v>
      </c>
      <c r="D6987" s="43" t="n">
        <v>266</v>
      </c>
      <c r="E6987" s="44" t="n">
        <v>29303.057</v>
      </c>
    </row>
    <row r="6988">
      <c r="A6988" s="39">
        <f>_xlfn.XLOOKUP(17856,Trip[shape_id],Trip[shape_id],"Não encontrado")</f>
        <v/>
      </c>
      <c r="B6988" s="40" t="n">
        <v>-23.488228</v>
      </c>
      <c r="C6988" s="40" t="n">
        <v>-46.343853</v>
      </c>
      <c r="D6988" s="40" t="n">
        <v>267</v>
      </c>
      <c r="E6988" s="41" t="n">
        <v>29413.992</v>
      </c>
    </row>
    <row r="6989">
      <c r="A6989" s="42">
        <f>_xlfn.XLOOKUP(17856,Trip[shape_id],Trip[shape_id],"Não encontrado")</f>
        <v/>
      </c>
      <c r="B6989" s="43" t="n">
        <v>-23.488142</v>
      </c>
      <c r="C6989" s="43" t="n">
        <v>-46.342771</v>
      </c>
      <c r="D6989" s="43" t="n">
        <v>268</v>
      </c>
      <c r="E6989" s="44" t="n">
        <v>29653.455</v>
      </c>
    </row>
    <row r="6990">
      <c r="A6990" s="39">
        <f>_xlfn.XLOOKUP(17856,Trip[shape_id],Trip[shape_id],"Não encontrado")</f>
        <v/>
      </c>
      <c r="B6990" s="40" t="n">
        <v>-23.487561</v>
      </c>
      <c r="C6990" s="40" t="n">
        <v>-46.340513</v>
      </c>
      <c r="D6990" s="40" t="n">
        <v>269</v>
      </c>
      <c r="E6990" s="41" t="n">
        <v>29683.754</v>
      </c>
    </row>
    <row r="6991">
      <c r="A6991" s="42">
        <f>_xlfn.XLOOKUP(17856,Trip[shape_id],Trip[shape_id],"Não encontrado")</f>
        <v/>
      </c>
      <c r="B6991" s="43" t="n">
        <v>-23.487508</v>
      </c>
      <c r="C6991" s="43" t="n">
        <v>-46.340222</v>
      </c>
      <c r="D6991" s="43" t="n">
        <v>270</v>
      </c>
      <c r="E6991" s="44" t="n">
        <v>29859.959</v>
      </c>
    </row>
    <row r="6992">
      <c r="A6992" s="39">
        <f>_xlfn.XLOOKUP(17856,Trip[shape_id],Trip[shape_id],"Não encontrado")</f>
        <v/>
      </c>
      <c r="B6992" s="40" t="n">
        <v>-23.487255</v>
      </c>
      <c r="C6992" s="40" t="n">
        <v>-46.338519</v>
      </c>
      <c r="D6992" s="40" t="n">
        <v>271</v>
      </c>
      <c r="E6992" s="41" t="n">
        <v>29987.285</v>
      </c>
    </row>
    <row r="6993">
      <c r="A6993" s="42">
        <f>_xlfn.XLOOKUP(17856,Trip[shape_id],Trip[shape_id],"Não encontrado")</f>
        <v/>
      </c>
      <c r="B6993" s="43" t="n">
        <v>-23.4876</v>
      </c>
      <c r="C6993" s="43" t="n">
        <v>-46.33733</v>
      </c>
      <c r="D6993" s="43" t="n">
        <v>272</v>
      </c>
      <c r="E6993" s="44" t="n">
        <v>30082.174</v>
      </c>
    </row>
    <row r="6994">
      <c r="A6994" s="39">
        <f>_xlfn.XLOOKUP(17856,Trip[shape_id],Trip[shape_id],"Não encontrado")</f>
        <v/>
      </c>
      <c r="B6994" s="40" t="n">
        <v>-23.488233</v>
      </c>
      <c r="C6994" s="40" t="n">
        <v>-46.336704</v>
      </c>
      <c r="D6994" s="40" t="n">
        <v>273</v>
      </c>
      <c r="E6994" s="41" t="n">
        <v>30185.674</v>
      </c>
    </row>
    <row r="6995">
      <c r="A6995" s="42">
        <f>_xlfn.XLOOKUP(17856,Trip[shape_id],Trip[shape_id],"Não encontrado")</f>
        <v/>
      </c>
      <c r="B6995" s="43" t="n">
        <v>-23.489052</v>
      </c>
      <c r="C6995" s="43" t="n">
        <v>-46.336216</v>
      </c>
      <c r="D6995" s="43" t="n">
        <v>274</v>
      </c>
      <c r="E6995" s="44" t="n">
        <v>30281.221</v>
      </c>
    </row>
    <row r="6996">
      <c r="A6996" s="39">
        <f>_xlfn.XLOOKUP(17856,Trip[shape_id],Trip[shape_id],"Não encontrado")</f>
        <v/>
      </c>
      <c r="B6996" s="40" t="n">
        <v>-23.489871</v>
      </c>
      <c r="C6996" s="40" t="n">
        <v>-46.335922</v>
      </c>
      <c r="D6996" s="40" t="n">
        <v>275</v>
      </c>
      <c r="E6996" s="41" t="n">
        <v>30452.828</v>
      </c>
    </row>
    <row r="6997">
      <c r="A6997" s="42">
        <f>_xlfn.XLOOKUP(17856,Trip[shape_id],Trip[shape_id],"Não encontrado")</f>
        <v/>
      </c>
      <c r="B6997" s="43" t="n">
        <v>-23.491337</v>
      </c>
      <c r="C6997" s="43" t="n">
        <v>-46.336466</v>
      </c>
      <c r="D6997" s="43" t="n">
        <v>276</v>
      </c>
      <c r="E6997" s="44" t="n">
        <v>30698.391</v>
      </c>
    </row>
    <row r="6998">
      <c r="A6998" s="39">
        <f>_xlfn.XLOOKUP(17856,Trip[shape_id],Trip[shape_id],"Não encontrado")</f>
        <v/>
      </c>
      <c r="B6998" s="40" t="n">
        <v>-23.493296</v>
      </c>
      <c r="C6998" s="40" t="n">
        <v>-46.337592</v>
      </c>
      <c r="D6998" s="40" t="n">
        <v>277</v>
      </c>
      <c r="E6998" s="41" t="n">
        <v>30905.529</v>
      </c>
    </row>
    <row r="6999">
      <c r="A6999" s="42">
        <f>_xlfn.XLOOKUP(17856,Trip[shape_id],Trip[shape_id],"Não encontrado")</f>
        <v/>
      </c>
      <c r="B6999" s="43" t="n">
        <v>-23.495027</v>
      </c>
      <c r="C6999" s="43" t="n">
        <v>-46.33836</v>
      </c>
      <c r="D6999" s="43" t="n">
        <v>278</v>
      </c>
      <c r="E6999" s="44" t="n">
        <v>30940.1</v>
      </c>
    </row>
    <row r="7000">
      <c r="A7000" s="39">
        <f>_xlfn.XLOOKUP(17856,Trip[shape_id],Trip[shape_id],"Não encontrado")</f>
        <v/>
      </c>
      <c r="B7000" s="40" t="n">
        <v>-23.495335</v>
      </c>
      <c r="C7000" s="40" t="n">
        <v>-46.338415</v>
      </c>
      <c r="D7000" s="40" t="n">
        <v>279</v>
      </c>
      <c r="E7000" s="41" t="n">
        <v>31004.934</v>
      </c>
    </row>
    <row r="7001">
      <c r="A7001" s="42">
        <f>_xlfn.XLOOKUP(17856,Trip[shape_id],Trip[shape_id],"Não encontrado")</f>
        <v/>
      </c>
      <c r="B7001" s="43" t="n">
        <v>-23.495915</v>
      </c>
      <c r="C7001" s="43" t="n">
        <v>-46.338501</v>
      </c>
      <c r="D7001" s="43" t="n">
        <v>280</v>
      </c>
      <c r="E7001" s="44" t="n">
        <v>31229.33</v>
      </c>
    </row>
    <row r="7002">
      <c r="A7002" s="39">
        <f>_xlfn.XLOOKUP(17856,Trip[shape_id],Trip[shape_id],"Não encontrado")</f>
        <v/>
      </c>
      <c r="B7002" s="40" t="n">
        <v>-23.497921</v>
      </c>
      <c r="C7002" s="40" t="n">
        <v>-46.33881</v>
      </c>
      <c r="D7002" s="40" t="n">
        <v>281</v>
      </c>
      <c r="E7002" s="41" t="n">
        <v>31359.223</v>
      </c>
    </row>
    <row r="7003">
      <c r="A7003" s="42">
        <f>_xlfn.XLOOKUP(17856,Trip[shape_id],Trip[shape_id],"Não encontrado")</f>
        <v/>
      </c>
      <c r="B7003" s="43" t="n">
        <v>-23.499075</v>
      </c>
      <c r="C7003" s="43" t="n">
        <v>-46.339037</v>
      </c>
      <c r="D7003" s="43" t="n">
        <v>282</v>
      </c>
      <c r="E7003" s="44" t="n">
        <v>31530.883</v>
      </c>
    </row>
    <row r="7004">
      <c r="A7004" s="39">
        <f>_xlfn.XLOOKUP(17856,Trip[shape_id],Trip[shape_id],"Não encontrado")</f>
        <v/>
      </c>
      <c r="B7004" s="40" t="n">
        <v>-23.500624</v>
      </c>
      <c r="C7004" s="40" t="n">
        <v>-46.339096</v>
      </c>
      <c r="D7004" s="40" t="n">
        <v>283</v>
      </c>
      <c r="E7004" s="41" t="n">
        <v>31530.883</v>
      </c>
    </row>
    <row r="7005">
      <c r="A7005" s="42">
        <f>_xlfn.XLOOKUP(17856,Trip[shape_id],Trip[shape_id],"Não encontrado")</f>
        <v/>
      </c>
      <c r="B7005" s="43" t="n">
        <v>-23.50214</v>
      </c>
      <c r="C7005" s="43" t="n">
        <v>-46.339162</v>
      </c>
      <c r="D7005" s="43" t="n">
        <v>284</v>
      </c>
      <c r="E7005" s="44" t="n">
        <v>31869.871</v>
      </c>
    </row>
    <row r="7006">
      <c r="A7006" s="39">
        <f>_xlfn.XLOOKUP(17856,Trip[shape_id],Trip[shape_id],"Não encontrado")</f>
        <v/>
      </c>
      <c r="B7006" s="40" t="n">
        <v>-23.50364</v>
      </c>
      <c r="C7006" s="40" t="n">
        <v>-46.338767</v>
      </c>
      <c r="D7006" s="40" t="n">
        <v>285</v>
      </c>
      <c r="E7006" s="41" t="n">
        <v>32154.264</v>
      </c>
    </row>
    <row r="7007">
      <c r="A7007" s="42">
        <f>_xlfn.XLOOKUP(17856,Trip[shape_id],Trip[shape_id],"Não encontrado")</f>
        <v/>
      </c>
      <c r="B7007" s="43" t="n">
        <v>-23.506115</v>
      </c>
      <c r="C7007" s="43" t="n">
        <v>-46.338025</v>
      </c>
      <c r="D7007" s="43" t="n">
        <v>286</v>
      </c>
      <c r="E7007" s="44" t="n">
        <v>32391.648</v>
      </c>
    </row>
    <row r="7008">
      <c r="A7008" s="39">
        <f>_xlfn.XLOOKUP(17856,Trip[shape_id],Trip[shape_id],"Não encontrado")</f>
        <v/>
      </c>
      <c r="B7008" s="40" t="n">
        <v>-23.508212</v>
      </c>
      <c r="C7008" s="40" t="n">
        <v>-46.337544</v>
      </c>
      <c r="D7008" s="40" t="n">
        <v>287</v>
      </c>
      <c r="E7008" s="41" t="n">
        <v>32744.031</v>
      </c>
    </row>
    <row r="7009">
      <c r="A7009" s="42">
        <f>_xlfn.XLOOKUP(17856,Trip[shape_id],Trip[shape_id],"Não encontrado")</f>
        <v/>
      </c>
      <c r="B7009" s="43" t="n">
        <v>-23.511376</v>
      </c>
      <c r="C7009" s="43" t="n">
        <v>-46.337908</v>
      </c>
      <c r="D7009" s="43" t="n">
        <v>288</v>
      </c>
      <c r="E7009" s="44" t="n">
        <v>33071.105</v>
      </c>
    </row>
    <row r="7010">
      <c r="A7010" s="39">
        <f>_xlfn.XLOOKUP(17856,Trip[shape_id],Trip[shape_id],"Não encontrado")</f>
        <v/>
      </c>
      <c r="B7010" s="40" t="n">
        <v>-23.514293</v>
      </c>
      <c r="C7010" s="40" t="n">
        <v>-46.338408</v>
      </c>
      <c r="D7010" s="40" t="n">
        <v>289</v>
      </c>
      <c r="E7010" s="41" t="n">
        <v>33209.992</v>
      </c>
    </row>
    <row r="7011">
      <c r="A7011" s="42">
        <f>_xlfn.XLOOKUP(17856,Trip[shape_id],Trip[shape_id],"Não encontrado")</f>
        <v/>
      </c>
      <c r="B7011" s="43" t="n">
        <v>-23.515533</v>
      </c>
      <c r="C7011" s="43" t="n">
        <v>-46.338611</v>
      </c>
      <c r="D7011" s="43" t="n">
        <v>290</v>
      </c>
      <c r="E7011" s="44" t="n">
        <v>33352.086</v>
      </c>
    </row>
    <row r="7012">
      <c r="A7012" s="39">
        <f>_xlfn.XLOOKUP(17856,Trip[shape_id],Trip[shape_id],"Não encontrado")</f>
        <v/>
      </c>
      <c r="B7012" s="40" t="n">
        <v>-23.516815</v>
      </c>
      <c r="C7012" s="40" t="n">
        <v>-46.338556</v>
      </c>
      <c r="D7012" s="40" t="n">
        <v>291</v>
      </c>
      <c r="E7012" s="41" t="n">
        <v>33657.57</v>
      </c>
    </row>
    <row r="7013">
      <c r="A7013" s="42">
        <f>_xlfn.XLOOKUP(17856,Trip[shape_id],Trip[shape_id],"Não encontrado")</f>
        <v/>
      </c>
      <c r="B7013" s="43" t="n">
        <v>-23.51935</v>
      </c>
      <c r="C7013" s="43" t="n">
        <v>-46.337377</v>
      </c>
      <c r="D7013" s="43" t="n">
        <v>292</v>
      </c>
      <c r="E7013" s="44" t="n">
        <v>33869.375</v>
      </c>
    </row>
    <row r="7014">
      <c r="A7014" s="39">
        <f>_xlfn.XLOOKUP(17856,Trip[shape_id],Trip[shape_id],"Não encontrado")</f>
        <v/>
      </c>
      <c r="B7014" s="40" t="n">
        <v>-23.52108</v>
      </c>
      <c r="C7014" s="40" t="n">
        <v>-46.336493</v>
      </c>
      <c r="D7014" s="40" t="n">
        <v>293</v>
      </c>
      <c r="E7014" s="41" t="n">
        <v>34059.801</v>
      </c>
    </row>
    <row r="7015">
      <c r="A7015" s="42">
        <f>_xlfn.XLOOKUP(17856,Trip[shape_id],Trip[shape_id],"Não encontrado")</f>
        <v/>
      </c>
      <c r="B7015" s="43" t="n">
        <v>-23.522626</v>
      </c>
      <c r="C7015" s="43" t="n">
        <v>-46.335677</v>
      </c>
      <c r="D7015" s="43" t="n">
        <v>294</v>
      </c>
      <c r="E7015" s="44" t="n">
        <v>34223.824</v>
      </c>
    </row>
    <row r="7016">
      <c r="A7016" s="39">
        <f>_xlfn.XLOOKUP(17856,Trip[shape_id],Trip[shape_id],"Não encontrado")</f>
        <v/>
      </c>
      <c r="B7016" s="40" t="n">
        <v>-23.523969</v>
      </c>
      <c r="C7016" s="40" t="n">
        <v>-46.335</v>
      </c>
      <c r="D7016" s="40" t="n">
        <v>295</v>
      </c>
      <c r="E7016" s="41" t="n">
        <v>34318.723</v>
      </c>
    </row>
    <row r="7017">
      <c r="A7017" s="42">
        <f>_xlfn.XLOOKUP(17856,Trip[shape_id],Trip[shape_id],"Não encontrado")</f>
        <v/>
      </c>
      <c r="B7017" s="43" t="n">
        <v>-23.524637</v>
      </c>
      <c r="C7017" s="43" t="n">
        <v>-46.334418</v>
      </c>
      <c r="D7017" s="43" t="n">
        <v>296</v>
      </c>
      <c r="E7017" s="44" t="n">
        <v>34428.926</v>
      </c>
    </row>
    <row r="7018">
      <c r="A7018" s="39">
        <f>_xlfn.XLOOKUP(17856,Trip[shape_id],Trip[shape_id],"Não encontrado")</f>
        <v/>
      </c>
      <c r="B7018" s="40" t="n">
        <v>-23.525186</v>
      </c>
      <c r="C7018" s="40" t="n">
        <v>-46.333518</v>
      </c>
      <c r="D7018" s="40" t="n">
        <v>297</v>
      </c>
      <c r="E7018" s="41" t="n">
        <v>34510.449</v>
      </c>
    </row>
    <row r="7019">
      <c r="A7019" s="42">
        <f>_xlfn.XLOOKUP(17856,Trip[shape_id],Trip[shape_id],"Não encontrado")</f>
        <v/>
      </c>
      <c r="B7019" s="43" t="n">
        <v>-23.525486</v>
      </c>
      <c r="C7019" s="43" t="n">
        <v>-46.332789</v>
      </c>
      <c r="D7019" s="43" t="n">
        <v>298</v>
      </c>
      <c r="E7019" s="44" t="n">
        <v>34510.449</v>
      </c>
    </row>
    <row r="7020">
      <c r="A7020" s="39">
        <f>_xlfn.XLOOKUP(17857,Trip[shape_id],Trip[shape_id],"Não encontrado")</f>
        <v/>
      </c>
      <c r="B7020" s="40" t="n">
        <v>-23.525486</v>
      </c>
      <c r="C7020" s="40" t="n">
        <v>-46.332789</v>
      </c>
      <c r="D7020" s="40" t="n">
        <v>1</v>
      </c>
      <c r="E7020" s="41" t="n">
        <v>0</v>
      </c>
    </row>
    <row r="7021">
      <c r="A7021" s="42">
        <f>_xlfn.XLOOKUP(17857,Trip[shape_id],Trip[shape_id],"Não encontrado")</f>
        <v/>
      </c>
      <c r="B7021" s="43" t="n">
        <v>-23.525186</v>
      </c>
      <c r="C7021" s="43" t="n">
        <v>-46.333518</v>
      </c>
      <c r="D7021" s="43" t="n">
        <v>2</v>
      </c>
      <c r="E7021" s="44" t="n">
        <v>81.52433000000001</v>
      </c>
    </row>
    <row r="7022">
      <c r="A7022" s="39">
        <f>_xlfn.XLOOKUP(17857,Trip[shape_id],Trip[shape_id],"Não encontrado")</f>
        <v/>
      </c>
      <c r="B7022" s="40" t="n">
        <v>-23.524637</v>
      </c>
      <c r="C7022" s="40" t="n">
        <v>-46.334418</v>
      </c>
      <c r="D7022" s="40" t="n">
        <v>3</v>
      </c>
      <c r="E7022" s="41" t="n">
        <v>191.72565</v>
      </c>
    </row>
    <row r="7023">
      <c r="A7023" s="42">
        <f>_xlfn.XLOOKUP(17857,Trip[shape_id],Trip[shape_id],"Não encontrado")</f>
        <v/>
      </c>
      <c r="B7023" s="43" t="n">
        <v>-23.523969</v>
      </c>
      <c r="C7023" s="43" t="n">
        <v>-46.335</v>
      </c>
      <c r="D7023" s="43" t="n">
        <v>4</v>
      </c>
      <c r="E7023" s="44" t="n">
        <v>286.62485</v>
      </c>
    </row>
    <row r="7024">
      <c r="A7024" s="39">
        <f>_xlfn.XLOOKUP(17857,Trip[shape_id],Trip[shape_id],"Não encontrado")</f>
        <v/>
      </c>
      <c r="B7024" s="40" t="n">
        <v>-23.522626</v>
      </c>
      <c r="C7024" s="40" t="n">
        <v>-46.335677</v>
      </c>
      <c r="D7024" s="40" t="n">
        <v>5</v>
      </c>
      <c r="E7024" s="41" t="n">
        <v>450.64709</v>
      </c>
    </row>
    <row r="7025">
      <c r="A7025" s="42">
        <f>_xlfn.XLOOKUP(17857,Trip[shape_id],Trip[shape_id],"Não encontrado")</f>
        <v/>
      </c>
      <c r="B7025" s="43" t="n">
        <v>-23.52108</v>
      </c>
      <c r="C7025" s="43" t="n">
        <v>-46.336493</v>
      </c>
      <c r="D7025" s="43" t="n">
        <v>6</v>
      </c>
      <c r="E7025" s="44" t="n">
        <v>641.07104</v>
      </c>
    </row>
    <row r="7026">
      <c r="A7026" s="39">
        <f>_xlfn.XLOOKUP(17857,Trip[shape_id],Trip[shape_id],"Não encontrado")</f>
        <v/>
      </c>
      <c r="B7026" s="40" t="n">
        <v>-23.51935</v>
      </c>
      <c r="C7026" s="40" t="n">
        <v>-46.337377</v>
      </c>
      <c r="D7026" s="40" t="n">
        <v>7</v>
      </c>
      <c r="E7026" s="41" t="n">
        <v>852.87463</v>
      </c>
    </row>
    <row r="7027">
      <c r="A7027" s="42">
        <f>_xlfn.XLOOKUP(17857,Trip[shape_id],Trip[shape_id],"Não encontrado")</f>
        <v/>
      </c>
      <c r="B7027" s="43" t="n">
        <v>-23.516815</v>
      </c>
      <c r="C7027" s="43" t="n">
        <v>-46.338556</v>
      </c>
      <c r="D7027" s="43" t="n">
        <v>8</v>
      </c>
      <c r="E7027" s="44" t="n">
        <v>1158.3597</v>
      </c>
    </row>
    <row r="7028">
      <c r="A7028" s="39">
        <f>_xlfn.XLOOKUP(17857,Trip[shape_id],Trip[shape_id],"Não encontrado")</f>
        <v/>
      </c>
      <c r="B7028" s="40" t="n">
        <v>-23.515533</v>
      </c>
      <c r="C7028" s="40" t="n">
        <v>-46.338611</v>
      </c>
      <c r="D7028" s="40" t="n">
        <v>9</v>
      </c>
      <c r="E7028" s="41" t="n">
        <v>1300.454</v>
      </c>
    </row>
    <row r="7029">
      <c r="A7029" s="42">
        <f>_xlfn.XLOOKUP(17857,Trip[shape_id],Trip[shape_id],"Não encontrado")</f>
        <v/>
      </c>
      <c r="B7029" s="43" t="n">
        <v>-23.514293</v>
      </c>
      <c r="C7029" s="43" t="n">
        <v>-46.338408</v>
      </c>
      <c r="D7029" s="43" t="n">
        <v>10</v>
      </c>
      <c r="E7029" s="44" t="n">
        <v>1439.3417</v>
      </c>
    </row>
    <row r="7030">
      <c r="A7030" s="39">
        <f>_xlfn.XLOOKUP(17857,Trip[shape_id],Trip[shape_id],"Não encontrado")</f>
        <v/>
      </c>
      <c r="B7030" s="40" t="n">
        <v>-23.511376</v>
      </c>
      <c r="C7030" s="40" t="n">
        <v>-46.337908</v>
      </c>
      <c r="D7030" s="40" t="n">
        <v>11</v>
      </c>
      <c r="E7030" s="41" t="n">
        <v>1766.4141</v>
      </c>
    </row>
    <row r="7031">
      <c r="A7031" s="42">
        <f>_xlfn.XLOOKUP(17857,Trip[shape_id],Trip[shape_id],"Não encontrado")</f>
        <v/>
      </c>
      <c r="B7031" s="43" t="n">
        <v>-23.508212</v>
      </c>
      <c r="C7031" s="43" t="n">
        <v>-46.337544</v>
      </c>
      <c r="D7031" s="43" t="n">
        <v>12</v>
      </c>
      <c r="E7031" s="44" t="n">
        <v>2118.7974</v>
      </c>
    </row>
    <row r="7032">
      <c r="A7032" s="39">
        <f>_xlfn.XLOOKUP(17857,Trip[shape_id],Trip[shape_id],"Não encontrado")</f>
        <v/>
      </c>
      <c r="B7032" s="40" t="n">
        <v>-23.506115</v>
      </c>
      <c r="C7032" s="40" t="n">
        <v>-46.338025</v>
      </c>
      <c r="D7032" s="40" t="n">
        <v>13</v>
      </c>
      <c r="E7032" s="41" t="n">
        <v>2356.1816</v>
      </c>
    </row>
    <row r="7033">
      <c r="A7033" s="42">
        <f>_xlfn.XLOOKUP(17857,Trip[shape_id],Trip[shape_id],"Não encontrado")</f>
        <v/>
      </c>
      <c r="B7033" s="43" t="n">
        <v>-23.50364</v>
      </c>
      <c r="C7033" s="43" t="n">
        <v>-46.338767</v>
      </c>
      <c r="D7033" s="43" t="n">
        <v>14</v>
      </c>
      <c r="E7033" s="44" t="n">
        <v>2640.5745</v>
      </c>
    </row>
    <row r="7034">
      <c r="A7034" s="39">
        <f>_xlfn.XLOOKUP(17857,Trip[shape_id],Trip[shape_id],"Não encontrado")</f>
        <v/>
      </c>
      <c r="B7034" s="40" t="n">
        <v>-23.50214</v>
      </c>
      <c r="C7034" s="40" t="n">
        <v>-46.339162</v>
      </c>
      <c r="D7034" s="40" t="n">
        <v>15</v>
      </c>
      <c r="E7034" s="41" t="n">
        <v>2811.53</v>
      </c>
    </row>
    <row r="7035">
      <c r="A7035" s="42">
        <f>_xlfn.XLOOKUP(17857,Trip[shape_id],Trip[shape_id],"Não encontrado")</f>
        <v/>
      </c>
      <c r="B7035" s="43" t="n">
        <v>-23.500624</v>
      </c>
      <c r="C7035" s="43" t="n">
        <v>-46.339096</v>
      </c>
      <c r="D7035" s="43" t="n">
        <v>16</v>
      </c>
      <c r="E7035" s="44" t="n">
        <v>2979.564</v>
      </c>
    </row>
    <row r="7036">
      <c r="A7036" s="39">
        <f>_xlfn.XLOOKUP(17857,Trip[shape_id],Trip[shape_id],"Não encontrado")</f>
        <v/>
      </c>
      <c r="B7036" s="40" t="n">
        <v>-23.499075</v>
      </c>
      <c r="C7036" s="40" t="n">
        <v>-46.339037</v>
      </c>
      <c r="D7036" s="40" t="n">
        <v>17</v>
      </c>
      <c r="E7036" s="41" t="n">
        <v>3151.2231</v>
      </c>
    </row>
    <row r="7037">
      <c r="A7037" s="42">
        <f>_xlfn.XLOOKUP(17857,Trip[shape_id],Trip[shape_id],"Não encontrado")</f>
        <v/>
      </c>
      <c r="B7037" s="43" t="n">
        <v>-23.497921</v>
      </c>
      <c r="C7037" s="43" t="n">
        <v>-46.33881</v>
      </c>
      <c r="D7037" s="43" t="n">
        <v>18</v>
      </c>
      <c r="E7037" s="44" t="n">
        <v>3281.116</v>
      </c>
    </row>
    <row r="7038">
      <c r="A7038" s="39">
        <f>_xlfn.XLOOKUP(17857,Trip[shape_id],Trip[shape_id],"Não encontrado")</f>
        <v/>
      </c>
      <c r="B7038" s="40" t="n">
        <v>-23.495915</v>
      </c>
      <c r="C7038" s="40" t="n">
        <v>-46.338501</v>
      </c>
      <c r="D7038" s="40" t="n">
        <v>19</v>
      </c>
      <c r="E7038" s="41" t="n">
        <v>3505.5132</v>
      </c>
    </row>
    <row r="7039">
      <c r="A7039" s="42">
        <f>_xlfn.XLOOKUP(17857,Trip[shape_id],Trip[shape_id],"Não encontrado")</f>
        <v/>
      </c>
      <c r="B7039" s="43" t="n">
        <v>-23.495335</v>
      </c>
      <c r="C7039" s="43" t="n">
        <v>-46.338415</v>
      </c>
      <c r="D7039" s="43" t="n">
        <v>20</v>
      </c>
      <c r="E7039" s="44" t="n">
        <v>3570.3467</v>
      </c>
    </row>
    <row r="7040">
      <c r="A7040" s="39">
        <f>_xlfn.XLOOKUP(17857,Trip[shape_id],Trip[shape_id],"Não encontrado")</f>
        <v/>
      </c>
      <c r="B7040" s="40" t="n">
        <v>-23.495027</v>
      </c>
      <c r="C7040" s="40" t="n">
        <v>-46.33836</v>
      </c>
      <c r="D7040" s="40" t="n">
        <v>21</v>
      </c>
      <c r="E7040" s="41" t="n">
        <v>3604.9175</v>
      </c>
    </row>
    <row r="7041">
      <c r="A7041" s="42">
        <f>_xlfn.XLOOKUP(17857,Trip[shape_id],Trip[shape_id],"Não encontrado")</f>
        <v/>
      </c>
      <c r="B7041" s="43" t="n">
        <v>-23.493296</v>
      </c>
      <c r="C7041" s="43" t="n">
        <v>-46.337592</v>
      </c>
      <c r="D7041" s="43" t="n">
        <v>22</v>
      </c>
      <c r="E7041" s="44" t="n">
        <v>3812.0569</v>
      </c>
    </row>
    <row r="7042">
      <c r="A7042" s="39">
        <f>_xlfn.XLOOKUP(17857,Trip[shape_id],Trip[shape_id],"Não encontrado")</f>
        <v/>
      </c>
      <c r="B7042" s="40" t="n">
        <v>-23.491337</v>
      </c>
      <c r="C7042" s="40" t="n">
        <v>-46.336466</v>
      </c>
      <c r="D7042" s="40" t="n">
        <v>23</v>
      </c>
      <c r="E7042" s="41" t="n">
        <v>4057.6199</v>
      </c>
    </row>
    <row r="7043">
      <c r="A7043" s="42">
        <f>_xlfn.XLOOKUP(17857,Trip[shape_id],Trip[shape_id],"Não encontrado")</f>
        <v/>
      </c>
      <c r="B7043" s="43" t="n">
        <v>-23.489871</v>
      </c>
      <c r="C7043" s="43" t="n">
        <v>-46.335922</v>
      </c>
      <c r="D7043" s="43" t="n">
        <v>24</v>
      </c>
      <c r="E7043" s="44" t="n">
        <v>4229.2266</v>
      </c>
    </row>
    <row r="7044">
      <c r="A7044" s="39">
        <f>_xlfn.XLOOKUP(17857,Trip[shape_id],Trip[shape_id],"Não encontrado")</f>
        <v/>
      </c>
      <c r="B7044" s="40" t="n">
        <v>-23.489052</v>
      </c>
      <c r="C7044" s="40" t="n">
        <v>-46.336216</v>
      </c>
      <c r="D7044" s="40" t="n">
        <v>25</v>
      </c>
      <c r="E7044" s="41" t="n">
        <v>4324.7739</v>
      </c>
    </row>
    <row r="7045">
      <c r="A7045" s="42">
        <f>_xlfn.XLOOKUP(17857,Trip[shape_id],Trip[shape_id],"Não encontrado")</f>
        <v/>
      </c>
      <c r="B7045" s="43" t="n">
        <v>-23.488233</v>
      </c>
      <c r="C7045" s="43" t="n">
        <v>-46.336704</v>
      </c>
      <c r="D7045" s="43" t="n">
        <v>26</v>
      </c>
      <c r="E7045" s="44" t="n">
        <v>4428.2744</v>
      </c>
    </row>
    <row r="7046">
      <c r="A7046" s="39">
        <f>_xlfn.XLOOKUP(17857,Trip[shape_id],Trip[shape_id],"Não encontrado")</f>
        <v/>
      </c>
      <c r="B7046" s="40" t="n">
        <v>-23.4876</v>
      </c>
      <c r="C7046" s="40" t="n">
        <v>-46.33733</v>
      </c>
      <c r="D7046" s="40" t="n">
        <v>27</v>
      </c>
      <c r="E7046" s="41" t="n">
        <v>4523.1631</v>
      </c>
    </row>
    <row r="7047">
      <c r="A7047" s="42">
        <f>_xlfn.XLOOKUP(17857,Trip[shape_id],Trip[shape_id],"Não encontrado")</f>
        <v/>
      </c>
      <c r="B7047" s="43" t="n">
        <v>-23.487255</v>
      </c>
      <c r="C7047" s="43" t="n">
        <v>-46.338519</v>
      </c>
      <c r="D7047" s="43" t="n">
        <v>28</v>
      </c>
      <c r="E7047" s="44" t="n">
        <v>4650.4888</v>
      </c>
    </row>
    <row r="7048">
      <c r="A7048" s="39">
        <f>_xlfn.XLOOKUP(17857,Trip[shape_id],Trip[shape_id],"Não encontrado")</f>
        <v/>
      </c>
      <c r="B7048" s="40" t="n">
        <v>-23.487508</v>
      </c>
      <c r="C7048" s="40" t="n">
        <v>-46.340222</v>
      </c>
      <c r="D7048" s="40" t="n">
        <v>29</v>
      </c>
      <c r="E7048" s="41" t="n">
        <v>4826.6938</v>
      </c>
    </row>
    <row r="7049">
      <c r="A7049" s="42">
        <f>_xlfn.XLOOKUP(17857,Trip[shape_id],Trip[shape_id],"Não encontrado")</f>
        <v/>
      </c>
      <c r="B7049" s="43" t="n">
        <v>-23.487561</v>
      </c>
      <c r="C7049" s="43" t="n">
        <v>-46.340513</v>
      </c>
      <c r="D7049" s="43" t="n">
        <v>30</v>
      </c>
      <c r="E7049" s="44" t="n">
        <v>4856.9937</v>
      </c>
    </row>
    <row r="7050">
      <c r="A7050" s="39">
        <f>_xlfn.XLOOKUP(17857,Trip[shape_id],Trip[shape_id],"Não encontrado")</f>
        <v/>
      </c>
      <c r="B7050" s="40" t="n">
        <v>-23.488142</v>
      </c>
      <c r="C7050" s="40" t="n">
        <v>-46.342771</v>
      </c>
      <c r="D7050" s="40" t="n">
        <v>31</v>
      </c>
      <c r="E7050" s="41" t="n">
        <v>5096.4565</v>
      </c>
    </row>
    <row r="7051">
      <c r="A7051" s="42">
        <f>_xlfn.XLOOKUP(17857,Trip[shape_id],Trip[shape_id],"Não encontrado")</f>
        <v/>
      </c>
      <c r="B7051" s="43" t="n">
        <v>-23.488228</v>
      </c>
      <c r="C7051" s="43" t="n">
        <v>-46.343853</v>
      </c>
      <c r="D7051" s="43" t="n">
        <v>32</v>
      </c>
      <c r="E7051" s="44" t="n">
        <v>5207.3926</v>
      </c>
    </row>
    <row r="7052">
      <c r="A7052" s="39">
        <f>_xlfn.XLOOKUP(17857,Trip[shape_id],Trip[shape_id],"Não encontrado")</f>
        <v/>
      </c>
      <c r="B7052" s="40" t="n">
        <v>-23.488092</v>
      </c>
      <c r="C7052" s="40" t="n">
        <v>-46.344994</v>
      </c>
      <c r="D7052" s="40" t="n">
        <v>33</v>
      </c>
      <c r="E7052" s="41" t="n">
        <v>5324.915</v>
      </c>
    </row>
    <row r="7053">
      <c r="A7053" s="42">
        <f>_xlfn.XLOOKUP(17857,Trip[shape_id],Trip[shape_id],"Não encontrado")</f>
        <v/>
      </c>
      <c r="B7053" s="43" t="n">
        <v>-23.48577</v>
      </c>
      <c r="C7053" s="43" t="n">
        <v>-46.348456</v>
      </c>
      <c r="D7053" s="43" t="n">
        <v>34</v>
      </c>
      <c r="E7053" s="44" t="n">
        <v>5762.1787</v>
      </c>
    </row>
    <row r="7054">
      <c r="A7054" s="39">
        <f>_xlfn.XLOOKUP(17857,Trip[shape_id],Trip[shape_id],"Não encontrado")</f>
        <v/>
      </c>
      <c r="B7054" s="40" t="n">
        <v>-23.484094</v>
      </c>
      <c r="C7054" s="40" t="n">
        <v>-46.350474</v>
      </c>
      <c r="D7054" s="40" t="n">
        <v>35</v>
      </c>
      <c r="E7054" s="41" t="n">
        <v>6303.1138</v>
      </c>
    </row>
    <row r="7055">
      <c r="A7055" s="42">
        <f>_xlfn.XLOOKUP(17857,Trip[shape_id],Trip[shape_id],"Não encontrado")</f>
        <v/>
      </c>
      <c r="B7055" s="43" t="n">
        <v>-23.481815</v>
      </c>
      <c r="C7055" s="43" t="n">
        <v>-46.351216</v>
      </c>
      <c r="D7055" s="43" t="n">
        <v>36</v>
      </c>
      <c r="E7055" s="44" t="n">
        <v>6454.1211</v>
      </c>
    </row>
    <row r="7056">
      <c r="A7056" s="39">
        <f>_xlfn.XLOOKUP(17857,Trip[shape_id],Trip[shape_id],"Não encontrado")</f>
        <v/>
      </c>
      <c r="B7056" s="40" t="n">
        <v>-23.480683</v>
      </c>
      <c r="C7056" s="40" t="n">
        <v>-46.35204</v>
      </c>
      <c r="D7056" s="40" t="n">
        <v>37</v>
      </c>
      <c r="E7056" s="41" t="n">
        <v>6548.2549</v>
      </c>
    </row>
    <row r="7057">
      <c r="A7057" s="42">
        <f>_xlfn.XLOOKUP(17857,Trip[shape_id],Trip[shape_id],"Não encontrado")</f>
        <v/>
      </c>
      <c r="B7057" s="43" t="n">
        <v>-23.48031</v>
      </c>
      <c r="C7057" s="43" t="n">
        <v>-46.352868</v>
      </c>
      <c r="D7057" s="43" t="n">
        <v>38</v>
      </c>
      <c r="E7057" s="44" t="n">
        <v>6659.7925</v>
      </c>
    </row>
    <row r="7058">
      <c r="A7058" s="39">
        <f>_xlfn.XLOOKUP(17857,Trip[shape_id],Trip[shape_id],"Não encontrado")</f>
        <v/>
      </c>
      <c r="B7058" s="40" t="n">
        <v>-23.479923</v>
      </c>
      <c r="C7058" s="40" t="n">
        <v>-46.353876</v>
      </c>
      <c r="D7058" s="40" t="n">
        <v>39</v>
      </c>
      <c r="E7058" s="41" t="n">
        <v>6874.0996</v>
      </c>
    </row>
    <row r="7059">
      <c r="A7059" s="42">
        <f>_xlfn.XLOOKUP(17857,Trip[shape_id],Trip[shape_id],"Não encontrado")</f>
        <v/>
      </c>
      <c r="B7059" s="43" t="n">
        <v>-23.479534</v>
      </c>
      <c r="C7059" s="43" t="n">
        <v>-46.355931</v>
      </c>
      <c r="D7059" s="43" t="n">
        <v>40</v>
      </c>
      <c r="E7059" s="44" t="n">
        <v>7219.6191</v>
      </c>
    </row>
    <row r="7060">
      <c r="A7060" s="39">
        <f>_xlfn.XLOOKUP(17857,Trip[shape_id],Trip[shape_id],"Não encontrado")</f>
        <v/>
      </c>
      <c r="B7060" s="40" t="n">
        <v>-23.478993</v>
      </c>
      <c r="C7060" s="40" t="n">
        <v>-46.359262</v>
      </c>
      <c r="D7060" s="40" t="n">
        <v>41</v>
      </c>
      <c r="E7060" s="41" t="n">
        <v>7508.5986</v>
      </c>
    </row>
    <row r="7061">
      <c r="A7061" s="42">
        <f>_xlfn.XLOOKUP(17857,Trip[shape_id],Trip[shape_id],"Não encontrado")</f>
        <v/>
      </c>
      <c r="B7061" s="43" t="n">
        <v>-23.478541</v>
      </c>
      <c r="C7061" s="43" t="n">
        <v>-46.362048</v>
      </c>
      <c r="D7061" s="43" t="n">
        <v>42</v>
      </c>
      <c r="E7061" s="44" t="n">
        <v>7667.8091</v>
      </c>
    </row>
    <row r="7062">
      <c r="A7062" s="39">
        <f>_xlfn.XLOOKUP(17857,Trip[shape_id],Trip[shape_id],"Não encontrado")</f>
        <v/>
      </c>
      <c r="B7062" s="40" t="n">
        <v>-23.478445</v>
      </c>
      <c r="C7062" s="40" t="n">
        <v>-46.363603</v>
      </c>
      <c r="D7062" s="40" t="n">
        <v>43</v>
      </c>
      <c r="E7062" s="41" t="n">
        <v>7940.3604</v>
      </c>
    </row>
    <row r="7063">
      <c r="A7063" s="42">
        <f>_xlfn.XLOOKUP(17857,Trip[shape_id],Trip[shape_id],"Não encontrado")</f>
        <v/>
      </c>
      <c r="B7063" s="43" t="n">
        <v>-23.478864</v>
      </c>
      <c r="C7063" s="43" t="n">
        <v>-46.366232</v>
      </c>
      <c r="D7063" s="43" t="n">
        <v>44</v>
      </c>
      <c r="E7063" s="44" t="n">
        <v>8241.334999999999</v>
      </c>
    </row>
    <row r="7064">
      <c r="A7064" s="39">
        <f>_xlfn.XLOOKUP(17857,Trip[shape_id],Trip[shape_id],"Não encontrado")</f>
        <v/>
      </c>
      <c r="B7064" s="40" t="n">
        <v>-23.479415</v>
      </c>
      <c r="C7064" s="40" t="n">
        <v>-46.369117</v>
      </c>
      <c r="D7064" s="40" t="n">
        <v>45</v>
      </c>
      <c r="E7064" s="41" t="n">
        <v>8241.334999999999</v>
      </c>
    </row>
    <row r="7065">
      <c r="A7065" s="42">
        <f>_xlfn.XLOOKUP(17857,Trip[shape_id],Trip[shape_id],"Não encontrado")</f>
        <v/>
      </c>
      <c r="B7065" s="43" t="n">
        <v>-23.479587</v>
      </c>
      <c r="C7065" s="43" t="n">
        <v>-46.370023</v>
      </c>
      <c r="D7065" s="43" t="n">
        <v>46</v>
      </c>
      <c r="E7065" s="44" t="n">
        <v>8335.829100000001</v>
      </c>
    </row>
    <row r="7066">
      <c r="A7066" s="39">
        <f>_xlfn.XLOOKUP(17857,Trip[shape_id],Trip[shape_id],"Não encontrado")</f>
        <v/>
      </c>
      <c r="B7066" s="40" t="n">
        <v>-23.480913</v>
      </c>
      <c r="C7066" s="40" t="n">
        <v>-46.375998</v>
      </c>
      <c r="D7066" s="40" t="n">
        <v>47</v>
      </c>
      <c r="E7066" s="41" t="n">
        <v>8963.6309</v>
      </c>
    </row>
    <row r="7067">
      <c r="A7067" s="42">
        <f>_xlfn.XLOOKUP(17857,Trip[shape_id],Trip[shape_id],"Não encontrado")</f>
        <v/>
      </c>
      <c r="B7067" s="43" t="n">
        <v>-23.481682</v>
      </c>
      <c r="C7067" s="43" t="n">
        <v>-46.378752</v>
      </c>
      <c r="D7067" s="43" t="n">
        <v>48</v>
      </c>
      <c r="E7067" s="44" t="n">
        <v>9257.575199999999</v>
      </c>
    </row>
    <row r="7068">
      <c r="A7068" s="39">
        <f>_xlfn.XLOOKUP(17857,Trip[shape_id],Trip[shape_id],"Não encontrado")</f>
        <v/>
      </c>
      <c r="B7068" s="40" t="n">
        <v>-23.482339</v>
      </c>
      <c r="C7068" s="40" t="n">
        <v>-46.380612</v>
      </c>
      <c r="D7068" s="40" t="n">
        <v>49</v>
      </c>
      <c r="E7068" s="41" t="n">
        <v>9461.0391</v>
      </c>
    </row>
    <row r="7069">
      <c r="A7069" s="42">
        <f>_xlfn.XLOOKUP(17857,Trip[shape_id],Trip[shape_id],"Não encontrado")</f>
        <v/>
      </c>
      <c r="B7069" s="43" t="n">
        <v>-23.483446</v>
      </c>
      <c r="C7069" s="43" t="n">
        <v>-46.382821</v>
      </c>
      <c r="D7069" s="43" t="n">
        <v>50</v>
      </c>
      <c r="E7069" s="44" t="n">
        <v>9717.8516</v>
      </c>
    </row>
    <row r="7070">
      <c r="A7070" s="39">
        <f>_xlfn.XLOOKUP(17857,Trip[shape_id],Trip[shape_id],"Não encontrado")</f>
        <v/>
      </c>
      <c r="B7070" s="40" t="n">
        <v>-23.48445</v>
      </c>
      <c r="C7070" s="40" t="n">
        <v>-46.384773</v>
      </c>
      <c r="D7070" s="40" t="n">
        <v>51</v>
      </c>
      <c r="E7070" s="41" t="n">
        <v>9946.1621</v>
      </c>
    </row>
    <row r="7071">
      <c r="A7071" s="42">
        <f>_xlfn.XLOOKUP(17857,Trip[shape_id],Trip[shape_id],"Não encontrado")</f>
        <v/>
      </c>
      <c r="B7071" s="43" t="n">
        <v>-23.485076</v>
      </c>
      <c r="C7071" s="43" t="n">
        <v>-46.386065</v>
      </c>
      <c r="D7071" s="43" t="n">
        <v>52</v>
      </c>
      <c r="E7071" s="44" t="n">
        <v>10095.245</v>
      </c>
    </row>
    <row r="7072">
      <c r="A7072" s="39">
        <f>_xlfn.XLOOKUP(17857,Trip[shape_id],Trip[shape_id],"Não encontrado")</f>
        <v/>
      </c>
      <c r="B7072" s="40" t="n">
        <v>-23.485227</v>
      </c>
      <c r="C7072" s="40" t="n">
        <v>-46.386375</v>
      </c>
      <c r="D7072" s="40" t="n">
        <v>53</v>
      </c>
      <c r="E7072" s="41" t="n">
        <v>10131.057</v>
      </c>
    </row>
    <row r="7073">
      <c r="A7073" s="42">
        <f>_xlfn.XLOOKUP(17857,Trip[shape_id],Trip[shape_id],"Não encontrado")</f>
        <v/>
      </c>
      <c r="B7073" s="43" t="n">
        <v>-23.485992</v>
      </c>
      <c r="C7073" s="43" t="n">
        <v>-46.387815</v>
      </c>
      <c r="D7073" s="43" t="n">
        <v>54</v>
      </c>
      <c r="E7073" s="44" t="n">
        <v>10300.811</v>
      </c>
    </row>
    <row r="7074">
      <c r="A7074" s="39">
        <f>_xlfn.XLOOKUP(17857,Trip[shape_id],Trip[shape_id],"Não encontrado")</f>
        <v/>
      </c>
      <c r="B7074" s="40" t="n">
        <v>-23.486438</v>
      </c>
      <c r="C7074" s="40" t="n">
        <v>-46.388798</v>
      </c>
      <c r="D7074" s="40" t="n">
        <v>55</v>
      </c>
      <c r="E7074" s="41" t="n">
        <v>10412.717</v>
      </c>
    </row>
    <row r="7075">
      <c r="A7075" s="42">
        <f>_xlfn.XLOOKUP(17857,Trip[shape_id],Trip[shape_id],"Não encontrado")</f>
        <v/>
      </c>
      <c r="B7075" s="43" t="n">
        <v>-23.486467</v>
      </c>
      <c r="C7075" s="43" t="n">
        <v>-46.388845</v>
      </c>
      <c r="D7075" s="43" t="n">
        <v>56</v>
      </c>
      <c r="E7075" s="44" t="n">
        <v>10418.493</v>
      </c>
    </row>
    <row r="7076">
      <c r="A7076" s="39">
        <f>_xlfn.XLOOKUP(17857,Trip[shape_id],Trip[shape_id],"Não encontrado")</f>
        <v/>
      </c>
      <c r="B7076" s="40" t="n">
        <v>-23.486798</v>
      </c>
      <c r="C7076" s="40" t="n">
        <v>-46.389478</v>
      </c>
      <c r="D7076" s="40" t="n">
        <v>57</v>
      </c>
      <c r="E7076" s="41" t="n">
        <v>10492.823</v>
      </c>
    </row>
    <row r="7077">
      <c r="A7077" s="42">
        <f>_xlfn.XLOOKUP(17857,Trip[shape_id],Trip[shape_id],"Não encontrado")</f>
        <v/>
      </c>
      <c r="B7077" s="43" t="n">
        <v>-23.487019</v>
      </c>
      <c r="C7077" s="43" t="n">
        <v>-46.389808</v>
      </c>
      <c r="D7077" s="43" t="n">
        <v>58</v>
      </c>
      <c r="E7077" s="44" t="n">
        <v>10534.481</v>
      </c>
    </row>
    <row r="7078">
      <c r="A7078" s="39">
        <f>_xlfn.XLOOKUP(17857,Trip[shape_id],Trip[shape_id],"Não encontrado")</f>
        <v/>
      </c>
      <c r="B7078" s="40" t="n">
        <v>-23.487331</v>
      </c>
      <c r="C7078" s="40" t="n">
        <v>-46.390132</v>
      </c>
      <c r="D7078" s="40" t="n">
        <v>59</v>
      </c>
      <c r="E7078" s="41" t="n">
        <v>10582.329</v>
      </c>
    </row>
    <row r="7079">
      <c r="A7079" s="42">
        <f>_xlfn.XLOOKUP(17857,Trip[shape_id],Trip[shape_id],"Não encontrado")</f>
        <v/>
      </c>
      <c r="B7079" s="43" t="n">
        <v>-23.487508</v>
      </c>
      <c r="C7079" s="43" t="n">
        <v>-46.390331</v>
      </c>
      <c r="D7079" s="43" t="n">
        <v>60</v>
      </c>
      <c r="E7079" s="44" t="n">
        <v>10610.569</v>
      </c>
    </row>
    <row r="7080">
      <c r="A7080" s="39">
        <f>_xlfn.XLOOKUP(17857,Trip[shape_id],Trip[shape_id],"Não encontrado")</f>
        <v/>
      </c>
      <c r="B7080" s="40" t="n">
        <v>-23.48806</v>
      </c>
      <c r="C7080" s="40" t="n">
        <v>-46.390902</v>
      </c>
      <c r="D7080" s="40" t="n">
        <v>61</v>
      </c>
      <c r="E7080" s="41" t="n">
        <v>10695.065</v>
      </c>
    </row>
    <row r="7081">
      <c r="A7081" s="42">
        <f>_xlfn.XLOOKUP(17857,Trip[shape_id],Trip[shape_id],"Não encontrado")</f>
        <v/>
      </c>
      <c r="B7081" s="43" t="n">
        <v>-23.488761</v>
      </c>
      <c r="C7081" s="43" t="n">
        <v>-46.391587</v>
      </c>
      <c r="D7081" s="43" t="n">
        <v>62</v>
      </c>
      <c r="E7081" s="44" t="n">
        <v>10799.581</v>
      </c>
    </row>
    <row r="7082">
      <c r="A7082" s="39">
        <f>_xlfn.XLOOKUP(17857,Trip[shape_id],Trip[shape_id],"Não encontrado")</f>
        <v/>
      </c>
      <c r="B7082" s="40" t="n">
        <v>-23.489453</v>
      </c>
      <c r="C7082" s="40" t="n">
        <v>-46.392186</v>
      </c>
      <c r="D7082" s="40" t="n">
        <v>63</v>
      </c>
      <c r="E7082" s="41" t="n">
        <v>10897.65</v>
      </c>
    </row>
    <row r="7083">
      <c r="A7083" s="42">
        <f>_xlfn.XLOOKUP(17857,Trip[shape_id],Trip[shape_id],"Não encontrado")</f>
        <v/>
      </c>
      <c r="B7083" s="43" t="n">
        <v>-23.490026</v>
      </c>
      <c r="C7083" s="43" t="n">
        <v>-46.392749</v>
      </c>
      <c r="D7083" s="43" t="n">
        <v>64</v>
      </c>
      <c r="E7083" s="44" t="n">
        <v>10983.293</v>
      </c>
    </row>
    <row r="7084">
      <c r="A7084" s="39">
        <f>_xlfn.XLOOKUP(17857,Trip[shape_id],Trip[shape_id],"Não encontrado")</f>
        <v/>
      </c>
      <c r="B7084" s="40" t="n">
        <v>-23.490484</v>
      </c>
      <c r="C7084" s="40" t="n">
        <v>-46.393202</v>
      </c>
      <c r="D7084" s="40" t="n">
        <v>65</v>
      </c>
      <c r="E7084" s="41" t="n">
        <v>11051.952</v>
      </c>
    </row>
    <row r="7085">
      <c r="A7085" s="42">
        <f>_xlfn.XLOOKUP(17857,Trip[shape_id],Trip[shape_id],"Não encontrado")</f>
        <v/>
      </c>
      <c r="B7085" s="43" t="n">
        <v>-23.491167</v>
      </c>
      <c r="C7085" s="43" t="n">
        <v>-46.393722</v>
      </c>
      <c r="D7085" s="43" t="n">
        <v>66</v>
      </c>
      <c r="E7085" s="44" t="n">
        <v>11144.382</v>
      </c>
    </row>
    <row r="7086">
      <c r="A7086" s="39">
        <f>_xlfn.XLOOKUP(17857,Trip[shape_id],Trip[shape_id],"Não encontrado")</f>
        <v/>
      </c>
      <c r="B7086" s="40" t="n">
        <v>-23.491304</v>
      </c>
      <c r="C7086" s="40" t="n">
        <v>-46.393943</v>
      </c>
      <c r="D7086" s="40" t="n">
        <v>67</v>
      </c>
      <c r="E7086" s="41" t="n">
        <v>11171.582</v>
      </c>
    </row>
    <row r="7087">
      <c r="A7087" s="42">
        <f>_xlfn.XLOOKUP(17857,Trip[shape_id],Trip[shape_id],"Não encontrado")</f>
        <v/>
      </c>
      <c r="B7087" s="43" t="n">
        <v>-23.492267</v>
      </c>
      <c r="C7087" s="43" t="n">
        <v>-46.394915</v>
      </c>
      <c r="D7087" s="43" t="n">
        <v>68</v>
      </c>
      <c r="E7087" s="44" t="n">
        <v>11317.297</v>
      </c>
    </row>
    <row r="7088">
      <c r="A7088" s="39">
        <f>_xlfn.XLOOKUP(17857,Trip[shape_id],Trip[shape_id],"Não encontrado")</f>
        <v/>
      </c>
      <c r="B7088" s="40" t="n">
        <v>-23.492799</v>
      </c>
      <c r="C7088" s="40" t="n">
        <v>-46.395383</v>
      </c>
      <c r="D7088" s="40" t="n">
        <v>69</v>
      </c>
      <c r="E7088" s="41" t="n">
        <v>11393.171</v>
      </c>
    </row>
    <row r="7089">
      <c r="A7089" s="42">
        <f>_xlfn.XLOOKUP(17857,Trip[shape_id],Trip[shape_id],"Não encontrado")</f>
        <v/>
      </c>
      <c r="B7089" s="43" t="n">
        <v>-23.493179</v>
      </c>
      <c r="C7089" s="43" t="n">
        <v>-46.395965</v>
      </c>
      <c r="D7089" s="43" t="n">
        <v>70</v>
      </c>
      <c r="E7089" s="44" t="n">
        <v>11466.009</v>
      </c>
    </row>
    <row r="7090">
      <c r="A7090" s="39">
        <f>_xlfn.XLOOKUP(17857,Trip[shape_id],Trip[shape_id],"Não encontrado")</f>
        <v/>
      </c>
      <c r="B7090" s="40" t="n">
        <v>-23.493398</v>
      </c>
      <c r="C7090" s="40" t="n">
        <v>-46.396406</v>
      </c>
      <c r="D7090" s="40" t="n">
        <v>71</v>
      </c>
      <c r="E7090" s="41" t="n">
        <v>11517.17</v>
      </c>
    </row>
    <row r="7091">
      <c r="A7091" s="42">
        <f>_xlfn.XLOOKUP(17857,Trip[shape_id],Trip[shape_id],"Não encontrado")</f>
        <v/>
      </c>
      <c r="B7091" s="43" t="n">
        <v>-23.493484</v>
      </c>
      <c r="C7091" s="43" t="n">
        <v>-46.396622</v>
      </c>
      <c r="D7091" s="43" t="n">
        <v>72</v>
      </c>
      <c r="E7091" s="44" t="n">
        <v>11541.201</v>
      </c>
    </row>
    <row r="7092">
      <c r="A7092" s="39">
        <f>_xlfn.XLOOKUP(17857,Trip[shape_id],Trip[shape_id],"Não encontrado")</f>
        <v/>
      </c>
      <c r="B7092" s="40" t="n">
        <v>-23.493554</v>
      </c>
      <c r="C7092" s="40" t="n">
        <v>-46.39687</v>
      </c>
      <c r="D7092" s="40" t="n">
        <v>73</v>
      </c>
      <c r="E7092" s="41" t="n">
        <v>11567.693</v>
      </c>
    </row>
    <row r="7093">
      <c r="A7093" s="42">
        <f>_xlfn.XLOOKUP(17857,Trip[shape_id],Trip[shape_id],"Não encontrado")</f>
        <v/>
      </c>
      <c r="B7093" s="43" t="n">
        <v>-23.493654</v>
      </c>
      <c r="C7093" s="43" t="n">
        <v>-46.397796</v>
      </c>
      <c r="D7093" s="43" t="n">
        <v>74</v>
      </c>
      <c r="E7093" s="44" t="n">
        <v>11662.927</v>
      </c>
    </row>
    <row r="7094">
      <c r="A7094" s="39">
        <f>_xlfn.XLOOKUP(17857,Trip[shape_id],Trip[shape_id],"Não encontrado")</f>
        <v/>
      </c>
      <c r="B7094" s="40" t="n">
        <v>-23.493758</v>
      </c>
      <c r="C7094" s="40" t="n">
        <v>-46.39912</v>
      </c>
      <c r="D7094" s="40" t="n">
        <v>75</v>
      </c>
      <c r="E7094" s="41" t="n">
        <v>11798.657</v>
      </c>
    </row>
    <row r="7095">
      <c r="A7095" s="42">
        <f>_xlfn.XLOOKUP(17857,Trip[shape_id],Trip[shape_id],"Não encontrado")</f>
        <v/>
      </c>
      <c r="B7095" s="43" t="n">
        <v>-23.493989</v>
      </c>
      <c r="C7095" s="43" t="n">
        <v>-46.402304</v>
      </c>
      <c r="D7095" s="43" t="n">
        <v>76</v>
      </c>
      <c r="E7095" s="44" t="n">
        <v>12124.894</v>
      </c>
    </row>
    <row r="7096">
      <c r="A7096" s="39">
        <f>_xlfn.XLOOKUP(17857,Trip[shape_id],Trip[shape_id],"Não encontrado")</f>
        <v/>
      </c>
      <c r="B7096" s="40" t="n">
        <v>-23.494067</v>
      </c>
      <c r="C7096" s="40" t="n">
        <v>-46.403698</v>
      </c>
      <c r="D7096" s="40" t="n">
        <v>77</v>
      </c>
      <c r="E7096" s="41" t="n">
        <v>12267.547</v>
      </c>
    </row>
    <row r="7097">
      <c r="A7097" s="42">
        <f>_xlfn.XLOOKUP(17857,Trip[shape_id],Trip[shape_id],"Não encontrado")</f>
        <v/>
      </c>
      <c r="B7097" s="43" t="n">
        <v>-23.494089</v>
      </c>
      <c r="C7097" s="43" t="n">
        <v>-46.404196</v>
      </c>
      <c r="D7097" s="43" t="n">
        <v>78</v>
      </c>
      <c r="E7097" s="44" t="n">
        <v>12318.474</v>
      </c>
    </row>
    <row r="7098">
      <c r="A7098" s="39">
        <f>_xlfn.XLOOKUP(17857,Trip[shape_id],Trip[shape_id],"Não encontrado")</f>
        <v/>
      </c>
      <c r="B7098" s="40" t="n">
        <v>-23.494105</v>
      </c>
      <c r="C7098" s="40" t="n">
        <v>-46.404563</v>
      </c>
      <c r="D7098" s="40" t="n">
        <v>79</v>
      </c>
      <c r="E7098" s="41" t="n">
        <v>12356.003</v>
      </c>
    </row>
    <row r="7099">
      <c r="A7099" s="42">
        <f>_xlfn.XLOOKUP(17857,Trip[shape_id],Trip[shape_id],"Não encontrado")</f>
        <v/>
      </c>
      <c r="B7099" s="43" t="n">
        <v>-23.494137</v>
      </c>
      <c r="C7099" s="43" t="n">
        <v>-46.406077</v>
      </c>
      <c r="D7099" s="43" t="n">
        <v>80</v>
      </c>
      <c r="E7099" s="44" t="n">
        <v>12510.692</v>
      </c>
    </row>
    <row r="7100">
      <c r="A7100" s="39">
        <f>_xlfn.XLOOKUP(17857,Trip[shape_id],Trip[shape_id],"Não encontrado")</f>
        <v/>
      </c>
      <c r="B7100" s="40" t="n">
        <v>-23.494092</v>
      </c>
      <c r="C7100" s="40" t="n">
        <v>-46.406947</v>
      </c>
      <c r="D7100" s="40" t="n">
        <v>81</v>
      </c>
      <c r="E7100" s="41" t="n">
        <v>12599.698</v>
      </c>
    </row>
    <row r="7101">
      <c r="A7101" s="42">
        <f>_xlfn.XLOOKUP(17857,Trip[shape_id],Trip[shape_id],"Não encontrado")</f>
        <v/>
      </c>
      <c r="B7101" s="43" t="n">
        <v>-23.494047</v>
      </c>
      <c r="C7101" s="43" t="n">
        <v>-46.407606</v>
      </c>
      <c r="D7101" s="43" t="n">
        <v>82</v>
      </c>
      <c r="E7101" s="44" t="n">
        <v>12667.196</v>
      </c>
    </row>
    <row r="7102">
      <c r="A7102" s="39">
        <f>_xlfn.XLOOKUP(17857,Trip[shape_id],Trip[shape_id],"Não encontrado")</f>
        <v/>
      </c>
      <c r="B7102" s="40" t="n">
        <v>-23.493898</v>
      </c>
      <c r="C7102" s="40" t="n">
        <v>-46.409146</v>
      </c>
      <c r="D7102" s="40" t="n">
        <v>83</v>
      </c>
      <c r="E7102" s="41" t="n">
        <v>12825.364</v>
      </c>
    </row>
    <row r="7103">
      <c r="A7103" s="42">
        <f>_xlfn.XLOOKUP(17857,Trip[shape_id],Trip[shape_id],"Não encontrado")</f>
        <v/>
      </c>
      <c r="B7103" s="43" t="n">
        <v>-23.493634</v>
      </c>
      <c r="C7103" s="43" t="n">
        <v>-46.411476</v>
      </c>
      <c r="D7103" s="43" t="n">
        <v>84</v>
      </c>
      <c r="E7103" s="44" t="n">
        <v>13065.153</v>
      </c>
    </row>
    <row r="7104">
      <c r="A7104" s="39">
        <f>_xlfn.XLOOKUP(17857,Trip[shape_id],Trip[shape_id],"Não encontrado")</f>
        <v/>
      </c>
      <c r="B7104" s="40" t="n">
        <v>-23.493588</v>
      </c>
      <c r="C7104" s="40" t="n">
        <v>-46.411991</v>
      </c>
      <c r="D7104" s="40" t="n">
        <v>85</v>
      </c>
      <c r="E7104" s="41" t="n">
        <v>13118.005</v>
      </c>
    </row>
    <row r="7105">
      <c r="A7105" s="42">
        <f>_xlfn.XLOOKUP(17857,Trip[shape_id],Trip[shape_id],"Não encontrado")</f>
        <v/>
      </c>
      <c r="B7105" s="43" t="n">
        <v>-23.493287</v>
      </c>
      <c r="C7105" s="43" t="n">
        <v>-46.41542</v>
      </c>
      <c r="D7105" s="43" t="n">
        <v>86</v>
      </c>
      <c r="E7105" s="44" t="n">
        <v>13469.847</v>
      </c>
    </row>
    <row r="7106">
      <c r="A7106" s="39">
        <f>_xlfn.XLOOKUP(17857,Trip[shape_id],Trip[shape_id],"Não encontrado")</f>
        <v/>
      </c>
      <c r="B7106" s="40" t="n">
        <v>-23.492699</v>
      </c>
      <c r="C7106" s="40" t="n">
        <v>-46.421096</v>
      </c>
      <c r="D7106" s="40" t="n">
        <v>87</v>
      </c>
      <c r="E7106" s="41" t="n">
        <v>14053.275</v>
      </c>
    </row>
    <row r="7107">
      <c r="A7107" s="42">
        <f>_xlfn.XLOOKUP(17857,Trip[shape_id],Trip[shape_id],"Não encontrado")</f>
        <v/>
      </c>
      <c r="B7107" s="43" t="n">
        <v>-23.492654</v>
      </c>
      <c r="C7107" s="43" t="n">
        <v>-46.421682</v>
      </c>
      <c r="D7107" s="43" t="n">
        <v>88</v>
      </c>
      <c r="E7107" s="44" t="n">
        <v>14113.341</v>
      </c>
    </row>
    <row r="7108">
      <c r="A7108" s="39">
        <f>_xlfn.XLOOKUP(17857,Trip[shape_id],Trip[shape_id],"Não encontrado")</f>
        <v/>
      </c>
      <c r="B7108" s="40" t="n">
        <v>-23.492203</v>
      </c>
      <c r="C7108" s="40" t="n">
        <v>-46.426602</v>
      </c>
      <c r="D7108" s="40" t="n">
        <v>89</v>
      </c>
      <c r="E7108" s="41" t="n">
        <v>14618.38</v>
      </c>
    </row>
    <row r="7109">
      <c r="A7109" s="42">
        <f>_xlfn.XLOOKUP(17857,Trip[shape_id],Trip[shape_id],"Não encontrado")</f>
        <v/>
      </c>
      <c r="B7109" s="43" t="n">
        <v>-23.491652</v>
      </c>
      <c r="C7109" s="43" t="n">
        <v>-46.431549</v>
      </c>
      <c r="D7109" s="43" t="n">
        <v>90</v>
      </c>
      <c r="E7109" s="44" t="n">
        <v>15127.374</v>
      </c>
    </row>
    <row r="7110">
      <c r="A7110" s="39">
        <f>_xlfn.XLOOKUP(17857,Trip[shape_id],Trip[shape_id],"Não encontrado")</f>
        <v/>
      </c>
      <c r="B7110" s="40" t="n">
        <v>-23.491036</v>
      </c>
      <c r="C7110" s="40" t="n">
        <v>-46.437471</v>
      </c>
      <c r="D7110" s="40" t="n">
        <v>91</v>
      </c>
      <c r="E7110" s="41" t="n">
        <v>15736.128</v>
      </c>
    </row>
    <row r="7111">
      <c r="A7111" s="42">
        <f>_xlfn.XLOOKUP(17857,Trip[shape_id],Trip[shape_id],"Não encontrado")</f>
        <v/>
      </c>
      <c r="B7111" s="43" t="n">
        <v>-23.490749</v>
      </c>
      <c r="C7111" s="43" t="n">
        <v>-46.441985</v>
      </c>
      <c r="D7111" s="43" t="n">
        <v>92</v>
      </c>
      <c r="E7111" s="44" t="n">
        <v>16198.318</v>
      </c>
    </row>
    <row r="7112">
      <c r="A7112" s="39">
        <f>_xlfn.XLOOKUP(17857,Trip[shape_id],Trip[shape_id],"Não encontrado")</f>
        <v/>
      </c>
      <c r="B7112" s="40" t="n">
        <v>-23.490584</v>
      </c>
      <c r="C7112" s="40" t="n">
        <v>-46.44307</v>
      </c>
      <c r="D7112" s="40" t="n">
        <v>93</v>
      </c>
      <c r="E7112" s="41" t="n">
        <v>16310.646</v>
      </c>
    </row>
    <row r="7113">
      <c r="A7113" s="42">
        <f>_xlfn.XLOOKUP(17857,Trip[shape_id],Trip[shape_id],"Não encontrado")</f>
        <v/>
      </c>
      <c r="B7113" s="43" t="n">
        <v>-23.490498</v>
      </c>
      <c r="C7113" s="43" t="n">
        <v>-46.443761</v>
      </c>
      <c r="D7113" s="43" t="n">
        <v>94</v>
      </c>
      <c r="E7113" s="44" t="n">
        <v>16381.87</v>
      </c>
    </row>
    <row r="7114">
      <c r="A7114" s="39">
        <f>_xlfn.XLOOKUP(17857,Trip[shape_id],Trip[shape_id],"Não encontrado")</f>
        <v/>
      </c>
      <c r="B7114" s="40" t="n">
        <v>-23.490358</v>
      </c>
      <c r="C7114" s="40" t="n">
        <v>-46.444891</v>
      </c>
      <c r="D7114" s="40" t="n">
        <v>95</v>
      </c>
      <c r="E7114" s="41" t="n">
        <v>16498.334</v>
      </c>
    </row>
    <row r="7115">
      <c r="A7115" s="42">
        <f>_xlfn.XLOOKUP(17857,Trip[shape_id],Trip[shape_id],"Não encontrado")</f>
        <v/>
      </c>
      <c r="B7115" s="43" t="n">
        <v>-23.490337</v>
      </c>
      <c r="C7115" s="43" t="n">
        <v>-46.446289</v>
      </c>
      <c r="D7115" s="43" t="n">
        <v>96</v>
      </c>
      <c r="E7115" s="44" t="n">
        <v>16641.156</v>
      </c>
    </row>
    <row r="7116">
      <c r="A7116" s="39">
        <f>_xlfn.XLOOKUP(17857,Trip[shape_id],Trip[shape_id],"Não encontrado")</f>
        <v/>
      </c>
      <c r="B7116" s="40" t="n">
        <v>-23.490629</v>
      </c>
      <c r="C7116" s="40" t="n">
        <v>-46.448074</v>
      </c>
      <c r="D7116" s="40" t="n">
        <v>97</v>
      </c>
      <c r="E7116" s="41" t="n">
        <v>16826.336</v>
      </c>
    </row>
    <row r="7117">
      <c r="A7117" s="42">
        <f>_xlfn.XLOOKUP(17857,Trip[shape_id],Trip[shape_id],"Não encontrado")</f>
        <v/>
      </c>
      <c r="B7117" s="43" t="n">
        <v>-23.490963</v>
      </c>
      <c r="C7117" s="43" t="n">
        <v>-46.449485</v>
      </c>
      <c r="D7117" s="43" t="n">
        <v>98</v>
      </c>
      <c r="E7117" s="44" t="n">
        <v>16975.139</v>
      </c>
    </row>
    <row r="7118">
      <c r="A7118" s="39">
        <f>_xlfn.XLOOKUP(17857,Trip[shape_id],Trip[shape_id],"Não encontrado")</f>
        <v/>
      </c>
      <c r="B7118" s="40" t="n">
        <v>-23.491476</v>
      </c>
      <c r="C7118" s="40" t="n">
        <v>-46.451418</v>
      </c>
      <c r="D7118" s="40" t="n">
        <v>99</v>
      </c>
      <c r="E7118" s="41" t="n">
        <v>17180.602</v>
      </c>
    </row>
    <row r="7119">
      <c r="A7119" s="42">
        <f>_xlfn.XLOOKUP(17857,Trip[shape_id],Trip[shape_id],"Não encontrado")</f>
        <v/>
      </c>
      <c r="B7119" s="43" t="n">
        <v>-23.49185</v>
      </c>
      <c r="C7119" s="43" t="n">
        <v>-46.452941</v>
      </c>
      <c r="D7119" s="43" t="n">
        <v>100</v>
      </c>
      <c r="E7119" s="44" t="n">
        <v>17341.592</v>
      </c>
    </row>
    <row r="7120">
      <c r="A7120" s="39">
        <f>_xlfn.XLOOKUP(17857,Trip[shape_id],Trip[shape_id],"Não encontrado")</f>
        <v/>
      </c>
      <c r="B7120" s="40" t="n">
        <v>-23.492065</v>
      </c>
      <c r="C7120" s="40" t="n">
        <v>-46.454101</v>
      </c>
      <c r="D7120" s="40" t="n">
        <v>101</v>
      </c>
      <c r="E7120" s="41" t="n">
        <v>17462.451</v>
      </c>
    </row>
    <row r="7121">
      <c r="A7121" s="42">
        <f>_xlfn.XLOOKUP(17857,Trip[shape_id],Trip[shape_id],"Não encontrado")</f>
        <v/>
      </c>
      <c r="B7121" s="43" t="n">
        <v>-23.492165</v>
      </c>
      <c r="C7121" s="43" t="n">
        <v>-46.455524</v>
      </c>
      <c r="D7121" s="43" t="n">
        <v>102</v>
      </c>
      <c r="E7121" s="44" t="n">
        <v>17608.229</v>
      </c>
    </row>
    <row r="7122">
      <c r="A7122" s="39">
        <f>_xlfn.XLOOKUP(17857,Trip[shape_id],Trip[shape_id],"Não encontrado")</f>
        <v/>
      </c>
      <c r="B7122" s="40" t="n">
        <v>-23.492066</v>
      </c>
      <c r="C7122" s="40" t="n">
        <v>-46.457294</v>
      </c>
      <c r="D7122" s="40" t="n">
        <v>103</v>
      </c>
      <c r="E7122" s="41" t="n">
        <v>17789.361</v>
      </c>
    </row>
    <row r="7123">
      <c r="A7123" s="42">
        <f>_xlfn.XLOOKUP(17857,Trip[shape_id],Trip[shape_id],"Não encontrado")</f>
        <v/>
      </c>
      <c r="B7123" s="43" t="n">
        <v>-23.492011</v>
      </c>
      <c r="C7123" s="43" t="n">
        <v>-46.4581</v>
      </c>
      <c r="D7123" s="43" t="n">
        <v>104</v>
      </c>
      <c r="E7123" s="44" t="n">
        <v>17871.916</v>
      </c>
    </row>
    <row r="7124">
      <c r="A7124" s="39">
        <f>_xlfn.XLOOKUP(17857,Trip[shape_id],Trip[shape_id],"Não encontrado")</f>
        <v/>
      </c>
      <c r="B7124" s="40" t="n">
        <v>-23.491929</v>
      </c>
      <c r="C7124" s="40" t="n">
        <v>-46.458867</v>
      </c>
      <c r="D7124" s="40" t="n">
        <v>105</v>
      </c>
      <c r="E7124" s="41" t="n">
        <v>17950.787</v>
      </c>
    </row>
    <row r="7125">
      <c r="A7125" s="42">
        <f>_xlfn.XLOOKUP(17857,Trip[shape_id],Trip[shape_id],"Não encontrado")</f>
        <v/>
      </c>
      <c r="B7125" s="43" t="n">
        <v>-23.491831</v>
      </c>
      <c r="C7125" s="43" t="n">
        <v>-46.459314</v>
      </c>
      <c r="D7125" s="43" t="n">
        <v>106</v>
      </c>
      <c r="E7125" s="44" t="n">
        <v>17997.719</v>
      </c>
    </row>
    <row r="7126">
      <c r="A7126" s="39">
        <f>_xlfn.XLOOKUP(17857,Trip[shape_id],Trip[shape_id],"Não encontrado")</f>
        <v/>
      </c>
      <c r="B7126" s="40" t="n">
        <v>-23.491652</v>
      </c>
      <c r="C7126" s="40" t="n">
        <v>-46.459906</v>
      </c>
      <c r="D7126" s="40" t="n">
        <v>107</v>
      </c>
      <c r="E7126" s="41" t="n">
        <v>18061.357</v>
      </c>
    </row>
    <row r="7127">
      <c r="A7127" s="42">
        <f>_xlfn.XLOOKUP(17857,Trip[shape_id],Trip[shape_id],"Não encontrado")</f>
        <v/>
      </c>
      <c r="B7127" s="43" t="n">
        <v>-23.491191</v>
      </c>
      <c r="C7127" s="43" t="n">
        <v>-46.461153</v>
      </c>
      <c r="D7127" s="43" t="n">
        <v>108</v>
      </c>
      <c r="E7127" s="44" t="n">
        <v>18198.586</v>
      </c>
    </row>
    <row r="7128">
      <c r="A7128" s="39">
        <f>_xlfn.XLOOKUP(17857,Trip[shape_id],Trip[shape_id],"Não encontrado")</f>
        <v/>
      </c>
      <c r="B7128" s="40" t="n">
        <v>-23.491003</v>
      </c>
      <c r="C7128" s="40" t="n">
        <v>-46.46164</v>
      </c>
      <c r="D7128" s="40" t="n">
        <v>109</v>
      </c>
      <c r="E7128" s="41" t="n">
        <v>18252.514</v>
      </c>
    </row>
    <row r="7129">
      <c r="A7129" s="42">
        <f>_xlfn.XLOOKUP(17857,Trip[shape_id],Trip[shape_id],"Não encontrado")</f>
        <v/>
      </c>
      <c r="B7129" s="43" t="n">
        <v>-23.490866</v>
      </c>
      <c r="C7129" s="43" t="n">
        <v>-46.46197</v>
      </c>
      <c r="D7129" s="43" t="n">
        <v>110</v>
      </c>
      <c r="E7129" s="44" t="n">
        <v>18289.48</v>
      </c>
    </row>
    <row r="7130">
      <c r="A7130" s="39">
        <f>_xlfn.XLOOKUP(17857,Trip[shape_id],Trip[shape_id],"Não encontrado")</f>
        <v/>
      </c>
      <c r="B7130" s="40" t="n">
        <v>-23.490769</v>
      </c>
      <c r="C7130" s="40" t="n">
        <v>-46.462143</v>
      </c>
      <c r="D7130" s="40" t="n">
        <v>111</v>
      </c>
      <c r="E7130" s="41" t="n">
        <v>18310.16</v>
      </c>
    </row>
    <row r="7131">
      <c r="A7131" s="42">
        <f>_xlfn.XLOOKUP(17857,Trip[shape_id],Trip[shape_id],"Não encontrado")</f>
        <v/>
      </c>
      <c r="B7131" s="43" t="n">
        <v>-23.490538</v>
      </c>
      <c r="C7131" s="43" t="n">
        <v>-46.462493</v>
      </c>
      <c r="D7131" s="43" t="n">
        <v>112</v>
      </c>
      <c r="E7131" s="44" t="n">
        <v>18354.123</v>
      </c>
    </row>
    <row r="7132">
      <c r="A7132" s="39">
        <f>_xlfn.XLOOKUP(17857,Trip[shape_id],Trip[shape_id],"Não encontrado")</f>
        <v/>
      </c>
      <c r="B7132" s="40" t="n">
        <v>-23.490323</v>
      </c>
      <c r="C7132" s="40" t="n">
        <v>-46.462745</v>
      </c>
      <c r="D7132" s="40" t="n">
        <v>113</v>
      </c>
      <c r="E7132" s="41" t="n">
        <v>18389.189</v>
      </c>
    </row>
    <row r="7133">
      <c r="A7133" s="42">
        <f>_xlfn.XLOOKUP(17857,Trip[shape_id],Trip[shape_id],"Não encontrado")</f>
        <v/>
      </c>
      <c r="B7133" s="43" t="n">
        <v>-23.490166</v>
      </c>
      <c r="C7133" s="43" t="n">
        <v>-46.462874</v>
      </c>
      <c r="D7133" s="43" t="n">
        <v>114</v>
      </c>
      <c r="E7133" s="44" t="n">
        <v>18411.006</v>
      </c>
    </row>
    <row r="7134">
      <c r="A7134" s="39">
        <f>_xlfn.XLOOKUP(17857,Trip[shape_id],Trip[shape_id],"Não encontrado")</f>
        <v/>
      </c>
      <c r="B7134" s="40" t="n">
        <v>-23.489798</v>
      </c>
      <c r="C7134" s="40" t="n">
        <v>-46.463162</v>
      </c>
      <c r="D7134" s="40" t="n">
        <v>115</v>
      </c>
      <c r="E7134" s="41" t="n">
        <v>18461.271</v>
      </c>
    </row>
    <row r="7135">
      <c r="A7135" s="42">
        <f>_xlfn.XLOOKUP(17857,Trip[shape_id],Trip[shape_id],"Não encontrado")</f>
        <v/>
      </c>
      <c r="B7135" s="43" t="n">
        <v>-23.489204</v>
      </c>
      <c r="C7135" s="43" t="n">
        <v>-46.46343</v>
      </c>
      <c r="D7135" s="43" t="n">
        <v>116</v>
      </c>
      <c r="E7135" s="44" t="n">
        <v>18532.525</v>
      </c>
    </row>
    <row r="7136">
      <c r="A7136" s="39">
        <f>_xlfn.XLOOKUP(17857,Trip[shape_id],Trip[shape_id],"Não encontrado")</f>
        <v/>
      </c>
      <c r="B7136" s="40" t="n">
        <v>-23.488791</v>
      </c>
      <c r="C7136" s="40" t="n">
        <v>-46.463549</v>
      </c>
      <c r="D7136" s="40" t="n">
        <v>117</v>
      </c>
      <c r="E7136" s="41" t="n">
        <v>18579.854</v>
      </c>
    </row>
    <row r="7137">
      <c r="A7137" s="42">
        <f>_xlfn.XLOOKUP(17857,Trip[shape_id],Trip[shape_id],"Não encontrado")</f>
        <v/>
      </c>
      <c r="B7137" s="43" t="n">
        <v>-23.48792</v>
      </c>
      <c r="C7137" s="43" t="n">
        <v>-46.46379</v>
      </c>
      <c r="D7137" s="43" t="n">
        <v>118</v>
      </c>
      <c r="E7137" s="44" t="n">
        <v>18679.41</v>
      </c>
    </row>
    <row r="7138">
      <c r="A7138" s="39">
        <f>_xlfn.XLOOKUP(17857,Trip[shape_id],Trip[shape_id],"Não encontrado")</f>
        <v/>
      </c>
      <c r="B7138" s="40" t="n">
        <v>-23.486958</v>
      </c>
      <c r="C7138" s="40" t="n">
        <v>-46.464128</v>
      </c>
      <c r="D7138" s="40" t="n">
        <v>119</v>
      </c>
      <c r="E7138" s="41" t="n">
        <v>18791.408</v>
      </c>
    </row>
    <row r="7139">
      <c r="A7139" s="42">
        <f>_xlfn.XLOOKUP(17857,Trip[shape_id],Trip[shape_id],"Não encontrado")</f>
        <v/>
      </c>
      <c r="B7139" s="43" t="n">
        <v>-23.486682</v>
      </c>
      <c r="C7139" s="43" t="n">
        <v>-46.464307</v>
      </c>
      <c r="D7139" s="43" t="n">
        <v>120</v>
      </c>
      <c r="E7139" s="44" t="n">
        <v>18827.027</v>
      </c>
    </row>
    <row r="7140">
      <c r="A7140" s="39">
        <f>_xlfn.XLOOKUP(17857,Trip[shape_id],Trip[shape_id],"Não encontrado")</f>
        <v/>
      </c>
      <c r="B7140" s="40" t="n">
        <v>-23.485946</v>
      </c>
      <c r="C7140" s="40" t="n">
        <v>-46.464778</v>
      </c>
      <c r="D7140" s="40" t="n">
        <v>121</v>
      </c>
      <c r="E7140" s="41" t="n">
        <v>18921.68</v>
      </c>
    </row>
    <row r="7141">
      <c r="A7141" s="42">
        <f>_xlfn.XLOOKUP(17857,Trip[shape_id],Trip[shape_id],"Não encontrado")</f>
        <v/>
      </c>
      <c r="B7141" s="43" t="n">
        <v>-23.485579</v>
      </c>
      <c r="C7141" s="43" t="n">
        <v>-46.465013</v>
      </c>
      <c r="D7141" s="43" t="n">
        <v>122</v>
      </c>
      <c r="E7141" s="44" t="n">
        <v>18968.885</v>
      </c>
    </row>
    <row r="7142">
      <c r="A7142" s="39">
        <f>_xlfn.XLOOKUP(17857,Trip[shape_id],Trip[shape_id],"Não encontrado")</f>
        <v/>
      </c>
      <c r="B7142" s="40" t="n">
        <v>-23.485025</v>
      </c>
      <c r="C7142" s="40" t="n">
        <v>-46.465373</v>
      </c>
      <c r="D7142" s="40" t="n">
        <v>123</v>
      </c>
      <c r="E7142" s="41" t="n">
        <v>19040.418</v>
      </c>
    </row>
    <row r="7143">
      <c r="A7143" s="42">
        <f>_xlfn.XLOOKUP(17857,Trip[shape_id],Trip[shape_id],"Não encontrado")</f>
        <v/>
      </c>
      <c r="B7143" s="43" t="n">
        <v>-23.484212</v>
      </c>
      <c r="C7143" s="43" t="n">
        <v>-46.46608</v>
      </c>
      <c r="D7143" s="43" t="n">
        <v>124</v>
      </c>
      <c r="E7143" s="44" t="n">
        <v>19155.844</v>
      </c>
    </row>
    <row r="7144">
      <c r="A7144" s="39">
        <f>_xlfn.XLOOKUP(17857,Trip[shape_id],Trip[shape_id],"Não encontrado")</f>
        <v/>
      </c>
      <c r="B7144" s="40" t="n">
        <v>-23.483815</v>
      </c>
      <c r="C7144" s="40" t="n">
        <v>-46.466608</v>
      </c>
      <c r="D7144" s="40" t="n">
        <v>125</v>
      </c>
      <c r="E7144" s="41" t="n">
        <v>19225.432</v>
      </c>
    </row>
    <row r="7145">
      <c r="A7145" s="42">
        <f>_xlfn.XLOOKUP(17857,Trip[shape_id],Trip[shape_id],"Não encontrado")</f>
        <v/>
      </c>
      <c r="B7145" s="43" t="n">
        <v>-23.483322</v>
      </c>
      <c r="C7145" s="43" t="n">
        <v>-46.467527</v>
      </c>
      <c r="D7145" s="43" t="n">
        <v>126</v>
      </c>
      <c r="E7145" s="44" t="n">
        <v>19334.033</v>
      </c>
    </row>
    <row r="7146">
      <c r="A7146" s="39">
        <f>_xlfn.XLOOKUP(17857,Trip[shape_id],Trip[shape_id],"Não encontrado")</f>
        <v/>
      </c>
      <c r="B7146" s="40" t="n">
        <v>-23.482927</v>
      </c>
      <c r="C7146" s="40" t="n">
        <v>-46.469154</v>
      </c>
      <c r="D7146" s="40" t="n">
        <v>127</v>
      </c>
      <c r="E7146" s="41" t="n">
        <v>19505.898</v>
      </c>
    </row>
    <row r="7147">
      <c r="A7147" s="42">
        <f>_xlfn.XLOOKUP(17857,Trip[shape_id],Trip[shape_id],"Não encontrado")</f>
        <v/>
      </c>
      <c r="B7147" s="43" t="n">
        <v>-23.482628</v>
      </c>
      <c r="C7147" s="43" t="n">
        <v>-46.47046</v>
      </c>
      <c r="D7147" s="43" t="n">
        <v>128</v>
      </c>
      <c r="E7147" s="44" t="n">
        <v>19643.359</v>
      </c>
    </row>
    <row r="7148">
      <c r="A7148" s="39">
        <f>_xlfn.XLOOKUP(17857,Trip[shape_id],Trip[shape_id],"Não encontrado")</f>
        <v/>
      </c>
      <c r="B7148" s="40" t="n">
        <v>-23.482559</v>
      </c>
      <c r="C7148" s="40" t="n">
        <v>-46.471652</v>
      </c>
      <c r="D7148" s="40" t="n">
        <v>129</v>
      </c>
      <c r="E7148" s="41" t="n">
        <v>19765.367</v>
      </c>
    </row>
    <row r="7149">
      <c r="A7149" s="42">
        <f>_xlfn.XLOOKUP(17857,Trip[shape_id],Trip[shape_id],"Não encontrado")</f>
        <v/>
      </c>
      <c r="B7149" s="43" t="n">
        <v>-23.482894</v>
      </c>
      <c r="C7149" s="43" t="n">
        <v>-46.472782</v>
      </c>
      <c r="D7149" s="43" t="n">
        <v>130</v>
      </c>
      <c r="E7149" s="44" t="n">
        <v>19886.617</v>
      </c>
    </row>
    <row r="7150">
      <c r="A7150" s="39">
        <f>_xlfn.XLOOKUP(17857,Trip[shape_id],Trip[shape_id],"Não encontrado")</f>
        <v/>
      </c>
      <c r="B7150" s="40" t="n">
        <v>-23.48339</v>
      </c>
      <c r="C7150" s="40" t="n">
        <v>-46.473868</v>
      </c>
      <c r="D7150" s="40" t="n">
        <v>131</v>
      </c>
      <c r="E7150" s="41" t="n">
        <v>20010.412</v>
      </c>
    </row>
    <row r="7151">
      <c r="A7151" s="42">
        <f>_xlfn.XLOOKUP(17857,Trip[shape_id],Trip[shape_id],"Não encontrado")</f>
        <v/>
      </c>
      <c r="B7151" s="43" t="n">
        <v>-23.483856</v>
      </c>
      <c r="C7151" s="43" t="n">
        <v>-46.474991</v>
      </c>
      <c r="D7151" s="43" t="n">
        <v>132</v>
      </c>
      <c r="E7151" s="44" t="n">
        <v>20136.205</v>
      </c>
    </row>
    <row r="7152">
      <c r="A7152" s="39">
        <f>_xlfn.XLOOKUP(17857,Trip[shape_id],Trip[shape_id],"Não encontrado")</f>
        <v/>
      </c>
      <c r="B7152" s="40" t="n">
        <v>-23.484072</v>
      </c>
      <c r="C7152" s="40" t="n">
        <v>-46.475894</v>
      </c>
      <c r="D7152" s="40" t="n">
        <v>133</v>
      </c>
      <c r="E7152" s="41" t="n">
        <v>20231.502</v>
      </c>
    </row>
    <row r="7153">
      <c r="A7153" s="42">
        <f>_xlfn.XLOOKUP(17857,Trip[shape_id],Trip[shape_id],"Não encontrado")</f>
        <v/>
      </c>
      <c r="B7153" s="43" t="n">
        <v>-23.484246</v>
      </c>
      <c r="C7153" s="43" t="n">
        <v>-46.477015</v>
      </c>
      <c r="D7153" s="43" t="n">
        <v>134</v>
      </c>
      <c r="E7153" s="44" t="n">
        <v>20347.625</v>
      </c>
    </row>
    <row r="7154">
      <c r="A7154" s="39">
        <f>_xlfn.XLOOKUP(17857,Trip[shape_id],Trip[shape_id],"Não encontrado")</f>
        <v/>
      </c>
      <c r="B7154" s="40" t="n">
        <v>-23.484445</v>
      </c>
      <c r="C7154" s="40" t="n">
        <v>-46.478308</v>
      </c>
      <c r="D7154" s="40" t="n">
        <v>135</v>
      </c>
      <c r="E7154" s="41" t="n">
        <v>20481.535</v>
      </c>
    </row>
    <row r="7155">
      <c r="A7155" s="42">
        <f>_xlfn.XLOOKUP(17857,Trip[shape_id],Trip[shape_id],"Não encontrado")</f>
        <v/>
      </c>
      <c r="B7155" s="43" t="n">
        <v>-23.484535</v>
      </c>
      <c r="C7155" s="43" t="n">
        <v>-46.478888</v>
      </c>
      <c r="D7155" s="43" t="n">
        <v>136</v>
      </c>
      <c r="E7155" s="44" t="n">
        <v>20541.617</v>
      </c>
    </row>
    <row r="7156">
      <c r="A7156" s="39">
        <f>_xlfn.XLOOKUP(17857,Trip[shape_id],Trip[shape_id],"Não encontrado")</f>
        <v/>
      </c>
      <c r="B7156" s="40" t="n">
        <v>-23.484628</v>
      </c>
      <c r="C7156" s="40" t="n">
        <v>-46.479282</v>
      </c>
      <c r="D7156" s="40" t="n">
        <v>137</v>
      </c>
      <c r="E7156" s="41" t="n">
        <v>20583.162</v>
      </c>
    </row>
    <row r="7157">
      <c r="A7157" s="42">
        <f>_xlfn.XLOOKUP(17857,Trip[shape_id],Trip[shape_id],"Não encontrado")</f>
        <v/>
      </c>
      <c r="B7157" s="43" t="n">
        <v>-23.484682</v>
      </c>
      <c r="C7157" s="43" t="n">
        <v>-46.479615</v>
      </c>
      <c r="D7157" s="43" t="n">
        <v>138</v>
      </c>
      <c r="E7157" s="44" t="n">
        <v>20617.701</v>
      </c>
    </row>
    <row r="7158">
      <c r="A7158" s="39">
        <f>_xlfn.XLOOKUP(17857,Trip[shape_id],Trip[shape_id],"Não encontrado")</f>
        <v/>
      </c>
      <c r="B7158" s="40" t="n">
        <v>-23.484735</v>
      </c>
      <c r="C7158" s="40" t="n">
        <v>-46.480109</v>
      </c>
      <c r="D7158" s="40" t="n">
        <v>139</v>
      </c>
      <c r="E7158" s="41" t="n">
        <v>20668.504</v>
      </c>
    </row>
    <row r="7159">
      <c r="A7159" s="42">
        <f>_xlfn.XLOOKUP(17857,Trip[shape_id],Trip[shape_id],"Não encontrado")</f>
        <v/>
      </c>
      <c r="B7159" s="43" t="n">
        <v>-23.484853</v>
      </c>
      <c r="C7159" s="43" t="n">
        <v>-46.480714</v>
      </c>
      <c r="D7159" s="43" t="n">
        <v>140</v>
      </c>
      <c r="E7159" s="44" t="n">
        <v>20731.674</v>
      </c>
    </row>
    <row r="7160">
      <c r="A7160" s="39">
        <f>_xlfn.XLOOKUP(17857,Trip[shape_id],Trip[shape_id],"Não encontrado")</f>
        <v/>
      </c>
      <c r="B7160" s="40" t="n">
        <v>-23.484896</v>
      </c>
      <c r="C7160" s="40" t="n">
        <v>-46.48096</v>
      </c>
      <c r="D7160" s="40" t="n">
        <v>141</v>
      </c>
      <c r="E7160" s="41" t="n">
        <v>20757.25</v>
      </c>
    </row>
    <row r="7161">
      <c r="A7161" s="42">
        <f>_xlfn.XLOOKUP(17857,Trip[shape_id],Trip[shape_id],"Não encontrado")</f>
        <v/>
      </c>
      <c r="B7161" s="43" t="n">
        <v>-23.485103</v>
      </c>
      <c r="C7161" s="43" t="n">
        <v>-46.48237</v>
      </c>
      <c r="D7161" s="43" t="n">
        <v>142</v>
      </c>
      <c r="E7161" s="44" t="n">
        <v>20903.098</v>
      </c>
    </row>
    <row r="7162">
      <c r="A7162" s="39">
        <f>_xlfn.XLOOKUP(17857,Trip[shape_id],Trip[shape_id],"Não encontrado")</f>
        <v/>
      </c>
      <c r="B7162" s="40" t="n">
        <v>-23.485123</v>
      </c>
      <c r="C7162" s="40" t="n">
        <v>-46.482486</v>
      </c>
      <c r="D7162" s="40" t="n">
        <v>143</v>
      </c>
      <c r="E7162" s="41" t="n">
        <v>21033.482</v>
      </c>
    </row>
    <row r="7163">
      <c r="A7163" s="42">
        <f>_xlfn.XLOOKUP(17857,Trip[shape_id],Trip[shape_id],"Não encontrado")</f>
        <v/>
      </c>
      <c r="B7163" s="43" t="n">
        <v>-23.485341</v>
      </c>
      <c r="C7163" s="43" t="n">
        <v>-46.48362</v>
      </c>
      <c r="D7163" s="43" t="n">
        <v>144</v>
      </c>
      <c r="E7163" s="44" t="n">
        <v>21074.369</v>
      </c>
    </row>
    <row r="7164">
      <c r="A7164" s="39">
        <f>_xlfn.XLOOKUP(17857,Trip[shape_id],Trip[shape_id],"Não encontrado")</f>
        <v/>
      </c>
      <c r="B7164" s="40" t="n">
        <v>-23.485406</v>
      </c>
      <c r="C7164" s="40" t="n">
        <v>-46.484014</v>
      </c>
      <c r="D7164" s="40" t="n">
        <v>145</v>
      </c>
      <c r="E7164" s="41" t="n">
        <v>21133.762</v>
      </c>
    </row>
    <row r="7165">
      <c r="A7165" s="42">
        <f>_xlfn.XLOOKUP(17857,Trip[shape_id],Trip[shape_id],"Não encontrado")</f>
        <v/>
      </c>
      <c r="B7165" s="43" t="n">
        <v>-23.485426</v>
      </c>
      <c r="C7165" s="43" t="n">
        <v>-46.484595</v>
      </c>
      <c r="D7165" s="43" t="n">
        <v>146</v>
      </c>
      <c r="E7165" s="44" t="n">
        <v>21208.803</v>
      </c>
    </row>
    <row r="7166">
      <c r="A7166" s="39">
        <f>_xlfn.XLOOKUP(17857,Trip[shape_id],Trip[shape_id],"Não encontrado")</f>
        <v/>
      </c>
      <c r="B7166" s="40" t="n">
        <v>-23.485369</v>
      </c>
      <c r="C7166" s="40" t="n">
        <v>-46.485327</v>
      </c>
      <c r="D7166" s="40" t="n">
        <v>147</v>
      </c>
      <c r="E7166" s="41" t="n">
        <v>21437.393</v>
      </c>
    </row>
    <row r="7167">
      <c r="A7167" s="42">
        <f>_xlfn.XLOOKUP(17857,Trip[shape_id],Trip[shape_id],"Não encontrado")</f>
        <v/>
      </c>
      <c r="B7167" s="43" t="n">
        <v>-23.484932</v>
      </c>
      <c r="C7167" s="43" t="n">
        <v>-46.487514</v>
      </c>
      <c r="D7167" s="43" t="n">
        <v>148</v>
      </c>
      <c r="E7167" s="44" t="n">
        <v>21544.42</v>
      </c>
    </row>
    <row r="7168">
      <c r="A7168" s="39">
        <f>_xlfn.XLOOKUP(17857,Trip[shape_id],Trip[shape_id],"Não encontrado")</f>
        <v/>
      </c>
      <c r="B7168" s="40" t="n">
        <v>-23.484569</v>
      </c>
      <c r="C7168" s="40" t="n">
        <v>-46.488485</v>
      </c>
      <c r="D7168" s="40" t="n">
        <v>149</v>
      </c>
      <c r="E7168" s="41" t="n">
        <v>21795.133</v>
      </c>
    </row>
    <row r="7169">
      <c r="A7169" s="42">
        <f>_xlfn.XLOOKUP(17857,Trip[shape_id],Trip[shape_id],"Não encontrado")</f>
        <v/>
      </c>
      <c r="B7169" s="43" t="n">
        <v>-23.48327</v>
      </c>
      <c r="C7169" s="43" t="n">
        <v>-46.490495</v>
      </c>
      <c r="D7169" s="43" t="n">
        <v>150</v>
      </c>
      <c r="E7169" s="44" t="n">
        <v>21865.793</v>
      </c>
    </row>
    <row r="7170">
      <c r="A7170" s="39">
        <f>_xlfn.XLOOKUP(17857,Trip[shape_id],Trip[shape_id],"Não encontrado")</f>
        <v/>
      </c>
      <c r="B7170" s="40" t="n">
        <v>-23.48294</v>
      </c>
      <c r="C7170" s="40" t="n">
        <v>-46.491087</v>
      </c>
      <c r="D7170" s="40" t="n">
        <v>151</v>
      </c>
      <c r="E7170" s="41" t="n">
        <v>21951.266</v>
      </c>
    </row>
    <row r="7171">
      <c r="A7171" s="42">
        <f>_xlfn.XLOOKUP(17857,Trip[shape_id],Trip[shape_id],"Não encontrado")</f>
        <v/>
      </c>
      <c r="B7171" s="43" t="n">
        <v>-23.482656</v>
      </c>
      <c r="C7171" s="43" t="n">
        <v>-46.491865</v>
      </c>
      <c r="D7171" s="43" t="n">
        <v>152</v>
      </c>
      <c r="E7171" s="44" t="n">
        <v>21976.041</v>
      </c>
    </row>
    <row r="7172">
      <c r="A7172" s="39">
        <f>_xlfn.XLOOKUP(17857,Trip[shape_id],Trip[shape_id],"Não encontrado")</f>
        <v/>
      </c>
      <c r="B7172" s="40" t="n">
        <v>-23.482613</v>
      </c>
      <c r="C7172" s="40" t="n">
        <v>-46.492103</v>
      </c>
      <c r="D7172" s="40" t="n">
        <v>153</v>
      </c>
      <c r="E7172" s="41" t="n">
        <v>22002.664</v>
      </c>
    </row>
    <row r="7173">
      <c r="A7173" s="42">
        <f>_xlfn.XLOOKUP(17857,Trip[shape_id],Trip[shape_id],"Não encontrado")</f>
        <v/>
      </c>
      <c r="B7173" s="43" t="n">
        <v>-23.482579</v>
      </c>
      <c r="C7173" s="43" t="n">
        <v>-46.492361</v>
      </c>
      <c r="D7173" s="43" t="n">
        <v>154</v>
      </c>
      <c r="E7173" s="44" t="n">
        <v>22040.277</v>
      </c>
    </row>
    <row r="7174">
      <c r="A7174" s="39">
        <f>_xlfn.XLOOKUP(17857,Trip[shape_id],Trip[shape_id],"Não encontrado")</f>
        <v/>
      </c>
      <c r="B7174" s="40" t="n">
        <v>-23.482568</v>
      </c>
      <c r="C7174" s="40" t="n">
        <v>-46.492729</v>
      </c>
      <c r="D7174" s="40" t="n">
        <v>155</v>
      </c>
      <c r="E7174" s="41" t="n">
        <v>22082.988</v>
      </c>
    </row>
    <row r="7175">
      <c r="A7175" s="42">
        <f>_xlfn.XLOOKUP(17857,Trip[shape_id],Trip[shape_id],"Não encontrado")</f>
        <v/>
      </c>
      <c r="B7175" s="43" t="n">
        <v>-23.482596</v>
      </c>
      <c r="C7175" s="43" t="n">
        <v>-46.493146</v>
      </c>
      <c r="D7175" s="43" t="n">
        <v>156</v>
      </c>
      <c r="E7175" s="44" t="n">
        <v>22124.52</v>
      </c>
    </row>
    <row r="7176">
      <c r="A7176" s="39">
        <f>_xlfn.XLOOKUP(17857,Trip[shape_id],Trip[shape_id],"Não encontrado")</f>
        <v/>
      </c>
      <c r="B7176" s="40" t="n">
        <v>-23.482652</v>
      </c>
      <c r="C7176" s="40" t="n">
        <v>-46.493548</v>
      </c>
      <c r="D7176" s="40" t="n">
        <v>157</v>
      </c>
      <c r="E7176" s="41" t="n">
        <v>22178.488</v>
      </c>
    </row>
    <row r="7177">
      <c r="A7177" s="42">
        <f>_xlfn.XLOOKUP(17857,Trip[shape_id],Trip[shape_id],"Não encontrado")</f>
        <v/>
      </c>
      <c r="B7177" s="43" t="n">
        <v>-23.482801</v>
      </c>
      <c r="C7177" s="43" t="n">
        <v>-46.494051</v>
      </c>
      <c r="D7177" s="43" t="n">
        <v>158</v>
      </c>
      <c r="E7177" s="44" t="n">
        <v>22216.002</v>
      </c>
    </row>
    <row r="7178">
      <c r="A7178" s="39">
        <f>_xlfn.XLOOKUP(17857,Trip[shape_id],Trip[shape_id],"Não encontrado")</f>
        <v/>
      </c>
      <c r="B7178" s="40" t="n">
        <v>-23.482929</v>
      </c>
      <c r="C7178" s="40" t="n">
        <v>-46.494391</v>
      </c>
      <c r="D7178" s="40" t="n">
        <v>159</v>
      </c>
      <c r="E7178" s="41" t="n">
        <v>22260.607</v>
      </c>
    </row>
    <row r="7179">
      <c r="A7179" s="42">
        <f>_xlfn.XLOOKUP(17857,Trip[shape_id],Trip[shape_id],"Não encontrado")</f>
        <v/>
      </c>
      <c r="B7179" s="43" t="n">
        <v>-23.483119</v>
      </c>
      <c r="C7179" s="43" t="n">
        <v>-46.494776</v>
      </c>
      <c r="D7179" s="43" t="n">
        <v>160</v>
      </c>
      <c r="E7179" s="44" t="n">
        <v>22308.744</v>
      </c>
    </row>
    <row r="7180">
      <c r="A7180" s="39">
        <f>_xlfn.XLOOKUP(17857,Trip[shape_id],Trip[shape_id],"Não encontrado")</f>
        <v/>
      </c>
      <c r="B7180" s="40" t="n">
        <v>-23.483356</v>
      </c>
      <c r="C7180" s="40" t="n">
        <v>-46.495171</v>
      </c>
      <c r="D7180" s="40" t="n">
        <v>161</v>
      </c>
      <c r="E7180" s="41" t="n">
        <v>22343.029</v>
      </c>
    </row>
    <row r="7181">
      <c r="A7181" s="42">
        <f>_xlfn.XLOOKUP(17857,Trip[shape_id],Trip[shape_id],"Não encontrado")</f>
        <v/>
      </c>
      <c r="B7181" s="43" t="n">
        <v>-23.483554</v>
      </c>
      <c r="C7181" s="43" t="n">
        <v>-46.495429</v>
      </c>
      <c r="D7181" s="43" t="n">
        <v>162</v>
      </c>
      <c r="E7181" s="44" t="n">
        <v>22379.072</v>
      </c>
    </row>
    <row r="7182">
      <c r="A7182" s="39">
        <f>_xlfn.XLOOKUP(17857,Trip[shape_id],Trip[shape_id],"Não encontrado")</f>
        <v/>
      </c>
      <c r="B7182" s="40" t="n">
        <v>-23.483773</v>
      </c>
      <c r="C7182" s="40" t="n">
        <v>-46.49569</v>
      </c>
      <c r="D7182" s="40" t="n">
        <v>163</v>
      </c>
      <c r="E7182" s="41" t="n">
        <v>22456.756</v>
      </c>
    </row>
    <row r="7183">
      <c r="A7183" s="42">
        <f>_xlfn.XLOOKUP(17857,Trip[shape_id],Trip[shape_id],"Não encontrado")</f>
        <v/>
      </c>
      <c r="B7183" s="43" t="n">
        <v>-23.484265</v>
      </c>
      <c r="C7183" s="43" t="n">
        <v>-46.496232</v>
      </c>
      <c r="D7183" s="43" t="n">
        <v>164</v>
      </c>
      <c r="E7183" s="44" t="n">
        <v>22566.539</v>
      </c>
    </row>
    <row r="7184">
      <c r="A7184" s="39">
        <f>_xlfn.XLOOKUP(17857,Trip[shape_id],Trip[shape_id],"Não encontrado")</f>
        <v/>
      </c>
      <c r="B7184" s="40" t="n">
        <v>-23.484932</v>
      </c>
      <c r="C7184" s="40" t="n">
        <v>-46.497027</v>
      </c>
      <c r="D7184" s="40" t="n">
        <v>165</v>
      </c>
      <c r="E7184" s="41" t="n">
        <v>22601.09</v>
      </c>
    </row>
    <row r="7185">
      <c r="A7185" s="42">
        <f>_xlfn.XLOOKUP(17857,Trip[shape_id],Trip[shape_id],"Não encontrado")</f>
        <v/>
      </c>
      <c r="B7185" s="43" t="n">
        <v>-23.4851</v>
      </c>
      <c r="C7185" s="43" t="n">
        <v>-46.497312</v>
      </c>
      <c r="D7185" s="43" t="n">
        <v>166</v>
      </c>
      <c r="E7185" s="44" t="n">
        <v>22628.531</v>
      </c>
    </row>
    <row r="7186">
      <c r="A7186" s="39">
        <f>_xlfn.XLOOKUP(17857,Trip[shape_id],Trip[shape_id],"Não encontrado")</f>
        <v/>
      </c>
      <c r="B7186" s="40" t="n">
        <v>-23.485228</v>
      </c>
      <c r="C7186" s="40" t="n">
        <v>-46.497542</v>
      </c>
      <c r="D7186" s="40" t="n">
        <v>167</v>
      </c>
      <c r="E7186" s="41" t="n">
        <v>22658.377</v>
      </c>
    </row>
    <row r="7187">
      <c r="A7187" s="42">
        <f>_xlfn.XLOOKUP(17857,Trip[shape_id],Trip[shape_id],"Não encontrado")</f>
        <v/>
      </c>
      <c r="B7187" s="43" t="n">
        <v>-23.485319</v>
      </c>
      <c r="C7187" s="43" t="n">
        <v>-46.497817</v>
      </c>
      <c r="D7187" s="43" t="n">
        <v>168</v>
      </c>
      <c r="E7187" s="44" t="n">
        <v>22696.213</v>
      </c>
    </row>
    <row r="7188">
      <c r="A7188" s="39">
        <f>_xlfn.XLOOKUP(17857,Trip[shape_id],Trip[shape_id],"Não encontrado")</f>
        <v/>
      </c>
      <c r="B7188" s="40" t="n">
        <v>-23.48541</v>
      </c>
      <c r="C7188" s="40" t="n">
        <v>-46.498174</v>
      </c>
      <c r="D7188" s="40" t="n">
        <v>169</v>
      </c>
      <c r="E7188" s="41" t="n">
        <v>22723.9</v>
      </c>
    </row>
    <row r="7189">
      <c r="A7189" s="42">
        <f>_xlfn.XLOOKUP(17857,Trip[shape_id],Trip[shape_id],"Não encontrado")</f>
        <v/>
      </c>
      <c r="B7189" s="43" t="n">
        <v>-23.485453</v>
      </c>
      <c r="C7189" s="43" t="n">
        <v>-46.498441</v>
      </c>
      <c r="D7189" s="43" t="n">
        <v>170</v>
      </c>
      <c r="E7189" s="44" t="n">
        <v>22790.047</v>
      </c>
    </row>
    <row r="7190">
      <c r="A7190" s="39">
        <f>_xlfn.XLOOKUP(17857,Trip[shape_id],Trip[shape_id],"Não encontrado")</f>
        <v/>
      </c>
      <c r="B7190" s="40" t="n">
        <v>-23.485477</v>
      </c>
      <c r="C7190" s="40" t="n">
        <v>-46.499088</v>
      </c>
      <c r="D7190" s="40" t="n">
        <v>171</v>
      </c>
      <c r="E7190" s="41" t="n">
        <v>22953.494</v>
      </c>
    </row>
    <row r="7191">
      <c r="A7191" s="42">
        <f>_xlfn.XLOOKUP(17857,Trip[shape_id],Trip[shape_id],"Não encontrado")</f>
        <v/>
      </c>
      <c r="B7191" s="43" t="n">
        <v>-23.485488</v>
      </c>
      <c r="C7191" s="43" t="n">
        <v>-46.500688</v>
      </c>
      <c r="D7191" s="43" t="n">
        <v>172</v>
      </c>
      <c r="E7191" s="44" t="n">
        <v>22953.494</v>
      </c>
    </row>
    <row r="7192">
      <c r="A7192" s="39">
        <f>_xlfn.XLOOKUP(17857,Trip[shape_id],Trip[shape_id],"Não encontrado")</f>
        <v/>
      </c>
      <c r="B7192" s="40" t="n">
        <v>-23.485497</v>
      </c>
      <c r="C7192" s="40" t="n">
        <v>-46.501154</v>
      </c>
      <c r="D7192" s="40" t="n">
        <v>173</v>
      </c>
      <c r="E7192" s="41" t="n">
        <v>23129.074</v>
      </c>
    </row>
    <row r="7193">
      <c r="A7193" s="42">
        <f>_xlfn.XLOOKUP(17857,Trip[shape_id],Trip[shape_id],"Não encontrado")</f>
        <v/>
      </c>
      <c r="B7193" s="43" t="n">
        <v>-23.485458</v>
      </c>
      <c r="C7193" s="43" t="n">
        <v>-46.502406</v>
      </c>
      <c r="D7193" s="43" t="n">
        <v>174</v>
      </c>
      <c r="E7193" s="44" t="n">
        <v>23185.953</v>
      </c>
    </row>
    <row r="7194">
      <c r="A7194" s="39">
        <f>_xlfn.XLOOKUP(17857,Trip[shape_id],Trip[shape_id],"Não encontrado")</f>
        <v/>
      </c>
      <c r="B7194" s="40" t="n">
        <v>-23.485554</v>
      </c>
      <c r="C7194" s="40" t="n">
        <v>-46.502953</v>
      </c>
      <c r="D7194" s="40" t="n">
        <v>175</v>
      </c>
      <c r="E7194" s="41" t="n">
        <v>23263.473</v>
      </c>
    </row>
    <row r="7195">
      <c r="A7195" s="42">
        <f>_xlfn.XLOOKUP(17857,Trip[shape_id],Trip[shape_id],"Não encontrado")</f>
        <v/>
      </c>
      <c r="B7195" s="43" t="n">
        <v>-23.485813</v>
      </c>
      <c r="C7195" s="43" t="n">
        <v>-46.503658</v>
      </c>
      <c r="D7195" s="43" t="n">
        <v>176</v>
      </c>
      <c r="E7195" s="44" t="n">
        <v>23349.01</v>
      </c>
    </row>
    <row r="7196">
      <c r="A7196" s="39">
        <f>_xlfn.XLOOKUP(17857,Trip[shape_id],Trip[shape_id],"Não encontrado")</f>
        <v/>
      </c>
      <c r="B7196" s="40" t="n">
        <v>-23.486293</v>
      </c>
      <c r="C7196" s="40" t="n">
        <v>-46.504314</v>
      </c>
      <c r="D7196" s="40" t="n">
        <v>177</v>
      </c>
      <c r="E7196" s="41" t="n">
        <v>23437.482</v>
      </c>
    </row>
    <row r="7197">
      <c r="A7197" s="42">
        <f>_xlfn.XLOOKUP(17857,Trip[shape_id],Trip[shape_id],"Não encontrado")</f>
        <v/>
      </c>
      <c r="B7197" s="43" t="n">
        <v>-23.486942</v>
      </c>
      <c r="C7197" s="43" t="n">
        <v>-46.504819</v>
      </c>
      <c r="D7197" s="43" t="n">
        <v>178</v>
      </c>
      <c r="E7197" s="44" t="n">
        <v>23739.748</v>
      </c>
    </row>
    <row r="7198">
      <c r="A7198" s="39">
        <f>_xlfn.XLOOKUP(17857,Trip[shape_id],Trip[shape_id],"Não encontrado")</f>
        <v/>
      </c>
      <c r="B7198" s="40" t="n">
        <v>-23.489507</v>
      </c>
      <c r="C7198" s="40" t="n">
        <v>-46.50583</v>
      </c>
      <c r="D7198" s="40" t="n">
        <v>179</v>
      </c>
      <c r="E7198" s="41" t="n">
        <v>23909.57</v>
      </c>
    </row>
    <row r="7199">
      <c r="A7199" s="42">
        <f>_xlfn.XLOOKUP(17857,Trip[shape_id],Trip[shape_id],"Não encontrado")</f>
        <v/>
      </c>
      <c r="B7199" s="43" t="n">
        <v>-23.490955</v>
      </c>
      <c r="C7199" s="43" t="n">
        <v>-46.506377</v>
      </c>
      <c r="D7199" s="43" t="n">
        <v>180</v>
      </c>
      <c r="E7199" s="44" t="n">
        <v>23996.094</v>
      </c>
    </row>
    <row r="7200">
      <c r="A7200" s="39">
        <f>_xlfn.XLOOKUP(17857,Trip[shape_id],Trip[shape_id],"Não encontrado")</f>
        <v/>
      </c>
      <c r="B7200" s="40" t="n">
        <v>-23.491692</v>
      </c>
      <c r="C7200" s="40" t="n">
        <v>-46.506658</v>
      </c>
      <c r="D7200" s="40" t="n">
        <v>181</v>
      </c>
      <c r="E7200" s="41" t="n">
        <v>24060.068</v>
      </c>
    </row>
    <row r="7201">
      <c r="A7201" s="42">
        <f>_xlfn.XLOOKUP(17857,Trip[shape_id],Trip[shape_id],"Não encontrado")</f>
        <v/>
      </c>
      <c r="B7201" s="43" t="n">
        <v>-23.49223</v>
      </c>
      <c r="C7201" s="43" t="n">
        <v>-46.506886</v>
      </c>
      <c r="D7201" s="43" t="n">
        <v>182</v>
      </c>
      <c r="E7201" s="44" t="n">
        <v>24115.906</v>
      </c>
    </row>
    <row r="7202">
      <c r="A7202" s="39">
        <f>_xlfn.XLOOKUP(17857,Trip[shape_id],Trip[shape_id],"Não encontrado")</f>
        <v/>
      </c>
      <c r="B7202" s="40" t="n">
        <v>-23.492673</v>
      </c>
      <c r="C7202" s="40" t="n">
        <v>-46.507147</v>
      </c>
      <c r="D7202" s="40" t="n">
        <v>183</v>
      </c>
      <c r="E7202" s="41" t="n">
        <v>24199.709</v>
      </c>
    </row>
    <row r="7203">
      <c r="A7203" s="42">
        <f>_xlfn.XLOOKUP(17857,Trip[shape_id],Trip[shape_id],"Não encontrado")</f>
        <v/>
      </c>
      <c r="B7203" s="43" t="n">
        <v>-23.493226</v>
      </c>
      <c r="C7203" s="43" t="n">
        <v>-46.507707</v>
      </c>
      <c r="D7203" s="43" t="n">
        <v>184</v>
      </c>
      <c r="E7203" s="44" t="n">
        <v>24366.65</v>
      </c>
    </row>
    <row r="7204">
      <c r="A7204" s="39">
        <f>_xlfn.XLOOKUP(17857,Trip[shape_id],Trip[shape_id],"Não encontrado")</f>
        <v/>
      </c>
      <c r="B7204" s="40" t="n">
        <v>-23.49434</v>
      </c>
      <c r="C7204" s="40" t="n">
        <v>-46.508808</v>
      </c>
      <c r="D7204" s="40" t="n">
        <v>185</v>
      </c>
      <c r="E7204" s="41" t="n">
        <v>24488.178</v>
      </c>
    </row>
    <row r="7205">
      <c r="A7205" s="42">
        <f>_xlfn.XLOOKUP(17857,Trip[shape_id],Trip[shape_id],"Não encontrado")</f>
        <v/>
      </c>
      <c r="B7205" s="43" t="n">
        <v>-23.495118</v>
      </c>
      <c r="C7205" s="43" t="n">
        <v>-46.509647</v>
      </c>
      <c r="D7205" s="43" t="n">
        <v>186</v>
      </c>
      <c r="E7205" s="44" t="n">
        <v>24539.17</v>
      </c>
    </row>
    <row r="7206">
      <c r="A7206" s="39">
        <f>_xlfn.XLOOKUP(17857,Trip[shape_id],Trip[shape_id],"Não encontrado")</f>
        <v/>
      </c>
      <c r="B7206" s="40" t="n">
        <v>-23.495382</v>
      </c>
      <c r="C7206" s="40" t="n">
        <v>-46.510056</v>
      </c>
      <c r="D7206" s="40" t="n">
        <v>187</v>
      </c>
      <c r="E7206" s="41" t="n">
        <v>24580.521</v>
      </c>
    </row>
    <row r="7207">
      <c r="A7207" s="42">
        <f>_xlfn.XLOOKUP(17857,Trip[shape_id],Trip[shape_id],"Não encontrado")</f>
        <v/>
      </c>
      <c r="B7207" s="43" t="n">
        <v>-23.495593</v>
      </c>
      <c r="C7207" s="43" t="n">
        <v>-46.51039</v>
      </c>
      <c r="D7207" s="43" t="n">
        <v>188</v>
      </c>
      <c r="E7207" s="44" t="n">
        <v>24640.506</v>
      </c>
    </row>
    <row r="7208">
      <c r="A7208" s="39">
        <f>_xlfn.XLOOKUP(17857,Trip[shape_id],Trip[shape_id],"Não encontrado")</f>
        <v/>
      </c>
      <c r="B7208" s="40" t="n">
        <v>-23.495808</v>
      </c>
      <c r="C7208" s="40" t="n">
        <v>-46.510929</v>
      </c>
      <c r="D7208" s="40" t="n">
        <v>189</v>
      </c>
      <c r="E7208" s="41" t="n">
        <v>24741.326</v>
      </c>
    </row>
    <row r="7209">
      <c r="A7209" s="42">
        <f>_xlfn.XLOOKUP(17857,Trip[shape_id],Trip[shape_id],"Não encontrado")</f>
        <v/>
      </c>
      <c r="B7209" s="43" t="n">
        <v>-23.496045</v>
      </c>
      <c r="C7209" s="43" t="n">
        <v>-46.511882</v>
      </c>
      <c r="D7209" s="43" t="n">
        <v>190</v>
      </c>
      <c r="E7209" s="44" t="n">
        <v>24807.555</v>
      </c>
    </row>
    <row r="7210">
      <c r="A7210" s="39">
        <f>_xlfn.XLOOKUP(17857,Trip[shape_id],Trip[shape_id],"Não encontrado")</f>
        <v/>
      </c>
      <c r="B7210" s="40" t="n">
        <v>-23.496106</v>
      </c>
      <c r="C7210" s="40" t="n">
        <v>-46.512527</v>
      </c>
      <c r="D7210" s="40" t="n">
        <v>191</v>
      </c>
      <c r="E7210" s="41" t="n">
        <v>24913.074</v>
      </c>
    </row>
    <row r="7211">
      <c r="A7211" s="42">
        <f>_xlfn.XLOOKUP(17857,Trip[shape_id],Trip[shape_id],"Não encontrado")</f>
        <v/>
      </c>
      <c r="B7211" s="43" t="n">
        <v>-23.496166</v>
      </c>
      <c r="C7211" s="43" t="n">
        <v>-46.513558</v>
      </c>
      <c r="D7211" s="43" t="n">
        <v>192</v>
      </c>
      <c r="E7211" s="44" t="n">
        <v>25017.742</v>
      </c>
    </row>
    <row r="7212">
      <c r="A7212" s="39">
        <f>_xlfn.XLOOKUP(17857,Trip[shape_id],Trip[shape_id],"Não encontrado")</f>
        <v/>
      </c>
      <c r="B7212" s="40" t="n">
        <v>-23.496201</v>
      </c>
      <c r="C7212" s="40" t="n">
        <v>-46.514582</v>
      </c>
      <c r="D7212" s="40" t="n">
        <v>193</v>
      </c>
      <c r="E7212" s="41" t="n">
        <v>25133.027</v>
      </c>
    </row>
    <row r="7213">
      <c r="A7213" s="42">
        <f>_xlfn.XLOOKUP(17857,Trip[shape_id],Trip[shape_id],"Não encontrado")</f>
        <v/>
      </c>
      <c r="B7213" s="43" t="n">
        <v>-23.496561</v>
      </c>
      <c r="C7213" s="43" t="n">
        <v>-46.515641</v>
      </c>
      <c r="D7213" s="43" t="n">
        <v>194</v>
      </c>
      <c r="E7213" s="44" t="n">
        <v>25262.656</v>
      </c>
    </row>
    <row r="7214">
      <c r="A7214" s="39">
        <f>_xlfn.XLOOKUP(17857,Trip[shape_id],Trip[shape_id],"Não encontrado")</f>
        <v/>
      </c>
      <c r="B7214" s="40" t="n">
        <v>-23.497001</v>
      </c>
      <c r="C7214" s="40" t="n">
        <v>-46.516817</v>
      </c>
      <c r="D7214" s="40" t="n">
        <v>195</v>
      </c>
      <c r="E7214" s="41" t="n">
        <v>25343.076</v>
      </c>
    </row>
    <row r="7215">
      <c r="A7215" s="42">
        <f>_xlfn.XLOOKUP(17857,Trip[shape_id],Trip[shape_id],"Não encontrado")</f>
        <v/>
      </c>
      <c r="B7215" s="43" t="n">
        <v>-23.497273</v>
      </c>
      <c r="C7215" s="43" t="n">
        <v>-46.517547</v>
      </c>
      <c r="D7215" s="43" t="n">
        <v>196</v>
      </c>
      <c r="E7215" s="44" t="n">
        <v>25532.844</v>
      </c>
    </row>
    <row r="7216">
      <c r="A7216" s="39">
        <f>_xlfn.XLOOKUP(17857,Trip[shape_id],Trip[shape_id],"Não encontrado")</f>
        <v/>
      </c>
      <c r="B7216" s="40" t="n">
        <v>-23.49796</v>
      </c>
      <c r="C7216" s="40" t="n">
        <v>-46.519249</v>
      </c>
      <c r="D7216" s="40" t="n">
        <v>197</v>
      </c>
      <c r="E7216" s="41" t="n">
        <v>25621.316</v>
      </c>
    </row>
    <row r="7217">
      <c r="A7217" s="42">
        <f>_xlfn.XLOOKUP(17857,Trip[shape_id],Trip[shape_id],"Não encontrado")</f>
        <v/>
      </c>
      <c r="B7217" s="43" t="n">
        <v>-23.498264</v>
      </c>
      <c r="C7217" s="43" t="n">
        <v>-46.52005</v>
      </c>
      <c r="D7217" s="43" t="n">
        <v>198</v>
      </c>
      <c r="E7217" s="44" t="n">
        <v>25621.316</v>
      </c>
    </row>
    <row r="7218">
      <c r="A7218" s="39">
        <f>_xlfn.XLOOKUP(17857,Trip[shape_id],Trip[shape_id],"Não encontrado")</f>
        <v/>
      </c>
      <c r="B7218" s="40" t="n">
        <v>-23.498601</v>
      </c>
      <c r="C7218" s="40" t="n">
        <v>-46.521026</v>
      </c>
      <c r="D7218" s="40" t="n">
        <v>199</v>
      </c>
      <c r="E7218" s="41" t="n">
        <v>25936.902</v>
      </c>
    </row>
    <row r="7219">
      <c r="A7219" s="42">
        <f>_xlfn.XLOOKUP(17857,Trip[shape_id],Trip[shape_id],"Não encontrado")</f>
        <v/>
      </c>
      <c r="B7219" s="43" t="n">
        <v>-23.499171</v>
      </c>
      <c r="C7219" s="43" t="n">
        <v>-46.522978</v>
      </c>
      <c r="D7219" s="43" t="n">
        <v>200</v>
      </c>
      <c r="E7219" s="44" t="n">
        <v>26024.244</v>
      </c>
    </row>
    <row r="7220">
      <c r="A7220" s="39">
        <f>_xlfn.XLOOKUP(17857,Trip[shape_id],Trip[shape_id],"Não encontrado")</f>
        <v/>
      </c>
      <c r="B7220" s="40" t="n">
        <v>-23.499437</v>
      </c>
      <c r="C7220" s="40" t="n">
        <v>-46.523783</v>
      </c>
      <c r="D7220" s="40" t="n">
        <v>201</v>
      </c>
      <c r="E7220" s="41" t="n">
        <v>26097.791</v>
      </c>
    </row>
    <row r="7221">
      <c r="A7221" s="42">
        <f>_xlfn.XLOOKUP(17857,Trip[shape_id],Trip[shape_id],"Não encontrado")</f>
        <v/>
      </c>
      <c r="B7221" s="43" t="n">
        <v>-23.49965</v>
      </c>
      <c r="C7221" s="43" t="n">
        <v>-46.524465</v>
      </c>
      <c r="D7221" s="43" t="n">
        <v>202</v>
      </c>
      <c r="E7221" s="44" t="n">
        <v>26119.379</v>
      </c>
    </row>
    <row r="7222">
      <c r="A7222" s="39">
        <f>_xlfn.XLOOKUP(17857,Trip[shape_id],Trip[shape_id],"Não encontrado")</f>
        <v/>
      </c>
      <c r="B7222" s="40" t="n">
        <v>-23.499713</v>
      </c>
      <c r="C7222" s="40" t="n">
        <v>-46.524665</v>
      </c>
      <c r="D7222" s="40" t="n">
        <v>203</v>
      </c>
      <c r="E7222" s="41" t="n">
        <v>26142.055</v>
      </c>
    </row>
    <row r="7223">
      <c r="A7223" s="42">
        <f>_xlfn.XLOOKUP(17857,Trip[shape_id],Trip[shape_id],"Não encontrado")</f>
        <v/>
      </c>
      <c r="B7223" s="43" t="n">
        <v>-23.499712</v>
      </c>
      <c r="C7223" s="43" t="n">
        <v>-46.524887</v>
      </c>
      <c r="D7223" s="43" t="n">
        <v>204</v>
      </c>
      <c r="E7223" s="44" t="n">
        <v>26263.504</v>
      </c>
    </row>
    <row r="7224">
      <c r="A7224" s="39">
        <f>_xlfn.XLOOKUP(17857,Trip[shape_id],Trip[shape_id],"Não encontrado")</f>
        <v/>
      </c>
      <c r="B7224" s="40" t="n">
        <v>-23.499705</v>
      </c>
      <c r="C7224" s="40" t="n">
        <v>-46.526076</v>
      </c>
      <c r="D7224" s="40" t="n">
        <v>205</v>
      </c>
      <c r="E7224" s="41" t="n">
        <v>26310.285</v>
      </c>
    </row>
    <row r="7225">
      <c r="A7225" s="42">
        <f>_xlfn.XLOOKUP(17857,Trip[shape_id],Trip[shape_id],"Não encontrado")</f>
        <v/>
      </c>
      <c r="B7225" s="43" t="n">
        <v>-23.499706</v>
      </c>
      <c r="C7225" s="43" t="n">
        <v>-46.526534</v>
      </c>
      <c r="D7225" s="43" t="n">
        <v>206</v>
      </c>
      <c r="E7225" s="44" t="n">
        <v>26573.115</v>
      </c>
    </row>
    <row r="7226">
      <c r="A7226" s="39">
        <f>_xlfn.XLOOKUP(17857,Trip[shape_id],Trip[shape_id],"Não encontrado")</f>
        <v/>
      </c>
      <c r="B7226" s="40" t="n">
        <v>-23.499608</v>
      </c>
      <c r="C7226" s="40" t="n">
        <v>-46.529105</v>
      </c>
      <c r="D7226" s="40" t="n">
        <v>207</v>
      </c>
      <c r="E7226" s="41" t="n">
        <v>26602.941</v>
      </c>
    </row>
    <row r="7227">
      <c r="A7227" s="42">
        <f>_xlfn.XLOOKUP(17857,Trip[shape_id],Trip[shape_id],"Não encontrado")</f>
        <v/>
      </c>
      <c r="B7227" s="43" t="n">
        <v>-23.499608</v>
      </c>
      <c r="C7227" s="43" t="n">
        <v>-46.529397</v>
      </c>
      <c r="D7227" s="43" t="n">
        <v>208</v>
      </c>
      <c r="E7227" s="44" t="n">
        <v>26676.082</v>
      </c>
    </row>
    <row r="7228">
      <c r="A7228" s="39">
        <f>_xlfn.XLOOKUP(17857,Trip[shape_id],Trip[shape_id],"Não encontrado")</f>
        <v/>
      </c>
      <c r="B7228" s="40" t="n">
        <v>-23.499618</v>
      </c>
      <c r="C7228" s="40" t="n">
        <v>-46.530113</v>
      </c>
      <c r="D7228" s="40" t="n">
        <v>209</v>
      </c>
      <c r="E7228" s="41" t="n">
        <v>26727.178</v>
      </c>
    </row>
    <row r="7229">
      <c r="A7229" s="42">
        <f>_xlfn.XLOOKUP(17857,Trip[shape_id],Trip[shape_id],"Não encontrado")</f>
        <v/>
      </c>
      <c r="B7229" s="43" t="n">
        <v>-23.499757</v>
      </c>
      <c r="C7229" s="43" t="n">
        <v>-46.53059</v>
      </c>
      <c r="D7229" s="43" t="n">
        <v>210</v>
      </c>
      <c r="E7229" s="44" t="n">
        <v>26766.646</v>
      </c>
    </row>
    <row r="7230">
      <c r="A7230" s="39">
        <f>_xlfn.XLOOKUP(17857,Trip[shape_id],Trip[shape_id],"Não encontrado")</f>
        <v/>
      </c>
      <c r="B7230" s="40" t="n">
        <v>-23.49991</v>
      </c>
      <c r="C7230" s="40" t="n">
        <v>-46.530939</v>
      </c>
      <c r="D7230" s="40" t="n">
        <v>211</v>
      </c>
      <c r="E7230" s="41" t="n">
        <v>26816.105</v>
      </c>
    </row>
    <row r="7231">
      <c r="A7231" s="42">
        <f>_xlfn.XLOOKUP(17857,Trip[shape_id],Trip[shape_id],"Não encontrado")</f>
        <v/>
      </c>
      <c r="B7231" s="43" t="n">
        <v>-23.500137</v>
      </c>
      <c r="C7231" s="43" t="n">
        <v>-46.531356</v>
      </c>
      <c r="D7231" s="43" t="n">
        <v>212</v>
      </c>
      <c r="E7231" s="44" t="n">
        <v>27001.846</v>
      </c>
    </row>
    <row r="7232">
      <c r="A7232" s="39">
        <f>_xlfn.XLOOKUP(17857,Trip[shape_id],Trip[shape_id],"Não encontrado")</f>
        <v/>
      </c>
      <c r="B7232" s="40" t="n">
        <v>-23.501077</v>
      </c>
      <c r="C7232" s="40" t="n">
        <v>-46.532862</v>
      </c>
      <c r="D7232" s="40" t="n">
        <v>213</v>
      </c>
      <c r="E7232" s="41" t="n">
        <v>27144.281</v>
      </c>
    </row>
    <row r="7233">
      <c r="A7233" s="42">
        <f>_xlfn.XLOOKUP(17857,Trip[shape_id],Trip[shape_id],"Não encontrado")</f>
        <v/>
      </c>
      <c r="B7233" s="43" t="n">
        <v>-23.501752</v>
      </c>
      <c r="C7233" s="43" t="n">
        <v>-46.534049</v>
      </c>
      <c r="D7233" s="43" t="n">
        <v>214</v>
      </c>
      <c r="E7233" s="44" t="n">
        <v>27398.096</v>
      </c>
    </row>
    <row r="7234">
      <c r="A7234" s="39">
        <f>_xlfn.XLOOKUP(17857,Trip[shape_id],Trip[shape_id],"Não encontrado")</f>
        <v/>
      </c>
      <c r="B7234" s="40" t="n">
        <v>-23.502937</v>
      </c>
      <c r="C7234" s="40" t="n">
        <v>-46.536176</v>
      </c>
      <c r="D7234" s="40" t="n">
        <v>215</v>
      </c>
      <c r="E7234" s="41" t="n">
        <v>27581.266</v>
      </c>
    </row>
    <row r="7235">
      <c r="A7235" s="42">
        <f>_xlfn.XLOOKUP(17857,Trip[shape_id],Trip[shape_id],"Não encontrado")</f>
        <v/>
      </c>
      <c r="B7235" s="43" t="n">
        <v>-23.503822</v>
      </c>
      <c r="C7235" s="43" t="n">
        <v>-46.537691</v>
      </c>
      <c r="D7235" s="43" t="n">
        <v>216</v>
      </c>
      <c r="E7235" s="44" t="n">
        <v>27819.867</v>
      </c>
    </row>
    <row r="7236">
      <c r="A7236" s="39">
        <f>_xlfn.XLOOKUP(17857,Trip[shape_id],Trip[shape_id],"Não encontrado")</f>
        <v/>
      </c>
      <c r="B7236" s="40" t="n">
        <v>-23.504977</v>
      </c>
      <c r="C7236" s="40" t="n">
        <v>-46.539663</v>
      </c>
      <c r="D7236" s="40" t="n">
        <v>217</v>
      </c>
      <c r="E7236" s="41" t="n">
        <v>27945.172</v>
      </c>
    </row>
    <row r="7237">
      <c r="A7237" s="42">
        <f>_xlfn.XLOOKUP(17857,Trip[shape_id],Trip[shape_id],"Não encontrado")</f>
        <v/>
      </c>
      <c r="B7237" s="43" t="n">
        <v>-23.505583</v>
      </c>
      <c r="C7237" s="43" t="n">
        <v>-46.540699</v>
      </c>
      <c r="D7237" s="43" t="n">
        <v>218</v>
      </c>
      <c r="E7237" s="44" t="n">
        <v>28060.578</v>
      </c>
    </row>
    <row r="7238">
      <c r="A7238" s="39">
        <f>_xlfn.XLOOKUP(17857,Trip[shape_id],Trip[shape_id],"Não encontrado")</f>
        <v/>
      </c>
      <c r="B7238" s="40" t="n">
        <v>-23.506225</v>
      </c>
      <c r="C7238" s="40" t="n">
        <v>-46.541589</v>
      </c>
      <c r="D7238" s="40" t="n">
        <v>219</v>
      </c>
      <c r="E7238" s="41" t="n">
        <v>28168.926</v>
      </c>
    </row>
    <row r="7239">
      <c r="A7239" s="42">
        <f>_xlfn.XLOOKUP(17857,Trip[shape_id],Trip[shape_id],"Não encontrado")</f>
        <v/>
      </c>
      <c r="B7239" s="43" t="n">
        <v>-23.506972</v>
      </c>
      <c r="C7239" s="43" t="n">
        <v>-46.542274</v>
      </c>
      <c r="D7239" s="43" t="n">
        <v>220</v>
      </c>
      <c r="E7239" s="44" t="n">
        <v>28225.359</v>
      </c>
    </row>
    <row r="7240">
      <c r="A7240" s="39">
        <f>_xlfn.XLOOKUP(17857,Trip[shape_id],Trip[shape_id],"Não encontrado")</f>
        <v/>
      </c>
      <c r="B7240" s="40" t="n">
        <v>-23.50738</v>
      </c>
      <c r="C7240" s="40" t="n">
        <v>-46.542605</v>
      </c>
      <c r="D7240" s="40" t="n">
        <v>221</v>
      </c>
      <c r="E7240" s="41" t="n">
        <v>28267.814</v>
      </c>
    </row>
    <row r="7241">
      <c r="A7241" s="42">
        <f>_xlfn.XLOOKUP(17857,Trip[shape_id],Trip[shape_id],"Não encontrado")</f>
        <v/>
      </c>
      <c r="B7241" s="43" t="n">
        <v>-23.507689</v>
      </c>
      <c r="C7241" s="43" t="n">
        <v>-46.542851</v>
      </c>
      <c r="D7241" s="43" t="n">
        <v>222</v>
      </c>
      <c r="E7241" s="44" t="n">
        <v>28320.303</v>
      </c>
    </row>
    <row r="7242">
      <c r="A7242" s="39">
        <f>_xlfn.XLOOKUP(17857,Trip[shape_id],Trip[shape_id],"Não encontrado")</f>
        <v/>
      </c>
      <c r="B7242" s="40" t="n">
        <v>-23.508067</v>
      </c>
      <c r="C7242" s="40" t="n">
        <v>-46.543161</v>
      </c>
      <c r="D7242" s="40" t="n">
        <v>223</v>
      </c>
      <c r="E7242" s="41" t="n">
        <v>28357.768</v>
      </c>
    </row>
    <row r="7243">
      <c r="A7243" s="42">
        <f>_xlfn.XLOOKUP(17857,Trip[shape_id],Trip[shape_id],"Não encontrado")</f>
        <v/>
      </c>
      <c r="B7243" s="43" t="n">
        <v>-23.508332</v>
      </c>
      <c r="C7243" s="43" t="n">
        <v>-46.543389</v>
      </c>
      <c r="D7243" s="43" t="n">
        <v>224</v>
      </c>
      <c r="E7243" s="44" t="n">
        <v>28396.887</v>
      </c>
    </row>
    <row r="7244">
      <c r="A7244" s="39">
        <f>_xlfn.XLOOKUP(17857,Trip[shape_id],Trip[shape_id],"Não encontrado")</f>
        <v/>
      </c>
      <c r="B7244" s="40" t="n">
        <v>-23.508569</v>
      </c>
      <c r="C7244" s="40" t="n">
        <v>-46.543673</v>
      </c>
      <c r="D7244" s="40" t="n">
        <v>225</v>
      </c>
      <c r="E7244" s="41" t="n">
        <v>28446.002</v>
      </c>
    </row>
    <row r="7245">
      <c r="A7245" s="42">
        <f>_xlfn.XLOOKUP(17857,Trip[shape_id],Trip[shape_id],"Não encontrado")</f>
        <v/>
      </c>
      <c r="B7245" s="43" t="n">
        <v>-23.508831</v>
      </c>
      <c r="C7245" s="43" t="n">
        <v>-46.544061</v>
      </c>
      <c r="D7245" s="43" t="n">
        <v>226</v>
      </c>
      <c r="E7245" s="44" t="n">
        <v>28497.441</v>
      </c>
    </row>
    <row r="7246">
      <c r="A7246" s="39">
        <f>_xlfn.XLOOKUP(17857,Trip[shape_id],Trip[shape_id],"Não encontrado")</f>
        <v/>
      </c>
      <c r="B7246" s="40" t="n">
        <v>-23.509034</v>
      </c>
      <c r="C7246" s="40" t="n">
        <v>-46.544514</v>
      </c>
      <c r="D7246" s="40" t="n">
        <v>227</v>
      </c>
      <c r="E7246" s="41" t="n">
        <v>28543.039</v>
      </c>
    </row>
    <row r="7247">
      <c r="A7247" s="42">
        <f>_xlfn.XLOOKUP(17857,Trip[shape_id],Trip[shape_id],"Não encontrado")</f>
        <v/>
      </c>
      <c r="B7247" s="43" t="n">
        <v>-23.509148</v>
      </c>
      <c r="C7247" s="43" t="n">
        <v>-46.544943</v>
      </c>
      <c r="D7247" s="43" t="n">
        <v>228</v>
      </c>
      <c r="E7247" s="44" t="n">
        <v>28591.043</v>
      </c>
    </row>
    <row r="7248">
      <c r="A7248" s="39">
        <f>_xlfn.XLOOKUP(17857,Trip[shape_id],Trip[shape_id],"Não encontrado")</f>
        <v/>
      </c>
      <c r="B7248" s="40" t="n">
        <v>-23.509197</v>
      </c>
      <c r="C7248" s="40" t="n">
        <v>-46.54541</v>
      </c>
      <c r="D7248" s="40" t="n">
        <v>229</v>
      </c>
      <c r="E7248" s="41" t="n">
        <v>28637.822</v>
      </c>
    </row>
    <row r="7249">
      <c r="A7249" s="42">
        <f>_xlfn.XLOOKUP(17857,Trip[shape_id],Trip[shape_id],"Não encontrado")</f>
        <v/>
      </c>
      <c r="B7249" s="43" t="n">
        <v>-23.509194</v>
      </c>
      <c r="C7249" s="43" t="n">
        <v>-46.545868</v>
      </c>
      <c r="D7249" s="43" t="n">
        <v>230</v>
      </c>
      <c r="E7249" s="44" t="n">
        <v>28672.652</v>
      </c>
    </row>
    <row r="7250">
      <c r="A7250" s="39">
        <f>_xlfn.XLOOKUP(17857,Trip[shape_id],Trip[shape_id],"Não encontrado")</f>
        <v/>
      </c>
      <c r="B7250" s="40" t="n">
        <v>-23.50919</v>
      </c>
      <c r="C7250" s="40" t="n">
        <v>-46.546209</v>
      </c>
      <c r="D7250" s="40" t="n">
        <v>231</v>
      </c>
      <c r="E7250" s="41" t="n">
        <v>28814.703</v>
      </c>
    </row>
    <row r="7251">
      <c r="A7251" s="42">
        <f>_xlfn.XLOOKUP(17857,Trip[shape_id],Trip[shape_id],"Não encontrado")</f>
        <v/>
      </c>
      <c r="B7251" s="43" t="n">
        <v>-23.509063</v>
      </c>
      <c r="C7251" s="43" t="n">
        <v>-46.547593</v>
      </c>
      <c r="D7251" s="43" t="n">
        <v>232</v>
      </c>
      <c r="E7251" s="44" t="n">
        <v>28939.873</v>
      </c>
    </row>
    <row r="7252">
      <c r="A7252" s="39">
        <f>_xlfn.XLOOKUP(17857,Trip[shape_id],Trip[shape_id],"Não encontrado")</f>
        <v/>
      </c>
      <c r="B7252" s="40" t="n">
        <v>-23.508977</v>
      </c>
      <c r="C7252" s="40" t="n">
        <v>-46.548815</v>
      </c>
      <c r="D7252" s="40" t="n">
        <v>233</v>
      </c>
      <c r="E7252" s="41" t="n">
        <v>28985.342</v>
      </c>
    </row>
    <row r="7253">
      <c r="A7253" s="42">
        <f>_xlfn.XLOOKUP(17857,Trip[shape_id],Trip[shape_id],"Não encontrado")</f>
        <v/>
      </c>
      <c r="B7253" s="43" t="n">
        <v>-23.508989</v>
      </c>
      <c r="C7253" s="43" t="n">
        <v>-46.54926</v>
      </c>
      <c r="D7253" s="43" t="n">
        <v>234</v>
      </c>
      <c r="E7253" s="44" t="n">
        <v>29032.746</v>
      </c>
    </row>
    <row r="7254">
      <c r="A7254" s="39">
        <f>_xlfn.XLOOKUP(17857,Trip[shape_id],Trip[shape_id],"Não encontrado")</f>
        <v/>
      </c>
      <c r="B7254" s="40" t="n">
        <v>-23.509078</v>
      </c>
      <c r="C7254" s="40" t="n">
        <v>-46.549714</v>
      </c>
      <c r="D7254" s="40" t="n">
        <v>235</v>
      </c>
      <c r="E7254" s="41" t="n">
        <v>29071.826</v>
      </c>
    </row>
    <row r="7255">
      <c r="A7255" s="42">
        <f>_xlfn.XLOOKUP(17857,Trip[shape_id],Trip[shape_id],"Não encontrado")</f>
        <v/>
      </c>
      <c r="B7255" s="43" t="n">
        <v>-23.509205</v>
      </c>
      <c r="C7255" s="43" t="n">
        <v>-46.550071</v>
      </c>
      <c r="D7255" s="43" t="n">
        <v>236</v>
      </c>
      <c r="E7255" s="44" t="n">
        <v>29103.014</v>
      </c>
    </row>
    <row r="7256">
      <c r="A7256" s="39">
        <f>_xlfn.XLOOKUP(17857,Trip[shape_id],Trip[shape_id],"Não encontrado")</f>
        <v/>
      </c>
      <c r="B7256" s="40" t="n">
        <v>-23.509313</v>
      </c>
      <c r="C7256" s="40" t="n">
        <v>-46.550353</v>
      </c>
      <c r="D7256" s="40" t="n">
        <v>237</v>
      </c>
      <c r="E7256" s="41" t="n">
        <v>29134.494</v>
      </c>
    </row>
    <row r="7257">
      <c r="A7257" s="42">
        <f>_xlfn.XLOOKUP(17857,Trip[shape_id],Trip[shape_id],"Não encontrado")</f>
        <v/>
      </c>
      <c r="B7257" s="43" t="n">
        <v>-23.509455</v>
      </c>
      <c r="C7257" s="43" t="n">
        <v>-46.55062</v>
      </c>
      <c r="D7257" s="43" t="n">
        <v>238</v>
      </c>
      <c r="E7257" s="44" t="n">
        <v>29173.123</v>
      </c>
    </row>
    <row r="7258">
      <c r="A7258" s="39">
        <f>_xlfn.XLOOKUP(17857,Trip[shape_id],Trip[shape_id],"Não encontrado")</f>
        <v/>
      </c>
      <c r="B7258" s="40" t="n">
        <v>-23.50966</v>
      </c>
      <c r="C7258" s="40" t="n">
        <v>-46.550926</v>
      </c>
      <c r="D7258" s="40" t="n">
        <v>239</v>
      </c>
      <c r="E7258" s="41" t="n">
        <v>29198.619</v>
      </c>
    </row>
    <row r="7259">
      <c r="A7259" s="42">
        <f>_xlfn.XLOOKUP(17857,Trip[shape_id],Trip[shape_id],"Não encontrado")</f>
        <v/>
      </c>
      <c r="B7259" s="43" t="n">
        <v>-23.509799</v>
      </c>
      <c r="C7259" s="43" t="n">
        <v>-46.551125</v>
      </c>
      <c r="D7259" s="43" t="n">
        <v>240</v>
      </c>
      <c r="E7259" s="44" t="n">
        <v>29277.01</v>
      </c>
    </row>
    <row r="7260">
      <c r="A7260" s="39">
        <f>_xlfn.XLOOKUP(17857,Trip[shape_id],Trip[shape_id],"Não encontrado")</f>
        <v/>
      </c>
      <c r="B7260" s="40" t="n">
        <v>-23.510245</v>
      </c>
      <c r="C7260" s="40" t="n">
        <v>-46.551721</v>
      </c>
      <c r="D7260" s="40" t="n">
        <v>241</v>
      </c>
      <c r="E7260" s="41" t="n">
        <v>29319.994</v>
      </c>
    </row>
    <row r="7261">
      <c r="A7261" s="42">
        <f>_xlfn.XLOOKUP(17857,Trip[shape_id],Trip[shape_id],"Não encontrado")</f>
        <v/>
      </c>
      <c r="B7261" s="43" t="n">
        <v>-23.510538</v>
      </c>
      <c r="C7261" s="43" t="n">
        <v>-46.551997</v>
      </c>
      <c r="D7261" s="43" t="n">
        <v>242</v>
      </c>
      <c r="E7261" s="44" t="n">
        <v>29361.852</v>
      </c>
    </row>
    <row r="7262">
      <c r="A7262" s="39">
        <f>_xlfn.XLOOKUP(17857,Trip[shape_id],Trip[shape_id],"Não encontrado")</f>
        <v/>
      </c>
      <c r="B7262" s="40" t="n">
        <v>-23.510862</v>
      </c>
      <c r="C7262" s="40" t="n">
        <v>-46.552208</v>
      </c>
      <c r="D7262" s="40" t="n">
        <v>243</v>
      </c>
      <c r="E7262" s="41" t="n">
        <v>29393.449</v>
      </c>
    </row>
    <row r="7263">
      <c r="A7263" s="42">
        <f>_xlfn.XLOOKUP(17857,Trip[shape_id],Trip[shape_id],"Não encontrado")</f>
        <v/>
      </c>
      <c r="B7263" s="43" t="n">
        <v>-23.511115</v>
      </c>
      <c r="C7263" s="43" t="n">
        <v>-46.552351</v>
      </c>
      <c r="D7263" s="43" t="n">
        <v>244</v>
      </c>
      <c r="E7263" s="44" t="n">
        <v>29445.574</v>
      </c>
    </row>
    <row r="7264">
      <c r="A7264" s="39">
        <f>_xlfn.XLOOKUP(17857,Trip[shape_id],Trip[shape_id],"Não encontrado")</f>
        <v/>
      </c>
      <c r="B7264" s="40" t="n">
        <v>-23.511561</v>
      </c>
      <c r="C7264" s="40" t="n">
        <v>-46.552514</v>
      </c>
      <c r="D7264" s="40" t="n">
        <v>245</v>
      </c>
      <c r="E7264" s="41" t="n">
        <v>29493.531</v>
      </c>
    </row>
    <row r="7265">
      <c r="A7265" s="42">
        <f>_xlfn.XLOOKUP(17857,Trip[shape_id],Trip[shape_id],"Não encontrado")</f>
        <v/>
      </c>
      <c r="B7265" s="43" t="n">
        <v>-23.511988</v>
      </c>
      <c r="C7265" s="43" t="n">
        <v>-46.552592</v>
      </c>
      <c r="D7265" s="43" t="n">
        <v>246</v>
      </c>
      <c r="E7265" s="44" t="n">
        <v>29532.207</v>
      </c>
    </row>
    <row r="7266">
      <c r="A7266" s="39">
        <f>_xlfn.XLOOKUP(17857,Trip[shape_id],Trip[shape_id],"Não encontrado")</f>
        <v/>
      </c>
      <c r="B7266" s="40" t="n">
        <v>-23.512337</v>
      </c>
      <c r="C7266" s="40" t="n">
        <v>-46.552579</v>
      </c>
      <c r="D7266" s="40" t="n">
        <v>247</v>
      </c>
      <c r="E7266" s="41" t="n">
        <v>29585.914</v>
      </c>
    </row>
    <row r="7267">
      <c r="A7267" s="42">
        <f>_xlfn.XLOOKUP(17857,Trip[shape_id],Trip[shape_id],"Não encontrado")</f>
        <v/>
      </c>
      <c r="B7267" s="43" t="n">
        <v>-23.51282</v>
      </c>
      <c r="C7267" s="43" t="n">
        <v>-46.552532</v>
      </c>
      <c r="D7267" s="43" t="n">
        <v>248</v>
      </c>
      <c r="E7267" s="44" t="n">
        <v>29637.207</v>
      </c>
    </row>
    <row r="7268">
      <c r="A7268" s="39">
        <f>_xlfn.XLOOKUP(17857,Trip[shape_id],Trip[shape_id],"Não encontrado")</f>
        <v/>
      </c>
      <c r="B7268" s="40" t="n">
        <v>-23.513259</v>
      </c>
      <c r="C7268" s="40" t="n">
        <v>-46.552372</v>
      </c>
      <c r="D7268" s="40" t="n">
        <v>249</v>
      </c>
      <c r="E7268" s="41" t="n">
        <v>29706.58</v>
      </c>
    </row>
    <row r="7269">
      <c r="A7269" s="42">
        <f>_xlfn.XLOOKUP(17857,Trip[shape_id],Trip[shape_id],"Não encontrado")</f>
        <v/>
      </c>
      <c r="B7269" s="43" t="n">
        <v>-23.513807</v>
      </c>
      <c r="C7269" s="43" t="n">
        <v>-46.552043</v>
      </c>
      <c r="D7269" s="43" t="n">
        <v>250</v>
      </c>
      <c r="E7269" s="44" t="n">
        <v>29758.367</v>
      </c>
    </row>
    <row r="7270">
      <c r="A7270" s="39">
        <f>_xlfn.XLOOKUP(17857,Trip[shape_id],Trip[shape_id],"Não encontrado")</f>
        <v/>
      </c>
      <c r="B7270" s="40" t="n">
        <v>-23.514209</v>
      </c>
      <c r="C7270" s="40" t="n">
        <v>-46.551784</v>
      </c>
      <c r="D7270" s="40" t="n">
        <v>251</v>
      </c>
      <c r="E7270" s="41" t="n">
        <v>29836.984</v>
      </c>
    </row>
    <row r="7271">
      <c r="A7271" s="42">
        <f>_xlfn.XLOOKUP(17857,Trip[shape_id],Trip[shape_id],"Não encontrado")</f>
        <v/>
      </c>
      <c r="B7271" s="43" t="n">
        <v>-23.514821</v>
      </c>
      <c r="C7271" s="43" t="n">
        <v>-46.551394</v>
      </c>
      <c r="D7271" s="43" t="n">
        <v>252</v>
      </c>
      <c r="E7271" s="44" t="n">
        <v>29911.953</v>
      </c>
    </row>
    <row r="7272">
      <c r="A7272" s="39">
        <f>_xlfn.XLOOKUP(17857,Trip[shape_id],Trip[shape_id],"Não encontrado")</f>
        <v/>
      </c>
      <c r="B7272" s="40" t="n">
        <v>-23.515418</v>
      </c>
      <c r="C7272" s="40" t="n">
        <v>-46.551048</v>
      </c>
      <c r="D7272" s="40" t="n">
        <v>253</v>
      </c>
      <c r="E7272" s="41" t="n">
        <v>29980.383</v>
      </c>
    </row>
    <row r="7273">
      <c r="A7273" s="42">
        <f>_xlfn.XLOOKUP(17857,Trip[shape_id],Trip[shape_id],"Não encontrado")</f>
        <v/>
      </c>
      <c r="B7273" s="43" t="n">
        <v>-23.515999</v>
      </c>
      <c r="C7273" s="43" t="n">
        <v>-46.55082</v>
      </c>
      <c r="D7273" s="43" t="n">
        <v>254</v>
      </c>
      <c r="E7273" s="44" t="n">
        <v>30022.535</v>
      </c>
    </row>
    <row r="7274">
      <c r="A7274" s="39">
        <f>_xlfn.XLOOKUP(17857,Trip[shape_id],Trip[shape_id],"Não encontrado")</f>
        <v/>
      </c>
      <c r="B7274" s="40" t="n">
        <v>-23.516375</v>
      </c>
      <c r="C7274" s="40" t="n">
        <v>-46.550756</v>
      </c>
      <c r="D7274" s="40" t="n">
        <v>255</v>
      </c>
      <c r="E7274" s="41" t="n">
        <v>30099.971</v>
      </c>
    </row>
    <row r="7275">
      <c r="A7275" s="42">
        <f>_xlfn.XLOOKUP(17857,Trip[shape_id],Trip[shape_id],"Não encontrado")</f>
        <v/>
      </c>
      <c r="B7275" s="43" t="n">
        <v>-23.517073</v>
      </c>
      <c r="C7275" s="43" t="n">
        <v>-46.550712</v>
      </c>
      <c r="D7275" s="43" t="n">
        <v>256</v>
      </c>
      <c r="E7275" s="44" t="n">
        <v>30163.154</v>
      </c>
    </row>
    <row r="7276">
      <c r="A7276" s="39">
        <f>_xlfn.XLOOKUP(17857,Trip[shape_id],Trip[shape_id],"Não encontrado")</f>
        <v/>
      </c>
      <c r="B7276" s="40" t="n">
        <v>-23.517643</v>
      </c>
      <c r="C7276" s="40" t="n">
        <v>-46.550738</v>
      </c>
      <c r="D7276" s="40" t="n">
        <v>257</v>
      </c>
      <c r="E7276" s="41" t="n">
        <v>30208.244</v>
      </c>
    </row>
    <row r="7277">
      <c r="A7277" s="42">
        <f>_xlfn.XLOOKUP(17857,Trip[shape_id],Trip[shape_id],"Não encontrado")</f>
        <v/>
      </c>
      <c r="B7277" s="43" t="n">
        <v>-23.51805</v>
      </c>
      <c r="C7277" s="43" t="n">
        <v>-46.550749</v>
      </c>
      <c r="D7277" s="43" t="n">
        <v>258</v>
      </c>
      <c r="E7277" s="44" t="n">
        <v>30318.117</v>
      </c>
    </row>
    <row r="7278">
      <c r="A7278" s="39">
        <f>_xlfn.XLOOKUP(17857,Trip[shape_id],Trip[shape_id],"Não encontrado")</f>
        <v/>
      </c>
      <c r="B7278" s="40" t="n">
        <v>-23.519042</v>
      </c>
      <c r="C7278" s="40" t="n">
        <v>-46.550762</v>
      </c>
      <c r="D7278" s="40" t="n">
        <v>259</v>
      </c>
      <c r="E7278" s="41" t="n">
        <v>30424.537</v>
      </c>
    </row>
    <row r="7279">
      <c r="A7279" s="42">
        <f>_xlfn.XLOOKUP(17857,Trip[shape_id],Trip[shape_id],"Não encontrado")</f>
        <v/>
      </c>
      <c r="B7279" s="43" t="n">
        <v>-23.520002</v>
      </c>
      <c r="C7279" s="43" t="n">
        <v>-46.550807</v>
      </c>
      <c r="D7279" s="43" t="n">
        <v>260</v>
      </c>
      <c r="E7279" s="44" t="n">
        <v>30486.258</v>
      </c>
    </row>
    <row r="7280">
      <c r="A7280" s="39">
        <f>_xlfn.XLOOKUP(17857,Trip[shape_id],Trip[shape_id],"Não encontrado")</f>
        <v/>
      </c>
      <c r="B7280" s="40" t="n">
        <v>-23.520548</v>
      </c>
      <c r="C7280" s="40" t="n">
        <v>-46.550928</v>
      </c>
      <c r="D7280" s="40" t="n">
        <v>261</v>
      </c>
      <c r="E7280" s="41" t="n">
        <v>30547.846</v>
      </c>
    </row>
    <row r="7281">
      <c r="A7281" s="42">
        <f>_xlfn.XLOOKUP(17857,Trip[shape_id],Trip[shape_id],"Não encontrado")</f>
        <v/>
      </c>
      <c r="B7281" s="43" t="n">
        <v>-23.521081</v>
      </c>
      <c r="C7281" s="43" t="n">
        <v>-46.5511</v>
      </c>
      <c r="D7281" s="43" t="n">
        <v>262</v>
      </c>
      <c r="E7281" s="44" t="n">
        <v>30938.801</v>
      </c>
    </row>
    <row r="7282">
      <c r="A7282" s="39">
        <f>_xlfn.XLOOKUP(17857,Trip[shape_id],Trip[shape_id],"Não encontrado")</f>
        <v/>
      </c>
      <c r="B7282" s="40" t="n">
        <v>-23.524173</v>
      </c>
      <c r="C7282" s="40" t="n">
        <v>-46.552947</v>
      </c>
      <c r="D7282" s="40" t="n">
        <v>263</v>
      </c>
      <c r="E7282" s="41" t="n">
        <v>31000.271</v>
      </c>
    </row>
    <row r="7283">
      <c r="A7283" s="42">
        <f>_xlfn.XLOOKUP(17857,Trip[shape_id],Trip[shape_id],"Não encontrado")</f>
        <v/>
      </c>
      <c r="B7283" s="43" t="n">
        <v>-23.52469</v>
      </c>
      <c r="C7283" s="43" t="n">
        <v>-46.553166</v>
      </c>
      <c r="D7283" s="43" t="n">
        <v>264</v>
      </c>
      <c r="E7283" s="44" t="n">
        <v>31043.949</v>
      </c>
    </row>
    <row r="7284">
      <c r="A7284" s="39">
        <f>_xlfn.XLOOKUP(17857,Trip[shape_id],Trip[shape_id],"Não encontrado")</f>
        <v/>
      </c>
      <c r="B7284" s="40" t="n">
        <v>-23.525068</v>
      </c>
      <c r="C7284" s="40" t="n">
        <v>-46.553288</v>
      </c>
      <c r="D7284" s="40" t="n">
        <v>265</v>
      </c>
      <c r="E7284" s="41" t="n">
        <v>31095.693</v>
      </c>
    </row>
    <row r="7285">
      <c r="A7285" s="42">
        <f>_xlfn.XLOOKUP(17857,Trip[shape_id],Trip[shape_id],"Não encontrado")</f>
        <v/>
      </c>
      <c r="B7285" s="43" t="n">
        <v>-23.525535</v>
      </c>
      <c r="C7285" s="43" t="n">
        <v>-46.553303</v>
      </c>
      <c r="D7285" s="43" t="n">
        <v>266</v>
      </c>
      <c r="E7285" s="44" t="n">
        <v>31176.861</v>
      </c>
    </row>
    <row r="7286">
      <c r="A7286" s="39">
        <f>_xlfn.XLOOKUP(17857,Trip[shape_id],Trip[shape_id],"Não encontrado")</f>
        <v/>
      </c>
      <c r="B7286" s="40" t="n">
        <v>-23.526267</v>
      </c>
      <c r="C7286" s="40" t="n">
        <v>-46.553342</v>
      </c>
      <c r="D7286" s="40" t="n">
        <v>267</v>
      </c>
      <c r="E7286" s="41" t="n">
        <v>31304.227</v>
      </c>
    </row>
    <row r="7287">
      <c r="A7287" s="42">
        <f>_xlfn.XLOOKUP(17857,Trip[shape_id],Trip[shape_id],"Não encontrado")</f>
        <v/>
      </c>
      <c r="B7287" s="43" t="n">
        <v>-23.527417</v>
      </c>
      <c r="C7287" s="43" t="n">
        <v>-46.553335</v>
      </c>
      <c r="D7287" s="43" t="n">
        <v>268</v>
      </c>
      <c r="E7287" s="44" t="n">
        <v>31492.4</v>
      </c>
    </row>
    <row r="7288">
      <c r="A7288" s="39">
        <f>_xlfn.XLOOKUP(17857,Trip[shape_id],Trip[shape_id],"Não encontrado")</f>
        <v/>
      </c>
      <c r="B7288" s="40" t="n">
        <v>-23.529116</v>
      </c>
      <c r="C7288" s="40" t="n">
        <v>-46.553351</v>
      </c>
      <c r="D7288" s="40" t="n">
        <v>269</v>
      </c>
      <c r="E7288" s="41" t="n">
        <v>31595.877</v>
      </c>
    </row>
    <row r="7289">
      <c r="A7289" s="42">
        <f>_xlfn.XLOOKUP(17857,Trip[shape_id],Trip[shape_id],"Não encontrado")</f>
        <v/>
      </c>
      <c r="B7289" s="43" t="n">
        <v>-23.53005</v>
      </c>
      <c r="C7289" s="43" t="n">
        <v>-46.553377</v>
      </c>
      <c r="D7289" s="43" t="n">
        <v>270</v>
      </c>
      <c r="E7289" s="44" t="n">
        <v>31710.299</v>
      </c>
    </row>
    <row r="7290">
      <c r="A7290" s="39">
        <f>_xlfn.XLOOKUP(17857,Trip[shape_id],Trip[shape_id],"Não encontrado")</f>
        <v/>
      </c>
      <c r="B7290" s="40" t="n">
        <v>-23.531083</v>
      </c>
      <c r="C7290" s="40" t="n">
        <v>-46.553359</v>
      </c>
      <c r="D7290" s="40" t="n">
        <v>271</v>
      </c>
      <c r="E7290" s="41" t="n">
        <v>31780.455</v>
      </c>
    </row>
    <row r="7291">
      <c r="A7291" s="42">
        <f>_xlfn.XLOOKUP(17857,Trip[shape_id],Trip[shape_id],"Não encontrado")</f>
        <v/>
      </c>
      <c r="B7291" s="43" t="n">
        <v>-23.531716</v>
      </c>
      <c r="C7291" s="43" t="n">
        <v>-46.553385</v>
      </c>
      <c r="D7291" s="43" t="n">
        <v>272</v>
      </c>
      <c r="E7291" s="44" t="n">
        <v>31845.904</v>
      </c>
    </row>
    <row r="7292">
      <c r="A7292" s="39">
        <f>_xlfn.XLOOKUP(17857,Trip[shape_id],Trip[shape_id],"Não encontrado")</f>
        <v/>
      </c>
      <c r="B7292" s="40" t="n">
        <v>-23.532305</v>
      </c>
      <c r="C7292" s="40" t="n">
        <v>-46.553437</v>
      </c>
      <c r="D7292" s="40" t="n">
        <v>273</v>
      </c>
      <c r="E7292" s="41" t="n">
        <v>31889.045</v>
      </c>
    </row>
    <row r="7293">
      <c r="A7293" s="42">
        <f>_xlfn.XLOOKUP(17857,Trip[shape_id],Trip[shape_id],"Não encontrado")</f>
        <v/>
      </c>
      <c r="B7293" s="43" t="n">
        <v>-23.532688</v>
      </c>
      <c r="C7293" s="43" t="n">
        <v>-46.553514</v>
      </c>
      <c r="D7293" s="43" t="n">
        <v>274</v>
      </c>
      <c r="E7293" s="44" t="n">
        <v>31953.76</v>
      </c>
    </row>
    <row r="7294">
      <c r="A7294" s="39">
        <f>_xlfn.XLOOKUP(17857,Trip[shape_id],Trip[shape_id],"Não encontrado")</f>
        <v/>
      </c>
      <c r="B7294" s="40" t="n">
        <v>-23.533238</v>
      </c>
      <c r="C7294" s="40" t="n">
        <v>-46.553728</v>
      </c>
      <c r="D7294" s="40" t="n">
        <v>275</v>
      </c>
      <c r="E7294" s="41" t="n">
        <v>32051.582</v>
      </c>
    </row>
    <row r="7295">
      <c r="A7295" s="42">
        <f>_xlfn.XLOOKUP(17857,Trip[shape_id],Trip[shape_id],"Não encontrado")</f>
        <v/>
      </c>
      <c r="B7295" s="43" t="n">
        <v>-23.534041</v>
      </c>
      <c r="C7295" s="43" t="n">
        <v>-46.554127</v>
      </c>
      <c r="D7295" s="43" t="n">
        <v>276</v>
      </c>
      <c r="E7295" s="44" t="n">
        <v>32069.838</v>
      </c>
    </row>
    <row r="7296">
      <c r="A7296" s="39">
        <f>_xlfn.XLOOKUP(17857,Trip[shape_id],Trip[shape_id],"Não encontrado")</f>
        <v/>
      </c>
      <c r="B7296" s="40" t="n">
        <v>-23.534185</v>
      </c>
      <c r="C7296" s="40" t="n">
        <v>-46.554214</v>
      </c>
      <c r="D7296" s="40" t="n">
        <v>277</v>
      </c>
      <c r="E7296" s="41" t="n">
        <v>32116.355</v>
      </c>
    </row>
    <row r="7297">
      <c r="A7297" s="42">
        <f>_xlfn.XLOOKUP(17857,Trip[shape_id],Trip[shape_id],"Não encontrado")</f>
        <v/>
      </c>
      <c r="B7297" s="43" t="n">
        <v>-23.534561</v>
      </c>
      <c r="C7297" s="43" t="n">
        <v>-46.554417</v>
      </c>
      <c r="D7297" s="43" t="n">
        <v>278</v>
      </c>
      <c r="E7297" s="44" t="n">
        <v>32191.133</v>
      </c>
    </row>
    <row r="7298">
      <c r="A7298" s="39">
        <f>_xlfn.XLOOKUP(17857,Trip[shape_id],Trip[shape_id],"Não encontrado")</f>
        <v/>
      </c>
      <c r="B7298" s="40" t="n">
        <v>-23.53515</v>
      </c>
      <c r="C7298" s="40" t="n">
        <v>-46.554775</v>
      </c>
      <c r="D7298" s="40" t="n">
        <v>279</v>
      </c>
      <c r="E7298" s="41" t="n">
        <v>32246.766</v>
      </c>
    </row>
    <row r="7299">
      <c r="A7299" s="42">
        <f>_xlfn.XLOOKUP(17857,Trip[shape_id],Trip[shape_id],"Não encontrado")</f>
        <v/>
      </c>
      <c r="B7299" s="43" t="n">
        <v>-23.535494</v>
      </c>
      <c r="C7299" s="43" t="n">
        <v>-46.555172</v>
      </c>
      <c r="D7299" s="43" t="n">
        <v>280</v>
      </c>
      <c r="E7299" s="44" t="n">
        <v>32304.646</v>
      </c>
    </row>
    <row r="7300">
      <c r="A7300" s="39">
        <f>_xlfn.XLOOKUP(17857,Trip[shape_id],Trip[shape_id],"Não encontrado")</f>
        <v/>
      </c>
      <c r="B7300" s="40" t="n">
        <v>-23.535782</v>
      </c>
      <c r="C7300" s="40" t="n">
        <v>-46.555645</v>
      </c>
      <c r="D7300" s="40" t="n">
        <v>281</v>
      </c>
      <c r="E7300" s="41" t="n">
        <v>32336.377</v>
      </c>
    </row>
    <row r="7301">
      <c r="A7301" s="42">
        <f>_xlfn.XLOOKUP(17857,Trip[shape_id],Trip[shape_id],"Não encontrado")</f>
        <v/>
      </c>
      <c r="B7301" s="43" t="n">
        <v>-23.535872</v>
      </c>
      <c r="C7301" s="43" t="n">
        <v>-46.55594</v>
      </c>
      <c r="D7301" s="43" t="n">
        <v>282</v>
      </c>
      <c r="E7301" s="44" t="n">
        <v>32380.939</v>
      </c>
    </row>
    <row r="7302">
      <c r="A7302" s="39">
        <f>_xlfn.XLOOKUP(17857,Trip[shape_id],Trip[shape_id],"Não encontrado")</f>
        <v/>
      </c>
      <c r="B7302" s="40" t="n">
        <v>-23.536002</v>
      </c>
      <c r="C7302" s="40" t="n">
        <v>-46.556353</v>
      </c>
      <c r="D7302" s="40" t="n">
        <v>283</v>
      </c>
      <c r="E7302" s="41" t="n">
        <v>32471.914</v>
      </c>
    </row>
    <row r="7303">
      <c r="A7303" s="42">
        <f>_xlfn.XLOOKUP(17857,Trip[shape_id],Trip[shape_id],"Não encontrado")</f>
        <v/>
      </c>
      <c r="B7303" s="43" t="n">
        <v>-23.536206</v>
      </c>
      <c r="C7303" s="43" t="n">
        <v>-46.557216</v>
      </c>
      <c r="D7303" s="43" t="n">
        <v>284</v>
      </c>
      <c r="E7303" s="44" t="n">
        <v>32539.094</v>
      </c>
    </row>
    <row r="7304">
      <c r="A7304" s="39">
        <f>_xlfn.XLOOKUP(17857,Trip[shape_id],Trip[shape_id],"Não encontrado")</f>
        <v/>
      </c>
      <c r="B7304" s="40" t="n">
        <v>-23.53633</v>
      </c>
      <c r="C7304" s="40" t="n">
        <v>-46.55786</v>
      </c>
      <c r="D7304" s="40" t="n">
        <v>285</v>
      </c>
      <c r="E7304" s="41" t="n">
        <v>32783.293</v>
      </c>
    </row>
    <row r="7305">
      <c r="A7305" s="42">
        <f>_xlfn.XLOOKUP(17857,Trip[shape_id],Trip[shape_id],"Não encontrado")</f>
        <v/>
      </c>
      <c r="B7305" s="43" t="n">
        <v>-23.536785</v>
      </c>
      <c r="C7305" s="43" t="n">
        <v>-46.5602</v>
      </c>
      <c r="D7305" s="43" t="n">
        <v>286</v>
      </c>
      <c r="E7305" s="44" t="n">
        <v>33105.227</v>
      </c>
    </row>
    <row r="7306">
      <c r="A7306" s="39">
        <f>_xlfn.XLOOKUP(17857,Trip[shape_id],Trip[shape_id],"Não encontrado")</f>
        <v/>
      </c>
      <c r="B7306" s="40" t="n">
        <v>-23.537393</v>
      </c>
      <c r="C7306" s="40" t="n">
        <v>-46.563283</v>
      </c>
      <c r="D7306" s="40" t="n">
        <v>287</v>
      </c>
      <c r="E7306" s="41" t="n">
        <v>33294.371</v>
      </c>
    </row>
    <row r="7307">
      <c r="A7307" s="42">
        <f>_xlfn.XLOOKUP(17857,Trip[shape_id],Trip[shape_id],"Não encontrado")</f>
        <v/>
      </c>
      <c r="B7307" s="43" t="n">
        <v>-23.537756</v>
      </c>
      <c r="C7307" s="43" t="n">
        <v>-46.565093</v>
      </c>
      <c r="D7307" s="43" t="n">
        <v>288</v>
      </c>
      <c r="E7307" s="44" t="n">
        <v>33761.867</v>
      </c>
    </row>
    <row r="7308">
      <c r="A7308" s="39">
        <f>_xlfn.XLOOKUP(17857,Trip[shape_id],Trip[shape_id],"Não encontrado")</f>
        <v/>
      </c>
      <c r="B7308" s="40" t="n">
        <v>-23.538639</v>
      </c>
      <c r="C7308" s="40" t="n">
        <v>-46.56957</v>
      </c>
      <c r="D7308" s="40" t="n">
        <v>289</v>
      </c>
      <c r="E7308" s="41" t="n">
        <v>33834.004</v>
      </c>
    </row>
    <row r="7309">
      <c r="A7309" s="42">
        <f>_xlfn.XLOOKUP(17857,Trip[shape_id],Trip[shape_id],"Não encontrado")</f>
        <v/>
      </c>
      <c r="B7309" s="43" t="n">
        <v>-23.53877</v>
      </c>
      <c r="C7309" s="43" t="n">
        <v>-46.570262</v>
      </c>
      <c r="D7309" s="43" t="n">
        <v>290</v>
      </c>
      <c r="E7309" s="44" t="n">
        <v>33931.406</v>
      </c>
    </row>
    <row r="7310">
      <c r="A7310" s="39">
        <f>_xlfn.XLOOKUP(17857,Trip[shape_id],Trip[shape_id],"Não encontrado")</f>
        <v/>
      </c>
      <c r="B7310" s="40" t="n">
        <v>-23.538953</v>
      </c>
      <c r="C7310" s="40" t="n">
        <v>-46.571195</v>
      </c>
      <c r="D7310" s="40" t="n">
        <v>291</v>
      </c>
      <c r="E7310" s="41" t="n">
        <v>33983.574</v>
      </c>
    </row>
    <row r="7311">
      <c r="A7311" s="42">
        <f>_xlfn.XLOOKUP(17857,Trip[shape_id],Trip[shape_id],"Não encontrado")</f>
        <v/>
      </c>
      <c r="B7311" s="43" t="n">
        <v>-23.539054</v>
      </c>
      <c r="C7311" s="43" t="n">
        <v>-46.571694</v>
      </c>
      <c r="D7311" s="43" t="n">
        <v>292</v>
      </c>
      <c r="E7311" s="44" t="n">
        <v>34209.469</v>
      </c>
    </row>
    <row r="7312">
      <c r="A7312" s="39">
        <f>_xlfn.XLOOKUP(17857,Trip[shape_id],Trip[shape_id],"Não encontrado")</f>
        <v/>
      </c>
      <c r="B7312" s="40" t="n">
        <v>-23.539519</v>
      </c>
      <c r="C7312" s="40" t="n">
        <v>-46.573848</v>
      </c>
      <c r="D7312" s="40" t="n">
        <v>293</v>
      </c>
      <c r="E7312" s="41" t="n">
        <v>34293.926</v>
      </c>
    </row>
    <row r="7313">
      <c r="A7313" s="42">
        <f>_xlfn.XLOOKUP(17857,Trip[shape_id],Trip[shape_id],"Não encontrado")</f>
        <v/>
      </c>
      <c r="B7313" s="43" t="n">
        <v>-23.539698</v>
      </c>
      <c r="C7313" s="43" t="n">
        <v>-46.574652</v>
      </c>
      <c r="D7313" s="43" t="n">
        <v>294</v>
      </c>
      <c r="E7313" s="44" t="n">
        <v>34330.297</v>
      </c>
    </row>
    <row r="7314">
      <c r="A7314" s="39">
        <f>_xlfn.XLOOKUP(17857,Trip[shape_id],Trip[shape_id],"Não encontrado")</f>
        <v/>
      </c>
      <c r="B7314" s="40" t="n">
        <v>-23.539768</v>
      </c>
      <c r="C7314" s="40" t="n">
        <v>-46.575</v>
      </c>
      <c r="D7314" s="40" t="n">
        <v>295</v>
      </c>
      <c r="E7314" s="41" t="n">
        <v>34449.262</v>
      </c>
    </row>
    <row r="7315">
      <c r="A7315" s="42">
        <f>_xlfn.XLOOKUP(17857,Trip[shape_id],Trip[shape_id],"Não encontrado")</f>
        <v/>
      </c>
      <c r="B7315" s="43" t="n">
        <v>-23.539976</v>
      </c>
      <c r="C7315" s="43" t="n">
        <v>-46.576143</v>
      </c>
      <c r="D7315" s="43" t="n">
        <v>296</v>
      </c>
      <c r="E7315" s="44" t="n">
        <v>34484.609</v>
      </c>
    </row>
    <row r="7316">
      <c r="A7316" s="39">
        <f>_xlfn.XLOOKUP(17857,Trip[shape_id],Trip[shape_id],"Não encontrado")</f>
        <v/>
      </c>
      <c r="B7316" s="40" t="n">
        <v>-23.540031</v>
      </c>
      <c r="C7316" s="40" t="n">
        <v>-46.576484</v>
      </c>
      <c r="D7316" s="40" t="n">
        <v>297</v>
      </c>
      <c r="E7316" s="41" t="n">
        <v>34510.457</v>
      </c>
    </row>
    <row r="7317">
      <c r="A7317" s="42">
        <f>_xlfn.XLOOKUP(17857,Trip[shape_id],Trip[shape_id],"Não encontrado")</f>
        <v/>
      </c>
      <c r="B7317" s="43" t="n">
        <v>-23.540236</v>
      </c>
      <c r="C7317" s="43" t="n">
        <v>-46.576605</v>
      </c>
      <c r="D7317" s="43" t="n">
        <v>298</v>
      </c>
      <c r="E7317" s="44" t="n">
        <v>34510.457</v>
      </c>
    </row>
    <row r="7318">
      <c r="A7318" s="39">
        <f>_xlfn.XLOOKUP(40777,Trip[shape_id],Trip[shape_id],"Não encontrado")</f>
        <v/>
      </c>
      <c r="B7318" s="40" t="n">
        <v>-23.535167</v>
      </c>
      <c r="C7318" s="40" t="n">
        <v>-46.635349</v>
      </c>
      <c r="D7318" s="40" t="n">
        <v>1</v>
      </c>
      <c r="E7318" s="41" t="n">
        <v>0</v>
      </c>
    </row>
    <row r="7319">
      <c r="A7319" s="42">
        <f>_xlfn.XLOOKUP(40777,Trip[shape_id],Trip[shape_id],"Não encontrado")</f>
        <v/>
      </c>
      <c r="B7319" s="43" t="n">
        <v>-23.536162</v>
      </c>
      <c r="C7319" s="43" t="n">
        <v>-46.634262</v>
      </c>
      <c r="D7319" s="43" t="n">
        <v>2</v>
      </c>
      <c r="E7319" s="44" t="n">
        <v>156.40964</v>
      </c>
    </row>
    <row r="7320">
      <c r="A7320" s="39">
        <f>_xlfn.XLOOKUP(40777,Trip[shape_id],Trip[shape_id],"Não encontrado")</f>
        <v/>
      </c>
      <c r="B7320" s="40" t="n">
        <v>-23.537704</v>
      </c>
      <c r="C7320" s="40" t="n">
        <v>-46.635158</v>
      </c>
      <c r="D7320" s="40" t="n">
        <v>3</v>
      </c>
      <c r="E7320" s="41" t="n">
        <v>350.15271</v>
      </c>
    </row>
    <row r="7321">
      <c r="A7321" s="42">
        <f>_xlfn.XLOOKUP(40777,Trip[shape_id],Trip[shape_id],"Não encontrado")</f>
        <v/>
      </c>
      <c r="B7321" s="43" t="n">
        <v>-23.538572</v>
      </c>
      <c r="C7321" s="43" t="n">
        <v>-46.635668</v>
      </c>
      <c r="D7321" s="43" t="n">
        <v>4</v>
      </c>
      <c r="E7321" s="44" t="n">
        <v>459.4845</v>
      </c>
    </row>
    <row r="7322">
      <c r="A7322" s="39">
        <f>_xlfn.XLOOKUP(40777,Trip[shape_id],Trip[shape_id],"Não encontrado")</f>
        <v/>
      </c>
      <c r="B7322" s="40" t="n">
        <v>-23.538976</v>
      </c>
      <c r="C7322" s="40" t="n">
        <v>-46.636127</v>
      </c>
      <c r="D7322" s="40" t="n">
        <v>5</v>
      </c>
      <c r="E7322" s="41" t="n">
        <v>524.2818600000001</v>
      </c>
    </row>
    <row r="7323">
      <c r="A7323" s="42">
        <f>_xlfn.XLOOKUP(40777,Trip[shape_id],Trip[shape_id],"Não encontrado")</f>
        <v/>
      </c>
      <c r="B7323" s="43" t="n">
        <v>-23.539275</v>
      </c>
      <c r="C7323" s="43" t="n">
        <v>-46.636421</v>
      </c>
      <c r="D7323" s="43" t="n">
        <v>6</v>
      </c>
      <c r="E7323" s="44" t="n">
        <v>568.97876</v>
      </c>
    </row>
    <row r="7324">
      <c r="A7324" s="39">
        <f>_xlfn.XLOOKUP(40777,Trip[shape_id],Trip[shape_id],"Não encontrado")</f>
        <v/>
      </c>
      <c r="B7324" s="40" t="n">
        <v>-23.53972</v>
      </c>
      <c r="C7324" s="40" t="n">
        <v>-46.637079</v>
      </c>
      <c r="D7324" s="40" t="n">
        <v>7</v>
      </c>
      <c r="E7324" s="41" t="n">
        <v>652.30511</v>
      </c>
    </row>
    <row r="7325">
      <c r="A7325" s="42">
        <f>_xlfn.XLOOKUP(40777,Trip[shape_id],Trip[shape_id],"Não encontrado")</f>
        <v/>
      </c>
      <c r="B7325" s="43" t="n">
        <v>-23.540498</v>
      </c>
      <c r="C7325" s="43" t="n">
        <v>-46.638218</v>
      </c>
      <c r="D7325" s="43" t="n">
        <v>8</v>
      </c>
      <c r="E7325" s="44" t="n">
        <v>797.04919</v>
      </c>
    </row>
    <row r="7326">
      <c r="A7326" s="39">
        <f>_xlfn.XLOOKUP(40777,Trip[shape_id],Trip[shape_id],"Não encontrado")</f>
        <v/>
      </c>
      <c r="B7326" s="40" t="n">
        <v>-23.541176</v>
      </c>
      <c r="C7326" s="40" t="n">
        <v>-46.639177</v>
      </c>
      <c r="D7326" s="40" t="n">
        <v>9</v>
      </c>
      <c r="E7326" s="41" t="n">
        <v>920.44843</v>
      </c>
    </row>
    <row r="7327">
      <c r="A7327" s="42">
        <f>_xlfn.XLOOKUP(40777,Trip[shape_id],Trip[shape_id],"Não encontrado")</f>
        <v/>
      </c>
      <c r="B7327" s="43" t="n">
        <v>-23.541483</v>
      </c>
      <c r="C7327" s="43" t="n">
        <v>-46.639608</v>
      </c>
      <c r="D7327" s="43" t="n">
        <v>10</v>
      </c>
      <c r="E7327" s="44" t="n">
        <v>976.06177</v>
      </c>
    </row>
    <row r="7328">
      <c r="A7328" s="39">
        <f>_xlfn.XLOOKUP(40777,Trip[shape_id],Trip[shape_id],"Não encontrado")</f>
        <v/>
      </c>
      <c r="B7328" s="40" t="n">
        <v>-23.541643</v>
      </c>
      <c r="C7328" s="40" t="n">
        <v>-46.639787</v>
      </c>
      <c r="D7328" s="40" t="n">
        <v>11</v>
      </c>
      <c r="E7328" s="41" t="n">
        <v>1001.5189</v>
      </c>
    </row>
    <row r="7329">
      <c r="A7329" s="42">
        <f>_xlfn.XLOOKUP(40777,Trip[shape_id],Trip[shape_id],"Não encontrado")</f>
        <v/>
      </c>
      <c r="B7329" s="43" t="n">
        <v>-23.54239</v>
      </c>
      <c r="C7329" s="43" t="n">
        <v>-46.640676</v>
      </c>
      <c r="D7329" s="43" t="n">
        <v>12</v>
      </c>
      <c r="E7329" s="44" t="n">
        <v>1124.338</v>
      </c>
    </row>
    <row r="7330">
      <c r="A7330" s="39">
        <f>_xlfn.XLOOKUP(40777,Trip[shape_id],Trip[shape_id],"Não encontrado")</f>
        <v/>
      </c>
      <c r="B7330" s="40" t="n">
        <v>-23.54365</v>
      </c>
      <c r="C7330" s="40" t="n">
        <v>-46.642148</v>
      </c>
      <c r="D7330" s="40" t="n">
        <v>13</v>
      </c>
      <c r="E7330" s="41" t="n">
        <v>1329.4338</v>
      </c>
    </row>
    <row r="7331">
      <c r="A7331" s="42">
        <f>_xlfn.XLOOKUP(40777,Trip[shape_id],Trip[shape_id],"Não encontrado")</f>
        <v/>
      </c>
      <c r="B7331" s="43" t="n">
        <v>-23.543973</v>
      </c>
      <c r="C7331" s="43" t="n">
        <v>-46.642524</v>
      </c>
      <c r="D7331" s="43" t="n">
        <v>14</v>
      </c>
      <c r="E7331" s="44" t="n">
        <v>1381.9092</v>
      </c>
    </row>
    <row r="7332">
      <c r="A7332" s="39">
        <f>_xlfn.XLOOKUP(40777,Trip[shape_id],Trip[shape_id],"Não encontrado")</f>
        <v/>
      </c>
      <c r="B7332" s="40" t="n">
        <v>-23.544395</v>
      </c>
      <c r="C7332" s="40" t="n">
        <v>-46.642415</v>
      </c>
      <c r="D7332" s="40" t="n">
        <v>15</v>
      </c>
      <c r="E7332" s="41" t="n">
        <v>1429.9532</v>
      </c>
    </row>
    <row r="7333">
      <c r="A7333" s="42">
        <f>_xlfn.XLOOKUP(40777,Trip[shape_id],Trip[shape_id],"Não encontrado")</f>
        <v/>
      </c>
      <c r="B7333" s="43" t="n">
        <v>-23.544031</v>
      </c>
      <c r="C7333" s="43" t="n">
        <v>-46.642602</v>
      </c>
      <c r="D7333" s="43" t="n">
        <v>16</v>
      </c>
      <c r="E7333" s="44" t="n">
        <v>1474.5599</v>
      </c>
    </row>
    <row r="7334">
      <c r="A7334" s="39">
        <f>_xlfn.XLOOKUP(40777,Trip[shape_id],Trip[shape_id],"Não encontrado")</f>
        <v/>
      </c>
      <c r="B7334" s="40" t="n">
        <v>-23.544416</v>
      </c>
      <c r="C7334" s="40" t="n">
        <v>-46.643055</v>
      </c>
      <c r="D7334" s="40" t="n">
        <v>17</v>
      </c>
      <c r="E7334" s="41" t="n">
        <v>1537.4694</v>
      </c>
    </row>
    <row r="7335">
      <c r="A7335" s="42">
        <f>_xlfn.XLOOKUP(40777,Trip[shape_id],Trip[shape_id],"Não encontrado")</f>
        <v/>
      </c>
      <c r="B7335" s="43" t="n">
        <v>-23.54503</v>
      </c>
      <c r="C7335" s="43" t="n">
        <v>-46.643801</v>
      </c>
      <c r="D7335" s="43" t="n">
        <v>18</v>
      </c>
      <c r="E7335" s="44" t="n">
        <v>1639.5786</v>
      </c>
    </row>
    <row r="7336">
      <c r="A7336" s="39">
        <f>_xlfn.XLOOKUP(40777,Trip[shape_id],Trip[shape_id],"Não encontrado")</f>
        <v/>
      </c>
      <c r="B7336" s="40" t="n">
        <v>-23.546042</v>
      </c>
      <c r="C7336" s="40" t="n">
        <v>-46.645049</v>
      </c>
      <c r="D7336" s="40" t="n">
        <v>19</v>
      </c>
      <c r="E7336" s="41" t="n">
        <v>1809.2843</v>
      </c>
    </row>
    <row r="7337">
      <c r="A7337" s="42">
        <f>_xlfn.XLOOKUP(40777,Trip[shape_id],Trip[shape_id],"Não encontrado")</f>
        <v/>
      </c>
      <c r="B7337" s="43" t="n">
        <v>-23.546464</v>
      </c>
      <c r="C7337" s="43" t="n">
        <v>-46.645642</v>
      </c>
      <c r="D7337" s="43" t="n">
        <v>20</v>
      </c>
      <c r="E7337" s="44" t="n">
        <v>1885.7727</v>
      </c>
    </row>
    <row r="7338">
      <c r="A7338" s="39">
        <f>_xlfn.XLOOKUP(40777,Trip[shape_id],Trip[shape_id],"Não encontrado")</f>
        <v/>
      </c>
      <c r="B7338" s="40" t="n">
        <v>-23.546689</v>
      </c>
      <c r="C7338" s="40" t="n">
        <v>-46.646082</v>
      </c>
      <c r="D7338" s="40" t="n">
        <v>21</v>
      </c>
      <c r="E7338" s="41" t="n">
        <v>1937.1471</v>
      </c>
    </row>
    <row r="7339">
      <c r="A7339" s="42">
        <f>_xlfn.XLOOKUP(40777,Trip[shape_id],Trip[shape_id],"Não encontrado")</f>
        <v/>
      </c>
      <c r="B7339" s="43" t="n">
        <v>-23.546852</v>
      </c>
      <c r="C7339" s="43" t="n">
        <v>-46.646473</v>
      </c>
      <c r="D7339" s="43" t="n">
        <v>22</v>
      </c>
      <c r="E7339" s="44" t="n">
        <v>1980.962</v>
      </c>
    </row>
    <row r="7340">
      <c r="A7340" s="39">
        <f>_xlfn.XLOOKUP(40777,Trip[shape_id],Trip[shape_id],"Não encontrado")</f>
        <v/>
      </c>
      <c r="B7340" s="40" t="n">
        <v>-23.546964</v>
      </c>
      <c r="C7340" s="40" t="n">
        <v>-46.646803</v>
      </c>
      <c r="D7340" s="40" t="n">
        <v>23</v>
      </c>
      <c r="E7340" s="41" t="n">
        <v>2016.8673</v>
      </c>
    </row>
    <row r="7341">
      <c r="A7341" s="42">
        <f>_xlfn.XLOOKUP(40777,Trip[shape_id],Trip[shape_id],"Não encontrado")</f>
        <v/>
      </c>
      <c r="B7341" s="43" t="n">
        <v>-23.547106</v>
      </c>
      <c r="C7341" s="43" t="n">
        <v>-46.64715</v>
      </c>
      <c r="D7341" s="43" t="n">
        <v>24</v>
      </c>
      <c r="E7341" s="44" t="n">
        <v>2055.6311</v>
      </c>
    </row>
    <row r="7342">
      <c r="A7342" s="39">
        <f>_xlfn.XLOOKUP(40777,Trip[shape_id],Trip[shape_id],"Não encontrado")</f>
        <v/>
      </c>
      <c r="B7342" s="40" t="n">
        <v>-23.5475</v>
      </c>
      <c r="C7342" s="40" t="n">
        <v>-46.647724</v>
      </c>
      <c r="D7342" s="40" t="n">
        <v>25</v>
      </c>
      <c r="E7342" s="41" t="n">
        <v>2128.6997</v>
      </c>
    </row>
    <row r="7343">
      <c r="A7343" s="42">
        <f>_xlfn.XLOOKUP(40777,Trip[shape_id],Trip[shape_id],"Não encontrado")</f>
        <v/>
      </c>
      <c r="B7343" s="43" t="n">
        <v>-23.547981</v>
      </c>
      <c r="C7343" s="43" t="n">
        <v>-46.64917</v>
      </c>
      <c r="D7343" s="43" t="n">
        <v>26</v>
      </c>
      <c r="E7343" s="44" t="n">
        <v>2285.6589</v>
      </c>
    </row>
    <row r="7344">
      <c r="A7344" s="39">
        <f>_xlfn.XLOOKUP(40777,Trip[shape_id],Trip[shape_id],"Não encontrado")</f>
        <v/>
      </c>
      <c r="B7344" s="40" t="n">
        <v>-23.548133</v>
      </c>
      <c r="C7344" s="40" t="n">
        <v>-46.649675</v>
      </c>
      <c r="D7344" s="40" t="n">
        <v>27</v>
      </c>
      <c r="E7344" s="41" t="n">
        <v>2339.8999</v>
      </c>
    </row>
    <row r="7345">
      <c r="A7345" s="42">
        <f>_xlfn.XLOOKUP(40777,Trip[shape_id],Trip[shape_id],"Não encontrado")</f>
        <v/>
      </c>
      <c r="B7345" s="43" t="n">
        <v>-23.548407</v>
      </c>
      <c r="C7345" s="43" t="n">
        <v>-46.650522</v>
      </c>
      <c r="D7345" s="43" t="n">
        <v>28</v>
      </c>
      <c r="E7345" s="44" t="n">
        <v>2431.5515</v>
      </c>
    </row>
    <row r="7346">
      <c r="A7346" s="39">
        <f>_xlfn.XLOOKUP(40777,Trip[shape_id],Trip[shape_id],"Não encontrado")</f>
        <v/>
      </c>
      <c r="B7346" s="40" t="n">
        <v>-23.548531</v>
      </c>
      <c r="C7346" s="40" t="n">
        <v>-46.651016</v>
      </c>
      <c r="D7346" s="40" t="n">
        <v>29</v>
      </c>
      <c r="E7346" s="41" t="n">
        <v>2483.8269</v>
      </c>
    </row>
    <row r="7347">
      <c r="A7347" s="42">
        <f>_xlfn.XLOOKUP(40777,Trip[shape_id],Trip[shape_id],"Não encontrado")</f>
        <v/>
      </c>
      <c r="B7347" s="43" t="n">
        <v>-23.548745</v>
      </c>
      <c r="C7347" s="43" t="n">
        <v>-46.651666</v>
      </c>
      <c r="D7347" s="43" t="n">
        <v>30</v>
      </c>
      <c r="E7347" s="44" t="n">
        <v>2554.2993</v>
      </c>
    </row>
    <row r="7348">
      <c r="A7348" s="39">
        <f>_xlfn.XLOOKUP(40777,Trip[shape_id],Trip[shape_id],"Não encontrado")</f>
        <v/>
      </c>
      <c r="B7348" s="40" t="n">
        <v>-23.548889</v>
      </c>
      <c r="C7348" s="40" t="n">
        <v>-46.652015</v>
      </c>
      <c r="D7348" s="40" t="n">
        <v>31</v>
      </c>
      <c r="E7348" s="41" t="n">
        <v>2593.3394</v>
      </c>
    </row>
    <row r="7349">
      <c r="A7349" s="42">
        <f>_xlfn.XLOOKUP(40777,Trip[shape_id],Trip[shape_id],"Não encontrado")</f>
        <v/>
      </c>
      <c r="B7349" s="43" t="n">
        <v>-23.549045</v>
      </c>
      <c r="C7349" s="43" t="n">
        <v>-46.652353</v>
      </c>
      <c r="D7349" s="43" t="n">
        <v>32</v>
      </c>
      <c r="E7349" s="44" t="n">
        <v>2631.9333</v>
      </c>
    </row>
    <row r="7350">
      <c r="A7350" s="39">
        <f>_xlfn.XLOOKUP(40777,Trip[shape_id],Trip[shape_id],"Não encontrado")</f>
        <v/>
      </c>
      <c r="B7350" s="40" t="n">
        <v>-23.549572</v>
      </c>
      <c r="C7350" s="40" t="n">
        <v>-46.65329</v>
      </c>
      <c r="D7350" s="40" t="n">
        <v>33</v>
      </c>
      <c r="E7350" s="41" t="n">
        <v>2744.0024</v>
      </c>
    </row>
    <row r="7351">
      <c r="A7351" s="42">
        <f>_xlfn.XLOOKUP(40777,Trip[shape_id],Trip[shape_id],"Não encontrado")</f>
        <v/>
      </c>
      <c r="B7351" s="43" t="n">
        <v>-23.550639</v>
      </c>
      <c r="C7351" s="43" t="n">
        <v>-46.655252</v>
      </c>
      <c r="D7351" s="43" t="n">
        <v>34</v>
      </c>
      <c r="E7351" s="44" t="n">
        <v>2976.5852</v>
      </c>
    </row>
    <row r="7352">
      <c r="A7352" s="39">
        <f>_xlfn.XLOOKUP(40777,Trip[shape_id],Trip[shape_id],"Não encontrado")</f>
        <v/>
      </c>
      <c r="B7352" s="40" t="n">
        <v>-23.551223</v>
      </c>
      <c r="C7352" s="40" t="n">
        <v>-46.656367</v>
      </c>
      <c r="D7352" s="40" t="n">
        <v>35</v>
      </c>
      <c r="E7352" s="41" t="n">
        <v>3107.5193</v>
      </c>
    </row>
    <row r="7353">
      <c r="A7353" s="42">
        <f>_xlfn.XLOOKUP(40777,Trip[shape_id],Trip[shape_id],"Não encontrado")</f>
        <v/>
      </c>
      <c r="B7353" s="43" t="n">
        <v>-23.551693</v>
      </c>
      <c r="C7353" s="43" t="n">
        <v>-46.657205</v>
      </c>
      <c r="D7353" s="43" t="n">
        <v>36</v>
      </c>
      <c r="E7353" s="44" t="n">
        <v>3207.6702</v>
      </c>
    </row>
    <row r="7354">
      <c r="A7354" s="39">
        <f>_xlfn.XLOOKUP(40777,Trip[shape_id],Trip[shape_id],"Não encontrado")</f>
        <v/>
      </c>
      <c r="B7354" s="40" t="n">
        <v>-23.551867</v>
      </c>
      <c r="C7354" s="40" t="n">
        <v>-46.657506</v>
      </c>
      <c r="D7354" s="40" t="n">
        <v>37</v>
      </c>
      <c r="E7354" s="41" t="n">
        <v>3243.9448</v>
      </c>
    </row>
    <row r="7355">
      <c r="A7355" s="42">
        <f>_xlfn.XLOOKUP(40777,Trip[shape_id],Trip[shape_id],"Não encontrado")</f>
        <v/>
      </c>
      <c r="B7355" s="43" t="n">
        <v>-23.552346</v>
      </c>
      <c r="C7355" s="43" t="n">
        <v>-46.658442</v>
      </c>
      <c r="D7355" s="43" t="n">
        <v>38</v>
      </c>
      <c r="E7355" s="44" t="n">
        <v>3353.2483</v>
      </c>
    </row>
    <row r="7356">
      <c r="A7356" s="39">
        <f>_xlfn.XLOOKUP(40777,Trip[shape_id],Trip[shape_id],"Não encontrado")</f>
        <v/>
      </c>
      <c r="B7356" s="40" t="n">
        <v>-23.552709</v>
      </c>
      <c r="C7356" s="40" t="n">
        <v>-46.659014</v>
      </c>
      <c r="D7356" s="40" t="n">
        <v>39</v>
      </c>
      <c r="E7356" s="41" t="n">
        <v>3424.1497</v>
      </c>
    </row>
    <row r="7357">
      <c r="A7357" s="42">
        <f>_xlfn.XLOOKUP(40777,Trip[shape_id],Trip[shape_id],"Não encontrado")</f>
        <v/>
      </c>
      <c r="B7357" s="43" t="n">
        <v>-23.553079</v>
      </c>
      <c r="C7357" s="43" t="n">
        <v>-46.659552</v>
      </c>
      <c r="D7357" s="43" t="n">
        <v>40</v>
      </c>
      <c r="E7357" s="44" t="n">
        <v>3492.6807</v>
      </c>
    </row>
    <row r="7358">
      <c r="A7358" s="39">
        <f>_xlfn.XLOOKUP(40777,Trip[shape_id],Trip[shape_id],"Não encontrado")</f>
        <v/>
      </c>
      <c r="B7358" s="40" t="n">
        <v>-23.553695</v>
      </c>
      <c r="C7358" s="40" t="n">
        <v>-46.660469</v>
      </c>
      <c r="D7358" s="40" t="n">
        <v>41</v>
      </c>
      <c r="E7358" s="41" t="n">
        <v>3608.5261</v>
      </c>
    </row>
    <row r="7359">
      <c r="A7359" s="42">
        <f>_xlfn.XLOOKUP(40777,Trip[shape_id],Trip[shape_id],"Não encontrado")</f>
        <v/>
      </c>
      <c r="B7359" s="43" t="n">
        <v>-23.554</v>
      </c>
      <c r="C7359" s="43" t="n">
        <v>-46.660836</v>
      </c>
      <c r="D7359" s="43" t="n">
        <v>42</v>
      </c>
      <c r="E7359" s="44" t="n">
        <v>3658.9749</v>
      </c>
    </row>
    <row r="7360">
      <c r="A7360" s="39">
        <f>_xlfn.XLOOKUP(40777,Trip[shape_id],Trip[shape_id],"Não encontrado")</f>
        <v/>
      </c>
      <c r="B7360" s="40" t="n">
        <v>-23.554592</v>
      </c>
      <c r="C7360" s="40" t="n">
        <v>-46.661598</v>
      </c>
      <c r="D7360" s="40" t="n">
        <v>43</v>
      </c>
      <c r="E7360" s="41" t="n">
        <v>3760.7173</v>
      </c>
    </row>
    <row r="7361">
      <c r="A7361" s="42">
        <f>_xlfn.XLOOKUP(40777,Trip[shape_id],Trip[shape_id],"Não encontrado")</f>
        <v/>
      </c>
      <c r="B7361" s="43" t="n">
        <v>-23.555046</v>
      </c>
      <c r="C7361" s="43" t="n">
        <v>-46.662098</v>
      </c>
      <c r="D7361" s="43" t="n">
        <v>44</v>
      </c>
      <c r="E7361" s="44" t="n">
        <v>3832.3708</v>
      </c>
    </row>
    <row r="7362">
      <c r="A7362" s="39">
        <f>_xlfn.XLOOKUP(40777,Trip[shape_id],Trip[shape_id],"Não encontrado")</f>
        <v/>
      </c>
      <c r="B7362" s="40" t="n">
        <v>-23.555146</v>
      </c>
      <c r="C7362" s="40" t="n">
        <v>-46.662224</v>
      </c>
      <c r="D7362" s="40" t="n">
        <v>45</v>
      </c>
      <c r="E7362" s="41" t="n">
        <v>3849.3462</v>
      </c>
    </row>
    <row r="7363">
      <c r="A7363" s="42">
        <f>_xlfn.XLOOKUP(40777,Trip[shape_id],Trip[shape_id],"Não encontrado")</f>
        <v/>
      </c>
      <c r="B7363" s="43" t="n">
        <v>-23.555658</v>
      </c>
      <c r="C7363" s="43" t="n">
        <v>-46.662912</v>
      </c>
      <c r="D7363" s="43" t="n">
        <v>46</v>
      </c>
      <c r="E7363" s="44" t="n">
        <v>3939.6213</v>
      </c>
    </row>
    <row r="7364">
      <c r="A7364" s="39">
        <f>_xlfn.XLOOKUP(40777,Trip[shape_id],Trip[shape_id],"Não encontrado")</f>
        <v/>
      </c>
      <c r="B7364" s="40" t="n">
        <v>-23.556293</v>
      </c>
      <c r="C7364" s="40" t="n">
        <v>-46.663751</v>
      </c>
      <c r="D7364" s="40" t="n">
        <v>47</v>
      </c>
      <c r="E7364" s="41" t="n">
        <v>4050.4526</v>
      </c>
    </row>
    <row r="7365">
      <c r="A7365" s="42">
        <f>_xlfn.XLOOKUP(40777,Trip[shape_id],Trip[shape_id],"Não encontrado")</f>
        <v/>
      </c>
      <c r="B7365" s="43" t="n">
        <v>-23.556641</v>
      </c>
      <c r="C7365" s="43" t="n">
        <v>-46.665274</v>
      </c>
      <c r="D7365" s="43" t="n">
        <v>48</v>
      </c>
      <c r="E7365" s="44" t="n">
        <v>4210.6523</v>
      </c>
    </row>
    <row r="7366">
      <c r="A7366" s="39">
        <f>_xlfn.XLOOKUP(40777,Trip[shape_id],Trip[shape_id],"Não encontrado")</f>
        <v/>
      </c>
      <c r="B7366" s="40" t="n">
        <v>-23.55689</v>
      </c>
      <c r="C7366" s="40" t="n">
        <v>-46.665885</v>
      </c>
      <c r="D7366" s="40" t="n">
        <v>49</v>
      </c>
      <c r="E7366" s="41" t="n">
        <v>4278.8574</v>
      </c>
    </row>
    <row r="7367">
      <c r="A7367" s="42">
        <f>_xlfn.XLOOKUP(40777,Trip[shape_id],Trip[shape_id],"Não encontrado")</f>
        <v/>
      </c>
      <c r="B7367" s="43" t="n">
        <v>-23.557365</v>
      </c>
      <c r="C7367" s="43" t="n">
        <v>-46.666671</v>
      </c>
      <c r="D7367" s="43" t="n">
        <v>50</v>
      </c>
      <c r="E7367" s="44" t="n">
        <v>4374.812</v>
      </c>
    </row>
    <row r="7368">
      <c r="A7368" s="39">
        <f>_xlfn.XLOOKUP(40777,Trip[shape_id],Trip[shape_id],"Não encontrado")</f>
        <v/>
      </c>
      <c r="B7368" s="40" t="n">
        <v>-23.557459</v>
      </c>
      <c r="C7368" s="40" t="n">
        <v>-46.666827</v>
      </c>
      <c r="D7368" s="40" t="n">
        <v>51</v>
      </c>
      <c r="E7368" s="41" t="n">
        <v>4393.8398</v>
      </c>
    </row>
    <row r="7369">
      <c r="A7369" s="42">
        <f>_xlfn.XLOOKUP(40777,Trip[shape_id],Trip[shape_id],"Não encontrado")</f>
        <v/>
      </c>
      <c r="B7369" s="43" t="n">
        <v>-23.557537</v>
      </c>
      <c r="C7369" s="43" t="n">
        <v>-46.666953</v>
      </c>
      <c r="D7369" s="43" t="n">
        <v>52</v>
      </c>
      <c r="E7369" s="44" t="n">
        <v>4409.335</v>
      </c>
    </row>
    <row r="7370">
      <c r="A7370" s="39">
        <f>_xlfn.XLOOKUP(40777,Trip[shape_id],Trip[shape_id],"Não encontrado")</f>
        <v/>
      </c>
      <c r="B7370" s="40" t="n">
        <v>-23.557584</v>
      </c>
      <c r="C7370" s="40" t="n">
        <v>-46.667022</v>
      </c>
      <c r="D7370" s="40" t="n">
        <v>53</v>
      </c>
      <c r="E7370" s="41" t="n">
        <v>4418.0938</v>
      </c>
    </row>
    <row r="7371">
      <c r="A7371" s="42">
        <f>_xlfn.XLOOKUP(40777,Trip[shape_id],Trip[shape_id],"Não encontrado")</f>
        <v/>
      </c>
      <c r="B7371" s="43" t="n">
        <v>-23.558627</v>
      </c>
      <c r="C7371" s="43" t="n">
        <v>-46.668551</v>
      </c>
      <c r="D7371" s="43" t="n">
        <v>54</v>
      </c>
      <c r="E7371" s="44" t="n">
        <v>4612.2905</v>
      </c>
    </row>
    <row r="7372">
      <c r="A7372" s="39">
        <f>_xlfn.XLOOKUP(40777,Trip[shape_id],Trip[shape_id],"Não encontrado")</f>
        <v/>
      </c>
      <c r="B7372" s="40" t="n">
        <v>-23.560373</v>
      </c>
      <c r="C7372" s="40" t="n">
        <v>-46.671741</v>
      </c>
      <c r="D7372" s="40" t="n">
        <v>55</v>
      </c>
      <c r="E7372" s="41" t="n">
        <v>4991.0552</v>
      </c>
    </row>
    <row r="7373">
      <c r="A7373" s="42">
        <f>_xlfn.XLOOKUP(40777,Trip[shape_id],Trip[shape_id],"Não encontrado")</f>
        <v/>
      </c>
      <c r="B7373" s="43" t="n">
        <v>-23.56051</v>
      </c>
      <c r="C7373" s="43" t="n">
        <v>-46.671984</v>
      </c>
      <c r="D7373" s="43" t="n">
        <v>56</v>
      </c>
      <c r="E7373" s="44" t="n">
        <v>5020.1362</v>
      </c>
    </row>
    <row r="7374">
      <c r="A7374" s="39">
        <f>_xlfn.XLOOKUP(40777,Trip[shape_id],Trip[shape_id],"Não encontrado")</f>
        <v/>
      </c>
      <c r="B7374" s="40" t="n">
        <v>-23.560555</v>
      </c>
      <c r="C7374" s="40" t="n">
        <v>-46.672061</v>
      </c>
      <c r="D7374" s="40" t="n">
        <v>57</v>
      </c>
      <c r="E7374" s="41" t="n">
        <v>5029.4438</v>
      </c>
    </row>
    <row r="7375">
      <c r="A7375" s="42">
        <f>_xlfn.XLOOKUP(40777,Trip[shape_id],Trip[shape_id],"Não encontrado")</f>
        <v/>
      </c>
      <c r="B7375" s="43" t="n">
        <v>-23.561556</v>
      </c>
      <c r="C7375" s="43" t="n">
        <v>-46.673742</v>
      </c>
      <c r="D7375" s="43" t="n">
        <v>58</v>
      </c>
      <c r="E7375" s="44" t="n">
        <v>5233.7573</v>
      </c>
    </row>
    <row r="7376">
      <c r="A7376" s="39">
        <f>_xlfn.XLOOKUP(40777,Trip[shape_id],Trip[shape_id],"Não encontrado")</f>
        <v/>
      </c>
      <c r="B7376" s="40" t="n">
        <v>-23.562234</v>
      </c>
      <c r="C7376" s="40" t="n">
        <v>-46.674819</v>
      </c>
      <c r="D7376" s="40" t="n">
        <v>59</v>
      </c>
      <c r="E7376" s="41" t="n">
        <v>5366.9058</v>
      </c>
    </row>
    <row r="7377">
      <c r="A7377" s="42">
        <f>_xlfn.XLOOKUP(40777,Trip[shape_id],Trip[shape_id],"Não encontrado")</f>
        <v/>
      </c>
      <c r="B7377" s="43" t="n">
        <v>-23.562431</v>
      </c>
      <c r="C7377" s="43" t="n">
        <v>-46.675081</v>
      </c>
      <c r="D7377" s="43" t="n">
        <v>60</v>
      </c>
      <c r="E7377" s="44" t="n">
        <v>5401.4238</v>
      </c>
    </row>
    <row r="7378">
      <c r="A7378" s="39">
        <f>_xlfn.XLOOKUP(40777,Trip[shape_id],Trip[shape_id],"Não encontrado")</f>
        <v/>
      </c>
      <c r="B7378" s="40" t="n">
        <v>-23.562805</v>
      </c>
      <c r="C7378" s="40" t="n">
        <v>-46.675585</v>
      </c>
      <c r="D7378" s="40" t="n">
        <v>61</v>
      </c>
      <c r="E7378" s="41" t="n">
        <v>5467.479</v>
      </c>
    </row>
    <row r="7379">
      <c r="A7379" s="42">
        <f>_xlfn.XLOOKUP(40777,Trip[shape_id],Trip[shape_id],"Não encontrado")</f>
        <v/>
      </c>
      <c r="B7379" s="43" t="n">
        <v>-23.56346</v>
      </c>
      <c r="C7379" s="43" t="n">
        <v>-46.676446</v>
      </c>
      <c r="D7379" s="43" t="n">
        <v>62</v>
      </c>
      <c r="E7379" s="44" t="n">
        <v>5581.4487</v>
      </c>
    </row>
    <row r="7380">
      <c r="A7380" s="39">
        <f>_xlfn.XLOOKUP(40777,Trip[shape_id],Trip[shape_id],"Não encontrado")</f>
        <v/>
      </c>
      <c r="B7380" s="40" t="n">
        <v>-23.563596</v>
      </c>
      <c r="C7380" s="40" t="n">
        <v>-46.676657</v>
      </c>
      <c r="D7380" s="40" t="n">
        <v>63</v>
      </c>
      <c r="E7380" s="41" t="n">
        <v>5607.7339</v>
      </c>
    </row>
    <row r="7381">
      <c r="A7381" s="42">
        <f>_xlfn.XLOOKUP(40777,Trip[shape_id],Trip[shape_id],"Não encontrado")</f>
        <v/>
      </c>
      <c r="B7381" s="43" t="n">
        <v>-23.563876</v>
      </c>
      <c r="C7381" s="43" t="n">
        <v>-46.677181</v>
      </c>
      <c r="D7381" s="43" t="n">
        <v>64</v>
      </c>
      <c r="E7381" s="44" t="n">
        <v>5669.5684</v>
      </c>
    </row>
    <row r="7382">
      <c r="A7382" s="39">
        <f>_xlfn.XLOOKUP(40777,Trip[shape_id],Trip[shape_id],"Não encontrado")</f>
        <v/>
      </c>
      <c r="B7382" s="40" t="n">
        <v>-23.564109</v>
      </c>
      <c r="C7382" s="40" t="n">
        <v>-46.677605</v>
      </c>
      <c r="D7382" s="40" t="n">
        <v>65</v>
      </c>
      <c r="E7382" s="41" t="n">
        <v>5719.9634</v>
      </c>
    </row>
    <row r="7383">
      <c r="A7383" s="42">
        <f>_xlfn.XLOOKUP(40777,Trip[shape_id],Trip[shape_id],"Não encontrado")</f>
        <v/>
      </c>
      <c r="B7383" s="43" t="n">
        <v>-23.564161</v>
      </c>
      <c r="C7383" s="43" t="n">
        <v>-46.677723</v>
      </c>
      <c r="D7383" s="43" t="n">
        <v>66</v>
      </c>
      <c r="E7383" s="44" t="n">
        <v>5733.3159</v>
      </c>
    </row>
    <row r="7384">
      <c r="A7384" s="39">
        <f>_xlfn.XLOOKUP(40777,Trip[shape_id],Trip[shape_id],"Não encontrado")</f>
        <v/>
      </c>
      <c r="B7384" s="40" t="n">
        <v>-23.564207</v>
      </c>
      <c r="C7384" s="40" t="n">
        <v>-46.677979</v>
      </c>
      <c r="D7384" s="40" t="n">
        <v>67</v>
      </c>
      <c r="E7384" s="41" t="n">
        <v>5759.9434</v>
      </c>
    </row>
    <row r="7385">
      <c r="A7385" s="42">
        <f>_xlfn.XLOOKUP(40777,Trip[shape_id],Trip[shape_id],"Não encontrado")</f>
        <v/>
      </c>
      <c r="B7385" s="43" t="n">
        <v>-23.564214</v>
      </c>
      <c r="C7385" s="43" t="n">
        <v>-46.678401</v>
      </c>
      <c r="D7385" s="43" t="n">
        <v>68</v>
      </c>
      <c r="E7385" s="44" t="n">
        <v>5803.0327</v>
      </c>
    </row>
    <row r="7386">
      <c r="A7386" s="39">
        <f>_xlfn.XLOOKUP(40777,Trip[shape_id],Trip[shape_id],"Não encontrado")</f>
        <v/>
      </c>
      <c r="B7386" s="40" t="n">
        <v>-23.564172</v>
      </c>
      <c r="C7386" s="40" t="n">
        <v>-46.678994</v>
      </c>
      <c r="D7386" s="40" t="n">
        <v>69</v>
      </c>
      <c r="E7386" s="41" t="n">
        <v>5863.7515</v>
      </c>
    </row>
    <row r="7387">
      <c r="A7387" s="42">
        <f>_xlfn.XLOOKUP(40777,Trip[shape_id],Trip[shape_id],"Não encontrado")</f>
        <v/>
      </c>
      <c r="B7387" s="43" t="n">
        <v>-23.564188</v>
      </c>
      <c r="C7387" s="43" t="n">
        <v>-46.679397</v>
      </c>
      <c r="D7387" s="43" t="n">
        <v>70</v>
      </c>
      <c r="E7387" s="44" t="n">
        <v>5904.9326</v>
      </c>
    </row>
    <row r="7388">
      <c r="A7388" s="39">
        <f>_xlfn.XLOOKUP(40777,Trip[shape_id],Trip[shape_id],"Não encontrado")</f>
        <v/>
      </c>
      <c r="B7388" s="40" t="n">
        <v>-23.564311</v>
      </c>
      <c r="C7388" s="40" t="n">
        <v>-46.679936</v>
      </c>
      <c r="D7388" s="40" t="n">
        <v>71</v>
      </c>
      <c r="E7388" s="41" t="n">
        <v>5961.6211</v>
      </c>
    </row>
    <row r="7389">
      <c r="A7389" s="42">
        <f>_xlfn.XLOOKUP(40777,Trip[shape_id],Trip[shape_id],"Não encontrado")</f>
        <v/>
      </c>
      <c r="B7389" s="43" t="n">
        <v>-23.565345</v>
      </c>
      <c r="C7389" s="43" t="n">
        <v>-46.682422</v>
      </c>
      <c r="D7389" s="43" t="n">
        <v>72</v>
      </c>
      <c r="E7389" s="44" t="n">
        <v>6240.0591</v>
      </c>
    </row>
    <row r="7390">
      <c r="A7390" s="39">
        <f>_xlfn.XLOOKUP(40777,Trip[shape_id],Trip[shape_id],"Não encontrado")</f>
        <v/>
      </c>
      <c r="B7390" s="40" t="n">
        <v>-23.566083</v>
      </c>
      <c r="C7390" s="40" t="n">
        <v>-46.684208</v>
      </c>
      <c r="D7390" s="40" t="n">
        <v>73</v>
      </c>
      <c r="E7390" s="41" t="n">
        <v>6439.874</v>
      </c>
    </row>
    <row r="7391">
      <c r="A7391" s="42">
        <f>_xlfn.XLOOKUP(40777,Trip[shape_id],Trip[shape_id],"Não encontrado")</f>
        <v/>
      </c>
      <c r="B7391" s="43" t="n">
        <v>-23.566691</v>
      </c>
      <c r="C7391" s="43" t="n">
        <v>-46.6857</v>
      </c>
      <c r="D7391" s="43" t="n">
        <v>74</v>
      </c>
      <c r="E7391" s="44" t="n">
        <v>6606.4126</v>
      </c>
    </row>
    <row r="7392">
      <c r="A7392" s="39">
        <f>_xlfn.XLOOKUP(40777,Trip[shape_id],Trip[shape_id],"Não encontrado")</f>
        <v/>
      </c>
      <c r="B7392" s="40" t="n">
        <v>-23.567553</v>
      </c>
      <c r="C7392" s="40" t="n">
        <v>-46.687849</v>
      </c>
      <c r="D7392" s="40" t="n">
        <v>75</v>
      </c>
      <c r="E7392" s="41" t="n">
        <v>6845.6738</v>
      </c>
    </row>
    <row r="7393">
      <c r="A7393" s="42">
        <f>_xlfn.XLOOKUP(40777,Trip[shape_id],Trip[shape_id],"Não encontrado")</f>
        <v/>
      </c>
      <c r="B7393" s="43" t="n">
        <v>-23.56782</v>
      </c>
      <c r="C7393" s="43" t="n">
        <v>-46.688855</v>
      </c>
      <c r="D7393" s="43" t="n">
        <v>76</v>
      </c>
      <c r="E7393" s="44" t="n">
        <v>6952.5474</v>
      </c>
    </row>
    <row r="7394">
      <c r="A7394" s="39">
        <f>_xlfn.XLOOKUP(40777,Trip[shape_id],Trip[shape_id],"Não encontrado")</f>
        <v/>
      </c>
      <c r="B7394" s="40" t="n">
        <v>-23.567873</v>
      </c>
      <c r="C7394" s="40" t="n">
        <v>-46.689214</v>
      </c>
      <c r="D7394" s="40" t="n">
        <v>77</v>
      </c>
      <c r="E7394" s="41" t="n">
        <v>6989.6646</v>
      </c>
    </row>
    <row r="7395">
      <c r="A7395" s="42">
        <f>_xlfn.XLOOKUP(40777,Trip[shape_id],Trip[shape_id],"Não encontrado")</f>
        <v/>
      </c>
      <c r="B7395" s="43" t="n">
        <v>-23.567896</v>
      </c>
      <c r="C7395" s="43" t="n">
        <v>-46.689961</v>
      </c>
      <c r="D7395" s="43" t="n">
        <v>78</v>
      </c>
      <c r="E7395" s="44" t="n">
        <v>7065.9673</v>
      </c>
    </row>
    <row r="7396">
      <c r="A7396" s="39">
        <f>_xlfn.XLOOKUP(40777,Trip[shape_id],Trip[shape_id],"Não encontrado")</f>
        <v/>
      </c>
      <c r="B7396" s="40" t="n">
        <v>-23.567854</v>
      </c>
      <c r="C7396" s="40" t="n">
        <v>-46.690902</v>
      </c>
      <c r="D7396" s="40" t="n">
        <v>79</v>
      </c>
      <c r="E7396" s="41" t="n">
        <v>7162.145</v>
      </c>
    </row>
    <row r="7397">
      <c r="A7397" s="42">
        <f>_xlfn.XLOOKUP(40777,Trip[shape_id],Trip[shape_id],"Não encontrado")</f>
        <v/>
      </c>
      <c r="B7397" s="43" t="n">
        <v>-23.567719</v>
      </c>
      <c r="C7397" s="43" t="n">
        <v>-46.691865</v>
      </c>
      <c r="D7397" s="43" t="n">
        <v>80</v>
      </c>
      <c r="E7397" s="44" t="n">
        <v>7261.5869</v>
      </c>
    </row>
    <row r="7398">
      <c r="A7398" s="39">
        <f>_xlfn.XLOOKUP(40777,Trip[shape_id],Trip[shape_id],"Não encontrado")</f>
        <v/>
      </c>
      <c r="B7398" s="40" t="n">
        <v>-23.567534</v>
      </c>
      <c r="C7398" s="40" t="n">
        <v>-46.69284</v>
      </c>
      <c r="D7398" s="40" t="n">
        <v>81</v>
      </c>
      <c r="E7398" s="41" t="n">
        <v>7363.2104</v>
      </c>
    </row>
    <row r="7399">
      <c r="A7399" s="42">
        <f>_xlfn.XLOOKUP(40777,Trip[shape_id],Trip[shape_id],"Não encontrado")</f>
        <v/>
      </c>
      <c r="B7399" s="43" t="n">
        <v>-23.567237</v>
      </c>
      <c r="C7399" s="43" t="n">
        <v>-46.694134</v>
      </c>
      <c r="D7399" s="43" t="n">
        <v>82</v>
      </c>
      <c r="E7399" s="44" t="n">
        <v>7499.3472</v>
      </c>
    </row>
    <row r="7400">
      <c r="A7400" s="39">
        <f>_xlfn.XLOOKUP(40777,Trip[shape_id],Trip[shape_id],"Não encontrado")</f>
        <v/>
      </c>
      <c r="B7400" s="40" t="n">
        <v>-23.567203</v>
      </c>
      <c r="C7400" s="40" t="n">
        <v>-46.694345</v>
      </c>
      <c r="D7400" s="40" t="n">
        <v>83</v>
      </c>
      <c r="E7400" s="41" t="n">
        <v>7521.2148</v>
      </c>
    </row>
    <row r="7401">
      <c r="A7401" s="42">
        <f>_xlfn.XLOOKUP(40777,Trip[shape_id],Trip[shape_id],"Não encontrado")</f>
        <v/>
      </c>
      <c r="B7401" s="43" t="n">
        <v>-23.56714</v>
      </c>
      <c r="C7401" s="43" t="n">
        <v>-46.69473</v>
      </c>
      <c r="D7401" s="43" t="n">
        <v>84</v>
      </c>
      <c r="E7401" s="44" t="n">
        <v>7561.1338</v>
      </c>
    </row>
    <row r="7402">
      <c r="A7402" s="39">
        <f>_xlfn.XLOOKUP(40777,Trip[shape_id],Trip[shape_id],"Não encontrado")</f>
        <v/>
      </c>
      <c r="B7402" s="40" t="n">
        <v>-23.567047</v>
      </c>
      <c r="C7402" s="40" t="n">
        <v>-46.695507</v>
      </c>
      <c r="D7402" s="40" t="n">
        <v>85</v>
      </c>
      <c r="E7402" s="41" t="n">
        <v>7641.123</v>
      </c>
    </row>
    <row r="7403">
      <c r="A7403" s="42">
        <f>_xlfn.XLOOKUP(40777,Trip[shape_id],Trip[shape_id],"Não encontrado")</f>
        <v/>
      </c>
      <c r="B7403" s="43" t="n">
        <v>-23.567014</v>
      </c>
      <c r="C7403" s="43" t="n">
        <v>-46.695791</v>
      </c>
      <c r="D7403" s="43" t="n">
        <v>86</v>
      </c>
      <c r="E7403" s="44" t="n">
        <v>7670.3457</v>
      </c>
    </row>
    <row r="7404">
      <c r="A7404" s="39">
        <f>_xlfn.XLOOKUP(40777,Trip[shape_id],Trip[shape_id],"Não encontrado")</f>
        <v/>
      </c>
      <c r="B7404" s="40" t="n">
        <v>-23.567015</v>
      </c>
      <c r="C7404" s="40" t="n">
        <v>-46.696504</v>
      </c>
      <c r="D7404" s="40" t="n">
        <v>87</v>
      </c>
      <c r="E7404" s="41" t="n">
        <v>7743.1353</v>
      </c>
    </row>
    <row r="7405">
      <c r="A7405" s="42">
        <f>_xlfn.XLOOKUP(40777,Trip[shape_id],Trip[shape_id],"Não encontrado")</f>
        <v/>
      </c>
      <c r="B7405" s="43" t="n">
        <v>-23.567017</v>
      </c>
      <c r="C7405" s="43" t="n">
        <v>-46.697018</v>
      </c>
      <c r="D7405" s="43" t="n">
        <v>88</v>
      </c>
      <c r="E7405" s="44" t="n">
        <v>7795.6094</v>
      </c>
    </row>
    <row r="7406">
      <c r="A7406" s="39">
        <f>_xlfn.XLOOKUP(40777,Trip[shape_id],Trip[shape_id],"Não encontrado")</f>
        <v/>
      </c>
      <c r="B7406" s="40" t="n">
        <v>-23.567037</v>
      </c>
      <c r="C7406" s="40" t="n">
        <v>-46.697843</v>
      </c>
      <c r="D7406" s="40" t="n">
        <v>89</v>
      </c>
      <c r="E7406" s="41" t="n">
        <v>7879.8623</v>
      </c>
    </row>
    <row r="7407">
      <c r="A7407" s="42">
        <f>_xlfn.XLOOKUP(40777,Trip[shape_id],Trip[shape_id],"Não encontrado")</f>
        <v/>
      </c>
      <c r="B7407" s="43" t="n">
        <v>-23.567048</v>
      </c>
      <c r="C7407" s="43" t="n">
        <v>-46.698339</v>
      </c>
      <c r="D7407" s="43" t="n">
        <v>90</v>
      </c>
      <c r="E7407" s="44" t="n">
        <v>7930.5132</v>
      </c>
    </row>
    <row r="7408">
      <c r="A7408" s="39">
        <f>_xlfn.XLOOKUP(40777,Trip[shape_id],Trip[shape_id],"Não encontrado")</f>
        <v/>
      </c>
      <c r="B7408" s="40" t="n">
        <v>-23.567062</v>
      </c>
      <c r="C7408" s="40" t="n">
        <v>-46.698892</v>
      </c>
      <c r="D7408" s="40" t="n">
        <v>91</v>
      </c>
      <c r="E7408" s="41" t="n">
        <v>7986.9897</v>
      </c>
    </row>
    <row r="7409">
      <c r="A7409" s="42">
        <f>_xlfn.XLOOKUP(40777,Trip[shape_id],Trip[shape_id],"Não encontrado")</f>
        <v/>
      </c>
      <c r="B7409" s="43" t="n">
        <v>-23.567071</v>
      </c>
      <c r="C7409" s="43" t="n">
        <v>-46.69936</v>
      </c>
      <c r="D7409" s="43" t="n">
        <v>92</v>
      </c>
      <c r="E7409" s="44" t="n">
        <v>8034.7778</v>
      </c>
    </row>
    <row r="7410">
      <c r="A7410" s="39">
        <f>_xlfn.XLOOKUP(40777,Trip[shape_id],Trip[shape_id],"Não encontrado")</f>
        <v/>
      </c>
      <c r="B7410" s="40" t="n">
        <v>-23.567083</v>
      </c>
      <c r="C7410" s="40" t="n">
        <v>-46.699793</v>
      </c>
      <c r="D7410" s="40" t="n">
        <v>93</v>
      </c>
      <c r="E7410" s="41" t="n">
        <v>8079.0024</v>
      </c>
    </row>
    <row r="7411">
      <c r="A7411" s="42">
        <f>_xlfn.XLOOKUP(40777,Trip[shape_id],Trip[shape_id],"Não encontrado")</f>
        <v/>
      </c>
      <c r="B7411" s="43" t="n">
        <v>-23.567102</v>
      </c>
      <c r="C7411" s="43" t="n">
        <v>-46.700654</v>
      </c>
      <c r="D7411" s="43" t="n">
        <v>94</v>
      </c>
      <c r="E7411" s="44" t="n">
        <v>8166.9263</v>
      </c>
    </row>
    <row r="7412">
      <c r="A7412" s="39">
        <f>_xlfn.XLOOKUP(40777,Trip[shape_id],Trip[shape_id],"Não encontrado")</f>
        <v/>
      </c>
      <c r="B7412" s="40" t="n">
        <v>-23.567195</v>
      </c>
      <c r="C7412" s="40" t="n">
        <v>-46.701627</v>
      </c>
      <c r="D7412" s="40" t="n">
        <v>95</v>
      </c>
      <c r="E7412" s="41" t="n">
        <v>8266.791999999999</v>
      </c>
    </row>
    <row r="7413">
      <c r="A7413" s="42">
        <f>_xlfn.XLOOKUP(40777,Trip[shape_id],Trip[shape_id],"Não encontrado")</f>
        <v/>
      </c>
      <c r="B7413" s="43" t="n">
        <v>-23.567256</v>
      </c>
      <c r="C7413" s="43" t="n">
        <v>-46.702035</v>
      </c>
      <c r="D7413" s="43" t="n">
        <v>96</v>
      </c>
      <c r="E7413" s="44" t="n">
        <v>8308.988300000001</v>
      </c>
    </row>
    <row r="7414">
      <c r="A7414" s="39">
        <f>_xlfn.XLOOKUP(40777,Trip[shape_id],Trip[shape_id],"Não encontrado")</f>
        <v/>
      </c>
      <c r="B7414" s="40" t="n">
        <v>-23.567311</v>
      </c>
      <c r="C7414" s="40" t="n">
        <v>-46.702306</v>
      </c>
      <c r="D7414" s="40" t="n">
        <v>97</v>
      </c>
      <c r="E7414" s="41" t="n">
        <v>8410.295899999999</v>
      </c>
    </row>
    <row r="7415">
      <c r="A7415" s="42">
        <f>_xlfn.XLOOKUP(40777,Trip[shape_id],Trip[shape_id],"Não encontrado")</f>
        <v/>
      </c>
      <c r="B7415" s="43" t="n">
        <v>-23.567449</v>
      </c>
      <c r="C7415" s="43" t="n">
        <v>-46.703005</v>
      </c>
      <c r="D7415" s="43" t="n">
        <v>98</v>
      </c>
      <c r="E7415" s="44" t="n">
        <v>8447.281300000001</v>
      </c>
    </row>
    <row r="7416">
      <c r="A7416" s="39">
        <f>_xlfn.XLOOKUP(40777,Trip[shape_id],Trip[shape_id],"Não encontrado")</f>
        <v/>
      </c>
      <c r="B7416" s="40" t="n">
        <v>-23.56752</v>
      </c>
      <c r="C7416" s="40" t="n">
        <v>-46.703359</v>
      </c>
      <c r="D7416" s="40" t="n">
        <v>99</v>
      </c>
      <c r="E7416" s="41" t="n">
        <v>8487.348599999999</v>
      </c>
    </row>
    <row r="7417">
      <c r="A7417" s="42">
        <f>_xlfn.XLOOKUP(40777,Trip[shape_id],Trip[shape_id],"Não encontrado")</f>
        <v/>
      </c>
      <c r="B7417" s="43" t="n">
        <v>-23.567614</v>
      </c>
      <c r="C7417" s="43" t="n">
        <v>-46.703738</v>
      </c>
      <c r="D7417" s="43" t="n">
        <v>100</v>
      </c>
      <c r="E7417" s="44" t="n">
        <v>8543.3164</v>
      </c>
    </row>
    <row r="7418">
      <c r="A7418" s="39">
        <f>_xlfn.XLOOKUP(40777,Trip[shape_id],Trip[shape_id],"Não encontrado")</f>
        <v/>
      </c>
      <c r="B7418" s="40" t="n">
        <v>-23.56775</v>
      </c>
      <c r="C7418" s="40" t="n">
        <v>-46.704266</v>
      </c>
      <c r="D7418" s="40" t="n">
        <v>101</v>
      </c>
      <c r="E7418" s="41" t="n">
        <v>8607.477500000001</v>
      </c>
    </row>
    <row r="7419">
      <c r="A7419" s="42">
        <f>_xlfn.XLOOKUP(40777,Trip[shape_id],Trip[shape_id],"Não encontrado")</f>
        <v/>
      </c>
      <c r="B7419" s="43" t="n">
        <v>-23.568054</v>
      </c>
      <c r="C7419" s="43" t="n">
        <v>-46.704801</v>
      </c>
      <c r="D7419" s="43" t="n">
        <v>102</v>
      </c>
      <c r="E7419" s="44" t="n">
        <v>8674.9619</v>
      </c>
    </row>
    <row r="7420">
      <c r="A7420" s="39">
        <f>_xlfn.XLOOKUP(40777,Trip[shape_id],Trip[shape_id],"Não encontrado")</f>
        <v/>
      </c>
      <c r="B7420" s="40" t="n">
        <v>-23.568471</v>
      </c>
      <c r="C7420" s="40" t="n">
        <v>-46.705283</v>
      </c>
      <c r="D7420" s="40" t="n">
        <v>103</v>
      </c>
      <c r="E7420" s="41" t="n">
        <v>8731.4141</v>
      </c>
    </row>
    <row r="7421">
      <c r="A7421" s="42">
        <f>_xlfn.XLOOKUP(40777,Trip[shape_id],Trip[shape_id],"Não encontrado")</f>
        <v/>
      </c>
      <c r="B7421" s="43" t="n">
        <v>-23.568821</v>
      </c>
      <c r="C7421" s="43" t="n">
        <v>-46.705685</v>
      </c>
      <c r="D7421" s="43" t="n">
        <v>104</v>
      </c>
      <c r="E7421" s="44" t="n">
        <v>8828.7744</v>
      </c>
    </row>
    <row r="7422">
      <c r="A7422" s="39">
        <f>_xlfn.XLOOKUP(40777,Trip[shape_id],Trip[shape_id],"Não encontrado")</f>
        <v/>
      </c>
      <c r="B7422" s="40" t="n">
        <v>-23.569485</v>
      </c>
      <c r="C7422" s="40" t="n">
        <v>-46.70631</v>
      </c>
      <c r="D7422" s="40" t="n">
        <v>105</v>
      </c>
      <c r="E7422" s="41" t="n">
        <v>8919.761699999999</v>
      </c>
    </row>
    <row r="7423">
      <c r="A7423" s="42">
        <f>_xlfn.XLOOKUP(40777,Trip[shape_id],Trip[shape_id],"Não encontrado")</f>
        <v/>
      </c>
      <c r="B7423" s="43" t="n">
        <v>-23.570104</v>
      </c>
      <c r="C7423" s="43" t="n">
        <v>-46.706896</v>
      </c>
      <c r="D7423" s="43" t="n">
        <v>106</v>
      </c>
      <c r="E7423" s="44" t="n">
        <v>8942.953100000001</v>
      </c>
    </row>
    <row r="7424">
      <c r="A7424" s="39">
        <f>_xlfn.XLOOKUP(40777,Trip[shape_id],Trip[shape_id],"Não encontrado")</f>
        <v/>
      </c>
      <c r="B7424" s="40" t="n">
        <v>-23.570277</v>
      </c>
      <c r="C7424" s="40" t="n">
        <v>-46.707024</v>
      </c>
      <c r="D7424" s="40" t="n">
        <v>107</v>
      </c>
      <c r="E7424" s="41" t="n">
        <v>9007.4629</v>
      </c>
    </row>
    <row r="7425">
      <c r="A7425" s="42">
        <f>_xlfn.XLOOKUP(40777,Trip[shape_id],Trip[shape_id],"Não encontrado")</f>
        <v/>
      </c>
      <c r="B7425" s="43" t="n">
        <v>-23.570765</v>
      </c>
      <c r="C7425" s="43" t="n">
        <v>-46.707369</v>
      </c>
      <c r="D7425" s="43" t="n">
        <v>108</v>
      </c>
      <c r="E7425" s="44" t="n">
        <v>9090.5195</v>
      </c>
    </row>
    <row r="7426">
      <c r="A7426" s="39">
        <f>_xlfn.XLOOKUP(40777,Trip[shape_id],Trip[shape_id],"Não encontrado")</f>
        <v/>
      </c>
      <c r="B7426" s="40" t="n">
        <v>-23.571391</v>
      </c>
      <c r="C7426" s="40" t="n">
        <v>-46.707817</v>
      </c>
      <c r="D7426" s="40" t="n">
        <v>109</v>
      </c>
      <c r="E7426" s="41" t="n">
        <v>9121.737300000001</v>
      </c>
    </row>
    <row r="7427">
      <c r="A7427" s="42">
        <f>_xlfn.XLOOKUP(40777,Trip[shape_id],Trip[shape_id],"Não encontrado")</f>
        <v/>
      </c>
      <c r="B7427" s="43" t="n">
        <v>-23.571643</v>
      </c>
      <c r="C7427" s="43" t="n">
        <v>-46.707954</v>
      </c>
      <c r="D7427" s="43" t="n">
        <v>110</v>
      </c>
      <c r="E7427" s="44" t="n">
        <v>9156.223599999999</v>
      </c>
    </row>
    <row r="7428">
      <c r="A7428" s="39">
        <f>_xlfn.XLOOKUP(40777,Trip[shape_id],Trip[shape_id],"Não encontrado")</f>
        <v/>
      </c>
      <c r="B7428" s="40" t="n">
        <v>-23.571922</v>
      </c>
      <c r="C7428" s="40" t="n">
        <v>-46.708104</v>
      </c>
      <c r="D7428" s="40" t="n">
        <v>111</v>
      </c>
      <c r="E7428" s="41" t="n">
        <v>9156.223599999999</v>
      </c>
    </row>
    <row r="7429">
      <c r="A7429" s="42">
        <f>_xlfn.XLOOKUP(40777,Trip[shape_id],Trip[shape_id],"Não encontrado")</f>
        <v/>
      </c>
      <c r="B7429" s="43" t="n">
        <v>-23.573812</v>
      </c>
      <c r="C7429" s="43" t="n">
        <v>-46.708942</v>
      </c>
      <c r="D7429" s="43" t="n">
        <v>112</v>
      </c>
      <c r="E7429" s="44" t="n">
        <v>9597.690399999999</v>
      </c>
    </row>
    <row r="7430">
      <c r="A7430" s="39">
        <f>_xlfn.XLOOKUP(40777,Trip[shape_id],Trip[shape_id],"Não encontrado")</f>
        <v/>
      </c>
      <c r="B7430" s="40" t="n">
        <v>-23.575679</v>
      </c>
      <c r="C7430" s="40" t="n">
        <v>-46.709531</v>
      </c>
      <c r="D7430" s="40" t="n">
        <v>113</v>
      </c>
      <c r="E7430" s="41" t="n">
        <v>9830.2881</v>
      </c>
    </row>
    <row r="7431">
      <c r="A7431" s="42">
        <f>_xlfn.XLOOKUP(40777,Trip[shape_id],Trip[shape_id],"Não encontrado")</f>
        <v/>
      </c>
      <c r="B7431" s="43" t="n">
        <v>-23.577665</v>
      </c>
      <c r="C7431" s="43" t="n">
        <v>-46.710272</v>
      </c>
      <c r="D7431" s="43" t="n">
        <v>114</v>
      </c>
      <c r="E7431" s="44" t="n">
        <v>9986.0098</v>
      </c>
    </row>
    <row r="7432">
      <c r="A7432" s="39">
        <f>_xlfn.XLOOKUP(40777,Trip[shape_id],Trip[shape_id],"Não encontrado")</f>
        <v/>
      </c>
      <c r="B7432" s="40" t="n">
        <v>-23.579066</v>
      </c>
      <c r="C7432" s="40" t="n">
        <v>-46.710401</v>
      </c>
      <c r="D7432" s="40" t="n">
        <v>115</v>
      </c>
      <c r="E7432" s="41" t="n">
        <v>10067.663</v>
      </c>
    </row>
    <row r="7433">
      <c r="A7433" s="42">
        <f>_xlfn.XLOOKUP(40777,Trip[shape_id],Trip[shape_id],"Não encontrado")</f>
        <v/>
      </c>
      <c r="B7433" s="43" t="n">
        <v>-23.579637</v>
      </c>
      <c r="C7433" s="43" t="n">
        <v>-46.710907</v>
      </c>
      <c r="D7433" s="43" t="n">
        <v>116</v>
      </c>
      <c r="E7433" s="44" t="n">
        <v>10161.898</v>
      </c>
    </row>
    <row r="7434">
      <c r="A7434" s="39">
        <f>_xlfn.XLOOKUP(40777,Trip[shape_id],Trip[shape_id],"Não encontrado")</f>
        <v/>
      </c>
      <c r="B7434" s="40" t="n">
        <v>-23.580386</v>
      </c>
      <c r="C7434" s="40" t="n">
        <v>-46.711345</v>
      </c>
      <c r="D7434" s="40" t="n">
        <v>117</v>
      </c>
      <c r="E7434" s="41" t="n">
        <v>10265.156</v>
      </c>
    </row>
    <row r="7435">
      <c r="A7435" s="42">
        <f>_xlfn.XLOOKUP(40777,Trip[shape_id],Trip[shape_id],"Não encontrado")</f>
        <v/>
      </c>
      <c r="B7435" s="43" t="n">
        <v>-23.581189</v>
      </c>
      <c r="C7435" s="43" t="n">
        <v>-46.711859</v>
      </c>
      <c r="D7435" s="43" t="n">
        <v>118</v>
      </c>
      <c r="E7435" s="44" t="n">
        <v>10363.642</v>
      </c>
    </row>
    <row r="7436">
      <c r="A7436" s="39">
        <f>_xlfn.XLOOKUP(40777,Trip[shape_id],Trip[shape_id],"Não encontrado")</f>
        <v/>
      </c>
      <c r="B7436" s="40" t="n">
        <v>-23.581868</v>
      </c>
      <c r="C7436" s="40" t="n">
        <v>-46.712482</v>
      </c>
      <c r="D7436" s="40" t="n">
        <v>119</v>
      </c>
      <c r="E7436" s="41" t="n">
        <v>10442.981</v>
      </c>
    </row>
    <row r="7437">
      <c r="A7437" s="42">
        <f>_xlfn.XLOOKUP(40777,Trip[shape_id],Trip[shape_id],"Não encontrado")</f>
        <v/>
      </c>
      <c r="B7437" s="43" t="n">
        <v>-23.582285</v>
      </c>
      <c r="C7437" s="43" t="n">
        <v>-46.713114</v>
      </c>
      <c r="D7437" s="43" t="n">
        <v>120</v>
      </c>
      <c r="E7437" s="44" t="n">
        <v>10706.688</v>
      </c>
    </row>
    <row r="7438">
      <c r="A7438" s="39">
        <f>_xlfn.XLOOKUP(40777,Trip[shape_id],Trip[shape_id],"Não encontrado")</f>
        <v/>
      </c>
      <c r="B7438" s="40" t="n">
        <v>-23.583323</v>
      </c>
      <c r="C7438" s="40" t="n">
        <v>-46.715439</v>
      </c>
      <c r="D7438" s="40" t="n">
        <v>121</v>
      </c>
      <c r="E7438" s="41" t="n">
        <v>10825.902</v>
      </c>
    </row>
    <row r="7439">
      <c r="A7439" s="42">
        <f>_xlfn.XLOOKUP(40777,Trip[shape_id],Trip[shape_id],"Não encontrado")</f>
        <v/>
      </c>
      <c r="B7439" s="43" t="n">
        <v>-23.583748</v>
      </c>
      <c r="C7439" s="43" t="n">
        <v>-46.716512</v>
      </c>
      <c r="D7439" s="43" t="n">
        <v>122</v>
      </c>
      <c r="E7439" s="44" t="n">
        <v>10884.344</v>
      </c>
    </row>
    <row r="7440">
      <c r="A7440" s="39">
        <f>_xlfn.XLOOKUP(40777,Trip[shape_id],Trip[shape_id],"Não encontrado")</f>
        <v/>
      </c>
      <c r="B7440" s="40" t="n">
        <v>-23.583943</v>
      </c>
      <c r="C7440" s="40" t="n">
        <v>-46.717044</v>
      </c>
      <c r="D7440" s="40" t="n">
        <v>123</v>
      </c>
      <c r="E7440" s="41" t="n">
        <v>10909.744</v>
      </c>
    </row>
    <row r="7441">
      <c r="A7441" s="42">
        <f>_xlfn.XLOOKUP(40777,Trip[shape_id],Trip[shape_id],"Não encontrado")</f>
        <v/>
      </c>
      <c r="B7441" s="43" t="n">
        <v>-23.584073</v>
      </c>
      <c r="C7441" s="43" t="n">
        <v>-46.717249</v>
      </c>
      <c r="D7441" s="43" t="n">
        <v>124</v>
      </c>
      <c r="E7441" s="44" t="n">
        <v>10963.608</v>
      </c>
    </row>
    <row r="7442">
      <c r="A7442" s="39">
        <f>_xlfn.XLOOKUP(40777,Trip[shape_id],Trip[shape_id],"Não encontrado")</f>
        <v/>
      </c>
      <c r="B7442" s="40" t="n">
        <v>-23.584365</v>
      </c>
      <c r="C7442" s="40" t="n">
        <v>-46.717671</v>
      </c>
      <c r="D7442" s="40" t="n">
        <v>125</v>
      </c>
      <c r="E7442" s="41" t="n">
        <v>10998.965</v>
      </c>
    </row>
    <row r="7443">
      <c r="A7443" s="42">
        <f>_xlfn.XLOOKUP(40777,Trip[shape_id],Trip[shape_id],"Não encontrado")</f>
        <v/>
      </c>
      <c r="B7443" s="43" t="n">
        <v>-23.584518</v>
      </c>
      <c r="C7443" s="43" t="n">
        <v>-46.717975</v>
      </c>
      <c r="D7443" s="43" t="n">
        <v>126</v>
      </c>
      <c r="E7443" s="44" t="n">
        <v>11030.945</v>
      </c>
    </row>
    <row r="7444">
      <c r="A7444" s="39">
        <f>_xlfn.XLOOKUP(40777,Trip[shape_id],Trip[shape_id],"Não encontrado")</f>
        <v/>
      </c>
      <c r="B7444" s="40" t="n">
        <v>-23.584625</v>
      </c>
      <c r="C7444" s="40" t="n">
        <v>-46.718266</v>
      </c>
      <c r="D7444" s="40" t="n">
        <v>127</v>
      </c>
      <c r="E7444" s="41" t="n">
        <v>11100.328</v>
      </c>
    </row>
    <row r="7445">
      <c r="A7445" s="42">
        <f>_xlfn.XLOOKUP(40777,Trip[shape_id],Trip[shape_id],"Não encontrado")</f>
        <v/>
      </c>
      <c r="B7445" s="43" t="n">
        <v>-23.584725</v>
      </c>
      <c r="C7445" s="43" t="n">
        <v>-46.718937</v>
      </c>
      <c r="D7445" s="43" t="n">
        <v>128</v>
      </c>
      <c r="E7445" s="44" t="n">
        <v>11168.539</v>
      </c>
    </row>
    <row r="7446">
      <c r="A7446" s="39">
        <f>_xlfn.XLOOKUP(40777,Trip[shape_id],Trip[shape_id],"Não encontrado")</f>
        <v/>
      </c>
      <c r="B7446" s="40" t="n">
        <v>-23.584809</v>
      </c>
      <c r="C7446" s="40" t="n">
        <v>-46.719599</v>
      </c>
      <c r="D7446" s="40" t="n">
        <v>129</v>
      </c>
      <c r="E7446" s="41" t="n">
        <v>11214.2</v>
      </c>
    </row>
    <row r="7447">
      <c r="A7447" s="42">
        <f>_xlfn.XLOOKUP(40777,Trip[shape_id],Trip[shape_id],"Não encontrado")</f>
        <v/>
      </c>
      <c r="B7447" s="43" t="n">
        <v>-23.584916</v>
      </c>
      <c r="C7447" s="43" t="n">
        <v>-46.720031</v>
      </c>
      <c r="D7447" s="43" t="n">
        <v>130</v>
      </c>
      <c r="E7447" s="44" t="n">
        <v>11322.346</v>
      </c>
    </row>
    <row r="7448">
      <c r="A7448" s="39">
        <f>_xlfn.XLOOKUP(40777,Trip[shape_id],Trip[shape_id],"Não encontrado")</f>
        <v/>
      </c>
      <c r="B7448" s="40" t="n">
        <v>-23.585202</v>
      </c>
      <c r="C7448" s="40" t="n">
        <v>-46.721044</v>
      </c>
      <c r="D7448" s="40" t="n">
        <v>131</v>
      </c>
      <c r="E7448" s="41" t="n">
        <v>11599.044</v>
      </c>
    </row>
    <row r="7449">
      <c r="A7449" s="42">
        <f>_xlfn.XLOOKUP(40777,Trip[shape_id],Trip[shape_id],"Não encontrado")</f>
        <v/>
      </c>
      <c r="B7449" s="43" t="n">
        <v>-23.58617</v>
      </c>
      <c r="C7449" s="43" t="n">
        <v>-46.723543</v>
      </c>
      <c r="D7449" s="43" t="n">
        <v>132</v>
      </c>
      <c r="E7449" s="44" t="n">
        <v>11599.044</v>
      </c>
    </row>
    <row r="7450">
      <c r="A7450" s="39">
        <f>_xlfn.XLOOKUP(40777,Trip[shape_id],Trip[shape_id],"Não encontrado")</f>
        <v/>
      </c>
      <c r="B7450" s="40" t="n">
        <v>-23.586634</v>
      </c>
      <c r="C7450" s="40" t="n">
        <v>-46.724793</v>
      </c>
      <c r="D7450" s="40" t="n">
        <v>133</v>
      </c>
      <c r="E7450" s="41" t="n">
        <v>11835.17</v>
      </c>
    </row>
    <row r="7451">
      <c r="A7451" s="42">
        <f>_xlfn.XLOOKUP(40777,Trip[shape_id],Trip[shape_id],"Não encontrado")</f>
        <v/>
      </c>
      <c r="B7451" s="43" t="n">
        <v>-23.586966</v>
      </c>
      <c r="C7451" s="43" t="n">
        <v>-46.725689</v>
      </c>
      <c r="D7451" s="43" t="n">
        <v>134</v>
      </c>
      <c r="E7451" s="44" t="n">
        <v>11874.458</v>
      </c>
    </row>
    <row r="7452">
      <c r="A7452" s="39">
        <f>_xlfn.XLOOKUP(40777,Trip[shape_id],Trip[shape_id],"Não encontrado")</f>
        <v/>
      </c>
      <c r="B7452" s="40" t="n">
        <v>-23.587134</v>
      </c>
      <c r="C7452" s="40" t="n">
        <v>-46.726028</v>
      </c>
      <c r="D7452" s="40" t="n">
        <v>135</v>
      </c>
      <c r="E7452" s="41" t="n">
        <v>11951.374</v>
      </c>
    </row>
    <row r="7453">
      <c r="A7453" s="42">
        <f>_xlfn.XLOOKUP(40777,Trip[shape_id],Trip[shape_id],"Não encontrado")</f>
        <v/>
      </c>
      <c r="B7453" s="43" t="n">
        <v>-23.587543</v>
      </c>
      <c r="C7453" s="43" t="n">
        <v>-46.726637</v>
      </c>
      <c r="D7453" s="43" t="n">
        <v>136</v>
      </c>
      <c r="E7453" s="44" t="n">
        <v>11961.562</v>
      </c>
    </row>
    <row r="7454">
      <c r="A7454" s="39">
        <f>_xlfn.XLOOKUP(40777,Trip[shape_id],Trip[shape_id],"Não encontrado")</f>
        <v/>
      </c>
      <c r="B7454" s="40" t="n">
        <v>-23.587598</v>
      </c>
      <c r="C7454" s="40" t="n">
        <v>-46.726717</v>
      </c>
      <c r="D7454" s="40" t="n">
        <v>137</v>
      </c>
      <c r="E7454" s="41" t="n">
        <v>12277.66</v>
      </c>
    </row>
    <row r="7455">
      <c r="A7455" s="42">
        <f>_xlfn.XLOOKUP(40777,Trip[shape_id],Trip[shape_id],"Não encontrado")</f>
        <v/>
      </c>
      <c r="B7455" s="43" t="n">
        <v>-23.589137</v>
      </c>
      <c r="C7455" s="43" t="n">
        <v>-46.729325</v>
      </c>
      <c r="D7455" s="43" t="n">
        <v>138</v>
      </c>
      <c r="E7455" s="44" t="n">
        <v>12415.288</v>
      </c>
    </row>
    <row r="7456">
      <c r="A7456" s="39">
        <f>_xlfn.XLOOKUP(40777,Trip[shape_id],Trip[shape_id],"Não encontrado")</f>
        <v/>
      </c>
      <c r="B7456" s="40" t="n">
        <v>-23.590017</v>
      </c>
      <c r="C7456" s="40" t="n">
        <v>-46.730277</v>
      </c>
      <c r="D7456" s="40" t="n">
        <v>139</v>
      </c>
      <c r="E7456" s="41" t="n">
        <v>12502.438</v>
      </c>
    </row>
    <row r="7457">
      <c r="A7457" s="42">
        <f>_xlfn.XLOOKUP(40777,Trip[shape_id],Trip[shape_id],"Não encontrado")</f>
        <v/>
      </c>
      <c r="B7457" s="43" t="n">
        <v>-23.590575</v>
      </c>
      <c r="C7457" s="43" t="n">
        <v>-46.730879</v>
      </c>
      <c r="D7457" s="43" t="n">
        <v>140</v>
      </c>
      <c r="E7457" s="44" t="n">
        <v>12657.986</v>
      </c>
    </row>
    <row r="7458">
      <c r="A7458" s="39">
        <f>_xlfn.XLOOKUP(40777,Trip[shape_id],Trip[shape_id],"Não encontrado")</f>
        <v/>
      </c>
      <c r="B7458" s="40" t="n">
        <v>-23.591649</v>
      </c>
      <c r="C7458" s="40" t="n">
        <v>-46.731861</v>
      </c>
      <c r="D7458" s="40" t="n">
        <v>141</v>
      </c>
      <c r="E7458" s="41" t="n">
        <v>12701.481</v>
      </c>
    </row>
    <row r="7459">
      <c r="A7459" s="42">
        <f>_xlfn.XLOOKUP(40777,Trip[shape_id],Trip[shape_id],"Não encontrado")</f>
        <v/>
      </c>
      <c r="B7459" s="43" t="n">
        <v>-23.591903</v>
      </c>
      <c r="C7459" s="43" t="n">
        <v>-46.732186</v>
      </c>
      <c r="D7459" s="43" t="n">
        <v>142</v>
      </c>
      <c r="E7459" s="44" t="n">
        <v>12812.028</v>
      </c>
    </row>
    <row r="7460">
      <c r="A7460" s="39">
        <f>_xlfn.XLOOKUP(40777,Trip[shape_id],Trip[shape_id],"Não encontrado")</f>
        <v/>
      </c>
      <c r="B7460" s="40" t="n">
        <v>-23.592347</v>
      </c>
      <c r="C7460" s="40" t="n">
        <v>-46.733156</v>
      </c>
      <c r="D7460" s="40" t="n">
        <v>143</v>
      </c>
      <c r="E7460" s="41" t="n">
        <v>12910.802</v>
      </c>
    </row>
    <row r="7461">
      <c r="A7461" s="42">
        <f>_xlfn.XLOOKUP(40777,Trip[shape_id],Trip[shape_id],"Não encontrado")</f>
        <v/>
      </c>
      <c r="B7461" s="43" t="n">
        <v>-23.592695</v>
      </c>
      <c r="C7461" s="43" t="n">
        <v>-46.734047</v>
      </c>
      <c r="D7461" s="43" t="n">
        <v>144</v>
      </c>
      <c r="E7461" s="44" t="n">
        <v>12959.9</v>
      </c>
    </row>
    <row r="7462">
      <c r="A7462" s="39">
        <f>_xlfn.XLOOKUP(40777,Trip[shape_id],Trip[shape_id],"Não encontrado")</f>
        <v/>
      </c>
      <c r="B7462" s="40" t="n">
        <v>-23.592625</v>
      </c>
      <c r="C7462" s="40" t="n">
        <v>-46.734522</v>
      </c>
      <c r="D7462" s="40" t="n">
        <v>145</v>
      </c>
      <c r="E7462" s="41" t="n">
        <v>13005.104</v>
      </c>
    </row>
    <row r="7463">
      <c r="A7463" s="42">
        <f>_xlfn.XLOOKUP(40777,Trip[shape_id],Trip[shape_id],"Não encontrado")</f>
        <v/>
      </c>
      <c r="B7463" s="43" t="n">
        <v>-23.592485</v>
      </c>
      <c r="C7463" s="43" t="n">
        <v>-46.734938</v>
      </c>
      <c r="D7463" s="43" t="n">
        <v>146</v>
      </c>
      <c r="E7463" s="44" t="n">
        <v>13042.641</v>
      </c>
    </row>
    <row r="7464">
      <c r="A7464" s="39">
        <f>_xlfn.XLOOKUP(40777,Trip[shape_id],Trip[shape_id],"Não encontrado")</f>
        <v/>
      </c>
      <c r="B7464" s="40" t="n">
        <v>-23.592297</v>
      </c>
      <c r="C7464" s="40" t="n">
        <v>-46.735244</v>
      </c>
      <c r="D7464" s="40" t="n">
        <v>147</v>
      </c>
      <c r="E7464" s="41" t="n">
        <v>13067.688</v>
      </c>
    </row>
    <row r="7465">
      <c r="A7465" s="42">
        <f>_xlfn.XLOOKUP(40777,Trip[shape_id],Trip[shape_id],"Não encontrado")</f>
        <v/>
      </c>
      <c r="B7465" s="43" t="n">
        <v>-23.592177</v>
      </c>
      <c r="C7465" s="43" t="n">
        <v>-46.735452</v>
      </c>
      <c r="D7465" s="43" t="n">
        <v>148</v>
      </c>
      <c r="E7465" s="44" t="n">
        <v>13131.553</v>
      </c>
    </row>
    <row r="7466">
      <c r="A7466" s="39">
        <f>_xlfn.XLOOKUP(40777,Trip[shape_id],Trip[shape_id],"Não encontrado")</f>
        <v/>
      </c>
      <c r="B7466" s="40" t="n">
        <v>-23.59165</v>
      </c>
      <c r="C7466" s="40" t="n">
        <v>-46.735706</v>
      </c>
      <c r="D7466" s="40" t="n">
        <v>149</v>
      </c>
      <c r="E7466" s="41" t="n">
        <v>13131.553</v>
      </c>
    </row>
    <row r="7467">
      <c r="A7467" s="42">
        <f>_xlfn.XLOOKUP(40778,Trip[shape_id],Trip[shape_id],"Não encontrado")</f>
        <v/>
      </c>
      <c r="B7467" s="43" t="n">
        <v>-23.59165</v>
      </c>
      <c r="C7467" s="43" t="n">
        <v>-46.735706</v>
      </c>
      <c r="D7467" s="43" t="n">
        <v>1</v>
      </c>
      <c r="E7467" s="44" t="n">
        <v>0</v>
      </c>
    </row>
    <row r="7468">
      <c r="A7468" s="39">
        <f>_xlfn.XLOOKUP(40778,Trip[shape_id],Trip[shape_id],"Não encontrado")</f>
        <v/>
      </c>
      <c r="B7468" s="40" t="n">
        <v>-23.592177</v>
      </c>
      <c r="C7468" s="40" t="n">
        <v>-46.735452</v>
      </c>
      <c r="D7468" s="40" t="n">
        <v>2</v>
      </c>
      <c r="E7468" s="41" t="n">
        <v>63.865398</v>
      </c>
    </row>
    <row r="7469">
      <c r="A7469" s="42">
        <f>_xlfn.XLOOKUP(40778,Trip[shape_id],Trip[shape_id],"Não encontrado")</f>
        <v/>
      </c>
      <c r="B7469" s="43" t="n">
        <v>-23.592297</v>
      </c>
      <c r="C7469" s="43" t="n">
        <v>-46.735244</v>
      </c>
      <c r="D7469" s="43" t="n">
        <v>3</v>
      </c>
      <c r="E7469" s="44" t="n">
        <v>88.912674</v>
      </c>
    </row>
    <row r="7470">
      <c r="A7470" s="39">
        <f>_xlfn.XLOOKUP(40778,Trip[shape_id],Trip[shape_id],"Não encontrado")</f>
        <v/>
      </c>
      <c r="B7470" s="40" t="n">
        <v>-23.592485</v>
      </c>
      <c r="C7470" s="40" t="n">
        <v>-46.734938</v>
      </c>
      <c r="D7470" s="40" t="n">
        <v>4</v>
      </c>
      <c r="E7470" s="41" t="n">
        <v>126.44995</v>
      </c>
    </row>
    <row r="7471">
      <c r="A7471" s="42">
        <f>_xlfn.XLOOKUP(40778,Trip[shape_id],Trip[shape_id],"Não encontrado")</f>
        <v/>
      </c>
      <c r="B7471" s="43" t="n">
        <v>-23.592625</v>
      </c>
      <c r="C7471" s="43" t="n">
        <v>-46.734522</v>
      </c>
      <c r="D7471" s="43" t="n">
        <v>5</v>
      </c>
      <c r="E7471" s="44" t="n">
        <v>171.65335</v>
      </c>
    </row>
    <row r="7472">
      <c r="A7472" s="39">
        <f>_xlfn.XLOOKUP(40778,Trip[shape_id],Trip[shape_id],"Não encontrado")</f>
        <v/>
      </c>
      <c r="B7472" s="40" t="n">
        <v>-23.592695</v>
      </c>
      <c r="C7472" s="40" t="n">
        <v>-46.734047</v>
      </c>
      <c r="D7472" s="40" t="n">
        <v>6</v>
      </c>
      <c r="E7472" s="41" t="n">
        <v>220.7523</v>
      </c>
    </row>
    <row r="7473">
      <c r="A7473" s="42">
        <f>_xlfn.XLOOKUP(40778,Trip[shape_id],Trip[shape_id],"Não encontrado")</f>
        <v/>
      </c>
      <c r="B7473" s="43" t="n">
        <v>-23.592347</v>
      </c>
      <c r="C7473" s="43" t="n">
        <v>-46.733156</v>
      </c>
      <c r="D7473" s="43" t="n">
        <v>7</v>
      </c>
      <c r="E7473" s="44" t="n">
        <v>319.52618</v>
      </c>
    </row>
    <row r="7474">
      <c r="A7474" s="39">
        <f>_xlfn.XLOOKUP(40778,Trip[shape_id],Trip[shape_id],"Não encontrado")</f>
        <v/>
      </c>
      <c r="B7474" s="40" t="n">
        <v>-23.591903</v>
      </c>
      <c r="C7474" s="40" t="n">
        <v>-46.732186</v>
      </c>
      <c r="D7474" s="40" t="n">
        <v>8</v>
      </c>
      <c r="E7474" s="41" t="n">
        <v>430.07318</v>
      </c>
    </row>
    <row r="7475">
      <c r="A7475" s="42">
        <f>_xlfn.XLOOKUP(40778,Trip[shape_id],Trip[shape_id],"Não encontrado")</f>
        <v/>
      </c>
      <c r="B7475" s="43" t="n">
        <v>-23.591649</v>
      </c>
      <c r="C7475" s="43" t="n">
        <v>-46.731861</v>
      </c>
      <c r="D7475" s="43" t="n">
        <v>9</v>
      </c>
      <c r="E7475" s="44" t="n">
        <v>473.56802</v>
      </c>
    </row>
    <row r="7476">
      <c r="A7476" s="39">
        <f>_xlfn.XLOOKUP(40778,Trip[shape_id],Trip[shape_id],"Não encontrado")</f>
        <v/>
      </c>
      <c r="B7476" s="40" t="n">
        <v>-23.590575</v>
      </c>
      <c r="C7476" s="40" t="n">
        <v>-46.730879</v>
      </c>
      <c r="D7476" s="40" t="n">
        <v>10</v>
      </c>
      <c r="E7476" s="41" t="n">
        <v>629.11664</v>
      </c>
    </row>
    <row r="7477">
      <c r="A7477" s="42">
        <f>_xlfn.XLOOKUP(40778,Trip[shape_id],Trip[shape_id],"Não encontrado")</f>
        <v/>
      </c>
      <c r="B7477" s="43" t="n">
        <v>-23.590017</v>
      </c>
      <c r="C7477" s="43" t="n">
        <v>-46.730277</v>
      </c>
      <c r="D7477" s="43" t="n">
        <v>11</v>
      </c>
      <c r="E7477" s="44" t="n">
        <v>716.2655600000001</v>
      </c>
    </row>
    <row r="7478">
      <c r="A7478" s="39">
        <f>_xlfn.XLOOKUP(40778,Trip[shape_id],Trip[shape_id],"Não encontrado")</f>
        <v/>
      </c>
      <c r="B7478" s="40" t="n">
        <v>-23.589137</v>
      </c>
      <c r="C7478" s="40" t="n">
        <v>-46.729325</v>
      </c>
      <c r="D7478" s="40" t="n">
        <v>12</v>
      </c>
      <c r="E7478" s="41" t="n">
        <v>853.89307</v>
      </c>
    </row>
    <row r="7479">
      <c r="A7479" s="42">
        <f>_xlfn.XLOOKUP(40778,Trip[shape_id],Trip[shape_id],"Não encontrado")</f>
        <v/>
      </c>
      <c r="B7479" s="43" t="n">
        <v>-23.587598</v>
      </c>
      <c r="C7479" s="43" t="n">
        <v>-46.726717</v>
      </c>
      <c r="D7479" s="43" t="n">
        <v>13</v>
      </c>
      <c r="E7479" s="44" t="n">
        <v>1169.9912</v>
      </c>
    </row>
    <row r="7480">
      <c r="A7480" s="39">
        <f>_xlfn.XLOOKUP(40778,Trip[shape_id],Trip[shape_id],"Não encontrado")</f>
        <v/>
      </c>
      <c r="B7480" s="40" t="n">
        <v>-23.587543</v>
      </c>
      <c r="C7480" s="40" t="n">
        <v>-46.726637</v>
      </c>
      <c r="D7480" s="40" t="n">
        <v>14</v>
      </c>
      <c r="E7480" s="41" t="n">
        <v>1180.1792</v>
      </c>
    </row>
    <row r="7481">
      <c r="A7481" s="42">
        <f>_xlfn.XLOOKUP(40778,Trip[shape_id],Trip[shape_id],"Não encontrado")</f>
        <v/>
      </c>
      <c r="B7481" s="43" t="n">
        <v>-23.587134</v>
      </c>
      <c r="C7481" s="43" t="n">
        <v>-46.726028</v>
      </c>
      <c r="D7481" s="43" t="n">
        <v>15</v>
      </c>
      <c r="E7481" s="44" t="n">
        <v>1257.0953</v>
      </c>
    </row>
    <row r="7482">
      <c r="A7482" s="39">
        <f>_xlfn.XLOOKUP(40778,Trip[shape_id],Trip[shape_id],"Não encontrado")</f>
        <v/>
      </c>
      <c r="B7482" s="40" t="n">
        <v>-23.586966</v>
      </c>
      <c r="C7482" s="40" t="n">
        <v>-46.725689</v>
      </c>
      <c r="D7482" s="40" t="n">
        <v>16</v>
      </c>
      <c r="E7482" s="41" t="n">
        <v>1296.3837</v>
      </c>
    </row>
    <row r="7483">
      <c r="A7483" s="42">
        <f>_xlfn.XLOOKUP(40778,Trip[shape_id],Trip[shape_id],"Não encontrado")</f>
        <v/>
      </c>
      <c r="B7483" s="43" t="n">
        <v>-23.586634</v>
      </c>
      <c r="C7483" s="43" t="n">
        <v>-46.724793</v>
      </c>
      <c r="D7483" s="43" t="n">
        <v>17</v>
      </c>
      <c r="E7483" s="44" t="n">
        <v>1394.9567</v>
      </c>
    </row>
    <row r="7484">
      <c r="A7484" s="39">
        <f>_xlfn.XLOOKUP(40778,Trip[shape_id],Trip[shape_id],"Não encontrado")</f>
        <v/>
      </c>
      <c r="B7484" s="40" t="n">
        <v>-23.58617</v>
      </c>
      <c r="C7484" s="40" t="n">
        <v>-46.723543</v>
      </c>
      <c r="D7484" s="40" t="n">
        <v>18</v>
      </c>
      <c r="E7484" s="41" t="n">
        <v>1532.5095</v>
      </c>
    </row>
    <row r="7485">
      <c r="A7485" s="42">
        <f>_xlfn.XLOOKUP(40778,Trip[shape_id],Trip[shape_id],"Não encontrado")</f>
        <v/>
      </c>
      <c r="B7485" s="43" t="n">
        <v>-23.585202</v>
      </c>
      <c r="C7485" s="43" t="n">
        <v>-46.721044</v>
      </c>
      <c r="D7485" s="43" t="n">
        <v>19</v>
      </c>
      <c r="E7485" s="44" t="n">
        <v>1809.208</v>
      </c>
    </row>
    <row r="7486">
      <c r="A7486" s="39">
        <f>_xlfn.XLOOKUP(40778,Trip[shape_id],Trip[shape_id],"Não encontrado")</f>
        <v/>
      </c>
      <c r="B7486" s="40" t="n">
        <v>-23.584916</v>
      </c>
      <c r="C7486" s="40" t="n">
        <v>-46.720031</v>
      </c>
      <c r="D7486" s="40" t="n">
        <v>20</v>
      </c>
      <c r="E7486" s="41" t="n">
        <v>1917.3531</v>
      </c>
    </row>
    <row r="7487">
      <c r="A7487" s="42">
        <f>_xlfn.XLOOKUP(40778,Trip[shape_id],Trip[shape_id],"Não encontrado")</f>
        <v/>
      </c>
      <c r="B7487" s="43" t="n">
        <v>-23.584809</v>
      </c>
      <c r="C7487" s="43" t="n">
        <v>-46.719599</v>
      </c>
      <c r="D7487" s="43" t="n">
        <v>21</v>
      </c>
      <c r="E7487" s="44" t="n">
        <v>1963.0143</v>
      </c>
    </row>
    <row r="7488">
      <c r="A7488" s="39">
        <f>_xlfn.XLOOKUP(40778,Trip[shape_id],Trip[shape_id],"Não encontrado")</f>
        <v/>
      </c>
      <c r="B7488" s="40" t="n">
        <v>-23.584725</v>
      </c>
      <c r="C7488" s="40" t="n">
        <v>-46.718937</v>
      </c>
      <c r="D7488" s="40" t="n">
        <v>22</v>
      </c>
      <c r="E7488" s="41" t="n">
        <v>2031.2257</v>
      </c>
    </row>
    <row r="7489">
      <c r="A7489" s="42">
        <f>_xlfn.XLOOKUP(40778,Trip[shape_id],Trip[shape_id],"Não encontrado")</f>
        <v/>
      </c>
      <c r="B7489" s="43" t="n">
        <v>-23.584625</v>
      </c>
      <c r="C7489" s="43" t="n">
        <v>-46.718266</v>
      </c>
      <c r="D7489" s="43" t="n">
        <v>23</v>
      </c>
      <c r="E7489" s="44" t="n">
        <v>2100.6082</v>
      </c>
    </row>
    <row r="7490">
      <c r="A7490" s="39">
        <f>_xlfn.XLOOKUP(40778,Trip[shape_id],Trip[shape_id],"Não encontrado")</f>
        <v/>
      </c>
      <c r="B7490" s="40" t="n">
        <v>-23.584518</v>
      </c>
      <c r="C7490" s="40" t="n">
        <v>-46.717975</v>
      </c>
      <c r="D7490" s="40" t="n">
        <v>24</v>
      </c>
      <c r="E7490" s="41" t="n">
        <v>2132.5889</v>
      </c>
    </row>
    <row r="7491">
      <c r="A7491" s="42">
        <f>_xlfn.XLOOKUP(40778,Trip[shape_id],Trip[shape_id],"Não encontrado")</f>
        <v/>
      </c>
      <c r="B7491" s="43" t="n">
        <v>-23.584365</v>
      </c>
      <c r="C7491" s="43" t="n">
        <v>-46.717671</v>
      </c>
      <c r="D7491" s="43" t="n">
        <v>25</v>
      </c>
      <c r="E7491" s="44" t="n">
        <v>2167.9451</v>
      </c>
    </row>
    <row r="7492">
      <c r="A7492" s="39">
        <f>_xlfn.XLOOKUP(40778,Trip[shape_id],Trip[shape_id],"Não encontrado")</f>
        <v/>
      </c>
      <c r="B7492" s="40" t="n">
        <v>-23.584073</v>
      </c>
      <c r="C7492" s="40" t="n">
        <v>-46.717249</v>
      </c>
      <c r="D7492" s="40" t="n">
        <v>26</v>
      </c>
      <c r="E7492" s="41" t="n">
        <v>2221.8096</v>
      </c>
    </row>
    <row r="7493">
      <c r="A7493" s="42">
        <f>_xlfn.XLOOKUP(40778,Trip[shape_id],Trip[shape_id],"Não encontrado")</f>
        <v/>
      </c>
      <c r="B7493" s="43" t="n">
        <v>-23.583943</v>
      </c>
      <c r="C7493" s="43" t="n">
        <v>-46.717044</v>
      </c>
      <c r="D7493" s="43" t="n">
        <v>27</v>
      </c>
      <c r="E7493" s="44" t="n">
        <v>2247.21</v>
      </c>
    </row>
    <row r="7494">
      <c r="A7494" s="39">
        <f>_xlfn.XLOOKUP(40778,Trip[shape_id],Trip[shape_id],"Não encontrado")</f>
        <v/>
      </c>
      <c r="B7494" s="40" t="n">
        <v>-23.583748</v>
      </c>
      <c r="C7494" s="40" t="n">
        <v>-46.716512</v>
      </c>
      <c r="D7494" s="40" t="n">
        <v>28</v>
      </c>
      <c r="E7494" s="41" t="n">
        <v>2305.6514</v>
      </c>
    </row>
    <row r="7495">
      <c r="A7495" s="42">
        <f>_xlfn.XLOOKUP(40778,Trip[shape_id],Trip[shape_id],"Não encontrado")</f>
        <v/>
      </c>
      <c r="B7495" s="43" t="n">
        <v>-23.583323</v>
      </c>
      <c r="C7495" s="43" t="n">
        <v>-46.715439</v>
      </c>
      <c r="D7495" s="43" t="n">
        <v>29</v>
      </c>
      <c r="E7495" s="44" t="n">
        <v>2424.8652</v>
      </c>
    </row>
    <row r="7496">
      <c r="A7496" s="39">
        <f>_xlfn.XLOOKUP(40778,Trip[shape_id],Trip[shape_id],"Não encontrado")</f>
        <v/>
      </c>
      <c r="B7496" s="40" t="n">
        <v>-23.582285</v>
      </c>
      <c r="C7496" s="40" t="n">
        <v>-46.713114</v>
      </c>
      <c r="D7496" s="40" t="n">
        <v>30</v>
      </c>
      <c r="E7496" s="41" t="n">
        <v>2688.5718</v>
      </c>
    </row>
    <row r="7497">
      <c r="A7497" s="42">
        <f>_xlfn.XLOOKUP(40778,Trip[shape_id],Trip[shape_id],"Não encontrado")</f>
        <v/>
      </c>
      <c r="B7497" s="43" t="n">
        <v>-23.581868</v>
      </c>
      <c r="C7497" s="43" t="n">
        <v>-46.712482</v>
      </c>
      <c r="D7497" s="43" t="n">
        <v>31</v>
      </c>
      <c r="E7497" s="44" t="n">
        <v>2767.9121</v>
      </c>
    </row>
    <row r="7498">
      <c r="A7498" s="39">
        <f>_xlfn.XLOOKUP(40778,Trip[shape_id],Trip[shape_id],"Não encontrado")</f>
        <v/>
      </c>
      <c r="B7498" s="40" t="n">
        <v>-23.581189</v>
      </c>
      <c r="C7498" s="40" t="n">
        <v>-46.711859</v>
      </c>
      <c r="D7498" s="40" t="n">
        <v>32</v>
      </c>
      <c r="E7498" s="41" t="n">
        <v>2866.3977</v>
      </c>
    </row>
    <row r="7499">
      <c r="A7499" s="42">
        <f>_xlfn.XLOOKUP(40778,Trip[shape_id],Trip[shape_id],"Não encontrado")</f>
        <v/>
      </c>
      <c r="B7499" s="43" t="n">
        <v>-23.580386</v>
      </c>
      <c r="C7499" s="43" t="n">
        <v>-46.711345</v>
      </c>
      <c r="D7499" s="43" t="n">
        <v>33</v>
      </c>
      <c r="E7499" s="44" t="n">
        <v>2969.6555</v>
      </c>
    </row>
    <row r="7500">
      <c r="A7500" s="39">
        <f>_xlfn.XLOOKUP(40778,Trip[shape_id],Trip[shape_id],"Não encontrado")</f>
        <v/>
      </c>
      <c r="B7500" s="40" t="n">
        <v>-23.579637</v>
      </c>
      <c r="C7500" s="40" t="n">
        <v>-46.710907</v>
      </c>
      <c r="D7500" s="40" t="n">
        <v>34</v>
      </c>
      <c r="E7500" s="41" t="n">
        <v>3063.8909</v>
      </c>
    </row>
    <row r="7501">
      <c r="A7501" s="42">
        <f>_xlfn.XLOOKUP(40778,Trip[shape_id],Trip[shape_id],"Não encontrado")</f>
        <v/>
      </c>
      <c r="B7501" s="43" t="n">
        <v>-23.579066</v>
      </c>
      <c r="C7501" s="43" t="n">
        <v>-46.710401</v>
      </c>
      <c r="D7501" s="43" t="n">
        <v>35</v>
      </c>
      <c r="E7501" s="44" t="n">
        <v>3145.5439</v>
      </c>
    </row>
    <row r="7502">
      <c r="A7502" s="39">
        <f>_xlfn.XLOOKUP(40778,Trip[shape_id],Trip[shape_id],"Não encontrado")</f>
        <v/>
      </c>
      <c r="B7502" s="40" t="n">
        <v>-23.577665</v>
      </c>
      <c r="C7502" s="40" t="n">
        <v>-46.710272</v>
      </c>
      <c r="D7502" s="40" t="n">
        <v>36</v>
      </c>
      <c r="E7502" s="41" t="n">
        <v>3301.2656</v>
      </c>
    </row>
    <row r="7503">
      <c r="A7503" s="42">
        <f>_xlfn.XLOOKUP(40778,Trip[shape_id],Trip[shape_id],"Não encontrado")</f>
        <v/>
      </c>
      <c r="B7503" s="43" t="n">
        <v>-23.575679</v>
      </c>
      <c r="C7503" s="43" t="n">
        <v>-46.709531</v>
      </c>
      <c r="D7503" s="43" t="n">
        <v>37</v>
      </c>
      <c r="E7503" s="44" t="n">
        <v>3533.8628</v>
      </c>
    </row>
    <row r="7504">
      <c r="A7504" s="39">
        <f>_xlfn.XLOOKUP(40778,Trip[shape_id],Trip[shape_id],"Não encontrado")</f>
        <v/>
      </c>
      <c r="B7504" s="40" t="n">
        <v>-23.573812</v>
      </c>
      <c r="C7504" s="40" t="n">
        <v>-46.708942</v>
      </c>
      <c r="D7504" s="40" t="n">
        <v>38</v>
      </c>
      <c r="E7504" s="41" t="n">
        <v>3749.2017</v>
      </c>
    </row>
    <row r="7505">
      <c r="A7505" s="42">
        <f>_xlfn.XLOOKUP(40778,Trip[shape_id],Trip[shape_id],"Não encontrado")</f>
        <v/>
      </c>
      <c r="B7505" s="43" t="n">
        <v>-23.571922</v>
      </c>
      <c r="C7505" s="43" t="n">
        <v>-46.708104</v>
      </c>
      <c r="D7505" s="43" t="n">
        <v>39</v>
      </c>
      <c r="E7505" s="44" t="n">
        <v>3975.3293</v>
      </c>
    </row>
    <row r="7506">
      <c r="A7506" s="39">
        <f>_xlfn.XLOOKUP(40778,Trip[shape_id],Trip[shape_id],"Não encontrado")</f>
        <v/>
      </c>
      <c r="B7506" s="40" t="n">
        <v>-23.571643</v>
      </c>
      <c r="C7506" s="40" t="n">
        <v>-46.707954</v>
      </c>
      <c r="D7506" s="40" t="n">
        <v>40</v>
      </c>
      <c r="E7506" s="41" t="n">
        <v>4009.8154</v>
      </c>
    </row>
    <row r="7507">
      <c r="A7507" s="42">
        <f>_xlfn.XLOOKUP(40778,Trip[shape_id],Trip[shape_id],"Não encontrado")</f>
        <v/>
      </c>
      <c r="B7507" s="43" t="n">
        <v>-23.571391</v>
      </c>
      <c r="C7507" s="43" t="n">
        <v>-46.707817</v>
      </c>
      <c r="D7507" s="43" t="n">
        <v>41</v>
      </c>
      <c r="E7507" s="44" t="n">
        <v>4041.033</v>
      </c>
    </row>
    <row r="7508">
      <c r="A7508" s="39">
        <f>_xlfn.XLOOKUP(40778,Trip[shape_id],Trip[shape_id],"Não encontrado")</f>
        <v/>
      </c>
      <c r="B7508" s="40" t="n">
        <v>-23.570765</v>
      </c>
      <c r="C7508" s="40" t="n">
        <v>-46.707369</v>
      </c>
      <c r="D7508" s="40" t="n">
        <v>42</v>
      </c>
      <c r="E7508" s="41" t="n">
        <v>4124.0898</v>
      </c>
    </row>
    <row r="7509">
      <c r="A7509" s="42">
        <f>_xlfn.XLOOKUP(40778,Trip[shape_id],Trip[shape_id],"Não encontrado")</f>
        <v/>
      </c>
      <c r="B7509" s="43" t="n">
        <v>-23.570277</v>
      </c>
      <c r="C7509" s="43" t="n">
        <v>-46.707024</v>
      </c>
      <c r="D7509" s="43" t="n">
        <v>43</v>
      </c>
      <c r="E7509" s="44" t="n">
        <v>4188.5996</v>
      </c>
    </row>
    <row r="7510">
      <c r="A7510" s="39">
        <f>_xlfn.XLOOKUP(40778,Trip[shape_id],Trip[shape_id],"Não encontrado")</f>
        <v/>
      </c>
      <c r="B7510" s="40" t="n">
        <v>-23.570104</v>
      </c>
      <c r="C7510" s="40" t="n">
        <v>-46.706896</v>
      </c>
      <c r="D7510" s="40" t="n">
        <v>44</v>
      </c>
      <c r="E7510" s="41" t="n">
        <v>4211.7915</v>
      </c>
    </row>
    <row r="7511">
      <c r="A7511" s="42">
        <f>_xlfn.XLOOKUP(40778,Trip[shape_id],Trip[shape_id],"Não encontrado")</f>
        <v/>
      </c>
      <c r="B7511" s="43" t="n">
        <v>-23.569485</v>
      </c>
      <c r="C7511" s="43" t="n">
        <v>-46.70631</v>
      </c>
      <c r="D7511" s="43" t="n">
        <v>45</v>
      </c>
      <c r="E7511" s="44" t="n">
        <v>4302.7788</v>
      </c>
    </row>
    <row r="7512">
      <c r="A7512" s="39">
        <f>_xlfn.XLOOKUP(40778,Trip[shape_id],Trip[shape_id],"Não encontrado")</f>
        <v/>
      </c>
      <c r="B7512" s="40" t="n">
        <v>-23.568821</v>
      </c>
      <c r="C7512" s="40" t="n">
        <v>-46.705685</v>
      </c>
      <c r="D7512" s="40" t="n">
        <v>46</v>
      </c>
      <c r="E7512" s="41" t="n">
        <v>4400.1396</v>
      </c>
    </row>
    <row r="7513">
      <c r="A7513" s="42">
        <f>_xlfn.XLOOKUP(40778,Trip[shape_id],Trip[shape_id],"Não encontrado")</f>
        <v/>
      </c>
      <c r="B7513" s="43" t="n">
        <v>-23.568471</v>
      </c>
      <c r="C7513" s="43" t="n">
        <v>-46.705283</v>
      </c>
      <c r="D7513" s="43" t="n">
        <v>47</v>
      </c>
      <c r="E7513" s="44" t="n">
        <v>4456.5913</v>
      </c>
    </row>
    <row r="7514">
      <c r="A7514" s="39">
        <f>_xlfn.XLOOKUP(40778,Trip[shape_id],Trip[shape_id],"Não encontrado")</f>
        <v/>
      </c>
      <c r="B7514" s="40" t="n">
        <v>-23.568054</v>
      </c>
      <c r="C7514" s="40" t="n">
        <v>-46.704801</v>
      </c>
      <c r="D7514" s="40" t="n">
        <v>48</v>
      </c>
      <c r="E7514" s="41" t="n">
        <v>4524.0762</v>
      </c>
    </row>
    <row r="7515">
      <c r="A7515" s="42">
        <f>_xlfn.XLOOKUP(40778,Trip[shape_id],Trip[shape_id],"Não encontrado")</f>
        <v/>
      </c>
      <c r="B7515" s="43" t="n">
        <v>-23.56775</v>
      </c>
      <c r="C7515" s="43" t="n">
        <v>-46.704266</v>
      </c>
      <c r="D7515" s="43" t="n">
        <v>49</v>
      </c>
      <c r="E7515" s="44" t="n">
        <v>4588.2373</v>
      </c>
    </row>
    <row r="7516">
      <c r="A7516" s="39">
        <f>_xlfn.XLOOKUP(40778,Trip[shape_id],Trip[shape_id],"Não encontrado")</f>
        <v/>
      </c>
      <c r="B7516" s="40" t="n">
        <v>-23.567614</v>
      </c>
      <c r="C7516" s="40" t="n">
        <v>-46.703738</v>
      </c>
      <c r="D7516" s="40" t="n">
        <v>50</v>
      </c>
      <c r="E7516" s="41" t="n">
        <v>4644.2051</v>
      </c>
    </row>
    <row r="7517">
      <c r="A7517" s="42">
        <f>_xlfn.XLOOKUP(40778,Trip[shape_id],Trip[shape_id],"Não encontrado")</f>
        <v/>
      </c>
      <c r="B7517" s="43" t="n">
        <v>-23.56752</v>
      </c>
      <c r="C7517" s="43" t="n">
        <v>-46.703359</v>
      </c>
      <c r="D7517" s="43" t="n">
        <v>51</v>
      </c>
      <c r="E7517" s="44" t="n">
        <v>4684.2729</v>
      </c>
    </row>
    <row r="7518">
      <c r="A7518" s="39">
        <f>_xlfn.XLOOKUP(40778,Trip[shape_id],Trip[shape_id],"Não encontrado")</f>
        <v/>
      </c>
      <c r="B7518" s="40" t="n">
        <v>-23.567449</v>
      </c>
      <c r="C7518" s="40" t="n">
        <v>-46.703005</v>
      </c>
      <c r="D7518" s="40" t="n">
        <v>52</v>
      </c>
      <c r="E7518" s="41" t="n">
        <v>4721.2583</v>
      </c>
    </row>
    <row r="7519">
      <c r="A7519" s="42">
        <f>_xlfn.XLOOKUP(40778,Trip[shape_id],Trip[shape_id],"Não encontrado")</f>
        <v/>
      </c>
      <c r="B7519" s="43" t="n">
        <v>-23.567311</v>
      </c>
      <c r="C7519" s="43" t="n">
        <v>-46.702306</v>
      </c>
      <c r="D7519" s="43" t="n">
        <v>53</v>
      </c>
      <c r="E7519" s="44" t="n">
        <v>4794.2368</v>
      </c>
    </row>
    <row r="7520">
      <c r="A7520" s="39">
        <f>_xlfn.XLOOKUP(40778,Trip[shape_id],Trip[shape_id],"Não encontrado")</f>
        <v/>
      </c>
      <c r="B7520" s="40" t="n">
        <v>-23.567256</v>
      </c>
      <c r="C7520" s="40" t="n">
        <v>-46.702035</v>
      </c>
      <c r="D7520" s="40" t="n">
        <v>54</v>
      </c>
      <c r="E7520" s="41" t="n">
        <v>4822.5659</v>
      </c>
    </row>
    <row r="7521">
      <c r="A7521" s="42">
        <f>_xlfn.XLOOKUP(40778,Trip[shape_id],Trip[shape_id],"Não encontrado")</f>
        <v/>
      </c>
      <c r="B7521" s="43" t="n">
        <v>-23.567195</v>
      </c>
      <c r="C7521" s="43" t="n">
        <v>-46.701627</v>
      </c>
      <c r="D7521" s="43" t="n">
        <v>55</v>
      </c>
      <c r="E7521" s="44" t="n">
        <v>4964.6279</v>
      </c>
    </row>
    <row r="7522">
      <c r="A7522" s="39">
        <f>_xlfn.XLOOKUP(40778,Trip[shape_id],Trip[shape_id],"Não encontrado")</f>
        <v/>
      </c>
      <c r="B7522" s="40" t="n">
        <v>-23.567102</v>
      </c>
      <c r="C7522" s="40" t="n">
        <v>-46.700654</v>
      </c>
      <c r="D7522" s="40" t="n">
        <v>56</v>
      </c>
      <c r="E7522" s="41" t="n">
        <v>5052.5518</v>
      </c>
    </row>
    <row r="7523">
      <c r="A7523" s="42">
        <f>_xlfn.XLOOKUP(40778,Trip[shape_id],Trip[shape_id],"Não encontrado")</f>
        <v/>
      </c>
      <c r="B7523" s="43" t="n">
        <v>-23.567083</v>
      </c>
      <c r="C7523" s="43" t="n">
        <v>-46.699793</v>
      </c>
      <c r="D7523" s="43" t="n">
        <v>57</v>
      </c>
      <c r="E7523" s="44" t="n">
        <v>5096.7764</v>
      </c>
    </row>
    <row r="7524">
      <c r="A7524" s="39">
        <f>_xlfn.XLOOKUP(40778,Trip[shape_id],Trip[shape_id],"Não encontrado")</f>
        <v/>
      </c>
      <c r="B7524" s="40" t="n">
        <v>-23.567071</v>
      </c>
      <c r="C7524" s="40" t="n">
        <v>-46.69936</v>
      </c>
      <c r="D7524" s="40" t="n">
        <v>58</v>
      </c>
      <c r="E7524" s="41" t="n">
        <v>5144.5645</v>
      </c>
    </row>
    <row r="7525">
      <c r="A7525" s="42">
        <f>_xlfn.XLOOKUP(40778,Trip[shape_id],Trip[shape_id],"Não encontrado")</f>
        <v/>
      </c>
      <c r="B7525" s="43" t="n">
        <v>-23.567062</v>
      </c>
      <c r="C7525" s="43" t="n">
        <v>-46.698892</v>
      </c>
      <c r="D7525" s="43" t="n">
        <v>59</v>
      </c>
      <c r="E7525" s="44" t="n">
        <v>5201.041</v>
      </c>
    </row>
    <row r="7526">
      <c r="A7526" s="39">
        <f>_xlfn.XLOOKUP(40778,Trip[shape_id],Trip[shape_id],"Não encontrado")</f>
        <v/>
      </c>
      <c r="B7526" s="40" t="n">
        <v>-23.567048</v>
      </c>
      <c r="C7526" s="40" t="n">
        <v>-46.698339</v>
      </c>
      <c r="D7526" s="40" t="n">
        <v>60</v>
      </c>
      <c r="E7526" s="41" t="n">
        <v>5251.6919</v>
      </c>
    </row>
    <row r="7527">
      <c r="A7527" s="42">
        <f>_xlfn.XLOOKUP(40778,Trip[shape_id],Trip[shape_id],"Não encontrado")</f>
        <v/>
      </c>
      <c r="B7527" s="43" t="n">
        <v>-23.567037</v>
      </c>
      <c r="C7527" s="43" t="n">
        <v>-46.697843</v>
      </c>
      <c r="D7527" s="43" t="n">
        <v>61</v>
      </c>
      <c r="E7527" s="44" t="n">
        <v>5335.9448</v>
      </c>
    </row>
    <row r="7528">
      <c r="A7528" s="39">
        <f>_xlfn.XLOOKUP(40778,Trip[shape_id],Trip[shape_id],"Não encontrado")</f>
        <v/>
      </c>
      <c r="B7528" s="40" t="n">
        <v>-23.567017</v>
      </c>
      <c r="C7528" s="40" t="n">
        <v>-46.697018</v>
      </c>
      <c r="D7528" s="40" t="n">
        <v>62</v>
      </c>
      <c r="E7528" s="41" t="n">
        <v>5388.4189</v>
      </c>
    </row>
    <row r="7529">
      <c r="A7529" s="42">
        <f>_xlfn.XLOOKUP(40778,Trip[shape_id],Trip[shape_id],"Não encontrado")</f>
        <v/>
      </c>
      <c r="B7529" s="43" t="n">
        <v>-23.567015</v>
      </c>
      <c r="C7529" s="43" t="n">
        <v>-46.696504</v>
      </c>
      <c r="D7529" s="43" t="n">
        <v>63</v>
      </c>
      <c r="E7529" s="44" t="n">
        <v>5461.2085</v>
      </c>
    </row>
    <row r="7530">
      <c r="A7530" s="39">
        <f>_xlfn.XLOOKUP(40778,Trip[shape_id],Trip[shape_id],"Não encontrado")</f>
        <v/>
      </c>
      <c r="B7530" s="40" t="n">
        <v>-23.567014</v>
      </c>
      <c r="C7530" s="40" t="n">
        <v>-46.695791</v>
      </c>
      <c r="D7530" s="40" t="n">
        <v>64</v>
      </c>
      <c r="E7530" s="41" t="n">
        <v>5490.4312</v>
      </c>
    </row>
    <row r="7531">
      <c r="A7531" s="42">
        <f>_xlfn.XLOOKUP(40778,Trip[shape_id],Trip[shape_id],"Não encontrado")</f>
        <v/>
      </c>
      <c r="B7531" s="43" t="n">
        <v>-23.567047</v>
      </c>
      <c r="C7531" s="43" t="n">
        <v>-46.695507</v>
      </c>
      <c r="D7531" s="43" t="n">
        <v>65</v>
      </c>
      <c r="E7531" s="44" t="n">
        <v>5570.4204</v>
      </c>
    </row>
    <row r="7532">
      <c r="A7532" s="39">
        <f>_xlfn.XLOOKUP(40778,Trip[shape_id],Trip[shape_id],"Não encontrado")</f>
        <v/>
      </c>
      <c r="B7532" s="40" t="n">
        <v>-23.56714</v>
      </c>
      <c r="C7532" s="40" t="n">
        <v>-46.69473</v>
      </c>
      <c r="D7532" s="40" t="n">
        <v>66</v>
      </c>
      <c r="E7532" s="41" t="n">
        <v>5610.3394</v>
      </c>
    </row>
    <row r="7533">
      <c r="A7533" s="42">
        <f>_xlfn.XLOOKUP(40778,Trip[shape_id],Trip[shape_id],"Não encontrado")</f>
        <v/>
      </c>
      <c r="B7533" s="43" t="n">
        <v>-23.567203</v>
      </c>
      <c r="C7533" s="43" t="n">
        <v>-46.694345</v>
      </c>
      <c r="D7533" s="43" t="n">
        <v>67</v>
      </c>
      <c r="E7533" s="44" t="n">
        <v>5632.207</v>
      </c>
    </row>
    <row r="7534">
      <c r="A7534" s="39">
        <f>_xlfn.XLOOKUP(40778,Trip[shape_id],Trip[shape_id],"Não encontrado")</f>
        <v/>
      </c>
      <c r="B7534" s="40" t="n">
        <v>-23.567237</v>
      </c>
      <c r="C7534" s="40" t="n">
        <v>-46.694134</v>
      </c>
      <c r="D7534" s="40" t="n">
        <v>68</v>
      </c>
      <c r="E7534" s="41" t="n">
        <v>5632.207</v>
      </c>
    </row>
    <row r="7535">
      <c r="A7535" s="42">
        <f>_xlfn.XLOOKUP(40778,Trip[shape_id],Trip[shape_id],"Não encontrado")</f>
        <v/>
      </c>
      <c r="B7535" s="43" t="n">
        <v>-23.567534</v>
      </c>
      <c r="C7535" s="43" t="n">
        <v>-46.69284</v>
      </c>
      <c r="D7535" s="43" t="n">
        <v>69</v>
      </c>
      <c r="E7535" s="44" t="n">
        <v>5869.9673</v>
      </c>
    </row>
    <row r="7536">
      <c r="A7536" s="39">
        <f>_xlfn.XLOOKUP(40778,Trip[shape_id],Trip[shape_id],"Não encontrado")</f>
        <v/>
      </c>
      <c r="B7536" s="40" t="n">
        <v>-23.567719</v>
      </c>
      <c r="C7536" s="40" t="n">
        <v>-46.691865</v>
      </c>
      <c r="D7536" s="40" t="n">
        <v>70</v>
      </c>
      <c r="E7536" s="41" t="n">
        <v>5969.4092</v>
      </c>
    </row>
    <row r="7537">
      <c r="A7537" s="42">
        <f>_xlfn.XLOOKUP(40778,Trip[shape_id],Trip[shape_id],"Não encontrado")</f>
        <v/>
      </c>
      <c r="B7537" s="43" t="n">
        <v>-23.567854</v>
      </c>
      <c r="C7537" s="43" t="n">
        <v>-46.690902</v>
      </c>
      <c r="D7537" s="43" t="n">
        <v>71</v>
      </c>
      <c r="E7537" s="44" t="n">
        <v>5969.4092</v>
      </c>
    </row>
    <row r="7538">
      <c r="A7538" s="39">
        <f>_xlfn.XLOOKUP(40778,Trip[shape_id],Trip[shape_id],"Não encontrado")</f>
        <v/>
      </c>
      <c r="B7538" s="40" t="n">
        <v>-23.567896</v>
      </c>
      <c r="C7538" s="40" t="n">
        <v>-46.689961</v>
      </c>
      <c r="D7538" s="40" t="n">
        <v>72</v>
      </c>
      <c r="E7538" s="41" t="n">
        <v>6141.8896</v>
      </c>
    </row>
    <row r="7539">
      <c r="A7539" s="42">
        <f>_xlfn.XLOOKUP(40778,Trip[shape_id],Trip[shape_id],"Não encontrado")</f>
        <v/>
      </c>
      <c r="B7539" s="43" t="n">
        <v>-23.567873</v>
      </c>
      <c r="C7539" s="43" t="n">
        <v>-46.689214</v>
      </c>
      <c r="D7539" s="43" t="n">
        <v>73</v>
      </c>
      <c r="E7539" s="44" t="n">
        <v>6179.0068</v>
      </c>
    </row>
    <row r="7540">
      <c r="A7540" s="39">
        <f>_xlfn.XLOOKUP(40778,Trip[shape_id],Trip[shape_id],"Não encontrado")</f>
        <v/>
      </c>
      <c r="B7540" s="40" t="n">
        <v>-23.56782</v>
      </c>
      <c r="C7540" s="40" t="n">
        <v>-46.688855</v>
      </c>
      <c r="D7540" s="40" t="n">
        <v>74</v>
      </c>
      <c r="E7540" s="41" t="n">
        <v>6285.8804</v>
      </c>
    </row>
    <row r="7541">
      <c r="A7541" s="42">
        <f>_xlfn.XLOOKUP(40778,Trip[shape_id],Trip[shape_id],"Não encontrado")</f>
        <v/>
      </c>
      <c r="B7541" s="43" t="n">
        <v>-23.567553</v>
      </c>
      <c r="C7541" s="43" t="n">
        <v>-46.687849</v>
      </c>
      <c r="D7541" s="43" t="n">
        <v>75</v>
      </c>
      <c r="E7541" s="44" t="n">
        <v>6525.1416</v>
      </c>
    </row>
    <row r="7542">
      <c r="A7542" s="39">
        <f>_xlfn.XLOOKUP(40778,Trip[shape_id],Trip[shape_id],"Não encontrado")</f>
        <v/>
      </c>
      <c r="B7542" s="40" t="n">
        <v>-23.566691</v>
      </c>
      <c r="C7542" s="40" t="n">
        <v>-46.6857</v>
      </c>
      <c r="D7542" s="40" t="n">
        <v>76</v>
      </c>
      <c r="E7542" s="41" t="n">
        <v>6525.1416</v>
      </c>
    </row>
    <row r="7543">
      <c r="A7543" s="42">
        <f>_xlfn.XLOOKUP(40778,Trip[shape_id],Trip[shape_id],"Não encontrado")</f>
        <v/>
      </c>
      <c r="B7543" s="43" t="n">
        <v>-23.566083</v>
      </c>
      <c r="C7543" s="43" t="n">
        <v>-46.684208</v>
      </c>
      <c r="D7543" s="43" t="n">
        <v>77</v>
      </c>
      <c r="E7543" s="44" t="n">
        <v>6691.6802</v>
      </c>
    </row>
    <row r="7544">
      <c r="A7544" s="39">
        <f>_xlfn.XLOOKUP(40778,Trip[shape_id],Trip[shape_id],"Não encontrado")</f>
        <v/>
      </c>
      <c r="B7544" s="40" t="n">
        <v>-23.565345</v>
      </c>
      <c r="C7544" s="40" t="n">
        <v>-46.682422</v>
      </c>
      <c r="D7544" s="40" t="n">
        <v>78</v>
      </c>
      <c r="E7544" s="41" t="n">
        <v>7169.9331</v>
      </c>
    </row>
    <row r="7545">
      <c r="A7545" s="42">
        <f>_xlfn.XLOOKUP(40778,Trip[shape_id],Trip[shape_id],"Não encontrado")</f>
        <v/>
      </c>
      <c r="B7545" s="43" t="n">
        <v>-23.564311</v>
      </c>
      <c r="C7545" s="43" t="n">
        <v>-46.679936</v>
      </c>
      <c r="D7545" s="43" t="n">
        <v>79</v>
      </c>
      <c r="E7545" s="44" t="n">
        <v>7226.6216</v>
      </c>
    </row>
    <row r="7546">
      <c r="A7546" s="39">
        <f>_xlfn.XLOOKUP(40778,Trip[shape_id],Trip[shape_id],"Não encontrado")</f>
        <v/>
      </c>
      <c r="B7546" s="40" t="n">
        <v>-23.564188</v>
      </c>
      <c r="C7546" s="40" t="n">
        <v>-46.679397</v>
      </c>
      <c r="D7546" s="40" t="n">
        <v>80</v>
      </c>
      <c r="E7546" s="41" t="n">
        <v>7267.8027</v>
      </c>
    </row>
    <row r="7547">
      <c r="A7547" s="42">
        <f>_xlfn.XLOOKUP(40778,Trip[shape_id],Trip[shape_id],"Não encontrado")</f>
        <v/>
      </c>
      <c r="B7547" s="43" t="n">
        <v>-23.564172</v>
      </c>
      <c r="C7547" s="43" t="n">
        <v>-46.678994</v>
      </c>
      <c r="D7547" s="43" t="n">
        <v>81</v>
      </c>
      <c r="E7547" s="44" t="n">
        <v>7267.8027</v>
      </c>
    </row>
    <row r="7548">
      <c r="A7548" s="39">
        <f>_xlfn.XLOOKUP(40778,Trip[shape_id],Trip[shape_id],"Não encontrado")</f>
        <v/>
      </c>
      <c r="B7548" s="40" t="n">
        <v>-23.564214</v>
      </c>
      <c r="C7548" s="40" t="n">
        <v>-46.678401</v>
      </c>
      <c r="D7548" s="40" t="n">
        <v>82</v>
      </c>
      <c r="E7548" s="41" t="n">
        <v>7371.6108</v>
      </c>
    </row>
    <row r="7549">
      <c r="A7549" s="42">
        <f>_xlfn.XLOOKUP(40778,Trip[shape_id],Trip[shape_id],"Não encontrado")</f>
        <v/>
      </c>
      <c r="B7549" s="43" t="n">
        <v>-23.564207</v>
      </c>
      <c r="C7549" s="43" t="n">
        <v>-46.677979</v>
      </c>
      <c r="D7549" s="43" t="n">
        <v>83</v>
      </c>
      <c r="E7549" s="44" t="n">
        <v>7398.2383</v>
      </c>
    </row>
    <row r="7550">
      <c r="A7550" s="39">
        <f>_xlfn.XLOOKUP(40778,Trip[shape_id],Trip[shape_id],"Não encontrado")</f>
        <v/>
      </c>
      <c r="B7550" s="40" t="n">
        <v>-23.564161</v>
      </c>
      <c r="C7550" s="40" t="n">
        <v>-46.677723</v>
      </c>
      <c r="D7550" s="40" t="n">
        <v>84</v>
      </c>
      <c r="E7550" s="41" t="n">
        <v>7411.5908</v>
      </c>
    </row>
    <row r="7551">
      <c r="A7551" s="42">
        <f>_xlfn.XLOOKUP(40778,Trip[shape_id],Trip[shape_id],"Não encontrado")</f>
        <v/>
      </c>
      <c r="B7551" s="43" t="n">
        <v>-23.564109</v>
      </c>
      <c r="C7551" s="43" t="n">
        <v>-46.677605</v>
      </c>
      <c r="D7551" s="43" t="n">
        <v>85</v>
      </c>
      <c r="E7551" s="44" t="n">
        <v>7461.9858</v>
      </c>
    </row>
    <row r="7552">
      <c r="A7552" s="39">
        <f>_xlfn.XLOOKUP(40778,Trip[shape_id],Trip[shape_id],"Não encontrado")</f>
        <v/>
      </c>
      <c r="B7552" s="40" t="n">
        <v>-23.563876</v>
      </c>
      <c r="C7552" s="40" t="n">
        <v>-46.677181</v>
      </c>
      <c r="D7552" s="40" t="n">
        <v>86</v>
      </c>
      <c r="E7552" s="41" t="n">
        <v>7523.8203</v>
      </c>
    </row>
    <row r="7553">
      <c r="A7553" s="42">
        <f>_xlfn.XLOOKUP(40778,Trip[shape_id],Trip[shape_id],"Não encontrado")</f>
        <v/>
      </c>
      <c r="B7553" s="43" t="n">
        <v>-23.563596</v>
      </c>
      <c r="C7553" s="43" t="n">
        <v>-46.676657</v>
      </c>
      <c r="D7553" s="43" t="n">
        <v>87</v>
      </c>
      <c r="E7553" s="44" t="n">
        <v>7550.1055</v>
      </c>
    </row>
    <row r="7554">
      <c r="A7554" s="39">
        <f>_xlfn.XLOOKUP(40778,Trip[shape_id],Trip[shape_id],"Não encontrado")</f>
        <v/>
      </c>
      <c r="B7554" s="40" t="n">
        <v>-23.56346</v>
      </c>
      <c r="C7554" s="40" t="n">
        <v>-46.676446</v>
      </c>
      <c r="D7554" s="40" t="n">
        <v>88</v>
      </c>
      <c r="E7554" s="41" t="n">
        <v>7664.0752</v>
      </c>
    </row>
    <row r="7555">
      <c r="A7555" s="42">
        <f>_xlfn.XLOOKUP(40778,Trip[shape_id],Trip[shape_id],"Não encontrado")</f>
        <v/>
      </c>
      <c r="B7555" s="43" t="n">
        <v>-23.562805</v>
      </c>
      <c r="C7555" s="43" t="n">
        <v>-46.675585</v>
      </c>
      <c r="D7555" s="43" t="n">
        <v>89</v>
      </c>
      <c r="E7555" s="44" t="n">
        <v>7730.1304</v>
      </c>
    </row>
    <row r="7556">
      <c r="A7556" s="39">
        <f>_xlfn.XLOOKUP(40778,Trip[shape_id],Trip[shape_id],"Não encontrado")</f>
        <v/>
      </c>
      <c r="B7556" s="40" t="n">
        <v>-23.562431</v>
      </c>
      <c r="C7556" s="40" t="n">
        <v>-46.675081</v>
      </c>
      <c r="D7556" s="40" t="n">
        <v>90</v>
      </c>
      <c r="E7556" s="41" t="n">
        <v>7764.6484</v>
      </c>
    </row>
    <row r="7557">
      <c r="A7557" s="42">
        <f>_xlfn.XLOOKUP(40778,Trip[shape_id],Trip[shape_id],"Não encontrado")</f>
        <v/>
      </c>
      <c r="B7557" s="43" t="n">
        <v>-23.562234</v>
      </c>
      <c r="C7557" s="43" t="n">
        <v>-46.674819</v>
      </c>
      <c r="D7557" s="43" t="n">
        <v>91</v>
      </c>
      <c r="E7557" s="44" t="n">
        <v>7897.7969</v>
      </c>
    </row>
    <row r="7558">
      <c r="A7558" s="39">
        <f>_xlfn.XLOOKUP(40778,Trip[shape_id],Trip[shape_id],"Não encontrado")</f>
        <v/>
      </c>
      <c r="B7558" s="40" t="n">
        <v>-23.561556</v>
      </c>
      <c r="C7558" s="40" t="n">
        <v>-46.673742</v>
      </c>
      <c r="D7558" s="40" t="n">
        <v>92</v>
      </c>
      <c r="E7558" s="41" t="n">
        <v>7897.7969</v>
      </c>
    </row>
    <row r="7559">
      <c r="A7559" s="42">
        <f>_xlfn.XLOOKUP(40778,Trip[shape_id],Trip[shape_id],"Não encontrado")</f>
        <v/>
      </c>
      <c r="B7559" s="43" t="n">
        <v>-23.560555</v>
      </c>
      <c r="C7559" s="43" t="n">
        <v>-46.672061</v>
      </c>
      <c r="D7559" s="43" t="n">
        <v>93</v>
      </c>
      <c r="E7559" s="44" t="n">
        <v>8111.418</v>
      </c>
    </row>
    <row r="7560">
      <c r="A7560" s="39">
        <f>_xlfn.XLOOKUP(40778,Trip[shape_id],Trip[shape_id],"Não encontrado")</f>
        <v/>
      </c>
      <c r="B7560" s="40" t="n">
        <v>-23.56051</v>
      </c>
      <c r="C7560" s="40" t="n">
        <v>-46.671984</v>
      </c>
      <c r="D7560" s="40" t="n">
        <v>94</v>
      </c>
      <c r="E7560" s="41" t="n">
        <v>8111.418</v>
      </c>
    </row>
    <row r="7561">
      <c r="A7561" s="42">
        <f>_xlfn.XLOOKUP(40778,Trip[shape_id],Trip[shape_id],"Não encontrado")</f>
        <v/>
      </c>
      <c r="B7561" s="43" t="n">
        <v>-23.560373</v>
      </c>
      <c r="C7561" s="43" t="n">
        <v>-46.671741</v>
      </c>
      <c r="D7561" s="43" t="n">
        <v>95</v>
      </c>
      <c r="E7561" s="44" t="n">
        <v>8519.2637</v>
      </c>
    </row>
    <row r="7562">
      <c r="A7562" s="39">
        <f>_xlfn.XLOOKUP(40778,Trip[shape_id],Trip[shape_id],"Não encontrado")</f>
        <v/>
      </c>
      <c r="B7562" s="40" t="n">
        <v>-23.558627</v>
      </c>
      <c r="C7562" s="40" t="n">
        <v>-46.668551</v>
      </c>
      <c r="D7562" s="40" t="n">
        <v>96</v>
      </c>
      <c r="E7562" s="41" t="n">
        <v>8713.459999999999</v>
      </c>
    </row>
    <row r="7563">
      <c r="A7563" s="42">
        <f>_xlfn.XLOOKUP(40778,Trip[shape_id],Trip[shape_id],"Não encontrado")</f>
        <v/>
      </c>
      <c r="B7563" s="43" t="n">
        <v>-23.557584</v>
      </c>
      <c r="C7563" s="43" t="n">
        <v>-46.667022</v>
      </c>
      <c r="D7563" s="43" t="n">
        <v>97</v>
      </c>
      <c r="E7563" s="44" t="n">
        <v>8722.218800000001</v>
      </c>
    </row>
    <row r="7564">
      <c r="A7564" s="39">
        <f>_xlfn.XLOOKUP(40778,Trip[shape_id],Trip[shape_id],"Não encontrado")</f>
        <v/>
      </c>
      <c r="B7564" s="40" t="n">
        <v>-23.557537</v>
      </c>
      <c r="C7564" s="40" t="n">
        <v>-46.666953</v>
      </c>
      <c r="D7564" s="40" t="n">
        <v>98</v>
      </c>
      <c r="E7564" s="41" t="n">
        <v>8722.218800000001</v>
      </c>
    </row>
    <row r="7565">
      <c r="A7565" s="42">
        <f>_xlfn.XLOOKUP(40778,Trip[shape_id],Trip[shape_id],"Não encontrado")</f>
        <v/>
      </c>
      <c r="B7565" s="43" t="n">
        <v>-23.557459</v>
      </c>
      <c r="C7565" s="43" t="n">
        <v>-46.666827</v>
      </c>
      <c r="D7565" s="43" t="n">
        <v>99</v>
      </c>
      <c r="E7565" s="44" t="n">
        <v>8756.7412</v>
      </c>
    </row>
    <row r="7566">
      <c r="A7566" s="39">
        <f>_xlfn.XLOOKUP(40778,Trip[shape_id],Trip[shape_id],"Não encontrado")</f>
        <v/>
      </c>
      <c r="B7566" s="40" t="n">
        <v>-23.557365</v>
      </c>
      <c r="C7566" s="40" t="n">
        <v>-46.666671</v>
      </c>
      <c r="D7566" s="40" t="n">
        <v>100</v>
      </c>
      <c r="E7566" s="41" t="n">
        <v>8852.695299999999</v>
      </c>
    </row>
    <row r="7567">
      <c r="A7567" s="42">
        <f>_xlfn.XLOOKUP(40778,Trip[shape_id],Trip[shape_id],"Não encontrado")</f>
        <v/>
      </c>
      <c r="B7567" s="43" t="n">
        <v>-23.55689</v>
      </c>
      <c r="C7567" s="43" t="n">
        <v>-46.665885</v>
      </c>
      <c r="D7567" s="43" t="n">
        <v>101</v>
      </c>
      <c r="E7567" s="44" t="n">
        <v>8920.9004</v>
      </c>
    </row>
    <row r="7568">
      <c r="A7568" s="39">
        <f>_xlfn.XLOOKUP(40778,Trip[shape_id],Trip[shape_id],"Não encontrado")</f>
        <v/>
      </c>
      <c r="B7568" s="40" t="n">
        <v>-23.556641</v>
      </c>
      <c r="C7568" s="40" t="n">
        <v>-46.665274</v>
      </c>
      <c r="D7568" s="40" t="n">
        <v>102</v>
      </c>
      <c r="E7568" s="41" t="n">
        <v>9081.1006</v>
      </c>
    </row>
    <row r="7569">
      <c r="A7569" s="42">
        <f>_xlfn.XLOOKUP(40778,Trip[shape_id],Trip[shape_id],"Não encontrado")</f>
        <v/>
      </c>
      <c r="B7569" s="43" t="n">
        <v>-23.556293</v>
      </c>
      <c r="C7569" s="43" t="n">
        <v>-46.663751</v>
      </c>
      <c r="D7569" s="43" t="n">
        <v>103</v>
      </c>
      <c r="E7569" s="44" t="n">
        <v>9191.9316</v>
      </c>
    </row>
    <row r="7570">
      <c r="A7570" s="39">
        <f>_xlfn.XLOOKUP(40778,Trip[shape_id],Trip[shape_id],"Não encontrado")</f>
        <v/>
      </c>
      <c r="B7570" s="40" t="n">
        <v>-23.555658</v>
      </c>
      <c r="C7570" s="40" t="n">
        <v>-46.662912</v>
      </c>
      <c r="D7570" s="40" t="n">
        <v>104</v>
      </c>
      <c r="E7570" s="41" t="n">
        <v>9191.9316</v>
      </c>
    </row>
    <row r="7571">
      <c r="A7571" s="42">
        <f>_xlfn.XLOOKUP(40778,Trip[shape_id],Trip[shape_id],"Não encontrado")</f>
        <v/>
      </c>
      <c r="B7571" s="43" t="n">
        <v>-23.555146</v>
      </c>
      <c r="C7571" s="43" t="n">
        <v>-46.662224</v>
      </c>
      <c r="D7571" s="43" t="n">
        <v>105</v>
      </c>
      <c r="E7571" s="44" t="n">
        <v>9299.1826</v>
      </c>
    </row>
    <row r="7572">
      <c r="A7572" s="39">
        <f>_xlfn.XLOOKUP(40778,Trip[shape_id],Trip[shape_id],"Não encontrado")</f>
        <v/>
      </c>
      <c r="B7572" s="40" t="n">
        <v>-23.555046</v>
      </c>
      <c r="C7572" s="40" t="n">
        <v>-46.662098</v>
      </c>
      <c r="D7572" s="40" t="n">
        <v>106</v>
      </c>
      <c r="E7572" s="41" t="n">
        <v>9299.1826</v>
      </c>
    </row>
    <row r="7573">
      <c r="A7573" s="42">
        <f>_xlfn.XLOOKUP(40778,Trip[shape_id],Trip[shape_id],"Não encontrado")</f>
        <v/>
      </c>
      <c r="B7573" s="43" t="n">
        <v>-23.554592</v>
      </c>
      <c r="C7573" s="43" t="n">
        <v>-46.661598</v>
      </c>
      <c r="D7573" s="43" t="n">
        <v>107</v>
      </c>
      <c r="E7573" s="44" t="n">
        <v>9472.578100000001</v>
      </c>
    </row>
    <row r="7574">
      <c r="A7574" s="39">
        <f>_xlfn.XLOOKUP(40778,Trip[shape_id],Trip[shape_id],"Não encontrado")</f>
        <v/>
      </c>
      <c r="B7574" s="40" t="n">
        <v>-23.554</v>
      </c>
      <c r="C7574" s="40" t="n">
        <v>-46.660836</v>
      </c>
      <c r="D7574" s="40" t="n">
        <v>108</v>
      </c>
      <c r="E7574" s="41" t="n">
        <v>9523.0273</v>
      </c>
    </row>
    <row r="7575">
      <c r="A7575" s="42">
        <f>_xlfn.XLOOKUP(40778,Trip[shape_id],Trip[shape_id],"Não encontrado")</f>
        <v/>
      </c>
      <c r="B7575" s="43" t="n">
        <v>-23.553695</v>
      </c>
      <c r="C7575" s="43" t="n">
        <v>-46.660469</v>
      </c>
      <c r="D7575" s="43" t="n">
        <v>109</v>
      </c>
      <c r="E7575" s="44" t="n">
        <v>9638.873</v>
      </c>
    </row>
    <row r="7576">
      <c r="A7576" s="39">
        <f>_xlfn.XLOOKUP(40778,Trip[shape_id],Trip[shape_id],"Não encontrado")</f>
        <v/>
      </c>
      <c r="B7576" s="40" t="n">
        <v>-23.553079</v>
      </c>
      <c r="C7576" s="40" t="n">
        <v>-46.659552</v>
      </c>
      <c r="D7576" s="40" t="n">
        <v>110</v>
      </c>
      <c r="E7576" s="41" t="n">
        <v>9707.4043</v>
      </c>
    </row>
    <row r="7577">
      <c r="A7577" s="42">
        <f>_xlfn.XLOOKUP(40778,Trip[shape_id],Trip[shape_id],"Não encontrado")</f>
        <v/>
      </c>
      <c r="B7577" s="43" t="n">
        <v>-23.552709</v>
      </c>
      <c r="C7577" s="43" t="n">
        <v>-46.659014</v>
      </c>
      <c r="D7577" s="43" t="n">
        <v>111</v>
      </c>
      <c r="E7577" s="44" t="n">
        <v>9778.305700000001</v>
      </c>
    </row>
    <row r="7578">
      <c r="A7578" s="39">
        <f>_xlfn.XLOOKUP(40778,Trip[shape_id],Trip[shape_id],"Não encontrado")</f>
        <v/>
      </c>
      <c r="B7578" s="40" t="n">
        <v>-23.552346</v>
      </c>
      <c r="C7578" s="40" t="n">
        <v>-46.658442</v>
      </c>
      <c r="D7578" s="40" t="n">
        <v>112</v>
      </c>
      <c r="E7578" s="41" t="n">
        <v>9887.609399999999</v>
      </c>
    </row>
    <row r="7579">
      <c r="A7579" s="42">
        <f>_xlfn.XLOOKUP(40778,Trip[shape_id],Trip[shape_id],"Não encontrado")</f>
        <v/>
      </c>
      <c r="B7579" s="43" t="n">
        <v>-23.551867</v>
      </c>
      <c r="C7579" s="43" t="n">
        <v>-46.657506</v>
      </c>
      <c r="D7579" s="43" t="n">
        <v>113</v>
      </c>
      <c r="E7579" s="44" t="n">
        <v>9923.8838</v>
      </c>
    </row>
    <row r="7580">
      <c r="A7580" s="39">
        <f>_xlfn.XLOOKUP(40778,Trip[shape_id],Trip[shape_id],"Não encontrado")</f>
        <v/>
      </c>
      <c r="B7580" s="40" t="n">
        <v>-23.551693</v>
      </c>
      <c r="C7580" s="40" t="n">
        <v>-46.657205</v>
      </c>
      <c r="D7580" s="40" t="n">
        <v>114</v>
      </c>
      <c r="E7580" s="41" t="n">
        <v>10024.035</v>
      </c>
    </row>
    <row r="7581">
      <c r="A7581" s="42">
        <f>_xlfn.XLOOKUP(40778,Trip[shape_id],Trip[shape_id],"Não encontrado")</f>
        <v/>
      </c>
      <c r="B7581" s="43" t="n">
        <v>-23.551223</v>
      </c>
      <c r="C7581" s="43" t="n">
        <v>-46.656367</v>
      </c>
      <c r="D7581" s="43" t="n">
        <v>115</v>
      </c>
      <c r="E7581" s="44" t="n">
        <v>10154.969</v>
      </c>
    </row>
    <row r="7582">
      <c r="A7582" s="39">
        <f>_xlfn.XLOOKUP(40778,Trip[shape_id],Trip[shape_id],"Não encontrado")</f>
        <v/>
      </c>
      <c r="B7582" s="40" t="n">
        <v>-23.550639</v>
      </c>
      <c r="C7582" s="40" t="n">
        <v>-46.655252</v>
      </c>
      <c r="D7582" s="40" t="n">
        <v>116</v>
      </c>
      <c r="E7582" s="41" t="n">
        <v>10387.552</v>
      </c>
    </row>
    <row r="7583">
      <c r="A7583" s="42">
        <f>_xlfn.XLOOKUP(40778,Trip[shape_id],Trip[shape_id],"Não encontrado")</f>
        <v/>
      </c>
      <c r="B7583" s="43" t="n">
        <v>-23.549572</v>
      </c>
      <c r="C7583" s="43" t="n">
        <v>-46.65329</v>
      </c>
      <c r="D7583" s="43" t="n">
        <v>117</v>
      </c>
      <c r="E7583" s="44" t="n">
        <v>10499.621</v>
      </c>
    </row>
    <row r="7584">
      <c r="A7584" s="39">
        <f>_xlfn.XLOOKUP(40778,Trip[shape_id],Trip[shape_id],"Não encontrado")</f>
        <v/>
      </c>
      <c r="B7584" s="40" t="n">
        <v>-23.549045</v>
      </c>
      <c r="C7584" s="40" t="n">
        <v>-46.652353</v>
      </c>
      <c r="D7584" s="40" t="n">
        <v>118</v>
      </c>
      <c r="E7584" s="41" t="n">
        <v>10499.621</v>
      </c>
    </row>
    <row r="7585">
      <c r="A7585" s="42">
        <f>_xlfn.XLOOKUP(40778,Trip[shape_id],Trip[shape_id],"Não encontrado")</f>
        <v/>
      </c>
      <c r="B7585" s="43" t="n">
        <v>-23.548889</v>
      </c>
      <c r="C7585" s="43" t="n">
        <v>-46.652015</v>
      </c>
      <c r="D7585" s="43" t="n">
        <v>119</v>
      </c>
      <c r="E7585" s="44" t="n">
        <v>10577.255</v>
      </c>
    </row>
    <row r="7586">
      <c r="A7586" s="39">
        <f>_xlfn.XLOOKUP(40778,Trip[shape_id],Trip[shape_id],"Não encontrado")</f>
        <v/>
      </c>
      <c r="B7586" s="40" t="n">
        <v>-23.548745</v>
      </c>
      <c r="C7586" s="40" t="n">
        <v>-46.651666</v>
      </c>
      <c r="D7586" s="40" t="n">
        <v>120</v>
      </c>
      <c r="E7586" s="41" t="n">
        <v>10647.728</v>
      </c>
    </row>
    <row r="7587">
      <c r="A7587" s="42">
        <f>_xlfn.XLOOKUP(40778,Trip[shape_id],Trip[shape_id],"Não encontrado")</f>
        <v/>
      </c>
      <c r="B7587" s="43" t="n">
        <v>-23.548531</v>
      </c>
      <c r="C7587" s="43" t="n">
        <v>-46.651016</v>
      </c>
      <c r="D7587" s="43" t="n">
        <v>121</v>
      </c>
      <c r="E7587" s="44" t="n">
        <v>10700.003</v>
      </c>
    </row>
    <row r="7588">
      <c r="A7588" s="39">
        <f>_xlfn.XLOOKUP(40778,Trip[shape_id],Trip[shape_id],"Não encontrado")</f>
        <v/>
      </c>
      <c r="B7588" s="40" t="n">
        <v>-23.548407</v>
      </c>
      <c r="C7588" s="40" t="n">
        <v>-46.650522</v>
      </c>
      <c r="D7588" s="40" t="n">
        <v>122</v>
      </c>
      <c r="E7588" s="41" t="n">
        <v>10791.654</v>
      </c>
    </row>
    <row r="7589">
      <c r="A7589" s="42">
        <f>_xlfn.XLOOKUP(40778,Trip[shape_id],Trip[shape_id],"Não encontrado")</f>
        <v/>
      </c>
      <c r="B7589" s="43" t="n">
        <v>-23.548133</v>
      </c>
      <c r="C7589" s="43" t="n">
        <v>-46.649675</v>
      </c>
      <c r="D7589" s="43" t="n">
        <v>123</v>
      </c>
      <c r="E7589" s="44" t="n">
        <v>10845.896</v>
      </c>
    </row>
    <row r="7590">
      <c r="A7590" s="39">
        <f>_xlfn.XLOOKUP(40778,Trip[shape_id],Trip[shape_id],"Não encontrado")</f>
        <v/>
      </c>
      <c r="B7590" s="40" t="n">
        <v>-23.547981</v>
      </c>
      <c r="C7590" s="40" t="n">
        <v>-46.64917</v>
      </c>
      <c r="D7590" s="40" t="n">
        <v>124</v>
      </c>
      <c r="E7590" s="41" t="n">
        <v>11002.854</v>
      </c>
    </row>
    <row r="7591">
      <c r="A7591" s="42">
        <f>_xlfn.XLOOKUP(40778,Trip[shape_id],Trip[shape_id],"Não encontrado")</f>
        <v/>
      </c>
      <c r="B7591" s="43" t="n">
        <v>-23.5475</v>
      </c>
      <c r="C7591" s="43" t="n">
        <v>-46.647724</v>
      </c>
      <c r="D7591" s="43" t="n">
        <v>125</v>
      </c>
      <c r="E7591" s="44" t="n">
        <v>11075.923</v>
      </c>
    </row>
    <row r="7592">
      <c r="A7592" s="39">
        <f>_xlfn.XLOOKUP(40778,Trip[shape_id],Trip[shape_id],"Não encontrado")</f>
        <v/>
      </c>
      <c r="B7592" s="40" t="n">
        <v>-23.547106</v>
      </c>
      <c r="C7592" s="40" t="n">
        <v>-46.64715</v>
      </c>
      <c r="D7592" s="40" t="n">
        <v>126</v>
      </c>
      <c r="E7592" s="41" t="n">
        <v>11114.687</v>
      </c>
    </row>
    <row r="7593">
      <c r="A7593" s="42">
        <f>_xlfn.XLOOKUP(40778,Trip[shape_id],Trip[shape_id],"Não encontrado")</f>
        <v/>
      </c>
      <c r="B7593" s="43" t="n">
        <v>-23.546964</v>
      </c>
      <c r="C7593" s="43" t="n">
        <v>-46.646803</v>
      </c>
      <c r="D7593" s="43" t="n">
        <v>127</v>
      </c>
      <c r="E7593" s="44" t="n">
        <v>11150.592</v>
      </c>
    </row>
    <row r="7594">
      <c r="A7594" s="39">
        <f>_xlfn.XLOOKUP(40778,Trip[shape_id],Trip[shape_id],"Não encontrado")</f>
        <v/>
      </c>
      <c r="B7594" s="40" t="n">
        <v>-23.546852</v>
      </c>
      <c r="C7594" s="40" t="n">
        <v>-46.646473</v>
      </c>
      <c r="D7594" s="40" t="n">
        <v>128</v>
      </c>
      <c r="E7594" s="41" t="n">
        <v>11194.406</v>
      </c>
    </row>
    <row r="7595">
      <c r="A7595" s="42">
        <f>_xlfn.XLOOKUP(40778,Trip[shape_id],Trip[shape_id],"Não encontrado")</f>
        <v/>
      </c>
      <c r="B7595" s="43" t="n">
        <v>-23.546689</v>
      </c>
      <c r="C7595" s="43" t="n">
        <v>-46.646082</v>
      </c>
      <c r="D7595" s="43" t="n">
        <v>129</v>
      </c>
      <c r="E7595" s="44" t="n">
        <v>11245.78</v>
      </c>
    </row>
    <row r="7596">
      <c r="A7596" s="39">
        <f>_xlfn.XLOOKUP(40778,Trip[shape_id],Trip[shape_id],"Não encontrado")</f>
        <v/>
      </c>
      <c r="B7596" s="40" t="n">
        <v>-23.546464</v>
      </c>
      <c r="C7596" s="40" t="n">
        <v>-46.645642</v>
      </c>
      <c r="D7596" s="40" t="n">
        <v>130</v>
      </c>
      <c r="E7596" s="41" t="n">
        <v>11322.269</v>
      </c>
    </row>
    <row r="7597">
      <c r="A7597" s="42">
        <f>_xlfn.XLOOKUP(40778,Trip[shape_id],Trip[shape_id],"Não encontrado")</f>
        <v/>
      </c>
      <c r="B7597" s="43" t="n">
        <v>-23.546042</v>
      </c>
      <c r="C7597" s="43" t="n">
        <v>-46.645049</v>
      </c>
      <c r="D7597" s="43" t="n">
        <v>131</v>
      </c>
      <c r="E7597" s="44" t="n">
        <v>11491.975</v>
      </c>
    </row>
    <row r="7598">
      <c r="A7598" s="39">
        <f>_xlfn.XLOOKUP(40778,Trip[shape_id],Trip[shape_id],"Não encontrado")</f>
        <v/>
      </c>
      <c r="B7598" s="40" t="n">
        <v>-23.54503</v>
      </c>
      <c r="C7598" s="40" t="n">
        <v>-46.643801</v>
      </c>
      <c r="D7598" s="40" t="n">
        <v>132</v>
      </c>
      <c r="E7598" s="41" t="n">
        <v>11594.084</v>
      </c>
    </row>
    <row r="7599">
      <c r="A7599" s="42">
        <f>_xlfn.XLOOKUP(40778,Trip[shape_id],Trip[shape_id],"Não encontrado")</f>
        <v/>
      </c>
      <c r="B7599" s="43" t="n">
        <v>-23.544416</v>
      </c>
      <c r="C7599" s="43" t="n">
        <v>-46.643055</v>
      </c>
      <c r="D7599" s="43" t="n">
        <v>133</v>
      </c>
      <c r="E7599" s="44" t="n">
        <v>11656.993</v>
      </c>
    </row>
    <row r="7600">
      <c r="A7600" s="39">
        <f>_xlfn.XLOOKUP(40778,Trip[shape_id],Trip[shape_id],"Não encontrado")</f>
        <v/>
      </c>
      <c r="B7600" s="40" t="n">
        <v>-23.544031</v>
      </c>
      <c r="C7600" s="40" t="n">
        <v>-46.642602</v>
      </c>
      <c r="D7600" s="40" t="n">
        <v>134</v>
      </c>
      <c r="E7600" s="41" t="n">
        <v>11701.6</v>
      </c>
    </row>
    <row r="7601">
      <c r="A7601" s="42">
        <f>_xlfn.XLOOKUP(40778,Trip[shape_id],Trip[shape_id],"Não encontrado")</f>
        <v/>
      </c>
      <c r="B7601" s="43" t="n">
        <v>-23.544395</v>
      </c>
      <c r="C7601" s="43" t="n">
        <v>-46.642415</v>
      </c>
      <c r="D7601" s="43" t="n">
        <v>135</v>
      </c>
      <c r="E7601" s="44" t="n">
        <v>11701.6</v>
      </c>
    </row>
    <row r="7602">
      <c r="A7602" s="39">
        <f>_xlfn.XLOOKUP(40778,Trip[shape_id],Trip[shape_id],"Não encontrado")</f>
        <v/>
      </c>
      <c r="B7602" s="40" t="n">
        <v>-23.543973</v>
      </c>
      <c r="C7602" s="40" t="n">
        <v>-46.642524</v>
      </c>
      <c r="D7602" s="40" t="n">
        <v>136</v>
      </c>
      <c r="E7602" s="41" t="n">
        <v>11802.119</v>
      </c>
    </row>
    <row r="7603">
      <c r="A7603" s="42">
        <f>_xlfn.XLOOKUP(40778,Trip[shape_id],Trip[shape_id],"Não encontrado")</f>
        <v/>
      </c>
      <c r="B7603" s="43" t="n">
        <v>-23.54365</v>
      </c>
      <c r="C7603" s="43" t="n">
        <v>-46.642148</v>
      </c>
      <c r="D7603" s="43" t="n">
        <v>137</v>
      </c>
      <c r="E7603" s="44" t="n">
        <v>12007.215</v>
      </c>
    </row>
    <row r="7604">
      <c r="A7604" s="39">
        <f>_xlfn.XLOOKUP(40778,Trip[shape_id],Trip[shape_id],"Não encontrado")</f>
        <v/>
      </c>
      <c r="B7604" s="40" t="n">
        <v>-23.54239</v>
      </c>
      <c r="C7604" s="40" t="n">
        <v>-46.640676</v>
      </c>
      <c r="D7604" s="40" t="n">
        <v>138</v>
      </c>
      <c r="E7604" s="41" t="n">
        <v>12130.034</v>
      </c>
    </row>
    <row r="7605">
      <c r="A7605" s="42">
        <f>_xlfn.XLOOKUP(40778,Trip[shape_id],Trip[shape_id],"Não encontrado")</f>
        <v/>
      </c>
      <c r="B7605" s="43" t="n">
        <v>-23.541643</v>
      </c>
      <c r="C7605" s="43" t="n">
        <v>-46.639787</v>
      </c>
      <c r="D7605" s="43" t="n">
        <v>139</v>
      </c>
      <c r="E7605" s="44" t="n">
        <v>12155.491</v>
      </c>
    </row>
    <row r="7606">
      <c r="A7606" s="39">
        <f>_xlfn.XLOOKUP(40778,Trip[shape_id],Trip[shape_id],"Não encontrado")</f>
        <v/>
      </c>
      <c r="B7606" s="40" t="n">
        <v>-23.541483</v>
      </c>
      <c r="C7606" s="40" t="n">
        <v>-46.639608</v>
      </c>
      <c r="D7606" s="40" t="n">
        <v>140</v>
      </c>
      <c r="E7606" s="41" t="n">
        <v>12211.104</v>
      </c>
    </row>
    <row r="7607">
      <c r="A7607" s="42">
        <f>_xlfn.XLOOKUP(40778,Trip[shape_id],Trip[shape_id],"Não encontrado")</f>
        <v/>
      </c>
      <c r="B7607" s="43" t="n">
        <v>-23.541176</v>
      </c>
      <c r="C7607" s="43" t="n">
        <v>-46.639177</v>
      </c>
      <c r="D7607" s="43" t="n">
        <v>141</v>
      </c>
      <c r="E7607" s="44" t="n">
        <v>12334.504</v>
      </c>
    </row>
    <row r="7608">
      <c r="A7608" s="39">
        <f>_xlfn.XLOOKUP(40778,Trip[shape_id],Trip[shape_id],"Não encontrado")</f>
        <v/>
      </c>
      <c r="B7608" s="40" t="n">
        <v>-23.540498</v>
      </c>
      <c r="C7608" s="40" t="n">
        <v>-46.638218</v>
      </c>
      <c r="D7608" s="40" t="n">
        <v>142</v>
      </c>
      <c r="E7608" s="41" t="n">
        <v>12479.248</v>
      </c>
    </row>
    <row r="7609">
      <c r="A7609" s="42">
        <f>_xlfn.XLOOKUP(40778,Trip[shape_id],Trip[shape_id],"Não encontrado")</f>
        <v/>
      </c>
      <c r="B7609" s="43" t="n">
        <v>-23.53972</v>
      </c>
      <c r="C7609" s="43" t="n">
        <v>-46.637079</v>
      </c>
      <c r="D7609" s="43" t="n">
        <v>143</v>
      </c>
      <c r="E7609" s="44" t="n">
        <v>12562.574</v>
      </c>
    </row>
    <row r="7610">
      <c r="A7610" s="39">
        <f>_xlfn.XLOOKUP(40778,Trip[shape_id],Trip[shape_id],"Não encontrado")</f>
        <v/>
      </c>
      <c r="B7610" s="40" t="n">
        <v>-23.539275</v>
      </c>
      <c r="C7610" s="40" t="n">
        <v>-46.636421</v>
      </c>
      <c r="D7610" s="40" t="n">
        <v>144</v>
      </c>
      <c r="E7610" s="41" t="n">
        <v>12607.271</v>
      </c>
    </row>
    <row r="7611">
      <c r="A7611" s="42">
        <f>_xlfn.XLOOKUP(40778,Trip[shape_id],Trip[shape_id],"Não encontrado")</f>
        <v/>
      </c>
      <c r="B7611" s="43" t="n">
        <v>-23.538976</v>
      </c>
      <c r="C7611" s="43" t="n">
        <v>-46.636127</v>
      </c>
      <c r="D7611" s="43" t="n">
        <v>145</v>
      </c>
      <c r="E7611" s="44" t="n">
        <v>12672.069</v>
      </c>
    </row>
    <row r="7612">
      <c r="A7612" s="39">
        <f>_xlfn.XLOOKUP(40778,Trip[shape_id],Trip[shape_id],"Não encontrado")</f>
        <v/>
      </c>
      <c r="B7612" s="40" t="n">
        <v>-23.538572</v>
      </c>
      <c r="C7612" s="40" t="n">
        <v>-46.635668</v>
      </c>
      <c r="D7612" s="40" t="n">
        <v>146</v>
      </c>
      <c r="E7612" s="41" t="n">
        <v>12781.401</v>
      </c>
    </row>
    <row r="7613">
      <c r="A7613" s="42">
        <f>_xlfn.XLOOKUP(40778,Trip[shape_id],Trip[shape_id],"Não encontrado")</f>
        <v/>
      </c>
      <c r="B7613" s="43" t="n">
        <v>-23.537704</v>
      </c>
      <c r="C7613" s="43" t="n">
        <v>-46.635158</v>
      </c>
      <c r="D7613" s="43" t="n">
        <v>147</v>
      </c>
      <c r="E7613" s="44" t="n">
        <v>12975.145</v>
      </c>
    </row>
    <row r="7614">
      <c r="A7614" s="39">
        <f>_xlfn.XLOOKUP(40778,Trip[shape_id],Trip[shape_id],"Não encontrado")</f>
        <v/>
      </c>
      <c r="B7614" s="40" t="n">
        <v>-23.536162</v>
      </c>
      <c r="C7614" s="40" t="n">
        <v>-46.634262</v>
      </c>
      <c r="D7614" s="40" t="n">
        <v>148</v>
      </c>
      <c r="E7614" s="41" t="n">
        <v>13131.554</v>
      </c>
    </row>
    <row r="7615">
      <c r="A7615" s="42">
        <f>_xlfn.XLOOKUP(40778,Trip[shape_id],Trip[shape_id],"Não encontrado")</f>
        <v/>
      </c>
      <c r="B7615" s="43" t="n">
        <v>-23.535167</v>
      </c>
      <c r="C7615" s="43" t="n">
        <v>-46.635349</v>
      </c>
      <c r="D7615" s="43" t="n">
        <v>149</v>
      </c>
      <c r="E7615" s="44" t="n">
        <v>13131.554</v>
      </c>
    </row>
    <row r="7616">
      <c r="A7616" s="39">
        <f>_xlfn.XLOOKUP(47323,Trip[shape_id],Trip[shape_id],"Não encontrado")</f>
        <v/>
      </c>
      <c r="B7616" s="40" t="n">
        <v>-23.556452</v>
      </c>
      <c r="C7616" s="40" t="n">
        <v>-46.537374</v>
      </c>
      <c r="D7616" s="40" t="n">
        <v>1</v>
      </c>
      <c r="E7616" s="41" t="n">
        <v>0</v>
      </c>
    </row>
    <row r="7617">
      <c r="A7617" s="42">
        <f>_xlfn.XLOOKUP(47323,Trip[shape_id],Trip[shape_id],"Não encontrado")</f>
        <v/>
      </c>
      <c r="B7617" s="43" t="n">
        <v>-23.556491</v>
      </c>
      <c r="C7617" s="43" t="n">
        <v>-46.537492</v>
      </c>
      <c r="D7617" s="43" t="n">
        <v>2</v>
      </c>
      <c r="E7617" s="44" t="n">
        <v>12.798657</v>
      </c>
    </row>
    <row r="7618">
      <c r="A7618" s="39">
        <f>_xlfn.XLOOKUP(47323,Trip[shape_id],Trip[shape_id],"Não encontrado")</f>
        <v/>
      </c>
      <c r="B7618" s="40" t="n">
        <v>-23.556827</v>
      </c>
      <c r="C7618" s="40" t="n">
        <v>-46.538529</v>
      </c>
      <c r="D7618" s="40" t="n">
        <v>3</v>
      </c>
      <c r="E7618" s="41" t="n">
        <v>125.02292</v>
      </c>
    </row>
    <row r="7619">
      <c r="A7619" s="42">
        <f>_xlfn.XLOOKUP(47323,Trip[shape_id],Trip[shape_id],"Não encontrado")</f>
        <v/>
      </c>
      <c r="B7619" s="43" t="n">
        <v>-23.5569</v>
      </c>
      <c r="C7619" s="43" t="n">
        <v>-46.538752</v>
      </c>
      <c r="D7619" s="43" t="n">
        <v>4</v>
      </c>
      <c r="E7619" s="44" t="n">
        <v>149.18352</v>
      </c>
    </row>
    <row r="7620">
      <c r="A7620" s="39">
        <f>_xlfn.XLOOKUP(47323,Trip[shape_id],Trip[shape_id],"Não encontrado")</f>
        <v/>
      </c>
      <c r="B7620" s="40" t="n">
        <v>-23.557056</v>
      </c>
      <c r="C7620" s="40" t="n">
        <v>-46.539223</v>
      </c>
      <c r="D7620" s="40" t="n">
        <v>5</v>
      </c>
      <c r="E7620" s="41" t="n">
        <v>200.28084</v>
      </c>
    </row>
    <row r="7621">
      <c r="A7621" s="42">
        <f>_xlfn.XLOOKUP(47323,Trip[shape_id],Trip[shape_id],"Não encontrado")</f>
        <v/>
      </c>
      <c r="B7621" s="43" t="n">
        <v>-23.557133</v>
      </c>
      <c r="C7621" s="43" t="n">
        <v>-46.539463</v>
      </c>
      <c r="D7621" s="43" t="n">
        <v>6</v>
      </c>
      <c r="E7621" s="44" t="n">
        <v>226.22571</v>
      </c>
    </row>
    <row r="7622">
      <c r="A7622" s="39">
        <f>_xlfn.XLOOKUP(47323,Trip[shape_id],Trip[shape_id],"Não encontrado")</f>
        <v/>
      </c>
      <c r="B7622" s="40" t="n">
        <v>-23.557174</v>
      </c>
      <c r="C7622" s="40" t="n">
        <v>-46.53957</v>
      </c>
      <c r="D7622" s="40" t="n">
        <v>7</v>
      </c>
      <c r="E7622" s="41" t="n">
        <v>238.05641</v>
      </c>
    </row>
    <row r="7623">
      <c r="A7623" s="42">
        <f>_xlfn.XLOOKUP(47323,Trip[shape_id],Trip[shape_id],"Não encontrado")</f>
        <v/>
      </c>
      <c r="B7623" s="43" t="n">
        <v>-23.55743</v>
      </c>
      <c r="C7623" s="43" t="n">
        <v>-46.540345</v>
      </c>
      <c r="D7623" s="43" t="n">
        <v>8</v>
      </c>
      <c r="E7623" s="44" t="n">
        <v>322.10785</v>
      </c>
    </row>
    <row r="7624">
      <c r="A7624" s="39">
        <f>_xlfn.XLOOKUP(47323,Trip[shape_id],Trip[shape_id],"Não encontrado")</f>
        <v/>
      </c>
      <c r="B7624" s="40" t="n">
        <v>-23.557686</v>
      </c>
      <c r="C7624" s="40" t="n">
        <v>-46.541116</v>
      </c>
      <c r="D7624" s="40" t="n">
        <v>9</v>
      </c>
      <c r="E7624" s="41" t="n">
        <v>405.77472</v>
      </c>
    </row>
    <row r="7625">
      <c r="A7625" s="42">
        <f>_xlfn.XLOOKUP(47323,Trip[shape_id],Trip[shape_id],"Não encontrado")</f>
        <v/>
      </c>
      <c r="B7625" s="43" t="n">
        <v>-23.557764</v>
      </c>
      <c r="C7625" s="43" t="n">
        <v>-46.541373</v>
      </c>
      <c r="D7625" s="43" t="n">
        <v>10</v>
      </c>
      <c r="E7625" s="44" t="n">
        <v>433.39886</v>
      </c>
    </row>
    <row r="7626">
      <c r="A7626" s="39">
        <f>_xlfn.XLOOKUP(47323,Trip[shape_id],Trip[shape_id],"Não encontrado")</f>
        <v/>
      </c>
      <c r="B7626" s="40" t="n">
        <v>-23.55771</v>
      </c>
      <c r="C7626" s="40" t="n">
        <v>-46.541415</v>
      </c>
      <c r="D7626" s="40" t="n">
        <v>11</v>
      </c>
      <c r="E7626" s="41" t="n">
        <v>440.75806</v>
      </c>
    </row>
    <row r="7627">
      <c r="A7627" s="42">
        <f>_xlfn.XLOOKUP(47323,Trip[shape_id],Trip[shape_id],"Não encontrado")</f>
        <v/>
      </c>
      <c r="B7627" s="43" t="n">
        <v>-23.557664</v>
      </c>
      <c r="C7627" s="43" t="n">
        <v>-46.541454</v>
      </c>
      <c r="D7627" s="43" t="n">
        <v>12</v>
      </c>
      <c r="E7627" s="44" t="n">
        <v>447.22351</v>
      </c>
    </row>
    <row r="7628">
      <c r="A7628" s="39">
        <f>_xlfn.XLOOKUP(47323,Trip[shape_id],Trip[shape_id],"Não encontrado")</f>
        <v/>
      </c>
      <c r="B7628" s="40" t="n">
        <v>-23.557598</v>
      </c>
      <c r="C7628" s="40" t="n">
        <v>-46.541513</v>
      </c>
      <c r="D7628" s="40" t="n">
        <v>13</v>
      </c>
      <c r="E7628" s="41" t="n">
        <v>456.69556</v>
      </c>
    </row>
    <row r="7629">
      <c r="A7629" s="42">
        <f>_xlfn.XLOOKUP(47323,Trip[shape_id],Trip[shape_id],"Não encontrado")</f>
        <v/>
      </c>
      <c r="B7629" s="43" t="n">
        <v>-23.55755</v>
      </c>
      <c r="C7629" s="43" t="n">
        <v>-46.541566</v>
      </c>
      <c r="D7629" s="43" t="n">
        <v>14</v>
      </c>
      <c r="E7629" s="44" t="n">
        <v>464.28122</v>
      </c>
    </row>
    <row r="7630">
      <c r="A7630" s="39">
        <f>_xlfn.XLOOKUP(47323,Trip[shape_id],Trip[shape_id],"Não encontrado")</f>
        <v/>
      </c>
      <c r="B7630" s="40" t="n">
        <v>-23.557521</v>
      </c>
      <c r="C7630" s="40" t="n">
        <v>-46.54161</v>
      </c>
      <c r="D7630" s="40" t="n">
        <v>15</v>
      </c>
      <c r="E7630" s="41" t="n">
        <v>469.80307</v>
      </c>
    </row>
    <row r="7631">
      <c r="A7631" s="42">
        <f>_xlfn.XLOOKUP(47323,Trip[shape_id],Trip[shape_id],"Não encontrado")</f>
        <v/>
      </c>
      <c r="B7631" s="43" t="n">
        <v>-23.557482</v>
      </c>
      <c r="C7631" s="43" t="n">
        <v>-46.541678</v>
      </c>
      <c r="D7631" s="43" t="n">
        <v>16</v>
      </c>
      <c r="E7631" s="44" t="n">
        <v>477.98013</v>
      </c>
    </row>
    <row r="7632">
      <c r="A7632" s="39">
        <f>_xlfn.XLOOKUP(47323,Trip[shape_id],Trip[shape_id],"Não encontrado")</f>
        <v/>
      </c>
      <c r="B7632" s="40" t="n">
        <v>-23.557469</v>
      </c>
      <c r="C7632" s="40" t="n">
        <v>-46.541736</v>
      </c>
      <c r="D7632" s="40" t="n">
        <v>17</v>
      </c>
      <c r="E7632" s="41" t="n">
        <v>484.0737</v>
      </c>
    </row>
    <row r="7633">
      <c r="A7633" s="42">
        <f>_xlfn.XLOOKUP(47323,Trip[shape_id],Trip[shape_id],"Não encontrado")</f>
        <v/>
      </c>
      <c r="B7633" s="43" t="n">
        <v>-23.557455</v>
      </c>
      <c r="C7633" s="43" t="n">
        <v>-46.541826</v>
      </c>
      <c r="D7633" s="43" t="n">
        <v>18</v>
      </c>
      <c r="E7633" s="44" t="n">
        <v>493.39191</v>
      </c>
    </row>
    <row r="7634">
      <c r="A7634" s="39">
        <f>_xlfn.XLOOKUP(47323,Trip[shape_id],Trip[shape_id],"Não encontrado")</f>
        <v/>
      </c>
      <c r="B7634" s="40" t="n">
        <v>-23.557452</v>
      </c>
      <c r="C7634" s="40" t="n">
        <v>-46.541918</v>
      </c>
      <c r="D7634" s="40" t="n">
        <v>19</v>
      </c>
      <c r="E7634" s="41" t="n">
        <v>502.79092</v>
      </c>
    </row>
    <row r="7635">
      <c r="A7635" s="42">
        <f>_xlfn.XLOOKUP(47323,Trip[shape_id],Trip[shape_id],"Não encontrado")</f>
        <v/>
      </c>
      <c r="B7635" s="43" t="n">
        <v>-23.557464</v>
      </c>
      <c r="C7635" s="43" t="n">
        <v>-46.541982</v>
      </c>
      <c r="D7635" s="43" t="n">
        <v>20</v>
      </c>
      <c r="E7635" s="44" t="n">
        <v>509.45935</v>
      </c>
    </row>
    <row r="7636">
      <c r="A7636" s="39">
        <f>_xlfn.XLOOKUP(47323,Trip[shape_id],Trip[shape_id],"Não encontrado")</f>
        <v/>
      </c>
      <c r="B7636" s="40" t="n">
        <v>-23.557497</v>
      </c>
      <c r="C7636" s="40" t="n">
        <v>-46.542039</v>
      </c>
      <c r="D7636" s="40" t="n">
        <v>21</v>
      </c>
      <c r="E7636" s="41" t="n">
        <v>516.33105</v>
      </c>
    </row>
    <row r="7637">
      <c r="A7637" s="42">
        <f>_xlfn.XLOOKUP(47323,Trip[shape_id],Trip[shape_id],"Não encontrado")</f>
        <v/>
      </c>
      <c r="B7637" s="43" t="n">
        <v>-23.556188</v>
      </c>
      <c r="C7637" s="43" t="n">
        <v>-46.542556</v>
      </c>
      <c r="D7637" s="43" t="n">
        <v>22</v>
      </c>
      <c r="E7637" s="44" t="n">
        <v>670.61548</v>
      </c>
    </row>
    <row r="7638">
      <c r="A7638" s="39">
        <f>_xlfn.XLOOKUP(47323,Trip[shape_id],Trip[shape_id],"Não encontrado")</f>
        <v/>
      </c>
      <c r="B7638" s="40" t="n">
        <v>-23.55575</v>
      </c>
      <c r="C7638" s="40" t="n">
        <v>-46.542721</v>
      </c>
      <c r="D7638" s="40" t="n">
        <v>23</v>
      </c>
      <c r="E7638" s="41" t="n">
        <v>721.96674</v>
      </c>
    </row>
    <row r="7639">
      <c r="A7639" s="42">
        <f>_xlfn.XLOOKUP(47323,Trip[shape_id],Trip[shape_id],"Não encontrado")</f>
        <v/>
      </c>
      <c r="B7639" s="43" t="n">
        <v>-23.555658</v>
      </c>
      <c r="C7639" s="43" t="n">
        <v>-46.5427</v>
      </c>
      <c r="D7639" s="43" t="n">
        <v>24</v>
      </c>
      <c r="E7639" s="44" t="n">
        <v>732.37927</v>
      </c>
    </row>
    <row r="7640">
      <c r="A7640" s="39">
        <f>_xlfn.XLOOKUP(47323,Trip[shape_id],Trip[shape_id],"Não encontrado")</f>
        <v/>
      </c>
      <c r="B7640" s="40" t="n">
        <v>-23.555626</v>
      </c>
      <c r="C7640" s="40" t="n">
        <v>-46.542773</v>
      </c>
      <c r="D7640" s="40" t="n">
        <v>25</v>
      </c>
      <c r="E7640" s="41" t="n">
        <v>740.63208</v>
      </c>
    </row>
    <row r="7641">
      <c r="A7641" s="42">
        <f>_xlfn.XLOOKUP(47323,Trip[shape_id],Trip[shape_id],"Não encontrado")</f>
        <v/>
      </c>
      <c r="B7641" s="43" t="n">
        <v>-23.5555</v>
      </c>
      <c r="C7641" s="43" t="n">
        <v>-46.542824</v>
      </c>
      <c r="D7641" s="43" t="n">
        <v>26</v>
      </c>
      <c r="E7641" s="44" t="n">
        <v>755.52661</v>
      </c>
    </row>
    <row r="7642">
      <c r="A7642" s="39">
        <f>_xlfn.XLOOKUP(47323,Trip[shape_id],Trip[shape_id],"Não encontrado")</f>
        <v/>
      </c>
      <c r="B7642" s="40" t="n">
        <v>-23.555349</v>
      </c>
      <c r="C7642" s="40" t="n">
        <v>-46.542882</v>
      </c>
      <c r="D7642" s="40" t="n">
        <v>27</v>
      </c>
      <c r="E7642" s="41" t="n">
        <v>773.26776</v>
      </c>
    </row>
    <row r="7643">
      <c r="A7643" s="42">
        <f>_xlfn.XLOOKUP(47323,Trip[shape_id],Trip[shape_id],"Não encontrado")</f>
        <v/>
      </c>
      <c r="B7643" s="43" t="n">
        <v>-23.55517</v>
      </c>
      <c r="C7643" s="43" t="n">
        <v>-46.542957</v>
      </c>
      <c r="D7643" s="43" t="n">
        <v>28</v>
      </c>
      <c r="E7643" s="44" t="n">
        <v>794.51965</v>
      </c>
    </row>
    <row r="7644">
      <c r="A7644" s="39">
        <f>_xlfn.XLOOKUP(47323,Trip[shape_id],Trip[shape_id],"Não encontrado")</f>
        <v/>
      </c>
      <c r="B7644" s="40" t="n">
        <v>-23.554954</v>
      </c>
      <c r="C7644" s="40" t="n">
        <v>-46.543033</v>
      </c>
      <c r="D7644" s="40" t="n">
        <v>29</v>
      </c>
      <c r="E7644" s="41" t="n">
        <v>819.66913</v>
      </c>
    </row>
    <row r="7645">
      <c r="A7645" s="42">
        <f>_xlfn.XLOOKUP(47323,Trip[shape_id],Trip[shape_id],"Não encontrado")</f>
        <v/>
      </c>
      <c r="B7645" s="43" t="n">
        <v>-23.553737</v>
      </c>
      <c r="C7645" s="43" t="n">
        <v>-46.543509</v>
      </c>
      <c r="D7645" s="43" t="n">
        <v>30</v>
      </c>
      <c r="E7645" s="44" t="n">
        <v>962.94812</v>
      </c>
    </row>
    <row r="7646">
      <c r="A7646" s="39">
        <f>_xlfn.XLOOKUP(47323,Trip[shape_id],Trip[shape_id],"Não encontrado")</f>
        <v/>
      </c>
      <c r="B7646" s="40" t="n">
        <v>-23.553596</v>
      </c>
      <c r="C7646" s="40" t="n">
        <v>-46.543567</v>
      </c>
      <c r="D7646" s="40" t="n">
        <v>31</v>
      </c>
      <c r="E7646" s="41" t="n">
        <v>979.64929</v>
      </c>
    </row>
    <row r="7647">
      <c r="A7647" s="42">
        <f>_xlfn.XLOOKUP(47323,Trip[shape_id],Trip[shape_id],"Não encontrado")</f>
        <v/>
      </c>
      <c r="B7647" s="43" t="n">
        <v>-23.553492</v>
      </c>
      <c r="C7647" s="43" t="n">
        <v>-46.543563</v>
      </c>
      <c r="D7647" s="43" t="n">
        <v>32</v>
      </c>
      <c r="E7647" s="44" t="n">
        <v>991.17438</v>
      </c>
    </row>
    <row r="7648">
      <c r="A7648" s="39">
        <f>_xlfn.XLOOKUP(47323,Trip[shape_id],Trip[shape_id],"Não encontrado")</f>
        <v/>
      </c>
      <c r="B7648" s="40" t="n">
        <v>-23.553194</v>
      </c>
      <c r="C7648" s="40" t="n">
        <v>-46.543422</v>
      </c>
      <c r="D7648" s="40" t="n">
        <v>33</v>
      </c>
      <c r="E7648" s="41" t="n">
        <v>1027.1816</v>
      </c>
    </row>
    <row r="7649">
      <c r="A7649" s="42">
        <f>_xlfn.XLOOKUP(47323,Trip[shape_id],Trip[shape_id],"Não encontrado")</f>
        <v/>
      </c>
      <c r="B7649" s="43" t="n">
        <v>-23.553018</v>
      </c>
      <c r="C7649" s="43" t="n">
        <v>-46.543324</v>
      </c>
      <c r="D7649" s="43" t="n">
        <v>34</v>
      </c>
      <c r="E7649" s="44" t="n">
        <v>1049.0919</v>
      </c>
    </row>
    <row r="7650">
      <c r="A7650" s="39">
        <f>_xlfn.XLOOKUP(47323,Trip[shape_id],Trip[shape_id],"Não encontrado")</f>
        <v/>
      </c>
      <c r="B7650" s="40" t="n">
        <v>-23.552555</v>
      </c>
      <c r="C7650" s="40" t="n">
        <v>-46.544349</v>
      </c>
      <c r="D7650" s="40" t="n">
        <v>35</v>
      </c>
      <c r="E7650" s="41" t="n">
        <v>1165.6322</v>
      </c>
    </row>
    <row r="7651">
      <c r="A7651" s="42">
        <f>_xlfn.XLOOKUP(47323,Trip[shape_id],Trip[shape_id],"Não encontrado")</f>
        <v/>
      </c>
      <c r="B7651" s="43" t="n">
        <v>-23.553519</v>
      </c>
      <c r="C7651" s="43" t="n">
        <v>-46.54483</v>
      </c>
      <c r="D7651" s="43" t="n">
        <v>36</v>
      </c>
      <c r="E7651" s="44" t="n">
        <v>1283.1504</v>
      </c>
    </row>
    <row r="7652">
      <c r="A7652" s="39">
        <f>_xlfn.XLOOKUP(47323,Trip[shape_id],Trip[shape_id],"Não encontrado")</f>
        <v/>
      </c>
      <c r="B7652" s="40" t="n">
        <v>-23.553905</v>
      </c>
      <c r="C7652" s="40" t="n">
        <v>-46.54503</v>
      </c>
      <c r="D7652" s="40" t="n">
        <v>37</v>
      </c>
      <c r="E7652" s="41" t="n">
        <v>1330.5271</v>
      </c>
    </row>
    <row r="7653">
      <c r="A7653" s="42">
        <f>_xlfn.XLOOKUP(47323,Trip[shape_id],Trip[shape_id],"Não encontrado")</f>
        <v/>
      </c>
      <c r="B7653" s="43" t="n">
        <v>-23.554336</v>
      </c>
      <c r="C7653" s="43" t="n">
        <v>-46.545248</v>
      </c>
      <c r="D7653" s="43" t="n">
        <v>38</v>
      </c>
      <c r="E7653" s="44" t="n">
        <v>1426.4961</v>
      </c>
    </row>
    <row r="7654">
      <c r="A7654" s="39">
        <f>_xlfn.XLOOKUP(47323,Trip[shape_id],Trip[shape_id],"Não encontrado")</f>
        <v/>
      </c>
      <c r="B7654" s="40" t="n">
        <v>-23.554686</v>
      </c>
      <c r="C7654" s="40" t="n">
        <v>-46.545437</v>
      </c>
      <c r="D7654" s="40" t="n">
        <v>39</v>
      </c>
      <c r="E7654" s="41" t="n">
        <v>1426.4961</v>
      </c>
    </row>
    <row r="7655">
      <c r="A7655" s="42">
        <f>_xlfn.XLOOKUP(47323,Trip[shape_id],Trip[shape_id],"Não encontrado")</f>
        <v/>
      </c>
      <c r="B7655" s="43" t="n">
        <v>-23.554867</v>
      </c>
      <c r="C7655" s="43" t="n">
        <v>-46.545459</v>
      </c>
      <c r="D7655" s="43" t="n">
        <v>40</v>
      </c>
      <c r="E7655" s="44" t="n">
        <v>1457.8575</v>
      </c>
    </row>
    <row r="7656">
      <c r="A7656" s="39">
        <f>_xlfn.XLOOKUP(47323,Trip[shape_id],Trip[shape_id],"Não encontrado")</f>
        <v/>
      </c>
      <c r="B7656" s="40" t="n">
        <v>-23.554968</v>
      </c>
      <c r="C7656" s="40" t="n">
        <v>-46.545456</v>
      </c>
      <c r="D7656" s="40" t="n">
        <v>41</v>
      </c>
      <c r="E7656" s="41" t="n">
        <v>1466.24</v>
      </c>
    </row>
    <row r="7657">
      <c r="A7657" s="42">
        <f>_xlfn.XLOOKUP(47323,Trip[shape_id],Trip[shape_id],"Não encontrado")</f>
        <v/>
      </c>
      <c r="B7657" s="43" t="n">
        <v>-23.555043</v>
      </c>
      <c r="C7657" s="43" t="n">
        <v>-46.545445</v>
      </c>
      <c r="D7657" s="43" t="n">
        <v>42</v>
      </c>
      <c r="E7657" s="44" t="n">
        <v>1482.8101</v>
      </c>
    </row>
    <row r="7658">
      <c r="A7658" s="39">
        <f>_xlfn.XLOOKUP(47323,Trip[shape_id],Trip[shape_id],"Não encontrado")</f>
        <v/>
      </c>
      <c r="B7658" s="40" t="n">
        <v>-23.555188</v>
      </c>
      <c r="C7658" s="40" t="n">
        <v>-46.545405</v>
      </c>
      <c r="D7658" s="40" t="n">
        <v>43</v>
      </c>
      <c r="E7658" s="41" t="n">
        <v>1496.593</v>
      </c>
    </row>
    <row r="7659">
      <c r="A7659" s="42">
        <f>_xlfn.XLOOKUP(47323,Trip[shape_id],Trip[shape_id],"Não encontrado")</f>
        <v/>
      </c>
      <c r="B7659" s="43" t="n">
        <v>-23.555305</v>
      </c>
      <c r="C7659" s="43" t="n">
        <v>-46.545359</v>
      </c>
      <c r="D7659" s="43" t="n">
        <v>44</v>
      </c>
      <c r="E7659" s="44" t="n">
        <v>1535.9333</v>
      </c>
    </row>
    <row r="7660">
      <c r="A7660" s="39">
        <f>_xlfn.XLOOKUP(47323,Trip[shape_id],Trip[shape_id],"Não encontrado")</f>
        <v/>
      </c>
      <c r="B7660" s="40" t="n">
        <v>-23.555641</v>
      </c>
      <c r="C7660" s="40" t="n">
        <v>-46.545234</v>
      </c>
      <c r="D7660" s="40" t="n">
        <v>45</v>
      </c>
      <c r="E7660" s="41" t="n">
        <v>1570.8939</v>
      </c>
    </row>
    <row r="7661">
      <c r="A7661" s="42">
        <f>_xlfn.XLOOKUP(47323,Trip[shape_id],Trip[shape_id],"Não encontrado")</f>
        <v/>
      </c>
      <c r="B7661" s="43" t="n">
        <v>-23.555938</v>
      </c>
      <c r="C7661" s="43" t="n">
        <v>-46.545118</v>
      </c>
      <c r="D7661" s="43" t="n">
        <v>46</v>
      </c>
      <c r="E7661" s="44" t="n">
        <v>1570.8939</v>
      </c>
    </row>
    <row r="7662">
      <c r="A7662" s="39">
        <f>_xlfn.XLOOKUP(47323,Trip[shape_id],Trip[shape_id],"Não encontrado")</f>
        <v/>
      </c>
      <c r="B7662" s="40" t="n">
        <v>-23.556734</v>
      </c>
      <c r="C7662" s="40" t="n">
        <v>-46.544805</v>
      </c>
      <c r="D7662" s="40" t="n">
        <v>47</v>
      </c>
      <c r="E7662" s="41" t="n">
        <v>1683.1722</v>
      </c>
    </row>
    <row r="7663">
      <c r="A7663" s="42">
        <f>_xlfn.XLOOKUP(47323,Trip[shape_id],Trip[shape_id],"Não encontrado")</f>
        <v/>
      </c>
      <c r="B7663" s="43" t="n">
        <v>-23.556892</v>
      </c>
      <c r="C7663" s="43" t="n">
        <v>-46.544746</v>
      </c>
      <c r="D7663" s="43" t="n">
        <v>48</v>
      </c>
      <c r="E7663" s="44" t="n">
        <v>1683.1722</v>
      </c>
    </row>
    <row r="7664">
      <c r="A7664" s="39">
        <f>_xlfn.XLOOKUP(47323,Trip[shape_id],Trip[shape_id],"Não encontrado")</f>
        <v/>
      </c>
      <c r="B7664" s="40" t="n">
        <v>-23.557543</v>
      </c>
      <c r="C7664" s="40" t="n">
        <v>-46.544495</v>
      </c>
      <c r="D7664" s="40" t="n">
        <v>49</v>
      </c>
      <c r="E7664" s="41" t="n">
        <v>1873.0427</v>
      </c>
    </row>
    <row r="7665">
      <c r="A7665" s="42">
        <f>_xlfn.XLOOKUP(47323,Trip[shape_id],Trip[shape_id],"Não encontrado")</f>
        <v/>
      </c>
      <c r="B7665" s="43" t="n">
        <v>-23.558506</v>
      </c>
      <c r="C7665" s="43" t="n">
        <v>-46.544119</v>
      </c>
      <c r="D7665" s="43" t="n">
        <v>50</v>
      </c>
      <c r="E7665" s="44" t="n">
        <v>1873.0427</v>
      </c>
    </row>
    <row r="7666">
      <c r="A7666" s="39">
        <f>_xlfn.XLOOKUP(47323,Trip[shape_id],Trip[shape_id],"Não encontrado")</f>
        <v/>
      </c>
      <c r="B7666" s="40" t="n">
        <v>-23.558857</v>
      </c>
      <c r="C7666" s="40" t="n">
        <v>-46.54398</v>
      </c>
      <c r="D7666" s="40" t="n">
        <v>51</v>
      </c>
      <c r="E7666" s="41" t="n">
        <v>1914.426</v>
      </c>
    </row>
    <row r="7667">
      <c r="A7667" s="42">
        <f>_xlfn.XLOOKUP(47323,Trip[shape_id],Trip[shape_id],"Não encontrado")</f>
        <v/>
      </c>
      <c r="B7667" s="43" t="n">
        <v>-23.559241</v>
      </c>
      <c r="C7667" s="43" t="n">
        <v>-46.543832</v>
      </c>
      <c r="D7667" s="43" t="n">
        <v>52</v>
      </c>
      <c r="E7667" s="44" t="n">
        <v>1959.5593</v>
      </c>
    </row>
    <row r="7668">
      <c r="A7668" s="39">
        <f>_xlfn.XLOOKUP(47323,Trip[shape_id],Trip[shape_id],"Não encontrado")</f>
        <v/>
      </c>
      <c r="B7668" s="40" t="n">
        <v>-23.559911</v>
      </c>
      <c r="C7668" s="40" t="n">
        <v>-46.543582</v>
      </c>
      <c r="D7668" s="40" t="n">
        <v>53</v>
      </c>
      <c r="E7668" s="41" t="n">
        <v>2038.0302</v>
      </c>
    </row>
    <row r="7669">
      <c r="A7669" s="42">
        <f>_xlfn.XLOOKUP(47323,Trip[shape_id],Trip[shape_id],"Não encontrado")</f>
        <v/>
      </c>
      <c r="B7669" s="43" t="n">
        <v>-23.56035</v>
      </c>
      <c r="C7669" s="43" t="n">
        <v>-46.543418</v>
      </c>
      <c r="D7669" s="43" t="n">
        <v>54</v>
      </c>
      <c r="E7669" s="44" t="n">
        <v>2108.2524</v>
      </c>
    </row>
    <row r="7670">
      <c r="A7670" s="39">
        <f>_xlfn.XLOOKUP(47323,Trip[shape_id],Trip[shape_id],"Não encontrado")</f>
        <v/>
      </c>
      <c r="B7670" s="40" t="n">
        <v>-23.560517</v>
      </c>
      <c r="C7670" s="40" t="n">
        <v>-46.543385</v>
      </c>
      <c r="D7670" s="40" t="n">
        <v>55</v>
      </c>
      <c r="E7670" s="41" t="n">
        <v>2108.2524</v>
      </c>
    </row>
    <row r="7671">
      <c r="A7671" s="42">
        <f>_xlfn.XLOOKUP(47323,Trip[shape_id],Trip[shape_id],"Não encontrado")</f>
        <v/>
      </c>
      <c r="B7671" s="43" t="n">
        <v>-23.560629</v>
      </c>
      <c r="C7671" s="43" t="n">
        <v>-46.543369</v>
      </c>
      <c r="D7671" s="43" t="n">
        <v>56</v>
      </c>
      <c r="E7671" s="44" t="n">
        <v>2154.8274</v>
      </c>
    </row>
    <row r="7672">
      <c r="A7672" s="39">
        <f>_xlfn.XLOOKUP(47323,Trip[shape_id],Trip[shape_id],"Não encontrado")</f>
        <v/>
      </c>
      <c r="B7672" s="40" t="n">
        <v>-23.560934</v>
      </c>
      <c r="C7672" s="40" t="n">
        <v>-46.543326</v>
      </c>
      <c r="D7672" s="40" t="n">
        <v>57</v>
      </c>
      <c r="E7672" s="41" t="n">
        <v>2154.8274</v>
      </c>
    </row>
    <row r="7673">
      <c r="A7673" s="42">
        <f>_xlfn.XLOOKUP(47323,Trip[shape_id],Trip[shape_id],"Não encontrado")</f>
        <v/>
      </c>
      <c r="B7673" s="43" t="n">
        <v>-23.561493</v>
      </c>
      <c r="C7673" s="43" t="n">
        <v>-46.543326</v>
      </c>
      <c r="D7673" s="43" t="n">
        <v>58</v>
      </c>
      <c r="E7673" s="44" t="n">
        <v>2216.7378</v>
      </c>
    </row>
    <row r="7674">
      <c r="A7674" s="39">
        <f>_xlfn.XLOOKUP(47323,Trip[shape_id],Trip[shape_id],"Não encontrado")</f>
        <v/>
      </c>
      <c r="B7674" s="40" t="n">
        <v>-23.561692</v>
      </c>
      <c r="C7674" s="40" t="n">
        <v>-46.543334</v>
      </c>
      <c r="D7674" s="40" t="n">
        <v>59</v>
      </c>
      <c r="E7674" s="41" t="n">
        <v>2241.3499</v>
      </c>
    </row>
    <row r="7675">
      <c r="A7675" s="42">
        <f>_xlfn.XLOOKUP(47323,Trip[shape_id],Trip[shape_id],"Não encontrado")</f>
        <v/>
      </c>
      <c r="B7675" s="43" t="n">
        <v>-23.561715</v>
      </c>
      <c r="C7675" s="43" t="n">
        <v>-46.543336</v>
      </c>
      <c r="D7675" s="43" t="n">
        <v>60</v>
      </c>
      <c r="E7675" s="44" t="n">
        <v>2250.7664</v>
      </c>
    </row>
    <row r="7676">
      <c r="A7676" s="39">
        <f>_xlfn.XLOOKUP(47323,Trip[shape_id],Trip[shape_id],"Não encontrado")</f>
        <v/>
      </c>
      <c r="B7676" s="40" t="n">
        <v>-23.5618</v>
      </c>
      <c r="C7676" s="40" t="n">
        <v>-46.543338</v>
      </c>
      <c r="D7676" s="40" t="n">
        <v>61</v>
      </c>
      <c r="E7676" s="41" t="n">
        <v>2281.0127</v>
      </c>
    </row>
    <row r="7677">
      <c r="A7677" s="42">
        <f>_xlfn.XLOOKUP(47323,Trip[shape_id],Trip[shape_id],"Não encontrado")</f>
        <v/>
      </c>
      <c r="B7677" s="43" t="n">
        <v>-23.562073</v>
      </c>
      <c r="C7677" s="43" t="n">
        <v>-46.543346</v>
      </c>
      <c r="D7677" s="43" t="n">
        <v>62</v>
      </c>
      <c r="E7677" s="44" t="n">
        <v>2296.6299</v>
      </c>
    </row>
    <row r="7678">
      <c r="A7678" s="39">
        <f>_xlfn.XLOOKUP(47323,Trip[shape_id],Trip[shape_id],"Não encontrado")</f>
        <v/>
      </c>
      <c r="B7678" s="40" t="n">
        <v>-23.562214</v>
      </c>
      <c r="C7678" s="40" t="n">
        <v>-46.543344</v>
      </c>
      <c r="D7678" s="40" t="n">
        <v>63</v>
      </c>
      <c r="E7678" s="41" t="n">
        <v>2311.6235</v>
      </c>
    </row>
    <row r="7679">
      <c r="A7679" s="42">
        <f>_xlfn.XLOOKUP(47323,Trip[shape_id],Trip[shape_id],"Não encontrado")</f>
        <v/>
      </c>
      <c r="B7679" s="43" t="n">
        <v>-23.562344</v>
      </c>
      <c r="C7679" s="43" t="n">
        <v>-46.543303</v>
      </c>
      <c r="D7679" s="43" t="n">
        <v>64</v>
      </c>
      <c r="E7679" s="44" t="n">
        <v>2328.1846</v>
      </c>
    </row>
    <row r="7680">
      <c r="A7680" s="39">
        <f>_xlfn.XLOOKUP(47323,Trip[shape_id],Trip[shape_id],"Não encontrado")</f>
        <v/>
      </c>
      <c r="B7680" s="40" t="n">
        <v>-23.562484</v>
      </c>
      <c r="C7680" s="40" t="n">
        <v>-46.543246</v>
      </c>
      <c r="D7680" s="40" t="n">
        <v>65</v>
      </c>
      <c r="E7680" s="41" t="n">
        <v>2341.1082</v>
      </c>
    </row>
    <row r="7681">
      <c r="A7681" s="42">
        <f>_xlfn.XLOOKUP(47323,Trip[shape_id],Trip[shape_id],"Não encontrado")</f>
        <v/>
      </c>
      <c r="B7681" s="43" t="n">
        <v>-23.562578</v>
      </c>
      <c r="C7681" s="43" t="n">
        <v>-46.543171</v>
      </c>
      <c r="D7681" s="43" t="n">
        <v>66</v>
      </c>
      <c r="E7681" s="44" t="n">
        <v>2348.144</v>
      </c>
    </row>
    <row r="7682">
      <c r="A7682" s="39">
        <f>_xlfn.XLOOKUP(47323,Trip[shape_id],Trip[shape_id],"Não encontrado")</f>
        <v/>
      </c>
      <c r="B7682" s="40" t="n">
        <v>-23.562631</v>
      </c>
      <c r="C7682" s="40" t="n">
        <v>-46.543133</v>
      </c>
      <c r="D7682" s="40" t="n">
        <v>67</v>
      </c>
      <c r="E7682" s="41" t="n">
        <v>2348.144</v>
      </c>
    </row>
    <row r="7683">
      <c r="A7683" s="42">
        <f>_xlfn.XLOOKUP(47323,Trip[shape_id],Trip[shape_id],"Não encontrado")</f>
        <v/>
      </c>
      <c r="B7683" s="43" t="n">
        <v>-23.562785</v>
      </c>
      <c r="C7683" s="43" t="n">
        <v>-46.542957</v>
      </c>
      <c r="D7683" s="43" t="n">
        <v>68</v>
      </c>
      <c r="E7683" s="44" t="n">
        <v>2372.9182</v>
      </c>
    </row>
    <row r="7684">
      <c r="A7684" s="39">
        <f>_xlfn.XLOOKUP(47323,Trip[shape_id],Trip[shape_id],"Não encontrado")</f>
        <v/>
      </c>
      <c r="B7684" s="40" t="n">
        <v>-23.562943</v>
      </c>
      <c r="C7684" s="40" t="n">
        <v>-46.542678</v>
      </c>
      <c r="D7684" s="40" t="n">
        <v>69</v>
      </c>
      <c r="E7684" s="41" t="n">
        <v>2416.6414</v>
      </c>
    </row>
    <row r="7685">
      <c r="A7685" s="42">
        <f>_xlfn.XLOOKUP(47323,Trip[shape_id],Trip[shape_id],"Não encontrado")</f>
        <v/>
      </c>
      <c r="B7685" s="43" t="n">
        <v>-23.563003</v>
      </c>
      <c r="C7685" s="43" t="n">
        <v>-46.542601</v>
      </c>
      <c r="D7685" s="43" t="n">
        <v>70</v>
      </c>
      <c r="E7685" s="44" t="n">
        <v>2416.6414</v>
      </c>
    </row>
    <row r="7686">
      <c r="A7686" s="39">
        <f>_xlfn.XLOOKUP(47323,Trip[shape_id],Trip[shape_id],"Não encontrado")</f>
        <v/>
      </c>
      <c r="B7686" s="40" t="n">
        <v>-23.563135</v>
      </c>
      <c r="C7686" s="40" t="n">
        <v>-46.542574</v>
      </c>
      <c r="D7686" s="40" t="n">
        <v>71</v>
      </c>
      <c r="E7686" s="41" t="n">
        <v>2440.0564</v>
      </c>
    </row>
    <row r="7687">
      <c r="A7687" s="42">
        <f>_xlfn.XLOOKUP(47323,Trip[shape_id],Trip[shape_id],"Não encontrado")</f>
        <v/>
      </c>
      <c r="B7687" s="43" t="n">
        <v>-23.563212</v>
      </c>
      <c r="C7687" s="43" t="n">
        <v>-46.542578</v>
      </c>
      <c r="D7687" s="43" t="n">
        <v>72</v>
      </c>
      <c r="E7687" s="44" t="n">
        <v>2453.5776</v>
      </c>
    </row>
    <row r="7688">
      <c r="A7688" s="39">
        <f>_xlfn.XLOOKUP(47323,Trip[shape_id],Trip[shape_id],"Não encontrado")</f>
        <v/>
      </c>
      <c r="B7688" s="40" t="n">
        <v>-23.563334</v>
      </c>
      <c r="C7688" s="40" t="n">
        <v>-46.542583</v>
      </c>
      <c r="D7688" s="40" t="n">
        <v>73</v>
      </c>
      <c r="E7688" s="41" t="n">
        <v>2463.5474</v>
      </c>
    </row>
    <row r="7689">
      <c r="A7689" s="42">
        <f>_xlfn.XLOOKUP(47323,Trip[shape_id],Trip[shape_id],"Não encontrado")</f>
        <v/>
      </c>
      <c r="B7689" s="43" t="n">
        <v>-23.563424</v>
      </c>
      <c r="C7689" s="43" t="n">
        <v>-46.542581</v>
      </c>
      <c r="D7689" s="43" t="n">
        <v>74</v>
      </c>
      <c r="E7689" s="44" t="n">
        <v>2486.6418</v>
      </c>
    </row>
    <row r="7690">
      <c r="A7690" s="39">
        <f>_xlfn.XLOOKUP(47323,Trip[shape_id],Trip[shape_id],"Não encontrado")</f>
        <v/>
      </c>
      <c r="B7690" s="40" t="n">
        <v>-23.563632</v>
      </c>
      <c r="C7690" s="40" t="n">
        <v>-46.542565</v>
      </c>
      <c r="D7690" s="40" t="n">
        <v>75</v>
      </c>
      <c r="E7690" s="41" t="n">
        <v>2502.0632</v>
      </c>
    </row>
    <row r="7691">
      <c r="A7691" s="42">
        <f>_xlfn.XLOOKUP(47323,Trip[shape_id],Trip[shape_id],"Não encontrado")</f>
        <v/>
      </c>
      <c r="B7691" s="43" t="n">
        <v>-23.563769</v>
      </c>
      <c r="C7691" s="43" t="n">
        <v>-46.542538</v>
      </c>
      <c r="D7691" s="43" t="n">
        <v>76</v>
      </c>
      <c r="E7691" s="44" t="n">
        <v>2513.8135</v>
      </c>
    </row>
    <row r="7692">
      <c r="A7692" s="39">
        <f>_xlfn.XLOOKUP(47323,Trip[shape_id],Trip[shape_id],"Não encontrado")</f>
        <v/>
      </c>
      <c r="B7692" s="40" t="n">
        <v>-23.563865</v>
      </c>
      <c r="C7692" s="40" t="n">
        <v>-46.542489</v>
      </c>
      <c r="D7692" s="40" t="n">
        <v>77</v>
      </c>
      <c r="E7692" s="41" t="n">
        <v>2530.8101</v>
      </c>
    </row>
    <row r="7693">
      <c r="A7693" s="42">
        <f>_xlfn.XLOOKUP(47323,Trip[shape_id],Trip[shape_id],"Não encontrado")</f>
        <v/>
      </c>
      <c r="B7693" s="43" t="n">
        <v>-23.563987</v>
      </c>
      <c r="C7693" s="43" t="n">
        <v>-46.542388</v>
      </c>
      <c r="D7693" s="43" t="n">
        <v>78</v>
      </c>
      <c r="E7693" s="44" t="n">
        <v>2540.3</v>
      </c>
    </row>
    <row r="7694">
      <c r="A7694" s="39">
        <f>_xlfn.XLOOKUP(47323,Trip[shape_id],Trip[shape_id],"Não encontrado")</f>
        <v/>
      </c>
      <c r="B7694" s="40" t="n">
        <v>-23.564035</v>
      </c>
      <c r="C7694" s="40" t="n">
        <v>-46.542311</v>
      </c>
      <c r="D7694" s="40" t="n">
        <v>79</v>
      </c>
      <c r="E7694" s="41" t="n">
        <v>2551.104</v>
      </c>
    </row>
    <row r="7695">
      <c r="A7695" s="42">
        <f>_xlfn.XLOOKUP(47323,Trip[shape_id],Trip[shape_id],"Não encontrado")</f>
        <v/>
      </c>
      <c r="B7695" s="43" t="n">
        <v>-23.564074</v>
      </c>
      <c r="C7695" s="43" t="n">
        <v>-46.542214</v>
      </c>
      <c r="D7695" s="43" t="n">
        <v>80</v>
      </c>
      <c r="E7695" s="44" t="n">
        <v>2565.3674</v>
      </c>
    </row>
    <row r="7696">
      <c r="A7696" s="39">
        <f>_xlfn.XLOOKUP(47323,Trip[shape_id],Trip[shape_id],"Não encontrado")</f>
        <v/>
      </c>
      <c r="B7696" s="40" t="n">
        <v>-23.564087</v>
      </c>
      <c r="C7696" s="40" t="n">
        <v>-46.542075</v>
      </c>
      <c r="D7696" s="40" t="n">
        <v>81</v>
      </c>
      <c r="E7696" s="41" t="n">
        <v>2575.0969</v>
      </c>
    </row>
    <row r="7697">
      <c r="A7697" s="42">
        <f>_xlfn.XLOOKUP(47323,Trip[shape_id],Trip[shape_id],"Não encontrado")</f>
        <v/>
      </c>
      <c r="B7697" s="43" t="n">
        <v>-23.56408</v>
      </c>
      <c r="C7697" s="43" t="n">
        <v>-46.54198</v>
      </c>
      <c r="D7697" s="43" t="n">
        <v>82</v>
      </c>
      <c r="E7697" s="44" t="n">
        <v>2587.5334</v>
      </c>
    </row>
    <row r="7698">
      <c r="A7698" s="39">
        <f>_xlfn.XLOOKUP(47323,Trip[shape_id],Trip[shape_id],"Não encontrado")</f>
        <v/>
      </c>
      <c r="B7698" s="40" t="n">
        <v>-23.564067</v>
      </c>
      <c r="C7698" s="40" t="n">
        <v>-46.541859</v>
      </c>
      <c r="D7698" s="40" t="n">
        <v>83</v>
      </c>
      <c r="E7698" s="41" t="n">
        <v>2587.5334</v>
      </c>
    </row>
    <row r="7699">
      <c r="A7699" s="42">
        <f>_xlfn.XLOOKUP(47323,Trip[shape_id],Trip[shape_id],"Não encontrado")</f>
        <v/>
      </c>
      <c r="B7699" s="43" t="n">
        <v>-23.564055</v>
      </c>
      <c r="C7699" s="43" t="n">
        <v>-46.54177</v>
      </c>
      <c r="D7699" s="43" t="n">
        <v>84</v>
      </c>
      <c r="E7699" s="44" t="n">
        <v>2614.0295</v>
      </c>
    </row>
    <row r="7700">
      <c r="A7700" s="39">
        <f>_xlfn.XLOOKUP(47323,Trip[shape_id],Trip[shape_id],"Não encontrado")</f>
        <v/>
      </c>
      <c r="B7700" s="40" t="n">
        <v>-23.564042</v>
      </c>
      <c r="C7700" s="40" t="n">
        <v>-46.541601</v>
      </c>
      <c r="D7700" s="40" t="n">
        <v>85</v>
      </c>
      <c r="E7700" s="41" t="n">
        <v>2627.405</v>
      </c>
    </row>
    <row r="7701">
      <c r="A7701" s="42">
        <f>_xlfn.XLOOKUP(47323,Trip[shape_id],Trip[shape_id],"Não encontrado")</f>
        <v/>
      </c>
      <c r="B7701" s="43" t="n">
        <v>-23.564044</v>
      </c>
      <c r="C7701" s="43" t="n">
        <v>-46.54147</v>
      </c>
      <c r="D7701" s="43" t="n">
        <v>86</v>
      </c>
      <c r="E7701" s="44" t="n">
        <v>2636.6853</v>
      </c>
    </row>
    <row r="7702">
      <c r="A7702" s="39">
        <f>_xlfn.XLOOKUP(47323,Trip[shape_id],Trip[shape_id],"Não encontrado")</f>
        <v/>
      </c>
      <c r="B7702" s="40" t="n">
        <v>-23.564065</v>
      </c>
      <c r="C7702" s="40" t="n">
        <v>-46.541382</v>
      </c>
      <c r="D7702" s="40" t="n">
        <v>87</v>
      </c>
      <c r="E7702" s="41" t="n">
        <v>2646.9343</v>
      </c>
    </row>
    <row r="7703">
      <c r="A7703" s="42">
        <f>_xlfn.XLOOKUP(47323,Trip[shape_id],Trip[shape_id],"Não encontrado")</f>
        <v/>
      </c>
      <c r="B7703" s="43" t="n">
        <v>-23.564106</v>
      </c>
      <c r="C7703" s="43" t="n">
        <v>-46.541292</v>
      </c>
      <c r="D7703" s="43" t="n">
        <v>88</v>
      </c>
      <c r="E7703" s="44" t="n">
        <v>2657.1567</v>
      </c>
    </row>
    <row r="7704">
      <c r="A7704" s="39">
        <f>_xlfn.XLOOKUP(47323,Trip[shape_id],Trip[shape_id],"Não encontrado")</f>
        <v/>
      </c>
      <c r="B7704" s="40" t="n">
        <v>-23.564172</v>
      </c>
      <c r="C7704" s="40" t="n">
        <v>-46.541222</v>
      </c>
      <c r="D7704" s="40" t="n">
        <v>89</v>
      </c>
      <c r="E7704" s="41" t="n">
        <v>2670.0505</v>
      </c>
    </row>
    <row r="7705">
      <c r="A7705" s="42">
        <f>_xlfn.XLOOKUP(47323,Trip[shape_id],Trip[shape_id],"Não encontrado")</f>
        <v/>
      </c>
      <c r="B7705" s="43" t="n">
        <v>-23.564267</v>
      </c>
      <c r="C7705" s="43" t="n">
        <v>-46.541149</v>
      </c>
      <c r="D7705" s="43" t="n">
        <v>90</v>
      </c>
      <c r="E7705" s="44" t="n">
        <v>2670.0505</v>
      </c>
    </row>
    <row r="7706">
      <c r="A7706" s="39">
        <f>_xlfn.XLOOKUP(47323,Trip[shape_id],Trip[shape_id],"Não encontrado")</f>
        <v/>
      </c>
      <c r="B7706" s="40" t="n">
        <v>-23.564377</v>
      </c>
      <c r="C7706" s="40" t="n">
        <v>-46.541095</v>
      </c>
      <c r="D7706" s="40" t="n">
        <v>91</v>
      </c>
      <c r="E7706" s="41" t="n">
        <v>2699.3115</v>
      </c>
    </row>
    <row r="7707">
      <c r="A7707" s="42">
        <f>_xlfn.XLOOKUP(47323,Trip[shape_id],Trip[shape_id],"Não encontrado")</f>
        <v/>
      </c>
      <c r="B7707" s="43" t="n">
        <v>-23.564517</v>
      </c>
      <c r="C7707" s="43" t="n">
        <v>-46.541061</v>
      </c>
      <c r="D7707" s="43" t="n">
        <v>92</v>
      </c>
      <c r="E7707" s="44" t="n">
        <v>2699.3115</v>
      </c>
    </row>
    <row r="7708">
      <c r="A7708" s="39">
        <f>_xlfn.XLOOKUP(47323,Trip[shape_id],Trip[shape_id],"Não encontrado")</f>
        <v/>
      </c>
      <c r="B7708" s="40" t="n">
        <v>-23.564532</v>
      </c>
      <c r="C7708" s="40" t="n">
        <v>-46.540962</v>
      </c>
      <c r="D7708" s="40" t="n">
        <v>93</v>
      </c>
      <c r="E7708" s="41" t="n">
        <v>2709.5542</v>
      </c>
    </row>
    <row r="7709">
      <c r="A7709" s="42">
        <f>_xlfn.XLOOKUP(47323,Trip[shape_id],Trip[shape_id],"Não encontrado")</f>
        <v/>
      </c>
      <c r="B7709" s="43" t="n">
        <v>-23.564557</v>
      </c>
      <c r="C7709" s="43" t="n">
        <v>-46.540919</v>
      </c>
      <c r="D7709" s="43" t="n">
        <v>94</v>
      </c>
      <c r="E7709" s="44" t="n">
        <v>2714.7434</v>
      </c>
    </row>
    <row r="7710">
      <c r="A7710" s="39">
        <f>_xlfn.XLOOKUP(47323,Trip[shape_id],Trip[shape_id],"Não encontrado")</f>
        <v/>
      </c>
      <c r="B7710" s="40" t="n">
        <v>-23.56458</v>
      </c>
      <c r="C7710" s="40" t="n">
        <v>-46.540881</v>
      </c>
      <c r="D7710" s="40" t="n">
        <v>95</v>
      </c>
      <c r="E7710" s="41" t="n">
        <v>2719.3838</v>
      </c>
    </row>
    <row r="7711">
      <c r="A7711" s="42">
        <f>_xlfn.XLOOKUP(47323,Trip[shape_id],Trip[shape_id],"Não encontrado")</f>
        <v/>
      </c>
      <c r="B7711" s="43" t="n">
        <v>-23.564616</v>
      </c>
      <c r="C7711" s="43" t="n">
        <v>-46.540863</v>
      </c>
      <c r="D7711" s="43" t="n">
        <v>96</v>
      </c>
      <c r="E7711" s="44" t="n">
        <v>2723.7744</v>
      </c>
    </row>
    <row r="7712">
      <c r="A7712" s="39">
        <f>_xlfn.XLOOKUP(47323,Trip[shape_id],Trip[shape_id],"Não encontrado")</f>
        <v/>
      </c>
      <c r="B7712" s="40" t="n">
        <v>-23.564664</v>
      </c>
      <c r="C7712" s="40" t="n">
        <v>-46.540852</v>
      </c>
      <c r="D7712" s="40" t="n">
        <v>97</v>
      </c>
      <c r="E7712" s="41" t="n">
        <v>2729.2078</v>
      </c>
    </row>
    <row r="7713">
      <c r="A7713" s="42">
        <f>_xlfn.XLOOKUP(47323,Trip[shape_id],Trip[shape_id],"Não encontrado")</f>
        <v/>
      </c>
      <c r="B7713" s="43" t="n">
        <v>-23.564739</v>
      </c>
      <c r="C7713" s="43" t="n">
        <v>-46.540866</v>
      </c>
      <c r="D7713" s="43" t="n">
        <v>98</v>
      </c>
      <c r="E7713" s="44" t="n">
        <v>2737.6365</v>
      </c>
    </row>
    <row r="7714">
      <c r="A7714" s="39">
        <f>_xlfn.XLOOKUP(47323,Trip[shape_id],Trip[shape_id],"Não encontrado")</f>
        <v/>
      </c>
      <c r="B7714" s="40" t="n">
        <v>-23.564795</v>
      </c>
      <c r="C7714" s="40" t="n">
        <v>-46.540924</v>
      </c>
      <c r="D7714" s="40" t="n">
        <v>99</v>
      </c>
      <c r="E7714" s="41" t="n">
        <v>2746.2112</v>
      </c>
    </row>
    <row r="7715">
      <c r="A7715" s="42">
        <f>_xlfn.XLOOKUP(47323,Trip[shape_id],Trip[shape_id],"Não encontrado")</f>
        <v/>
      </c>
      <c r="B7715" s="43" t="n">
        <v>-23.565046</v>
      </c>
      <c r="C7715" s="43" t="n">
        <v>-46.540896</v>
      </c>
      <c r="D7715" s="43" t="n">
        <v>100</v>
      </c>
      <c r="E7715" s="44" t="n">
        <v>2835.2085</v>
      </c>
    </row>
    <row r="7716">
      <c r="A7716" s="39">
        <f>_xlfn.XLOOKUP(47323,Trip[shape_id],Trip[shape_id],"Não encontrado")</f>
        <v/>
      </c>
      <c r="B7716" s="40" t="n">
        <v>-23.565597</v>
      </c>
      <c r="C7716" s="40" t="n">
        <v>-46.540878</v>
      </c>
      <c r="D7716" s="40" t="n">
        <v>101</v>
      </c>
      <c r="E7716" s="41" t="n">
        <v>2853.1545</v>
      </c>
    </row>
    <row r="7717">
      <c r="A7717" s="42">
        <f>_xlfn.XLOOKUP(47323,Trip[shape_id],Trip[shape_id],"Não encontrado")</f>
        <v/>
      </c>
      <c r="B7717" s="43" t="n">
        <v>-23.565755</v>
      </c>
      <c r="C7717" s="43" t="n">
        <v>-46.540839</v>
      </c>
      <c r="D7717" s="43" t="n">
        <v>102</v>
      </c>
      <c r="E7717" s="44" t="n">
        <v>2867.3186</v>
      </c>
    </row>
    <row r="7718">
      <c r="A7718" s="39">
        <f>_xlfn.XLOOKUP(47323,Trip[shape_id],Trip[shape_id],"Não encontrado")</f>
        <v/>
      </c>
      <c r="B7718" s="40" t="n">
        <v>-23.565878</v>
      </c>
      <c r="C7718" s="40" t="n">
        <v>-46.540801</v>
      </c>
      <c r="D7718" s="40" t="n">
        <v>103</v>
      </c>
      <c r="E7718" s="41" t="n">
        <v>2880.0259</v>
      </c>
    </row>
    <row r="7719">
      <c r="A7719" s="42">
        <f>_xlfn.XLOOKUP(47323,Trip[shape_id],Trip[shape_id],"Não encontrado")</f>
        <v/>
      </c>
      <c r="B7719" s="43" t="n">
        <v>-23.56598</v>
      </c>
      <c r="C7719" s="43" t="n">
        <v>-46.540744</v>
      </c>
      <c r="D7719" s="43" t="n">
        <v>104</v>
      </c>
      <c r="E7719" s="44" t="n">
        <v>2880.0259</v>
      </c>
    </row>
    <row r="7720">
      <c r="A7720" s="39">
        <f>_xlfn.XLOOKUP(47323,Trip[shape_id],Trip[shape_id],"Não encontrado")</f>
        <v/>
      </c>
      <c r="B7720" s="40" t="n">
        <v>-23.566063</v>
      </c>
      <c r="C7720" s="40" t="n">
        <v>-46.540701</v>
      </c>
      <c r="D7720" s="40" t="n">
        <v>105</v>
      </c>
      <c r="E7720" s="41" t="n">
        <v>2890.2131</v>
      </c>
    </row>
    <row r="7721">
      <c r="A7721" s="42">
        <f>_xlfn.XLOOKUP(47323,Trip[shape_id],Trip[shape_id],"Não encontrado")</f>
        <v/>
      </c>
      <c r="B7721" s="43" t="n">
        <v>-23.566127</v>
      </c>
      <c r="C7721" s="43" t="n">
        <v>-46.540631</v>
      </c>
      <c r="D7721" s="43" t="n">
        <v>106</v>
      </c>
      <c r="E7721" s="44" t="n">
        <v>2900.2788</v>
      </c>
    </row>
    <row r="7722">
      <c r="A7722" s="39">
        <f>_xlfn.XLOOKUP(47323,Trip[shape_id],Trip[shape_id],"Não encontrado")</f>
        <v/>
      </c>
      <c r="B7722" s="40" t="n">
        <v>-23.565426</v>
      </c>
      <c r="C7722" s="40" t="n">
        <v>-46.540038</v>
      </c>
      <c r="D7722" s="40" t="n">
        <v>107</v>
      </c>
      <c r="E7722" s="41" t="n">
        <v>3015.6538</v>
      </c>
    </row>
    <row r="7723">
      <c r="A7723" s="42">
        <f>_xlfn.XLOOKUP(47323,Trip[shape_id],Trip[shape_id],"Não encontrado")</f>
        <v/>
      </c>
      <c r="B7723" s="43" t="n">
        <v>-23.565307</v>
      </c>
      <c r="C7723" s="43" t="n">
        <v>-46.539934</v>
      </c>
      <c r="D7723" s="43" t="n">
        <v>108</v>
      </c>
      <c r="E7723" s="44" t="n">
        <v>3015.6538</v>
      </c>
    </row>
    <row r="7724">
      <c r="A7724" s="39">
        <f>_xlfn.XLOOKUP(47323,Trip[shape_id],Trip[shape_id],"Não encontrado")</f>
        <v/>
      </c>
      <c r="B7724" s="40" t="n">
        <v>-23.56532</v>
      </c>
      <c r="C7724" s="40" t="n">
        <v>-46.539865</v>
      </c>
      <c r="D7724" s="40" t="n">
        <v>109</v>
      </c>
      <c r="E7724" s="41" t="n">
        <v>3033.0549</v>
      </c>
    </row>
    <row r="7725">
      <c r="A7725" s="42">
        <f>_xlfn.XLOOKUP(47323,Trip[shape_id],Trip[shape_id],"Não encontrado")</f>
        <v/>
      </c>
      <c r="B7725" s="43" t="n">
        <v>-23.565322</v>
      </c>
      <c r="C7725" s="43" t="n">
        <v>-46.539765</v>
      </c>
      <c r="D7725" s="43" t="n">
        <v>110</v>
      </c>
      <c r="E7725" s="44" t="n">
        <v>3041.7385</v>
      </c>
    </row>
    <row r="7726">
      <c r="A7726" s="39">
        <f>_xlfn.XLOOKUP(47323,Trip[shape_id],Trip[shape_id],"Não encontrado")</f>
        <v/>
      </c>
      <c r="B7726" s="40" t="n">
        <v>-23.565319</v>
      </c>
      <c r="C7726" s="40" t="n">
        <v>-46.53968</v>
      </c>
      <c r="D7726" s="40" t="n">
        <v>111</v>
      </c>
      <c r="E7726" s="41" t="n">
        <v>3050.5178</v>
      </c>
    </row>
    <row r="7727">
      <c r="A7727" s="42">
        <f>_xlfn.XLOOKUP(47323,Trip[shape_id],Trip[shape_id],"Não encontrado")</f>
        <v/>
      </c>
      <c r="B7727" s="43" t="n">
        <v>-23.565307</v>
      </c>
      <c r="C7727" s="43" t="n">
        <v>-46.539595</v>
      </c>
      <c r="D7727" s="43" t="n">
        <v>112</v>
      </c>
      <c r="E7727" s="44" t="n">
        <v>3071.4895</v>
      </c>
    </row>
    <row r="7728">
      <c r="A7728" s="39">
        <f>_xlfn.XLOOKUP(47323,Trip[shape_id],Trip[shape_id],"Não encontrado")</f>
        <v/>
      </c>
      <c r="B7728" s="40" t="n">
        <v>-23.565278</v>
      </c>
      <c r="C7728" s="40" t="n">
        <v>-46.539392</v>
      </c>
      <c r="D7728" s="40" t="n">
        <v>113</v>
      </c>
      <c r="E7728" s="41" t="n">
        <v>3122.9761</v>
      </c>
    </row>
    <row r="7729">
      <c r="A7729" s="42">
        <f>_xlfn.XLOOKUP(47323,Trip[shape_id],Trip[shape_id],"Não encontrado")</f>
        <v/>
      </c>
      <c r="B7729" s="43" t="n">
        <v>-23.565168</v>
      </c>
      <c r="C7729" s="43" t="n">
        <v>-46.538902</v>
      </c>
      <c r="D7729" s="43" t="n">
        <v>114</v>
      </c>
      <c r="E7729" s="44" t="n">
        <v>3178.9778</v>
      </c>
    </row>
    <row r="7730">
      <c r="A7730" s="39">
        <f>_xlfn.XLOOKUP(47323,Trip[shape_id],Trip[shape_id],"Não encontrado")</f>
        <v/>
      </c>
      <c r="B7730" s="40" t="n">
        <v>-23.565007</v>
      </c>
      <c r="C7730" s="40" t="n">
        <v>-46.538382</v>
      </c>
      <c r="D7730" s="40" t="n">
        <v>115</v>
      </c>
      <c r="E7730" s="41" t="n">
        <v>3196.1555</v>
      </c>
    </row>
    <row r="7731">
      <c r="A7731" s="42">
        <f>_xlfn.XLOOKUP(47323,Trip[shape_id],Trip[shape_id],"Não encontrado")</f>
        <v/>
      </c>
      <c r="B7731" s="43" t="n">
        <v>-23.564959</v>
      </c>
      <c r="C7731" s="43" t="n">
        <v>-46.538222</v>
      </c>
      <c r="D7731" s="43" t="n">
        <v>116</v>
      </c>
      <c r="E7731" s="44" t="n">
        <v>3209.1733</v>
      </c>
    </row>
    <row r="7732">
      <c r="A7732" s="39">
        <f>_xlfn.XLOOKUP(47323,Trip[shape_id],Trip[shape_id],"Não encontrado")</f>
        <v/>
      </c>
      <c r="B7732" s="40" t="n">
        <v>-23.564928</v>
      </c>
      <c r="C7732" s="40" t="n">
        <v>-46.538099</v>
      </c>
      <c r="D7732" s="40" t="n">
        <v>117</v>
      </c>
      <c r="E7732" s="41" t="n">
        <v>3218.7393</v>
      </c>
    </row>
    <row r="7733">
      <c r="A7733" s="42">
        <f>_xlfn.XLOOKUP(47323,Trip[shape_id],Trip[shape_id],"Não encontrado")</f>
        <v/>
      </c>
      <c r="B7733" s="43" t="n">
        <v>-23.564901</v>
      </c>
      <c r="C7733" s="43" t="n">
        <v>-46.53801</v>
      </c>
      <c r="D7733" s="43" t="n">
        <v>118</v>
      </c>
      <c r="E7733" s="44" t="n">
        <v>3229.8127</v>
      </c>
    </row>
    <row r="7734">
      <c r="A7734" s="39">
        <f>_xlfn.XLOOKUP(47323,Trip[shape_id],Trip[shape_id],"Não encontrado")</f>
        <v/>
      </c>
      <c r="B7734" s="40" t="n">
        <v>-23.564867</v>
      </c>
      <c r="C7734" s="40" t="n">
        <v>-46.537908</v>
      </c>
      <c r="D7734" s="40" t="n">
        <v>119</v>
      </c>
      <c r="E7734" s="41" t="n">
        <v>3244.4121</v>
      </c>
    </row>
    <row r="7735">
      <c r="A7735" s="42">
        <f>_xlfn.XLOOKUP(47323,Trip[shape_id],Trip[shape_id],"Não encontrado")</f>
        <v/>
      </c>
      <c r="B7735" s="43" t="n">
        <v>-23.564845</v>
      </c>
      <c r="C7735" s="43" t="n">
        <v>-46.537767</v>
      </c>
      <c r="D7735" s="43" t="n">
        <v>120</v>
      </c>
      <c r="E7735" s="44" t="n">
        <v>3253.5015</v>
      </c>
    </row>
    <row r="7736">
      <c r="A7736" s="39">
        <f>_xlfn.XLOOKUP(47323,Trip[shape_id],Trip[shape_id],"Não encontrado")</f>
        <v/>
      </c>
      <c r="B7736" s="40" t="n">
        <v>-23.564847</v>
      </c>
      <c r="C7736" s="40" t="n">
        <v>-46.537678</v>
      </c>
      <c r="D7736" s="40" t="n">
        <v>121</v>
      </c>
      <c r="E7736" s="41" t="n">
        <v>3259.2239</v>
      </c>
    </row>
    <row r="7737">
      <c r="A7737" s="42">
        <f>_xlfn.XLOOKUP(47323,Trip[shape_id],Trip[shape_id],"Não encontrado")</f>
        <v/>
      </c>
      <c r="B7737" s="43" t="n">
        <v>-23.564857</v>
      </c>
      <c r="C7737" s="43" t="n">
        <v>-46.537623</v>
      </c>
      <c r="D7737" s="43" t="n">
        <v>122</v>
      </c>
      <c r="E7737" s="44" t="n">
        <v>3267.9551</v>
      </c>
    </row>
    <row r="7738">
      <c r="A7738" s="39">
        <f>_xlfn.XLOOKUP(47323,Trip[shape_id],Trip[shape_id],"Não encontrado")</f>
        <v/>
      </c>
      <c r="B7738" s="40" t="n">
        <v>-23.564906</v>
      </c>
      <c r="C7738" s="40" t="n">
        <v>-46.537556</v>
      </c>
      <c r="D7738" s="40" t="n">
        <v>123</v>
      </c>
      <c r="E7738" s="41" t="n">
        <v>3274.6318</v>
      </c>
    </row>
    <row r="7739">
      <c r="A7739" s="42">
        <f>_xlfn.XLOOKUP(47323,Trip[shape_id],Trip[shape_id],"Não encontrado")</f>
        <v/>
      </c>
      <c r="B7739" s="43" t="n">
        <v>-23.56494</v>
      </c>
      <c r="C7739" s="43" t="n">
        <v>-46.537502</v>
      </c>
      <c r="D7739" s="43" t="n">
        <v>124</v>
      </c>
      <c r="E7739" s="44" t="n">
        <v>3274.6318</v>
      </c>
    </row>
    <row r="7740">
      <c r="A7740" s="39">
        <f>_xlfn.XLOOKUP(47323,Trip[shape_id],Trip[shape_id],"Não encontrado")</f>
        <v/>
      </c>
      <c r="B7740" s="40" t="n">
        <v>-23.565177</v>
      </c>
      <c r="C7740" s="40" t="n">
        <v>-46.537762</v>
      </c>
      <c r="D7740" s="40" t="n">
        <v>125</v>
      </c>
      <c r="E7740" s="41" t="n">
        <v>3311.9619</v>
      </c>
    </row>
    <row r="7741">
      <c r="A7741" s="42">
        <f>_xlfn.XLOOKUP(47323,Trip[shape_id],Trip[shape_id],"Não encontrado")</f>
        <v/>
      </c>
      <c r="B7741" s="43" t="n">
        <v>-23.565286</v>
      </c>
      <c r="C7741" s="43" t="n">
        <v>-46.537881</v>
      </c>
      <c r="D7741" s="43" t="n">
        <v>126</v>
      </c>
      <c r="E7741" s="44" t="n">
        <v>3329.0886</v>
      </c>
    </row>
    <row r="7742">
      <c r="A7742" s="39">
        <f>_xlfn.XLOOKUP(47323,Trip[shape_id],Trip[shape_id],"Não encontrado")</f>
        <v/>
      </c>
      <c r="B7742" s="40" t="n">
        <v>-23.565329</v>
      </c>
      <c r="C7742" s="40" t="n">
        <v>-46.537966</v>
      </c>
      <c r="D7742" s="40" t="n">
        <v>127</v>
      </c>
      <c r="E7742" s="41" t="n">
        <v>3338.9875</v>
      </c>
    </row>
    <row r="7743">
      <c r="A7743" s="42">
        <f>_xlfn.XLOOKUP(47323,Trip[shape_id],Trip[shape_id],"Não encontrado")</f>
        <v/>
      </c>
      <c r="B7743" s="43" t="n">
        <v>-23.565363</v>
      </c>
      <c r="C7743" s="43" t="n">
        <v>-46.538034</v>
      </c>
      <c r="D7743" s="43" t="n">
        <v>128</v>
      </c>
      <c r="E7743" s="44" t="n">
        <v>3346.8853</v>
      </c>
    </row>
    <row r="7744">
      <c r="A7744" s="39">
        <f>_xlfn.XLOOKUP(47323,Trip[shape_id],Trip[shape_id],"Não encontrado")</f>
        <v/>
      </c>
      <c r="B7744" s="40" t="n">
        <v>-23.565411</v>
      </c>
      <c r="C7744" s="40" t="n">
        <v>-46.538141</v>
      </c>
      <c r="D7744" s="40" t="n">
        <v>129</v>
      </c>
      <c r="E7744" s="41" t="n">
        <v>3359.0337</v>
      </c>
    </row>
    <row r="7745">
      <c r="A7745" s="42">
        <f>_xlfn.XLOOKUP(47323,Trip[shape_id],Trip[shape_id],"Não encontrado")</f>
        <v/>
      </c>
      <c r="B7745" s="43" t="n">
        <v>-23.565442</v>
      </c>
      <c r="C7745" s="43" t="n">
        <v>-46.538222</v>
      </c>
      <c r="D7745" s="43" t="n">
        <v>130</v>
      </c>
      <c r="E7745" s="44" t="n">
        <v>3367.9871</v>
      </c>
    </row>
    <row r="7746">
      <c r="A7746" s="39">
        <f>_xlfn.XLOOKUP(47323,Trip[shape_id],Trip[shape_id],"Não encontrado")</f>
        <v/>
      </c>
      <c r="B7746" s="40" t="n">
        <v>-23.565473</v>
      </c>
      <c r="C7746" s="40" t="n">
        <v>-46.538288</v>
      </c>
      <c r="D7746" s="40" t="n">
        <v>131</v>
      </c>
      <c r="E7746" s="41" t="n">
        <v>3375.5491</v>
      </c>
    </row>
    <row r="7747">
      <c r="A7747" s="42">
        <f>_xlfn.XLOOKUP(47323,Trip[shape_id],Trip[shape_id],"Não encontrado")</f>
        <v/>
      </c>
      <c r="B7747" s="43" t="n">
        <v>-23.565527</v>
      </c>
      <c r="C7747" s="43" t="n">
        <v>-46.538395</v>
      </c>
      <c r="D7747" s="43" t="n">
        <v>132</v>
      </c>
      <c r="E7747" s="44" t="n">
        <v>3388.0027</v>
      </c>
    </row>
    <row r="7748">
      <c r="A7748" s="39">
        <f>_xlfn.XLOOKUP(47323,Trip[shape_id],Trip[shape_id],"Não encontrado")</f>
        <v/>
      </c>
      <c r="B7748" s="40" t="n">
        <v>-23.565561</v>
      </c>
      <c r="C7748" s="40" t="n">
        <v>-46.538457</v>
      </c>
      <c r="D7748" s="40" t="n">
        <v>133</v>
      </c>
      <c r="E7748" s="41" t="n">
        <v>3395.3677</v>
      </c>
    </row>
    <row r="7749">
      <c r="A7749" s="42">
        <f>_xlfn.XLOOKUP(47323,Trip[shape_id],Trip[shape_id],"Não encontrado")</f>
        <v/>
      </c>
      <c r="B7749" s="43" t="n">
        <v>-23.565615</v>
      </c>
      <c r="C7749" s="43" t="n">
        <v>-46.538523</v>
      </c>
      <c r="D7749" s="43" t="n">
        <v>134</v>
      </c>
      <c r="E7749" s="44" t="n">
        <v>3404.377</v>
      </c>
    </row>
    <row r="7750">
      <c r="A7750" s="39">
        <f>_xlfn.XLOOKUP(47323,Trip[shape_id],Trip[shape_id],"Não encontrado")</f>
        <v/>
      </c>
      <c r="B7750" s="40" t="n">
        <v>-23.56566</v>
      </c>
      <c r="C7750" s="40" t="n">
        <v>-46.538582</v>
      </c>
      <c r="D7750" s="40" t="n">
        <v>135</v>
      </c>
      <c r="E7750" s="41" t="n">
        <v>3412.1948</v>
      </c>
    </row>
    <row r="7751">
      <c r="A7751" s="42">
        <f>_xlfn.XLOOKUP(47323,Trip[shape_id],Trip[shape_id],"Não encontrado")</f>
        <v/>
      </c>
      <c r="B7751" s="43" t="n">
        <v>-23.565745</v>
      </c>
      <c r="C7751" s="43" t="n">
        <v>-46.538677</v>
      </c>
      <c r="D7751" s="43" t="n">
        <v>136</v>
      </c>
      <c r="E7751" s="44" t="n">
        <v>3425.7109</v>
      </c>
    </row>
    <row r="7752">
      <c r="A7752" s="39">
        <f>_xlfn.XLOOKUP(47323,Trip[shape_id],Trip[shape_id],"Não encontrado")</f>
        <v/>
      </c>
      <c r="B7752" s="40" t="n">
        <v>-23.565806</v>
      </c>
      <c r="C7752" s="40" t="n">
        <v>-46.53874</v>
      </c>
      <c r="D7752" s="40" t="n">
        <v>137</v>
      </c>
      <c r="E7752" s="41" t="n">
        <v>3435.0383</v>
      </c>
    </row>
    <row r="7753">
      <c r="A7753" s="42">
        <f>_xlfn.XLOOKUP(47323,Trip[shape_id],Trip[shape_id],"Não encontrado")</f>
        <v/>
      </c>
      <c r="B7753" s="43" t="n">
        <v>-23.565988</v>
      </c>
      <c r="C7753" s="43" t="n">
        <v>-46.538953</v>
      </c>
      <c r="D7753" s="43" t="n">
        <v>138</v>
      </c>
      <c r="E7753" s="44" t="n">
        <v>3464.6887</v>
      </c>
    </row>
    <row r="7754">
      <c r="A7754" s="39">
        <f>_xlfn.XLOOKUP(47323,Trip[shape_id],Trip[shape_id],"Não encontrado")</f>
        <v/>
      </c>
      <c r="B7754" s="40" t="n">
        <v>-23.566039</v>
      </c>
      <c r="C7754" s="40" t="n">
        <v>-46.539027</v>
      </c>
      <c r="D7754" s="40" t="n">
        <v>139</v>
      </c>
      <c r="E7754" s="41" t="n">
        <v>3474.1213</v>
      </c>
    </row>
    <row r="7755">
      <c r="A7755" s="42">
        <f>_xlfn.XLOOKUP(47323,Trip[shape_id],Trip[shape_id],"Não encontrado")</f>
        <v/>
      </c>
      <c r="B7755" s="43" t="n">
        <v>-23.566217</v>
      </c>
      <c r="C7755" s="43" t="n">
        <v>-46.53923</v>
      </c>
      <c r="D7755" s="43" t="n">
        <v>140</v>
      </c>
      <c r="E7755" s="44" t="n">
        <v>3502.7244</v>
      </c>
    </row>
    <row r="7756">
      <c r="A7756" s="39">
        <f>_xlfn.XLOOKUP(47323,Trip[shape_id],Trip[shape_id],"Não encontrado")</f>
        <v/>
      </c>
      <c r="B7756" s="40" t="n">
        <v>-23.566453</v>
      </c>
      <c r="C7756" s="40" t="n">
        <v>-46.539493</v>
      </c>
      <c r="D7756" s="40" t="n">
        <v>141</v>
      </c>
      <c r="E7756" s="41" t="n">
        <v>3540.1953</v>
      </c>
    </row>
    <row r="7757">
      <c r="A7757" s="42">
        <f>_xlfn.XLOOKUP(47323,Trip[shape_id],Trip[shape_id],"Não encontrado")</f>
        <v/>
      </c>
      <c r="B7757" s="43" t="n">
        <v>-23.566794</v>
      </c>
      <c r="C7757" s="43" t="n">
        <v>-46.539869</v>
      </c>
      <c r="D7757" s="43" t="n">
        <v>142</v>
      </c>
      <c r="E7757" s="44" t="n">
        <v>3594.0447</v>
      </c>
    </row>
    <row r="7758">
      <c r="A7758" s="39">
        <f>_xlfn.XLOOKUP(47323,Trip[shape_id],Trip[shape_id],"Não encontrado")</f>
        <v/>
      </c>
      <c r="B7758" s="40" t="n">
        <v>-23.566855</v>
      </c>
      <c r="C7758" s="40" t="n">
        <v>-46.539945</v>
      </c>
      <c r="D7758" s="40" t="n">
        <v>143</v>
      </c>
      <c r="E7758" s="41" t="n">
        <v>3604.3325</v>
      </c>
    </row>
    <row r="7759">
      <c r="A7759" s="42">
        <f>_xlfn.XLOOKUP(47323,Trip[shape_id],Trip[shape_id],"Não encontrado")</f>
        <v/>
      </c>
      <c r="B7759" s="43" t="n">
        <v>-23.566882</v>
      </c>
      <c r="C7759" s="43" t="n">
        <v>-46.540013</v>
      </c>
      <c r="D7759" s="43" t="n">
        <v>144</v>
      </c>
      <c r="E7759" s="44" t="n">
        <v>3611.8909</v>
      </c>
    </row>
    <row r="7760">
      <c r="A7760" s="39">
        <f>_xlfn.XLOOKUP(47323,Trip[shape_id],Trip[shape_id],"Não encontrado")</f>
        <v/>
      </c>
      <c r="B7760" s="40" t="n">
        <v>-23.567045</v>
      </c>
      <c r="C7760" s="40" t="n">
        <v>-46.54024</v>
      </c>
      <c r="D7760" s="40" t="n">
        <v>145</v>
      </c>
      <c r="E7760" s="41" t="n">
        <v>3641.2668</v>
      </c>
    </row>
    <row r="7761">
      <c r="A7761" s="42">
        <f>_xlfn.XLOOKUP(47323,Trip[shape_id],Trip[shape_id],"Não encontrado")</f>
        <v/>
      </c>
      <c r="B7761" s="43" t="n">
        <v>-23.567174</v>
      </c>
      <c r="C7761" s="43" t="n">
        <v>-46.54041</v>
      </c>
      <c r="D7761" s="43" t="n">
        <v>146</v>
      </c>
      <c r="E7761" s="44" t="n">
        <v>3663.7461</v>
      </c>
    </row>
    <row r="7762">
      <c r="A7762" s="39">
        <f>_xlfn.XLOOKUP(47323,Trip[shape_id],Trip[shape_id],"Não encontrado")</f>
        <v/>
      </c>
      <c r="B7762" s="40" t="n">
        <v>-23.56729</v>
      </c>
      <c r="C7762" s="40" t="n">
        <v>-46.540711</v>
      </c>
      <c r="D7762" s="40" t="n">
        <v>147</v>
      </c>
      <c r="E7762" s="41" t="n">
        <v>3697.0525</v>
      </c>
    </row>
    <row r="7763">
      <c r="A7763" s="42">
        <f>_xlfn.XLOOKUP(47323,Trip[shape_id],Trip[shape_id],"Não encontrado")</f>
        <v/>
      </c>
      <c r="B7763" s="43" t="n">
        <v>-23.567328</v>
      </c>
      <c r="C7763" s="43" t="n">
        <v>-46.540864</v>
      </c>
      <c r="D7763" s="43" t="n">
        <v>148</v>
      </c>
      <c r="E7763" s="44" t="n">
        <v>3713.2295</v>
      </c>
    </row>
    <row r="7764">
      <c r="A7764" s="39">
        <f>_xlfn.XLOOKUP(47323,Trip[shape_id],Trip[shape_id],"Não encontrado")</f>
        <v/>
      </c>
      <c r="B7764" s="40" t="n">
        <v>-23.567352</v>
      </c>
      <c r="C7764" s="40" t="n">
        <v>-46.541015</v>
      </c>
      <c r="D7764" s="40" t="n">
        <v>149</v>
      </c>
      <c r="E7764" s="41" t="n">
        <v>3728.8723</v>
      </c>
    </row>
    <row r="7765">
      <c r="A7765" s="42">
        <f>_xlfn.XLOOKUP(47323,Trip[shape_id],Trip[shape_id],"Não encontrado")</f>
        <v/>
      </c>
      <c r="B7765" s="43" t="n">
        <v>-23.567362</v>
      </c>
      <c r="C7765" s="43" t="n">
        <v>-46.541103</v>
      </c>
      <c r="D7765" s="43" t="n">
        <v>150</v>
      </c>
      <c r="E7765" s="44" t="n">
        <v>3737.9243</v>
      </c>
    </row>
    <row r="7766">
      <c r="A7766" s="39">
        <f>_xlfn.XLOOKUP(47323,Trip[shape_id],Trip[shape_id],"Não encontrado")</f>
        <v/>
      </c>
      <c r="B7766" s="40" t="n">
        <v>-23.56737</v>
      </c>
      <c r="C7766" s="40" t="n">
        <v>-46.541221</v>
      </c>
      <c r="D7766" s="40" t="n">
        <v>151</v>
      </c>
      <c r="E7766" s="41" t="n">
        <v>3750.0029</v>
      </c>
    </row>
    <row r="7767">
      <c r="A7767" s="42">
        <f>_xlfn.XLOOKUP(47323,Trip[shape_id],Trip[shape_id],"Não encontrado")</f>
        <v/>
      </c>
      <c r="B7767" s="43" t="n">
        <v>-23.567366</v>
      </c>
      <c r="C7767" s="43" t="n">
        <v>-46.541335</v>
      </c>
      <c r="D7767" s="43" t="n">
        <v>152</v>
      </c>
      <c r="E7767" s="44" t="n">
        <v>3761.6492</v>
      </c>
    </row>
    <row r="7768">
      <c r="A7768" s="39">
        <f>_xlfn.XLOOKUP(47323,Trip[shape_id],Trip[shape_id],"Não encontrado")</f>
        <v/>
      </c>
      <c r="B7768" s="40" t="n">
        <v>-23.567351</v>
      </c>
      <c r="C7768" s="40" t="n">
        <v>-46.541517</v>
      </c>
      <c r="D7768" s="40" t="n">
        <v>153</v>
      </c>
      <c r="E7768" s="41" t="n">
        <v>3780.3035</v>
      </c>
    </row>
    <row r="7769">
      <c r="A7769" s="42">
        <f>_xlfn.XLOOKUP(47323,Trip[shape_id],Trip[shape_id],"Não encontrado")</f>
        <v/>
      </c>
      <c r="B7769" s="43" t="n">
        <v>-23.567333</v>
      </c>
      <c r="C7769" s="43" t="n">
        <v>-46.541773</v>
      </c>
      <c r="D7769" s="43" t="n">
        <v>154</v>
      </c>
      <c r="E7769" s="44" t="n">
        <v>3806.5142</v>
      </c>
    </row>
    <row r="7770">
      <c r="A7770" s="39">
        <f>_xlfn.XLOOKUP(47323,Trip[shape_id],Trip[shape_id],"Não encontrado")</f>
        <v/>
      </c>
      <c r="B7770" s="40" t="n">
        <v>-23.567335</v>
      </c>
      <c r="C7770" s="40" t="n">
        <v>-46.541927</v>
      </c>
      <c r="D7770" s="40" t="n">
        <v>155</v>
      </c>
      <c r="E7770" s="41" t="n">
        <v>3822.2371</v>
      </c>
    </row>
    <row r="7771">
      <c r="A7771" s="42">
        <f>_xlfn.XLOOKUP(47323,Trip[shape_id],Trip[shape_id],"Não encontrado")</f>
        <v/>
      </c>
      <c r="B7771" s="43" t="n">
        <v>-23.567344</v>
      </c>
      <c r="C7771" s="43" t="n">
        <v>-46.541975</v>
      </c>
      <c r="D7771" s="43" t="n">
        <v>156</v>
      </c>
      <c r="E7771" s="44" t="n">
        <v>3827.2368</v>
      </c>
    </row>
    <row r="7772">
      <c r="A7772" s="39">
        <f>_xlfn.XLOOKUP(47323,Trip[shape_id],Trip[shape_id],"Não encontrado")</f>
        <v/>
      </c>
      <c r="B7772" s="40" t="n">
        <v>-23.567362</v>
      </c>
      <c r="C7772" s="40" t="n">
        <v>-46.542027</v>
      </c>
      <c r="D7772" s="40" t="n">
        <v>157</v>
      </c>
      <c r="E7772" s="41" t="n">
        <v>3832.9072</v>
      </c>
    </row>
    <row r="7773">
      <c r="A7773" s="42">
        <f>_xlfn.XLOOKUP(47323,Trip[shape_id],Trip[shape_id],"Não encontrado")</f>
        <v/>
      </c>
      <c r="B7773" s="43" t="n">
        <v>-23.567359</v>
      </c>
      <c r="C7773" s="43" t="n">
        <v>-46.542193</v>
      </c>
      <c r="D7773" s="43" t="n">
        <v>158</v>
      </c>
      <c r="E7773" s="44" t="n">
        <v>3849.8572</v>
      </c>
    </row>
    <row r="7774">
      <c r="A7774" s="39">
        <f>_xlfn.XLOOKUP(47323,Trip[shape_id],Trip[shape_id],"Não encontrado")</f>
        <v/>
      </c>
      <c r="B7774" s="40" t="n">
        <v>-23.567294</v>
      </c>
      <c r="C7774" s="40" t="n">
        <v>-46.543039</v>
      </c>
      <c r="D7774" s="40" t="n">
        <v>159</v>
      </c>
      <c r="E7774" s="41" t="n">
        <v>3936.5239</v>
      </c>
    </row>
    <row r="7775">
      <c r="A7775" s="42">
        <f>_xlfn.XLOOKUP(47323,Trip[shape_id],Trip[shape_id],"Não encontrado")</f>
        <v/>
      </c>
      <c r="B7775" s="43" t="n">
        <v>-23.567284</v>
      </c>
      <c r="C7775" s="43" t="n">
        <v>-46.543132</v>
      </c>
      <c r="D7775" s="43" t="n">
        <v>160</v>
      </c>
      <c r="E7775" s="44" t="n">
        <v>3946.0828</v>
      </c>
    </row>
    <row r="7776">
      <c r="A7776" s="39">
        <f>_xlfn.XLOOKUP(47323,Trip[shape_id],Trip[shape_id],"Não encontrado")</f>
        <v/>
      </c>
      <c r="B7776" s="40" t="n">
        <v>-23.567221</v>
      </c>
      <c r="C7776" s="40" t="n">
        <v>-46.5434</v>
      </c>
      <c r="D7776" s="40" t="n">
        <v>161</v>
      </c>
      <c r="E7776" s="41" t="n">
        <v>3974.3181</v>
      </c>
    </row>
    <row r="7777">
      <c r="A7777" s="42">
        <f>_xlfn.XLOOKUP(47323,Trip[shape_id],Trip[shape_id],"Não encontrado")</f>
        <v/>
      </c>
      <c r="B7777" s="43" t="n">
        <v>-23.567185</v>
      </c>
      <c r="C7777" s="43" t="n">
        <v>-46.543486</v>
      </c>
      <c r="D7777" s="43" t="n">
        <v>162</v>
      </c>
      <c r="E7777" s="44" t="n">
        <v>3983.9609</v>
      </c>
    </row>
    <row r="7778">
      <c r="A7778" s="39">
        <f>_xlfn.XLOOKUP(47323,Trip[shape_id],Trip[shape_id],"Não encontrado")</f>
        <v/>
      </c>
      <c r="B7778" s="40" t="n">
        <v>-23.567138</v>
      </c>
      <c r="C7778" s="40" t="n">
        <v>-46.543599</v>
      </c>
      <c r="D7778" s="40" t="n">
        <v>163</v>
      </c>
      <c r="E7778" s="41" t="n">
        <v>3996.6172</v>
      </c>
    </row>
    <row r="7779">
      <c r="A7779" s="42">
        <f>_xlfn.XLOOKUP(47323,Trip[shape_id],Trip[shape_id],"Não encontrado")</f>
        <v/>
      </c>
      <c r="B7779" s="43" t="n">
        <v>-23.567081</v>
      </c>
      <c r="C7779" s="43" t="n">
        <v>-46.5437</v>
      </c>
      <c r="D7779" s="43" t="n">
        <v>164</v>
      </c>
      <c r="E7779" s="44" t="n">
        <v>4008.707</v>
      </c>
    </row>
    <row r="7780">
      <c r="A7780" s="39">
        <f>_xlfn.XLOOKUP(47323,Trip[shape_id],Trip[shape_id],"Não encontrado")</f>
        <v/>
      </c>
      <c r="B7780" s="40" t="n">
        <v>-23.567027</v>
      </c>
      <c r="C7780" s="40" t="n">
        <v>-46.543774</v>
      </c>
      <c r="D7780" s="40" t="n">
        <v>165</v>
      </c>
      <c r="E7780" s="41" t="n">
        <v>4018.3423</v>
      </c>
    </row>
    <row r="7781">
      <c r="A7781" s="42">
        <f>_xlfn.XLOOKUP(47323,Trip[shape_id],Trip[shape_id],"Não encontrado")</f>
        <v/>
      </c>
      <c r="B7781" s="43" t="n">
        <v>-23.56695</v>
      </c>
      <c r="C7781" s="43" t="n">
        <v>-46.543871</v>
      </c>
      <c r="D7781" s="43" t="n">
        <v>166</v>
      </c>
      <c r="E7781" s="44" t="n">
        <v>4031.4106</v>
      </c>
    </row>
    <row r="7782">
      <c r="A7782" s="39">
        <f>_xlfn.XLOOKUP(47323,Trip[shape_id],Trip[shape_id],"Não encontrado")</f>
        <v/>
      </c>
      <c r="B7782" s="40" t="n">
        <v>-23.566871</v>
      </c>
      <c r="C7782" s="40" t="n">
        <v>-46.543981</v>
      </c>
      <c r="D7782" s="40" t="n">
        <v>167</v>
      </c>
      <c r="E7782" s="41" t="n">
        <v>4045.6465</v>
      </c>
    </row>
    <row r="7783">
      <c r="A7783" s="42">
        <f>_xlfn.XLOOKUP(47323,Trip[shape_id],Trip[shape_id],"Não encontrado")</f>
        <v/>
      </c>
      <c r="B7783" s="43" t="n">
        <v>-23.56598</v>
      </c>
      <c r="C7783" s="43" t="n">
        <v>-46.544726</v>
      </c>
      <c r="D7783" s="43" t="n">
        <v>168</v>
      </c>
      <c r="E7783" s="44" t="n">
        <v>4170.2354</v>
      </c>
    </row>
    <row r="7784">
      <c r="A7784" s="39">
        <f>_xlfn.XLOOKUP(47323,Trip[shape_id],Trip[shape_id],"Não encontrado")</f>
        <v/>
      </c>
      <c r="B7784" s="40" t="n">
        <v>-23.565745</v>
      </c>
      <c r="C7784" s="40" t="n">
        <v>-46.544917</v>
      </c>
      <c r="D7784" s="40" t="n">
        <v>169</v>
      </c>
      <c r="E7784" s="41" t="n">
        <v>4202.7563</v>
      </c>
    </row>
    <row r="7785">
      <c r="A7785" s="42">
        <f>_xlfn.XLOOKUP(47323,Trip[shape_id],Trip[shape_id],"Não encontrado")</f>
        <v/>
      </c>
      <c r="B7785" s="43" t="n">
        <v>-23.565479</v>
      </c>
      <c r="C7785" s="43" t="n">
        <v>-46.545116</v>
      </c>
      <c r="D7785" s="43" t="n">
        <v>170</v>
      </c>
      <c r="E7785" s="44" t="n">
        <v>4238.5425</v>
      </c>
    </row>
    <row r="7786">
      <c r="A7786" s="39">
        <f>_xlfn.XLOOKUP(47323,Trip[shape_id],Trip[shape_id],"Não encontrado")</f>
        <v/>
      </c>
      <c r="B7786" s="40" t="n">
        <v>-23.56529</v>
      </c>
      <c r="C7786" s="40" t="n">
        <v>-46.545294</v>
      </c>
      <c r="D7786" s="40" t="n">
        <v>171</v>
      </c>
      <c r="E7786" s="41" t="n">
        <v>4266.2622</v>
      </c>
    </row>
    <row r="7787">
      <c r="A7787" s="42">
        <f>_xlfn.XLOOKUP(47323,Trip[shape_id],Trip[shape_id],"Não encontrado")</f>
        <v/>
      </c>
      <c r="B7787" s="43" t="n">
        <v>-23.565129</v>
      </c>
      <c r="C7787" s="43" t="n">
        <v>-46.545466</v>
      </c>
      <c r="D7787" s="43" t="n">
        <v>172</v>
      </c>
      <c r="E7787" s="44" t="n">
        <v>4291.2881</v>
      </c>
    </row>
    <row r="7788">
      <c r="A7788" s="39">
        <f>_xlfn.XLOOKUP(47323,Trip[shape_id],Trip[shape_id],"Não encontrado")</f>
        <v/>
      </c>
      <c r="B7788" s="40" t="n">
        <v>-23.565066</v>
      </c>
      <c r="C7788" s="40" t="n">
        <v>-46.545558</v>
      </c>
      <c r="D7788" s="40" t="n">
        <v>173</v>
      </c>
      <c r="E7788" s="41" t="n">
        <v>4302.9883</v>
      </c>
    </row>
    <row r="7789">
      <c r="A7789" s="42">
        <f>_xlfn.XLOOKUP(47323,Trip[shape_id],Trip[shape_id],"Não encontrado")</f>
        <v/>
      </c>
      <c r="B7789" s="43" t="n">
        <v>-23.564767</v>
      </c>
      <c r="C7789" s="43" t="n">
        <v>-46.546037</v>
      </c>
      <c r="D7789" s="43" t="n">
        <v>174</v>
      </c>
      <c r="E7789" s="44" t="n">
        <v>4362.0474</v>
      </c>
    </row>
    <row r="7790">
      <c r="A7790" s="39">
        <f>_xlfn.XLOOKUP(47323,Trip[shape_id],Trip[shape_id],"Não encontrado")</f>
        <v/>
      </c>
      <c r="B7790" s="40" t="n">
        <v>-23.564709</v>
      </c>
      <c r="C7790" s="40" t="n">
        <v>-46.546187</v>
      </c>
      <c r="D7790" s="40" t="n">
        <v>175</v>
      </c>
      <c r="E7790" s="41" t="n">
        <v>4378.6538</v>
      </c>
    </row>
    <row r="7791">
      <c r="A7791" s="42">
        <f>_xlfn.XLOOKUP(47323,Trip[shape_id],Trip[shape_id],"Não encontrado")</f>
        <v/>
      </c>
      <c r="B7791" s="43" t="n">
        <v>-23.564664</v>
      </c>
      <c r="C7791" s="43" t="n">
        <v>-46.546376</v>
      </c>
      <c r="D7791" s="43" t="n">
        <v>176</v>
      </c>
      <c r="E7791" s="44" t="n">
        <v>4398.5825</v>
      </c>
    </row>
    <row r="7792">
      <c r="A7792" s="39">
        <f>_xlfn.XLOOKUP(47323,Trip[shape_id],Trip[shape_id],"Não encontrado")</f>
        <v/>
      </c>
      <c r="B7792" s="40" t="n">
        <v>-23.564632</v>
      </c>
      <c r="C7792" s="40" t="n">
        <v>-46.546513</v>
      </c>
      <c r="D7792" s="40" t="n">
        <v>177</v>
      </c>
      <c r="E7792" s="41" t="n">
        <v>4413.0107</v>
      </c>
    </row>
    <row r="7793">
      <c r="A7793" s="42">
        <f>_xlfn.XLOOKUP(47323,Trip[shape_id],Trip[shape_id],"Não encontrado")</f>
        <v/>
      </c>
      <c r="B7793" s="43" t="n">
        <v>-23.564511</v>
      </c>
      <c r="C7793" s="43" t="n">
        <v>-46.547128</v>
      </c>
      <c r="D7793" s="43" t="n">
        <v>178</v>
      </c>
      <c r="E7793" s="44" t="n">
        <v>4477.2109</v>
      </c>
    </row>
    <row r="7794">
      <c r="A7794" s="39">
        <f>_xlfn.XLOOKUP(47323,Trip[shape_id],Trip[shape_id],"Não encontrado")</f>
        <v/>
      </c>
      <c r="B7794" s="40" t="n">
        <v>-23.564459</v>
      </c>
      <c r="C7794" s="40" t="n">
        <v>-46.5474</v>
      </c>
      <c r="D7794" s="40" t="n">
        <v>179</v>
      </c>
      <c r="E7794" s="41" t="n">
        <v>4505.5708</v>
      </c>
    </row>
    <row r="7795">
      <c r="A7795" s="42">
        <f>_xlfn.XLOOKUP(47323,Trip[shape_id],Trip[shape_id],"Não encontrado")</f>
        <v/>
      </c>
      <c r="B7795" s="43" t="n">
        <v>-23.564367</v>
      </c>
      <c r="C7795" s="43" t="n">
        <v>-46.547806</v>
      </c>
      <c r="D7795" s="43" t="n">
        <v>180</v>
      </c>
      <c r="E7795" s="44" t="n">
        <v>4548.2539</v>
      </c>
    </row>
    <row r="7796">
      <c r="A7796" s="39">
        <f>_xlfn.XLOOKUP(47323,Trip[shape_id],Trip[shape_id],"Não encontrado")</f>
        <v/>
      </c>
      <c r="B7796" s="40" t="n">
        <v>-23.564318</v>
      </c>
      <c r="C7796" s="40" t="n">
        <v>-46.548</v>
      </c>
      <c r="D7796" s="40" t="n">
        <v>181</v>
      </c>
      <c r="E7796" s="41" t="n">
        <v>4568.79</v>
      </c>
    </row>
    <row r="7797">
      <c r="A7797" s="42">
        <f>_xlfn.XLOOKUP(47323,Trip[shape_id],Trip[shape_id],"Não encontrado")</f>
        <v/>
      </c>
      <c r="B7797" s="43" t="n">
        <v>-23.564242</v>
      </c>
      <c r="C7797" s="43" t="n">
        <v>-46.548238</v>
      </c>
      <c r="D7797" s="43" t="n">
        <v>182</v>
      </c>
      <c r="E7797" s="44" t="n">
        <v>4594.5044</v>
      </c>
    </row>
    <row r="7798">
      <c r="A7798" s="39">
        <f>_xlfn.XLOOKUP(47323,Trip[shape_id],Trip[shape_id],"Não encontrado")</f>
        <v/>
      </c>
      <c r="B7798" s="40" t="n">
        <v>-23.564224</v>
      </c>
      <c r="C7798" s="40" t="n">
        <v>-46.548283</v>
      </c>
      <c r="D7798" s="40" t="n">
        <v>183</v>
      </c>
      <c r="E7798" s="41" t="n">
        <v>4599.5132</v>
      </c>
    </row>
    <row r="7799">
      <c r="A7799" s="42">
        <f>_xlfn.XLOOKUP(47323,Trip[shape_id],Trip[shape_id],"Não encontrado")</f>
        <v/>
      </c>
      <c r="B7799" s="43" t="n">
        <v>-23.564105</v>
      </c>
      <c r="C7799" s="43" t="n">
        <v>-46.548543</v>
      </c>
      <c r="D7799" s="43" t="n">
        <v>184</v>
      </c>
      <c r="E7799" s="44" t="n">
        <v>4629.1489</v>
      </c>
    </row>
    <row r="7800">
      <c r="A7800" s="39">
        <f>_xlfn.XLOOKUP(47323,Trip[shape_id],Trip[shape_id],"Não encontrado")</f>
        <v/>
      </c>
      <c r="B7800" s="40" t="n">
        <v>-23.563962</v>
      </c>
      <c r="C7800" s="40" t="n">
        <v>-46.548769</v>
      </c>
      <c r="D7800" s="40" t="n">
        <v>185</v>
      </c>
      <c r="E7800" s="41" t="n">
        <v>4657.1343</v>
      </c>
    </row>
    <row r="7801">
      <c r="A7801" s="42">
        <f>_xlfn.XLOOKUP(47323,Trip[shape_id],Trip[shape_id],"Não encontrado")</f>
        <v/>
      </c>
      <c r="B7801" s="43" t="n">
        <v>-23.5638</v>
      </c>
      <c r="C7801" s="43" t="n">
        <v>-46.548977</v>
      </c>
      <c r="D7801" s="43" t="n">
        <v>186</v>
      </c>
      <c r="E7801" s="44" t="n">
        <v>4684.9341</v>
      </c>
    </row>
    <row r="7802">
      <c r="A7802" s="39">
        <f>_xlfn.XLOOKUP(47323,Trip[shape_id],Trip[shape_id],"Não encontrado")</f>
        <v/>
      </c>
      <c r="B7802" s="40" t="n">
        <v>-23.563682</v>
      </c>
      <c r="C7802" s="40" t="n">
        <v>-46.549105</v>
      </c>
      <c r="D7802" s="40" t="n">
        <v>187</v>
      </c>
      <c r="E7802" s="41" t="n">
        <v>4703.4155</v>
      </c>
    </row>
    <row r="7803">
      <c r="A7803" s="42">
        <f>_xlfn.XLOOKUP(47323,Trip[shape_id],Trip[shape_id],"Não encontrado")</f>
        <v/>
      </c>
      <c r="B7803" s="43" t="n">
        <v>-23.563414</v>
      </c>
      <c r="C7803" s="43" t="n">
        <v>-46.54937</v>
      </c>
      <c r="D7803" s="43" t="n">
        <v>188</v>
      </c>
      <c r="E7803" s="44" t="n">
        <v>4743.5767</v>
      </c>
    </row>
    <row r="7804">
      <c r="A7804" s="39">
        <f>_xlfn.XLOOKUP(47323,Trip[shape_id],Trip[shape_id],"Não encontrado")</f>
        <v/>
      </c>
      <c r="B7804" s="40" t="n">
        <v>-23.563175</v>
      </c>
      <c r="C7804" s="40" t="n">
        <v>-46.549607</v>
      </c>
      <c r="D7804" s="40" t="n">
        <v>189</v>
      </c>
      <c r="E7804" s="41" t="n">
        <v>4779.4385</v>
      </c>
    </row>
    <row r="7805">
      <c r="A7805" s="42">
        <f>_xlfn.XLOOKUP(47323,Trip[shape_id],Trip[shape_id],"Não encontrado")</f>
        <v/>
      </c>
      <c r="B7805" s="43" t="n">
        <v>-23.56271</v>
      </c>
      <c r="C7805" s="43" t="n">
        <v>-46.550095</v>
      </c>
      <c r="D7805" s="43" t="n">
        <v>190</v>
      </c>
      <c r="E7805" s="44" t="n">
        <v>4851.0928</v>
      </c>
    </row>
    <row r="7806">
      <c r="A7806" s="39">
        <f>_xlfn.XLOOKUP(47323,Trip[shape_id],Trip[shape_id],"Não encontrado")</f>
        <v/>
      </c>
      <c r="B7806" s="40" t="n">
        <v>-23.562591</v>
      </c>
      <c r="C7806" s="40" t="n">
        <v>-46.550231</v>
      </c>
      <c r="D7806" s="40" t="n">
        <v>191</v>
      </c>
      <c r="E7806" s="41" t="n">
        <v>4870.2363</v>
      </c>
    </row>
    <row r="7807">
      <c r="A7807" s="42">
        <f>_xlfn.XLOOKUP(47323,Trip[shape_id],Trip[shape_id],"Não encontrado")</f>
        <v/>
      </c>
      <c r="B7807" s="43" t="n">
        <v>-23.562498</v>
      </c>
      <c r="C7807" s="43" t="n">
        <v>-46.550379</v>
      </c>
      <c r="D7807" s="43" t="n">
        <v>192</v>
      </c>
      <c r="E7807" s="44" t="n">
        <v>4888.5229</v>
      </c>
    </row>
    <row r="7808">
      <c r="A7808" s="39">
        <f>_xlfn.XLOOKUP(47323,Trip[shape_id],Trip[shape_id],"Não encontrado")</f>
        <v/>
      </c>
      <c r="B7808" s="40" t="n">
        <v>-23.562414</v>
      </c>
      <c r="C7808" s="40" t="n">
        <v>-46.550573</v>
      </c>
      <c r="D7808" s="40" t="n">
        <v>193</v>
      </c>
      <c r="E7808" s="41" t="n">
        <v>4910.4053</v>
      </c>
    </row>
    <row r="7809">
      <c r="A7809" s="42">
        <f>_xlfn.XLOOKUP(47323,Trip[shape_id],Trip[shape_id],"Não encontrado")</f>
        <v/>
      </c>
      <c r="B7809" s="43" t="n">
        <v>-23.562367</v>
      </c>
      <c r="C7809" s="43" t="n">
        <v>-46.550756</v>
      </c>
      <c r="D7809" s="43" t="n">
        <v>194</v>
      </c>
      <c r="E7809" s="44" t="n">
        <v>4929.8003</v>
      </c>
    </row>
    <row r="7810">
      <c r="A7810" s="39">
        <f>_xlfn.XLOOKUP(47323,Trip[shape_id],Trip[shape_id],"Não encontrado")</f>
        <v/>
      </c>
      <c r="B7810" s="40" t="n">
        <v>-23.562305</v>
      </c>
      <c r="C7810" s="40" t="n">
        <v>-46.551044</v>
      </c>
      <c r="D7810" s="40" t="n">
        <v>195</v>
      </c>
      <c r="E7810" s="41" t="n">
        <v>4959.9941</v>
      </c>
    </row>
    <row r="7811">
      <c r="A7811" s="42">
        <f>_xlfn.XLOOKUP(47323,Trip[shape_id],Trip[shape_id],"Não encontrado")</f>
        <v/>
      </c>
      <c r="B7811" s="43" t="n">
        <v>-23.562325</v>
      </c>
      <c r="C7811" s="43" t="n">
        <v>-46.551401</v>
      </c>
      <c r="D7811" s="43" t="n">
        <v>196</v>
      </c>
      <c r="E7811" s="44" t="n">
        <v>4996.5088</v>
      </c>
    </row>
    <row r="7812">
      <c r="A7812" s="39">
        <f>_xlfn.XLOOKUP(47323,Trip[shape_id],Trip[shape_id],"Não encontrado")</f>
        <v/>
      </c>
      <c r="B7812" s="40" t="n">
        <v>-23.562363</v>
      </c>
      <c r="C7812" s="40" t="n">
        <v>-46.551664</v>
      </c>
      <c r="D7812" s="40" t="n">
        <v>197</v>
      </c>
      <c r="E7812" s="41" t="n">
        <v>5023.687</v>
      </c>
    </row>
    <row r="7813">
      <c r="A7813" s="42">
        <f>_xlfn.XLOOKUP(47323,Trip[shape_id],Trip[shape_id],"Não encontrado")</f>
        <v/>
      </c>
      <c r="B7813" s="43" t="n">
        <v>-23.562411</v>
      </c>
      <c r="C7813" s="43" t="n">
        <v>-46.551768</v>
      </c>
      <c r="D7813" s="43" t="n">
        <v>198</v>
      </c>
      <c r="E7813" s="44" t="n">
        <v>5035.561</v>
      </c>
    </row>
    <row r="7814">
      <c r="A7814" s="39">
        <f>_xlfn.XLOOKUP(47323,Trip[shape_id],Trip[shape_id],"Não encontrado")</f>
        <v/>
      </c>
      <c r="B7814" s="40" t="n">
        <v>-23.562479</v>
      </c>
      <c r="C7814" s="40" t="n">
        <v>-46.551891</v>
      </c>
      <c r="D7814" s="40" t="n">
        <v>199</v>
      </c>
      <c r="E7814" s="41" t="n">
        <v>5050.2036</v>
      </c>
    </row>
    <row r="7815">
      <c r="A7815" s="42">
        <f>_xlfn.XLOOKUP(47323,Trip[shape_id],Trip[shape_id],"Não encontrado")</f>
        <v/>
      </c>
      <c r="B7815" s="43" t="n">
        <v>-23.562606</v>
      </c>
      <c r="C7815" s="43" t="n">
        <v>-46.552015</v>
      </c>
      <c r="D7815" s="43" t="n">
        <v>200</v>
      </c>
      <c r="E7815" s="44" t="n">
        <v>5069.127</v>
      </c>
    </row>
    <row r="7816">
      <c r="A7816" s="39">
        <f>_xlfn.XLOOKUP(47323,Trip[shape_id],Trip[shape_id],"Não encontrado")</f>
        <v/>
      </c>
      <c r="B7816" s="40" t="n">
        <v>-23.562715</v>
      </c>
      <c r="C7816" s="40" t="n">
        <v>-46.552115</v>
      </c>
      <c r="D7816" s="40" t="n">
        <v>201</v>
      </c>
      <c r="E7816" s="41" t="n">
        <v>5084.937</v>
      </c>
    </row>
    <row r="7817">
      <c r="A7817" s="42">
        <f>_xlfn.XLOOKUP(47323,Trip[shape_id],Trip[shape_id],"Não encontrado")</f>
        <v/>
      </c>
      <c r="B7817" s="43" t="n">
        <v>-23.562783</v>
      </c>
      <c r="C7817" s="43" t="n">
        <v>-46.55218</v>
      </c>
      <c r="D7817" s="43" t="n">
        <v>202</v>
      </c>
      <c r="E7817" s="44" t="n">
        <v>5094.9746</v>
      </c>
    </row>
    <row r="7818">
      <c r="A7818" s="39">
        <f>_xlfn.XLOOKUP(47323,Trip[shape_id],Trip[shape_id],"Não encontrado")</f>
        <v/>
      </c>
      <c r="B7818" s="40" t="n">
        <v>-23.562877</v>
      </c>
      <c r="C7818" s="40" t="n">
        <v>-46.552251</v>
      </c>
      <c r="D7818" s="40" t="n">
        <v>203</v>
      </c>
      <c r="E7818" s="41" t="n">
        <v>5107.6606</v>
      </c>
    </row>
    <row r="7819">
      <c r="A7819" s="42">
        <f>_xlfn.XLOOKUP(47323,Trip[shape_id],Trip[shape_id],"Não encontrado")</f>
        <v/>
      </c>
      <c r="B7819" s="43" t="n">
        <v>-23.56309</v>
      </c>
      <c r="C7819" s="43" t="n">
        <v>-46.552407</v>
      </c>
      <c r="D7819" s="43" t="n">
        <v>204</v>
      </c>
      <c r="E7819" s="44" t="n">
        <v>5136.124</v>
      </c>
    </row>
    <row r="7820">
      <c r="A7820" s="39">
        <f>_xlfn.XLOOKUP(47323,Trip[shape_id],Trip[shape_id],"Não encontrado")</f>
        <v/>
      </c>
      <c r="B7820" s="40" t="n">
        <v>-23.563224</v>
      </c>
      <c r="C7820" s="40" t="n">
        <v>-46.552551</v>
      </c>
      <c r="D7820" s="40" t="n">
        <v>205</v>
      </c>
      <c r="E7820" s="41" t="n">
        <v>5157.0137</v>
      </c>
    </row>
    <row r="7821">
      <c r="A7821" s="42">
        <f>_xlfn.XLOOKUP(47323,Trip[shape_id],Trip[shape_id],"Não encontrado")</f>
        <v/>
      </c>
      <c r="B7821" s="43" t="n">
        <v>-23.563301</v>
      </c>
      <c r="C7821" s="43" t="n">
        <v>-46.552663</v>
      </c>
      <c r="D7821" s="43" t="n">
        <v>206</v>
      </c>
      <c r="E7821" s="44" t="n">
        <v>5171.2778</v>
      </c>
    </row>
    <row r="7822">
      <c r="A7822" s="39">
        <f>_xlfn.XLOOKUP(47323,Trip[shape_id],Trip[shape_id],"Não encontrado")</f>
        <v/>
      </c>
      <c r="B7822" s="40" t="n">
        <v>-23.563348</v>
      </c>
      <c r="C7822" s="40" t="n">
        <v>-46.552732</v>
      </c>
      <c r="D7822" s="40" t="n">
        <v>207</v>
      </c>
      <c r="E7822" s="41" t="n">
        <v>5180.0366</v>
      </c>
    </row>
    <row r="7823">
      <c r="A7823" s="42">
        <f>_xlfn.XLOOKUP(47323,Trip[shape_id],Trip[shape_id],"Não encontrado")</f>
        <v/>
      </c>
      <c r="B7823" s="43" t="n">
        <v>-23.563412</v>
      </c>
      <c r="C7823" s="43" t="n">
        <v>-46.552837</v>
      </c>
      <c r="D7823" s="43" t="n">
        <v>208</v>
      </c>
      <c r="E7823" s="44" t="n">
        <v>5192.8877</v>
      </c>
    </row>
    <row r="7824">
      <c r="A7824" s="39">
        <f>_xlfn.XLOOKUP(47323,Trip[shape_id],Trip[shape_id],"Não encontrado")</f>
        <v/>
      </c>
      <c r="B7824" s="40" t="n">
        <v>-23.563466</v>
      </c>
      <c r="C7824" s="40" t="n">
        <v>-46.553005</v>
      </c>
      <c r="D7824" s="40" t="n">
        <v>209</v>
      </c>
      <c r="E7824" s="41" t="n">
        <v>5211.0518</v>
      </c>
    </row>
    <row r="7825">
      <c r="A7825" s="42">
        <f>_xlfn.XLOOKUP(47323,Trip[shape_id],Trip[shape_id],"Não encontrado")</f>
        <v/>
      </c>
      <c r="B7825" s="43" t="n">
        <v>-23.563496</v>
      </c>
      <c r="C7825" s="43" t="n">
        <v>-46.553193</v>
      </c>
      <c r="D7825" s="43" t="n">
        <v>210</v>
      </c>
      <c r="E7825" s="44" t="n">
        <v>5230.5308</v>
      </c>
    </row>
    <row r="7826">
      <c r="A7826" s="39">
        <f>_xlfn.XLOOKUP(47323,Trip[shape_id],Trip[shape_id],"Não encontrado")</f>
        <v/>
      </c>
      <c r="B7826" s="40" t="n">
        <v>-23.563488</v>
      </c>
      <c r="C7826" s="40" t="n">
        <v>-46.553408</v>
      </c>
      <c r="D7826" s="40" t="n">
        <v>211</v>
      </c>
      <c r="E7826" s="41" t="n">
        <v>5252.498</v>
      </c>
    </row>
    <row r="7827">
      <c r="A7827" s="42">
        <f>_xlfn.XLOOKUP(47323,Trip[shape_id],Trip[shape_id],"Não encontrado")</f>
        <v/>
      </c>
      <c r="B7827" s="43" t="n">
        <v>-23.563458</v>
      </c>
      <c r="C7827" s="43" t="n">
        <v>-46.553608</v>
      </c>
      <c r="D7827" s="43" t="n">
        <v>212</v>
      </c>
      <c r="E7827" s="44" t="n">
        <v>5273.1851</v>
      </c>
    </row>
    <row r="7828">
      <c r="A7828" s="39">
        <f>_xlfn.XLOOKUP(47323,Trip[shape_id],Trip[shape_id],"Não encontrado")</f>
        <v/>
      </c>
      <c r="B7828" s="40" t="n">
        <v>-23.563372</v>
      </c>
      <c r="C7828" s="40" t="n">
        <v>-46.553826</v>
      </c>
      <c r="D7828" s="40" t="n">
        <v>213</v>
      </c>
      <c r="E7828" s="41" t="n">
        <v>5297.3936</v>
      </c>
    </row>
    <row r="7829">
      <c r="A7829" s="42">
        <f>_xlfn.XLOOKUP(47323,Trip[shape_id],Trip[shape_id],"Não encontrado")</f>
        <v/>
      </c>
      <c r="B7829" s="43" t="n">
        <v>-23.563309</v>
      </c>
      <c r="C7829" s="43" t="n">
        <v>-46.55393</v>
      </c>
      <c r="D7829" s="43" t="n">
        <v>214</v>
      </c>
      <c r="E7829" s="44" t="n">
        <v>5310.0986</v>
      </c>
    </row>
    <row r="7830">
      <c r="A7830" s="39">
        <f>_xlfn.XLOOKUP(47323,Trip[shape_id],Trip[shape_id],"Não encontrado")</f>
        <v/>
      </c>
      <c r="B7830" s="40" t="n">
        <v>-23.562967</v>
      </c>
      <c r="C7830" s="40" t="n">
        <v>-46.554355</v>
      </c>
      <c r="D7830" s="40" t="n">
        <v>215</v>
      </c>
      <c r="E7830" s="41" t="n">
        <v>5367.6948</v>
      </c>
    </row>
    <row r="7831">
      <c r="A7831" s="42">
        <f>_xlfn.XLOOKUP(47323,Trip[shape_id],Trip[shape_id],"Não encontrado")</f>
        <v/>
      </c>
      <c r="B7831" s="43" t="n">
        <v>-23.562841</v>
      </c>
      <c r="C7831" s="43" t="n">
        <v>-46.554526</v>
      </c>
      <c r="D7831" s="43" t="n">
        <v>216</v>
      </c>
      <c r="E7831" s="44" t="n">
        <v>5390.0444</v>
      </c>
    </row>
    <row r="7832">
      <c r="A7832" s="39">
        <f>_xlfn.XLOOKUP(47323,Trip[shape_id],Trip[shape_id],"Não encontrado")</f>
        <v/>
      </c>
      <c r="B7832" s="40" t="n">
        <v>-23.562672</v>
      </c>
      <c r="C7832" s="40" t="n">
        <v>-46.554743</v>
      </c>
      <c r="D7832" s="40" t="n">
        <v>217</v>
      </c>
      <c r="E7832" s="41" t="n">
        <v>5419.0469</v>
      </c>
    </row>
    <row r="7833">
      <c r="A7833" s="42">
        <f>_xlfn.XLOOKUP(47323,Trip[shape_id],Trip[shape_id],"Não encontrado")</f>
        <v/>
      </c>
      <c r="B7833" s="43" t="n">
        <v>-23.5625</v>
      </c>
      <c r="C7833" s="43" t="n">
        <v>-46.554956</v>
      </c>
      <c r="D7833" s="43" t="n">
        <v>218</v>
      </c>
      <c r="E7833" s="44" t="n">
        <v>5447.9561</v>
      </c>
    </row>
    <row r="7834">
      <c r="A7834" s="39">
        <f>_xlfn.XLOOKUP(47323,Trip[shape_id],Trip[shape_id],"Não encontrado")</f>
        <v/>
      </c>
      <c r="B7834" s="40" t="n">
        <v>-23.56237</v>
      </c>
      <c r="C7834" s="40" t="n">
        <v>-46.555184</v>
      </c>
      <c r="D7834" s="40" t="n">
        <v>219</v>
      </c>
      <c r="E7834" s="41" t="n">
        <v>5475.3262</v>
      </c>
    </row>
    <row r="7835">
      <c r="A7835" s="42">
        <f>_xlfn.XLOOKUP(47323,Trip[shape_id],Trip[shape_id],"Não encontrado")</f>
        <v/>
      </c>
      <c r="B7835" s="43" t="n">
        <v>-23.562285</v>
      </c>
      <c r="C7835" s="43" t="n">
        <v>-46.555364</v>
      </c>
      <c r="D7835" s="43" t="n">
        <v>220</v>
      </c>
      <c r="E7835" s="44" t="n">
        <v>5495.9736</v>
      </c>
    </row>
    <row r="7836">
      <c r="A7836" s="39">
        <f>_xlfn.XLOOKUP(47323,Trip[shape_id],Trip[shape_id],"Não encontrado")</f>
        <v/>
      </c>
      <c r="B7836" s="40" t="n">
        <v>-23.562214</v>
      </c>
      <c r="C7836" s="40" t="n">
        <v>-46.555551</v>
      </c>
      <c r="D7836" s="40" t="n">
        <v>221</v>
      </c>
      <c r="E7836" s="41" t="n">
        <v>5516.6211</v>
      </c>
    </row>
    <row r="7837">
      <c r="A7837" s="42">
        <f>_xlfn.XLOOKUP(47323,Trip[shape_id],Trip[shape_id],"Não encontrado")</f>
        <v/>
      </c>
      <c r="B7837" s="43" t="n">
        <v>-23.562176</v>
      </c>
      <c r="C7837" s="43" t="n">
        <v>-46.55572</v>
      </c>
      <c r="D7837" s="43" t="n">
        <v>222</v>
      </c>
      <c r="E7837" s="44" t="n">
        <v>5534.3809</v>
      </c>
    </row>
    <row r="7838">
      <c r="A7838" s="39">
        <f>_xlfn.XLOOKUP(47323,Trip[shape_id],Trip[shape_id],"Não encontrado")</f>
        <v/>
      </c>
      <c r="B7838" s="40" t="n">
        <v>-23.56216</v>
      </c>
      <c r="C7838" s="40" t="n">
        <v>-46.555836</v>
      </c>
      <c r="D7838" s="40" t="n">
        <v>223</v>
      </c>
      <c r="E7838" s="41" t="n">
        <v>5546.3555</v>
      </c>
    </row>
    <row r="7839">
      <c r="A7839" s="42">
        <f>_xlfn.XLOOKUP(47323,Trip[shape_id],Trip[shape_id],"Não encontrado")</f>
        <v/>
      </c>
      <c r="B7839" s="43" t="n">
        <v>-23.562141</v>
      </c>
      <c r="C7839" s="43" t="n">
        <v>-46.556017</v>
      </c>
      <c r="D7839" s="43" t="n">
        <v>224</v>
      </c>
      <c r="E7839" s="44" t="n">
        <v>5564.9536</v>
      </c>
    </row>
    <row r="7840">
      <c r="A7840" s="39">
        <f>_xlfn.XLOOKUP(47323,Trip[shape_id],Trip[shape_id],"Não encontrado")</f>
        <v/>
      </c>
      <c r="B7840" s="40" t="n">
        <v>-23.562137</v>
      </c>
      <c r="C7840" s="40" t="n">
        <v>-46.556153</v>
      </c>
      <c r="D7840" s="40" t="n">
        <v>225</v>
      </c>
      <c r="E7840" s="41" t="n">
        <v>5578.8452</v>
      </c>
    </row>
    <row r="7841">
      <c r="A7841" s="42">
        <f>_xlfn.XLOOKUP(47323,Trip[shape_id],Trip[shape_id],"Não encontrado")</f>
        <v/>
      </c>
      <c r="B7841" s="43" t="n">
        <v>-23.562144</v>
      </c>
      <c r="C7841" s="43" t="n">
        <v>-46.55627</v>
      </c>
      <c r="D7841" s="43" t="n">
        <v>226</v>
      </c>
      <c r="E7841" s="44" t="n">
        <v>5590.8149</v>
      </c>
    </row>
    <row r="7842">
      <c r="A7842" s="39">
        <f>_xlfn.XLOOKUP(47323,Trip[shape_id],Trip[shape_id],"Não encontrado")</f>
        <v/>
      </c>
      <c r="B7842" s="40" t="n">
        <v>-23.56218</v>
      </c>
      <c r="C7842" s="40" t="n">
        <v>-46.556456</v>
      </c>
      <c r="D7842" s="40" t="n">
        <v>227</v>
      </c>
      <c r="E7842" s="41" t="n">
        <v>5610.2183</v>
      </c>
    </row>
    <row r="7843">
      <c r="A7843" s="42">
        <f>_xlfn.XLOOKUP(47323,Trip[shape_id],Trip[shape_id],"Não encontrado")</f>
        <v/>
      </c>
      <c r="B7843" s="43" t="n">
        <v>-23.562262</v>
      </c>
      <c r="C7843" s="43" t="n">
        <v>-46.556791</v>
      </c>
      <c r="D7843" s="43" t="n">
        <v>228</v>
      </c>
      <c r="E7843" s="44" t="n">
        <v>5645.6045</v>
      </c>
    </row>
    <row r="7844">
      <c r="A7844" s="39">
        <f>_xlfn.XLOOKUP(47323,Trip[shape_id],Trip[shape_id],"Não encontrado")</f>
        <v/>
      </c>
      <c r="B7844" s="40" t="n">
        <v>-23.562326</v>
      </c>
      <c r="C7844" s="40" t="n">
        <v>-46.557103</v>
      </c>
      <c r="D7844" s="40" t="n">
        <v>229</v>
      </c>
      <c r="E7844" s="41" t="n">
        <v>5678.2368</v>
      </c>
    </row>
    <row r="7845">
      <c r="A7845" s="42">
        <f>_xlfn.XLOOKUP(47323,Trip[shape_id],Trip[shape_id],"Não encontrado")</f>
        <v/>
      </c>
      <c r="B7845" s="43" t="n">
        <v>-23.56238</v>
      </c>
      <c r="C7845" s="43" t="n">
        <v>-46.557333</v>
      </c>
      <c r="D7845" s="43" t="n">
        <v>230</v>
      </c>
      <c r="E7845" s="44" t="n">
        <v>5702.4678</v>
      </c>
    </row>
    <row r="7846">
      <c r="A7846" s="39">
        <f>_xlfn.XLOOKUP(47323,Trip[shape_id],Trip[shape_id],"Não encontrado")</f>
        <v/>
      </c>
      <c r="B7846" s="40" t="n">
        <v>-23.562514</v>
      </c>
      <c r="C7846" s="40" t="n">
        <v>-46.557931</v>
      </c>
      <c r="D7846" s="40" t="n">
        <v>231</v>
      </c>
      <c r="E7846" s="41" t="n">
        <v>5765.2974</v>
      </c>
    </row>
    <row r="7847">
      <c r="A7847" s="42">
        <f>_xlfn.XLOOKUP(47323,Trip[shape_id],Trip[shape_id],"Não encontrado")</f>
        <v/>
      </c>
      <c r="B7847" s="43" t="n">
        <v>-23.562521</v>
      </c>
      <c r="C7847" s="43" t="n">
        <v>-46.558094</v>
      </c>
      <c r="D7847" s="43" t="n">
        <v>232</v>
      </c>
      <c r="E7847" s="44" t="n">
        <v>5781.9565</v>
      </c>
    </row>
    <row r="7848">
      <c r="A7848" s="39">
        <f>_xlfn.XLOOKUP(47323,Trip[shape_id],Trip[shape_id],"Não encontrado")</f>
        <v/>
      </c>
      <c r="B7848" s="40" t="n">
        <v>-23.56256</v>
      </c>
      <c r="C7848" s="40" t="n">
        <v>-46.558389</v>
      </c>
      <c r="D7848" s="40" t="n">
        <v>233</v>
      </c>
      <c r="E7848" s="41" t="n">
        <v>5812.3823</v>
      </c>
    </row>
    <row r="7849">
      <c r="A7849" s="42">
        <f>_xlfn.XLOOKUP(47323,Trip[shape_id],Trip[shape_id],"Não encontrado")</f>
        <v/>
      </c>
      <c r="B7849" s="43" t="n">
        <v>-23.562574</v>
      </c>
      <c r="C7849" s="43" t="n">
        <v>-46.558602</v>
      </c>
      <c r="D7849" s="43" t="n">
        <v>234</v>
      </c>
      <c r="E7849" s="44" t="n">
        <v>5834.1831</v>
      </c>
    </row>
    <row r="7850">
      <c r="A7850" s="39">
        <f>_xlfn.XLOOKUP(47323,Trip[shape_id],Trip[shape_id],"Não encontrado")</f>
        <v/>
      </c>
      <c r="B7850" s="40" t="n">
        <v>-23.562577</v>
      </c>
      <c r="C7850" s="40" t="n">
        <v>-46.558841</v>
      </c>
      <c r="D7850" s="40" t="n">
        <v>235</v>
      </c>
      <c r="E7850" s="41" t="n">
        <v>5858.5854</v>
      </c>
    </row>
    <row r="7851">
      <c r="A7851" s="42">
        <f>_xlfn.XLOOKUP(47323,Trip[shape_id],Trip[shape_id],"Não encontrado")</f>
        <v/>
      </c>
      <c r="B7851" s="43" t="n">
        <v>-23.562581</v>
      </c>
      <c r="C7851" s="43" t="n">
        <v>-46.559032</v>
      </c>
      <c r="D7851" s="43" t="n">
        <v>236</v>
      </c>
      <c r="E7851" s="44" t="n">
        <v>5878.0898</v>
      </c>
    </row>
    <row r="7852">
      <c r="A7852" s="39">
        <f>_xlfn.XLOOKUP(47323,Trip[shape_id],Trip[shape_id],"Não encontrado")</f>
        <v/>
      </c>
      <c r="B7852" s="40" t="n">
        <v>-23.562594</v>
      </c>
      <c r="C7852" s="40" t="n">
        <v>-46.559205</v>
      </c>
      <c r="D7852" s="40" t="n">
        <v>237</v>
      </c>
      <c r="E7852" s="41" t="n">
        <v>5895.8105</v>
      </c>
    </row>
    <row r="7853">
      <c r="A7853" s="42">
        <f>_xlfn.XLOOKUP(47323,Trip[shape_id],Trip[shape_id],"Não encontrado")</f>
        <v/>
      </c>
      <c r="B7853" s="43" t="n">
        <v>-23.562608</v>
      </c>
      <c r="C7853" s="43" t="n">
        <v>-46.559339</v>
      </c>
      <c r="D7853" s="43" t="n">
        <v>238</v>
      </c>
      <c r="E7853" s="44" t="n">
        <v>5909.5781</v>
      </c>
    </row>
    <row r="7854">
      <c r="A7854" s="39">
        <f>_xlfn.XLOOKUP(47323,Trip[shape_id],Trip[shape_id],"Não encontrado")</f>
        <v/>
      </c>
      <c r="B7854" s="40" t="n">
        <v>-23.562597</v>
      </c>
      <c r="C7854" s="40" t="n">
        <v>-46.559586</v>
      </c>
      <c r="D7854" s="40" t="n">
        <v>239</v>
      </c>
      <c r="E7854" s="41" t="n">
        <v>5934.8242</v>
      </c>
    </row>
    <row r="7855">
      <c r="A7855" s="42">
        <f>_xlfn.XLOOKUP(47323,Trip[shape_id],Trip[shape_id],"Não encontrado")</f>
        <v/>
      </c>
      <c r="B7855" s="43" t="n">
        <v>-23.562591</v>
      </c>
      <c r="C7855" s="43" t="n">
        <v>-46.559856</v>
      </c>
      <c r="D7855" s="43" t="n">
        <v>240</v>
      </c>
      <c r="E7855" s="44" t="n">
        <v>5962.3975</v>
      </c>
    </row>
    <row r="7856">
      <c r="A7856" s="39">
        <f>_xlfn.XLOOKUP(47323,Trip[shape_id],Trip[shape_id],"Não encontrado")</f>
        <v/>
      </c>
      <c r="B7856" s="40" t="n">
        <v>-23.562567</v>
      </c>
      <c r="C7856" s="40" t="n">
        <v>-46.559991</v>
      </c>
      <c r="D7856" s="40" t="n">
        <v>241</v>
      </c>
      <c r="E7856" s="41" t="n">
        <v>5976.4341</v>
      </c>
    </row>
    <row r="7857">
      <c r="A7857" s="42">
        <f>_xlfn.XLOOKUP(47323,Trip[shape_id],Trip[shape_id],"Não encontrado")</f>
        <v/>
      </c>
      <c r="B7857" s="43" t="n">
        <v>-23.562516</v>
      </c>
      <c r="C7857" s="43" t="n">
        <v>-46.560244</v>
      </c>
      <c r="D7857" s="43" t="n">
        <v>242</v>
      </c>
      <c r="E7857" s="44" t="n">
        <v>6002.8735</v>
      </c>
    </row>
    <row r="7858">
      <c r="A7858" s="39">
        <f>_xlfn.XLOOKUP(47323,Trip[shape_id],Trip[shape_id],"Não encontrado")</f>
        <v/>
      </c>
      <c r="B7858" s="40" t="n">
        <v>-23.562431</v>
      </c>
      <c r="C7858" s="40" t="n">
        <v>-46.56055</v>
      </c>
      <c r="D7858" s="40" t="n">
        <v>243</v>
      </c>
      <c r="E7858" s="41" t="n">
        <v>6035.5015</v>
      </c>
    </row>
    <row r="7859">
      <c r="A7859" s="42">
        <f>_xlfn.XLOOKUP(47323,Trip[shape_id],Trip[shape_id],"Não encontrado")</f>
        <v/>
      </c>
      <c r="B7859" s="43" t="n">
        <v>-23.562321</v>
      </c>
      <c r="C7859" s="43" t="n">
        <v>-46.560811</v>
      </c>
      <c r="D7859" s="43" t="n">
        <v>244</v>
      </c>
      <c r="E7859" s="44" t="n">
        <v>6064.8008</v>
      </c>
    </row>
    <row r="7860">
      <c r="A7860" s="39">
        <f>_xlfn.XLOOKUP(47323,Trip[shape_id],Trip[shape_id],"Não encontrado")</f>
        <v/>
      </c>
      <c r="B7860" s="40" t="n">
        <v>-23.562282</v>
      </c>
      <c r="C7860" s="40" t="n">
        <v>-46.560925</v>
      </c>
      <c r="D7860" s="40" t="n">
        <v>245</v>
      </c>
      <c r="E7860" s="41" t="n">
        <v>6077.2153</v>
      </c>
    </row>
    <row r="7861">
      <c r="A7861" s="42">
        <f>_xlfn.XLOOKUP(47323,Trip[shape_id],Trip[shape_id],"Não encontrado")</f>
        <v/>
      </c>
      <c r="B7861" s="43" t="n">
        <v>-23.561922</v>
      </c>
      <c r="C7861" s="43" t="n">
        <v>-46.561701</v>
      </c>
      <c r="D7861" s="43" t="n">
        <v>246</v>
      </c>
      <c r="E7861" s="44" t="n">
        <v>6165.9067</v>
      </c>
    </row>
    <row r="7862">
      <c r="A7862" s="39">
        <f>_xlfn.XLOOKUP(47323,Trip[shape_id],Trip[shape_id],"Não encontrado")</f>
        <v/>
      </c>
      <c r="B7862" s="40" t="n">
        <v>-23.561806</v>
      </c>
      <c r="C7862" s="40" t="n">
        <v>-46.562006</v>
      </c>
      <c r="D7862" s="40" t="n">
        <v>247</v>
      </c>
      <c r="E7862" s="41" t="n">
        <v>6199.5913</v>
      </c>
    </row>
    <row r="7863">
      <c r="A7863" s="42">
        <f>_xlfn.XLOOKUP(47323,Trip[shape_id],Trip[shape_id],"Não encontrado")</f>
        <v/>
      </c>
      <c r="B7863" s="43" t="n">
        <v>-23.56165</v>
      </c>
      <c r="C7863" s="43" t="n">
        <v>-46.562342</v>
      </c>
      <c r="D7863" s="43" t="n">
        <v>248</v>
      </c>
      <c r="E7863" s="44" t="n">
        <v>6238</v>
      </c>
    </row>
    <row r="7864">
      <c r="A7864" s="39">
        <f>_xlfn.XLOOKUP(47323,Trip[shape_id],Trip[shape_id],"Não encontrado")</f>
        <v/>
      </c>
      <c r="B7864" s="40" t="n">
        <v>-23.561502</v>
      </c>
      <c r="C7864" s="40" t="n">
        <v>-46.562751</v>
      </c>
      <c r="D7864" s="40" t="n">
        <v>249</v>
      </c>
      <c r="E7864" s="41" t="n">
        <v>6282.8584</v>
      </c>
    </row>
    <row r="7865">
      <c r="A7865" s="42">
        <f>_xlfn.XLOOKUP(47323,Trip[shape_id],Trip[shape_id],"Não encontrado")</f>
        <v/>
      </c>
      <c r="B7865" s="43" t="n">
        <v>-23.561393</v>
      </c>
      <c r="C7865" s="43" t="n">
        <v>-46.56269</v>
      </c>
      <c r="D7865" s="43" t="n">
        <v>250</v>
      </c>
      <c r="E7865" s="44" t="n">
        <v>6296.4419</v>
      </c>
    </row>
    <row r="7866">
      <c r="A7866" s="39">
        <f>_xlfn.XLOOKUP(47323,Trip[shape_id],Trip[shape_id],"Não encontrado")</f>
        <v/>
      </c>
      <c r="B7866" s="40" t="n">
        <v>-23.56131</v>
      </c>
      <c r="C7866" s="40" t="n">
        <v>-46.562667</v>
      </c>
      <c r="D7866" s="40" t="n">
        <v>251</v>
      </c>
      <c r="E7866" s="41" t="n">
        <v>6312.4888</v>
      </c>
    </row>
    <row r="7867">
      <c r="A7867" s="42">
        <f>_xlfn.XLOOKUP(47323,Trip[shape_id],Trip[shape_id],"Não encontrado")</f>
        <v/>
      </c>
      <c r="B7867" s="43" t="n">
        <v>-23.561266</v>
      </c>
      <c r="C7867" s="43" t="n">
        <v>-46.562624</v>
      </c>
      <c r="D7867" s="43" t="n">
        <v>252</v>
      </c>
      <c r="E7867" s="44" t="n">
        <v>6322.7837</v>
      </c>
    </row>
    <row r="7868">
      <c r="A7868" s="39">
        <f>_xlfn.XLOOKUP(47323,Trip[shape_id],Trip[shape_id],"Não encontrado")</f>
        <v/>
      </c>
      <c r="B7868" s="40" t="n">
        <v>-23.561219</v>
      </c>
      <c r="C7868" s="40" t="n">
        <v>-46.562537</v>
      </c>
      <c r="D7868" s="40" t="n">
        <v>253</v>
      </c>
      <c r="E7868" s="41" t="n">
        <v>6337.6899</v>
      </c>
    </row>
    <row r="7869">
      <c r="A7869" s="42">
        <f>_xlfn.XLOOKUP(47323,Trip[shape_id],Trip[shape_id],"Não encontrado")</f>
        <v/>
      </c>
      <c r="B7869" s="43" t="n">
        <v>-23.561151</v>
      </c>
      <c r="C7869" s="43" t="n">
        <v>-46.562411</v>
      </c>
      <c r="D7869" s="43" t="n">
        <v>254</v>
      </c>
      <c r="E7869" s="44" t="n">
        <v>6357.063</v>
      </c>
    </row>
    <row r="7870">
      <c r="A7870" s="39">
        <f>_xlfn.XLOOKUP(47323,Trip[shape_id],Trip[shape_id],"Não encontrado")</f>
        <v/>
      </c>
      <c r="B7870" s="40" t="n">
        <v>-23.561063</v>
      </c>
      <c r="C7870" s="40" t="n">
        <v>-46.562247</v>
      </c>
      <c r="D7870" s="40" t="n">
        <v>255</v>
      </c>
      <c r="E7870" s="41" t="n">
        <v>6370.9009</v>
      </c>
    </row>
    <row r="7871">
      <c r="A7871" s="42">
        <f>_xlfn.XLOOKUP(47323,Trip[shape_id],Trip[shape_id],"Não encontrado")</f>
        <v/>
      </c>
      <c r="B7871" s="43" t="n">
        <v>-23.56099</v>
      </c>
      <c r="C7871" s="43" t="n">
        <v>-46.562137</v>
      </c>
      <c r="D7871" s="43" t="n">
        <v>256</v>
      </c>
      <c r="E7871" s="44" t="n">
        <v>6398.835</v>
      </c>
    </row>
    <row r="7872">
      <c r="A7872" s="39">
        <f>_xlfn.XLOOKUP(47323,Trip[shape_id],Trip[shape_id],"Não encontrado")</f>
        <v/>
      </c>
      <c r="B7872" s="40" t="n">
        <v>-23.560834</v>
      </c>
      <c r="C7872" s="40" t="n">
        <v>-46.561922</v>
      </c>
      <c r="D7872" s="40" t="n">
        <v>257</v>
      </c>
      <c r="E7872" s="41" t="n">
        <v>6438.6704</v>
      </c>
    </row>
    <row r="7873">
      <c r="A7873" s="42">
        <f>_xlfn.XLOOKUP(47323,Trip[shape_id],Trip[shape_id],"Não encontrado")</f>
        <v/>
      </c>
      <c r="B7873" s="43" t="n">
        <v>-23.56057</v>
      </c>
      <c r="C7873" s="43" t="n">
        <v>-46.561657</v>
      </c>
      <c r="D7873" s="43" t="n">
        <v>258</v>
      </c>
      <c r="E7873" s="44" t="n">
        <v>6472.9253</v>
      </c>
    </row>
    <row r="7874">
      <c r="A7874" s="39">
        <f>_xlfn.XLOOKUP(47323,Trip[shape_id],Trip[shape_id],"Não encontrado")</f>
        <v/>
      </c>
      <c r="B7874" s="40" t="n">
        <v>-23.560317</v>
      </c>
      <c r="C7874" s="40" t="n">
        <v>-46.561464</v>
      </c>
      <c r="D7874" s="40" t="n">
        <v>259</v>
      </c>
      <c r="E7874" s="41" t="n">
        <v>6572.8101</v>
      </c>
    </row>
    <row r="7875">
      <c r="A7875" s="42">
        <f>_xlfn.XLOOKUP(47323,Trip[shape_id],Trip[shape_id],"Não encontrado")</f>
        <v/>
      </c>
      <c r="B7875" s="43" t="n">
        <v>-23.559525</v>
      </c>
      <c r="C7875" s="43" t="n">
        <v>-46.560996</v>
      </c>
      <c r="D7875" s="43" t="n">
        <v>260</v>
      </c>
      <c r="E7875" s="44" t="n">
        <v>6597.4409</v>
      </c>
    </row>
    <row r="7876">
      <c r="A7876" s="39">
        <f>_xlfn.XLOOKUP(47323,Trip[shape_id],Trip[shape_id],"Não encontrado")</f>
        <v/>
      </c>
      <c r="B7876" s="40" t="n">
        <v>-23.559329</v>
      </c>
      <c r="C7876" s="40" t="n">
        <v>-46.560882</v>
      </c>
      <c r="D7876" s="40" t="n">
        <v>261</v>
      </c>
      <c r="E7876" s="41" t="n">
        <v>6609.6587</v>
      </c>
    </row>
    <row r="7877">
      <c r="A7877" s="42">
        <f>_xlfn.XLOOKUP(47323,Trip[shape_id],Trip[shape_id],"Não encontrado")</f>
        <v/>
      </c>
      <c r="B7877" s="43" t="n">
        <v>-23.559232</v>
      </c>
      <c r="C7877" s="43" t="n">
        <v>-46.560825</v>
      </c>
      <c r="D7877" s="43" t="n">
        <v>262</v>
      </c>
      <c r="E7877" s="44" t="n">
        <v>6621.2007</v>
      </c>
    </row>
    <row r="7878">
      <c r="A7878" s="39">
        <f>_xlfn.XLOOKUP(47323,Trip[shape_id],Trip[shape_id],"Não encontrado")</f>
        <v/>
      </c>
      <c r="B7878" s="40" t="n">
        <v>-23.559142</v>
      </c>
      <c r="C7878" s="40" t="n">
        <v>-46.560768</v>
      </c>
      <c r="D7878" s="40" t="n">
        <v>263</v>
      </c>
      <c r="E7878" s="41" t="n">
        <v>6685.5527</v>
      </c>
    </row>
    <row r="7879">
      <c r="A7879" s="42">
        <f>_xlfn.XLOOKUP(47323,Trip[shape_id],Trip[shape_id],"Não encontrado")</f>
        <v/>
      </c>
      <c r="B7879" s="43" t="n">
        <v>-23.55866</v>
      </c>
      <c r="C7879" s="43" t="n">
        <v>-46.560416</v>
      </c>
      <c r="D7879" s="43" t="n">
        <v>264</v>
      </c>
      <c r="E7879" s="44" t="n">
        <v>6685.5527</v>
      </c>
    </row>
    <row r="7880">
      <c r="A7880" s="39">
        <f>_xlfn.XLOOKUP(47323,Trip[shape_id],Trip[shape_id],"Não encontrado")</f>
        <v/>
      </c>
      <c r="B7880" s="40" t="n">
        <v>-23.558662</v>
      </c>
      <c r="C7880" s="40" t="n">
        <v>-46.560347</v>
      </c>
      <c r="D7880" s="40" t="n">
        <v>265</v>
      </c>
      <c r="E7880" s="41" t="n">
        <v>6700.0879</v>
      </c>
    </row>
    <row r="7881">
      <c r="A7881" s="42">
        <f>_xlfn.XLOOKUP(47323,Trip[shape_id],Trip[shape_id],"Não encontrado")</f>
        <v/>
      </c>
      <c r="B7881" s="43" t="n">
        <v>-23.558629</v>
      </c>
      <c r="C7881" s="43" t="n">
        <v>-46.560283</v>
      </c>
      <c r="D7881" s="43" t="n">
        <v>266</v>
      </c>
      <c r="E7881" s="44" t="n">
        <v>6705.5688</v>
      </c>
    </row>
    <row r="7882">
      <c r="A7882" s="39">
        <f>_xlfn.XLOOKUP(47323,Trip[shape_id],Trip[shape_id],"Não encontrado")</f>
        <v/>
      </c>
      <c r="B7882" s="40" t="n">
        <v>-23.558596</v>
      </c>
      <c r="C7882" s="40" t="n">
        <v>-46.560243</v>
      </c>
      <c r="D7882" s="40" t="n">
        <v>267</v>
      </c>
      <c r="E7882" s="41" t="n">
        <v>6710.709</v>
      </c>
    </row>
    <row r="7883">
      <c r="A7883" s="42">
        <f>_xlfn.XLOOKUP(47323,Trip[shape_id],Trip[shape_id],"Não encontrado")</f>
        <v/>
      </c>
      <c r="B7883" s="43" t="n">
        <v>-23.558552</v>
      </c>
      <c r="C7883" s="43" t="n">
        <v>-46.560227</v>
      </c>
      <c r="D7883" s="43" t="n">
        <v>268</v>
      </c>
      <c r="E7883" s="44" t="n">
        <v>6718.4863</v>
      </c>
    </row>
    <row r="7884">
      <c r="A7884" s="39">
        <f>_xlfn.XLOOKUP(47323,Trip[shape_id],Trip[shape_id],"Não encontrado")</f>
        <v/>
      </c>
      <c r="B7884" s="40" t="n">
        <v>-23.558482</v>
      </c>
      <c r="C7884" s="40" t="n">
        <v>-46.560233</v>
      </c>
      <c r="D7884" s="40" t="n">
        <v>269</v>
      </c>
      <c r="E7884" s="41" t="n">
        <v>6718.4863</v>
      </c>
    </row>
    <row r="7885">
      <c r="A7885" s="42">
        <f>_xlfn.XLOOKUP(47323,Trip[shape_id],Trip[shape_id],"Não encontrado")</f>
        <v/>
      </c>
      <c r="B7885" s="43" t="n">
        <v>-23.558347</v>
      </c>
      <c r="C7885" s="43" t="n">
        <v>-46.560177</v>
      </c>
      <c r="D7885" s="43" t="n">
        <v>270</v>
      </c>
      <c r="E7885" s="44" t="n">
        <v>6741.6792</v>
      </c>
    </row>
    <row r="7886">
      <c r="A7886" s="39">
        <f>_xlfn.XLOOKUP(47323,Trip[shape_id],Trip[shape_id],"Não encontrado")</f>
        <v/>
      </c>
      <c r="B7886" s="40" t="n">
        <v>-23.558293</v>
      </c>
      <c r="C7886" s="40" t="n">
        <v>-46.560138</v>
      </c>
      <c r="D7886" s="40" t="n">
        <v>271</v>
      </c>
      <c r="E7886" s="41" t="n">
        <v>6760.3701</v>
      </c>
    </row>
    <row r="7887">
      <c r="A7887" s="42">
        <f>_xlfn.XLOOKUP(47323,Trip[shape_id],Trip[shape_id],"Não encontrado")</f>
        <v/>
      </c>
      <c r="B7887" s="43" t="n">
        <v>-23.558168</v>
      </c>
      <c r="C7887" s="43" t="n">
        <v>-46.560015</v>
      </c>
      <c r="D7887" s="43" t="n">
        <v>272</v>
      </c>
      <c r="E7887" s="44" t="n">
        <v>6771.6475</v>
      </c>
    </row>
    <row r="7888">
      <c r="A7888" s="39">
        <f>_xlfn.XLOOKUP(47323,Trip[shape_id],Trip[shape_id],"Não encontrado")</f>
        <v/>
      </c>
      <c r="B7888" s="40" t="n">
        <v>-23.558095</v>
      </c>
      <c r="C7888" s="40" t="n">
        <v>-46.559938</v>
      </c>
      <c r="D7888" s="40" t="n">
        <v>273</v>
      </c>
      <c r="E7888" s="41" t="n">
        <v>6771.6475</v>
      </c>
    </row>
    <row r="7889">
      <c r="A7889" s="42">
        <f>_xlfn.XLOOKUP(47323,Trip[shape_id],Trip[shape_id],"Não encontrado")</f>
        <v/>
      </c>
      <c r="B7889" s="43" t="n">
        <v>-23.557715</v>
      </c>
      <c r="C7889" s="43" t="n">
        <v>-46.559526</v>
      </c>
      <c r="D7889" s="43" t="n">
        <v>274</v>
      </c>
      <c r="E7889" s="44" t="n">
        <v>6831.1499</v>
      </c>
    </row>
    <row r="7890">
      <c r="A7890" s="39">
        <f>_xlfn.XLOOKUP(47323,Trip[shape_id],Trip[shape_id],"Não encontrado")</f>
        <v/>
      </c>
      <c r="B7890" s="40" t="n">
        <v>-23.557261</v>
      </c>
      <c r="C7890" s="40" t="n">
        <v>-46.559078</v>
      </c>
      <c r="D7890" s="40" t="n">
        <v>275</v>
      </c>
      <c r="E7890" s="41" t="n">
        <v>6899.1226</v>
      </c>
    </row>
    <row r="7891">
      <c r="A7891" s="42">
        <f>_xlfn.XLOOKUP(47323,Trip[shape_id],Trip[shape_id],"Não encontrado")</f>
        <v/>
      </c>
      <c r="B7891" s="43" t="n">
        <v>-23.557215</v>
      </c>
      <c r="C7891" s="43" t="n">
        <v>-46.559143</v>
      </c>
      <c r="D7891" s="43" t="n">
        <v>276</v>
      </c>
      <c r="E7891" s="44" t="n">
        <v>6907.4893</v>
      </c>
    </row>
    <row r="7892">
      <c r="A7892" s="39">
        <f>_xlfn.XLOOKUP(47323,Trip[shape_id],Trip[shape_id],"Não encontrado")</f>
        <v/>
      </c>
      <c r="B7892" s="40" t="n">
        <v>-23.556997</v>
      </c>
      <c r="C7892" s="40" t="n">
        <v>-46.559405</v>
      </c>
      <c r="D7892" s="40" t="n">
        <v>277</v>
      </c>
      <c r="E7892" s="41" t="n">
        <v>6943.5234</v>
      </c>
    </row>
    <row r="7893">
      <c r="A7893" s="42">
        <f>_xlfn.XLOOKUP(47323,Trip[shape_id],Trip[shape_id],"Não encontrado")</f>
        <v/>
      </c>
      <c r="B7893" s="43" t="n">
        <v>-23.556764</v>
      </c>
      <c r="C7893" s="43" t="n">
        <v>-46.559676</v>
      </c>
      <c r="D7893" s="43" t="n">
        <v>278</v>
      </c>
      <c r="E7893" s="44" t="n">
        <v>6981.3579</v>
      </c>
    </row>
    <row r="7894">
      <c r="A7894" s="39">
        <f>_xlfn.XLOOKUP(47323,Trip[shape_id],Trip[shape_id],"Não encontrado")</f>
        <v/>
      </c>
      <c r="B7894" s="40" t="n">
        <v>-23.556652</v>
      </c>
      <c r="C7894" s="40" t="n">
        <v>-46.559803</v>
      </c>
      <c r="D7894" s="40" t="n">
        <v>279</v>
      </c>
      <c r="E7894" s="41" t="n">
        <v>6999.3018</v>
      </c>
    </row>
    <row r="7895">
      <c r="A7895" s="42">
        <f>_xlfn.XLOOKUP(47323,Trip[shape_id],Trip[shape_id],"Não encontrado")</f>
        <v/>
      </c>
      <c r="B7895" s="43" t="n">
        <v>-23.556575</v>
      </c>
      <c r="C7895" s="43" t="n">
        <v>-46.559895</v>
      </c>
      <c r="D7895" s="43" t="n">
        <v>280</v>
      </c>
      <c r="E7895" s="44" t="n">
        <v>7011.9883</v>
      </c>
    </row>
    <row r="7896">
      <c r="A7896" s="39">
        <f>_xlfn.XLOOKUP(47323,Trip[shape_id],Trip[shape_id],"Não encontrado")</f>
        <v/>
      </c>
      <c r="B7896" s="40" t="n">
        <v>-23.556362</v>
      </c>
      <c r="C7896" s="40" t="n">
        <v>-46.56014</v>
      </c>
      <c r="D7896" s="40" t="n">
        <v>281</v>
      </c>
      <c r="E7896" s="41" t="n">
        <v>7046.3711</v>
      </c>
    </row>
    <row r="7897">
      <c r="A7897" s="42">
        <f>_xlfn.XLOOKUP(47323,Trip[shape_id],Trip[shape_id],"Não encontrado")</f>
        <v/>
      </c>
      <c r="B7897" s="43" t="n">
        <v>-23.556305</v>
      </c>
      <c r="C7897" s="43" t="n">
        <v>-46.560207</v>
      </c>
      <c r="D7897" s="43" t="n">
        <v>282</v>
      </c>
      <c r="E7897" s="44" t="n">
        <v>7055.6797</v>
      </c>
    </row>
    <row r="7898">
      <c r="A7898" s="39">
        <f>_xlfn.XLOOKUP(47323,Trip[shape_id],Trip[shape_id],"Não encontrado")</f>
        <v/>
      </c>
      <c r="B7898" s="40" t="n">
        <v>-23.556218</v>
      </c>
      <c r="C7898" s="40" t="n">
        <v>-46.560304</v>
      </c>
      <c r="D7898" s="40" t="n">
        <v>283</v>
      </c>
      <c r="E7898" s="41" t="n">
        <v>7069.4971</v>
      </c>
    </row>
    <row r="7899">
      <c r="A7899" s="42">
        <f>_xlfn.XLOOKUP(47323,Trip[shape_id],Trip[shape_id],"Não encontrado")</f>
        <v/>
      </c>
      <c r="B7899" s="43" t="n">
        <v>-23.555635</v>
      </c>
      <c r="C7899" s="43" t="n">
        <v>-46.560976</v>
      </c>
      <c r="D7899" s="43" t="n">
        <v>284</v>
      </c>
      <c r="E7899" s="44" t="n">
        <v>7163.7114</v>
      </c>
    </row>
    <row r="7900">
      <c r="A7900" s="39">
        <f>_xlfn.XLOOKUP(47323,Trip[shape_id],Trip[shape_id],"Não encontrado")</f>
        <v/>
      </c>
      <c r="B7900" s="40" t="n">
        <v>-23.555163</v>
      </c>
      <c r="C7900" s="40" t="n">
        <v>-46.560484</v>
      </c>
      <c r="D7900" s="40" t="n">
        <v>285</v>
      </c>
      <c r="E7900" s="41" t="n">
        <v>7236.2095</v>
      </c>
    </row>
    <row r="7901">
      <c r="A7901" s="42">
        <f>_xlfn.XLOOKUP(47323,Trip[shape_id],Trip[shape_id],"Não encontrado")</f>
        <v/>
      </c>
      <c r="B7901" s="43" t="n">
        <v>-23.554609</v>
      </c>
      <c r="C7901" s="43" t="n">
        <v>-46.559927</v>
      </c>
      <c r="D7901" s="43" t="n">
        <v>286</v>
      </c>
      <c r="E7901" s="44" t="n">
        <v>7326.0327</v>
      </c>
    </row>
    <row r="7902">
      <c r="A7902" s="39">
        <f>_xlfn.XLOOKUP(47323,Trip[shape_id],Trip[shape_id],"Não encontrado")</f>
        <v/>
      </c>
      <c r="B7902" s="40" t="n">
        <v>-23.554569</v>
      </c>
      <c r="C7902" s="40" t="n">
        <v>-46.559885</v>
      </c>
      <c r="D7902" s="40" t="n">
        <v>287</v>
      </c>
      <c r="E7902" s="41" t="n">
        <v>7326.0327</v>
      </c>
    </row>
    <row r="7903">
      <c r="A7903" s="42">
        <f>_xlfn.XLOOKUP(47323,Trip[shape_id],Trip[shape_id],"Não encontrado")</f>
        <v/>
      </c>
      <c r="B7903" s="43" t="n">
        <v>-23.554418</v>
      </c>
      <c r="C7903" s="43" t="n">
        <v>-46.560154</v>
      </c>
      <c r="D7903" s="43" t="n">
        <v>288</v>
      </c>
      <c r="E7903" s="44" t="n">
        <v>7358.1885</v>
      </c>
    </row>
    <row r="7904">
      <c r="A7904" s="39">
        <f>_xlfn.XLOOKUP(47323,Trip[shape_id],Trip[shape_id],"Não encontrado")</f>
        <v/>
      </c>
      <c r="B7904" s="40" t="n">
        <v>-23.554276</v>
      </c>
      <c r="C7904" s="40" t="n">
        <v>-46.560406</v>
      </c>
      <c r="D7904" s="40" t="n">
        <v>289</v>
      </c>
      <c r="E7904" s="41" t="n">
        <v>7388.3433</v>
      </c>
    </row>
    <row r="7905">
      <c r="A7905" s="42">
        <f>_xlfn.XLOOKUP(47323,Trip[shape_id],Trip[shape_id],"Não encontrado")</f>
        <v/>
      </c>
      <c r="B7905" s="43" t="n">
        <v>-23.554111</v>
      </c>
      <c r="C7905" s="43" t="n">
        <v>-46.560645</v>
      </c>
      <c r="D7905" s="43" t="n">
        <v>290</v>
      </c>
      <c r="E7905" s="44" t="n">
        <v>7418.8291</v>
      </c>
    </row>
    <row r="7906">
      <c r="A7906" s="39">
        <f>_xlfn.XLOOKUP(47323,Trip[shape_id],Trip[shape_id],"Não encontrado")</f>
        <v/>
      </c>
      <c r="B7906" s="40" t="n">
        <v>-23.553756</v>
      </c>
      <c r="C7906" s="40" t="n">
        <v>-46.561158</v>
      </c>
      <c r="D7906" s="40" t="n">
        <v>291</v>
      </c>
      <c r="E7906" s="41" t="n">
        <v>7484.3208</v>
      </c>
    </row>
    <row r="7907">
      <c r="A7907" s="42">
        <f>_xlfn.XLOOKUP(47323,Trip[shape_id],Trip[shape_id],"Não encontrado")</f>
        <v/>
      </c>
      <c r="B7907" s="43" t="n">
        <v>-23.55363</v>
      </c>
      <c r="C7907" s="43" t="n">
        <v>-46.561346</v>
      </c>
      <c r="D7907" s="43" t="n">
        <v>292</v>
      </c>
      <c r="E7907" s="44" t="n">
        <v>7508.0518</v>
      </c>
    </row>
    <row r="7908">
      <c r="A7908" s="39">
        <f>_xlfn.XLOOKUP(47323,Trip[shape_id],Trip[shape_id],"Não encontrado")</f>
        <v/>
      </c>
      <c r="B7908" s="40" t="n">
        <v>-23.553503</v>
      </c>
      <c r="C7908" s="40" t="n">
        <v>-46.561518</v>
      </c>
      <c r="D7908" s="40" t="n">
        <v>293</v>
      </c>
      <c r="E7908" s="41" t="n">
        <v>7530.5518</v>
      </c>
    </row>
    <row r="7909">
      <c r="A7909" s="42">
        <f>_xlfn.XLOOKUP(47323,Trip[shape_id],Trip[shape_id],"Não encontrado")</f>
        <v/>
      </c>
      <c r="B7909" s="43" t="n">
        <v>-23.553392</v>
      </c>
      <c r="C7909" s="43" t="n">
        <v>-46.561694</v>
      </c>
      <c r="D7909" s="43" t="n">
        <v>294</v>
      </c>
      <c r="E7909" s="44" t="n">
        <v>7552.3242</v>
      </c>
    </row>
    <row r="7910">
      <c r="A7910" s="39">
        <f>_xlfn.XLOOKUP(47323,Trip[shape_id],Trip[shape_id],"Não encontrado")</f>
        <v/>
      </c>
      <c r="B7910" s="40" t="n">
        <v>-23.553278</v>
      </c>
      <c r="C7910" s="40" t="n">
        <v>-46.561773</v>
      </c>
      <c r="D7910" s="40" t="n">
        <v>295</v>
      </c>
      <c r="E7910" s="41" t="n">
        <v>7567.3066</v>
      </c>
    </row>
    <row r="7911">
      <c r="A7911" s="42">
        <f>_xlfn.XLOOKUP(47323,Trip[shape_id],Trip[shape_id],"Não encontrado")</f>
        <v/>
      </c>
      <c r="B7911" s="43" t="n">
        <v>-23.55321</v>
      </c>
      <c r="C7911" s="43" t="n">
        <v>-46.562459</v>
      </c>
      <c r="D7911" s="43" t="n">
        <v>296</v>
      </c>
      <c r="E7911" s="44" t="n">
        <v>7637.751</v>
      </c>
    </row>
    <row r="7912">
      <c r="A7912" s="39">
        <f>_xlfn.XLOOKUP(47323,Trip[shape_id],Trip[shape_id],"Não encontrado")</f>
        <v/>
      </c>
      <c r="B7912" s="40" t="n">
        <v>-23.553143</v>
      </c>
      <c r="C7912" s="40" t="n">
        <v>-46.563139</v>
      </c>
      <c r="D7912" s="40" t="n">
        <v>297</v>
      </c>
      <c r="E7912" s="41" t="n">
        <v>7707.5742</v>
      </c>
    </row>
    <row r="7913">
      <c r="A7913" s="42">
        <f>_xlfn.XLOOKUP(47323,Trip[shape_id],Trip[shape_id],"Não encontrado")</f>
        <v/>
      </c>
      <c r="B7913" s="43" t="n">
        <v>-23.553079</v>
      </c>
      <c r="C7913" s="43" t="n">
        <v>-46.563826</v>
      </c>
      <c r="D7913" s="43" t="n">
        <v>298</v>
      </c>
      <c r="E7913" s="44" t="n">
        <v>7778.0742</v>
      </c>
    </row>
    <row r="7914">
      <c r="A7914" s="39">
        <f>_xlfn.XLOOKUP(47323,Trip[shape_id],Trip[shape_id],"Não encontrado")</f>
        <v/>
      </c>
      <c r="B7914" s="40" t="n">
        <v>-23.552995</v>
      </c>
      <c r="C7914" s="40" t="n">
        <v>-46.564574</v>
      </c>
      <c r="D7914" s="40" t="n">
        <v>299</v>
      </c>
      <c r="E7914" s="41" t="n">
        <v>7855.0098</v>
      </c>
    </row>
    <row r="7915">
      <c r="A7915" s="42">
        <f>_xlfn.XLOOKUP(47323,Trip[shape_id],Trip[shape_id],"Não encontrado")</f>
        <v/>
      </c>
      <c r="B7915" s="43" t="n">
        <v>-23.552959</v>
      </c>
      <c r="C7915" s="43" t="n">
        <v>-46.565056</v>
      </c>
      <c r="D7915" s="43" t="n">
        <v>300</v>
      </c>
      <c r="E7915" s="44" t="n">
        <v>7904.3833</v>
      </c>
    </row>
    <row r="7916">
      <c r="A7916" s="39">
        <f>_xlfn.XLOOKUP(47323,Trip[shape_id],Trip[shape_id],"Não encontrado")</f>
        <v/>
      </c>
      <c r="B7916" s="40" t="n">
        <v>-23.552911</v>
      </c>
      <c r="C7916" s="40" t="n">
        <v>-46.565494</v>
      </c>
      <c r="D7916" s="40" t="n">
        <v>301</v>
      </c>
      <c r="E7916" s="41" t="n">
        <v>7949.418</v>
      </c>
    </row>
    <row r="7917">
      <c r="A7917" s="42">
        <f>_xlfn.XLOOKUP(47323,Trip[shape_id],Trip[shape_id],"Não encontrado")</f>
        <v/>
      </c>
      <c r="B7917" s="43" t="n">
        <v>-23.552869</v>
      </c>
      <c r="C7917" s="43" t="n">
        <v>-46.565934</v>
      </c>
      <c r="D7917" s="43" t="n">
        <v>302</v>
      </c>
      <c r="E7917" s="44" t="n">
        <v>7994.5825</v>
      </c>
    </row>
    <row r="7918">
      <c r="A7918" s="39">
        <f>_xlfn.XLOOKUP(47323,Trip[shape_id],Trip[shape_id],"Não encontrado")</f>
        <v/>
      </c>
      <c r="B7918" s="40" t="n">
        <v>-23.55283</v>
      </c>
      <c r="C7918" s="40" t="n">
        <v>-46.566378</v>
      </c>
      <c r="D7918" s="40" t="n">
        <v>303</v>
      </c>
      <c r="E7918" s="41" t="n">
        <v>8040.1201</v>
      </c>
    </row>
    <row r="7919">
      <c r="A7919" s="42">
        <f>_xlfn.XLOOKUP(47323,Trip[shape_id],Trip[shape_id],"Não encontrado")</f>
        <v/>
      </c>
      <c r="B7919" s="43" t="n">
        <v>-23.552785</v>
      </c>
      <c r="C7919" s="43" t="n">
        <v>-46.566819</v>
      </c>
      <c r="D7919" s="43" t="n">
        <v>304</v>
      </c>
      <c r="E7919" s="44" t="n">
        <v>8085.4214</v>
      </c>
    </row>
    <row r="7920">
      <c r="A7920" s="39">
        <f>_xlfn.XLOOKUP(47323,Trip[shape_id],Trip[shape_id],"Não encontrado")</f>
        <v/>
      </c>
      <c r="B7920" s="40" t="n">
        <v>-23.552777</v>
      </c>
      <c r="C7920" s="40" t="n">
        <v>-46.566926</v>
      </c>
      <c r="D7920" s="40" t="n">
        <v>305</v>
      </c>
      <c r="E7920" s="41" t="n">
        <v>8096.3818</v>
      </c>
    </row>
    <row r="7921">
      <c r="A7921" s="42">
        <f>_xlfn.XLOOKUP(47323,Trip[shape_id],Trip[shape_id],"Não encontrado")</f>
        <v/>
      </c>
      <c r="B7921" s="43" t="n">
        <v>-23.55277</v>
      </c>
      <c r="C7921" s="43" t="n">
        <v>-46.566975</v>
      </c>
      <c r="D7921" s="43" t="n">
        <v>306</v>
      </c>
      <c r="E7921" s="44" t="n">
        <v>8101.4448</v>
      </c>
    </row>
    <row r="7922">
      <c r="A7922" s="39">
        <f>_xlfn.XLOOKUP(47323,Trip[shape_id],Trip[shape_id],"Não encontrado")</f>
        <v/>
      </c>
      <c r="B7922" s="40" t="n">
        <v>-23.552771</v>
      </c>
      <c r="C7922" s="40" t="n">
        <v>-46.567051</v>
      </c>
      <c r="D7922" s="40" t="n">
        <v>307</v>
      </c>
      <c r="E7922" s="41" t="n">
        <v>8109.2056</v>
      </c>
    </row>
    <row r="7923">
      <c r="A7923" s="42">
        <f>_xlfn.XLOOKUP(47323,Trip[shape_id],Trip[shape_id],"Não encontrado")</f>
        <v/>
      </c>
      <c r="B7923" s="43" t="n">
        <v>-23.552807</v>
      </c>
      <c r="C7923" s="43" t="n">
        <v>-46.567146</v>
      </c>
      <c r="D7923" s="43" t="n">
        <v>308</v>
      </c>
      <c r="E7923" s="44" t="n">
        <v>8119.6929</v>
      </c>
    </row>
    <row r="7924">
      <c r="A7924" s="39">
        <f>_xlfn.XLOOKUP(47323,Trip[shape_id],Trip[shape_id],"Não encontrado")</f>
        <v/>
      </c>
      <c r="B7924" s="40" t="n">
        <v>-23.552916</v>
      </c>
      <c r="C7924" s="40" t="n">
        <v>-46.567193</v>
      </c>
      <c r="D7924" s="40" t="n">
        <v>309</v>
      </c>
      <c r="E7924" s="41" t="n">
        <v>8132.6836</v>
      </c>
    </row>
    <row r="7925">
      <c r="A7925" s="42">
        <f>_xlfn.XLOOKUP(47323,Trip[shape_id],Trip[shape_id],"Não encontrado")</f>
        <v/>
      </c>
      <c r="B7925" s="43" t="n">
        <v>-23.552958</v>
      </c>
      <c r="C7925" s="43" t="n">
        <v>-46.567293</v>
      </c>
      <c r="D7925" s="43" t="n">
        <v>310</v>
      </c>
      <c r="E7925" s="44" t="n">
        <v>8143.9033</v>
      </c>
    </row>
    <row r="7926">
      <c r="A7926" s="39">
        <f>_xlfn.XLOOKUP(47323,Trip[shape_id],Trip[shape_id],"Não encontrado")</f>
        <v/>
      </c>
      <c r="B7926" s="40" t="n">
        <v>-23.553323</v>
      </c>
      <c r="C7926" s="40" t="n">
        <v>-46.568215</v>
      </c>
      <c r="D7926" s="40" t="n">
        <v>311</v>
      </c>
      <c r="E7926" s="41" t="n">
        <v>8246.352500000001</v>
      </c>
    </row>
    <row r="7927">
      <c r="A7927" s="42">
        <f>_xlfn.XLOOKUP(47323,Trip[shape_id],Trip[shape_id],"Não encontrado")</f>
        <v/>
      </c>
      <c r="B7927" s="43" t="n">
        <v>-23.553435</v>
      </c>
      <c r="C7927" s="43" t="n">
        <v>-46.568498</v>
      </c>
      <c r="D7927" s="43" t="n">
        <v>312</v>
      </c>
      <c r="E7927" s="44" t="n">
        <v>8277.796899999999</v>
      </c>
    </row>
    <row r="7928">
      <c r="A7928" s="39">
        <f>_xlfn.XLOOKUP(47323,Trip[shape_id],Trip[shape_id],"Não encontrado")</f>
        <v/>
      </c>
      <c r="B7928" s="40" t="n">
        <v>-23.553502</v>
      </c>
      <c r="C7928" s="40" t="n">
        <v>-46.568664</v>
      </c>
      <c r="D7928" s="40" t="n">
        <v>313</v>
      </c>
      <c r="E7928" s="41" t="n">
        <v>8296.2988</v>
      </c>
    </row>
    <row r="7929">
      <c r="A7929" s="42">
        <f>_xlfn.XLOOKUP(47323,Trip[shape_id],Trip[shape_id],"Não encontrado")</f>
        <v/>
      </c>
      <c r="B7929" s="43" t="n">
        <v>-23.553548</v>
      </c>
      <c r="C7929" s="43" t="n">
        <v>-46.568777</v>
      </c>
      <c r="D7929" s="43" t="n">
        <v>314</v>
      </c>
      <c r="E7929" s="44" t="n">
        <v>8308.911099999999</v>
      </c>
    </row>
    <row r="7930">
      <c r="A7930" s="39">
        <f>_xlfn.XLOOKUP(47323,Trip[shape_id],Trip[shape_id],"Não encontrado")</f>
        <v/>
      </c>
      <c r="B7930" s="40" t="n">
        <v>-23.553622</v>
      </c>
      <c r="C7930" s="40" t="n">
        <v>-46.568948</v>
      </c>
      <c r="D7930" s="40" t="n">
        <v>315</v>
      </c>
      <c r="E7930" s="41" t="n">
        <v>8328.198200000001</v>
      </c>
    </row>
    <row r="7931">
      <c r="A7931" s="42">
        <f>_xlfn.XLOOKUP(47323,Trip[shape_id],Trip[shape_id],"Não encontrado")</f>
        <v/>
      </c>
      <c r="B7931" s="43" t="n">
        <v>-23.553576</v>
      </c>
      <c r="C7931" s="43" t="n">
        <v>-46.569037</v>
      </c>
      <c r="D7931" s="43" t="n">
        <v>316</v>
      </c>
      <c r="E7931" s="44" t="n">
        <v>8338.6152</v>
      </c>
    </row>
    <row r="7932">
      <c r="A7932" s="39">
        <f>_xlfn.XLOOKUP(47323,Trip[shape_id],Trip[shape_id],"Não encontrado")</f>
        <v/>
      </c>
      <c r="B7932" s="40" t="n">
        <v>-23.553488</v>
      </c>
      <c r="C7932" s="40" t="n">
        <v>-46.569185</v>
      </c>
      <c r="D7932" s="40" t="n">
        <v>317</v>
      </c>
      <c r="E7932" s="41" t="n">
        <v>8356.5967</v>
      </c>
    </row>
    <row r="7933">
      <c r="A7933" s="42">
        <f>_xlfn.XLOOKUP(47323,Trip[shape_id],Trip[shape_id],"Não encontrado")</f>
        <v/>
      </c>
      <c r="B7933" s="43" t="n">
        <v>-23.553467</v>
      </c>
      <c r="C7933" s="43" t="n">
        <v>-46.569222</v>
      </c>
      <c r="D7933" s="43" t="n">
        <v>318</v>
      </c>
      <c r="E7933" s="44" t="n">
        <v>8361.0332</v>
      </c>
    </row>
    <row r="7934">
      <c r="A7934" s="39">
        <f>_xlfn.XLOOKUP(47323,Trip[shape_id],Trip[shape_id],"Não encontrado")</f>
        <v/>
      </c>
      <c r="B7934" s="40" t="n">
        <v>-23.553417</v>
      </c>
      <c r="C7934" s="40" t="n">
        <v>-46.569313</v>
      </c>
      <c r="D7934" s="40" t="n">
        <v>319</v>
      </c>
      <c r="E7934" s="41" t="n">
        <v>8371.848599999999</v>
      </c>
    </row>
    <row r="7935">
      <c r="A7935" s="42">
        <f>_xlfn.XLOOKUP(47323,Trip[shape_id],Trip[shape_id],"Não encontrado")</f>
        <v/>
      </c>
      <c r="B7935" s="43" t="n">
        <v>-23.55335</v>
      </c>
      <c r="C7935" s="43" t="n">
        <v>-46.569454</v>
      </c>
      <c r="D7935" s="43" t="n">
        <v>320</v>
      </c>
      <c r="E7935" s="44" t="n">
        <v>8388.044900000001</v>
      </c>
    </row>
    <row r="7936">
      <c r="A7936" s="39">
        <f>_xlfn.XLOOKUP(47323,Trip[shape_id],Trip[shape_id],"Não encontrado")</f>
        <v/>
      </c>
      <c r="B7936" s="40" t="n">
        <v>-23.553313</v>
      </c>
      <c r="C7936" s="40" t="n">
        <v>-46.569516</v>
      </c>
      <c r="D7936" s="40" t="n">
        <v>321</v>
      </c>
      <c r="E7936" s="41" t="n">
        <v>8395.5859</v>
      </c>
    </row>
    <row r="7937">
      <c r="A7937" s="42">
        <f>_xlfn.XLOOKUP(47323,Trip[shape_id],Trip[shape_id],"Não encontrado")</f>
        <v/>
      </c>
      <c r="B7937" s="43" t="n">
        <v>-23.553124</v>
      </c>
      <c r="C7937" s="43" t="n">
        <v>-46.569538</v>
      </c>
      <c r="D7937" s="43" t="n">
        <v>322</v>
      </c>
      <c r="E7937" s="44" t="n">
        <v>8416.6387</v>
      </c>
    </row>
    <row r="7938">
      <c r="A7938" s="39">
        <f>_xlfn.XLOOKUP(47323,Trip[shape_id],Trip[shape_id],"Não encontrado")</f>
        <v/>
      </c>
      <c r="B7938" s="40" t="n">
        <v>-23.553082</v>
      </c>
      <c r="C7938" s="40" t="n">
        <v>-46.56955</v>
      </c>
      <c r="D7938" s="40" t="n">
        <v>323</v>
      </c>
      <c r="E7938" s="41" t="n">
        <v>8421.450199999999</v>
      </c>
    </row>
    <row r="7939">
      <c r="A7939" s="42">
        <f>_xlfn.XLOOKUP(47323,Trip[shape_id],Trip[shape_id],"Não encontrado")</f>
        <v/>
      </c>
      <c r="B7939" s="43" t="n">
        <v>-23.553026</v>
      </c>
      <c r="C7939" s="43" t="n">
        <v>-46.569577</v>
      </c>
      <c r="D7939" s="43" t="n">
        <v>324</v>
      </c>
      <c r="E7939" s="44" t="n">
        <v>8428.237300000001</v>
      </c>
    </row>
    <row r="7940">
      <c r="A7940" s="39">
        <f>_xlfn.XLOOKUP(47323,Trip[shape_id],Trip[shape_id],"Não encontrado")</f>
        <v/>
      </c>
      <c r="B7940" s="40" t="n">
        <v>-23.552972</v>
      </c>
      <c r="C7940" s="40" t="n">
        <v>-46.569607</v>
      </c>
      <c r="D7940" s="40" t="n">
        <v>325</v>
      </c>
      <c r="E7940" s="41" t="n">
        <v>8434.956099999999</v>
      </c>
    </row>
    <row r="7941">
      <c r="A7941" s="42">
        <f>_xlfn.XLOOKUP(47323,Trip[shape_id],Trip[shape_id],"Não encontrado")</f>
        <v/>
      </c>
      <c r="B7941" s="43" t="n">
        <v>-23.552891</v>
      </c>
      <c r="C7941" s="43" t="n">
        <v>-46.56968</v>
      </c>
      <c r="D7941" s="43" t="n">
        <v>326</v>
      </c>
      <c r="E7941" s="44" t="n">
        <v>8446.6191</v>
      </c>
    </row>
    <row r="7942">
      <c r="A7942" s="39">
        <f>_xlfn.XLOOKUP(47323,Trip[shape_id],Trip[shape_id],"Não encontrado")</f>
        <v/>
      </c>
      <c r="B7942" s="40" t="n">
        <v>-23.552854</v>
      </c>
      <c r="C7942" s="40" t="n">
        <v>-46.569733</v>
      </c>
      <c r="D7942" s="40" t="n">
        <v>327</v>
      </c>
      <c r="E7942" s="41" t="n">
        <v>8453.4072</v>
      </c>
    </row>
    <row r="7943">
      <c r="A7943" s="42">
        <f>_xlfn.XLOOKUP(47323,Trip[shape_id],Trip[shape_id],"Não encontrado")</f>
        <v/>
      </c>
      <c r="B7943" s="43" t="n">
        <v>-23.552837</v>
      </c>
      <c r="C7943" s="43" t="n">
        <v>-46.569768</v>
      </c>
      <c r="D7943" s="43" t="n">
        <v>328</v>
      </c>
      <c r="E7943" s="44" t="n">
        <v>8457.4463</v>
      </c>
    </row>
    <row r="7944">
      <c r="A7944" s="39">
        <f>_xlfn.XLOOKUP(47323,Trip[shape_id],Trip[shape_id],"Não encontrado")</f>
        <v/>
      </c>
      <c r="B7944" s="40" t="n">
        <v>-23.55282</v>
      </c>
      <c r="C7944" s="40" t="n">
        <v>-46.569801</v>
      </c>
      <c r="D7944" s="40" t="n">
        <v>329</v>
      </c>
      <c r="E7944" s="41" t="n">
        <v>8461.3066</v>
      </c>
    </row>
    <row r="7945">
      <c r="A7945" s="42">
        <f>_xlfn.XLOOKUP(47323,Trip[shape_id],Trip[shape_id],"Não encontrado")</f>
        <v/>
      </c>
      <c r="B7945" s="43" t="n">
        <v>-23.552806</v>
      </c>
      <c r="C7945" s="43" t="n">
        <v>-46.569877</v>
      </c>
      <c r="D7945" s="43" t="n">
        <v>330</v>
      </c>
      <c r="E7945" s="44" t="n">
        <v>8469.2197</v>
      </c>
    </row>
    <row r="7946">
      <c r="A7946" s="39">
        <f>_xlfn.XLOOKUP(47323,Trip[shape_id],Trip[shape_id],"Não encontrado")</f>
        <v/>
      </c>
      <c r="B7946" s="40" t="n">
        <v>-23.55279</v>
      </c>
      <c r="C7946" s="40" t="n">
        <v>-46.570005</v>
      </c>
      <c r="D7946" s="40" t="n">
        <v>331</v>
      </c>
      <c r="E7946" s="41" t="n">
        <v>8482.4082</v>
      </c>
    </row>
    <row r="7947">
      <c r="A7947" s="42">
        <f>_xlfn.XLOOKUP(47323,Trip[shape_id],Trip[shape_id],"Não encontrado")</f>
        <v/>
      </c>
      <c r="B7947" s="43" t="n">
        <v>-23.552775</v>
      </c>
      <c r="C7947" s="43" t="n">
        <v>-46.570139</v>
      </c>
      <c r="D7947" s="43" t="n">
        <v>332</v>
      </c>
      <c r="E7947" s="44" t="n">
        <v>8496.190399999999</v>
      </c>
    </row>
    <row r="7948">
      <c r="A7948" s="39">
        <f>_xlfn.XLOOKUP(47323,Trip[shape_id],Trip[shape_id],"Não encontrado")</f>
        <v/>
      </c>
      <c r="B7948" s="40" t="n">
        <v>-23.552705</v>
      </c>
      <c r="C7948" s="40" t="n">
        <v>-46.570795</v>
      </c>
      <c r="D7948" s="40" t="n">
        <v>333</v>
      </c>
      <c r="E7948" s="41" t="n">
        <v>8563.6152</v>
      </c>
    </row>
    <row r="7949">
      <c r="A7949" s="42">
        <f>_xlfn.XLOOKUP(47323,Trip[shape_id],Trip[shape_id],"Não encontrado")</f>
        <v/>
      </c>
      <c r="B7949" s="43" t="n">
        <v>-23.552679</v>
      </c>
      <c r="C7949" s="43" t="n">
        <v>-46.570908</v>
      </c>
      <c r="D7949" s="43" t="n">
        <v>334</v>
      </c>
      <c r="E7949" s="44" t="n">
        <v>8575.506799999999</v>
      </c>
    </row>
    <row r="7950">
      <c r="A7950" s="39">
        <f>_xlfn.XLOOKUP(47323,Trip[shape_id],Trip[shape_id],"Não encontrado")</f>
        <v/>
      </c>
      <c r="B7950" s="40" t="n">
        <v>-23.552639</v>
      </c>
      <c r="C7950" s="40" t="n">
        <v>-46.57099</v>
      </c>
      <c r="D7950" s="40" t="n">
        <v>335</v>
      </c>
      <c r="E7950" s="41" t="n">
        <v>8584.978499999999</v>
      </c>
    </row>
    <row r="7951">
      <c r="A7951" s="42">
        <f>_xlfn.XLOOKUP(47323,Trip[shape_id],Trip[shape_id],"Não encontrado")</f>
        <v/>
      </c>
      <c r="B7951" s="43" t="n">
        <v>-23.552589</v>
      </c>
      <c r="C7951" s="43" t="n">
        <v>-46.571051</v>
      </c>
      <c r="D7951" s="43" t="n">
        <v>336</v>
      </c>
      <c r="E7951" s="44" t="n">
        <v>8593.3125</v>
      </c>
    </row>
    <row r="7952">
      <c r="A7952" s="39">
        <f>_xlfn.XLOOKUP(47323,Trip[shape_id],Trip[shape_id],"Não encontrado")</f>
        <v/>
      </c>
      <c r="B7952" s="40" t="n">
        <v>-23.552533</v>
      </c>
      <c r="C7952" s="40" t="n">
        <v>-46.571088</v>
      </c>
      <c r="D7952" s="40" t="n">
        <v>337</v>
      </c>
      <c r="E7952" s="41" t="n">
        <v>8600.574199999999</v>
      </c>
    </row>
    <row r="7953">
      <c r="A7953" s="42">
        <f>_xlfn.XLOOKUP(47323,Trip[shape_id],Trip[shape_id],"Não encontrado")</f>
        <v/>
      </c>
      <c r="B7953" s="43" t="n">
        <v>-23.552402</v>
      </c>
      <c r="C7953" s="43" t="n">
        <v>-46.571151</v>
      </c>
      <c r="D7953" s="43" t="n">
        <v>338</v>
      </c>
      <c r="E7953" s="44" t="n">
        <v>8616.444299999999</v>
      </c>
    </row>
    <row r="7954">
      <c r="A7954" s="39">
        <f>_xlfn.XLOOKUP(47323,Trip[shape_id],Trip[shape_id],"Não encontrado")</f>
        <v/>
      </c>
      <c r="B7954" s="40" t="n">
        <v>-23.552232</v>
      </c>
      <c r="C7954" s="40" t="n">
        <v>-46.571208</v>
      </c>
      <c r="D7954" s="40" t="n">
        <v>339</v>
      </c>
      <c r="E7954" s="41" t="n">
        <v>8636.151400000001</v>
      </c>
    </row>
    <row r="7955">
      <c r="A7955" s="42">
        <f>_xlfn.XLOOKUP(47323,Trip[shape_id],Trip[shape_id],"Não encontrado")</f>
        <v/>
      </c>
      <c r="B7955" s="43" t="n">
        <v>-23.552176</v>
      </c>
      <c r="C7955" s="43" t="n">
        <v>-46.571221</v>
      </c>
      <c r="D7955" s="43" t="n">
        <v>340</v>
      </c>
      <c r="E7955" s="44" t="n">
        <v>8642.4941</v>
      </c>
    </row>
    <row r="7956">
      <c r="A7956" s="39">
        <f>_xlfn.XLOOKUP(47323,Trip[shape_id],Trip[shape_id],"Não encontrado")</f>
        <v/>
      </c>
      <c r="B7956" s="40" t="n">
        <v>-23.551982</v>
      </c>
      <c r="C7956" s="40" t="n">
        <v>-46.571261</v>
      </c>
      <c r="D7956" s="40" t="n">
        <v>341</v>
      </c>
      <c r="E7956" s="41" t="n">
        <v>8664.364299999999</v>
      </c>
    </row>
    <row r="7957">
      <c r="A7957" s="42">
        <f>_xlfn.XLOOKUP(47323,Trip[shape_id],Trip[shape_id],"Não encontrado")</f>
        <v/>
      </c>
      <c r="B7957" s="43" t="n">
        <v>-23.551702</v>
      </c>
      <c r="C7957" s="43" t="n">
        <v>-46.571318</v>
      </c>
      <c r="D7957" s="43" t="n">
        <v>342</v>
      </c>
      <c r="E7957" s="44" t="n">
        <v>8695.915999999999</v>
      </c>
    </row>
    <row r="7958">
      <c r="A7958" s="39">
        <f>_xlfn.XLOOKUP(47323,Trip[shape_id],Trip[shape_id],"Não encontrado")</f>
        <v/>
      </c>
      <c r="B7958" s="40" t="n">
        <v>-23.551295</v>
      </c>
      <c r="C7958" s="40" t="n">
        <v>-46.571404</v>
      </c>
      <c r="D7958" s="40" t="n">
        <v>343</v>
      </c>
      <c r="E7958" s="41" t="n">
        <v>8741.838900000001</v>
      </c>
    </row>
    <row r="7959">
      <c r="A7959" s="42">
        <f>_xlfn.XLOOKUP(47323,Trip[shape_id],Trip[shape_id],"Não encontrado")</f>
        <v/>
      </c>
      <c r="B7959" s="43" t="n">
        <v>-23.55107</v>
      </c>
      <c r="C7959" s="43" t="n">
        <v>-46.571448</v>
      </c>
      <c r="D7959" s="43" t="n">
        <v>344</v>
      </c>
      <c r="E7959" s="44" t="n">
        <v>8767.1602</v>
      </c>
    </row>
    <row r="7960">
      <c r="A7960" s="39">
        <f>_xlfn.XLOOKUP(47323,Trip[shape_id],Trip[shape_id],"Não encontrado")</f>
        <v/>
      </c>
      <c r="B7960" s="40" t="n">
        <v>-23.549926</v>
      </c>
      <c r="C7960" s="40" t="n">
        <v>-46.571693</v>
      </c>
      <c r="D7960" s="40" t="n">
        <v>345</v>
      </c>
      <c r="E7960" s="41" t="n">
        <v>8896.305700000001</v>
      </c>
    </row>
    <row r="7961">
      <c r="A7961" s="42">
        <f>_xlfn.XLOOKUP(47323,Trip[shape_id],Trip[shape_id],"Não encontrado")</f>
        <v/>
      </c>
      <c r="B7961" s="43" t="n">
        <v>-23.548889</v>
      </c>
      <c r="C7961" s="43" t="n">
        <v>-46.571899</v>
      </c>
      <c r="D7961" s="43" t="n">
        <v>346</v>
      </c>
      <c r="E7961" s="44" t="n">
        <v>9013.065399999999</v>
      </c>
    </row>
    <row r="7962">
      <c r="A7962" s="39">
        <f>_xlfn.XLOOKUP(47323,Trip[shape_id],Trip[shape_id],"Não encontrado")</f>
        <v/>
      </c>
      <c r="B7962" s="40" t="n">
        <v>-23.54786</v>
      </c>
      <c r="C7962" s="40" t="n">
        <v>-46.572109</v>
      </c>
      <c r="D7962" s="40" t="n">
        <v>347</v>
      </c>
      <c r="E7962" s="41" t="n">
        <v>9129.0283</v>
      </c>
    </row>
    <row r="7963">
      <c r="A7963" s="42">
        <f>_xlfn.XLOOKUP(47323,Trip[shape_id],Trip[shape_id],"Não encontrado")</f>
        <v/>
      </c>
      <c r="B7963" s="43" t="n">
        <v>-23.547369</v>
      </c>
      <c r="C7963" s="43" t="n">
        <v>-46.572201</v>
      </c>
      <c r="D7963" s="43" t="n">
        <v>348</v>
      </c>
      <c r="E7963" s="44" t="n">
        <v>9184.2129</v>
      </c>
    </row>
    <row r="7964">
      <c r="A7964" s="39">
        <f>_xlfn.XLOOKUP(47323,Trip[shape_id],Trip[shape_id],"Não encontrado")</f>
        <v/>
      </c>
      <c r="B7964" s="40" t="n">
        <v>-23.546827</v>
      </c>
      <c r="C7964" s="40" t="n">
        <v>-46.572312</v>
      </c>
      <c r="D7964" s="40" t="n">
        <v>349</v>
      </c>
      <c r="E7964" s="41" t="n">
        <v>9245.300800000001</v>
      </c>
    </row>
    <row r="7965">
      <c r="A7965" s="42">
        <f>_xlfn.XLOOKUP(47323,Trip[shape_id],Trip[shape_id],"Não encontrado")</f>
        <v/>
      </c>
      <c r="B7965" s="43" t="n">
        <v>-23.545796</v>
      </c>
      <c r="C7965" s="43" t="n">
        <v>-46.572524</v>
      </c>
      <c r="D7965" s="43" t="n">
        <v>350</v>
      </c>
      <c r="E7965" s="44" t="n">
        <v>9361.5195</v>
      </c>
    </row>
    <row r="7966">
      <c r="A7966" s="39">
        <f>_xlfn.XLOOKUP(47323,Trip[shape_id],Trip[shape_id],"Não encontrado")</f>
        <v/>
      </c>
      <c r="B7966" s="40" t="n">
        <v>-23.544915</v>
      </c>
      <c r="C7966" s="40" t="n">
        <v>-46.572707</v>
      </c>
      <c r="D7966" s="40" t="n">
        <v>351</v>
      </c>
      <c r="E7966" s="41" t="n">
        <v>9460.8652</v>
      </c>
    </row>
    <row r="7967">
      <c r="A7967" s="42">
        <f>_xlfn.XLOOKUP(47323,Trip[shape_id],Trip[shape_id],"Não encontrado")</f>
        <v/>
      </c>
      <c r="B7967" s="43" t="n">
        <v>-23.544948</v>
      </c>
      <c r="C7967" s="43" t="n">
        <v>-46.572875</v>
      </c>
      <c r="D7967" s="43" t="n">
        <v>352</v>
      </c>
      <c r="E7967" s="44" t="n">
        <v>9478.4043</v>
      </c>
    </row>
    <row r="7968">
      <c r="A7968" s="39">
        <f>_xlfn.XLOOKUP(47323,Trip[shape_id],Trip[shape_id],"Não encontrado")</f>
        <v/>
      </c>
      <c r="B7968" s="40" t="n">
        <v>-23.54505</v>
      </c>
      <c r="C7968" s="40" t="n">
        <v>-46.573422</v>
      </c>
      <c r="D7968" s="40" t="n">
        <v>353</v>
      </c>
      <c r="E7968" s="41" t="n">
        <v>9535.387699999999</v>
      </c>
    </row>
    <row r="7969">
      <c r="A7969" s="42">
        <f>_xlfn.XLOOKUP(47323,Trip[shape_id],Trip[shape_id],"Não encontrado")</f>
        <v/>
      </c>
      <c r="B7969" s="43" t="n">
        <v>-23.545134</v>
      </c>
      <c r="C7969" s="43" t="n">
        <v>-46.573853</v>
      </c>
      <c r="D7969" s="43" t="n">
        <v>354</v>
      </c>
      <c r="E7969" s="44" t="n">
        <v>9580.368200000001</v>
      </c>
    </row>
    <row r="7970">
      <c r="A7970" s="39">
        <f>_xlfn.XLOOKUP(47323,Trip[shape_id],Trip[shape_id],"Não encontrado")</f>
        <v/>
      </c>
      <c r="B7970" s="40" t="n">
        <v>-23.545168</v>
      </c>
      <c r="C7970" s="40" t="n">
        <v>-46.574035</v>
      </c>
      <c r="D7970" s="40" t="n">
        <v>355</v>
      </c>
      <c r="E7970" s="41" t="n">
        <v>9599.329100000001</v>
      </c>
    </row>
    <row r="7971">
      <c r="A7971" s="42">
        <f>_xlfn.XLOOKUP(47323,Trip[shape_id],Trip[shape_id],"Não encontrado")</f>
        <v/>
      </c>
      <c r="B7971" s="43" t="n">
        <v>-23.545178</v>
      </c>
      <c r="C7971" s="43" t="n">
        <v>-46.574072</v>
      </c>
      <c r="D7971" s="43" t="n">
        <v>356</v>
      </c>
      <c r="E7971" s="44" t="n">
        <v>9603.265600000001</v>
      </c>
    </row>
    <row r="7972">
      <c r="A7972" s="39">
        <f>_xlfn.XLOOKUP(47323,Trip[shape_id],Trip[shape_id],"Não encontrado")</f>
        <v/>
      </c>
      <c r="B7972" s="40" t="n">
        <v>-23.545183</v>
      </c>
      <c r="C7972" s="40" t="n">
        <v>-46.574112</v>
      </c>
      <c r="D7972" s="40" t="n">
        <v>357</v>
      </c>
      <c r="E7972" s="41" t="n">
        <v>9607.386699999999</v>
      </c>
    </row>
    <row r="7973">
      <c r="A7973" s="42">
        <f>_xlfn.XLOOKUP(47323,Trip[shape_id],Trip[shape_id],"Não encontrado")</f>
        <v/>
      </c>
      <c r="B7973" s="43" t="n">
        <v>-23.545237</v>
      </c>
      <c r="C7973" s="43" t="n">
        <v>-46.574395</v>
      </c>
      <c r="D7973" s="43" t="n">
        <v>358</v>
      </c>
      <c r="E7973" s="44" t="n">
        <v>9636.895500000001</v>
      </c>
    </row>
    <row r="7974">
      <c r="A7974" s="39">
        <f>_xlfn.XLOOKUP(47323,Trip[shape_id],Trip[shape_id],"Não encontrado")</f>
        <v/>
      </c>
      <c r="B7974" s="40" t="n">
        <v>-23.545355</v>
      </c>
      <c r="C7974" s="40" t="n">
        <v>-46.575025</v>
      </c>
      <c r="D7974" s="40" t="n">
        <v>359</v>
      </c>
      <c r="E7974" s="41" t="n">
        <v>9702.536099999999</v>
      </c>
    </row>
    <row r="7975">
      <c r="A7975" s="42">
        <f>_xlfn.XLOOKUP(47323,Trip[shape_id],Trip[shape_id],"Não encontrado")</f>
        <v/>
      </c>
      <c r="B7975" s="43" t="n">
        <v>-23.545375</v>
      </c>
      <c r="C7975" s="43" t="n">
        <v>-46.575124</v>
      </c>
      <c r="D7975" s="43" t="n">
        <v>360</v>
      </c>
      <c r="E7975" s="44" t="n">
        <v>9712.8848</v>
      </c>
    </row>
    <row r="7976">
      <c r="A7976" s="39">
        <f>_xlfn.XLOOKUP(47323,Trip[shape_id],Trip[shape_id],"Não encontrado")</f>
        <v/>
      </c>
      <c r="B7976" s="40" t="n">
        <v>-23.54539</v>
      </c>
      <c r="C7976" s="40" t="n">
        <v>-46.575198</v>
      </c>
      <c r="D7976" s="40" t="n">
        <v>361</v>
      </c>
      <c r="E7976" s="41" t="n">
        <v>9720.6211</v>
      </c>
    </row>
    <row r="7977">
      <c r="A7977" s="42">
        <f>_xlfn.XLOOKUP(47323,Trip[shape_id],Trip[shape_id],"Não encontrado")</f>
        <v/>
      </c>
      <c r="B7977" s="43" t="n">
        <v>-23.545384</v>
      </c>
      <c r="C7977" s="43" t="n">
        <v>-46.575288</v>
      </c>
      <c r="D7977" s="43" t="n">
        <v>362</v>
      </c>
      <c r="E7977" s="44" t="n">
        <v>9729.834999999999</v>
      </c>
    </row>
    <row r="7978">
      <c r="A7978" s="39">
        <f>_xlfn.XLOOKUP(47323,Trip[shape_id],Trip[shape_id],"Não encontrado")</f>
        <v/>
      </c>
      <c r="B7978" s="40" t="n">
        <v>-23.545353</v>
      </c>
      <c r="C7978" s="40" t="n">
        <v>-46.575383</v>
      </c>
      <c r="D7978" s="40" t="n">
        <v>363</v>
      </c>
      <c r="E7978" s="41" t="n">
        <v>9740.124</v>
      </c>
    </row>
    <row r="7979">
      <c r="A7979" s="42">
        <f>_xlfn.XLOOKUP(47323,Trip[shape_id],Trip[shape_id],"Não encontrado")</f>
        <v/>
      </c>
      <c r="B7979" s="43" t="n">
        <v>-23.545347</v>
      </c>
      <c r="C7979" s="43" t="n">
        <v>-46.575398</v>
      </c>
      <c r="D7979" s="43" t="n">
        <v>364</v>
      </c>
      <c r="E7979" s="44" t="n">
        <v>9741.790999999999</v>
      </c>
    </row>
    <row r="7980">
      <c r="A7980" s="39">
        <f>_xlfn.XLOOKUP(47323,Trip[shape_id],Trip[shape_id],"Não encontrado")</f>
        <v/>
      </c>
      <c r="B7980" s="40" t="n">
        <v>-23.545227</v>
      </c>
      <c r="C7980" s="40" t="n">
        <v>-46.57558</v>
      </c>
      <c r="D7980" s="40" t="n">
        <v>365</v>
      </c>
      <c r="E7980" s="41" t="n">
        <v>9764.637699999999</v>
      </c>
    </row>
    <row r="7981">
      <c r="A7981" s="42">
        <f>_xlfn.XLOOKUP(47323,Trip[shape_id],Trip[shape_id],"Não encontrado")</f>
        <v/>
      </c>
      <c r="B7981" s="43" t="n">
        <v>-23.54519</v>
      </c>
      <c r="C7981" s="43" t="n">
        <v>-46.575639</v>
      </c>
      <c r="D7981" s="43" t="n">
        <v>366</v>
      </c>
      <c r="E7981" s="44" t="n">
        <v>9771.9238</v>
      </c>
    </row>
    <row r="7982">
      <c r="A7982" s="39">
        <f>_xlfn.XLOOKUP(47323,Trip[shape_id],Trip[shape_id],"Não encontrado")</f>
        <v/>
      </c>
      <c r="B7982" s="40" t="n">
        <v>-23.544686</v>
      </c>
      <c r="C7982" s="40" t="n">
        <v>-46.576471</v>
      </c>
      <c r="D7982" s="40" t="n">
        <v>367</v>
      </c>
      <c r="E7982" s="41" t="n">
        <v>9873.573200000001</v>
      </c>
    </row>
    <row r="7983">
      <c r="A7983" s="42">
        <f>_xlfn.XLOOKUP(47323,Trip[shape_id],Trip[shape_id],"Não encontrado")</f>
        <v/>
      </c>
      <c r="B7983" s="43" t="n">
        <v>-23.544018</v>
      </c>
      <c r="C7983" s="43" t="n">
        <v>-46.576641</v>
      </c>
      <c r="D7983" s="43" t="n">
        <v>368</v>
      </c>
      <c r="E7983" s="44" t="n">
        <v>9949.5645</v>
      </c>
    </row>
    <row r="7984">
      <c r="A7984" s="39">
        <f>_xlfn.XLOOKUP(47323,Trip[shape_id],Trip[shape_id],"Não encontrado")</f>
        <v/>
      </c>
      <c r="B7984" s="40" t="n">
        <v>-23.54301</v>
      </c>
      <c r="C7984" s="40" t="n">
        <v>-46.576888</v>
      </c>
      <c r="D7984" s="40" t="n">
        <v>369</v>
      </c>
      <c r="E7984" s="41" t="n">
        <v>10064.016</v>
      </c>
    </row>
    <row r="7985">
      <c r="A7985" s="42">
        <f>_xlfn.XLOOKUP(47323,Trip[shape_id],Trip[shape_id],"Não encontrado")</f>
        <v/>
      </c>
      <c r="B7985" s="43" t="n">
        <v>-23.54252</v>
      </c>
      <c r="C7985" s="43" t="n">
        <v>-46.577004</v>
      </c>
      <c r="D7985" s="43" t="n">
        <v>370</v>
      </c>
      <c r="E7985" s="44" t="n">
        <v>10119.562</v>
      </c>
    </row>
    <row r="7986">
      <c r="A7986" s="39">
        <f>_xlfn.XLOOKUP(47323,Trip[shape_id],Trip[shape_id],"Não encontrado")</f>
        <v/>
      </c>
      <c r="B7986" s="40" t="n">
        <v>-23.542287</v>
      </c>
      <c r="C7986" s="40" t="n">
        <v>-46.57706</v>
      </c>
      <c r="D7986" s="40" t="n">
        <v>371</v>
      </c>
      <c r="E7986" s="41" t="n">
        <v>10145.993</v>
      </c>
    </row>
    <row r="7987">
      <c r="A7987" s="42">
        <f>_xlfn.XLOOKUP(47323,Trip[shape_id],Trip[shape_id],"Não encontrado")</f>
        <v/>
      </c>
      <c r="B7987" s="43" t="n">
        <v>-23.542237</v>
      </c>
      <c r="C7987" s="43" t="n">
        <v>-46.577092</v>
      </c>
      <c r="D7987" s="43" t="n">
        <v>372</v>
      </c>
      <c r="E7987" s="44" t="n">
        <v>10152.423</v>
      </c>
    </row>
    <row r="7988">
      <c r="A7988" s="39">
        <f>_xlfn.XLOOKUP(47323,Trip[shape_id],Trip[shape_id],"Não encontrado")</f>
        <v/>
      </c>
      <c r="B7988" s="40" t="n">
        <v>-23.542224</v>
      </c>
      <c r="C7988" s="40" t="n">
        <v>-46.577119</v>
      </c>
      <c r="D7988" s="40" t="n">
        <v>373</v>
      </c>
      <c r="E7988" s="41" t="n">
        <v>10155.533</v>
      </c>
    </row>
    <row r="7989">
      <c r="A7989" s="42">
        <f>_xlfn.XLOOKUP(47323,Trip[shape_id],Trip[shape_id],"Não encontrado")</f>
        <v/>
      </c>
      <c r="B7989" s="43" t="n">
        <v>-23.542214</v>
      </c>
      <c r="C7989" s="43" t="n">
        <v>-46.577152</v>
      </c>
      <c r="D7989" s="43" t="n">
        <v>374</v>
      </c>
      <c r="E7989" s="44" t="n">
        <v>10159.081</v>
      </c>
    </row>
    <row r="7990">
      <c r="A7990" s="39">
        <f>_xlfn.XLOOKUP(47323,Trip[shape_id],Trip[shape_id],"Não encontrado")</f>
        <v/>
      </c>
      <c r="B7990" s="40" t="n">
        <v>-23.542403</v>
      </c>
      <c r="C7990" s="40" t="n">
        <v>-46.577988</v>
      </c>
      <c r="D7990" s="40" t="n">
        <v>375</v>
      </c>
      <c r="E7990" s="41" t="n">
        <v>10246.973</v>
      </c>
    </row>
    <row r="7991">
      <c r="A7991" s="42">
        <f>_xlfn.XLOOKUP(47323,Trip[shape_id],Trip[shape_id],"Não encontrado")</f>
        <v/>
      </c>
      <c r="B7991" s="43" t="n">
        <v>-23.542355</v>
      </c>
      <c r="C7991" s="43" t="n">
        <v>-46.578038</v>
      </c>
      <c r="D7991" s="43" t="n">
        <v>376</v>
      </c>
      <c r="E7991" s="44" t="n">
        <v>10260.65</v>
      </c>
    </row>
    <row r="7992">
      <c r="A7992" s="39">
        <f>_xlfn.XLOOKUP(47323,Trip[shape_id],Trip[shape_id],"Não encontrado")</f>
        <v/>
      </c>
      <c r="B7992" s="40" t="n">
        <v>-23.542317</v>
      </c>
      <c r="C7992" s="40" t="n">
        <v>-46.578084</v>
      </c>
      <c r="D7992" s="40" t="n">
        <v>377</v>
      </c>
      <c r="E7992" s="41" t="n">
        <v>10285.763</v>
      </c>
    </row>
    <row r="7993">
      <c r="A7993" s="42">
        <f>_xlfn.XLOOKUP(47323,Trip[shape_id],Trip[shape_id],"Não encontrado")</f>
        <v/>
      </c>
      <c r="B7993" s="43" t="n">
        <v>-23.542096</v>
      </c>
      <c r="C7993" s="43" t="n">
        <v>-46.578139</v>
      </c>
      <c r="D7993" s="43" t="n">
        <v>378</v>
      </c>
      <c r="E7993" s="44" t="n">
        <v>10343.885</v>
      </c>
    </row>
    <row r="7994">
      <c r="A7994" s="39">
        <f>_xlfn.XLOOKUP(47323,Trip[shape_id],Trip[shape_id],"Não encontrado")</f>
        <v/>
      </c>
      <c r="B7994" s="40" t="n">
        <v>-23.541583</v>
      </c>
      <c r="C7994" s="40" t="n">
        <v>-46.578259</v>
      </c>
      <c r="D7994" s="40" t="n">
        <v>379</v>
      </c>
      <c r="E7994" s="41" t="n">
        <v>10343.885</v>
      </c>
    </row>
    <row r="7995">
      <c r="A7995" s="42">
        <f>_xlfn.XLOOKUP(47323,Trip[shape_id],Trip[shape_id],"Não encontrado")</f>
        <v/>
      </c>
      <c r="B7995" s="43" t="n">
        <v>-23.541508</v>
      </c>
      <c r="C7995" s="43" t="n">
        <v>-46.578298</v>
      </c>
      <c r="D7995" s="43" t="n">
        <v>380</v>
      </c>
      <c r="E7995" s="44" t="n">
        <v>10353.097</v>
      </c>
    </row>
    <row r="7996">
      <c r="A7996" s="39">
        <f>_xlfn.XLOOKUP(47323,Trip[shape_id],Trip[shape_id],"Não encontrado")</f>
        <v/>
      </c>
      <c r="B7996" s="40" t="n">
        <v>-23.541461</v>
      </c>
      <c r="C7996" s="40" t="n">
        <v>-46.578066</v>
      </c>
      <c r="D7996" s="40" t="n">
        <v>381</v>
      </c>
      <c r="E7996" s="41" t="n">
        <v>10432.017</v>
      </c>
    </row>
    <row r="7997">
      <c r="A7997" s="42">
        <f>_xlfn.XLOOKUP(47323,Trip[shape_id],Trip[shape_id],"Não encontrado")</f>
        <v/>
      </c>
      <c r="B7997" s="43" t="n">
        <v>-23.541273</v>
      </c>
      <c r="C7997" s="43" t="n">
        <v>-46.577571</v>
      </c>
      <c r="D7997" s="43" t="n">
        <v>382</v>
      </c>
      <c r="E7997" s="44" t="n">
        <v>10465.141</v>
      </c>
    </row>
    <row r="7998">
      <c r="A7998" s="39">
        <f>_xlfn.XLOOKUP(47323,Trip[shape_id],Trip[shape_id],"Não encontrado")</f>
        <v/>
      </c>
      <c r="B7998" s="40" t="n">
        <v>-23.541157</v>
      </c>
      <c r="C7998" s="40" t="n">
        <v>-46.577272</v>
      </c>
      <c r="D7998" s="40" t="n">
        <v>383</v>
      </c>
      <c r="E7998" s="41" t="n">
        <v>10465.141</v>
      </c>
    </row>
    <row r="7999">
      <c r="A7999" s="42">
        <f>_xlfn.XLOOKUP(47323,Trip[shape_id],Trip[shape_id],"Não encontrado")</f>
        <v/>
      </c>
      <c r="B7999" s="43" t="n">
        <v>-23.541105</v>
      </c>
      <c r="C7999" s="43" t="n">
        <v>-46.577142</v>
      </c>
      <c r="D7999" s="43" t="n">
        <v>384</v>
      </c>
      <c r="E7999" s="44" t="n">
        <v>10490.782</v>
      </c>
    </row>
    <row r="8000">
      <c r="A8000" s="39">
        <f>_xlfn.XLOOKUP(47323,Trip[shape_id],Trip[shape_id],"Não encontrado")</f>
        <v/>
      </c>
      <c r="B8000" s="40" t="n">
        <v>-23.54108</v>
      </c>
      <c r="C8000" s="40" t="n">
        <v>-46.577036</v>
      </c>
      <c r="D8000" s="40" t="n">
        <v>385</v>
      </c>
      <c r="E8000" s="41" t="n">
        <v>10490.782</v>
      </c>
    </row>
    <row r="8001">
      <c r="A8001" s="42">
        <f>_xlfn.XLOOKUP(47323,Trip[shape_id],Trip[shape_id],"Não encontrado")</f>
        <v/>
      </c>
      <c r="B8001" s="43" t="n">
        <v>-23.54105</v>
      </c>
      <c r="C8001" s="43" t="n">
        <v>-46.576894</v>
      </c>
      <c r="D8001" s="43" t="n">
        <v>386</v>
      </c>
      <c r="E8001" s="44" t="n">
        <v>10505.657</v>
      </c>
    </row>
    <row r="8002">
      <c r="A8002" s="39">
        <f>_xlfn.XLOOKUP(47323,Trip[shape_id],Trip[shape_id],"Não encontrado")</f>
        <v/>
      </c>
      <c r="B8002" s="40" t="n">
        <v>-23.541028</v>
      </c>
      <c r="C8002" s="40" t="n">
        <v>-46.57678</v>
      </c>
      <c r="D8002" s="40" t="n">
        <v>387</v>
      </c>
      <c r="E8002" s="41" t="n">
        <v>10517.55</v>
      </c>
    </row>
    <row r="8003">
      <c r="A8003" s="42">
        <f>_xlfn.XLOOKUP(47323,Trip[shape_id],Trip[shape_id],"Não encontrado")</f>
        <v/>
      </c>
      <c r="B8003" s="43" t="n">
        <v>-23.541013</v>
      </c>
      <c r="C8003" s="43" t="n">
        <v>-46.576704</v>
      </c>
      <c r="D8003" s="43" t="n">
        <v>388</v>
      </c>
      <c r="E8003" s="44" t="n">
        <v>10525.485</v>
      </c>
    </row>
    <row r="8004">
      <c r="A8004" s="39">
        <f>_xlfn.XLOOKUP(47323,Trip[shape_id],Trip[shape_id],"Não encontrado")</f>
        <v/>
      </c>
      <c r="B8004" s="40" t="n">
        <v>-23.540987</v>
      </c>
      <c r="C8004" s="40" t="n">
        <v>-46.576582</v>
      </c>
      <c r="D8004" s="40" t="n">
        <v>389</v>
      </c>
      <c r="E8004" s="41" t="n">
        <v>10538.271</v>
      </c>
    </row>
    <row r="8005">
      <c r="A8005" s="42">
        <f>_xlfn.XLOOKUP(47323,Trip[shape_id],Trip[shape_id],"Não encontrado")</f>
        <v/>
      </c>
      <c r="B8005" s="43" t="n">
        <v>-23.540974</v>
      </c>
      <c r="C8005" s="43" t="n">
        <v>-46.576517</v>
      </c>
      <c r="D8005" s="43" t="n">
        <v>390</v>
      </c>
      <c r="E8005" s="44" t="n">
        <v>10545.063</v>
      </c>
    </row>
    <row r="8006">
      <c r="A8006" s="39">
        <f>_xlfn.XLOOKUP(47323,Trip[shape_id],Trip[shape_id],"Não encontrado")</f>
        <v/>
      </c>
      <c r="B8006" s="40" t="n">
        <v>-23.540951</v>
      </c>
      <c r="C8006" s="40" t="n">
        <v>-46.576406</v>
      </c>
      <c r="D8006" s="40" t="n">
        <v>391</v>
      </c>
      <c r="E8006" s="41" t="n">
        <v>10556.681</v>
      </c>
    </row>
    <row r="8007">
      <c r="A8007" s="42">
        <f>_xlfn.XLOOKUP(53119,Trip[shape_id],Trip[shape_id],"Não encontrado")</f>
        <v/>
      </c>
      <c r="B8007" s="43" t="n">
        <v>-23.54094</v>
      </c>
      <c r="C8007" s="43" t="n">
        <v>-46.576349</v>
      </c>
      <c r="D8007" s="43" t="n">
        <v>1</v>
      </c>
      <c r="E8007" s="44" t="n">
        <v>9.9503307</v>
      </c>
    </row>
    <row r="8008">
      <c r="A8008" s="39">
        <f>_xlfn.XLOOKUP(53119,Trip[shape_id],Trip[shape_id],"Não encontrado")</f>
        <v/>
      </c>
      <c r="B8008" s="40" t="n">
        <v>-23.54092</v>
      </c>
      <c r="C8008" s="40" t="n">
        <v>-46.576254</v>
      </c>
      <c r="D8008" s="40" t="n">
        <v>2</v>
      </c>
      <c r="E8008" s="41" t="n">
        <v>9.9503307</v>
      </c>
    </row>
    <row r="8009">
      <c r="A8009" s="42">
        <f>_xlfn.XLOOKUP(53119,Trip[shape_id],Trip[shape_id],"Não encontrado")</f>
        <v/>
      </c>
      <c r="B8009" s="43" t="n">
        <v>-23.5409</v>
      </c>
      <c r="C8009" s="43" t="n">
        <v>-46.57616</v>
      </c>
      <c r="D8009" s="43" t="n">
        <v>3</v>
      </c>
      <c r="E8009" s="44" t="n">
        <v>19.801216</v>
      </c>
    </row>
    <row r="8010">
      <c r="A8010" s="39">
        <f>_xlfn.XLOOKUP(53119,Trip[shape_id],Trip[shape_id],"Não encontrado")</f>
        <v/>
      </c>
      <c r="B8010" s="40" t="n">
        <v>-23.540876</v>
      </c>
      <c r="C8010" s="40" t="n">
        <v>-46.576038</v>
      </c>
      <c r="D8010" s="40" t="n">
        <v>4</v>
      </c>
      <c r="E8010" s="41" t="n">
        <v>32.538773</v>
      </c>
    </row>
    <row r="8011">
      <c r="A8011" s="42">
        <f>_xlfn.XLOOKUP(53119,Trip[shape_id],Trip[shape_id],"Não encontrado")</f>
        <v/>
      </c>
      <c r="B8011" s="43" t="n">
        <v>-23.540855</v>
      </c>
      <c r="C8011" s="43" t="n">
        <v>-46.575941</v>
      </c>
      <c r="D8011" s="43" t="n">
        <v>5</v>
      </c>
      <c r="E8011" s="44" t="n">
        <v>42.712494</v>
      </c>
    </row>
    <row r="8012">
      <c r="A8012" s="39">
        <f>_xlfn.XLOOKUP(53119,Trip[shape_id],Trip[shape_id],"Não encontrado")</f>
        <v/>
      </c>
      <c r="B8012" s="40" t="n">
        <v>-23.540827</v>
      </c>
      <c r="C8012" s="40" t="n">
        <v>-46.575811</v>
      </c>
      <c r="D8012" s="40" t="n">
        <v>6</v>
      </c>
      <c r="E8012" s="41" t="n">
        <v>56.344254</v>
      </c>
    </row>
    <row r="8013">
      <c r="A8013" s="42">
        <f>_xlfn.XLOOKUP(53119,Trip[shape_id],Trip[shape_id],"Não encontrado")</f>
        <v/>
      </c>
      <c r="B8013" s="43" t="n">
        <v>-23.540807</v>
      </c>
      <c r="C8013" s="43" t="n">
        <v>-46.575694</v>
      </c>
      <c r="D8013" s="43" t="n">
        <v>7</v>
      </c>
      <c r="E8013" s="44" t="n">
        <v>68.49432400000001</v>
      </c>
    </row>
    <row r="8014">
      <c r="A8014" s="39">
        <f>_xlfn.XLOOKUP(53119,Trip[shape_id],Trip[shape_id],"Não encontrado")</f>
        <v/>
      </c>
      <c r="B8014" s="40" t="n">
        <v>-23.540799</v>
      </c>
      <c r="C8014" s="40" t="n">
        <v>-46.575646</v>
      </c>
      <c r="D8014" s="40" t="n">
        <v>8</v>
      </c>
      <c r="E8014" s="41" t="n">
        <v>77.110435</v>
      </c>
    </row>
    <row r="8015">
      <c r="A8015" s="42">
        <f>_xlfn.XLOOKUP(53119,Trip[shape_id],Trip[shape_id],"Não encontrado")</f>
        <v/>
      </c>
      <c r="B8015" s="43" t="n">
        <v>-23.540793</v>
      </c>
      <c r="C8015" s="43" t="n">
        <v>-46.575611</v>
      </c>
      <c r="D8015" s="43" t="n">
        <v>9</v>
      </c>
      <c r="E8015" s="44" t="n">
        <v>81.41145299999999</v>
      </c>
    </row>
    <row r="8016">
      <c r="A8016" s="39">
        <f>_xlfn.XLOOKUP(53119,Trip[shape_id],Trip[shape_id],"Não encontrado")</f>
        <v/>
      </c>
      <c r="B8016" s="40" t="n">
        <v>-23.54079</v>
      </c>
      <c r="C8016" s="40" t="n">
        <v>-46.575569</v>
      </c>
      <c r="D8016" s="40" t="n">
        <v>10</v>
      </c>
      <c r="E8016" s="41" t="n">
        <v>85.089935</v>
      </c>
    </row>
    <row r="8017">
      <c r="A8017" s="42">
        <f>_xlfn.XLOOKUP(53119,Trip[shape_id],Trip[shape_id],"Não encontrado")</f>
        <v/>
      </c>
      <c r="B8017" s="43" t="n">
        <v>-23.540791</v>
      </c>
      <c r="C8017" s="43" t="n">
        <v>-46.575533</v>
      </c>
      <c r="D8017" s="43" t="n">
        <v>11</v>
      </c>
      <c r="E8017" s="44" t="n">
        <v>85.089935</v>
      </c>
    </row>
    <row r="8018">
      <c r="A8018" s="39">
        <f>_xlfn.XLOOKUP(53119,Trip[shape_id],Trip[shape_id],"Não encontrado")</f>
        <v/>
      </c>
      <c r="B8018" s="40" t="n">
        <v>-23.540827</v>
      </c>
      <c r="C8018" s="40" t="n">
        <v>-46.575412</v>
      </c>
      <c r="D8018" s="40" t="n">
        <v>12</v>
      </c>
      <c r="E8018" s="41" t="n">
        <v>98.072784</v>
      </c>
    </row>
    <row r="8019">
      <c r="A8019" s="42">
        <f>_xlfn.XLOOKUP(53119,Trip[shape_id],Trip[shape_id],"Não encontrado")</f>
        <v/>
      </c>
      <c r="B8019" s="43" t="n">
        <v>-23.541763</v>
      </c>
      <c r="C8019" s="43" t="n">
        <v>-46.575226</v>
      </c>
      <c r="D8019" s="43" t="n">
        <v>13</v>
      </c>
      <c r="E8019" s="44" t="n">
        <v>203.46173</v>
      </c>
    </row>
    <row r="8020">
      <c r="A8020" s="39">
        <f>_xlfn.XLOOKUP(53119,Trip[shape_id],Trip[shape_id],"Não encontrado")</f>
        <v/>
      </c>
      <c r="B8020" s="40" t="n">
        <v>-23.541905</v>
      </c>
      <c r="C8020" s="40" t="n">
        <v>-46.575184</v>
      </c>
      <c r="D8020" s="40" t="n">
        <v>14</v>
      </c>
      <c r="E8020" s="41" t="n">
        <v>219.76266</v>
      </c>
    </row>
    <row r="8021">
      <c r="A8021" s="42">
        <f>_xlfn.XLOOKUP(53119,Trip[shape_id],Trip[shape_id],"Não encontrado")</f>
        <v/>
      </c>
      <c r="B8021" s="43" t="n">
        <v>-23.542412</v>
      </c>
      <c r="C8021" s="43" t="n">
        <v>-46.575056</v>
      </c>
      <c r="D8021" s="43" t="n">
        <v>15</v>
      </c>
      <c r="E8021" s="44" t="n">
        <v>277.41473</v>
      </c>
    </row>
    <row r="8022">
      <c r="A8022" s="39">
        <f>_xlfn.XLOOKUP(53119,Trip[shape_id],Trip[shape_id],"Não encontrado")</f>
        <v/>
      </c>
      <c r="B8022" s="40" t="n">
        <v>-23.542827</v>
      </c>
      <c r="C8022" s="40" t="n">
        <v>-46.574961</v>
      </c>
      <c r="D8022" s="40" t="n">
        <v>16</v>
      </c>
      <c r="E8022" s="41" t="n">
        <v>324.3891</v>
      </c>
    </row>
    <row r="8023">
      <c r="A8023" s="42">
        <f>_xlfn.XLOOKUP(53119,Trip[shape_id],Trip[shape_id],"Não encontrado")</f>
        <v/>
      </c>
      <c r="B8023" s="43" t="n">
        <v>-23.543459</v>
      </c>
      <c r="C8023" s="43" t="n">
        <v>-46.574811</v>
      </c>
      <c r="D8023" s="43" t="n">
        <v>17</v>
      </c>
      <c r="E8023" s="44" t="n">
        <v>396.04028</v>
      </c>
    </row>
    <row r="8024">
      <c r="A8024" s="39">
        <f>_xlfn.XLOOKUP(53119,Trip[shape_id],Trip[shape_id],"Não encontrado")</f>
        <v/>
      </c>
      <c r="B8024" s="40" t="n">
        <v>-23.543703</v>
      </c>
      <c r="C8024" s="40" t="n">
        <v>-46.574755</v>
      </c>
      <c r="D8024" s="40" t="n">
        <v>18</v>
      </c>
      <c r="E8024" s="41" t="n">
        <v>423.66196</v>
      </c>
    </row>
    <row r="8025">
      <c r="A8025" s="42">
        <f>_xlfn.XLOOKUP(53119,Trip[shape_id],Trip[shape_id],"Não encontrado")</f>
        <v/>
      </c>
      <c r="B8025" s="43" t="n">
        <v>-23.544425</v>
      </c>
      <c r="C8025" s="43" t="n">
        <v>-46.574584</v>
      </c>
      <c r="D8025" s="43" t="n">
        <v>19</v>
      </c>
      <c r="E8025" s="44" t="n">
        <v>505.50879</v>
      </c>
    </row>
    <row r="8026">
      <c r="A8026" s="39">
        <f>_xlfn.XLOOKUP(53119,Trip[shape_id],Trip[shape_id],"Não encontrado")</f>
        <v/>
      </c>
      <c r="B8026" s="40" t="n">
        <v>-23.544554</v>
      </c>
      <c r="C8026" s="40" t="n">
        <v>-46.574554</v>
      </c>
      <c r="D8026" s="40" t="n">
        <v>20</v>
      </c>
      <c r="E8026" s="41" t="n">
        <v>520.12048</v>
      </c>
    </row>
    <row r="8027">
      <c r="A8027" s="42">
        <f>_xlfn.XLOOKUP(53119,Trip[shape_id],Trip[shape_id],"Não encontrado")</f>
        <v/>
      </c>
      <c r="B8027" s="43" t="n">
        <v>-23.545237</v>
      </c>
      <c r="C8027" s="43" t="n">
        <v>-46.574395</v>
      </c>
      <c r="D8027" s="43" t="n">
        <v>21</v>
      </c>
      <c r="E8027" s="44" t="n">
        <v>597.48651</v>
      </c>
    </row>
    <row r="8028">
      <c r="A8028" s="39">
        <f>_xlfn.XLOOKUP(53119,Trip[shape_id],Trip[shape_id],"Não encontrado")</f>
        <v/>
      </c>
      <c r="B8028" s="40" t="n">
        <v>-23.546124</v>
      </c>
      <c r="C8028" s="40" t="n">
        <v>-46.574184</v>
      </c>
      <c r="D8028" s="40" t="n">
        <v>22</v>
      </c>
      <c r="E8028" s="41" t="n">
        <v>698.05792</v>
      </c>
    </row>
    <row r="8029">
      <c r="A8029" s="42">
        <f>_xlfn.XLOOKUP(53119,Trip[shape_id],Trip[shape_id],"Não encontrado")</f>
        <v/>
      </c>
      <c r="B8029" s="43" t="n">
        <v>-23.545821</v>
      </c>
      <c r="C8029" s="43" t="n">
        <v>-46.572633</v>
      </c>
      <c r="D8029" s="43" t="n">
        <v>23</v>
      </c>
      <c r="E8029" s="44" t="n">
        <v>859.94006</v>
      </c>
    </row>
    <row r="8030">
      <c r="A8030" s="39">
        <f>_xlfn.XLOOKUP(53119,Trip[shape_id],Trip[shape_id],"Não encontrado")</f>
        <v/>
      </c>
      <c r="B8030" s="40" t="n">
        <v>-23.545796</v>
      </c>
      <c r="C8030" s="40" t="n">
        <v>-46.572524</v>
      </c>
      <c r="D8030" s="40" t="n">
        <v>24</v>
      </c>
      <c r="E8030" s="41" t="n">
        <v>871.40869</v>
      </c>
    </row>
    <row r="8031">
      <c r="A8031" s="42">
        <f>_xlfn.XLOOKUP(53119,Trip[shape_id],Trip[shape_id],"Não encontrado")</f>
        <v/>
      </c>
      <c r="B8031" s="43" t="n">
        <v>-23.54562</v>
      </c>
      <c r="C8031" s="43" t="n">
        <v>-46.571628</v>
      </c>
      <c r="D8031" s="43" t="n">
        <v>25</v>
      </c>
      <c r="E8031" s="44" t="n">
        <v>964.94897</v>
      </c>
    </row>
    <row r="8032">
      <c r="A8032" s="39">
        <f>_xlfn.XLOOKUP(53119,Trip[shape_id],Trip[shape_id],"Não encontrado")</f>
        <v/>
      </c>
      <c r="B8032" s="40" t="n">
        <v>-23.545458</v>
      </c>
      <c r="C8032" s="40" t="n">
        <v>-46.570812</v>
      </c>
      <c r="D8032" s="40" t="n">
        <v>26</v>
      </c>
      <c r="E8032" s="41" t="n">
        <v>1050.1774</v>
      </c>
    </row>
    <row r="8033">
      <c r="A8033" s="42">
        <f>_xlfn.XLOOKUP(53119,Trip[shape_id],Trip[shape_id],"Não encontrado")</f>
        <v/>
      </c>
      <c r="B8033" s="43" t="n">
        <v>-23.545358</v>
      </c>
      <c r="C8033" s="43" t="n">
        <v>-46.570324</v>
      </c>
      <c r="D8033" s="43" t="n">
        <v>27</v>
      </c>
      <c r="E8033" s="44" t="n">
        <v>1101.2211</v>
      </c>
    </row>
    <row r="8034">
      <c r="A8034" s="39">
        <f>_xlfn.XLOOKUP(53119,Trip[shape_id],Trip[shape_id],"Não encontrado")</f>
        <v/>
      </c>
      <c r="B8034" s="40" t="n">
        <v>-23.54535</v>
      </c>
      <c r="C8034" s="40" t="n">
        <v>-46.570255</v>
      </c>
      <c r="D8034" s="40" t="n">
        <v>28</v>
      </c>
      <c r="E8034" s="41" t="n">
        <v>1108.3215</v>
      </c>
    </row>
    <row r="8035">
      <c r="A8035" s="42">
        <f>_xlfn.XLOOKUP(53119,Trip[shape_id],Trip[shape_id],"Não encontrado")</f>
        <v/>
      </c>
      <c r="B8035" s="43" t="n">
        <v>-23.545292</v>
      </c>
      <c r="C8035" s="43" t="n">
        <v>-46.56996</v>
      </c>
      <c r="D8035" s="43" t="n">
        <v>29</v>
      </c>
      <c r="E8035" s="44" t="n">
        <v>1139.12</v>
      </c>
    </row>
    <row r="8036">
      <c r="A8036" s="39">
        <f>_xlfn.XLOOKUP(53119,Trip[shape_id],Trip[shape_id],"Não encontrado")</f>
        <v/>
      </c>
      <c r="B8036" s="40" t="n">
        <v>-23.545203</v>
      </c>
      <c r="C8036" s="40" t="n">
        <v>-46.569513</v>
      </c>
      <c r="D8036" s="40" t="n">
        <v>30</v>
      </c>
      <c r="E8036" s="41" t="n">
        <v>1185.8137</v>
      </c>
    </row>
    <row r="8037">
      <c r="A8037" s="42">
        <f>_xlfn.XLOOKUP(53119,Trip[shape_id],Trip[shape_id],"Não encontrado")</f>
        <v/>
      </c>
      <c r="B8037" s="43" t="n">
        <v>-23.54511</v>
      </c>
      <c r="C8037" s="43" t="n">
        <v>-46.56907</v>
      </c>
      <c r="D8037" s="43" t="n">
        <v>31</v>
      </c>
      <c r="E8037" s="44" t="n">
        <v>1232.2047</v>
      </c>
    </row>
    <row r="8038">
      <c r="A8038" s="39">
        <f>_xlfn.XLOOKUP(53119,Trip[shape_id],Trip[shape_id],"Não encontrado")</f>
        <v/>
      </c>
      <c r="B8038" s="40" t="n">
        <v>-23.544978</v>
      </c>
      <c r="C8038" s="40" t="n">
        <v>-46.568408</v>
      </c>
      <c r="D8038" s="40" t="n">
        <v>32</v>
      </c>
      <c r="E8038" s="41" t="n">
        <v>1301.3618</v>
      </c>
    </row>
    <row r="8039">
      <c r="A8039" s="42">
        <f>_xlfn.XLOOKUP(53119,Trip[shape_id],Trip[shape_id],"Não encontrado")</f>
        <v/>
      </c>
      <c r="B8039" s="43" t="n">
        <v>-23.544861</v>
      </c>
      <c r="C8039" s="43" t="n">
        <v>-46.567802</v>
      </c>
      <c r="D8039" s="43" t="n">
        <v>33</v>
      </c>
      <c r="E8039" s="44" t="n">
        <v>1364.5804</v>
      </c>
    </row>
    <row r="8040">
      <c r="A8040" s="39">
        <f>_xlfn.XLOOKUP(53119,Trip[shape_id],Trip[shape_id],"Não encontrado")</f>
        <v/>
      </c>
      <c r="B8040" s="40" t="n">
        <v>-23.544736</v>
      </c>
      <c r="C8040" s="40" t="n">
        <v>-46.567193</v>
      </c>
      <c r="D8040" s="40" t="n">
        <v>34</v>
      </c>
      <c r="E8040" s="41" t="n">
        <v>1428.2856</v>
      </c>
    </row>
    <row r="8041">
      <c r="A8041" s="42">
        <f>_xlfn.XLOOKUP(53119,Trip[shape_id],Trip[shape_id],"Não encontrado")</f>
        <v/>
      </c>
      <c r="B8041" s="43" t="n">
        <v>-23.544605</v>
      </c>
      <c r="C8041" s="43" t="n">
        <v>-46.566527</v>
      </c>
      <c r="D8041" s="43" t="n">
        <v>35</v>
      </c>
      <c r="E8041" s="44" t="n">
        <v>1497.8191</v>
      </c>
    </row>
    <row r="8042">
      <c r="A8042" s="39">
        <f>_xlfn.XLOOKUP(53119,Trip[shape_id],Trip[shape_id],"Não encontrado")</f>
        <v/>
      </c>
      <c r="B8042" s="40" t="n">
        <v>-23.544374</v>
      </c>
      <c r="C8042" s="40" t="n">
        <v>-46.565344</v>
      </c>
      <c r="D8042" s="40" t="n">
        <v>36</v>
      </c>
      <c r="E8042" s="41" t="n">
        <v>1680.9689</v>
      </c>
    </row>
    <row r="8043">
      <c r="A8043" s="42">
        <f>_xlfn.XLOOKUP(53119,Trip[shape_id],Trip[shape_id],"Não encontrado")</f>
        <v/>
      </c>
      <c r="B8043" s="43" t="n">
        <v>-23.544259</v>
      </c>
      <c r="C8043" s="43" t="n">
        <v>-46.564773</v>
      </c>
      <c r="D8043" s="43" t="n">
        <v>37</v>
      </c>
      <c r="E8043" s="44" t="n">
        <v>1680.9689</v>
      </c>
    </row>
    <row r="8044">
      <c r="A8044" s="39">
        <f>_xlfn.XLOOKUP(53119,Trip[shape_id],Trip[shape_id],"Não encontrado")</f>
        <v/>
      </c>
      <c r="B8044" s="40" t="n">
        <v>-23.544106</v>
      </c>
      <c r="C8044" s="40" t="n">
        <v>-46.563974</v>
      </c>
      <c r="D8044" s="40" t="n">
        <v>38</v>
      </c>
      <c r="E8044" s="41" t="n">
        <v>1764.2935</v>
      </c>
    </row>
    <row r="8045">
      <c r="A8045" s="42">
        <f>_xlfn.XLOOKUP(53119,Trip[shape_id],Trip[shape_id],"Não encontrado")</f>
        <v/>
      </c>
      <c r="B8045" s="43" t="n">
        <v>-23.543996</v>
      </c>
      <c r="C8045" s="43" t="n">
        <v>-46.563421</v>
      </c>
      <c r="D8045" s="43" t="n">
        <v>39</v>
      </c>
      <c r="E8045" s="44" t="n">
        <v>1822.0579</v>
      </c>
    </row>
    <row r="8046">
      <c r="A8046" s="39">
        <f>_xlfn.XLOOKUP(53119,Trip[shape_id],Trip[shape_id],"Não encontrado")</f>
        <v/>
      </c>
      <c r="B8046" s="40" t="n">
        <v>-23.543933</v>
      </c>
      <c r="C8046" s="40" t="n">
        <v>-46.563093</v>
      </c>
      <c r="D8046" s="40" t="n">
        <v>40</v>
      </c>
      <c r="E8046" s="41" t="n">
        <v>1870.8287</v>
      </c>
    </row>
    <row r="8047">
      <c r="A8047" s="42">
        <f>_xlfn.XLOOKUP(53119,Trip[shape_id],Trip[shape_id],"Não encontrado")</f>
        <v/>
      </c>
      <c r="B8047" s="43" t="n">
        <v>-23.543908</v>
      </c>
      <c r="C8047" s="43" t="n">
        <v>-46.562953</v>
      </c>
      <c r="D8047" s="43" t="n">
        <v>41</v>
      </c>
      <c r="E8047" s="44" t="n">
        <v>1873.593</v>
      </c>
    </row>
    <row r="8048">
      <c r="A8048" s="39">
        <f>_xlfn.XLOOKUP(53119,Trip[shape_id],Trip[shape_id],"Não encontrado")</f>
        <v/>
      </c>
      <c r="B8048" s="40" t="n">
        <v>-23.543906</v>
      </c>
      <c r="C8048" s="40" t="n">
        <v>-46.562926</v>
      </c>
      <c r="D8048" s="40" t="n">
        <v>42</v>
      </c>
      <c r="E8048" s="41" t="n">
        <v>1873.593</v>
      </c>
    </row>
    <row r="8049">
      <c r="A8049" s="42">
        <f>_xlfn.XLOOKUP(53119,Trip[shape_id],Trip[shape_id],"Não encontrado")</f>
        <v/>
      </c>
      <c r="B8049" s="43" t="n">
        <v>-23.54377</v>
      </c>
      <c r="C8049" s="43" t="n">
        <v>-46.562253</v>
      </c>
      <c r="D8049" s="43" t="n">
        <v>43</v>
      </c>
      <c r="E8049" s="44" t="n">
        <v>1943.9426</v>
      </c>
    </row>
    <row r="8050">
      <c r="A8050" s="39">
        <f>_xlfn.XLOOKUP(53119,Trip[shape_id],Trip[shape_id],"Não encontrado")</f>
        <v/>
      </c>
      <c r="B8050" s="40" t="n">
        <v>-23.543699</v>
      </c>
      <c r="C8050" s="40" t="n">
        <v>-46.561876</v>
      </c>
      <c r="D8050" s="40" t="n">
        <v>44</v>
      </c>
      <c r="E8050" s="41" t="n">
        <v>1983.2322</v>
      </c>
    </row>
    <row r="8051">
      <c r="A8051" s="42">
        <f>_xlfn.XLOOKUP(53119,Trip[shape_id],Trip[shape_id],"Não encontrado")</f>
        <v/>
      </c>
      <c r="B8051" s="43" t="n">
        <v>-23.543614</v>
      </c>
      <c r="C8051" s="43" t="n">
        <v>-46.561414</v>
      </c>
      <c r="D8051" s="43" t="n">
        <v>45</v>
      </c>
      <c r="E8051" s="44" t="n">
        <v>2031.3359</v>
      </c>
    </row>
    <row r="8052">
      <c r="A8052" s="39">
        <f>_xlfn.XLOOKUP(53119,Trip[shape_id],Trip[shape_id],"Não encontrado")</f>
        <v/>
      </c>
      <c r="B8052" s="40" t="n">
        <v>-23.543479</v>
      </c>
      <c r="C8052" s="40" t="n">
        <v>-46.560755</v>
      </c>
      <c r="D8052" s="40" t="n">
        <v>46</v>
      </c>
      <c r="E8052" s="41" t="n">
        <v>2100.2659</v>
      </c>
    </row>
    <row r="8053">
      <c r="A8053" s="42">
        <f>_xlfn.XLOOKUP(53119,Trip[shape_id],Trip[shape_id],"Não encontrado")</f>
        <v/>
      </c>
      <c r="B8053" s="43" t="n">
        <v>-23.543275</v>
      </c>
      <c r="C8053" s="43" t="n">
        <v>-46.559719</v>
      </c>
      <c r="D8053" s="43" t="n">
        <v>47</v>
      </c>
      <c r="E8053" s="44" t="n">
        <v>2208.4353</v>
      </c>
    </row>
    <row r="8054">
      <c r="A8054" s="39">
        <f>_xlfn.XLOOKUP(53119,Trip[shape_id],Trip[shape_id],"Não encontrado")</f>
        <v/>
      </c>
      <c r="B8054" s="40" t="n">
        <v>-23.543198</v>
      </c>
      <c r="C8054" s="40" t="n">
        <v>-46.559339</v>
      </c>
      <c r="D8054" s="40" t="n">
        <v>48</v>
      </c>
      <c r="E8054" s="41" t="n">
        <v>2248.1624</v>
      </c>
    </row>
    <row r="8055">
      <c r="A8055" s="42">
        <f>_xlfn.XLOOKUP(53119,Trip[shape_id],Trip[shape_id],"Não encontrado")</f>
        <v/>
      </c>
      <c r="B8055" s="43" t="n">
        <v>-23.543114</v>
      </c>
      <c r="C8055" s="43" t="n">
        <v>-46.558902</v>
      </c>
      <c r="D8055" s="43" t="n">
        <v>49</v>
      </c>
      <c r="E8055" s="44" t="n">
        <v>2293.7429</v>
      </c>
    </row>
    <row r="8056">
      <c r="A8056" s="39">
        <f>_xlfn.XLOOKUP(53119,Trip[shape_id],Trip[shape_id],"Não encontrado")</f>
        <v/>
      </c>
      <c r="B8056" s="40" t="n">
        <v>-23.543633</v>
      </c>
      <c r="C8056" s="40" t="n">
        <v>-46.558773</v>
      </c>
      <c r="D8056" s="40" t="n">
        <v>50</v>
      </c>
      <c r="E8056" s="41" t="n">
        <v>2352.7129</v>
      </c>
    </row>
    <row r="8057">
      <c r="A8057" s="42">
        <f>_xlfn.XLOOKUP(53119,Trip[shape_id],Trip[shape_id],"Não encontrado")</f>
        <v/>
      </c>
      <c r="B8057" s="43" t="n">
        <v>-23.543814</v>
      </c>
      <c r="C8057" s="43" t="n">
        <v>-46.558726</v>
      </c>
      <c r="D8057" s="43" t="n">
        <v>51</v>
      </c>
      <c r="E8057" s="44" t="n">
        <v>2409.4114</v>
      </c>
    </row>
    <row r="8058">
      <c r="A8058" s="39">
        <f>_xlfn.XLOOKUP(53119,Trip[shape_id],Trip[shape_id],"Não encontrado")</f>
        <v/>
      </c>
      <c r="B8058" s="40" t="n">
        <v>-23.544132</v>
      </c>
      <c r="C8058" s="40" t="n">
        <v>-46.558649</v>
      </c>
      <c r="D8058" s="40" t="n">
        <v>52</v>
      </c>
      <c r="E8058" s="41" t="n">
        <v>2409.4114</v>
      </c>
    </row>
    <row r="8059">
      <c r="A8059" s="42">
        <f>_xlfn.XLOOKUP(53119,Trip[shape_id],Trip[shape_id],"Não encontrado")</f>
        <v/>
      </c>
      <c r="B8059" s="43" t="n">
        <v>-23.545156</v>
      </c>
      <c r="C8059" s="43" t="n">
        <v>-46.558424</v>
      </c>
      <c r="D8059" s="43" t="n">
        <v>53</v>
      </c>
      <c r="E8059" s="44" t="n">
        <v>2525.1248</v>
      </c>
    </row>
    <row r="8060">
      <c r="A8060" s="39">
        <f>_xlfn.XLOOKUP(53119,Trip[shape_id],Trip[shape_id],"Não encontrado")</f>
        <v/>
      </c>
      <c r="B8060" s="40" t="n">
        <v>-23.546192</v>
      </c>
      <c r="C8060" s="40" t="n">
        <v>-46.558165</v>
      </c>
      <c r="D8060" s="40" t="n">
        <v>54</v>
      </c>
      <c r="E8060" s="41" t="n">
        <v>2642.8716</v>
      </c>
    </row>
    <row r="8061">
      <c r="A8061" s="42">
        <f>_xlfn.XLOOKUP(53119,Trip[shape_id],Trip[shape_id],"Não encontrado")</f>
        <v/>
      </c>
      <c r="B8061" s="43" t="n">
        <v>-23.546485</v>
      </c>
      <c r="C8061" s="43" t="n">
        <v>-46.558098</v>
      </c>
      <c r="D8061" s="43" t="n">
        <v>55</v>
      </c>
      <c r="E8061" s="44" t="n">
        <v>2676.0352</v>
      </c>
    </row>
    <row r="8062">
      <c r="A8062" s="39">
        <f>_xlfn.XLOOKUP(53119,Trip[shape_id],Trip[shape_id],"Não encontrado")</f>
        <v/>
      </c>
      <c r="B8062" s="40" t="n">
        <v>-23.546794</v>
      </c>
      <c r="C8062" s="40" t="n">
        <v>-46.558024</v>
      </c>
      <c r="D8062" s="40" t="n">
        <v>56</v>
      </c>
      <c r="E8062" s="41" t="n">
        <v>2722.4912</v>
      </c>
    </row>
    <row r="8063">
      <c r="A8063" s="42">
        <f>_xlfn.XLOOKUP(53119,Trip[shape_id],Trip[shape_id],"Não encontrado")</f>
        <v/>
      </c>
      <c r="B8063" s="43" t="n">
        <v>-23.546895</v>
      </c>
      <c r="C8063" s="43" t="n">
        <v>-46.558002</v>
      </c>
      <c r="D8063" s="43" t="n">
        <v>57</v>
      </c>
      <c r="E8063" s="44" t="n">
        <v>2730.5442</v>
      </c>
    </row>
    <row r="8064">
      <c r="A8064" s="39">
        <f>_xlfn.XLOOKUP(53119,Trip[shape_id],Trip[shape_id],"Não encontrado")</f>
        <v/>
      </c>
      <c r="B8064" s="40" t="n">
        <v>-23.546966</v>
      </c>
      <c r="C8064" s="40" t="n">
        <v>-46.557985</v>
      </c>
      <c r="D8064" s="40" t="n">
        <v>58</v>
      </c>
      <c r="E8064" s="41" t="n">
        <v>2739.2676</v>
      </c>
    </row>
    <row r="8065">
      <c r="A8065" s="42">
        <f>_xlfn.XLOOKUP(53119,Trip[shape_id],Trip[shape_id],"Não encontrado")</f>
        <v/>
      </c>
      <c r="B8065" s="43" t="n">
        <v>-23.547043</v>
      </c>
      <c r="C8065" s="43" t="n">
        <v>-46.557967</v>
      </c>
      <c r="D8065" s="43" t="n">
        <v>59</v>
      </c>
      <c r="E8065" s="44" t="n">
        <v>2760.8738</v>
      </c>
    </row>
    <row r="8066">
      <c r="A8066" s="39">
        <f>_xlfn.XLOOKUP(53119,Trip[shape_id],Trip[shape_id],"Não encontrado")</f>
        <v/>
      </c>
      <c r="B8066" s="40" t="n">
        <v>-23.547233</v>
      </c>
      <c r="C8066" s="40" t="n">
        <v>-46.557919</v>
      </c>
      <c r="D8066" s="40" t="n">
        <v>60</v>
      </c>
      <c r="E8066" s="41" t="n">
        <v>2760.8738</v>
      </c>
    </row>
    <row r="8067">
      <c r="A8067" s="42">
        <f>_xlfn.XLOOKUP(53119,Trip[shape_id],Trip[shape_id],"Não encontrado")</f>
        <v/>
      </c>
      <c r="B8067" s="43" t="n">
        <v>-23.547216</v>
      </c>
      <c r="C8067" s="43" t="n">
        <v>-46.557854</v>
      </c>
      <c r="D8067" s="43" t="n">
        <v>61</v>
      </c>
      <c r="E8067" s="44" t="n">
        <v>2780.5264</v>
      </c>
    </row>
    <row r="8068">
      <c r="A8068" s="39">
        <f>_xlfn.XLOOKUP(53119,Trip[shape_id],Trip[shape_id],"Não encontrado")</f>
        <v/>
      </c>
      <c r="B8068" s="40" t="n">
        <v>-23.547184</v>
      </c>
      <c r="C8068" s="40" t="n">
        <v>-46.557734</v>
      </c>
      <c r="D8068" s="40" t="n">
        <v>62</v>
      </c>
      <c r="E8068" s="41" t="n">
        <v>2898.1587</v>
      </c>
    </row>
    <row r="8069">
      <c r="A8069" s="42">
        <f>_xlfn.XLOOKUP(53119,Trip[shape_id],Trip[shape_id],"Não encontrado")</f>
        <v/>
      </c>
      <c r="B8069" s="43" t="n">
        <v>-23.546968</v>
      </c>
      <c r="C8069" s="43" t="n">
        <v>-46.556606</v>
      </c>
      <c r="D8069" s="43" t="n">
        <v>63</v>
      </c>
      <c r="E8069" s="44" t="n">
        <v>2898.1587</v>
      </c>
    </row>
    <row r="8070">
      <c r="A8070" s="39">
        <f>_xlfn.XLOOKUP(53119,Trip[shape_id],Trip[shape_id],"Não encontrado")</f>
        <v/>
      </c>
      <c r="B8070" s="40" t="n">
        <v>-23.546755</v>
      </c>
      <c r="C8070" s="40" t="n">
        <v>-46.555464</v>
      </c>
      <c r="D8070" s="40" t="n">
        <v>64</v>
      </c>
      <c r="E8070" s="41" t="n">
        <v>3017.1248</v>
      </c>
    </row>
    <row r="8071">
      <c r="A8071" s="42">
        <f>_xlfn.XLOOKUP(53119,Trip[shape_id],Trip[shape_id],"Não encontrado")</f>
        <v/>
      </c>
      <c r="B8071" s="43" t="n">
        <v>-23.5465</v>
      </c>
      <c r="C8071" s="43" t="n">
        <v>-46.554146</v>
      </c>
      <c r="D8071" s="43" t="n">
        <v>65</v>
      </c>
      <c r="E8071" s="44" t="n">
        <v>3154.6306</v>
      </c>
    </row>
    <row r="8072">
      <c r="A8072" s="39">
        <f>_xlfn.XLOOKUP(53119,Trip[shape_id],Trip[shape_id],"Não encontrado")</f>
        <v/>
      </c>
      <c r="B8072" s="40" t="n">
        <v>-23.546359</v>
      </c>
      <c r="C8072" s="40" t="n">
        <v>-46.55328</v>
      </c>
      <c r="D8072" s="40" t="n">
        <v>66</v>
      </c>
      <c r="E8072" s="41" t="n">
        <v>3244.4221</v>
      </c>
    </row>
    <row r="8073">
      <c r="A8073" s="42">
        <f>_xlfn.XLOOKUP(53119,Trip[shape_id],Trip[shape_id],"Não encontrado")</f>
        <v/>
      </c>
      <c r="B8073" s="43" t="n">
        <v>-23.546399</v>
      </c>
      <c r="C8073" s="43" t="n">
        <v>-46.553097</v>
      </c>
      <c r="D8073" s="43" t="n">
        <v>67</v>
      </c>
      <c r="E8073" s="44" t="n">
        <v>3318.1592</v>
      </c>
    </row>
    <row r="8074">
      <c r="A8074" s="39">
        <f>_xlfn.XLOOKUP(53119,Trip[shape_id],Trip[shape_id],"Não encontrado")</f>
        <v/>
      </c>
      <c r="B8074" s="40" t="n">
        <v>-23.546479</v>
      </c>
      <c r="C8074" s="40" t="n">
        <v>-46.55257</v>
      </c>
      <c r="D8074" s="40" t="n">
        <v>68</v>
      </c>
      <c r="E8074" s="41" t="n">
        <v>3318.1592</v>
      </c>
    </row>
    <row r="8075">
      <c r="A8075" s="42">
        <f>_xlfn.XLOOKUP(53119,Trip[shape_id],Trip[shape_id],"Não encontrado")</f>
        <v/>
      </c>
      <c r="B8075" s="43" t="n">
        <v>-23.546494</v>
      </c>
      <c r="C8075" s="43" t="n">
        <v>-46.552459</v>
      </c>
      <c r="D8075" s="43" t="n">
        <v>69</v>
      </c>
      <c r="E8075" s="44" t="n">
        <v>3335.8435</v>
      </c>
    </row>
    <row r="8076">
      <c r="A8076" s="39">
        <f>_xlfn.XLOOKUP(53119,Trip[shape_id],Trip[shape_id],"Não encontrado")</f>
        <v/>
      </c>
      <c r="B8076" s="40" t="n">
        <v>-23.546493</v>
      </c>
      <c r="C8076" s="40" t="n">
        <v>-46.552398</v>
      </c>
      <c r="D8076" s="40" t="n">
        <v>70</v>
      </c>
      <c r="E8076" s="41" t="n">
        <v>3373.2871</v>
      </c>
    </row>
    <row r="8077">
      <c r="A8077" s="42">
        <f>_xlfn.XLOOKUP(53119,Trip[shape_id],Trip[shape_id],"Não encontrado")</f>
        <v/>
      </c>
      <c r="B8077" s="43" t="n">
        <v>-23.546541</v>
      </c>
      <c r="C8077" s="43" t="n">
        <v>-46.552035</v>
      </c>
      <c r="D8077" s="43" t="n">
        <v>71</v>
      </c>
      <c r="E8077" s="44" t="n">
        <v>3373.2871</v>
      </c>
    </row>
    <row r="8078">
      <c r="A8078" s="39">
        <f>_xlfn.XLOOKUP(53119,Trip[shape_id],Trip[shape_id],"Não encontrado")</f>
        <v/>
      </c>
      <c r="B8078" s="40" t="n">
        <v>-23.54664</v>
      </c>
      <c r="C8078" s="40" t="n">
        <v>-46.551391</v>
      </c>
      <c r="D8078" s="40" t="n">
        <v>72</v>
      </c>
      <c r="E8078" s="41" t="n">
        <v>3439.9507</v>
      </c>
    </row>
    <row r="8079">
      <c r="A8079" s="42">
        <f>_xlfn.XLOOKUP(53119,Trip[shape_id],Trip[shape_id],"Não encontrado")</f>
        <v/>
      </c>
      <c r="B8079" s="43" t="n">
        <v>-23.546699</v>
      </c>
      <c r="C8079" s="43" t="n">
        <v>-46.550982</v>
      </c>
      <c r="D8079" s="43" t="n">
        <v>73</v>
      </c>
      <c r="E8079" s="44" t="n">
        <v>3482.2197</v>
      </c>
    </row>
    <row r="8080">
      <c r="A8080" s="39">
        <f>_xlfn.XLOOKUP(53119,Trip[shape_id],Trip[shape_id],"Não encontrado")</f>
        <v/>
      </c>
      <c r="B8080" s="40" t="n">
        <v>-23.546825</v>
      </c>
      <c r="C8080" s="40" t="n">
        <v>-46.550084</v>
      </c>
      <c r="D8080" s="40" t="n">
        <v>74</v>
      </c>
      <c r="E8080" s="41" t="n">
        <v>3574.9658</v>
      </c>
    </row>
    <row r="8081">
      <c r="A8081" s="42">
        <f>_xlfn.XLOOKUP(53119,Trip[shape_id],Trip[shape_id],"Não encontrado")</f>
        <v/>
      </c>
      <c r="B8081" s="43" t="n">
        <v>-23.546933</v>
      </c>
      <c r="C8081" s="43" t="n">
        <v>-46.549305</v>
      </c>
      <c r="D8081" s="43" t="n">
        <v>75</v>
      </c>
      <c r="E8081" s="44" t="n">
        <v>3655.3999</v>
      </c>
    </row>
    <row r="8082">
      <c r="A8082" s="39">
        <f>_xlfn.XLOOKUP(53119,Trip[shape_id],Trip[shape_id],"Não encontrado")</f>
        <v/>
      </c>
      <c r="B8082" s="40" t="n">
        <v>-23.547206</v>
      </c>
      <c r="C8082" s="40" t="n">
        <v>-46.549374</v>
      </c>
      <c r="D8082" s="40" t="n">
        <v>76</v>
      </c>
      <c r="E8082" s="41" t="n">
        <v>3686.4451</v>
      </c>
    </row>
    <row r="8083">
      <c r="A8083" s="42">
        <f>_xlfn.XLOOKUP(53119,Trip[shape_id],Trip[shape_id],"Não encontrado")</f>
        <v/>
      </c>
      <c r="B8083" s="43" t="n">
        <v>-23.547976</v>
      </c>
      <c r="C8083" s="43" t="n">
        <v>-46.549577</v>
      </c>
      <c r="D8083" s="43" t="n">
        <v>77</v>
      </c>
      <c r="E8083" s="44" t="n">
        <v>3774.2065</v>
      </c>
    </row>
    <row r="8084">
      <c r="A8084" s="39">
        <f>_xlfn.XLOOKUP(53119,Trip[shape_id],Trip[shape_id],"Não encontrado")</f>
        <v/>
      </c>
      <c r="B8084" s="40" t="n">
        <v>-23.548749</v>
      </c>
      <c r="C8084" s="40" t="n">
        <v>-46.549788</v>
      </c>
      <c r="D8084" s="40" t="n">
        <v>78</v>
      </c>
      <c r="E8084" s="41" t="n">
        <v>3862.4868</v>
      </c>
    </row>
    <row r="8085">
      <c r="A8085" s="42">
        <f>_xlfn.XLOOKUP(53119,Trip[shape_id],Trip[shape_id],"Não encontrado")</f>
        <v/>
      </c>
      <c r="B8085" s="43" t="n">
        <v>-23.549</v>
      </c>
      <c r="C8085" s="43" t="n">
        <v>-46.549848</v>
      </c>
      <c r="D8085" s="43" t="n">
        <v>79</v>
      </c>
      <c r="E8085" s="44" t="n">
        <v>3890.9526</v>
      </c>
    </row>
    <row r="8086">
      <c r="A8086" s="39">
        <f>_xlfn.XLOOKUP(53119,Trip[shape_id],Trip[shape_id],"Não encontrado")</f>
        <v/>
      </c>
      <c r="B8086" s="40" t="n">
        <v>-23.549138</v>
      </c>
      <c r="C8086" s="40" t="n">
        <v>-46.549497</v>
      </c>
      <c r="D8086" s="40" t="n">
        <v>80</v>
      </c>
      <c r="E8086" s="41" t="n">
        <v>3929.9138</v>
      </c>
    </row>
    <row r="8087">
      <c r="A8087" s="42">
        <f>_xlfn.XLOOKUP(53119,Trip[shape_id],Trip[shape_id],"Não encontrado")</f>
        <v/>
      </c>
      <c r="B8087" s="43" t="n">
        <v>-23.549406</v>
      </c>
      <c r="C8087" s="43" t="n">
        <v>-46.548781</v>
      </c>
      <c r="D8087" s="43" t="n">
        <v>81</v>
      </c>
      <c r="E8087" s="44" t="n">
        <v>4008.8154</v>
      </c>
    </row>
    <row r="8088">
      <c r="A8088" s="39">
        <f>_xlfn.XLOOKUP(53119,Trip[shape_id],Trip[shape_id],"Não encontrado")</f>
        <v/>
      </c>
      <c r="B8088" s="40" t="n">
        <v>-23.54977</v>
      </c>
      <c r="C8088" s="40" t="n">
        <v>-46.547822</v>
      </c>
      <c r="D8088" s="40" t="n">
        <v>82</v>
      </c>
      <c r="E8088" s="41" t="n">
        <v>4114.7061</v>
      </c>
    </row>
    <row r="8089">
      <c r="A8089" s="42">
        <f>_xlfn.XLOOKUP(53119,Trip[shape_id],Trip[shape_id],"Não encontrado")</f>
        <v/>
      </c>
      <c r="B8089" s="43" t="n">
        <v>-23.549867</v>
      </c>
      <c r="C8089" s="43" t="n">
        <v>-46.547801</v>
      </c>
      <c r="D8089" s="43" t="n">
        <v>83</v>
      </c>
      <c r="E8089" s="44" t="n">
        <v>4125.6606</v>
      </c>
    </row>
    <row r="8090">
      <c r="A8090" s="39">
        <f>_xlfn.XLOOKUP(53119,Trip[shape_id],Trip[shape_id],"Não encontrado")</f>
        <v/>
      </c>
      <c r="B8090" s="40" t="n">
        <v>-23.549939</v>
      </c>
      <c r="C8090" s="40" t="n">
        <v>-46.547831</v>
      </c>
      <c r="D8090" s="40" t="n">
        <v>84</v>
      </c>
      <c r="E8090" s="41" t="n">
        <v>4134.2026</v>
      </c>
    </row>
    <row r="8091">
      <c r="A8091" s="42">
        <f>_xlfn.XLOOKUP(53119,Trip[shape_id],Trip[shape_id],"Não encontrado")</f>
        <v/>
      </c>
      <c r="B8091" s="43" t="n">
        <v>-23.550541</v>
      </c>
      <c r="C8091" s="43" t="n">
        <v>-46.548112</v>
      </c>
      <c r="D8091" s="43" t="n">
        <v>85</v>
      </c>
      <c r="E8091" s="44" t="n">
        <v>4206.7861</v>
      </c>
    </row>
    <row r="8092">
      <c r="A8092" s="39">
        <f>_xlfn.XLOOKUP(53119,Trip[shape_id],Trip[shape_id],"Não encontrado")</f>
        <v/>
      </c>
      <c r="B8092" s="40" t="n">
        <v>-23.55095</v>
      </c>
      <c r="C8092" s="40" t="n">
        <v>-46.548301</v>
      </c>
      <c r="D8092" s="40" t="n">
        <v>86</v>
      </c>
      <c r="E8092" s="41" t="n">
        <v>4256.0229</v>
      </c>
    </row>
    <row r="8093">
      <c r="A8093" s="42">
        <f>_xlfn.XLOOKUP(53119,Trip[shape_id],Trip[shape_id],"Não encontrado")</f>
        <v/>
      </c>
      <c r="B8093" s="43" t="n">
        <v>-23.551254</v>
      </c>
      <c r="C8093" s="43" t="n">
        <v>-46.54844</v>
      </c>
      <c r="D8093" s="43" t="n">
        <v>87</v>
      </c>
      <c r="E8093" s="44" t="n">
        <v>4292.5605</v>
      </c>
    </row>
    <row r="8094">
      <c r="A8094" s="39">
        <f>_xlfn.XLOOKUP(53119,Trip[shape_id],Trip[shape_id],"Não encontrado")</f>
        <v/>
      </c>
      <c r="B8094" s="40" t="n">
        <v>-23.551224</v>
      </c>
      <c r="C8094" s="40" t="n">
        <v>-46.548517</v>
      </c>
      <c r="D8094" s="40" t="n">
        <v>88</v>
      </c>
      <c r="E8094" s="41" t="n">
        <v>4301.0957</v>
      </c>
    </row>
    <row r="8095">
      <c r="A8095" s="42">
        <f>_xlfn.XLOOKUP(53119,Trip[shape_id],Trip[shape_id],"Não encontrado")</f>
        <v/>
      </c>
      <c r="B8095" s="43" t="n">
        <v>-23.55059</v>
      </c>
      <c r="C8095" s="43" t="n">
        <v>-46.549313</v>
      </c>
      <c r="D8095" s="43" t="n">
        <v>89</v>
      </c>
      <c r="E8095" s="44" t="n">
        <v>4408.5</v>
      </c>
    </row>
    <row r="8096">
      <c r="A8096" s="39">
        <f>_xlfn.XLOOKUP(53119,Trip[shape_id],Trip[shape_id],"Não encontrado")</f>
        <v/>
      </c>
      <c r="B8096" s="40" t="n">
        <v>-23.549969</v>
      </c>
      <c r="C8096" s="40" t="n">
        <v>-46.550109</v>
      </c>
      <c r="D8096" s="40" t="n">
        <v>90</v>
      </c>
      <c r="E8096" s="41" t="n">
        <v>4514.9688</v>
      </c>
    </row>
    <row r="8097">
      <c r="A8097" s="42">
        <f>_xlfn.XLOOKUP(53119,Trip[shape_id],Trip[shape_id],"Não encontrado")</f>
        <v/>
      </c>
      <c r="B8097" s="43" t="n">
        <v>-23.550325</v>
      </c>
      <c r="C8097" s="43" t="n">
        <v>-46.55021</v>
      </c>
      <c r="D8097" s="43" t="n">
        <v>91</v>
      </c>
      <c r="E8097" s="44" t="n">
        <v>4555.7227</v>
      </c>
    </row>
    <row r="8098">
      <c r="A8098" s="39">
        <f>_xlfn.XLOOKUP(53119,Trip[shape_id],Trip[shape_id],"Não encontrado")</f>
        <v/>
      </c>
      <c r="B8098" s="40" t="n">
        <v>-23.55044</v>
      </c>
      <c r="C8098" s="40" t="n">
        <v>-46.550245</v>
      </c>
      <c r="D8098" s="40" t="n">
        <v>92</v>
      </c>
      <c r="E8098" s="41" t="n">
        <v>4568.9512</v>
      </c>
    </row>
    <row r="8099">
      <c r="A8099" s="42">
        <f>_xlfn.XLOOKUP(53119,Trip[shape_id],Trip[shape_id],"Não encontrado")</f>
        <v/>
      </c>
      <c r="B8099" s="43" t="n">
        <v>-23.550613</v>
      </c>
      <c r="C8099" s="43" t="n">
        <v>-46.550339</v>
      </c>
      <c r="D8099" s="43" t="n">
        <v>93</v>
      </c>
      <c r="E8099" s="44" t="n">
        <v>4590.3804</v>
      </c>
    </row>
    <row r="8100">
      <c r="A8100" s="39">
        <f>_xlfn.XLOOKUP(53119,Trip[shape_id],Trip[shape_id],"Não encontrado")</f>
        <v/>
      </c>
      <c r="B8100" s="40" t="n">
        <v>-23.550776</v>
      </c>
      <c r="C8100" s="40" t="n">
        <v>-46.550486</v>
      </c>
      <c r="D8100" s="40" t="n">
        <v>94</v>
      </c>
      <c r="E8100" s="41" t="n">
        <v>4613.8574</v>
      </c>
    </row>
    <row r="8101">
      <c r="A8101" s="42">
        <f>_xlfn.XLOOKUP(53119,Trip[shape_id],Trip[shape_id],"Não encontrado")</f>
        <v/>
      </c>
      <c r="B8101" s="43" t="n">
        <v>-23.55118</v>
      </c>
      <c r="C8101" s="43" t="n">
        <v>-46.550907</v>
      </c>
      <c r="D8101" s="43" t="n">
        <v>95</v>
      </c>
      <c r="E8101" s="44" t="n">
        <v>4675.9033</v>
      </c>
    </row>
    <row r="8102">
      <c r="A8102" s="39">
        <f>_xlfn.XLOOKUP(53119,Trip[shape_id],Trip[shape_id],"Não encontrado")</f>
        <v/>
      </c>
      <c r="B8102" s="40" t="n">
        <v>-23.55137</v>
      </c>
      <c r="C8102" s="40" t="n">
        <v>-46.551108</v>
      </c>
      <c r="D8102" s="40" t="n">
        <v>96</v>
      </c>
      <c r="E8102" s="41" t="n">
        <v>4705.2964</v>
      </c>
    </row>
    <row r="8103">
      <c r="A8103" s="42">
        <f>_xlfn.XLOOKUP(53119,Trip[shape_id],Trip[shape_id],"Não encontrado")</f>
        <v/>
      </c>
      <c r="B8103" s="43" t="n">
        <v>-23.551807</v>
      </c>
      <c r="C8103" s="43" t="n">
        <v>-46.551571</v>
      </c>
      <c r="D8103" s="43" t="n">
        <v>97</v>
      </c>
      <c r="E8103" s="44" t="n">
        <v>4772.9507</v>
      </c>
    </row>
    <row r="8104">
      <c r="A8104" s="39">
        <f>_xlfn.XLOOKUP(53119,Trip[shape_id],Trip[shape_id],"Não encontrado")</f>
        <v/>
      </c>
      <c r="B8104" s="40" t="n">
        <v>-23.551969</v>
      </c>
      <c r="C8104" s="40" t="n">
        <v>-46.551592</v>
      </c>
      <c r="D8104" s="40" t="n">
        <v>98</v>
      </c>
      <c r="E8104" s="41" t="n">
        <v>4791.02</v>
      </c>
    </row>
    <row r="8105">
      <c r="A8105" s="42">
        <f>_xlfn.XLOOKUP(53119,Trip[shape_id],Trip[shape_id],"Não encontrado")</f>
        <v/>
      </c>
      <c r="B8105" s="43" t="n">
        <v>-23.552006</v>
      </c>
      <c r="C8105" s="43" t="n">
        <v>-46.551764</v>
      </c>
      <c r="D8105" s="43" t="n">
        <v>99</v>
      </c>
      <c r="E8105" s="44" t="n">
        <v>4809.0532</v>
      </c>
    </row>
    <row r="8106">
      <c r="A8106" s="39">
        <f>_xlfn.XLOOKUP(53119,Trip[shape_id],Trip[shape_id],"Não encontrado")</f>
        <v/>
      </c>
      <c r="B8106" s="40" t="n">
        <v>-23.552109</v>
      </c>
      <c r="C8106" s="40" t="n">
        <v>-46.551869</v>
      </c>
      <c r="D8106" s="40" t="n">
        <v>100</v>
      </c>
      <c r="E8106" s="41" t="n">
        <v>4824.708</v>
      </c>
    </row>
    <row r="8107">
      <c r="A8107" s="42">
        <f>_xlfn.XLOOKUP(53119,Trip[shape_id],Trip[shape_id],"Não encontrado")</f>
        <v/>
      </c>
      <c r="B8107" s="43" t="n">
        <v>-23.552213</v>
      </c>
      <c r="C8107" s="43" t="n">
        <v>-46.551968</v>
      </c>
      <c r="D8107" s="43" t="n">
        <v>101</v>
      </c>
      <c r="E8107" s="44" t="n">
        <v>4840.0327</v>
      </c>
    </row>
    <row r="8108">
      <c r="A8108" s="39">
        <f>_xlfn.XLOOKUP(53119,Trip[shape_id],Trip[shape_id],"Não encontrado")</f>
        <v/>
      </c>
      <c r="B8108" s="40" t="n">
        <v>-23.552452</v>
      </c>
      <c r="C8108" s="40" t="n">
        <v>-46.552202</v>
      </c>
      <c r="D8108" s="40" t="n">
        <v>102</v>
      </c>
      <c r="E8108" s="41" t="n">
        <v>4875.6899</v>
      </c>
    </row>
    <row r="8109">
      <c r="A8109" s="42">
        <f>_xlfn.XLOOKUP(53119,Trip[shape_id],Trip[shape_id],"Não encontrado")</f>
        <v/>
      </c>
      <c r="B8109" s="43" t="n">
        <v>-23.552468</v>
      </c>
      <c r="C8109" s="43" t="n">
        <v>-46.552286</v>
      </c>
      <c r="D8109" s="43" t="n">
        <v>103</v>
      </c>
      <c r="E8109" s="44" t="n">
        <v>4884.4473</v>
      </c>
    </row>
    <row r="8110">
      <c r="A8110" s="39">
        <f>_xlfn.XLOOKUP(53119,Trip[shape_id],Trip[shape_id],"Não encontrado")</f>
        <v/>
      </c>
      <c r="B8110" s="40" t="n">
        <v>-23.552514</v>
      </c>
      <c r="C8110" s="40" t="n">
        <v>-46.55233</v>
      </c>
      <c r="D8110" s="40" t="n">
        <v>104</v>
      </c>
      <c r="E8110" s="41" t="n">
        <v>4895.0762</v>
      </c>
    </row>
    <row r="8111">
      <c r="A8111" s="42">
        <f>_xlfn.XLOOKUP(53119,Trip[shape_id],Trip[shape_id],"Não encontrado")</f>
        <v/>
      </c>
      <c r="B8111" s="43" t="n">
        <v>-23.552539</v>
      </c>
      <c r="C8111" s="43" t="n">
        <v>-46.552356</v>
      </c>
      <c r="D8111" s="43" t="n">
        <v>105</v>
      </c>
      <c r="E8111" s="44" t="n">
        <v>4899.1152</v>
      </c>
    </row>
    <row r="8112">
      <c r="A8112" s="39">
        <f>_xlfn.XLOOKUP(53119,Trip[shape_id],Trip[shape_id],"Não encontrado")</f>
        <v/>
      </c>
      <c r="B8112" s="40" t="n">
        <v>-23.552571</v>
      </c>
      <c r="C8112" s="40" t="n">
        <v>-46.552375</v>
      </c>
      <c r="D8112" s="40" t="n">
        <v>106</v>
      </c>
      <c r="E8112" s="41" t="n">
        <v>4902.0396</v>
      </c>
    </row>
    <row r="8113">
      <c r="A8113" s="42">
        <f>_xlfn.XLOOKUP(53119,Trip[shape_id],Trip[shape_id],"Não encontrado")</f>
        <v/>
      </c>
      <c r="B8113" s="43" t="n">
        <v>-23.552597</v>
      </c>
      <c r="C8113" s="43" t="n">
        <v>-46.55238</v>
      </c>
      <c r="D8113" s="43" t="n">
        <v>107</v>
      </c>
      <c r="E8113" s="44" t="n">
        <v>4917.1699</v>
      </c>
    </row>
    <row r="8114">
      <c r="A8114" s="39">
        <f>_xlfn.XLOOKUP(53119,Trip[shape_id],Trip[shape_id],"Não encontrado")</f>
        <v/>
      </c>
      <c r="B8114" s="40" t="n">
        <v>-23.552712</v>
      </c>
      <c r="C8114" s="40" t="n">
        <v>-46.55246</v>
      </c>
      <c r="D8114" s="40" t="n">
        <v>108</v>
      </c>
      <c r="E8114" s="41" t="n">
        <v>4951.3413</v>
      </c>
    </row>
    <row r="8115">
      <c r="A8115" s="42">
        <f>_xlfn.XLOOKUP(53119,Trip[shape_id],Trip[shape_id],"Não encontrado")</f>
        <v/>
      </c>
      <c r="B8115" s="43" t="n">
        <v>-23.552975</v>
      </c>
      <c r="C8115" s="43" t="n">
        <v>-46.552635</v>
      </c>
      <c r="D8115" s="43" t="n">
        <v>109</v>
      </c>
      <c r="E8115" s="44" t="n">
        <v>5002.6743</v>
      </c>
    </row>
    <row r="8116">
      <c r="A8116" s="39">
        <f>_xlfn.XLOOKUP(53119,Trip[shape_id],Trip[shape_id],"Não encontrado")</f>
        <v/>
      </c>
      <c r="B8116" s="40" t="n">
        <v>-23.553375</v>
      </c>
      <c r="C8116" s="40" t="n">
        <v>-46.552889</v>
      </c>
      <c r="D8116" s="40" t="n">
        <v>110</v>
      </c>
      <c r="E8116" s="41" t="n">
        <v>5047.5952</v>
      </c>
    </row>
    <row r="8117">
      <c r="A8117" s="42">
        <f>_xlfn.XLOOKUP(53119,Trip[shape_id],Trip[shape_id],"Não encontrado")</f>
        <v/>
      </c>
      <c r="B8117" s="43" t="n">
        <v>-23.553723</v>
      </c>
      <c r="C8117" s="43" t="n">
        <v>-46.553115</v>
      </c>
      <c r="D8117" s="43" t="n">
        <v>111</v>
      </c>
      <c r="E8117" s="44" t="n">
        <v>5047.5952</v>
      </c>
    </row>
    <row r="8118">
      <c r="A8118" s="39">
        <f>_xlfn.XLOOKUP(53119,Trip[shape_id],Trip[shape_id],"Não encontrado")</f>
        <v/>
      </c>
      <c r="B8118" s="40" t="n">
        <v>-23.554236</v>
      </c>
      <c r="C8118" s="40" t="n">
        <v>-46.553451</v>
      </c>
      <c r="D8118" s="40" t="n">
        <v>112</v>
      </c>
      <c r="E8118" s="41" t="n">
        <v>5124.9697</v>
      </c>
    </row>
    <row r="8119">
      <c r="A8119" s="42">
        <f>_xlfn.XLOOKUP(53119,Trip[shape_id],Trip[shape_id],"Não encontrado")</f>
        <v/>
      </c>
      <c r="B8119" s="43" t="n">
        <v>-23.554322</v>
      </c>
      <c r="C8119" s="43" t="n">
        <v>-46.553505</v>
      </c>
      <c r="D8119" s="43" t="n">
        <v>113</v>
      </c>
      <c r="E8119" s="44" t="n">
        <v>5135.0205</v>
      </c>
    </row>
    <row r="8120">
      <c r="A8120" s="39">
        <f>_xlfn.XLOOKUP(53119,Trip[shape_id],Trip[shape_id],"Não encontrado")</f>
        <v/>
      </c>
      <c r="B8120" s="40" t="n">
        <v>-23.554409</v>
      </c>
      <c r="C8120" s="40" t="n">
        <v>-46.553533</v>
      </c>
      <c r="D8120" s="40" t="n">
        <v>114</v>
      </c>
      <c r="E8120" s="41" t="n">
        <v>5146.0117</v>
      </c>
    </row>
    <row r="8121">
      <c r="A8121" s="42">
        <f>_xlfn.XLOOKUP(53119,Trip[shape_id],Trip[shape_id],"Não encontrado")</f>
        <v/>
      </c>
      <c r="B8121" s="43" t="n">
        <v>-23.554507</v>
      </c>
      <c r="C8121" s="43" t="n">
        <v>-46.55355</v>
      </c>
      <c r="D8121" s="43" t="n">
        <v>115</v>
      </c>
      <c r="E8121" s="44" t="n">
        <v>5152.9155</v>
      </c>
    </row>
    <row r="8122">
      <c r="A8122" s="39">
        <f>_xlfn.XLOOKUP(53119,Trip[shape_id],Trip[shape_id],"Não encontrado")</f>
        <v/>
      </c>
      <c r="B8122" s="40" t="n">
        <v>-23.554569</v>
      </c>
      <c r="C8122" s="40" t="n">
        <v>-46.553543</v>
      </c>
      <c r="D8122" s="40" t="n">
        <v>116</v>
      </c>
      <c r="E8122" s="41" t="n">
        <v>5159.8657</v>
      </c>
    </row>
    <row r="8123">
      <c r="A8123" s="42">
        <f>_xlfn.XLOOKUP(53119,Trip[shape_id],Trip[shape_id],"Não encontrado")</f>
        <v/>
      </c>
      <c r="B8123" s="43" t="n">
        <v>-23.55463</v>
      </c>
      <c r="C8123" s="43" t="n">
        <v>-46.553527</v>
      </c>
      <c r="D8123" s="43" t="n">
        <v>117</v>
      </c>
      <c r="E8123" s="44" t="n">
        <v>5168.5225</v>
      </c>
    </row>
    <row r="8124">
      <c r="A8124" s="39">
        <f>_xlfn.XLOOKUP(53119,Trip[shape_id],Trip[shape_id],"Não encontrado")</f>
        <v/>
      </c>
      <c r="B8124" s="40" t="n">
        <v>-23.554702</v>
      </c>
      <c r="C8124" s="40" t="n">
        <v>-46.553494</v>
      </c>
      <c r="D8124" s="40" t="n">
        <v>118</v>
      </c>
      <c r="E8124" s="41" t="n">
        <v>5175.6895</v>
      </c>
    </row>
    <row r="8125">
      <c r="A8125" s="42">
        <f>_xlfn.XLOOKUP(53119,Trip[shape_id],Trip[shape_id],"Não encontrado")</f>
        <v/>
      </c>
      <c r="B8125" s="43" t="n">
        <v>-23.554757</v>
      </c>
      <c r="C8125" s="43" t="n">
        <v>-46.553457</v>
      </c>
      <c r="D8125" s="43" t="n">
        <v>119</v>
      </c>
      <c r="E8125" s="44" t="n">
        <v>5184.5762</v>
      </c>
    </row>
    <row r="8126">
      <c r="A8126" s="39">
        <f>_xlfn.XLOOKUP(53119,Trip[shape_id],Trip[shape_id],"Não encontrado")</f>
        <v/>
      </c>
      <c r="B8126" s="40" t="n">
        <v>-23.554816</v>
      </c>
      <c r="C8126" s="40" t="n">
        <v>-46.553398</v>
      </c>
      <c r="D8126" s="40" t="n">
        <v>120</v>
      </c>
      <c r="E8126" s="41" t="n">
        <v>5196.147</v>
      </c>
    </row>
    <row r="8127">
      <c r="A8127" s="42">
        <f>_xlfn.XLOOKUP(53119,Trip[shape_id],Trip[shape_id],"Não encontrado")</f>
        <v/>
      </c>
      <c r="B8127" s="43" t="n">
        <v>-23.554877</v>
      </c>
      <c r="C8127" s="43" t="n">
        <v>-46.553306</v>
      </c>
      <c r="D8127" s="43" t="n">
        <v>121</v>
      </c>
      <c r="E8127" s="44" t="n">
        <v>5230.7378</v>
      </c>
    </row>
    <row r="8128">
      <c r="A8128" s="39">
        <f>_xlfn.XLOOKUP(53119,Trip[shape_id],Trip[shape_id],"Não encontrado")</f>
        <v/>
      </c>
      <c r="B8128" s="40" t="n">
        <v>-23.55504</v>
      </c>
      <c r="C8128" s="40" t="n">
        <v>-46.553017</v>
      </c>
      <c r="D8128" s="40" t="n">
        <v>122</v>
      </c>
      <c r="E8128" s="41" t="n">
        <v>5257.418</v>
      </c>
    </row>
    <row r="8129">
      <c r="A8129" s="42">
        <f>_xlfn.XLOOKUP(53119,Trip[shape_id],Trip[shape_id],"Não encontrado")</f>
        <v/>
      </c>
      <c r="B8129" s="43" t="n">
        <v>-23.55517</v>
      </c>
      <c r="C8129" s="43" t="n">
        <v>-46.552797</v>
      </c>
      <c r="D8129" s="43" t="n">
        <v>123</v>
      </c>
      <c r="E8129" s="44" t="n">
        <v>5268.7485</v>
      </c>
    </row>
    <row r="8130">
      <c r="A8130" s="39">
        <f>_xlfn.XLOOKUP(53119,Trip[shape_id],Trip[shape_id],"Não encontrado")</f>
        <v/>
      </c>
      <c r="B8130" s="40" t="n">
        <v>-23.555218</v>
      </c>
      <c r="C8130" s="40" t="n">
        <v>-46.552699</v>
      </c>
      <c r="D8130" s="40" t="n">
        <v>124</v>
      </c>
      <c r="E8130" s="41" t="n">
        <v>5268.7485</v>
      </c>
    </row>
    <row r="8131">
      <c r="A8131" s="42">
        <f>_xlfn.XLOOKUP(53119,Trip[shape_id],Trip[shape_id],"Não encontrado")</f>
        <v/>
      </c>
      <c r="B8131" s="43" t="n">
        <v>-23.55525</v>
      </c>
      <c r="C8131" s="43" t="n">
        <v>-46.552619</v>
      </c>
      <c r="D8131" s="43" t="n">
        <v>125</v>
      </c>
      <c r="E8131" s="44" t="n">
        <v>5352.8916</v>
      </c>
    </row>
    <row r="8132">
      <c r="A8132" s="39">
        <f>_xlfn.XLOOKUP(53119,Trip[shape_id],Trip[shape_id],"Não encontrado")</f>
        <v/>
      </c>
      <c r="B8132" s="40" t="n">
        <v>-23.555491</v>
      </c>
      <c r="C8132" s="40" t="n">
        <v>-46.55193</v>
      </c>
      <c r="D8132" s="40" t="n">
        <v>126</v>
      </c>
      <c r="E8132" s="41" t="n">
        <v>5352.8916</v>
      </c>
    </row>
    <row r="8133">
      <c r="A8133" s="42">
        <f>_xlfn.XLOOKUP(53119,Trip[shape_id],Trip[shape_id],"Não encontrado")</f>
        <v/>
      </c>
      <c r="B8133" s="43" t="n">
        <v>-23.555691</v>
      </c>
      <c r="C8133" s="43" t="n">
        <v>-46.551339</v>
      </c>
      <c r="D8133" s="43" t="n">
        <v>127</v>
      </c>
      <c r="E8133" s="44" t="n">
        <v>5431.7676</v>
      </c>
    </row>
    <row r="8134">
      <c r="A8134" s="39">
        <f>_xlfn.XLOOKUP(53119,Trip[shape_id],Trip[shape_id],"Não encontrado")</f>
        <v/>
      </c>
      <c r="B8134" s="40" t="n">
        <v>-23.555737</v>
      </c>
      <c r="C8134" s="40" t="n">
        <v>-46.551205</v>
      </c>
      <c r="D8134" s="40" t="n">
        <v>128</v>
      </c>
      <c r="E8134" s="41" t="n">
        <v>5451.124</v>
      </c>
    </row>
    <row r="8135">
      <c r="A8135" s="42">
        <f>_xlfn.XLOOKUP(53119,Trip[shape_id],Trip[shape_id],"Não encontrado")</f>
        <v/>
      </c>
      <c r="B8135" s="43" t="n">
        <v>-23.555818</v>
      </c>
      <c r="C8135" s="43" t="n">
        <v>-46.551037</v>
      </c>
      <c r="D8135" s="43" t="n">
        <v>129</v>
      </c>
      <c r="E8135" s="44" t="n">
        <v>5464.0864</v>
      </c>
    </row>
    <row r="8136">
      <c r="A8136" s="39">
        <f>_xlfn.XLOOKUP(53119,Trip[shape_id],Trip[shape_id],"Não encontrado")</f>
        <v/>
      </c>
      <c r="B8136" s="40" t="n">
        <v>-23.555881</v>
      </c>
      <c r="C8136" s="40" t="n">
        <v>-46.55093</v>
      </c>
      <c r="D8136" s="40" t="n">
        <v>130</v>
      </c>
      <c r="E8136" s="41" t="n">
        <v>5480.9814</v>
      </c>
    </row>
    <row r="8137">
      <c r="A8137" s="42">
        <f>_xlfn.XLOOKUP(53119,Trip[shape_id],Trip[shape_id],"Não encontrado")</f>
        <v/>
      </c>
      <c r="B8137" s="43" t="n">
        <v>-23.555987</v>
      </c>
      <c r="C8137" s="43" t="n">
        <v>-46.550811</v>
      </c>
      <c r="D8137" s="43" t="n">
        <v>131</v>
      </c>
      <c r="E8137" s="44" t="n">
        <v>5495.1919</v>
      </c>
    </row>
    <row r="8138">
      <c r="A8138" s="39">
        <f>_xlfn.XLOOKUP(53119,Trip[shape_id],Trip[shape_id],"Não encontrado")</f>
        <v/>
      </c>
      <c r="B8138" s="40" t="n">
        <v>-23.55609</v>
      </c>
      <c r="C8138" s="40" t="n">
        <v>-46.550728</v>
      </c>
      <c r="D8138" s="40" t="n">
        <v>132</v>
      </c>
      <c r="E8138" s="41" t="n">
        <v>5512.6396</v>
      </c>
    </row>
    <row r="8139">
      <c r="A8139" s="42">
        <f>_xlfn.XLOOKUP(53119,Trip[shape_id],Trip[shape_id],"Não encontrado")</f>
        <v/>
      </c>
      <c r="B8139" s="43" t="n">
        <v>-23.556232</v>
      </c>
      <c r="C8139" s="43" t="n">
        <v>-46.550654</v>
      </c>
      <c r="D8139" s="43" t="n">
        <v>133</v>
      </c>
      <c r="E8139" s="44" t="n">
        <v>5535.2437</v>
      </c>
    </row>
    <row r="8140">
      <c r="A8140" s="39">
        <f>_xlfn.XLOOKUP(53119,Trip[shape_id],Trip[shape_id],"Não encontrado")</f>
        <v/>
      </c>
      <c r="B8140" s="40" t="n">
        <v>-23.556425</v>
      </c>
      <c r="C8140" s="40" t="n">
        <v>-46.550582</v>
      </c>
      <c r="D8140" s="40" t="n">
        <v>134</v>
      </c>
      <c r="E8140" s="41" t="n">
        <v>5535.2437</v>
      </c>
    </row>
    <row r="8141">
      <c r="A8141" s="42">
        <f>_xlfn.XLOOKUP(53119,Trip[shape_id],Trip[shape_id],"Não encontrado")</f>
        <v/>
      </c>
      <c r="B8141" s="43" t="n">
        <v>-23.557297</v>
      </c>
      <c r="C8141" s="43" t="n">
        <v>-46.551244</v>
      </c>
      <c r="D8141" s="43" t="n">
        <v>135</v>
      </c>
      <c r="E8141" s="44" t="n">
        <v>5653.1206</v>
      </c>
    </row>
    <row r="8142">
      <c r="A8142" s="39">
        <f>_xlfn.XLOOKUP(53119,Trip[shape_id],Trip[shape_id],"Não encontrado")</f>
        <v/>
      </c>
      <c r="B8142" s="40" t="n">
        <v>-23.557814</v>
      </c>
      <c r="C8142" s="40" t="n">
        <v>-46.551638</v>
      </c>
      <c r="D8142" s="40" t="n">
        <v>136</v>
      </c>
      <c r="E8142" s="41" t="n">
        <v>5723.0972</v>
      </c>
    </row>
    <row r="8143">
      <c r="A8143" s="42">
        <f>_xlfn.XLOOKUP(53119,Trip[shape_id],Trip[shape_id],"Não encontrado")</f>
        <v/>
      </c>
      <c r="B8143" s="43" t="n">
        <v>-23.55855</v>
      </c>
      <c r="C8143" s="43" t="n">
        <v>-46.552198</v>
      </c>
      <c r="D8143" s="43" t="n">
        <v>137</v>
      </c>
      <c r="E8143" s="44" t="n">
        <v>5822.6626</v>
      </c>
    </row>
    <row r="8144">
      <c r="A8144" s="39">
        <f>_xlfn.XLOOKUP(53119,Trip[shape_id],Trip[shape_id],"Não encontrado")</f>
        <v/>
      </c>
      <c r="B8144" s="40" t="n">
        <v>-23.558763</v>
      </c>
      <c r="C8144" s="40" t="n">
        <v>-46.552181</v>
      </c>
      <c r="D8144" s="40" t="n">
        <v>138</v>
      </c>
      <c r="E8144" s="41" t="n">
        <v>5861.6289</v>
      </c>
    </row>
    <row r="8145">
      <c r="A8145" s="42">
        <f>_xlfn.XLOOKUP(53119,Trip[shape_id],Trip[shape_id],"Não encontrado")</f>
        <v/>
      </c>
      <c r="B8145" s="43" t="n">
        <v>-23.558899</v>
      </c>
      <c r="C8145" s="43" t="n">
        <v>-46.552154</v>
      </c>
      <c r="D8145" s="43" t="n">
        <v>139</v>
      </c>
      <c r="E8145" s="44" t="n">
        <v>5868.2598</v>
      </c>
    </row>
    <row r="8146">
      <c r="A8146" s="39">
        <f>_xlfn.XLOOKUP(53119,Trip[shape_id],Trip[shape_id],"Não encontrado")</f>
        <v/>
      </c>
      <c r="B8146" s="40" t="n">
        <v>-23.558958</v>
      </c>
      <c r="C8146" s="40" t="n">
        <v>-46.552143</v>
      </c>
      <c r="D8146" s="40" t="n">
        <v>140</v>
      </c>
      <c r="E8146" s="41" t="n">
        <v>5875.4502</v>
      </c>
    </row>
    <row r="8147">
      <c r="A8147" s="42">
        <f>_xlfn.XLOOKUP(53119,Trip[shape_id],Trip[shape_id],"Não encontrado")</f>
        <v/>
      </c>
      <c r="B8147" s="43" t="n">
        <v>-23.559021</v>
      </c>
      <c r="C8147" s="43" t="n">
        <v>-46.552126</v>
      </c>
      <c r="D8147" s="43" t="n">
        <v>141</v>
      </c>
      <c r="E8147" s="44" t="n">
        <v>5879.7188</v>
      </c>
    </row>
    <row r="8148">
      <c r="A8148" s="39">
        <f>_xlfn.XLOOKUP(53119,Trip[shape_id],Trip[shape_id],"Não encontrado")</f>
        <v/>
      </c>
      <c r="B8148" s="40" t="n">
        <v>-23.559059</v>
      </c>
      <c r="C8148" s="40" t="n">
        <v>-46.552119</v>
      </c>
      <c r="D8148" s="40" t="n">
        <v>142</v>
      </c>
      <c r="E8148" s="41" t="n">
        <v>5885.7373</v>
      </c>
    </row>
    <row r="8149">
      <c r="A8149" s="42">
        <f>_xlfn.XLOOKUP(53119,Trip[shape_id],Trip[shape_id],"Não encontrado")</f>
        <v/>
      </c>
      <c r="B8149" s="43" t="n">
        <v>-23.559112</v>
      </c>
      <c r="C8149" s="43" t="n">
        <v>-46.552106</v>
      </c>
      <c r="D8149" s="43" t="n">
        <v>143</v>
      </c>
      <c r="E8149" s="44" t="n">
        <v>5896.2275</v>
      </c>
    </row>
    <row r="8150">
      <c r="A8150" s="39">
        <f>_xlfn.XLOOKUP(53119,Trip[shape_id],Trip[shape_id],"Não encontrado")</f>
        <v/>
      </c>
      <c r="B8150" s="40" t="n">
        <v>-23.5592</v>
      </c>
      <c r="C8150" s="40" t="n">
        <v>-46.552068</v>
      </c>
      <c r="D8150" s="40" t="n">
        <v>144</v>
      </c>
      <c r="E8150" s="41" t="n">
        <v>5903.2808</v>
      </c>
    </row>
    <row r="8151">
      <c r="A8151" s="42">
        <f>_xlfn.XLOOKUP(53119,Trip[shape_id],Trip[shape_id],"Não encontrado")</f>
        <v/>
      </c>
      <c r="B8151" s="43" t="n">
        <v>-23.559259</v>
      </c>
      <c r="C8151" s="43" t="n">
        <v>-46.552042</v>
      </c>
      <c r="D8151" s="43" t="n">
        <v>145</v>
      </c>
      <c r="E8151" s="44" t="n">
        <v>5911.9028</v>
      </c>
    </row>
    <row r="8152">
      <c r="A8152" s="39">
        <f>_xlfn.XLOOKUP(53119,Trip[shape_id],Trip[shape_id],"Não encontrado")</f>
        <v/>
      </c>
      <c r="B8152" s="40" t="n">
        <v>-23.559326</v>
      </c>
      <c r="C8152" s="40" t="n">
        <v>-46.551999</v>
      </c>
      <c r="D8152" s="40" t="n">
        <v>146</v>
      </c>
      <c r="E8152" s="41" t="n">
        <v>5923.562</v>
      </c>
    </row>
    <row r="8153">
      <c r="A8153" s="42">
        <f>_xlfn.XLOOKUP(53119,Trip[shape_id],Trip[shape_id],"Não encontrado")</f>
        <v/>
      </c>
      <c r="B8153" s="43" t="n">
        <v>-23.559415</v>
      </c>
      <c r="C8153" s="43" t="n">
        <v>-46.551938</v>
      </c>
      <c r="D8153" s="43" t="n">
        <v>147</v>
      </c>
      <c r="E8153" s="44" t="n">
        <v>5945.585</v>
      </c>
    </row>
    <row r="8154">
      <c r="A8154" s="39">
        <f>_xlfn.XLOOKUP(53119,Trip[shape_id],Trip[shape_id],"Não encontrado")</f>
        <v/>
      </c>
      <c r="B8154" s="40" t="n">
        <v>-23.559557</v>
      </c>
      <c r="C8154" s="40" t="n">
        <v>-46.551787</v>
      </c>
      <c r="D8154" s="40" t="n">
        <v>148</v>
      </c>
      <c r="E8154" s="41" t="n">
        <v>6012.4883</v>
      </c>
    </row>
    <row r="8155">
      <c r="A8155" s="42">
        <f>_xlfn.XLOOKUP(53119,Trip[shape_id],Trip[shape_id],"Não encontrado")</f>
        <v/>
      </c>
      <c r="B8155" s="43" t="n">
        <v>-23.559997</v>
      </c>
      <c r="C8155" s="43" t="n">
        <v>-46.551338</v>
      </c>
      <c r="D8155" s="43" t="n">
        <v>149</v>
      </c>
      <c r="E8155" s="44" t="n">
        <v>6012.4883</v>
      </c>
    </row>
    <row r="8156">
      <c r="A8156" s="39">
        <f>_xlfn.XLOOKUP(53119,Trip[shape_id],Trip[shape_id],"Não encontrado")</f>
        <v/>
      </c>
      <c r="B8156" s="40" t="n">
        <v>-23.560201</v>
      </c>
      <c r="C8156" s="40" t="n">
        <v>-46.551124</v>
      </c>
      <c r="D8156" s="40" t="n">
        <v>150</v>
      </c>
      <c r="E8156" s="41" t="n">
        <v>6043.9175</v>
      </c>
    </row>
    <row r="8157">
      <c r="A8157" s="42">
        <f>_xlfn.XLOOKUP(53119,Trip[shape_id],Trip[shape_id],"Não encontrado")</f>
        <v/>
      </c>
      <c r="B8157" s="43" t="n">
        <v>-23.560328</v>
      </c>
      <c r="C8157" s="43" t="n">
        <v>-46.550999</v>
      </c>
      <c r="D8157" s="43" t="n">
        <v>151</v>
      </c>
      <c r="E8157" s="44" t="n">
        <v>6062.9097</v>
      </c>
    </row>
    <row r="8158">
      <c r="A8158" s="39">
        <f>_xlfn.XLOOKUP(53119,Trip[shape_id],Trip[shape_id],"Não encontrado")</f>
        <v/>
      </c>
      <c r="B8158" s="40" t="n">
        <v>-23.560591</v>
      </c>
      <c r="C8158" s="40" t="n">
        <v>-46.550723</v>
      </c>
      <c r="D8158" s="40" t="n">
        <v>152</v>
      </c>
      <c r="E8158" s="41" t="n">
        <v>6103.4365</v>
      </c>
    </row>
    <row r="8159">
      <c r="A8159" s="42">
        <f>_xlfn.XLOOKUP(53119,Trip[shape_id],Trip[shape_id],"Não encontrado")</f>
        <v/>
      </c>
      <c r="B8159" s="43" t="n">
        <v>-23.561449</v>
      </c>
      <c r="C8159" s="43" t="n">
        <v>-46.54984</v>
      </c>
      <c r="D8159" s="43" t="n">
        <v>153</v>
      </c>
      <c r="E8159" s="44" t="n">
        <v>6234.4199</v>
      </c>
    </row>
    <row r="8160">
      <c r="A8160" s="39">
        <f>_xlfn.XLOOKUP(53119,Trip[shape_id],Trip[shape_id],"Não encontrado")</f>
        <v/>
      </c>
      <c r="B8160" s="40" t="n">
        <v>-23.561523</v>
      </c>
      <c r="C8160" s="40" t="n">
        <v>-46.549735</v>
      </c>
      <c r="D8160" s="40" t="n">
        <v>154</v>
      </c>
      <c r="E8160" s="41" t="n">
        <v>6247.9136</v>
      </c>
    </row>
    <row r="8161">
      <c r="A8161" s="42">
        <f>_xlfn.XLOOKUP(53119,Trip[shape_id],Trip[shape_id],"Não encontrado")</f>
        <v/>
      </c>
      <c r="B8161" s="43" t="n">
        <v>-23.561665</v>
      </c>
      <c r="C8161" s="43" t="n">
        <v>-46.549582</v>
      </c>
      <c r="D8161" s="43" t="n">
        <v>155</v>
      </c>
      <c r="E8161" s="44" t="n">
        <v>6336.8965</v>
      </c>
    </row>
    <row r="8162">
      <c r="A8162" s="39">
        <f>_xlfn.XLOOKUP(53119,Trip[shape_id],Trip[shape_id],"Não encontrado")</f>
        <v/>
      </c>
      <c r="B8162" s="40" t="n">
        <v>-23.562123</v>
      </c>
      <c r="C8162" s="40" t="n">
        <v>-46.549156</v>
      </c>
      <c r="D8162" s="40" t="n">
        <v>156</v>
      </c>
      <c r="E8162" s="41" t="n">
        <v>6336.8965</v>
      </c>
    </row>
    <row r="8163">
      <c r="A8163" s="42">
        <f>_xlfn.XLOOKUP(53119,Trip[shape_id],Trip[shape_id],"Não encontrado")</f>
        <v/>
      </c>
      <c r="B8163" s="43" t="n">
        <v>-23.562236</v>
      </c>
      <c r="C8163" s="43" t="n">
        <v>-46.549032</v>
      </c>
      <c r="D8163" s="43" t="n">
        <v>157</v>
      </c>
      <c r="E8163" s="44" t="n">
        <v>6354.6978</v>
      </c>
    </row>
    <row r="8164">
      <c r="A8164" s="39">
        <f>_xlfn.XLOOKUP(53119,Trip[shape_id],Trip[shape_id],"Não encontrado")</f>
        <v/>
      </c>
      <c r="B8164" s="40" t="n">
        <v>-23.562385</v>
      </c>
      <c r="C8164" s="40" t="n">
        <v>-46.548852</v>
      </c>
      <c r="D8164" s="40" t="n">
        <v>158</v>
      </c>
      <c r="E8164" s="41" t="n">
        <v>6379.3965</v>
      </c>
    </row>
    <row r="8165">
      <c r="A8165" s="42">
        <f>_xlfn.XLOOKUP(53119,Trip[shape_id],Trip[shape_id],"Não encontrado")</f>
        <v/>
      </c>
      <c r="B8165" s="43" t="n">
        <v>-23.562249</v>
      </c>
      <c r="C8165" s="43" t="n">
        <v>-46.548855</v>
      </c>
      <c r="D8165" s="43" t="n">
        <v>159</v>
      </c>
      <c r="E8165" s="44" t="n">
        <v>6412.0449</v>
      </c>
    </row>
    <row r="8166">
      <c r="A8166" s="39">
        <f>_xlfn.XLOOKUP(53119,Trip[shape_id],Trip[shape_id],"Não encontrado")</f>
        <v/>
      </c>
      <c r="B8166" s="40" t="n">
        <v>-23.562093</v>
      </c>
      <c r="C8166" s="40" t="n">
        <v>-46.548823</v>
      </c>
      <c r="D8166" s="40" t="n">
        <v>160</v>
      </c>
      <c r="E8166" s="41" t="n">
        <v>6425.4482</v>
      </c>
    </row>
    <row r="8167">
      <c r="A8167" s="42">
        <f>_xlfn.XLOOKUP(53119,Trip[shape_id],Trip[shape_id],"Não encontrado")</f>
        <v/>
      </c>
      <c r="B8167" s="43" t="n">
        <v>-23.56198</v>
      </c>
      <c r="C8167" s="43" t="n">
        <v>-46.548776</v>
      </c>
      <c r="D8167" s="43" t="n">
        <v>161</v>
      </c>
      <c r="E8167" s="44" t="n">
        <v>6425.4482</v>
      </c>
    </row>
    <row r="8168">
      <c r="A8168" s="39">
        <f>_xlfn.XLOOKUP(53119,Trip[shape_id],Trip[shape_id],"Não encontrado")</f>
        <v/>
      </c>
      <c r="B8168" s="40" t="n">
        <v>-23.56177</v>
      </c>
      <c r="C8168" s="40" t="n">
        <v>-46.548657</v>
      </c>
      <c r="D8168" s="40" t="n">
        <v>162</v>
      </c>
      <c r="E8168" s="41" t="n">
        <v>6467.1191</v>
      </c>
    </row>
    <row r="8169">
      <c r="A8169" s="42">
        <f>_xlfn.XLOOKUP(53119,Trip[shape_id],Trip[shape_id],"Não encontrado")</f>
        <v/>
      </c>
      <c r="B8169" s="43" t="n">
        <v>-23.561647</v>
      </c>
      <c r="C8169" s="43" t="n">
        <v>-46.548586</v>
      </c>
      <c r="D8169" s="43" t="n">
        <v>163</v>
      </c>
      <c r="E8169" s="44" t="n">
        <v>6486.251</v>
      </c>
    </row>
    <row r="8170">
      <c r="A8170" s="39">
        <f>_xlfn.XLOOKUP(53119,Trip[shape_id],Trip[shape_id],"Não encontrado")</f>
        <v/>
      </c>
      <c r="B8170" s="40" t="n">
        <v>-23.561494</v>
      </c>
      <c r="C8170" s="40" t="n">
        <v>-46.548499</v>
      </c>
      <c r="D8170" s="40" t="n">
        <v>164</v>
      </c>
      <c r="E8170" s="41" t="n">
        <v>6509.9834</v>
      </c>
    </row>
    <row r="8171">
      <c r="A8171" s="42">
        <f>_xlfn.XLOOKUP(53119,Trip[shape_id],Trip[shape_id],"Não encontrado")</f>
        <v/>
      </c>
      <c r="B8171" s="43" t="n">
        <v>-23.561328</v>
      </c>
      <c r="C8171" s="43" t="n">
        <v>-46.548352</v>
      </c>
      <c r="D8171" s="43" t="n">
        <v>165</v>
      </c>
      <c r="E8171" s="44" t="n">
        <v>6523.5283</v>
      </c>
    </row>
    <row r="8172">
      <c r="A8172" s="39">
        <f>_xlfn.XLOOKUP(53119,Trip[shape_id],Trip[shape_id],"Não encontrado")</f>
        <v/>
      </c>
      <c r="B8172" s="40" t="n">
        <v>-23.561239</v>
      </c>
      <c r="C8172" s="40" t="n">
        <v>-46.548261</v>
      </c>
      <c r="D8172" s="40" t="n">
        <v>166</v>
      </c>
      <c r="E8172" s="41" t="n">
        <v>6523.5283</v>
      </c>
    </row>
    <row r="8173">
      <c r="A8173" s="42">
        <f>_xlfn.XLOOKUP(53119,Trip[shape_id],Trip[shape_id],"Não encontrado")</f>
        <v/>
      </c>
      <c r="B8173" s="43" t="n">
        <v>-23.56109</v>
      </c>
      <c r="C8173" s="43" t="n">
        <v>-46.548081</v>
      </c>
      <c r="D8173" s="43" t="n">
        <v>167</v>
      </c>
      <c r="E8173" s="44" t="n">
        <v>6564.4512</v>
      </c>
    </row>
    <row r="8174">
      <c r="A8174" s="39">
        <f>_xlfn.XLOOKUP(53119,Trip[shape_id],Trip[shape_id],"Não encontrado")</f>
        <v/>
      </c>
      <c r="B8174" s="40" t="n">
        <v>-23.560987</v>
      </c>
      <c r="C8174" s="40" t="n">
        <v>-46.547968</v>
      </c>
      <c r="D8174" s="40" t="n">
        <v>168</v>
      </c>
      <c r="E8174" s="41" t="n">
        <v>6571.9912</v>
      </c>
    </row>
    <row r="8175">
      <c r="A8175" s="42">
        <f>_xlfn.XLOOKUP(53119,Trip[shape_id],Trip[shape_id],"Não encontrado")</f>
        <v/>
      </c>
      <c r="B8175" s="43" t="n">
        <v>-23.560931</v>
      </c>
      <c r="C8175" s="43" t="n">
        <v>-46.547926</v>
      </c>
      <c r="D8175" s="43" t="n">
        <v>169</v>
      </c>
      <c r="E8175" s="44" t="n">
        <v>6582.6289</v>
      </c>
    </row>
    <row r="8176">
      <c r="A8176" s="39">
        <f>_xlfn.XLOOKUP(53119,Trip[shape_id],Trip[shape_id],"Não encontrado")</f>
        <v/>
      </c>
      <c r="B8176" s="40" t="n">
        <v>-23.56085</v>
      </c>
      <c r="C8176" s="40" t="n">
        <v>-46.54787</v>
      </c>
      <c r="D8176" s="40" t="n">
        <v>170</v>
      </c>
      <c r="E8176" s="41" t="n">
        <v>6605.8242</v>
      </c>
    </row>
    <row r="8177">
      <c r="A8177" s="42">
        <f>_xlfn.XLOOKUP(53119,Trip[shape_id],Trip[shape_id],"Não encontrado")</f>
        <v/>
      </c>
      <c r="B8177" s="43" t="n">
        <v>-23.560644</v>
      </c>
      <c r="C8177" s="43" t="n">
        <v>-46.547829</v>
      </c>
      <c r="D8177" s="43" t="n">
        <v>171</v>
      </c>
      <c r="E8177" s="44" t="n">
        <v>6695.792</v>
      </c>
    </row>
    <row r="8178">
      <c r="A8178" s="39">
        <f>_xlfn.XLOOKUP(53119,Trip[shape_id],Trip[shape_id],"Não encontrado")</f>
        <v/>
      </c>
      <c r="B8178" s="40" t="n">
        <v>-23.559844</v>
      </c>
      <c r="C8178" s="40" t="n">
        <v>-46.547676</v>
      </c>
      <c r="D8178" s="40" t="n">
        <v>172</v>
      </c>
      <c r="E8178" s="41" t="n">
        <v>6695.792</v>
      </c>
    </row>
    <row r="8179">
      <c r="A8179" s="42">
        <f>_xlfn.XLOOKUP(53119,Trip[shape_id],Trip[shape_id],"Não encontrado")</f>
        <v/>
      </c>
      <c r="B8179" s="43" t="n">
        <v>-23.559369</v>
      </c>
      <c r="C8179" s="43" t="n">
        <v>-46.547588</v>
      </c>
      <c r="D8179" s="43" t="n">
        <v>173</v>
      </c>
      <c r="E8179" s="44" t="n">
        <v>6749.1606</v>
      </c>
    </row>
    <row r="8180">
      <c r="A8180" s="39">
        <f>_xlfn.XLOOKUP(53119,Trip[shape_id],Trip[shape_id],"Não encontrado")</f>
        <v/>
      </c>
      <c r="B8180" s="40" t="n">
        <v>-23.559375</v>
      </c>
      <c r="C8180" s="40" t="n">
        <v>-46.547165</v>
      </c>
      <c r="D8180" s="40" t="n">
        <v>174</v>
      </c>
      <c r="E8180" s="41" t="n">
        <v>6792.3521</v>
      </c>
    </row>
    <row r="8181">
      <c r="A8181" s="42">
        <f>_xlfn.XLOOKUP(53119,Trip[shape_id],Trip[shape_id],"Não encontrado")</f>
        <v/>
      </c>
      <c r="B8181" s="43" t="n">
        <v>-23.559373</v>
      </c>
      <c r="C8181" s="43" t="n">
        <v>-46.546841</v>
      </c>
      <c r="D8181" s="43" t="n">
        <v>175</v>
      </c>
      <c r="E8181" s="44" t="n">
        <v>6846.4106</v>
      </c>
    </row>
    <row r="8182">
      <c r="A8182" s="39">
        <f>_xlfn.XLOOKUP(53119,Trip[shape_id],Trip[shape_id],"Não encontrado")</f>
        <v/>
      </c>
      <c r="B8182" s="40" t="n">
        <v>-23.55936</v>
      </c>
      <c r="C8182" s="40" t="n">
        <v>-46.546636</v>
      </c>
      <c r="D8182" s="40" t="n">
        <v>176</v>
      </c>
      <c r="E8182" s="41" t="n">
        <v>6852.5361</v>
      </c>
    </row>
    <row r="8183">
      <c r="A8183" s="42">
        <f>_xlfn.XLOOKUP(53119,Trip[shape_id],Trip[shape_id],"Não encontrado")</f>
        <v/>
      </c>
      <c r="B8183" s="43" t="n">
        <v>-23.55936</v>
      </c>
      <c r="C8183" s="43" t="n">
        <v>-46.546576</v>
      </c>
      <c r="D8183" s="43" t="n">
        <v>177</v>
      </c>
      <c r="E8183" s="44" t="n">
        <v>6852.5361</v>
      </c>
    </row>
    <row r="8184">
      <c r="A8184" s="39">
        <f>_xlfn.XLOOKUP(53119,Trip[shape_id],Trip[shape_id],"Não encontrado")</f>
        <v/>
      </c>
      <c r="B8184" s="40" t="n">
        <v>-23.559345</v>
      </c>
      <c r="C8184" s="40" t="n">
        <v>-46.54638</v>
      </c>
      <c r="D8184" s="40" t="n">
        <v>178</v>
      </c>
      <c r="E8184" s="41" t="n">
        <v>6889.9805</v>
      </c>
    </row>
    <row r="8185">
      <c r="A8185" s="42">
        <f>_xlfn.XLOOKUP(53119,Trip[shape_id],Trip[shape_id],"Não encontrado")</f>
        <v/>
      </c>
      <c r="B8185" s="43" t="n">
        <v>-23.55934</v>
      </c>
      <c r="C8185" s="43" t="n">
        <v>-46.54621</v>
      </c>
      <c r="D8185" s="43" t="n">
        <v>179</v>
      </c>
      <c r="E8185" s="44" t="n">
        <v>6897.3984</v>
      </c>
    </row>
    <row r="8186">
      <c r="A8186" s="39">
        <f>_xlfn.XLOOKUP(53119,Trip[shape_id],Trip[shape_id],"Não encontrado")</f>
        <v/>
      </c>
      <c r="B8186" s="40" t="n">
        <v>-23.559312</v>
      </c>
      <c r="C8186" s="40" t="n">
        <v>-46.546144</v>
      </c>
      <c r="D8186" s="40" t="n">
        <v>180</v>
      </c>
      <c r="E8186" s="41" t="n">
        <v>6908.354</v>
      </c>
    </row>
    <row r="8187">
      <c r="A8187" s="42">
        <f>_xlfn.XLOOKUP(53119,Trip[shape_id],Trip[shape_id],"Não encontrado")</f>
        <v/>
      </c>
      <c r="B8187" s="43" t="n">
        <v>-23.559234</v>
      </c>
      <c r="C8187" s="43" t="n">
        <v>-46.546078</v>
      </c>
      <c r="D8187" s="43" t="n">
        <v>181</v>
      </c>
      <c r="E8187" s="44" t="n">
        <v>6908.354</v>
      </c>
    </row>
    <row r="8188">
      <c r="A8188" s="39">
        <f>_xlfn.XLOOKUP(53119,Trip[shape_id],Trip[shape_id],"Não encontrado")</f>
        <v/>
      </c>
      <c r="B8188" s="40" t="n">
        <v>-23.559265</v>
      </c>
      <c r="C8188" s="40" t="n">
        <v>-46.545958</v>
      </c>
      <c r="D8188" s="40" t="n">
        <v>182</v>
      </c>
      <c r="E8188" s="41" t="n">
        <v>6931.3906</v>
      </c>
    </row>
    <row r="8189">
      <c r="A8189" s="42">
        <f>_xlfn.XLOOKUP(53119,Trip[shape_id],Trip[shape_id],"Não encontrado")</f>
        <v/>
      </c>
      <c r="B8189" s="43" t="n">
        <v>-23.559291</v>
      </c>
      <c r="C8189" s="43" t="n">
        <v>-46.545861</v>
      </c>
      <c r="D8189" s="43" t="n">
        <v>183</v>
      </c>
      <c r="E8189" s="44" t="n">
        <v>7018.4902</v>
      </c>
    </row>
    <row r="8190">
      <c r="A8190" s="39">
        <f>_xlfn.XLOOKUP(53119,Trip[shape_id],Trip[shape_id],"Não encontrado")</f>
        <v/>
      </c>
      <c r="B8190" s="40" t="n">
        <v>-23.559508</v>
      </c>
      <c r="C8190" s="40" t="n">
        <v>-46.545041</v>
      </c>
      <c r="D8190" s="40" t="n">
        <v>184</v>
      </c>
      <c r="E8190" s="41" t="n">
        <v>7018.4902</v>
      </c>
    </row>
    <row r="8191">
      <c r="A8191" s="42">
        <f>_xlfn.XLOOKUP(53119,Trip[shape_id],Trip[shape_id],"Não encontrado")</f>
        <v/>
      </c>
      <c r="B8191" s="43" t="n">
        <v>-23.559575</v>
      </c>
      <c r="C8191" s="43" t="n">
        <v>-46.544779</v>
      </c>
      <c r="D8191" s="43" t="n">
        <v>185</v>
      </c>
      <c r="E8191" s="44" t="n">
        <v>7046.2495</v>
      </c>
    </row>
    <row r="8192">
      <c r="A8192" s="39">
        <f>_xlfn.XLOOKUP(53119,Trip[shape_id],Trip[shape_id],"Não encontrado")</f>
        <v/>
      </c>
      <c r="B8192" s="40" t="n">
        <v>-23.559685</v>
      </c>
      <c r="C8192" s="40" t="n">
        <v>-46.544382</v>
      </c>
      <c r="D8192" s="40" t="n">
        <v>186</v>
      </c>
      <c r="E8192" s="41" t="n">
        <v>7088.5723</v>
      </c>
    </row>
    <row r="8193">
      <c r="A8193" s="42">
        <f>_xlfn.XLOOKUP(53119,Trip[shape_id],Trip[shape_id],"Não encontrado")</f>
        <v/>
      </c>
      <c r="B8193" s="43" t="n">
        <v>-23.559911</v>
      </c>
      <c r="C8193" s="43" t="n">
        <v>-46.543582</v>
      </c>
      <c r="D8193" s="43" t="n">
        <v>187</v>
      </c>
      <c r="E8193" s="44" t="n">
        <v>7173.9976</v>
      </c>
    </row>
    <row r="8194">
      <c r="A8194" s="39">
        <f>_xlfn.XLOOKUP(53119,Trip[shape_id],Trip[shape_id],"Não encontrado")</f>
        <v/>
      </c>
      <c r="B8194" s="40" t="n">
        <v>-23.56035</v>
      </c>
      <c r="C8194" s="40" t="n">
        <v>-46.543418</v>
      </c>
      <c r="D8194" s="40" t="n">
        <v>188</v>
      </c>
      <c r="E8194" s="41" t="n">
        <v>7244.2197</v>
      </c>
    </row>
    <row r="8195">
      <c r="A8195" s="42">
        <f>_xlfn.XLOOKUP(53119,Trip[shape_id],Trip[shape_id],"Não encontrado")</f>
        <v/>
      </c>
      <c r="B8195" s="43" t="n">
        <v>-23.560517</v>
      </c>
      <c r="C8195" s="43" t="n">
        <v>-46.543385</v>
      </c>
      <c r="D8195" s="43" t="n">
        <v>189</v>
      </c>
      <c r="E8195" s="44" t="n">
        <v>7244.2197</v>
      </c>
    </row>
    <row r="8196">
      <c r="A8196" s="39">
        <f>_xlfn.XLOOKUP(53119,Trip[shape_id],Trip[shape_id],"Não encontrado")</f>
        <v/>
      </c>
      <c r="B8196" s="40" t="n">
        <v>-23.560629</v>
      </c>
      <c r="C8196" s="40" t="n">
        <v>-46.543369</v>
      </c>
      <c r="D8196" s="40" t="n">
        <v>190</v>
      </c>
      <c r="E8196" s="41" t="n">
        <v>7290.7944</v>
      </c>
    </row>
    <row r="8197">
      <c r="A8197" s="42">
        <f>_xlfn.XLOOKUP(53119,Trip[shape_id],Trip[shape_id],"Não encontrado")</f>
        <v/>
      </c>
      <c r="B8197" s="43" t="n">
        <v>-23.560934</v>
      </c>
      <c r="C8197" s="43" t="n">
        <v>-46.543326</v>
      </c>
      <c r="D8197" s="43" t="n">
        <v>191</v>
      </c>
      <c r="E8197" s="44" t="n">
        <v>7290.7944</v>
      </c>
    </row>
    <row r="8198">
      <c r="A8198" s="39">
        <f>_xlfn.XLOOKUP(53119,Trip[shape_id],Trip[shape_id],"Não encontrado")</f>
        <v/>
      </c>
      <c r="B8198" s="40" t="n">
        <v>-23.561493</v>
      </c>
      <c r="C8198" s="40" t="n">
        <v>-46.543326</v>
      </c>
      <c r="D8198" s="40" t="n">
        <v>192</v>
      </c>
      <c r="E8198" s="41" t="n">
        <v>7352.7046</v>
      </c>
    </row>
    <row r="8199">
      <c r="A8199" s="42">
        <f>_xlfn.XLOOKUP(53119,Trip[shape_id],Trip[shape_id],"Não encontrado")</f>
        <v/>
      </c>
      <c r="B8199" s="43" t="n">
        <v>-23.561692</v>
      </c>
      <c r="C8199" s="43" t="n">
        <v>-46.543334</v>
      </c>
      <c r="D8199" s="43" t="n">
        <v>193</v>
      </c>
      <c r="E8199" s="44" t="n">
        <v>7377.3164</v>
      </c>
    </row>
    <row r="8200">
      <c r="A8200" s="39">
        <f>_xlfn.XLOOKUP(53119,Trip[shape_id],Trip[shape_id],"Não encontrado")</f>
        <v/>
      </c>
      <c r="B8200" s="40" t="n">
        <v>-23.561715</v>
      </c>
      <c r="C8200" s="40" t="n">
        <v>-46.543336</v>
      </c>
      <c r="D8200" s="40" t="n">
        <v>194</v>
      </c>
      <c r="E8200" s="41" t="n">
        <v>7386.7329</v>
      </c>
    </row>
    <row r="8201">
      <c r="A8201" s="42">
        <f>_xlfn.XLOOKUP(53119,Trip[shape_id],Trip[shape_id],"Não encontrado")</f>
        <v/>
      </c>
      <c r="B8201" s="43" t="n">
        <v>-23.5618</v>
      </c>
      <c r="C8201" s="43" t="n">
        <v>-46.543338</v>
      </c>
      <c r="D8201" s="43" t="n">
        <v>195</v>
      </c>
      <c r="E8201" s="44" t="n">
        <v>7416.9795</v>
      </c>
    </row>
    <row r="8202">
      <c r="A8202" s="39">
        <f>_xlfn.XLOOKUP(53119,Trip[shape_id],Trip[shape_id],"Não encontrado")</f>
        <v/>
      </c>
      <c r="B8202" s="40" t="n">
        <v>-23.562073</v>
      </c>
      <c r="C8202" s="40" t="n">
        <v>-46.543346</v>
      </c>
      <c r="D8202" s="40" t="n">
        <v>196</v>
      </c>
      <c r="E8202" s="41" t="n">
        <v>7432.5967</v>
      </c>
    </row>
    <row r="8203">
      <c r="A8203" s="42">
        <f>_xlfn.XLOOKUP(53119,Trip[shape_id],Trip[shape_id],"Não encontrado")</f>
        <v/>
      </c>
      <c r="B8203" s="43" t="n">
        <v>-23.562214</v>
      </c>
      <c r="C8203" s="43" t="n">
        <v>-46.543344</v>
      </c>
      <c r="D8203" s="43" t="n">
        <v>197</v>
      </c>
      <c r="E8203" s="44" t="n">
        <v>7447.5903</v>
      </c>
    </row>
    <row r="8204">
      <c r="A8204" s="39">
        <f>_xlfn.XLOOKUP(53119,Trip[shape_id],Trip[shape_id],"Não encontrado")</f>
        <v/>
      </c>
      <c r="B8204" s="40" t="n">
        <v>-23.562344</v>
      </c>
      <c r="C8204" s="40" t="n">
        <v>-46.543303</v>
      </c>
      <c r="D8204" s="40" t="n">
        <v>198</v>
      </c>
      <c r="E8204" s="41" t="n">
        <v>7464.1514</v>
      </c>
    </row>
    <row r="8205">
      <c r="A8205" s="42">
        <f>_xlfn.XLOOKUP(53119,Trip[shape_id],Trip[shape_id],"Não encontrado")</f>
        <v/>
      </c>
      <c r="B8205" s="43" t="n">
        <v>-23.562484</v>
      </c>
      <c r="C8205" s="43" t="n">
        <v>-46.543246</v>
      </c>
      <c r="D8205" s="43" t="n">
        <v>199</v>
      </c>
      <c r="E8205" s="44" t="n">
        <v>7477.0752</v>
      </c>
    </row>
    <row r="8206">
      <c r="A8206" s="39">
        <f>_xlfn.XLOOKUP(53119,Trip[shape_id],Trip[shape_id],"Não encontrado")</f>
        <v/>
      </c>
      <c r="B8206" s="40" t="n">
        <v>-23.562578</v>
      </c>
      <c r="C8206" s="40" t="n">
        <v>-46.543171</v>
      </c>
      <c r="D8206" s="40" t="n">
        <v>200</v>
      </c>
      <c r="E8206" s="41" t="n">
        <v>7484.1113</v>
      </c>
    </row>
    <row r="8207">
      <c r="A8207" s="42">
        <f>_xlfn.XLOOKUP(53119,Trip[shape_id],Trip[shape_id],"Não encontrado")</f>
        <v/>
      </c>
      <c r="B8207" s="43" t="n">
        <v>-23.562631</v>
      </c>
      <c r="C8207" s="43" t="n">
        <v>-46.543133</v>
      </c>
      <c r="D8207" s="43" t="n">
        <v>201</v>
      </c>
      <c r="E8207" s="44" t="n">
        <v>7484.1113</v>
      </c>
    </row>
    <row r="8208">
      <c r="A8208" s="39">
        <f>_xlfn.XLOOKUP(53119,Trip[shape_id],Trip[shape_id],"Não encontrado")</f>
        <v/>
      </c>
      <c r="B8208" s="40" t="n">
        <v>-23.562785</v>
      </c>
      <c r="C8208" s="40" t="n">
        <v>-46.542957</v>
      </c>
      <c r="D8208" s="40" t="n">
        <v>202</v>
      </c>
      <c r="E8208" s="41" t="n">
        <v>7508.8857</v>
      </c>
    </row>
    <row r="8209">
      <c r="A8209" s="42">
        <f>_xlfn.XLOOKUP(53119,Trip[shape_id],Trip[shape_id],"Não encontrado")</f>
        <v/>
      </c>
      <c r="B8209" s="43" t="n">
        <v>-23.562943</v>
      </c>
      <c r="C8209" s="43" t="n">
        <v>-46.542678</v>
      </c>
      <c r="D8209" s="43" t="n">
        <v>203</v>
      </c>
      <c r="E8209" s="44" t="n">
        <v>7552.6089</v>
      </c>
    </row>
    <row r="8210">
      <c r="A8210" s="39">
        <f>_xlfn.XLOOKUP(53119,Trip[shape_id],Trip[shape_id],"Não encontrado")</f>
        <v/>
      </c>
      <c r="B8210" s="40" t="n">
        <v>-23.563003</v>
      </c>
      <c r="C8210" s="40" t="n">
        <v>-46.542601</v>
      </c>
      <c r="D8210" s="40" t="n">
        <v>204</v>
      </c>
      <c r="E8210" s="41" t="n">
        <v>7552.6089</v>
      </c>
    </row>
    <row r="8211">
      <c r="A8211" s="42">
        <f>_xlfn.XLOOKUP(53119,Trip[shape_id],Trip[shape_id],"Não encontrado")</f>
        <v/>
      </c>
      <c r="B8211" s="43" t="n">
        <v>-23.563087</v>
      </c>
      <c r="C8211" s="43" t="n">
        <v>-46.542695</v>
      </c>
      <c r="D8211" s="43" t="n">
        <v>205</v>
      </c>
      <c r="E8211" s="44" t="n">
        <v>7565.9751</v>
      </c>
    </row>
    <row r="8212">
      <c r="A8212" s="39">
        <f>_xlfn.XLOOKUP(53119,Trip[shape_id],Trip[shape_id],"Não encontrado")</f>
        <v/>
      </c>
      <c r="B8212" s="40" t="n">
        <v>-23.563148</v>
      </c>
      <c r="C8212" s="40" t="n">
        <v>-46.542743</v>
      </c>
      <c r="D8212" s="40" t="n">
        <v>206</v>
      </c>
      <c r="E8212" s="41" t="n">
        <v>7574.3213</v>
      </c>
    </row>
    <row r="8213">
      <c r="A8213" s="42">
        <f>_xlfn.XLOOKUP(53119,Trip[shape_id],Trip[shape_id],"Não encontrado")</f>
        <v/>
      </c>
      <c r="B8213" s="43" t="n">
        <v>-23.563316</v>
      </c>
      <c r="C8213" s="43" t="n">
        <v>-46.542875</v>
      </c>
      <c r="D8213" s="43" t="n">
        <v>207</v>
      </c>
      <c r="E8213" s="44" t="n">
        <v>7597.2954</v>
      </c>
    </row>
    <row r="8214">
      <c r="A8214" s="39">
        <f>_xlfn.XLOOKUP(53119,Trip[shape_id],Trip[shape_id],"Não encontrado")</f>
        <v/>
      </c>
      <c r="B8214" s="40" t="n">
        <v>-23.563495</v>
      </c>
      <c r="C8214" s="40" t="n">
        <v>-46.543073</v>
      </c>
      <c r="D8214" s="40" t="n">
        <v>208</v>
      </c>
      <c r="E8214" s="41" t="n">
        <v>7625.6084</v>
      </c>
    </row>
    <row r="8215">
      <c r="A8215" s="42">
        <f>_xlfn.XLOOKUP(53119,Trip[shape_id],Trip[shape_id],"Não encontrado")</f>
        <v/>
      </c>
      <c r="B8215" s="43" t="n">
        <v>-23.563685</v>
      </c>
      <c r="C8215" s="43" t="n">
        <v>-46.543333</v>
      </c>
      <c r="D8215" s="43" t="n">
        <v>209</v>
      </c>
      <c r="E8215" s="44" t="n">
        <v>7659.4814</v>
      </c>
    </row>
    <row r="8216">
      <c r="A8216" s="39">
        <f>_xlfn.XLOOKUP(53119,Trip[shape_id],Trip[shape_id],"Não encontrado")</f>
        <v/>
      </c>
      <c r="B8216" s="40" t="n">
        <v>-23.563819</v>
      </c>
      <c r="C8216" s="40" t="n">
        <v>-46.543537</v>
      </c>
      <c r="D8216" s="40" t="n">
        <v>210</v>
      </c>
      <c r="E8216" s="41" t="n">
        <v>7685.0547</v>
      </c>
    </row>
    <row r="8217">
      <c r="A8217" s="42">
        <f>_xlfn.XLOOKUP(53119,Trip[shape_id],Trip[shape_id],"Não encontrado")</f>
        <v/>
      </c>
      <c r="B8217" s="43" t="n">
        <v>-23.563946</v>
      </c>
      <c r="C8217" s="43" t="n">
        <v>-46.543764</v>
      </c>
      <c r="D8217" s="43" t="n">
        <v>211</v>
      </c>
      <c r="E8217" s="44" t="n">
        <v>7712.1641</v>
      </c>
    </row>
    <row r="8218">
      <c r="A8218" s="39">
        <f>_xlfn.XLOOKUP(53119,Trip[shape_id],Trip[shape_id],"Não encontrado")</f>
        <v/>
      </c>
      <c r="B8218" s="40" t="n">
        <v>-23.564082</v>
      </c>
      <c r="C8218" s="40" t="n">
        <v>-46.544031</v>
      </c>
      <c r="D8218" s="40" t="n">
        <v>212</v>
      </c>
      <c r="E8218" s="41" t="n">
        <v>7743.3071</v>
      </c>
    </row>
    <row r="8219">
      <c r="A8219" s="42">
        <f>_xlfn.XLOOKUP(53119,Trip[shape_id],Trip[shape_id],"Não encontrado")</f>
        <v/>
      </c>
      <c r="B8219" s="43" t="n">
        <v>-23.564288</v>
      </c>
      <c r="C8219" s="43" t="n">
        <v>-46.544387</v>
      </c>
      <c r="D8219" s="43" t="n">
        <v>213</v>
      </c>
      <c r="E8219" s="44" t="n">
        <v>7786.2192</v>
      </c>
    </row>
    <row r="8220">
      <c r="A8220" s="39">
        <f>_xlfn.XLOOKUP(53119,Trip[shape_id],Trip[shape_id],"Não encontrado")</f>
        <v/>
      </c>
      <c r="B8220" s="40" t="n">
        <v>-23.564436</v>
      </c>
      <c r="C8220" s="40" t="n">
        <v>-46.544594</v>
      </c>
      <c r="D8220" s="40" t="n">
        <v>214</v>
      </c>
      <c r="E8220" s="41" t="n">
        <v>7812.9639</v>
      </c>
    </row>
    <row r="8221">
      <c r="A8221" s="42">
        <f>_xlfn.XLOOKUP(53119,Trip[shape_id],Trip[shape_id],"Não encontrado")</f>
        <v/>
      </c>
      <c r="B8221" s="43" t="n">
        <v>-23.564474</v>
      </c>
      <c r="C8221" s="43" t="n">
        <v>-46.544633</v>
      </c>
      <c r="D8221" s="43" t="n">
        <v>215</v>
      </c>
      <c r="E8221" s="44" t="n">
        <v>7818.7568</v>
      </c>
    </row>
    <row r="8222">
      <c r="A8222" s="39">
        <f>_xlfn.XLOOKUP(53119,Trip[shape_id],Trip[shape_id],"Não encontrado")</f>
        <v/>
      </c>
      <c r="B8222" s="40" t="n">
        <v>-23.564543</v>
      </c>
      <c r="C8222" s="40" t="n">
        <v>-46.544739</v>
      </c>
      <c r="D8222" s="40" t="n">
        <v>216</v>
      </c>
      <c r="E8222" s="41" t="n">
        <v>7832.0044</v>
      </c>
    </row>
    <row r="8223">
      <c r="A8223" s="42">
        <f>_xlfn.XLOOKUP(53119,Trip[shape_id],Trip[shape_id],"Não encontrado")</f>
        <v/>
      </c>
      <c r="B8223" s="43" t="n">
        <v>-23.564688</v>
      </c>
      <c r="C8223" s="43" t="n">
        <v>-46.545097</v>
      </c>
      <c r="D8223" s="43" t="n">
        <v>217</v>
      </c>
      <c r="E8223" s="44" t="n">
        <v>7871.9258</v>
      </c>
    </row>
    <row r="8224">
      <c r="A8224" s="39">
        <f>_xlfn.XLOOKUP(53119,Trip[shape_id],Trip[shape_id],"Não encontrado")</f>
        <v/>
      </c>
      <c r="B8224" s="40" t="n">
        <v>-23.564725</v>
      </c>
      <c r="C8224" s="40" t="n">
        <v>-46.545274</v>
      </c>
      <c r="D8224" s="40" t="n">
        <v>218</v>
      </c>
      <c r="E8224" s="41" t="n">
        <v>7890.4546</v>
      </c>
    </row>
    <row r="8225">
      <c r="A8225" s="42">
        <f>_xlfn.XLOOKUP(53119,Trip[shape_id],Trip[shape_id],"Não encontrado")</f>
        <v/>
      </c>
      <c r="B8225" s="43" t="n">
        <v>-23.564748</v>
      </c>
      <c r="C8225" s="43" t="n">
        <v>-46.545463</v>
      </c>
      <c r="D8225" s="43" t="n">
        <v>219</v>
      </c>
      <c r="E8225" s="44" t="n">
        <v>7909.917</v>
      </c>
    </row>
    <row r="8226">
      <c r="A8226" s="39">
        <f>_xlfn.XLOOKUP(53119,Trip[shape_id],Trip[shape_id],"Não encontrado")</f>
        <v/>
      </c>
      <c r="B8226" s="40" t="n">
        <v>-23.564745</v>
      </c>
      <c r="C8226" s="40" t="n">
        <v>-46.545712</v>
      </c>
      <c r="D8226" s="40" t="n">
        <v>220</v>
      </c>
      <c r="E8226" s="41" t="n">
        <v>7935.3398</v>
      </c>
    </row>
    <row r="8227">
      <c r="A8227" s="42">
        <f>_xlfn.XLOOKUP(53119,Trip[shape_id],Trip[shape_id],"Não encontrado")</f>
        <v/>
      </c>
      <c r="B8227" s="43" t="n">
        <v>-23.564745</v>
      </c>
      <c r="C8227" s="43" t="n">
        <v>-46.545917</v>
      </c>
      <c r="D8227" s="43" t="n">
        <v>221</v>
      </c>
      <c r="E8227" s="44" t="n">
        <v>7956.2686</v>
      </c>
    </row>
    <row r="8228">
      <c r="A8228" s="39">
        <f>_xlfn.XLOOKUP(53119,Trip[shape_id],Trip[shape_id],"Não encontrado")</f>
        <v/>
      </c>
      <c r="B8228" s="40" t="n">
        <v>-23.564767</v>
      </c>
      <c r="C8228" s="40" t="n">
        <v>-46.546037</v>
      </c>
      <c r="D8228" s="40" t="n">
        <v>222</v>
      </c>
      <c r="E8228" s="41" t="n">
        <v>7968.7593</v>
      </c>
    </row>
    <row r="8229">
      <c r="A8229" s="42">
        <f>_xlfn.XLOOKUP(53119,Trip[shape_id],Trip[shape_id],"Não encontrado")</f>
        <v/>
      </c>
      <c r="B8229" s="43" t="n">
        <v>-23.565066</v>
      </c>
      <c r="C8229" s="43" t="n">
        <v>-46.545558</v>
      </c>
      <c r="D8229" s="43" t="n">
        <v>223</v>
      </c>
      <c r="E8229" s="44" t="n">
        <v>8039.5186</v>
      </c>
    </row>
    <row r="8230">
      <c r="A8230" s="39">
        <f>_xlfn.XLOOKUP(53119,Trip[shape_id],Trip[shape_id],"Não encontrado")</f>
        <v/>
      </c>
      <c r="B8230" s="40" t="n">
        <v>-23.565129</v>
      </c>
      <c r="C8230" s="40" t="n">
        <v>-46.545466</v>
      </c>
      <c r="D8230" s="40" t="n">
        <v>224</v>
      </c>
      <c r="E8230" s="41" t="n">
        <v>8039.5186</v>
      </c>
    </row>
    <row r="8231">
      <c r="A8231" s="42">
        <f>_xlfn.XLOOKUP(53119,Trip[shape_id],Trip[shape_id],"Não encontrado")</f>
        <v/>
      </c>
      <c r="B8231" s="43" t="n">
        <v>-23.56529</v>
      </c>
      <c r="C8231" s="43" t="n">
        <v>-46.545294</v>
      </c>
      <c r="D8231" s="43" t="n">
        <v>225</v>
      </c>
      <c r="E8231" s="44" t="n">
        <v>8064.5444</v>
      </c>
    </row>
    <row r="8232">
      <c r="A8232" s="39">
        <f>_xlfn.XLOOKUP(53119,Trip[shape_id],Trip[shape_id],"Não encontrado")</f>
        <v/>
      </c>
      <c r="B8232" s="40" t="n">
        <v>-23.565479</v>
      </c>
      <c r="C8232" s="40" t="n">
        <v>-46.545116</v>
      </c>
      <c r="D8232" s="40" t="n">
        <v>226</v>
      </c>
      <c r="E8232" s="41" t="n">
        <v>8092.2642</v>
      </c>
    </row>
    <row r="8233">
      <c r="A8233" s="42">
        <f>_xlfn.XLOOKUP(53119,Trip[shape_id],Trip[shape_id],"Não encontrado")</f>
        <v/>
      </c>
      <c r="B8233" s="43" t="n">
        <v>-23.565745</v>
      </c>
      <c r="C8233" s="43" t="n">
        <v>-46.544917</v>
      </c>
      <c r="D8233" s="43" t="n">
        <v>227</v>
      </c>
      <c r="E8233" s="44" t="n">
        <v>8128.0503</v>
      </c>
    </row>
    <row r="8234">
      <c r="A8234" s="39">
        <f>_xlfn.XLOOKUP(53119,Trip[shape_id],Trip[shape_id],"Não encontrado")</f>
        <v/>
      </c>
      <c r="B8234" s="40" t="n">
        <v>-23.56598</v>
      </c>
      <c r="C8234" s="40" t="n">
        <v>-46.544726</v>
      </c>
      <c r="D8234" s="40" t="n">
        <v>228</v>
      </c>
      <c r="E8234" s="41" t="n">
        <v>8160.5713</v>
      </c>
    </row>
    <row r="8235">
      <c r="A8235" s="42">
        <f>_xlfn.XLOOKUP(53119,Trip[shape_id],Trip[shape_id],"Não encontrado")</f>
        <v/>
      </c>
      <c r="B8235" s="43" t="n">
        <v>-23.566871</v>
      </c>
      <c r="C8235" s="43" t="n">
        <v>-46.543981</v>
      </c>
      <c r="D8235" s="43" t="n">
        <v>229</v>
      </c>
      <c r="E8235" s="44" t="n">
        <v>8285.1602</v>
      </c>
    </row>
    <row r="8236">
      <c r="A8236" s="39">
        <f>_xlfn.XLOOKUP(53119,Trip[shape_id],Trip[shape_id],"Não encontrado")</f>
        <v/>
      </c>
      <c r="B8236" s="40" t="n">
        <v>-23.56695</v>
      </c>
      <c r="C8236" s="40" t="n">
        <v>-46.543871</v>
      </c>
      <c r="D8236" s="40" t="n">
        <v>230</v>
      </c>
      <c r="E8236" s="41" t="n">
        <v>8312.4648</v>
      </c>
    </row>
    <row r="8237">
      <c r="A8237" s="42">
        <f>_xlfn.XLOOKUP(53119,Trip[shape_id],Trip[shape_id],"Não encontrado")</f>
        <v/>
      </c>
      <c r="B8237" s="43" t="n">
        <v>-23.567027</v>
      </c>
      <c r="C8237" s="43" t="n">
        <v>-46.543774</v>
      </c>
      <c r="D8237" s="43" t="n">
        <v>231</v>
      </c>
      <c r="E8237" s="44" t="n">
        <v>8322.0996</v>
      </c>
    </row>
    <row r="8238">
      <c r="A8238" s="39">
        <f>_xlfn.XLOOKUP(53119,Trip[shape_id],Trip[shape_id],"Não encontrado")</f>
        <v/>
      </c>
      <c r="B8238" s="40" t="n">
        <v>-23.567081</v>
      </c>
      <c r="C8238" s="40" t="n">
        <v>-46.5437</v>
      </c>
      <c r="D8238" s="40" t="n">
        <v>232</v>
      </c>
      <c r="E8238" s="41" t="n">
        <v>8322.0996</v>
      </c>
    </row>
    <row r="8239">
      <c r="A8239" s="42">
        <f>_xlfn.XLOOKUP(53119,Trip[shape_id],Trip[shape_id],"Não encontrado")</f>
        <v/>
      </c>
      <c r="B8239" s="43" t="n">
        <v>-23.567138</v>
      </c>
      <c r="C8239" s="43" t="n">
        <v>-46.543599</v>
      </c>
      <c r="D8239" s="43" t="n">
        <v>233</v>
      </c>
      <c r="E8239" s="44" t="n">
        <v>8346.8457</v>
      </c>
    </row>
    <row r="8240">
      <c r="A8240" s="39">
        <f>_xlfn.XLOOKUP(53119,Trip[shape_id],Trip[shape_id],"Não encontrado")</f>
        <v/>
      </c>
      <c r="B8240" s="40" t="n">
        <v>-23.567185</v>
      </c>
      <c r="C8240" s="40" t="n">
        <v>-46.543486</v>
      </c>
      <c r="D8240" s="40" t="n">
        <v>234</v>
      </c>
      <c r="E8240" s="41" t="n">
        <v>8356.488300000001</v>
      </c>
    </row>
    <row r="8241">
      <c r="A8241" s="42">
        <f>_xlfn.XLOOKUP(53119,Trip[shape_id],Trip[shape_id],"Não encontrado")</f>
        <v/>
      </c>
      <c r="B8241" s="43" t="n">
        <v>-23.567221</v>
      </c>
      <c r="C8241" s="43" t="n">
        <v>-46.5434</v>
      </c>
      <c r="D8241" s="43" t="n">
        <v>235</v>
      </c>
      <c r="E8241" s="44" t="n">
        <v>8356.488300000001</v>
      </c>
    </row>
    <row r="8242">
      <c r="A8242" s="39">
        <f>_xlfn.XLOOKUP(53119,Trip[shape_id],Trip[shape_id],"Não encontrado")</f>
        <v/>
      </c>
      <c r="B8242" s="40" t="n">
        <v>-23.567284</v>
      </c>
      <c r="C8242" s="40" t="n">
        <v>-46.543132</v>
      </c>
      <c r="D8242" s="40" t="n">
        <v>236</v>
      </c>
      <c r="E8242" s="41" t="n">
        <v>8394.2822</v>
      </c>
    </row>
    <row r="8243">
      <c r="A8243" s="42">
        <f>_xlfn.XLOOKUP(53119,Trip[shape_id],Trip[shape_id],"Não encontrado")</f>
        <v/>
      </c>
      <c r="B8243" s="43" t="n">
        <v>-23.567294</v>
      </c>
      <c r="C8243" s="43" t="n">
        <v>-46.543039</v>
      </c>
      <c r="D8243" s="43" t="n">
        <v>237</v>
      </c>
      <c r="E8243" s="44" t="n">
        <v>8394.2822</v>
      </c>
    </row>
    <row r="8244">
      <c r="A8244" s="39">
        <f>_xlfn.XLOOKUP(53119,Trip[shape_id],Trip[shape_id],"Não encontrado")</f>
        <v/>
      </c>
      <c r="B8244" s="40" t="n">
        <v>-23.567359</v>
      </c>
      <c r="C8244" s="40" t="n">
        <v>-46.542193</v>
      </c>
      <c r="D8244" s="40" t="n">
        <v>238</v>
      </c>
      <c r="E8244" s="41" t="n">
        <v>8480.949199999999</v>
      </c>
    </row>
    <row r="8245">
      <c r="A8245" s="42">
        <f>_xlfn.XLOOKUP(53119,Trip[shape_id],Trip[shape_id],"Não encontrado")</f>
        <v/>
      </c>
      <c r="B8245" s="43" t="n">
        <v>-23.567362</v>
      </c>
      <c r="C8245" s="43" t="n">
        <v>-46.542027</v>
      </c>
      <c r="D8245" s="43" t="n">
        <v>239</v>
      </c>
      <c r="E8245" s="44" t="n">
        <v>8497.8994</v>
      </c>
    </row>
    <row r="8246">
      <c r="A8246" s="39">
        <f>_xlfn.XLOOKUP(53119,Trip[shape_id],Trip[shape_id],"Não encontrado")</f>
        <v/>
      </c>
      <c r="B8246" s="40" t="n">
        <v>-23.567344</v>
      </c>
      <c r="C8246" s="40" t="n">
        <v>-46.541975</v>
      </c>
      <c r="D8246" s="40" t="n">
        <v>240</v>
      </c>
      <c r="E8246" s="41" t="n">
        <v>8508.569299999999</v>
      </c>
    </row>
    <row r="8247">
      <c r="A8247" s="42">
        <f>_xlfn.XLOOKUP(53119,Trip[shape_id],Trip[shape_id],"Não encontrado")</f>
        <v/>
      </c>
      <c r="B8247" s="43" t="n">
        <v>-23.567335</v>
      </c>
      <c r="C8247" s="43" t="n">
        <v>-46.541927</v>
      </c>
      <c r="D8247" s="43" t="n">
        <v>241</v>
      </c>
      <c r="E8247" s="44" t="n">
        <v>8524.291999999999</v>
      </c>
    </row>
    <row r="8248">
      <c r="A8248" s="39">
        <f>_xlfn.XLOOKUP(53119,Trip[shape_id],Trip[shape_id],"Não encontrado")</f>
        <v/>
      </c>
      <c r="B8248" s="40" t="n">
        <v>-23.567333</v>
      </c>
      <c r="C8248" s="40" t="n">
        <v>-46.541773</v>
      </c>
      <c r="D8248" s="40" t="n">
        <v>242</v>
      </c>
      <c r="E8248" s="41" t="n">
        <v>8524.291999999999</v>
      </c>
    </row>
    <row r="8249">
      <c r="A8249" s="42">
        <f>_xlfn.XLOOKUP(53119,Trip[shape_id],Trip[shape_id],"Não encontrado")</f>
        <v/>
      </c>
      <c r="B8249" s="43" t="n">
        <v>-23.567351</v>
      </c>
      <c r="C8249" s="43" t="n">
        <v>-46.541517</v>
      </c>
      <c r="D8249" s="43" t="n">
        <v>243</v>
      </c>
      <c r="E8249" s="44" t="n">
        <v>8550.502899999999</v>
      </c>
    </row>
    <row r="8250">
      <c r="A8250" s="39">
        <f>_xlfn.XLOOKUP(53119,Trip[shape_id],Trip[shape_id],"Não encontrado")</f>
        <v/>
      </c>
      <c r="B8250" s="40" t="n">
        <v>-23.567397</v>
      </c>
      <c r="C8250" s="40" t="n">
        <v>-46.541544</v>
      </c>
      <c r="D8250" s="40" t="n">
        <v>244</v>
      </c>
      <c r="E8250" s="41" t="n">
        <v>8556.294900000001</v>
      </c>
    </row>
    <row r="8251">
      <c r="A8251" s="42">
        <f>_xlfn.XLOOKUP(53119,Trip[shape_id],Trip[shape_id],"Não encontrado")</f>
        <v/>
      </c>
      <c r="B8251" s="43" t="n">
        <v>-23.567433</v>
      </c>
      <c r="C8251" s="43" t="n">
        <v>-46.541553</v>
      </c>
      <c r="D8251" s="43" t="n">
        <v>245</v>
      </c>
      <c r="E8251" s="44" t="n">
        <v>8560.387699999999</v>
      </c>
    </row>
    <row r="8252">
      <c r="A8252" s="39">
        <f>_xlfn.XLOOKUP(53119,Trip[shape_id],Trip[shape_id],"Não encontrado")</f>
        <v/>
      </c>
      <c r="B8252" s="40" t="n">
        <v>-23.567458</v>
      </c>
      <c r="C8252" s="40" t="n">
        <v>-46.541558</v>
      </c>
      <c r="D8252" s="40" t="n">
        <v>246</v>
      </c>
      <c r="E8252" s="41" t="n">
        <v>8563.2021</v>
      </c>
    </row>
    <row r="8253">
      <c r="A8253" s="42">
        <f>_xlfn.XLOOKUP(53119,Trip[shape_id],Trip[shape_id],"Não encontrado")</f>
        <v/>
      </c>
      <c r="B8253" s="43" t="n">
        <v>-23.567476</v>
      </c>
      <c r="C8253" s="43" t="n">
        <v>-46.541562</v>
      </c>
      <c r="D8253" s="43" t="n">
        <v>247</v>
      </c>
      <c r="E8253" s="44" t="n">
        <v>8565.2354</v>
      </c>
    </row>
    <row r="8254">
      <c r="A8254" s="39">
        <f>_xlfn.XLOOKUP(53119,Trip[shape_id],Trip[shape_id],"Não encontrado")</f>
        <v/>
      </c>
      <c r="B8254" s="40" t="n">
        <v>-23.567548</v>
      </c>
      <c r="C8254" s="40" t="n">
        <v>-46.541551</v>
      </c>
      <c r="D8254" s="40" t="n">
        <v>248</v>
      </c>
      <c r="E8254" s="41" t="n">
        <v>8573.2881</v>
      </c>
    </row>
    <row r="8255">
      <c r="A8255" s="42">
        <f>_xlfn.XLOOKUP(53119,Trip[shape_id],Trip[shape_id],"Não encontrado")</f>
        <v/>
      </c>
      <c r="B8255" s="43" t="n">
        <v>-23.567591</v>
      </c>
      <c r="C8255" s="43" t="n">
        <v>-46.541475</v>
      </c>
      <c r="D8255" s="43" t="n">
        <v>249</v>
      </c>
      <c r="E8255" s="44" t="n">
        <v>8601.540999999999</v>
      </c>
    </row>
    <row r="8256">
      <c r="A8256" s="39">
        <f>_xlfn.XLOOKUP(53119,Trip[shape_id],Trip[shape_id],"Não encontrado")</f>
        <v/>
      </c>
      <c r="B8256" s="40" t="n">
        <v>-23.567687</v>
      </c>
      <c r="C8256" s="40" t="n">
        <v>-46.541319</v>
      </c>
      <c r="D8256" s="40" t="n">
        <v>250</v>
      </c>
      <c r="E8256" s="41" t="n">
        <v>8609.574199999999</v>
      </c>
    </row>
    <row r="8257">
      <c r="A8257" s="42">
        <f>_xlfn.XLOOKUP(53119,Trip[shape_id],Trip[shape_id],"Não encontrado")</f>
        <v/>
      </c>
      <c r="B8257" s="43" t="n">
        <v>-23.567735</v>
      </c>
      <c r="C8257" s="43" t="n">
        <v>-46.54126</v>
      </c>
      <c r="D8257" s="43" t="n">
        <v>251</v>
      </c>
      <c r="E8257" s="44" t="n">
        <v>8628.7549</v>
      </c>
    </row>
    <row r="8258">
      <c r="A8258" s="39">
        <f>_xlfn.XLOOKUP(53119,Trip[shape_id],Trip[shape_id],"Não encontrado")</f>
        <v/>
      </c>
      <c r="B8258" s="40" t="n">
        <v>-23.567844</v>
      </c>
      <c r="C8258" s="40" t="n">
        <v>-46.541114</v>
      </c>
      <c r="D8258" s="40" t="n">
        <v>252</v>
      </c>
      <c r="E8258" s="41" t="n">
        <v>8651.9072</v>
      </c>
    </row>
    <row r="8259">
      <c r="A8259" s="42">
        <f>_xlfn.XLOOKUP(53119,Trip[shape_id],Trip[shape_id],"Não encontrado")</f>
        <v/>
      </c>
      <c r="B8259" s="43" t="n">
        <v>-23.568007</v>
      </c>
      <c r="C8259" s="43" t="n">
        <v>-46.540972</v>
      </c>
      <c r="D8259" s="43" t="n">
        <v>253</v>
      </c>
      <c r="E8259" s="44" t="n">
        <v>8662.265600000001</v>
      </c>
    </row>
    <row r="8260">
      <c r="A8260" s="39">
        <f>_xlfn.XLOOKUP(53119,Trip[shape_id],Trip[shape_id],"Não encontrado")</f>
        <v/>
      </c>
      <c r="B8260" s="40" t="n">
        <v>-23.568085</v>
      </c>
      <c r="C8260" s="40" t="n">
        <v>-46.540916</v>
      </c>
      <c r="D8260" s="40" t="n">
        <v>254</v>
      </c>
      <c r="E8260" s="41" t="n">
        <v>8673.124</v>
      </c>
    </row>
    <row r="8261">
      <c r="A8261" s="42">
        <f>_xlfn.XLOOKUP(53119,Trip[shape_id],Trip[shape_id],"Não encontrado")</f>
        <v/>
      </c>
      <c r="B8261" s="43" t="n">
        <v>-23.56817</v>
      </c>
      <c r="C8261" s="43" t="n">
        <v>-46.540863</v>
      </c>
      <c r="D8261" s="43" t="n">
        <v>255</v>
      </c>
      <c r="E8261" s="44" t="n">
        <v>8711.5479</v>
      </c>
    </row>
    <row r="8262">
      <c r="A8262" s="39">
        <f>_xlfn.XLOOKUP(53119,Trip[shape_id],Trip[shape_id],"Não encontrado")</f>
        <v/>
      </c>
      <c r="B8262" s="40" t="n">
        <v>-23.56848</v>
      </c>
      <c r="C8262" s="40" t="n">
        <v>-46.540694</v>
      </c>
      <c r="D8262" s="40" t="n">
        <v>256</v>
      </c>
      <c r="E8262" s="41" t="n">
        <v>8771.328100000001</v>
      </c>
    </row>
    <row r="8263">
      <c r="A8263" s="42">
        <f>_xlfn.XLOOKUP(53119,Trip[shape_id],Trip[shape_id],"Não encontrado")</f>
        <v/>
      </c>
      <c r="B8263" s="43" t="n">
        <v>-23.568965</v>
      </c>
      <c r="C8263" s="43" t="n">
        <v>-46.540437</v>
      </c>
      <c r="D8263" s="43" t="n">
        <v>257</v>
      </c>
      <c r="E8263" s="44" t="n">
        <v>8771.328100000001</v>
      </c>
    </row>
    <row r="8264">
      <c r="A8264" s="39">
        <f>_xlfn.XLOOKUP(53119,Trip[shape_id],Trip[shape_id],"Não encontrado")</f>
        <v/>
      </c>
      <c r="B8264" s="40" t="n">
        <v>-23.569113</v>
      </c>
      <c r="C8264" s="40" t="n">
        <v>-46.540361</v>
      </c>
      <c r="D8264" s="40" t="n">
        <v>258</v>
      </c>
      <c r="E8264" s="41" t="n">
        <v>8800.281300000001</v>
      </c>
    </row>
    <row r="8265">
      <c r="A8265" s="42">
        <f>_xlfn.XLOOKUP(53119,Trip[shape_id],Trip[shape_id],"Não encontrado")</f>
        <v/>
      </c>
      <c r="B8265" s="43" t="n">
        <v>-23.569201</v>
      </c>
      <c r="C8265" s="43" t="n">
        <v>-46.540315</v>
      </c>
      <c r="D8265" s="43" t="n">
        <v>259</v>
      </c>
      <c r="E8265" s="44" t="n">
        <v>8800.281300000001</v>
      </c>
    </row>
    <row r="8266">
      <c r="A8266" s="39">
        <f>_xlfn.XLOOKUP(53119,Trip[shape_id],Trip[shape_id],"Não encontrado")</f>
        <v/>
      </c>
      <c r="B8266" s="40" t="n">
        <v>-23.569375</v>
      </c>
      <c r="C8266" s="40" t="n">
        <v>-46.54035</v>
      </c>
      <c r="D8266" s="40" t="n">
        <v>260</v>
      </c>
      <c r="E8266" s="41" t="n">
        <v>8830.877899999999</v>
      </c>
    </row>
    <row r="8267">
      <c r="A8267" s="42">
        <f>_xlfn.XLOOKUP(53119,Trip[shape_id],Trip[shape_id],"Não encontrado")</f>
        <v/>
      </c>
      <c r="B8267" s="43" t="n">
        <v>-23.569472</v>
      </c>
      <c r="C8267" s="43" t="n">
        <v>-46.540373</v>
      </c>
      <c r="D8267" s="43" t="n">
        <v>261</v>
      </c>
      <c r="E8267" s="44" t="n">
        <v>8830.877899999999</v>
      </c>
    </row>
    <row r="8268">
      <c r="A8268" s="39">
        <f>_xlfn.XLOOKUP(53119,Trip[shape_id],Trip[shape_id],"Não encontrado")</f>
        <v/>
      </c>
      <c r="B8268" s="40" t="n">
        <v>-23.569777</v>
      </c>
      <c r="C8268" s="40" t="n">
        <v>-46.54057</v>
      </c>
      <c r="D8268" s="40" t="n">
        <v>262</v>
      </c>
      <c r="E8268" s="41" t="n">
        <v>8881.766600000001</v>
      </c>
    </row>
    <row r="8269">
      <c r="A8269" s="42">
        <f>_xlfn.XLOOKUP(53119,Trip[shape_id],Trip[shape_id],"Não encontrado")</f>
        <v/>
      </c>
      <c r="B8269" s="43" t="n">
        <v>-23.569877</v>
      </c>
      <c r="C8269" s="43" t="n">
        <v>-46.540603</v>
      </c>
      <c r="D8269" s="43" t="n">
        <v>263</v>
      </c>
      <c r="E8269" s="44" t="n">
        <v>8888.080099999999</v>
      </c>
    </row>
    <row r="8270">
      <c r="A8270" s="39">
        <f>_xlfn.XLOOKUP(53119,Trip[shape_id],Trip[shape_id],"Não encontrado")</f>
        <v/>
      </c>
      <c r="B8270" s="40" t="n">
        <v>-23.569934</v>
      </c>
      <c r="C8270" s="40" t="n">
        <v>-46.540602</v>
      </c>
      <c r="D8270" s="40" t="n">
        <v>264</v>
      </c>
      <c r="E8270" s="41" t="n">
        <v>8891.512699999999</v>
      </c>
    </row>
    <row r="8271">
      <c r="A8271" s="42">
        <f>_xlfn.XLOOKUP(53119,Trip[shape_id],Trip[shape_id],"Não encontrado")</f>
        <v/>
      </c>
      <c r="B8271" s="43" t="n">
        <v>-23.569965</v>
      </c>
      <c r="C8271" s="43" t="n">
        <v>-46.540602</v>
      </c>
      <c r="D8271" s="43" t="n">
        <v>265</v>
      </c>
      <c r="E8271" s="44" t="n">
        <v>8901.5381</v>
      </c>
    </row>
    <row r="8272">
      <c r="A8272" s="39">
        <f>_xlfn.XLOOKUP(53119,Trip[shape_id],Trip[shape_id],"Não encontrado")</f>
        <v/>
      </c>
      <c r="B8272" s="40" t="n">
        <v>-23.570053</v>
      </c>
      <c r="C8272" s="40" t="n">
        <v>-46.540579</v>
      </c>
      <c r="D8272" s="40" t="n">
        <v>266</v>
      </c>
      <c r="E8272" s="41" t="n">
        <v>8914.175800000001</v>
      </c>
    </row>
    <row r="8273">
      <c r="A8273" s="42">
        <f>_xlfn.XLOOKUP(53119,Trip[shape_id],Trip[shape_id],"Não encontrado")</f>
        <v/>
      </c>
      <c r="B8273" s="43" t="n">
        <v>-23.57016</v>
      </c>
      <c r="C8273" s="43" t="n">
        <v>-46.540536</v>
      </c>
      <c r="D8273" s="43" t="n">
        <v>267</v>
      </c>
      <c r="E8273" s="44" t="n">
        <v>8914.175800000001</v>
      </c>
    </row>
    <row r="8274">
      <c r="A8274" s="39">
        <f>_xlfn.XLOOKUP(53119,Trip[shape_id],Trip[shape_id],"Não encontrado")</f>
        <v/>
      </c>
      <c r="B8274" s="40" t="n">
        <v>-23.570263</v>
      </c>
      <c r="C8274" s="40" t="n">
        <v>-46.540403</v>
      </c>
      <c r="D8274" s="40" t="n">
        <v>268</v>
      </c>
      <c r="E8274" s="41" t="n">
        <v>8940.0605</v>
      </c>
    </row>
    <row r="8275">
      <c r="A8275" s="42">
        <f>_xlfn.XLOOKUP(53119,Trip[shape_id],Trip[shape_id],"Não encontrado")</f>
        <v/>
      </c>
      <c r="B8275" s="43" t="n">
        <v>-23.570307</v>
      </c>
      <c r="C8275" s="43" t="n">
        <v>-46.540339</v>
      </c>
      <c r="D8275" s="43" t="n">
        <v>269</v>
      </c>
      <c r="E8275" s="44" t="n">
        <v>8949.918</v>
      </c>
    </row>
    <row r="8276">
      <c r="A8276" s="39">
        <f>_xlfn.XLOOKUP(53119,Trip[shape_id],Trip[shape_id],"Não encontrado")</f>
        <v/>
      </c>
      <c r="B8276" s="40" t="n">
        <v>-23.570354</v>
      </c>
      <c r="C8276" s="40" t="n">
        <v>-46.540257</v>
      </c>
      <c r="D8276" s="40" t="n">
        <v>270</v>
      </c>
      <c r="E8276" s="41" t="n">
        <v>8949.918</v>
      </c>
    </row>
    <row r="8277">
      <c r="A8277" s="42">
        <f>_xlfn.XLOOKUP(53119,Trip[shape_id],Trip[shape_id],"Não encontrado")</f>
        <v/>
      </c>
      <c r="B8277" s="43" t="n">
        <v>-23.570552</v>
      </c>
      <c r="C8277" s="43" t="n">
        <v>-46.539682</v>
      </c>
      <c r="D8277" s="43" t="n">
        <v>271</v>
      </c>
      <c r="E8277" s="44" t="n">
        <v>9078.233399999999</v>
      </c>
    </row>
    <row r="8278">
      <c r="A8278" s="39">
        <f>_xlfn.XLOOKUP(53119,Trip[shape_id],Trip[shape_id],"Não encontrado")</f>
        <v/>
      </c>
      <c r="B8278" s="40" t="n">
        <v>-23.570763</v>
      </c>
      <c r="C8278" s="40" t="n">
        <v>-46.539081</v>
      </c>
      <c r="D8278" s="40" t="n">
        <v>272</v>
      </c>
      <c r="E8278" s="41" t="n">
        <v>9112.8115</v>
      </c>
    </row>
    <row r="8279">
      <c r="A8279" s="42">
        <f>_xlfn.XLOOKUP(53119,Trip[shape_id],Trip[shape_id],"Não encontrado")</f>
        <v/>
      </c>
      <c r="B8279" s="43" t="n">
        <v>-23.570873</v>
      </c>
      <c r="C8279" s="43" t="n">
        <v>-46.538764</v>
      </c>
      <c r="D8279" s="43" t="n">
        <v>273</v>
      </c>
      <c r="E8279" s="44" t="n">
        <v>9112.8115</v>
      </c>
    </row>
    <row r="8280">
      <c r="A8280" s="39">
        <f>_xlfn.XLOOKUP(53119,Trip[shape_id],Trip[shape_id],"Não encontrado")</f>
        <v/>
      </c>
      <c r="B8280" s="40" t="n">
        <v>-23.570938</v>
      </c>
      <c r="C8280" s="40" t="n">
        <v>-46.538579</v>
      </c>
      <c r="D8280" s="40" t="n">
        <v>274</v>
      </c>
      <c r="E8280" s="41" t="n">
        <v>9190.7109</v>
      </c>
    </row>
    <row r="8281">
      <c r="A8281" s="42">
        <f>_xlfn.XLOOKUP(53119,Trip[shape_id],Trip[shape_id],"Não encontrado")</f>
        <v/>
      </c>
      <c r="B8281" s="43" t="n">
        <v>-23.571126</v>
      </c>
      <c r="C8281" s="43" t="n">
        <v>-46.538052</v>
      </c>
      <c r="D8281" s="43" t="n">
        <v>275</v>
      </c>
      <c r="E8281" s="44" t="n">
        <v>9227.916999999999</v>
      </c>
    </row>
    <row r="8282">
      <c r="A8282" s="39">
        <f>_xlfn.XLOOKUP(53119,Trip[shape_id],Trip[shape_id],"Não encontrado")</f>
        <v/>
      </c>
      <c r="B8282" s="40" t="n">
        <v>-23.571247</v>
      </c>
      <c r="C8282" s="40" t="n">
        <v>-46.537712</v>
      </c>
      <c r="D8282" s="40" t="n">
        <v>276</v>
      </c>
      <c r="E8282" s="41" t="n">
        <v>9269.267599999999</v>
      </c>
    </row>
    <row r="8283">
      <c r="A8283" s="42">
        <f>_xlfn.XLOOKUP(53119,Trip[shape_id],Trip[shape_id],"Não encontrado")</f>
        <v/>
      </c>
      <c r="B8283" s="43" t="n">
        <v>-23.571403</v>
      </c>
      <c r="C8283" s="43" t="n">
        <v>-46.537344</v>
      </c>
      <c r="D8283" s="43" t="n">
        <v>277</v>
      </c>
      <c r="E8283" s="44" t="n">
        <v>9269.267599999999</v>
      </c>
    </row>
    <row r="8284">
      <c r="A8284" s="39">
        <f>_xlfn.XLOOKUP(53119,Trip[shape_id],Trip[shape_id],"Não encontrado")</f>
        <v/>
      </c>
      <c r="B8284" s="40" t="n">
        <v>-23.571564</v>
      </c>
      <c r="C8284" s="40" t="n">
        <v>-46.53696</v>
      </c>
      <c r="D8284" s="40" t="n">
        <v>278</v>
      </c>
      <c r="E8284" s="41" t="n">
        <v>9312.333000000001</v>
      </c>
    </row>
    <row r="8285">
      <c r="A8285" s="42">
        <f>_xlfn.XLOOKUP(53119,Trip[shape_id],Trip[shape_id],"Não encontrado")</f>
        <v/>
      </c>
      <c r="B8285" s="43" t="n">
        <v>-23.571741</v>
      </c>
      <c r="C8285" s="43" t="n">
        <v>-46.536594</v>
      </c>
      <c r="D8285" s="43" t="n">
        <v>279</v>
      </c>
      <c r="E8285" s="44" t="n">
        <v>9354.526400000001</v>
      </c>
    </row>
    <row r="8286">
      <c r="A8286" s="39">
        <f>_xlfn.XLOOKUP(53119,Trip[shape_id],Trip[shape_id],"Não encontrado")</f>
        <v/>
      </c>
      <c r="B8286" s="40" t="n">
        <v>-23.572661</v>
      </c>
      <c r="C8286" s="40" t="n">
        <v>-46.534615</v>
      </c>
      <c r="D8286" s="40" t="n">
        <v>280</v>
      </c>
      <c r="E8286" s="41" t="n">
        <v>9580.793</v>
      </c>
    </row>
    <row r="8287">
      <c r="A8287" s="42">
        <f>_xlfn.XLOOKUP(53119,Trip[shape_id],Trip[shape_id],"Não encontrado")</f>
        <v/>
      </c>
      <c r="B8287" s="43" t="n">
        <v>-23.572746</v>
      </c>
      <c r="C8287" s="43" t="n">
        <v>-46.53444</v>
      </c>
      <c r="D8287" s="43" t="n">
        <v>281</v>
      </c>
      <c r="E8287" s="44" t="n">
        <v>9628.198200000001</v>
      </c>
    </row>
    <row r="8288">
      <c r="A8288" s="39">
        <f>_xlfn.XLOOKUP(53119,Trip[shape_id],Trip[shape_id],"Não encontrado")</f>
        <v/>
      </c>
      <c r="B8288" s="40" t="n">
        <v>-23.572847</v>
      </c>
      <c r="C8288" s="40" t="n">
        <v>-46.534197</v>
      </c>
      <c r="D8288" s="40" t="n">
        <v>282</v>
      </c>
      <c r="E8288" s="41" t="n">
        <v>9636.174800000001</v>
      </c>
    </row>
    <row r="8289">
      <c r="A8289" s="42">
        <f>_xlfn.XLOOKUP(53119,Trip[shape_id],Trip[shape_id],"Não encontrado")</f>
        <v/>
      </c>
      <c r="B8289" s="43" t="n">
        <v>-23.572879</v>
      </c>
      <c r="C8289" s="43" t="n">
        <v>-46.534127</v>
      </c>
      <c r="D8289" s="43" t="n">
        <v>283</v>
      </c>
      <c r="E8289" s="44" t="n">
        <v>9649.890600000001</v>
      </c>
    </row>
    <row r="8290">
      <c r="A8290" s="39">
        <f>_xlfn.XLOOKUP(53119,Trip[shape_id],Trip[shape_id],"Não encontrado")</f>
        <v/>
      </c>
      <c r="B8290" s="40" t="n">
        <v>-23.572922</v>
      </c>
      <c r="C8290" s="40" t="n">
        <v>-46.534001</v>
      </c>
      <c r="D8290" s="40" t="n">
        <v>284</v>
      </c>
      <c r="E8290" s="41" t="n">
        <v>9659.5664</v>
      </c>
    </row>
    <row r="8291">
      <c r="A8291" s="42">
        <f>_xlfn.XLOOKUP(53119,Trip[shape_id],Trip[shape_id],"Não encontrado")</f>
        <v/>
      </c>
      <c r="B8291" s="43" t="n">
        <v>-23.572943</v>
      </c>
      <c r="C8291" s="43" t="n">
        <v>-46.533909</v>
      </c>
      <c r="D8291" s="43" t="n">
        <v>285</v>
      </c>
      <c r="E8291" s="44" t="n">
        <v>9659.5664</v>
      </c>
    </row>
    <row r="8292">
      <c r="A8292" s="39">
        <f>_xlfn.XLOOKUP(53119,Trip[shape_id],Trip[shape_id],"Não encontrado")</f>
        <v/>
      </c>
      <c r="B8292" s="40" t="n">
        <v>-23.572972</v>
      </c>
      <c r="C8292" s="40" t="n">
        <v>-46.533783</v>
      </c>
      <c r="D8292" s="40" t="n">
        <v>286</v>
      </c>
      <c r="E8292" s="41" t="n">
        <v>9691.738300000001</v>
      </c>
    </row>
    <row r="8293">
      <c r="A8293" s="42">
        <f>_xlfn.XLOOKUP(53119,Trip[shape_id],Trip[shape_id],"Não encontrado")</f>
        <v/>
      </c>
      <c r="B8293" s="43" t="n">
        <v>-23.573004</v>
      </c>
      <c r="C8293" s="43" t="n">
        <v>-46.533601</v>
      </c>
      <c r="D8293" s="43" t="n">
        <v>287</v>
      </c>
      <c r="E8293" s="44" t="n">
        <v>9712.6895</v>
      </c>
    </row>
    <row r="8294">
      <c r="A8294" s="39">
        <f>_xlfn.XLOOKUP(53119,Trip[shape_id],Trip[shape_id],"Não encontrado")</f>
        <v/>
      </c>
      <c r="B8294" s="40" t="n">
        <v>-23.573013</v>
      </c>
      <c r="C8294" s="40" t="n">
        <v>-46.533396</v>
      </c>
      <c r="D8294" s="40" t="n">
        <v>288</v>
      </c>
      <c r="E8294" s="41" t="n">
        <v>9722.286099999999</v>
      </c>
    </row>
    <row r="8295">
      <c r="A8295" s="42">
        <f>_xlfn.XLOOKUP(53119,Trip[shape_id],Trip[shape_id],"Não encontrado")</f>
        <v/>
      </c>
      <c r="B8295" s="43" t="n">
        <v>-23.573014</v>
      </c>
      <c r="C8295" s="43" t="n">
        <v>-46.533302</v>
      </c>
      <c r="D8295" s="43" t="n">
        <v>289</v>
      </c>
      <c r="E8295" s="44" t="n">
        <v>9722.286099999999</v>
      </c>
    </row>
    <row r="8296">
      <c r="A8296" s="39">
        <f>_xlfn.XLOOKUP(53119,Trip[shape_id],Trip[shape_id],"Não encontrado")</f>
        <v/>
      </c>
      <c r="B8296" s="40" t="n">
        <v>-23.573014</v>
      </c>
      <c r="C8296" s="40" t="n">
        <v>-46.533172</v>
      </c>
      <c r="D8296" s="40" t="n">
        <v>290</v>
      </c>
      <c r="E8296" s="41" t="n">
        <v>9741.1816</v>
      </c>
    </row>
    <row r="8297">
      <c r="A8297" s="42">
        <f>_xlfn.XLOOKUP(53119,Trip[shape_id],Trip[shape_id],"Não encontrado")</f>
        <v/>
      </c>
      <c r="B8297" s="43" t="n">
        <v>-23.573011</v>
      </c>
      <c r="C8297" s="43" t="n">
        <v>-46.533117</v>
      </c>
      <c r="D8297" s="43" t="n">
        <v>291</v>
      </c>
      <c r="E8297" s="44" t="n">
        <v>9741.1816</v>
      </c>
    </row>
    <row r="8298">
      <c r="A8298" s="39">
        <f>_xlfn.XLOOKUP(53119,Trip[shape_id],Trip[shape_id],"Não encontrado")</f>
        <v/>
      </c>
      <c r="B8298" s="40" t="n">
        <v>-23.573027</v>
      </c>
      <c r="C8298" s="40" t="n">
        <v>-46.5331</v>
      </c>
      <c r="D8298" s="40" t="n">
        <v>292</v>
      </c>
      <c r="E8298" s="41" t="n">
        <v>9743.6641</v>
      </c>
    </row>
    <row r="8299">
      <c r="A8299" s="42">
        <f>_xlfn.XLOOKUP(53119,Trip[shape_id],Trip[shape_id],"Não encontrado")</f>
        <v/>
      </c>
      <c r="B8299" s="43" t="n">
        <v>-23.573135</v>
      </c>
      <c r="C8299" s="43" t="n">
        <v>-46.533063</v>
      </c>
      <c r="D8299" s="43" t="n">
        <v>293</v>
      </c>
      <c r="E8299" s="44" t="n">
        <v>9756.207</v>
      </c>
    </row>
    <row r="8300">
      <c r="A8300" s="39">
        <f>_xlfn.XLOOKUP(53119,Trip[shape_id],Trip[shape_id],"Não encontrado")</f>
        <v/>
      </c>
      <c r="B8300" s="40" t="n">
        <v>-23.573203</v>
      </c>
      <c r="C8300" s="40" t="n">
        <v>-46.533041</v>
      </c>
      <c r="D8300" s="40" t="n">
        <v>294</v>
      </c>
      <c r="E8300" s="41" t="n">
        <v>9764.065399999999</v>
      </c>
    </row>
    <row r="8301">
      <c r="A8301" s="42">
        <f>_xlfn.XLOOKUP(53119,Trip[shape_id],Trip[shape_id],"Não encontrado")</f>
        <v/>
      </c>
      <c r="B8301" s="43" t="n">
        <v>-23.573272</v>
      </c>
      <c r="C8301" s="43" t="n">
        <v>-46.53303</v>
      </c>
      <c r="D8301" s="43" t="n">
        <v>295</v>
      </c>
      <c r="E8301" s="44" t="n">
        <v>9771.790000000001</v>
      </c>
    </row>
    <row r="8302">
      <c r="A8302" s="39">
        <f>_xlfn.XLOOKUP(53119,Trip[shape_id],Trip[shape_id],"Não encontrado")</f>
        <v/>
      </c>
      <c r="B8302" s="40" t="n">
        <v>-23.573301</v>
      </c>
      <c r="C8302" s="40" t="n">
        <v>-46.533026</v>
      </c>
      <c r="D8302" s="40" t="n">
        <v>296</v>
      </c>
      <c r="E8302" s="41" t="n">
        <v>9775.026400000001</v>
      </c>
    </row>
    <row r="8303">
      <c r="A8303" s="42">
        <f>_xlfn.XLOOKUP(53119,Trip[shape_id],Trip[shape_id],"Não encontrado")</f>
        <v/>
      </c>
      <c r="B8303" s="43" t="n">
        <v>-23.573427</v>
      </c>
      <c r="C8303" s="43" t="n">
        <v>-46.533047</v>
      </c>
      <c r="D8303" s="43" t="n">
        <v>297</v>
      </c>
      <c r="E8303" s="44" t="n">
        <v>9789.145500000001</v>
      </c>
    </row>
    <row r="8304">
      <c r="A8304" s="39">
        <f>_xlfn.XLOOKUP(53119,Trip[shape_id],Trip[shape_id],"Não encontrado")</f>
        <v/>
      </c>
      <c r="B8304" s="40" t="n">
        <v>-23.573507</v>
      </c>
      <c r="C8304" s="40" t="n">
        <v>-46.533073</v>
      </c>
      <c r="D8304" s="40" t="n">
        <v>298</v>
      </c>
      <c r="E8304" s="41" t="n">
        <v>9798.3945</v>
      </c>
    </row>
    <row r="8305">
      <c r="A8305" s="42">
        <f>_xlfn.XLOOKUP(53119,Trip[shape_id],Trip[shape_id],"Não encontrado")</f>
        <v/>
      </c>
      <c r="B8305" s="43" t="n">
        <v>-23.573579</v>
      </c>
      <c r="C8305" s="43" t="n">
        <v>-46.533105</v>
      </c>
      <c r="D8305" s="43" t="n">
        <v>299</v>
      </c>
      <c r="E8305" s="44" t="n">
        <v>9807.011699999999</v>
      </c>
    </row>
    <row r="8306">
      <c r="A8306" s="39">
        <f>_xlfn.XLOOKUP(53119,Trip[shape_id],Trip[shape_id],"Não encontrado")</f>
        <v/>
      </c>
      <c r="B8306" s="40" t="n">
        <v>-23.573807</v>
      </c>
      <c r="C8306" s="40" t="n">
        <v>-46.533232</v>
      </c>
      <c r="D8306" s="40" t="n">
        <v>300</v>
      </c>
      <c r="E8306" s="41" t="n">
        <v>9835.396500000001</v>
      </c>
    </row>
    <row r="8307">
      <c r="A8307" s="42">
        <f>_xlfn.XLOOKUP(53119,Trip[shape_id],Trip[shape_id],"Não encontrado")</f>
        <v/>
      </c>
      <c r="B8307" s="43" t="n">
        <v>-23.574419</v>
      </c>
      <c r="C8307" s="43" t="n">
        <v>-46.533625</v>
      </c>
      <c r="D8307" s="43" t="n">
        <v>301</v>
      </c>
      <c r="E8307" s="44" t="n">
        <v>9914.1602</v>
      </c>
    </row>
    <row r="8308">
      <c r="A8308" s="39">
        <f>_xlfn.XLOOKUP(53119,Trip[shape_id],Trip[shape_id],"Não encontrado")</f>
        <v/>
      </c>
      <c r="B8308" s="40" t="n">
        <v>-23.574502</v>
      </c>
      <c r="C8308" s="40" t="n">
        <v>-46.533677</v>
      </c>
      <c r="D8308" s="40" t="n">
        <v>302</v>
      </c>
      <c r="E8308" s="41" t="n">
        <v>9924.7754</v>
      </c>
    </row>
    <row r="8309">
      <c r="A8309" s="42">
        <f>_xlfn.XLOOKUP(53119,Trip[shape_id],Trip[shape_id],"Não encontrado")</f>
        <v/>
      </c>
      <c r="B8309" s="43" t="n">
        <v>-23.574589</v>
      </c>
      <c r="C8309" s="43" t="n">
        <v>-46.533692</v>
      </c>
      <c r="D8309" s="43" t="n">
        <v>303</v>
      </c>
      <c r="E8309" s="44" t="n">
        <v>9934.5322</v>
      </c>
    </row>
    <row r="8310">
      <c r="A8310" s="39">
        <f>_xlfn.XLOOKUP(53119,Trip[shape_id],Trip[shape_id],"Não encontrado")</f>
        <v/>
      </c>
      <c r="B8310" s="40" t="n">
        <v>-23.574625</v>
      </c>
      <c r="C8310" s="40" t="n">
        <v>-46.533685</v>
      </c>
      <c r="D8310" s="40" t="n">
        <v>304</v>
      </c>
      <c r="E8310" s="41" t="n">
        <v>9938.582</v>
      </c>
    </row>
    <row r="8311">
      <c r="A8311" s="42">
        <f>_xlfn.XLOOKUP(53119,Trip[shape_id],Trip[shape_id],"Não encontrado")</f>
        <v/>
      </c>
      <c r="B8311" s="43" t="n">
        <v>-23.574651</v>
      </c>
      <c r="C8311" s="43" t="n">
        <v>-46.533668</v>
      </c>
      <c r="D8311" s="43" t="n">
        <v>305</v>
      </c>
      <c r="E8311" s="44" t="n">
        <v>9947.271500000001</v>
      </c>
    </row>
    <row r="8312">
      <c r="A8312" s="39">
        <f>_xlfn.XLOOKUP(53119,Trip[shape_id],Trip[shape_id],"Não encontrado")</f>
        <v/>
      </c>
      <c r="B8312" s="40" t="n">
        <v>-23.574689</v>
      </c>
      <c r="C8312" s="40" t="n">
        <v>-46.533636</v>
      </c>
      <c r="D8312" s="40" t="n">
        <v>306</v>
      </c>
      <c r="E8312" s="41" t="n">
        <v>9960.522499999999</v>
      </c>
    </row>
    <row r="8313">
      <c r="A8313" s="42">
        <f>_xlfn.XLOOKUP(53119,Trip[shape_id],Trip[shape_id],"Não encontrado")</f>
        <v/>
      </c>
      <c r="B8313" s="43" t="n">
        <v>-23.574763</v>
      </c>
      <c r="C8313" s="43" t="n">
        <v>-46.533534</v>
      </c>
      <c r="D8313" s="43" t="n">
        <v>307</v>
      </c>
      <c r="E8313" s="44" t="n">
        <v>9975.082</v>
      </c>
    </row>
    <row r="8314">
      <c r="A8314" s="39">
        <f>_xlfn.XLOOKUP(53119,Trip[shape_id],Trip[shape_id],"Não encontrado")</f>
        <v/>
      </c>
      <c r="B8314" s="40" t="n">
        <v>-23.574842</v>
      </c>
      <c r="C8314" s="40" t="n">
        <v>-46.53342</v>
      </c>
      <c r="D8314" s="40" t="n">
        <v>308</v>
      </c>
      <c r="E8314" s="41" t="n">
        <v>9986.593800000001</v>
      </c>
    </row>
    <row r="8315">
      <c r="A8315" s="42">
        <f>_xlfn.XLOOKUP(53119,Trip[shape_id],Trip[shape_id],"Não encontrado")</f>
        <v/>
      </c>
      <c r="B8315" s="43" t="n">
        <v>-23.574898</v>
      </c>
      <c r="C8315" s="43" t="n">
        <v>-46.533325</v>
      </c>
      <c r="D8315" s="43" t="n">
        <v>309</v>
      </c>
      <c r="E8315" s="44" t="n">
        <v>9986.593800000001</v>
      </c>
    </row>
    <row r="8316">
      <c r="A8316" s="39">
        <f>_xlfn.XLOOKUP(53119,Trip[shape_id],Trip[shape_id],"Não encontrado")</f>
        <v/>
      </c>
      <c r="B8316" s="40" t="n">
        <v>-23.575011</v>
      </c>
      <c r="C8316" s="40" t="n">
        <v>-46.533036</v>
      </c>
      <c r="D8316" s="40" t="n">
        <v>310</v>
      </c>
      <c r="E8316" s="41" t="n">
        <v>10046.49</v>
      </c>
    </row>
    <row r="8317">
      <c r="A8317" s="42">
        <f>_xlfn.XLOOKUP(53119,Trip[shape_id],Trip[shape_id],"Não encontrado")</f>
        <v/>
      </c>
      <c r="B8317" s="43" t="n">
        <v>-23.57509</v>
      </c>
      <c r="C8317" s="43" t="n">
        <v>-46.532777</v>
      </c>
      <c r="D8317" s="43" t="n">
        <v>311</v>
      </c>
      <c r="E8317" s="44" t="n">
        <v>10046.49</v>
      </c>
    </row>
    <row r="8318">
      <c r="A8318" s="39">
        <f>_xlfn.XLOOKUP(53119,Trip[shape_id],Trip[shape_id],"Não encontrado")</f>
        <v/>
      </c>
      <c r="B8318" s="40" t="n">
        <v>-23.575192</v>
      </c>
      <c r="C8318" s="40" t="n">
        <v>-46.532471</v>
      </c>
      <c r="D8318" s="40" t="n">
        <v>312</v>
      </c>
      <c r="E8318" s="41" t="n">
        <v>10114.214</v>
      </c>
    </row>
    <row r="8319">
      <c r="A8319" s="42">
        <f>_xlfn.XLOOKUP(53119,Trip[shape_id],Trip[shape_id],"Não encontrado")</f>
        <v/>
      </c>
      <c r="B8319" s="43" t="n">
        <v>-23.575305</v>
      </c>
      <c r="C8319" s="43" t="n">
        <v>-46.532156</v>
      </c>
      <c r="D8319" s="43" t="n">
        <v>313</v>
      </c>
      <c r="E8319" s="44" t="n">
        <v>10157.96</v>
      </c>
    </row>
    <row r="8320">
      <c r="A8320" s="39">
        <f>_xlfn.XLOOKUP(53119,Trip[shape_id],Trip[shape_id],"Não encontrado")</f>
        <v/>
      </c>
      <c r="B8320" s="40" t="n">
        <v>-23.575407</v>
      </c>
      <c r="C8320" s="40" t="n">
        <v>-46.531742</v>
      </c>
      <c r="D8320" s="40" t="n">
        <v>314</v>
      </c>
      <c r="E8320" s="41" t="n">
        <v>10157.96</v>
      </c>
    </row>
    <row r="8321">
      <c r="A8321" s="42">
        <f>_xlfn.XLOOKUP(53119,Trip[shape_id],Trip[shape_id],"Não encontrado")</f>
        <v/>
      </c>
      <c r="B8321" s="43" t="n">
        <v>-23.575434</v>
      </c>
      <c r="C8321" s="43" t="n">
        <v>-46.531655</v>
      </c>
      <c r="D8321" s="43" t="n">
        <v>315</v>
      </c>
      <c r="E8321" s="44" t="n">
        <v>10198.518</v>
      </c>
    </row>
    <row r="8322">
      <c r="A8322" s="39">
        <f>_xlfn.XLOOKUP(53119,Trip[shape_id],Trip[shape_id],"Não encontrado")</f>
        <v/>
      </c>
      <c r="B8322" s="40" t="n">
        <v>-23.575533</v>
      </c>
      <c r="C8322" s="40" t="n">
        <v>-46.531369</v>
      </c>
      <c r="D8322" s="40" t="n">
        <v>316</v>
      </c>
      <c r="E8322" s="41" t="n">
        <v>10211.417</v>
      </c>
    </row>
    <row r="8323">
      <c r="A8323" s="42">
        <f>_xlfn.XLOOKUP(53119,Trip[shape_id],Trip[shape_id],"Não encontrado")</f>
        <v/>
      </c>
      <c r="B8323" s="43" t="n">
        <v>-23.575577</v>
      </c>
      <c r="C8323" s="43" t="n">
        <v>-46.531252</v>
      </c>
      <c r="D8323" s="43" t="n">
        <v>317</v>
      </c>
      <c r="E8323" s="44" t="n">
        <v>10220.84</v>
      </c>
    </row>
    <row r="8324">
      <c r="A8324" s="39">
        <f>_xlfn.XLOOKUP(53119,Trip[shape_id],Trip[shape_id],"Não encontrado")</f>
        <v/>
      </c>
      <c r="B8324" s="40" t="n">
        <v>-23.575621</v>
      </c>
      <c r="C8324" s="40" t="n">
        <v>-46.531173</v>
      </c>
      <c r="D8324" s="40" t="n">
        <v>318</v>
      </c>
      <c r="E8324" s="41" t="n">
        <v>10228.612</v>
      </c>
    </row>
    <row r="8325">
      <c r="A8325" s="42">
        <f>_xlfn.XLOOKUP(53119,Trip[shape_id],Trip[shape_id],"Não encontrado")</f>
        <v/>
      </c>
      <c r="B8325" s="43" t="n">
        <v>-23.575663</v>
      </c>
      <c r="C8325" s="43" t="n">
        <v>-46.531112</v>
      </c>
      <c r="D8325" s="43" t="n">
        <v>319</v>
      </c>
      <c r="E8325" s="44" t="n">
        <v>10228.612</v>
      </c>
    </row>
    <row r="8326">
      <c r="A8326" s="39">
        <f>_xlfn.XLOOKUP(53119,Trip[shape_id],Trip[shape_id],"Não encontrado")</f>
        <v/>
      </c>
      <c r="B8326" s="40" t="n">
        <v>-23.575862</v>
      </c>
      <c r="C8326" s="40" t="n">
        <v>-46.530734</v>
      </c>
      <c r="D8326" s="40" t="n">
        <v>320</v>
      </c>
      <c r="E8326" s="41" t="n">
        <v>10281.592</v>
      </c>
    </row>
    <row r="8327">
      <c r="A8327" s="42">
        <f>_xlfn.XLOOKUP(53119,Trip[shape_id],Trip[shape_id],"Não encontrado")</f>
        <v/>
      </c>
      <c r="B8327" s="43" t="n">
        <v>-23.575898</v>
      </c>
      <c r="C8327" s="43" t="n">
        <v>-46.53066</v>
      </c>
      <c r="D8327" s="43" t="n">
        <v>321</v>
      </c>
      <c r="E8327" s="44" t="n">
        <v>10290.673</v>
      </c>
    </row>
    <row r="8328">
      <c r="A8328" s="39">
        <f>_xlfn.XLOOKUP(53119,Trip[shape_id],Trip[shape_id],"Não encontrado")</f>
        <v/>
      </c>
      <c r="B8328" s="40" t="n">
        <v>-23.575925</v>
      </c>
      <c r="C8328" s="40" t="n">
        <v>-46.530576</v>
      </c>
      <c r="D8328" s="40" t="n">
        <v>322</v>
      </c>
      <c r="E8328" s="41" t="n">
        <v>10299.528</v>
      </c>
    </row>
    <row r="8329">
      <c r="A8329" s="42">
        <f>_xlfn.XLOOKUP(53119,Trip[shape_id],Trip[shape_id],"Não encontrado")</f>
        <v/>
      </c>
      <c r="B8329" s="43" t="n">
        <v>-23.575941</v>
      </c>
      <c r="C8329" s="43" t="n">
        <v>-46.530491</v>
      </c>
      <c r="D8329" s="43" t="n">
        <v>323</v>
      </c>
      <c r="E8329" s="44" t="n">
        <v>10339.685</v>
      </c>
    </row>
    <row r="8330">
      <c r="A8330" s="39">
        <f>_xlfn.XLOOKUP(53119,Trip[shape_id],Trip[shape_id],"Não encontrado")</f>
        <v/>
      </c>
      <c r="B8330" s="40" t="n">
        <v>-23.576006</v>
      </c>
      <c r="C8330" s="40" t="n">
        <v>-46.530104</v>
      </c>
      <c r="D8330" s="40" t="n">
        <v>324</v>
      </c>
      <c r="E8330" s="41" t="n">
        <v>10369.954</v>
      </c>
    </row>
    <row r="8331">
      <c r="A8331" s="42">
        <f>_xlfn.XLOOKUP(53119,Trip[shape_id],Trip[shape_id],"Não encontrado")</f>
        <v/>
      </c>
      <c r="B8331" s="43" t="n">
        <v>-23.576063</v>
      </c>
      <c r="C8331" s="43" t="n">
        <v>-46.529814</v>
      </c>
      <c r="D8331" s="43" t="n">
        <v>325</v>
      </c>
      <c r="E8331" s="44" t="n">
        <v>10369.954</v>
      </c>
    </row>
    <row r="8332">
      <c r="A8332" s="39">
        <f>_xlfn.XLOOKUP(53119,Trip[shape_id],Trip[shape_id],"Não encontrado")</f>
        <v/>
      </c>
      <c r="B8332" s="40" t="n">
        <v>-23.576141</v>
      </c>
      <c r="C8332" s="40" t="n">
        <v>-46.529385</v>
      </c>
      <c r="D8332" s="40" t="n">
        <v>326</v>
      </c>
      <c r="E8332" s="41" t="n">
        <v>10414.591</v>
      </c>
    </row>
    <row r="8333">
      <c r="A8333" s="42">
        <f>_xlfn.XLOOKUP(53119,Trip[shape_id],Trip[shape_id],"Não encontrado")</f>
        <v/>
      </c>
      <c r="B8333" s="43" t="n">
        <v>-23.576146</v>
      </c>
      <c r="C8333" s="43" t="n">
        <v>-46.529305</v>
      </c>
      <c r="D8333" s="43" t="n">
        <v>327</v>
      </c>
      <c r="E8333" s="44" t="n">
        <v>10429.007</v>
      </c>
    </row>
    <row r="8334">
      <c r="A8334" s="39">
        <f>_xlfn.XLOOKUP(53119,Trip[shape_id],Trip[shape_id],"Não encontrado")</f>
        <v/>
      </c>
      <c r="B8334" s="40" t="n">
        <v>-23.576144</v>
      </c>
      <c r="C8334" s="40" t="n">
        <v>-46.529244</v>
      </c>
      <c r="D8334" s="40" t="n">
        <v>328</v>
      </c>
      <c r="E8334" s="41" t="n">
        <v>10436.714</v>
      </c>
    </row>
    <row r="8335">
      <c r="A8335" s="42">
        <f>_xlfn.XLOOKUP(53119,Trip[shape_id],Trip[shape_id],"Não encontrado")</f>
        <v/>
      </c>
      <c r="B8335" s="43" t="n">
        <v>-23.576136</v>
      </c>
      <c r="C8335" s="43" t="n">
        <v>-46.529169</v>
      </c>
      <c r="D8335" s="43" t="n">
        <v>329</v>
      </c>
      <c r="E8335" s="44" t="n">
        <v>10444.927</v>
      </c>
    </row>
    <row r="8336">
      <c r="A8336" s="39">
        <f>_xlfn.XLOOKUP(53119,Trip[shape_id],Trip[shape_id],"Não encontrado")</f>
        <v/>
      </c>
      <c r="B8336" s="40" t="n">
        <v>-23.576122</v>
      </c>
      <c r="C8336" s="40" t="n">
        <v>-46.52909</v>
      </c>
      <c r="D8336" s="40" t="n">
        <v>330</v>
      </c>
      <c r="E8336" s="41" t="n">
        <v>10444.927</v>
      </c>
    </row>
    <row r="8337">
      <c r="A8337" s="42">
        <f>_xlfn.XLOOKUP(53119,Trip[shape_id],Trip[shape_id],"Não encontrado")</f>
        <v/>
      </c>
      <c r="B8337" s="43" t="n">
        <v>-23.576083</v>
      </c>
      <c r="C8337" s="43" t="n">
        <v>-46.528929</v>
      </c>
      <c r="D8337" s="43" t="n">
        <v>331</v>
      </c>
      <c r="E8337" s="44" t="n">
        <v>10478.898</v>
      </c>
    </row>
    <row r="8338">
      <c r="A8338" s="39">
        <f>_xlfn.XLOOKUP(53119,Trip[shape_id],Trip[shape_id],"Não encontrado")</f>
        <v/>
      </c>
      <c r="B8338" s="40" t="n">
        <v>-23.576038</v>
      </c>
      <c r="C8338" s="40" t="n">
        <v>-46.52877</v>
      </c>
      <c r="D8338" s="40" t="n">
        <v>332</v>
      </c>
      <c r="E8338" s="41" t="n">
        <v>10478.898</v>
      </c>
    </row>
    <row r="8339">
      <c r="A8339" s="42">
        <f>_xlfn.XLOOKUP(53119,Trip[shape_id],Trip[shape_id],"Não encontrado")</f>
        <v/>
      </c>
      <c r="B8339" s="43" t="n">
        <v>-23.576184</v>
      </c>
      <c r="C8339" s="43" t="n">
        <v>-46.528231</v>
      </c>
      <c r="D8339" s="43" t="n">
        <v>333</v>
      </c>
      <c r="E8339" s="44" t="n">
        <v>10536.248</v>
      </c>
    </row>
    <row r="8340">
      <c r="A8340" s="39">
        <f>_xlfn.XLOOKUP(53119,Trip[shape_id],Trip[shape_id],"Não encontrado")</f>
        <v/>
      </c>
      <c r="B8340" s="40" t="n">
        <v>-23.576409</v>
      </c>
      <c r="C8340" s="40" t="n">
        <v>-46.527386</v>
      </c>
      <c r="D8340" s="40" t="n">
        <v>334</v>
      </c>
      <c r="E8340" s="41" t="n">
        <v>10626.035</v>
      </c>
    </row>
    <row r="8341">
      <c r="A8341" s="42">
        <f>_xlfn.XLOOKUP(53119,Trip[shape_id],Trip[shape_id],"Não encontrado")</f>
        <v/>
      </c>
      <c r="B8341" s="43" t="n">
        <v>-23.576461</v>
      </c>
      <c r="C8341" s="43" t="n">
        <v>-46.52717</v>
      </c>
      <c r="D8341" s="43" t="n">
        <v>335</v>
      </c>
      <c r="E8341" s="44" t="n">
        <v>10669.606</v>
      </c>
    </row>
    <row r="8342">
      <c r="A8342" s="39">
        <f>_xlfn.XLOOKUP(53119,Trip[shape_id],Trip[shape_id],"Não encontrado")</f>
        <v/>
      </c>
      <c r="B8342" s="40" t="n">
        <v>-23.576533</v>
      </c>
      <c r="C8342" s="40" t="n">
        <v>-46.526982</v>
      </c>
      <c r="D8342" s="40" t="n">
        <v>336</v>
      </c>
      <c r="E8342" s="41" t="n">
        <v>10701.756</v>
      </c>
    </row>
    <row r="8343">
      <c r="A8343" s="42">
        <f>_xlfn.XLOOKUP(53119,Trip[shape_id],Trip[shape_id],"Não encontrado")</f>
        <v/>
      </c>
      <c r="B8343" s="43" t="n">
        <v>-23.576644</v>
      </c>
      <c r="C8343" s="43" t="n">
        <v>-46.526691</v>
      </c>
      <c r="D8343" s="43" t="n">
        <v>337</v>
      </c>
      <c r="E8343" s="44" t="n">
        <v>10740.407</v>
      </c>
    </row>
    <row r="8344">
      <c r="A8344" s="39">
        <f>_xlfn.XLOOKUP(53119,Trip[shape_id],Trip[shape_id],"Não encontrado")</f>
        <v/>
      </c>
      <c r="B8344" s="40" t="n">
        <v>-23.576832</v>
      </c>
      <c r="C8344" s="40" t="n">
        <v>-46.526372</v>
      </c>
      <c r="D8344" s="40" t="n">
        <v>338</v>
      </c>
      <c r="E8344" s="41" t="n">
        <v>10787.729</v>
      </c>
    </row>
    <row r="8345">
      <c r="A8345" s="42">
        <f>_xlfn.XLOOKUP(53119,Trip[shape_id],Trip[shape_id],"Não encontrado")</f>
        <v/>
      </c>
      <c r="B8345" s="43" t="n">
        <v>-23.57707</v>
      </c>
      <c r="C8345" s="43" t="n">
        <v>-46.525987</v>
      </c>
      <c r="D8345" s="43" t="n">
        <v>339</v>
      </c>
      <c r="E8345" s="44" t="n">
        <v>10808.304</v>
      </c>
    </row>
    <row r="8346">
      <c r="A8346" s="39">
        <f>_xlfn.XLOOKUP(53119,Trip[shape_id],Trip[shape_id],"Não encontrado")</f>
        <v/>
      </c>
      <c r="B8346" s="40" t="n">
        <v>-23.577174</v>
      </c>
      <c r="C8346" s="40" t="n">
        <v>-46.52582</v>
      </c>
      <c r="D8346" s="40" t="n">
        <v>340</v>
      </c>
      <c r="E8346" s="41" t="n">
        <v>10808.304</v>
      </c>
    </row>
    <row r="8347">
      <c r="A8347" s="42">
        <f>_xlfn.XLOOKUP(53119,Trip[shape_id],Trip[shape_id],"Não encontrado")</f>
        <v/>
      </c>
      <c r="B8347" s="43" t="n">
        <v>-23.577445</v>
      </c>
      <c r="C8347" s="43" t="n">
        <v>-46.525368</v>
      </c>
      <c r="D8347" s="43" t="n">
        <v>341</v>
      </c>
      <c r="E8347" s="44" t="n">
        <v>10863.348</v>
      </c>
    </row>
    <row r="8348">
      <c r="A8348" s="39">
        <f>_xlfn.XLOOKUP(53119,Trip[shape_id],Trip[shape_id],"Não encontrado")</f>
        <v/>
      </c>
      <c r="B8348" s="40" t="n">
        <v>-23.577567</v>
      </c>
      <c r="C8348" s="40" t="n">
        <v>-46.52496</v>
      </c>
      <c r="D8348" s="40" t="n">
        <v>342</v>
      </c>
      <c r="E8348" s="41" t="n">
        <v>10907.134</v>
      </c>
    </row>
    <row r="8349">
      <c r="A8349" s="42">
        <f>_xlfn.XLOOKUP(53119,Trip[shape_id],Trip[shape_id],"Não encontrado")</f>
        <v/>
      </c>
      <c r="B8349" s="43" t="n">
        <v>-23.577448</v>
      </c>
      <c r="C8349" s="43" t="n">
        <v>-46.524801</v>
      </c>
      <c r="D8349" s="43" t="n">
        <v>343</v>
      </c>
      <c r="E8349" s="44" t="n">
        <v>10963.651</v>
      </c>
    </row>
    <row r="8350">
      <c r="A8350" s="39">
        <f>_xlfn.XLOOKUP(53119,Trip[shape_id],Trip[shape_id],"Não encontrado")</f>
        <v/>
      </c>
      <c r="B8350" s="40" t="n">
        <v>-23.57724</v>
      </c>
      <c r="C8350" s="40" t="n">
        <v>-46.524535</v>
      </c>
      <c r="D8350" s="40" t="n">
        <v>344</v>
      </c>
      <c r="E8350" s="41" t="n">
        <v>10983.392</v>
      </c>
    </row>
    <row r="8351">
      <c r="A8351" s="42">
        <f>_xlfn.XLOOKUP(53119,Trip[shape_id],Trip[shape_id],"Não encontrado")</f>
        <v/>
      </c>
      <c r="B8351" s="43" t="n">
        <v>-23.577131</v>
      </c>
      <c r="C8351" s="43" t="n">
        <v>-46.524382</v>
      </c>
      <c r="D8351" s="43" t="n">
        <v>345</v>
      </c>
      <c r="E8351" s="44" t="n">
        <v>10983.392</v>
      </c>
    </row>
    <row r="8352">
      <c r="A8352" s="39">
        <f>_xlfn.XLOOKUP(53119,Trip[shape_id],Trip[shape_id],"Não encontrado")</f>
        <v/>
      </c>
      <c r="B8352" s="40" t="n">
        <v>-23.577051</v>
      </c>
      <c r="C8352" s="40" t="n">
        <v>-46.524211</v>
      </c>
      <c r="D8352" s="40" t="n">
        <v>346</v>
      </c>
      <c r="E8352" s="41" t="n">
        <v>11020.537</v>
      </c>
    </row>
    <row r="8353">
      <c r="A8353" s="42">
        <f>_xlfn.XLOOKUP(53119,Trip[shape_id],Trip[shape_id],"Não encontrado")</f>
        <v/>
      </c>
      <c r="B8353" s="43" t="n">
        <v>-23.576986</v>
      </c>
      <c r="C8353" s="43" t="n">
        <v>-46.524054</v>
      </c>
      <c r="D8353" s="43" t="n">
        <v>347</v>
      </c>
      <c r="E8353" s="44" t="n">
        <v>11020.537</v>
      </c>
    </row>
    <row r="8354">
      <c r="A8354" s="39">
        <f>_xlfn.XLOOKUP(53119,Trip[shape_id],Trip[shape_id],"Não encontrado")</f>
        <v/>
      </c>
      <c r="B8354" s="40" t="n">
        <v>-23.576915</v>
      </c>
      <c r="C8354" s="40" t="n">
        <v>-46.523853</v>
      </c>
      <c r="D8354" s="40" t="n">
        <v>348</v>
      </c>
      <c r="E8354" s="41" t="n">
        <v>11042.511</v>
      </c>
    </row>
    <row r="8355">
      <c r="A8355" s="42">
        <f>_xlfn.XLOOKUP(53119,Trip[shape_id],Trip[shape_id],"Não encontrado")</f>
        <v/>
      </c>
      <c r="B8355" s="43" t="n">
        <v>-23.576859</v>
      </c>
      <c r="C8355" s="43" t="n">
        <v>-46.52367</v>
      </c>
      <c r="D8355" s="43" t="n">
        <v>349</v>
      </c>
      <c r="E8355" s="44" t="n">
        <v>11098.532</v>
      </c>
    </row>
    <row r="8356">
      <c r="A8356" s="39">
        <f>_xlfn.XLOOKUP(53119,Trip[shape_id],Trip[shape_id],"Não encontrado")</f>
        <v/>
      </c>
      <c r="B8356" s="40" t="n">
        <v>-23.576768</v>
      </c>
      <c r="C8356" s="40" t="n">
        <v>-46.523328</v>
      </c>
      <c r="D8356" s="40" t="n">
        <v>350</v>
      </c>
      <c r="E8356" s="41" t="n">
        <v>11116.322</v>
      </c>
    </row>
    <row r="8357">
      <c r="A8357" s="42">
        <f>_xlfn.XLOOKUP(53119,Trip[shape_id],Trip[shape_id],"Não encontrado")</f>
        <v/>
      </c>
      <c r="B8357" s="43" t="n">
        <v>-23.576737</v>
      </c>
      <c r="C8357" s="43" t="n">
        <v>-46.523157</v>
      </c>
      <c r="D8357" s="43" t="n">
        <v>351</v>
      </c>
      <c r="E8357" s="44" t="n">
        <v>11142.71</v>
      </c>
    </row>
    <row r="8358">
      <c r="A8358" s="39">
        <f>_xlfn.XLOOKUP(53119,Trip[shape_id],Trip[shape_id],"Não encontrado")</f>
        <v/>
      </c>
      <c r="B8358" s="40" t="n">
        <v>-23.576704</v>
      </c>
      <c r="C8358" s="40" t="n">
        <v>-46.522901</v>
      </c>
      <c r="D8358" s="40" t="n">
        <v>352</v>
      </c>
      <c r="E8358" s="41" t="n">
        <v>11151.303</v>
      </c>
    </row>
    <row r="8359">
      <c r="A8359" s="42">
        <f>_xlfn.XLOOKUP(53119,Trip[shape_id],Trip[shape_id],"Não encontrado")</f>
        <v/>
      </c>
      <c r="B8359" s="43" t="n">
        <v>-23.576699</v>
      </c>
      <c r="C8359" s="43" t="n">
        <v>-46.522817</v>
      </c>
      <c r="D8359" s="43" t="n">
        <v>353</v>
      </c>
      <c r="E8359" s="44" t="n">
        <v>11151.303</v>
      </c>
    </row>
    <row r="8360">
      <c r="A8360" s="39">
        <f>_xlfn.XLOOKUP(53119,Trip[shape_id],Trip[shape_id],"Não encontrado")</f>
        <v/>
      </c>
      <c r="B8360" s="40" t="n">
        <v>-23.576692</v>
      </c>
      <c r="C8360" s="40" t="n">
        <v>-46.522718</v>
      </c>
      <c r="D8360" s="40" t="n">
        <v>354</v>
      </c>
      <c r="E8360" s="41" t="n">
        <v>11187.069</v>
      </c>
    </row>
    <row r="8361">
      <c r="A8361" s="42">
        <f>_xlfn.XLOOKUP(53119,Trip[shape_id],Trip[shape_id],"Não encontrado")</f>
        <v/>
      </c>
      <c r="B8361" s="43" t="n">
        <v>-23.576686</v>
      </c>
      <c r="C8361" s="43" t="n">
        <v>-46.522467</v>
      </c>
      <c r="D8361" s="43" t="n">
        <v>355</v>
      </c>
      <c r="E8361" s="44" t="n">
        <v>11187.069</v>
      </c>
    </row>
    <row r="8362">
      <c r="A8362" s="39">
        <f>_xlfn.XLOOKUP(53119,Trip[shape_id],Trip[shape_id],"Não encontrado")</f>
        <v/>
      </c>
      <c r="B8362" s="40" t="n">
        <v>-23.576675</v>
      </c>
      <c r="C8362" s="40" t="n">
        <v>-46.52232</v>
      </c>
      <c r="D8362" s="40" t="n">
        <v>356</v>
      </c>
      <c r="E8362" s="41" t="n">
        <v>11212.333</v>
      </c>
    </row>
    <row r="8363">
      <c r="A8363" s="42">
        <f>_xlfn.XLOOKUP(53119,Trip[shape_id],Trip[shape_id],"Não encontrado")</f>
        <v/>
      </c>
      <c r="B8363" s="43" t="n">
        <v>-23.576662</v>
      </c>
      <c r="C8363" s="43" t="n">
        <v>-46.522221</v>
      </c>
      <c r="D8363" s="43" t="n">
        <v>357</v>
      </c>
      <c r="E8363" s="44" t="n">
        <v>11224.147</v>
      </c>
    </row>
    <row r="8364">
      <c r="A8364" s="39">
        <f>_xlfn.XLOOKUP(53119,Trip[shape_id],Trip[shape_id],"Não encontrado")</f>
        <v/>
      </c>
      <c r="B8364" s="40" t="n">
        <v>-23.57665</v>
      </c>
      <c r="C8364" s="40" t="n">
        <v>-46.522106</v>
      </c>
      <c r="D8364" s="40" t="n">
        <v>358</v>
      </c>
      <c r="E8364" s="41" t="n">
        <v>11235.652</v>
      </c>
    </row>
    <row r="8365">
      <c r="A8365" s="42">
        <f>_xlfn.XLOOKUP(53119,Trip[shape_id],Trip[shape_id],"Não encontrado")</f>
        <v/>
      </c>
      <c r="B8365" s="43" t="n">
        <v>-23.576632</v>
      </c>
      <c r="C8365" s="43" t="n">
        <v>-46.521995</v>
      </c>
      <c r="D8365" s="43" t="n">
        <v>359</v>
      </c>
      <c r="E8365" s="44" t="n">
        <v>11249.948</v>
      </c>
    </row>
    <row r="8366">
      <c r="A8366" s="39">
        <f>_xlfn.XLOOKUP(53119,Trip[shape_id],Trip[shape_id],"Não encontrado")</f>
        <v/>
      </c>
      <c r="B8366" s="40" t="n">
        <v>-23.57661</v>
      </c>
      <c r="C8366" s="40" t="n">
        <v>-46.521857</v>
      </c>
      <c r="D8366" s="40" t="n">
        <v>360</v>
      </c>
      <c r="E8366" s="41" t="n">
        <v>11268.593</v>
      </c>
    </row>
    <row r="8367">
      <c r="A8367" s="42">
        <f>_xlfn.XLOOKUP(53119,Trip[shape_id],Trip[shape_id],"Não encontrado")</f>
        <v/>
      </c>
      <c r="B8367" s="43" t="n">
        <v>-23.576565</v>
      </c>
      <c r="C8367" s="43" t="n">
        <v>-46.521681</v>
      </c>
      <c r="D8367" s="43" t="n">
        <v>361</v>
      </c>
      <c r="E8367" s="44" t="n">
        <v>11288.044</v>
      </c>
    </row>
    <row r="8368">
      <c r="A8368" s="39">
        <f>_xlfn.XLOOKUP(53119,Trip[shape_id],Trip[shape_id],"Não encontrado")</f>
        <v/>
      </c>
      <c r="B8368" s="40" t="n">
        <v>-23.576513</v>
      </c>
      <c r="C8368" s="40" t="n">
        <v>-46.521499</v>
      </c>
      <c r="D8368" s="40" t="n">
        <v>362</v>
      </c>
      <c r="E8368" s="41" t="n">
        <v>11299.271</v>
      </c>
    </row>
    <row r="8369">
      <c r="A8369" s="42">
        <f>_xlfn.XLOOKUP(53119,Trip[shape_id],Trip[shape_id],"Não encontrado")</f>
        <v/>
      </c>
      <c r="B8369" s="43" t="n">
        <v>-23.576486</v>
      </c>
      <c r="C8369" s="43" t="n">
        <v>-46.521393</v>
      </c>
      <c r="D8369" s="43" t="n">
        <v>363</v>
      </c>
      <c r="E8369" s="44" t="n">
        <v>11299.271</v>
      </c>
    </row>
    <row r="8370">
      <c r="A8370" s="39">
        <f>_xlfn.XLOOKUP(53119,Trip[shape_id],Trip[shape_id],"Não encontrado")</f>
        <v/>
      </c>
      <c r="B8370" s="40" t="n">
        <v>-23.576447</v>
      </c>
      <c r="C8370" s="40" t="n">
        <v>-46.521291</v>
      </c>
      <c r="D8370" s="40" t="n">
        <v>364</v>
      </c>
      <c r="E8370" s="41" t="n">
        <v>11310.543</v>
      </c>
    </row>
    <row r="8371">
      <c r="A8371" s="42">
        <f>_xlfn.XLOOKUP(53119,Trip[shape_id],Trip[shape_id],"Não encontrado")</f>
        <v/>
      </c>
      <c r="B8371" s="43" t="n">
        <v>-23.576484</v>
      </c>
      <c r="C8371" s="43" t="n">
        <v>-46.520913</v>
      </c>
      <c r="D8371" s="43" t="n">
        <v>365</v>
      </c>
      <c r="E8371" s="44" t="n">
        <v>11357.133</v>
      </c>
    </row>
    <row r="8372">
      <c r="A8372" s="39">
        <f>_xlfn.XLOOKUP(53119,Trip[shape_id],Trip[shape_id],"Não encontrado")</f>
        <v/>
      </c>
      <c r="B8372" s="40" t="n">
        <v>-23.57649</v>
      </c>
      <c r="C8372" s="40" t="n">
        <v>-46.520837</v>
      </c>
      <c r="D8372" s="40" t="n">
        <v>366</v>
      </c>
      <c r="E8372" s="41" t="n">
        <v>11369.282</v>
      </c>
    </row>
    <row r="8373">
      <c r="A8373" s="42">
        <f>_xlfn.XLOOKUP(53119,Trip[shape_id],Trip[shape_id],"Não encontrado")</f>
        <v/>
      </c>
      <c r="B8373" s="43" t="n">
        <v>-23.576492</v>
      </c>
      <c r="C8373" s="43" t="n">
        <v>-46.520718</v>
      </c>
      <c r="D8373" s="43" t="n">
        <v>367</v>
      </c>
      <c r="E8373" s="44" t="n">
        <v>11369.282</v>
      </c>
    </row>
    <row r="8374">
      <c r="A8374" s="39">
        <f>_xlfn.XLOOKUP(53119,Trip[shape_id],Trip[shape_id],"Não encontrado")</f>
        <v/>
      </c>
      <c r="B8374" s="40" t="n">
        <v>-23.576494</v>
      </c>
      <c r="C8374" s="40" t="n">
        <v>-46.520672</v>
      </c>
      <c r="D8374" s="40" t="n">
        <v>368</v>
      </c>
      <c r="E8374" s="41" t="n">
        <v>11380.723</v>
      </c>
    </row>
    <row r="8375">
      <c r="A8375" s="42">
        <f>_xlfn.XLOOKUP(53119,Trip[shape_id],Trip[shape_id],"Não encontrado")</f>
        <v/>
      </c>
      <c r="B8375" s="43" t="n">
        <v>-23.576492</v>
      </c>
      <c r="C8375" s="43" t="n">
        <v>-46.520606</v>
      </c>
      <c r="D8375" s="43" t="n">
        <v>369</v>
      </c>
      <c r="E8375" s="44" t="n">
        <v>11386.289</v>
      </c>
    </row>
    <row r="8376">
      <c r="A8376" s="39">
        <f>_xlfn.XLOOKUP(53119,Trip[shape_id],Trip[shape_id],"Não encontrado")</f>
        <v/>
      </c>
      <c r="B8376" s="40" t="n">
        <v>-23.576485</v>
      </c>
      <c r="C8376" s="40" t="n">
        <v>-46.520552</v>
      </c>
      <c r="D8376" s="40" t="n">
        <v>370</v>
      </c>
      <c r="E8376" s="41" t="n">
        <v>11386.289</v>
      </c>
    </row>
    <row r="8377">
      <c r="A8377" s="42">
        <f>_xlfn.XLOOKUP(53119,Trip[shape_id],Trip[shape_id],"Não encontrado")</f>
        <v/>
      </c>
      <c r="B8377" s="43" t="n">
        <v>-23.57647</v>
      </c>
      <c r="C8377" s="43" t="n">
        <v>-46.5204</v>
      </c>
      <c r="D8377" s="43" t="n">
        <v>371</v>
      </c>
      <c r="E8377" s="44" t="n">
        <v>11401.894</v>
      </c>
    </row>
    <row r="8378">
      <c r="A8378" s="39">
        <f>_xlfn.XLOOKUP(53119,Trip[shape_id],Trip[shape_id],"Não encontrado")</f>
        <v/>
      </c>
      <c r="B8378" s="40" t="n">
        <v>-23.576417</v>
      </c>
      <c r="C8378" s="40" t="n">
        <v>-46.520249</v>
      </c>
      <c r="D8378" s="40" t="n">
        <v>372</v>
      </c>
      <c r="E8378" s="41" t="n">
        <v>11430.394</v>
      </c>
    </row>
    <row r="8379">
      <c r="A8379" s="42">
        <f>_xlfn.XLOOKUP(53119,Trip[shape_id],Trip[shape_id],"Não encontrado")</f>
        <v/>
      </c>
      <c r="B8379" s="43" t="n">
        <v>-23.576372</v>
      </c>
      <c r="C8379" s="43" t="n">
        <v>-46.520142</v>
      </c>
      <c r="D8379" s="43" t="n">
        <v>373</v>
      </c>
      <c r="E8379" s="44" t="n">
        <v>11435.725</v>
      </c>
    </row>
    <row r="8380">
      <c r="A8380" s="39">
        <f>_xlfn.XLOOKUP(53119,Trip[shape_id],Trip[shape_id],"Não encontrado")</f>
        <v/>
      </c>
      <c r="B8380" s="40" t="n">
        <v>-23.576351</v>
      </c>
      <c r="C8380" s="40" t="n">
        <v>-46.520095</v>
      </c>
      <c r="D8380" s="40" t="n">
        <v>374</v>
      </c>
      <c r="E8380" s="41" t="n">
        <v>11435.725</v>
      </c>
    </row>
    <row r="8381">
      <c r="A8381" s="42">
        <f>_xlfn.XLOOKUP(53119,Trip[shape_id],Trip[shape_id],"Não encontrado")</f>
        <v/>
      </c>
      <c r="B8381" s="43" t="n">
        <v>-23.576258</v>
      </c>
      <c r="C8381" s="43" t="n">
        <v>-46.519899</v>
      </c>
      <c r="D8381" s="43" t="n">
        <v>375</v>
      </c>
      <c r="E8381" s="44" t="n">
        <v>11469.912</v>
      </c>
    </row>
    <row r="8382">
      <c r="A8382" s="39">
        <f>_xlfn.XLOOKUP(53119,Trip[shape_id],Trip[shape_id],"Não encontrado")</f>
        <v/>
      </c>
      <c r="B8382" s="40" t="n">
        <v>-23.576212</v>
      </c>
      <c r="C8382" s="40" t="n">
        <v>-46.519796</v>
      </c>
      <c r="D8382" s="40" t="n">
        <v>376</v>
      </c>
      <c r="E8382" s="41" t="n">
        <v>11488.128</v>
      </c>
    </row>
    <row r="8383">
      <c r="A8383" s="42">
        <f>_xlfn.XLOOKUP(53119,Trip[shape_id],Trip[shape_id],"Não encontrado")</f>
        <v/>
      </c>
      <c r="B8383" s="43" t="n">
        <v>-23.576162</v>
      </c>
      <c r="C8383" s="43" t="n">
        <v>-46.519626</v>
      </c>
      <c r="D8383" s="43" t="n">
        <v>377</v>
      </c>
      <c r="E8383" s="44" t="n">
        <v>11488.128</v>
      </c>
    </row>
    <row r="8384">
      <c r="A8384" s="39">
        <f>_xlfn.XLOOKUP(53119,Trip[shape_id],Trip[shape_id],"Não encontrado")</f>
        <v/>
      </c>
      <c r="B8384" s="40" t="n">
        <v>-23.576163</v>
      </c>
      <c r="C8384" s="40" t="n">
        <v>-46.519597</v>
      </c>
      <c r="D8384" s="40" t="n">
        <v>378</v>
      </c>
      <c r="E8384" s="41" t="n">
        <v>11516.605</v>
      </c>
    </row>
    <row r="8385">
      <c r="A8385" s="42">
        <f>_xlfn.XLOOKUP(53119,Trip[shape_id],Trip[shape_id],"Não encontrado")</f>
        <v/>
      </c>
      <c r="B8385" s="43" t="n">
        <v>-23.576183</v>
      </c>
      <c r="C8385" s="43" t="n">
        <v>-46.519348</v>
      </c>
      <c r="D8385" s="43" t="n">
        <v>379</v>
      </c>
      <c r="E8385" s="44" t="n">
        <v>11533.392</v>
      </c>
    </row>
    <row r="8386">
      <c r="A8386" s="39">
        <f>_xlfn.XLOOKUP(53119,Trip[shape_id],Trip[shape_id],"Não encontrado")</f>
        <v/>
      </c>
      <c r="B8386" s="40" t="n">
        <v>-23.576194</v>
      </c>
      <c r="C8386" s="40" t="n">
        <v>-46.519184</v>
      </c>
      <c r="D8386" s="40" t="n">
        <v>380</v>
      </c>
      <c r="E8386" s="41" t="n">
        <v>11533.392</v>
      </c>
    </row>
    <row r="8387">
      <c r="A8387" s="42">
        <f>_xlfn.XLOOKUP(53119,Trip[shape_id],Trip[shape_id],"Não encontrado")</f>
        <v/>
      </c>
      <c r="B8387" s="43" t="n">
        <v>-23.576231</v>
      </c>
      <c r="C8387" s="43" t="n">
        <v>-46.518855</v>
      </c>
      <c r="D8387" s="43" t="n">
        <v>381</v>
      </c>
      <c r="E8387" s="44" t="n">
        <v>11567.226</v>
      </c>
    </row>
    <row r="8388">
      <c r="A8388" s="39">
        <f>_xlfn.XLOOKUP(53119,Trip[shape_id],Trip[shape_id],"Não encontrado")</f>
        <v/>
      </c>
      <c r="B8388" s="40" t="n">
        <v>-23.576234</v>
      </c>
      <c r="C8388" s="40" t="n">
        <v>-46.518789</v>
      </c>
      <c r="D8388" s="40" t="n">
        <v>382</v>
      </c>
      <c r="E8388" s="41" t="n">
        <v>11595.026</v>
      </c>
    </row>
    <row r="8389">
      <c r="A8389" s="42">
        <f>_xlfn.XLOOKUP(53119,Trip[shape_id],Trip[shape_id],"Não encontrado")</f>
        <v/>
      </c>
      <c r="B8389" s="43" t="n">
        <v>-23.576262</v>
      </c>
      <c r="C8389" s="43" t="n">
        <v>-46.518585</v>
      </c>
      <c r="D8389" s="43" t="n">
        <v>383</v>
      </c>
      <c r="E8389" s="44" t="n">
        <v>11595.026</v>
      </c>
    </row>
    <row r="8390">
      <c r="A8390" s="39">
        <f>_xlfn.XLOOKUP(53119,Trip[shape_id],Trip[shape_id],"Não encontrado")</f>
        <v/>
      </c>
      <c r="B8390" s="40" t="n">
        <v>-23.576291</v>
      </c>
      <c r="C8390" s="40" t="n">
        <v>-46.518395</v>
      </c>
      <c r="D8390" s="40" t="n">
        <v>384</v>
      </c>
      <c r="E8390" s="41" t="n">
        <v>11637.516</v>
      </c>
    </row>
    <row r="8391">
      <c r="A8391" s="42">
        <f>_xlfn.XLOOKUP(53119,Trip[shape_id],Trip[shape_id],"Não encontrado")</f>
        <v/>
      </c>
      <c r="B8391" s="43" t="n">
        <v>-23.576328</v>
      </c>
      <c r="C8391" s="43" t="n">
        <v>-46.518175</v>
      </c>
      <c r="D8391" s="43" t="n">
        <v>385</v>
      </c>
      <c r="E8391" s="44" t="n">
        <v>11637.516</v>
      </c>
    </row>
    <row r="8392">
      <c r="A8392" s="39">
        <f>_xlfn.XLOOKUP(53119,Trip[shape_id],Trip[shape_id],"Não encontrado")</f>
        <v/>
      </c>
      <c r="B8392" s="40" t="n">
        <v>-23.576408</v>
      </c>
      <c r="C8392" s="40" t="n">
        <v>-46.517821</v>
      </c>
      <c r="D8392" s="40" t="n">
        <v>386</v>
      </c>
      <c r="E8392" s="41" t="n">
        <v>11703.128</v>
      </c>
    </row>
    <row r="8393">
      <c r="A8393" s="42">
        <f>_xlfn.XLOOKUP(53119,Trip[shape_id],Trip[shape_id],"Não encontrado")</f>
        <v/>
      </c>
      <c r="B8393" s="43" t="n">
        <v>-23.576477</v>
      </c>
      <c r="C8393" s="43" t="n">
        <v>-46.517553</v>
      </c>
      <c r="D8393" s="43" t="n">
        <v>387</v>
      </c>
      <c r="E8393" s="44" t="n">
        <v>11703.128</v>
      </c>
    </row>
    <row r="8394">
      <c r="A8394" s="39">
        <f>_xlfn.XLOOKUP(53119,Trip[shape_id],Trip[shape_id],"Não encontrado")</f>
        <v/>
      </c>
      <c r="B8394" s="40" t="n">
        <v>-23.57658</v>
      </c>
      <c r="C8394" s="40" t="n">
        <v>-46.517218</v>
      </c>
      <c r="D8394" s="40" t="n">
        <v>388</v>
      </c>
      <c r="E8394" s="41" t="n">
        <v>11766.821</v>
      </c>
    </row>
    <row r="8395">
      <c r="A8395" s="42">
        <f>_xlfn.XLOOKUP(53119,Trip[shape_id],Trip[shape_id],"Não encontrado")</f>
        <v/>
      </c>
      <c r="B8395" s="43" t="n">
        <v>-23.576669</v>
      </c>
      <c r="C8395" s="43" t="n">
        <v>-46.516965</v>
      </c>
      <c r="D8395" s="43" t="n">
        <v>389</v>
      </c>
      <c r="E8395" s="44" t="n">
        <v>11766.821</v>
      </c>
    </row>
    <row r="8396">
      <c r="A8396" s="39">
        <f>_xlfn.XLOOKUP(53119,Trip[shape_id],Trip[shape_id],"Não encontrado")</f>
        <v/>
      </c>
      <c r="B8396" s="40" t="n">
        <v>-23.576712</v>
      </c>
      <c r="C8396" s="40" t="n">
        <v>-46.516838</v>
      </c>
      <c r="D8396" s="40" t="n">
        <v>390</v>
      </c>
      <c r="E8396" s="41" t="n">
        <v>11783.889</v>
      </c>
    </row>
    <row r="8397">
      <c r="A8397" s="42">
        <f>_xlfn.XLOOKUP(53119,Trip[shape_id],Trip[shape_id],"Não encontrado")</f>
        <v/>
      </c>
      <c r="B8397" s="43" t="n">
        <v>-23.576722</v>
      </c>
      <c r="C8397" s="43" t="n">
        <v>-46.516808</v>
      </c>
      <c r="D8397" s="43" t="n">
        <v>391</v>
      </c>
      <c r="E8397" s="44" t="n">
        <v>11783.889</v>
      </c>
    </row>
    <row r="8398">
      <c r="A8398" s="39">
        <f>_xlfn.XLOOKUP(53119,Trip[shape_id],Trip[shape_id],"Não encontrado")</f>
        <v/>
      </c>
      <c r="B8398" s="40" t="n">
        <v>-23.576857</v>
      </c>
      <c r="C8398" s="40" t="n">
        <v>-46.516519</v>
      </c>
      <c r="D8398" s="40" t="n">
        <v>392</v>
      </c>
      <c r="E8398" s="41" t="n">
        <v>11816.963</v>
      </c>
    </row>
    <row r="8399">
      <c r="A8399" s="42">
        <f>_xlfn.XLOOKUP(53119,Trip[shape_id],Trip[shape_id],"Não encontrado")</f>
        <v/>
      </c>
      <c r="B8399" s="43" t="n">
        <v>-23.57691</v>
      </c>
      <c r="C8399" s="43" t="n">
        <v>-46.516367</v>
      </c>
      <c r="D8399" s="43" t="n">
        <v>393</v>
      </c>
      <c r="E8399" s="44" t="n">
        <v>11833.553</v>
      </c>
    </row>
    <row r="8400">
      <c r="A8400" s="39">
        <f>_xlfn.XLOOKUP(53119,Trip[shape_id],Trip[shape_id],"Não encontrado")</f>
        <v/>
      </c>
      <c r="B8400" s="40" t="n">
        <v>-23.577156</v>
      </c>
      <c r="C8400" s="40" t="n">
        <v>-46.516508</v>
      </c>
      <c r="D8400" s="40" t="n">
        <v>394</v>
      </c>
      <c r="E8400" s="41" t="n">
        <v>11864.366</v>
      </c>
    </row>
    <row r="8401">
      <c r="A8401" s="42">
        <f>_xlfn.XLOOKUP(53119,Trip[shape_id],Trip[shape_id],"Não encontrado")</f>
        <v/>
      </c>
      <c r="B8401" s="43" t="n">
        <v>-23.57738</v>
      </c>
      <c r="C8401" s="43" t="n">
        <v>-46.51665</v>
      </c>
      <c r="D8401" s="43" t="n">
        <v>395</v>
      </c>
      <c r="E8401" s="44" t="n">
        <v>11893.099</v>
      </c>
    </row>
    <row r="8402">
      <c r="A8402" s="39">
        <f>_xlfn.XLOOKUP(53119,Trip[shape_id],Trip[shape_id],"Não encontrado")</f>
        <v/>
      </c>
      <c r="B8402" s="40" t="n">
        <v>-23.577887</v>
      </c>
      <c r="C8402" s="40" t="n">
        <v>-46.516971</v>
      </c>
      <c r="D8402" s="40" t="n">
        <v>396</v>
      </c>
      <c r="E8402" s="41" t="n">
        <v>11958.112</v>
      </c>
    </row>
    <row r="8403">
      <c r="A8403" s="42">
        <f>_xlfn.XLOOKUP(53119,Trip[shape_id],Trip[shape_id],"Não encontrado")</f>
        <v/>
      </c>
      <c r="B8403" s="43" t="n">
        <v>-23.577949</v>
      </c>
      <c r="C8403" s="43" t="n">
        <v>-46.517013</v>
      </c>
      <c r="D8403" s="43" t="n">
        <v>397</v>
      </c>
      <c r="E8403" s="44" t="n">
        <v>11966.207</v>
      </c>
    </row>
    <row r="8404">
      <c r="A8404" s="39">
        <f>_xlfn.XLOOKUP(53119,Trip[shape_id],Trip[shape_id],"Não encontrado")</f>
        <v/>
      </c>
      <c r="B8404" s="40" t="n">
        <v>-23.578377</v>
      </c>
      <c r="C8404" s="40" t="n">
        <v>-46.51729</v>
      </c>
      <c r="D8404" s="40" t="n">
        <v>398</v>
      </c>
      <c r="E8404" s="41" t="n">
        <v>12021.402</v>
      </c>
    </row>
    <row r="8405">
      <c r="A8405" s="42">
        <f>_xlfn.XLOOKUP(53119,Trip[shape_id],Trip[shape_id],"Não encontrado")</f>
        <v/>
      </c>
      <c r="B8405" s="43" t="n">
        <v>-23.578876</v>
      </c>
      <c r="C8405" s="43" t="n">
        <v>-46.517608</v>
      </c>
      <c r="D8405" s="43" t="n">
        <v>399</v>
      </c>
      <c r="E8405" s="44" t="n">
        <v>12085.496</v>
      </c>
    </row>
    <row r="8406">
      <c r="A8406" s="39">
        <f>_xlfn.XLOOKUP(53119,Trip[shape_id],Trip[shape_id],"Não encontrado")</f>
        <v/>
      </c>
      <c r="B8406" s="40" t="n">
        <v>-23.578921</v>
      </c>
      <c r="C8406" s="40" t="n">
        <v>-46.517633</v>
      </c>
      <c r="D8406" s="40" t="n">
        <v>400</v>
      </c>
      <c r="E8406" s="41" t="n">
        <v>12091.095</v>
      </c>
    </row>
    <row r="8407">
      <c r="A8407" s="42">
        <f>_xlfn.XLOOKUP(53119,Trip[shape_id],Trip[shape_id],"Não encontrado")</f>
        <v/>
      </c>
      <c r="B8407" s="43" t="n">
        <v>-23.5791</v>
      </c>
      <c r="C8407" s="43" t="n">
        <v>-46.5177</v>
      </c>
      <c r="D8407" s="43" t="n">
        <v>401</v>
      </c>
      <c r="E8407" s="44" t="n">
        <v>12112.066</v>
      </c>
    </row>
    <row r="8408">
      <c r="A8408" s="39">
        <f>_xlfn.XLOOKUP(53119,Trip[shape_id],Trip[shape_id],"Não encontrado")</f>
        <v/>
      </c>
      <c r="B8408" s="40" t="n">
        <v>-23.579485</v>
      </c>
      <c r="C8408" s="40" t="n">
        <v>-46.517841</v>
      </c>
      <c r="D8408" s="40" t="n">
        <v>402</v>
      </c>
      <c r="E8408" s="41" t="n">
        <v>12157.069</v>
      </c>
    </row>
    <row r="8409">
      <c r="A8409" s="42">
        <f>_xlfn.XLOOKUP(53119,Trip[shape_id],Trip[shape_id],"Não encontrado")</f>
        <v/>
      </c>
      <c r="B8409" s="43" t="n">
        <v>-23.580001</v>
      </c>
      <c r="C8409" s="43" t="n">
        <v>-46.518023</v>
      </c>
      <c r="D8409" s="43" t="n">
        <v>403</v>
      </c>
      <c r="E8409" s="44" t="n">
        <v>12217.161</v>
      </c>
    </row>
    <row r="8410">
      <c r="A8410" s="39">
        <f>_xlfn.XLOOKUP(53119,Trip[shape_id],Trip[shape_id],"Não encontrado")</f>
        <v/>
      </c>
      <c r="B8410" s="40" t="n">
        <v>-23.580997</v>
      </c>
      <c r="C8410" s="40" t="n">
        <v>-46.518379</v>
      </c>
      <c r="D8410" s="40" t="n">
        <v>404</v>
      </c>
      <c r="E8410" s="41" t="n">
        <v>12333.302</v>
      </c>
    </row>
    <row r="8411">
      <c r="A8411" s="42">
        <f>_xlfn.XLOOKUP(53119,Trip[shape_id],Trip[shape_id],"Não encontrado")</f>
        <v/>
      </c>
      <c r="B8411" s="43" t="n">
        <v>-23.581231</v>
      </c>
      <c r="C8411" s="43" t="n">
        <v>-46.518463</v>
      </c>
      <c r="D8411" s="43" t="n">
        <v>405</v>
      </c>
      <c r="E8411" s="44" t="n">
        <v>12360.6</v>
      </c>
    </row>
    <row r="8412">
      <c r="A8412" s="39">
        <f>_xlfn.XLOOKUP(53119,Trip[shape_id],Trip[shape_id],"Não encontrado")</f>
        <v/>
      </c>
      <c r="B8412" s="40" t="n">
        <v>-23.581659</v>
      </c>
      <c r="C8412" s="40" t="n">
        <v>-46.518611</v>
      </c>
      <c r="D8412" s="40" t="n">
        <v>406</v>
      </c>
      <c r="E8412" s="41" t="n">
        <v>12410.351</v>
      </c>
    </row>
    <row r="8413">
      <c r="A8413" s="42">
        <f>_xlfn.XLOOKUP(53119,Trip[shape_id],Trip[shape_id],"Não encontrado")</f>
        <v/>
      </c>
      <c r="B8413" s="43" t="n">
        <v>-23.581799</v>
      </c>
      <c r="C8413" s="43" t="n">
        <v>-46.518663</v>
      </c>
      <c r="D8413" s="43" t="n">
        <v>407</v>
      </c>
      <c r="E8413" s="44" t="n">
        <v>12426.739</v>
      </c>
    </row>
    <row r="8414">
      <c r="A8414" s="39">
        <f>_xlfn.XLOOKUP(53119,Trip[shape_id],Trip[shape_id],"Não encontrado")</f>
        <v/>
      </c>
      <c r="B8414" s="40" t="n">
        <v>-23.582253</v>
      </c>
      <c r="C8414" s="40" t="n">
        <v>-46.518822</v>
      </c>
      <c r="D8414" s="40" t="n">
        <v>408</v>
      </c>
      <c r="E8414" s="41" t="n">
        <v>12479.575</v>
      </c>
    </row>
    <row r="8415">
      <c r="A8415" s="42">
        <f>_xlfn.XLOOKUP(53119,Trip[shape_id],Trip[shape_id],"Não encontrado")</f>
        <v/>
      </c>
      <c r="B8415" s="43" t="n">
        <v>-23.582474</v>
      </c>
      <c r="C8415" s="43" t="n">
        <v>-46.518901</v>
      </c>
      <c r="D8415" s="43" t="n">
        <v>409</v>
      </c>
      <c r="E8415" s="44" t="n">
        <v>12505.346</v>
      </c>
    </row>
    <row r="8416">
      <c r="A8416" s="39">
        <f>_xlfn.XLOOKUP(53119,Trip[shape_id],Trip[shape_id],"Não encontrado")</f>
        <v/>
      </c>
      <c r="B8416" s="40" t="n">
        <v>-23.582493</v>
      </c>
      <c r="C8416" s="40" t="n">
        <v>-46.518914</v>
      </c>
      <c r="D8416" s="40" t="n">
        <v>410</v>
      </c>
      <c r="E8416" s="41" t="n">
        <v>12507.834</v>
      </c>
    </row>
    <row r="8417">
      <c r="A8417" s="42">
        <f>_xlfn.XLOOKUP(53119,Trip[shape_id],Trip[shape_id],"Não encontrado")</f>
        <v/>
      </c>
      <c r="B8417" s="43" t="n">
        <v>-23.582511</v>
      </c>
      <c r="C8417" s="43" t="n">
        <v>-46.518915</v>
      </c>
      <c r="D8417" s="43" t="n">
        <v>411</v>
      </c>
      <c r="E8417" s="44" t="n">
        <v>12509.831</v>
      </c>
    </row>
    <row r="8418">
      <c r="A8418" s="39">
        <f>_xlfn.XLOOKUP(53119,Trip[shape_id],Trip[shape_id],"Não encontrado")</f>
        <v/>
      </c>
      <c r="B8418" s="40" t="n">
        <v>-23.582572</v>
      </c>
      <c r="C8418" s="40" t="n">
        <v>-46.518936</v>
      </c>
      <c r="D8418" s="40" t="n">
        <v>412</v>
      </c>
      <c r="E8418" s="41" t="n">
        <v>12516.919</v>
      </c>
    </row>
    <row r="8419">
      <c r="A8419" s="42">
        <f>_xlfn.XLOOKUP(53119,Trip[shape_id],Trip[shape_id],"Não encontrado")</f>
        <v/>
      </c>
      <c r="B8419" s="43" t="n">
        <v>-23.583088</v>
      </c>
      <c r="C8419" s="43" t="n">
        <v>-46.519117</v>
      </c>
      <c r="D8419" s="43" t="n">
        <v>413</v>
      </c>
      <c r="E8419" s="44" t="n">
        <v>12576.979</v>
      </c>
    </row>
    <row r="8420">
      <c r="A8420" s="39">
        <f>_xlfn.XLOOKUP(53119,Trip[shape_id],Trip[shape_id],"Não encontrado")</f>
        <v/>
      </c>
      <c r="B8420" s="40" t="n">
        <v>-23.583595</v>
      </c>
      <c r="C8420" s="40" t="n">
        <v>-46.519295</v>
      </c>
      <c r="D8420" s="40" t="n">
        <v>414</v>
      </c>
      <c r="E8420" s="41" t="n">
        <v>12635.997</v>
      </c>
    </row>
    <row r="8421">
      <c r="A8421" s="42">
        <f>_xlfn.XLOOKUP(53119,Trip[shape_id],Trip[shape_id],"Não encontrado")</f>
        <v/>
      </c>
      <c r="B8421" s="43" t="n">
        <v>-23.584105</v>
      </c>
      <c r="C8421" s="43" t="n">
        <v>-46.51948</v>
      </c>
      <c r="D8421" s="43" t="n">
        <v>415</v>
      </c>
      <c r="E8421" s="44" t="n">
        <v>12695.554</v>
      </c>
    </row>
    <row r="8422">
      <c r="A8422" s="39">
        <f>_xlfn.XLOOKUP(53119,Trip[shape_id],Trip[shape_id],"Não encontrado")</f>
        <v/>
      </c>
      <c r="B8422" s="40" t="n">
        <v>-23.584282</v>
      </c>
      <c r="C8422" s="40" t="n">
        <v>-46.519544</v>
      </c>
      <c r="D8422" s="40" t="n">
        <v>416</v>
      </c>
      <c r="E8422" s="41" t="n">
        <v>12716.217</v>
      </c>
    </row>
    <row r="8423">
      <c r="A8423" s="42">
        <f>_xlfn.XLOOKUP(53119,Trip[shape_id],Trip[shape_id],"Não encontrado")</f>
        <v/>
      </c>
      <c r="B8423" s="43" t="n">
        <v>-23.584527</v>
      </c>
      <c r="C8423" s="43" t="n">
        <v>-46.519628</v>
      </c>
      <c r="D8423" s="43" t="n">
        <v>417</v>
      </c>
      <c r="E8423" s="44" t="n">
        <v>12744.674</v>
      </c>
    </row>
    <row r="8424">
      <c r="A8424" s="39">
        <f>_xlfn.XLOOKUP(53119,Trip[shape_id],Trip[shape_id],"Não encontrado")</f>
        <v/>
      </c>
      <c r="B8424" s="40" t="n">
        <v>-23.584568</v>
      </c>
      <c r="C8424" s="40" t="n">
        <v>-46.519621</v>
      </c>
      <c r="D8424" s="40" t="n">
        <v>418</v>
      </c>
      <c r="E8424" s="41" t="n">
        <v>12749.271</v>
      </c>
    </row>
    <row r="8425">
      <c r="A8425" s="42">
        <f>_xlfn.XLOOKUP(53119,Trip[shape_id],Trip[shape_id],"Não encontrado")</f>
        <v/>
      </c>
      <c r="B8425" s="43" t="n">
        <v>-23.584577</v>
      </c>
      <c r="C8425" s="43" t="n">
        <v>-46.519646</v>
      </c>
      <c r="D8425" s="43" t="n">
        <v>419</v>
      </c>
      <c r="E8425" s="44" t="n">
        <v>12752.011</v>
      </c>
    </row>
    <row r="8426">
      <c r="A8426" s="39">
        <f>_xlfn.XLOOKUP(53119,Trip[shape_id],Trip[shape_id],"Não encontrado")</f>
        <v/>
      </c>
      <c r="B8426" s="40" t="n">
        <v>-23.584622</v>
      </c>
      <c r="C8426" s="40" t="n">
        <v>-46.519661</v>
      </c>
      <c r="D8426" s="40" t="n">
        <v>420</v>
      </c>
      <c r="E8426" s="41" t="n">
        <v>12757.224</v>
      </c>
    </row>
    <row r="8427">
      <c r="A8427" s="42">
        <f>_xlfn.XLOOKUP(53119,Trip[shape_id],Trip[shape_id],"Não encontrado")</f>
        <v/>
      </c>
      <c r="B8427" s="43" t="n">
        <v>-23.585272</v>
      </c>
      <c r="C8427" s="43" t="n">
        <v>-46.51989</v>
      </c>
      <c r="D8427" s="43" t="n">
        <v>421</v>
      </c>
      <c r="E8427" s="44" t="n">
        <v>12832.913</v>
      </c>
    </row>
    <row r="8428">
      <c r="A8428" s="39">
        <f>_xlfn.XLOOKUP(53119,Trip[shape_id],Trip[shape_id],"Não encontrado")</f>
        <v/>
      </c>
      <c r="B8428" s="40" t="n">
        <v>-23.585311</v>
      </c>
      <c r="C8428" s="40" t="n">
        <v>-46.519811</v>
      </c>
      <c r="D8428" s="40" t="n">
        <v>422</v>
      </c>
      <c r="E8428" s="41" t="n">
        <v>12860.06</v>
      </c>
    </row>
    <row r="8429">
      <c r="A8429" s="42">
        <f>_xlfn.XLOOKUP(53119,Trip[shape_id],Trip[shape_id],"Não encontrado")</f>
        <v/>
      </c>
      <c r="B8429" s="43" t="n">
        <v>-23.585373</v>
      </c>
      <c r="C8429" s="43" t="n">
        <v>-46.519648</v>
      </c>
      <c r="D8429" s="43" t="n">
        <v>423</v>
      </c>
      <c r="E8429" s="44" t="n">
        <v>12860.06</v>
      </c>
    </row>
    <row r="8430">
      <c r="A8430" s="39">
        <f>_xlfn.XLOOKUP(53119,Trip[shape_id],Trip[shape_id],"Não encontrado")</f>
        <v/>
      </c>
      <c r="B8430" s="40" t="n">
        <v>-23.585484</v>
      </c>
      <c r="C8430" s="40" t="n">
        <v>-46.519361</v>
      </c>
      <c r="D8430" s="40" t="n">
        <v>424</v>
      </c>
      <c r="E8430" s="41" t="n">
        <v>12891.83</v>
      </c>
    </row>
    <row r="8431">
      <c r="A8431" s="42">
        <f>_xlfn.XLOOKUP(53119,Trip[shape_id],Trip[shape_id],"Não encontrado")</f>
        <v/>
      </c>
      <c r="B8431" s="43" t="n">
        <v>-23.585578</v>
      </c>
      <c r="C8431" s="43" t="n">
        <v>-46.519103</v>
      </c>
      <c r="D8431" s="43" t="n">
        <v>425</v>
      </c>
      <c r="E8431" s="44" t="n">
        <v>12920.148</v>
      </c>
    </row>
    <row r="8432">
      <c r="A8432" s="39">
        <f>_xlfn.XLOOKUP(53119,Trip[shape_id],Trip[shape_id],"Não encontrado")</f>
        <v/>
      </c>
      <c r="B8432" s="40" t="n">
        <v>-23.58565</v>
      </c>
      <c r="C8432" s="40" t="n">
        <v>-46.518914</v>
      </c>
      <c r="D8432" s="40" t="n">
        <v>426</v>
      </c>
      <c r="E8432" s="41" t="n">
        <v>12955.142</v>
      </c>
    </row>
    <row r="8433">
      <c r="A8433" s="42">
        <f>_xlfn.XLOOKUP(53119,Trip[shape_id],Trip[shape_id],"Não encontrado")</f>
        <v/>
      </c>
      <c r="B8433" s="43" t="n">
        <v>-23.585696</v>
      </c>
      <c r="C8433" s="43" t="n">
        <v>-46.518785</v>
      </c>
      <c r="D8433" s="43" t="n">
        <v>427</v>
      </c>
      <c r="E8433" s="44" t="n">
        <v>12955.142</v>
      </c>
    </row>
    <row r="8434">
      <c r="A8434" s="39">
        <f>_xlfn.XLOOKUP(53119,Trip[shape_id],Trip[shape_id],"Não encontrado")</f>
        <v/>
      </c>
      <c r="B8434" s="40" t="n">
        <v>-23.58575</v>
      </c>
      <c r="C8434" s="40" t="n">
        <v>-46.518634</v>
      </c>
      <c r="D8434" s="40" t="n">
        <v>428</v>
      </c>
      <c r="E8434" s="41" t="n">
        <v>12971.675</v>
      </c>
    </row>
    <row r="8435">
      <c r="A8435" s="42">
        <f>_xlfn.XLOOKUP(53119,Trip[shape_id],Trip[shape_id],"Não encontrado")</f>
        <v/>
      </c>
      <c r="B8435" s="43" t="n">
        <v>-23.585793</v>
      </c>
      <c r="C8435" s="43" t="n">
        <v>-46.518513</v>
      </c>
      <c r="D8435" s="43" t="n">
        <v>429</v>
      </c>
      <c r="E8435" s="44" t="n">
        <v>13006.8</v>
      </c>
    </row>
    <row r="8436">
      <c r="A8436" s="39">
        <f>_xlfn.XLOOKUP(53119,Trip[shape_id],Trip[shape_id],"Não encontrado")</f>
        <v/>
      </c>
      <c r="B8436" s="40" t="n">
        <v>-23.585896</v>
      </c>
      <c r="C8436" s="40" t="n">
        <v>-46.51833</v>
      </c>
      <c r="D8436" s="40" t="n">
        <v>430</v>
      </c>
      <c r="E8436" s="41" t="n">
        <v>13006.8</v>
      </c>
    </row>
    <row r="8437">
      <c r="A8437" s="42">
        <f>_xlfn.XLOOKUP(53119,Trip[shape_id],Trip[shape_id],"Não encontrado")</f>
        <v/>
      </c>
      <c r="B8437" s="43" t="n">
        <v>-23.585955</v>
      </c>
      <c r="C8437" s="43" t="n">
        <v>-46.518242</v>
      </c>
      <c r="D8437" s="43" t="n">
        <v>431</v>
      </c>
      <c r="E8437" s="44" t="n">
        <v>13072.254</v>
      </c>
    </row>
    <row r="8438">
      <c r="A8438" s="39">
        <f>_xlfn.XLOOKUP(53119,Trip[shape_id],Trip[shape_id],"Não encontrado")</f>
        <v/>
      </c>
      <c r="B8438" s="40" t="n">
        <v>-23.586283</v>
      </c>
      <c r="C8438" s="40" t="n">
        <v>-46.517846</v>
      </c>
      <c r="D8438" s="40" t="n">
        <v>432</v>
      </c>
      <c r="E8438" s="41" t="n">
        <v>13072.254</v>
      </c>
    </row>
    <row r="8439">
      <c r="A8439" s="42">
        <f>_xlfn.XLOOKUP(53119,Trip[shape_id],Trip[shape_id],"Não encontrado")</f>
        <v/>
      </c>
      <c r="B8439" s="43" t="n">
        <v>-23.586361</v>
      </c>
      <c r="C8439" s="43" t="n">
        <v>-46.517758</v>
      </c>
      <c r="D8439" s="43" t="n">
        <v>433</v>
      </c>
      <c r="E8439" s="44" t="n">
        <v>13084.716</v>
      </c>
    </row>
    <row r="8440">
      <c r="A8440" s="39">
        <f>_xlfn.XLOOKUP(53119,Trip[shape_id],Trip[shape_id],"Não encontrado")</f>
        <v/>
      </c>
      <c r="B8440" s="40" t="n">
        <v>-23.586675</v>
      </c>
      <c r="C8440" s="40" t="n">
        <v>-46.517359</v>
      </c>
      <c r="D8440" s="40" t="n">
        <v>434</v>
      </c>
      <c r="E8440" s="41" t="n">
        <v>13138.271</v>
      </c>
    </row>
    <row r="8441">
      <c r="A8441" s="42">
        <f>_xlfn.XLOOKUP(53119,Trip[shape_id],Trip[shape_id],"Não encontrado")</f>
        <v/>
      </c>
      <c r="B8441" s="43" t="n">
        <v>-23.58687</v>
      </c>
      <c r="C8441" s="43" t="n">
        <v>-46.517127</v>
      </c>
      <c r="D8441" s="43" t="n">
        <v>435</v>
      </c>
      <c r="E8441" s="44" t="n">
        <v>13188.571</v>
      </c>
    </row>
    <row r="8442">
      <c r="A8442" s="39">
        <f>_xlfn.XLOOKUP(53119,Trip[shape_id],Trip[shape_id],"Não encontrado")</f>
        <v/>
      </c>
      <c r="B8442" s="40" t="n">
        <v>-23.586986</v>
      </c>
      <c r="C8442" s="40" t="n">
        <v>-46.517</v>
      </c>
      <c r="D8442" s="40" t="n">
        <v>436</v>
      </c>
      <c r="E8442" s="41" t="n">
        <v>13205.348</v>
      </c>
    </row>
    <row r="8443">
      <c r="A8443" s="42">
        <f>_xlfn.XLOOKUP(53119,Trip[shape_id],Trip[shape_id],"Não encontrado")</f>
        <v/>
      </c>
      <c r="B8443" s="43" t="n">
        <v>-23.587075</v>
      </c>
      <c r="C8443" s="43" t="n">
        <v>-46.516867</v>
      </c>
      <c r="D8443" s="43" t="n">
        <v>437</v>
      </c>
      <c r="E8443" s="44" t="n">
        <v>13205.348</v>
      </c>
    </row>
    <row r="8444">
      <c r="A8444" s="39">
        <f>_xlfn.XLOOKUP(53119,Trip[shape_id],Trip[shape_id],"Não encontrado")</f>
        <v/>
      </c>
      <c r="B8444" s="40" t="n">
        <v>-23.587138</v>
      </c>
      <c r="C8444" s="40" t="n">
        <v>-46.516676</v>
      </c>
      <c r="D8444" s="40" t="n">
        <v>438</v>
      </c>
      <c r="E8444" s="41" t="n">
        <v>13226.055</v>
      </c>
    </row>
    <row r="8445">
      <c r="A8445" s="42">
        <f>_xlfn.XLOOKUP(53119,Trip[shape_id],Trip[shape_id],"Não encontrado")</f>
        <v/>
      </c>
      <c r="B8445" s="43" t="n">
        <v>-23.587205</v>
      </c>
      <c r="C8445" s="43" t="n">
        <v>-46.516384</v>
      </c>
      <c r="D8445" s="43" t="n">
        <v>439</v>
      </c>
      <c r="E8445" s="44" t="n">
        <v>13275.828</v>
      </c>
    </row>
    <row r="8446">
      <c r="A8446" s="39">
        <f>_xlfn.XLOOKUP(53119,Trip[shape_id],Trip[shape_id],"Não encontrado")</f>
        <v/>
      </c>
      <c r="B8446" s="40" t="n">
        <v>-23.58722</v>
      </c>
      <c r="C8446" s="40" t="n">
        <v>-46.516198</v>
      </c>
      <c r="D8446" s="40" t="n">
        <v>440</v>
      </c>
      <c r="E8446" s="41" t="n">
        <v>13275.828</v>
      </c>
    </row>
    <row r="8447">
      <c r="A8447" s="42">
        <f>_xlfn.XLOOKUP(53119,Trip[shape_id],Trip[shape_id],"Não encontrado")</f>
        <v/>
      </c>
      <c r="B8447" s="43" t="n">
        <v>-23.587378</v>
      </c>
      <c r="C8447" s="43" t="n">
        <v>-46.516219</v>
      </c>
      <c r="D8447" s="43" t="n">
        <v>441</v>
      </c>
      <c r="E8447" s="44" t="n">
        <v>13293.458</v>
      </c>
    </row>
    <row r="8448">
      <c r="A8448" s="39">
        <f>_xlfn.XLOOKUP(53119,Trip[shape_id],Trip[shape_id],"Não encontrado")</f>
        <v/>
      </c>
      <c r="B8448" s="40" t="n">
        <v>-23.588205</v>
      </c>
      <c r="C8448" s="40" t="n">
        <v>-46.516353</v>
      </c>
      <c r="D8448" s="40" t="n">
        <v>442</v>
      </c>
      <c r="E8448" s="41" t="n">
        <v>13386.065</v>
      </c>
    </row>
    <row r="8449">
      <c r="A8449" s="42">
        <f>_xlfn.XLOOKUP(53119,Trip[shape_id],Trip[shape_id],"Não encontrado")</f>
        <v/>
      </c>
      <c r="B8449" s="43" t="n">
        <v>-23.58866</v>
      </c>
      <c r="C8449" s="43" t="n">
        <v>-46.516425</v>
      </c>
      <c r="D8449" s="43" t="n">
        <v>443</v>
      </c>
      <c r="E8449" s="44" t="n">
        <v>13436.991</v>
      </c>
    </row>
    <row r="8450">
      <c r="A8450" s="39">
        <f>_xlfn.XLOOKUP(53119,Trip[shape_id],Trip[shape_id],"Não encontrado")</f>
        <v/>
      </c>
      <c r="B8450" s="40" t="n">
        <v>-23.589043</v>
      </c>
      <c r="C8450" s="40" t="n">
        <v>-46.516473</v>
      </c>
      <c r="D8450" s="40" t="n">
        <v>444</v>
      </c>
      <c r="E8450" s="41" t="n">
        <v>13490.797</v>
      </c>
    </row>
    <row r="8451">
      <c r="A8451" s="42">
        <f>_xlfn.XLOOKUP(53119,Trip[shape_id],Trip[shape_id],"Não encontrado")</f>
        <v/>
      </c>
      <c r="B8451" s="43" t="n">
        <v>-23.589143</v>
      </c>
      <c r="C8451" s="43" t="n">
        <v>-46.516481</v>
      </c>
      <c r="D8451" s="43" t="n">
        <v>445</v>
      </c>
      <c r="E8451" s="44" t="n">
        <v>13490.797</v>
      </c>
    </row>
    <row r="8452">
      <c r="A8452" s="39">
        <f>_xlfn.XLOOKUP(53119,Trip[shape_id],Trip[shape_id],"Não encontrado")</f>
        <v/>
      </c>
      <c r="B8452" s="40" t="n">
        <v>-23.589298</v>
      </c>
      <c r="C8452" s="40" t="n">
        <v>-46.516513</v>
      </c>
      <c r="D8452" s="40" t="n">
        <v>446</v>
      </c>
      <c r="E8452" s="41" t="n">
        <v>13508.271</v>
      </c>
    </row>
    <row r="8453">
      <c r="A8453" s="42">
        <f>_xlfn.XLOOKUP(53119,Trip[shape_id],Trip[shape_id],"Não encontrado")</f>
        <v/>
      </c>
      <c r="B8453" s="43" t="n">
        <v>-23.589765</v>
      </c>
      <c r="C8453" s="43" t="n">
        <v>-46.516575</v>
      </c>
      <c r="D8453" s="43" t="n">
        <v>447</v>
      </c>
      <c r="E8453" s="44" t="n">
        <v>13560.379</v>
      </c>
    </row>
    <row r="8454">
      <c r="A8454" s="39">
        <f>_xlfn.XLOOKUP(53119,Trip[shape_id],Trip[shape_id],"Não encontrado")</f>
        <v/>
      </c>
      <c r="B8454" s="40" t="n">
        <v>-23.590816</v>
      </c>
      <c r="C8454" s="40" t="n">
        <v>-46.51672</v>
      </c>
      <c r="D8454" s="40" t="n">
        <v>448</v>
      </c>
      <c r="E8454" s="41" t="n">
        <v>13677.717</v>
      </c>
    </row>
    <row r="8455">
      <c r="A8455" s="42">
        <f>_xlfn.XLOOKUP(53119,Trip[shape_id],Trip[shape_id],"Não encontrado")</f>
        <v/>
      </c>
      <c r="B8455" s="43" t="n">
        <v>-23.591135</v>
      </c>
      <c r="C8455" s="43" t="n">
        <v>-46.516517</v>
      </c>
      <c r="D8455" s="43" t="n">
        <v>449</v>
      </c>
      <c r="E8455" s="44" t="n">
        <v>13769.287</v>
      </c>
    </row>
    <row r="8456">
      <c r="A8456" s="39">
        <f>_xlfn.XLOOKUP(53119,Trip[shape_id],Trip[shape_id],"Não encontrado")</f>
        <v/>
      </c>
      <c r="B8456" s="40" t="n">
        <v>-23.591503</v>
      </c>
      <c r="C8456" s="40" t="n">
        <v>-46.516223</v>
      </c>
      <c r="D8456" s="40" t="n">
        <v>450</v>
      </c>
      <c r="E8456" s="41" t="n">
        <v>13769.287</v>
      </c>
    </row>
    <row r="8457">
      <c r="A8457" s="42">
        <f>_xlfn.XLOOKUP(53119,Trip[shape_id],Trip[shape_id],"Não encontrado")</f>
        <v/>
      </c>
      <c r="B8457" s="43" t="n">
        <v>-23.591522</v>
      </c>
      <c r="C8457" s="43" t="n">
        <v>-46.516189</v>
      </c>
      <c r="D8457" s="43" t="n">
        <v>451</v>
      </c>
      <c r="E8457" s="44" t="n">
        <v>13773.346</v>
      </c>
    </row>
    <row r="8458">
      <c r="A8458" s="39">
        <f>_xlfn.XLOOKUP(53119,Trip[shape_id],Trip[shape_id],"Não encontrado")</f>
        <v/>
      </c>
      <c r="B8458" s="40" t="n">
        <v>-23.59157</v>
      </c>
      <c r="C8458" s="40" t="n">
        <v>-46.516152</v>
      </c>
      <c r="D8458" s="40" t="n">
        <v>452</v>
      </c>
      <c r="E8458" s="41" t="n">
        <v>13779.867</v>
      </c>
    </row>
    <row r="8459">
      <c r="A8459" s="42">
        <f>_xlfn.XLOOKUP(53601,Trip[shape_id],Trip[shape_id],"Não encontrado")</f>
        <v/>
      </c>
      <c r="B8459" s="43" t="n">
        <v>-23.461704</v>
      </c>
      <c r="C8459" s="43" t="n">
        <v>-46.582886</v>
      </c>
      <c r="D8459" s="43" t="n">
        <v>1</v>
      </c>
      <c r="E8459" s="44" t="n">
        <v>0</v>
      </c>
    </row>
    <row r="8460">
      <c r="A8460" s="39">
        <f>_xlfn.XLOOKUP(53601,Trip[shape_id],Trip[shape_id],"Não encontrado")</f>
        <v/>
      </c>
      <c r="B8460" s="40" t="n">
        <v>-23.46176</v>
      </c>
      <c r="C8460" s="40" t="n">
        <v>-46.582887</v>
      </c>
      <c r="D8460" s="40" t="n">
        <v>2</v>
      </c>
      <c r="E8460" s="41" t="n">
        <v>6.2031322</v>
      </c>
    </row>
    <row r="8461">
      <c r="A8461" s="42">
        <f>_xlfn.XLOOKUP(53601,Trip[shape_id],Trip[shape_id],"Não encontrado")</f>
        <v/>
      </c>
      <c r="B8461" s="43" t="n">
        <v>-23.461849</v>
      </c>
      <c r="C8461" s="43" t="n">
        <v>-46.582896</v>
      </c>
      <c r="D8461" s="43" t="n">
        <v>3</v>
      </c>
      <c r="E8461" s="44" t="n">
        <v>16.102531</v>
      </c>
    </row>
    <row r="8462">
      <c r="A8462" s="39">
        <f>_xlfn.XLOOKUP(53601,Trip[shape_id],Trip[shape_id],"Não encontrado")</f>
        <v/>
      </c>
      <c r="B8462" s="40" t="n">
        <v>-23.461954</v>
      </c>
      <c r="C8462" s="40" t="n">
        <v>-46.582907</v>
      </c>
      <c r="D8462" s="40" t="n">
        <v>4</v>
      </c>
      <c r="E8462" s="41" t="n">
        <v>27.785734</v>
      </c>
    </row>
    <row r="8463">
      <c r="A8463" s="42">
        <f>_xlfn.XLOOKUP(53601,Trip[shape_id],Trip[shape_id],"Não encontrado")</f>
        <v/>
      </c>
      <c r="B8463" s="43" t="n">
        <v>-23.462341</v>
      </c>
      <c r="C8463" s="43" t="n">
        <v>-46.58299</v>
      </c>
      <c r="D8463" s="43" t="n">
        <v>5</v>
      </c>
      <c r="E8463" s="44" t="n">
        <v>71.477058</v>
      </c>
    </row>
    <row r="8464">
      <c r="A8464" s="39">
        <f>_xlfn.XLOOKUP(53601,Trip[shape_id],Trip[shape_id],"Não encontrado")</f>
        <v/>
      </c>
      <c r="B8464" s="40" t="n">
        <v>-23.462985</v>
      </c>
      <c r="C8464" s="40" t="n">
        <v>-46.58316</v>
      </c>
      <c r="D8464" s="40" t="n">
        <v>6</v>
      </c>
      <c r="E8464" s="41" t="n">
        <v>144.8848</v>
      </c>
    </row>
    <row r="8465">
      <c r="A8465" s="42">
        <f>_xlfn.XLOOKUP(53601,Trip[shape_id],Trip[shape_id],"Não encontrado")</f>
        <v/>
      </c>
      <c r="B8465" s="43" t="n">
        <v>-23.46343</v>
      </c>
      <c r="C8465" s="43" t="n">
        <v>-46.583254</v>
      </c>
      <c r="D8465" s="43" t="n">
        <v>7</v>
      </c>
      <c r="E8465" s="44" t="n">
        <v>195.09586</v>
      </c>
    </row>
    <row r="8466">
      <c r="A8466" s="39">
        <f>_xlfn.XLOOKUP(53601,Trip[shape_id],Trip[shape_id],"Não encontrado")</f>
        <v/>
      </c>
      <c r="B8466" s="40" t="n">
        <v>-23.463531</v>
      </c>
      <c r="C8466" s="40" t="n">
        <v>-46.583276</v>
      </c>
      <c r="D8466" s="40" t="n">
        <v>8</v>
      </c>
      <c r="E8466" s="41" t="n">
        <v>206.50539</v>
      </c>
    </row>
    <row r="8467">
      <c r="A8467" s="42">
        <f>_xlfn.XLOOKUP(53601,Trip[shape_id],Trip[shape_id],"Não encontrado")</f>
        <v/>
      </c>
      <c r="B8467" s="43" t="n">
        <v>-23.463675</v>
      </c>
      <c r="C8467" s="43" t="n">
        <v>-46.583292</v>
      </c>
      <c r="D8467" s="43" t="n">
        <v>9</v>
      </c>
      <c r="E8467" s="44" t="n">
        <v>222.53683</v>
      </c>
    </row>
    <row r="8468">
      <c r="A8468" s="39">
        <f>_xlfn.XLOOKUP(53601,Trip[shape_id],Trip[shape_id],"Não encontrado")</f>
        <v/>
      </c>
      <c r="B8468" s="40" t="n">
        <v>-23.463822</v>
      </c>
      <c r="C8468" s="40" t="n">
        <v>-46.583302</v>
      </c>
      <c r="D8468" s="40" t="n">
        <v>10</v>
      </c>
      <c r="E8468" s="41" t="n">
        <v>238.84904</v>
      </c>
    </row>
    <row r="8469">
      <c r="A8469" s="42">
        <f>_xlfn.XLOOKUP(53601,Trip[shape_id],Trip[shape_id],"Não encontrado")</f>
        <v/>
      </c>
      <c r="B8469" s="43" t="n">
        <v>-23.463933</v>
      </c>
      <c r="C8469" s="43" t="n">
        <v>-46.583303</v>
      </c>
      <c r="D8469" s="43" t="n">
        <v>11</v>
      </c>
      <c r="E8469" s="44" t="n">
        <v>251.14258</v>
      </c>
    </row>
    <row r="8470">
      <c r="A8470" s="39">
        <f>_xlfn.XLOOKUP(53601,Trip[shape_id],Trip[shape_id],"Não encontrado")</f>
        <v/>
      </c>
      <c r="B8470" s="40" t="n">
        <v>-23.464036</v>
      </c>
      <c r="C8470" s="40" t="n">
        <v>-46.583327</v>
      </c>
      <c r="D8470" s="40" t="n">
        <v>12</v>
      </c>
      <c r="E8470" s="41" t="n">
        <v>262.81076</v>
      </c>
    </row>
    <row r="8471">
      <c r="A8471" s="42">
        <f>_xlfn.XLOOKUP(53601,Trip[shape_id],Trip[shape_id],"Não encontrado")</f>
        <v/>
      </c>
      <c r="B8471" s="43" t="n">
        <v>-23.4641</v>
      </c>
      <c r="C8471" s="43" t="n">
        <v>-46.583306</v>
      </c>
      <c r="D8471" s="43" t="n">
        <v>13</v>
      </c>
      <c r="E8471" s="44" t="n">
        <v>270.21698</v>
      </c>
    </row>
    <row r="8472">
      <c r="A8472" s="39">
        <f>_xlfn.XLOOKUP(53601,Trip[shape_id],Trip[shape_id],"Não encontrado")</f>
        <v/>
      </c>
      <c r="B8472" s="40" t="n">
        <v>-23.464323</v>
      </c>
      <c r="C8472" s="40" t="n">
        <v>-46.58332</v>
      </c>
      <c r="D8472" s="40" t="n">
        <v>14</v>
      </c>
      <c r="E8472" s="41" t="n">
        <v>294.95578</v>
      </c>
    </row>
    <row r="8473">
      <c r="A8473" s="42">
        <f>_xlfn.XLOOKUP(53601,Trip[shape_id],Trip[shape_id],"Não encontrado")</f>
        <v/>
      </c>
      <c r="B8473" s="43" t="n">
        <v>-23.464409</v>
      </c>
      <c r="C8473" s="43" t="n">
        <v>-46.583368</v>
      </c>
      <c r="D8473" s="43" t="n">
        <v>15</v>
      </c>
      <c r="E8473" s="44" t="n">
        <v>305.66855</v>
      </c>
    </row>
    <row r="8474">
      <c r="A8474" s="39">
        <f>_xlfn.XLOOKUP(53601,Trip[shape_id],Trip[shape_id],"Não encontrado")</f>
        <v/>
      </c>
      <c r="B8474" s="40" t="n">
        <v>-23.464558</v>
      </c>
      <c r="C8474" s="40" t="n">
        <v>-46.583402</v>
      </c>
      <c r="D8474" s="40" t="n">
        <v>16</v>
      </c>
      <c r="E8474" s="41" t="n">
        <v>322.53223</v>
      </c>
    </row>
    <row r="8475">
      <c r="A8475" s="42">
        <f>_xlfn.XLOOKUP(53601,Trip[shape_id],Trip[shape_id],"Não encontrado")</f>
        <v/>
      </c>
      <c r="B8475" s="43" t="n">
        <v>-23.464732</v>
      </c>
      <c r="C8475" s="43" t="n">
        <v>-46.583467</v>
      </c>
      <c r="D8475" s="43" t="n">
        <v>17</v>
      </c>
      <c r="E8475" s="44" t="n">
        <v>342.91479</v>
      </c>
    </row>
    <row r="8476">
      <c r="A8476" s="39">
        <f>_xlfn.XLOOKUP(53601,Trip[shape_id],Trip[shape_id],"Não encontrado")</f>
        <v/>
      </c>
      <c r="B8476" s="40" t="n">
        <v>-23.464824</v>
      </c>
      <c r="C8476" s="40" t="n">
        <v>-46.583479</v>
      </c>
      <c r="D8476" s="40" t="n">
        <v>18</v>
      </c>
      <c r="E8476" s="41" t="n">
        <v>353.177</v>
      </c>
    </row>
    <row r="8477">
      <c r="A8477" s="42">
        <f>_xlfn.XLOOKUP(53601,Trip[shape_id],Trip[shape_id],"Não encontrado")</f>
        <v/>
      </c>
      <c r="B8477" s="43" t="n">
        <v>-23.464914</v>
      </c>
      <c r="C8477" s="43" t="n">
        <v>-46.583505</v>
      </c>
      <c r="D8477" s="43" t="n">
        <v>19</v>
      </c>
      <c r="E8477" s="44" t="n">
        <v>363.49225</v>
      </c>
    </row>
    <row r="8478">
      <c r="A8478" s="39">
        <f>_xlfn.XLOOKUP(53601,Trip[shape_id],Trip[shape_id],"Não encontrado")</f>
        <v/>
      </c>
      <c r="B8478" s="40" t="n">
        <v>-23.465646</v>
      </c>
      <c r="C8478" s="40" t="n">
        <v>-46.583711</v>
      </c>
      <c r="D8478" s="40" t="n">
        <v>20</v>
      </c>
      <c r="E8478" s="41" t="n">
        <v>447.24911</v>
      </c>
    </row>
    <row r="8479">
      <c r="A8479" s="42">
        <f>_xlfn.XLOOKUP(53601,Trip[shape_id],Trip[shape_id],"Não encontrado")</f>
        <v/>
      </c>
      <c r="B8479" s="43" t="n">
        <v>-23.466006</v>
      </c>
      <c r="C8479" s="43" t="n">
        <v>-46.583781</v>
      </c>
      <c r="D8479" s="43" t="n">
        <v>21</v>
      </c>
      <c r="E8479" s="44" t="n">
        <v>487.75558</v>
      </c>
    </row>
    <row r="8480">
      <c r="A8480" s="39">
        <f>_xlfn.XLOOKUP(53601,Trip[shape_id],Trip[shape_id],"Não encontrado")</f>
        <v/>
      </c>
      <c r="B8480" s="40" t="n">
        <v>-23.467723</v>
      </c>
      <c r="C8480" s="40" t="n">
        <v>-46.584182</v>
      </c>
      <c r="D8480" s="40" t="n">
        <v>22</v>
      </c>
      <c r="E8480" s="41" t="n">
        <v>682.27759</v>
      </c>
    </row>
    <row r="8481">
      <c r="A8481" s="42">
        <f>_xlfn.XLOOKUP(53601,Trip[shape_id],Trip[shape_id],"Não encontrado")</f>
        <v/>
      </c>
      <c r="B8481" s="43" t="n">
        <v>-23.467848</v>
      </c>
      <c r="C8481" s="43" t="n">
        <v>-46.583506</v>
      </c>
      <c r="D8481" s="43" t="n">
        <v>23</v>
      </c>
      <c r="E8481" s="44" t="n">
        <v>791.19232</v>
      </c>
    </row>
    <row r="8482">
      <c r="A8482" s="39">
        <f>_xlfn.XLOOKUP(53601,Trip[shape_id],Trip[shape_id],"Não encontrado")</f>
        <v/>
      </c>
      <c r="B8482" s="40" t="n">
        <v>-23.467896</v>
      </c>
      <c r="C8482" s="40" t="n">
        <v>-46.583133</v>
      </c>
      <c r="D8482" s="40" t="n">
        <v>24</v>
      </c>
      <c r="E8482" s="41" t="n">
        <v>791.19232</v>
      </c>
    </row>
    <row r="8483">
      <c r="A8483" s="42">
        <f>_xlfn.XLOOKUP(53601,Trip[shape_id],Trip[shape_id],"Não encontrado")</f>
        <v/>
      </c>
      <c r="B8483" s="43" t="n">
        <v>-23.468026</v>
      </c>
      <c r="C8483" s="43" t="n">
        <v>-46.582451</v>
      </c>
      <c r="D8483" s="43" t="n">
        <v>25</v>
      </c>
      <c r="E8483" s="44" t="n">
        <v>862.3412499999999</v>
      </c>
    </row>
    <row r="8484">
      <c r="A8484" s="39">
        <f>_xlfn.XLOOKUP(53601,Trip[shape_id],Trip[shape_id],"Não encontrado")</f>
        <v/>
      </c>
      <c r="B8484" s="40" t="n">
        <v>-23.468096</v>
      </c>
      <c r="C8484" s="40" t="n">
        <v>-46.582073</v>
      </c>
      <c r="D8484" s="40" t="n">
        <v>26</v>
      </c>
      <c r="E8484" s="41" t="n">
        <v>1024.9398</v>
      </c>
    </row>
    <row r="8485">
      <c r="A8485" s="42">
        <f>_xlfn.XLOOKUP(53601,Trip[shape_id],Trip[shape_id],"Não encontrado")</f>
        <v/>
      </c>
      <c r="B8485" s="43" t="n">
        <v>-23.46833</v>
      </c>
      <c r="C8485" s="43" t="n">
        <v>-46.580894</v>
      </c>
      <c r="D8485" s="43" t="n">
        <v>27</v>
      </c>
      <c r="E8485" s="44" t="n">
        <v>1024.9398</v>
      </c>
    </row>
    <row r="8486">
      <c r="A8486" s="39">
        <f>_xlfn.XLOOKUP(53601,Trip[shape_id],Trip[shape_id],"Não encontrado")</f>
        <v/>
      </c>
      <c r="B8486" s="40" t="n">
        <v>-23.468429</v>
      </c>
      <c r="C8486" s="40" t="n">
        <v>-46.580352</v>
      </c>
      <c r="D8486" s="40" t="n">
        <v>28</v>
      </c>
      <c r="E8486" s="41" t="n">
        <v>1145.1572</v>
      </c>
    </row>
    <row r="8487">
      <c r="A8487" s="42">
        <f>_xlfn.XLOOKUP(53601,Trip[shape_id],Trip[shape_id],"Não encontrado")</f>
        <v/>
      </c>
      <c r="B8487" s="43" t="n">
        <v>-23.468551</v>
      </c>
      <c r="C8487" s="43" t="n">
        <v>-46.579742</v>
      </c>
      <c r="D8487" s="43" t="n">
        <v>29</v>
      </c>
      <c r="E8487" s="44" t="n">
        <v>1145.1572</v>
      </c>
    </row>
    <row r="8488">
      <c r="A8488" s="39">
        <f>_xlfn.XLOOKUP(53601,Trip[shape_id],Trip[shape_id],"Não encontrado")</f>
        <v/>
      </c>
      <c r="B8488" s="40" t="n">
        <v>-23.468758</v>
      </c>
      <c r="C8488" s="40" t="n">
        <v>-46.578679</v>
      </c>
      <c r="D8488" s="40" t="n">
        <v>30</v>
      </c>
      <c r="E8488" s="41" t="n">
        <v>1311.7775</v>
      </c>
    </row>
    <row r="8489">
      <c r="A8489" s="42">
        <f>_xlfn.XLOOKUP(53601,Trip[shape_id],Trip[shape_id],"Não encontrado")</f>
        <v/>
      </c>
      <c r="B8489" s="43" t="n">
        <v>-23.468856</v>
      </c>
      <c r="C8489" s="43" t="n">
        <v>-46.578145</v>
      </c>
      <c r="D8489" s="43" t="n">
        <v>31</v>
      </c>
      <c r="E8489" s="44" t="n">
        <v>1311.7775</v>
      </c>
    </row>
    <row r="8490">
      <c r="A8490" s="39">
        <f>_xlfn.XLOOKUP(53601,Trip[shape_id],Trip[shape_id],"Não encontrado")</f>
        <v/>
      </c>
      <c r="B8490" s="40" t="n">
        <v>-23.46902</v>
      </c>
      <c r="C8490" s="40" t="n">
        <v>-46.577264</v>
      </c>
      <c r="D8490" s="40" t="n">
        <v>32</v>
      </c>
      <c r="E8490" s="41" t="n">
        <v>1403.5991</v>
      </c>
    </row>
    <row r="8491">
      <c r="A8491" s="42">
        <f>_xlfn.XLOOKUP(53601,Trip[shape_id],Trip[shape_id],"Não encontrado")</f>
        <v/>
      </c>
      <c r="B8491" s="43" t="n">
        <v>-23.469158</v>
      </c>
      <c r="C8491" s="43" t="n">
        <v>-46.576546</v>
      </c>
      <c r="D8491" s="43" t="n">
        <v>33</v>
      </c>
      <c r="E8491" s="44" t="n">
        <v>1478.5288</v>
      </c>
    </row>
    <row r="8492">
      <c r="A8492" s="39">
        <f>_xlfn.XLOOKUP(53601,Trip[shape_id],Trip[shape_id],"Não encontrado")</f>
        <v/>
      </c>
      <c r="B8492" s="40" t="n">
        <v>-23.469329</v>
      </c>
      <c r="C8492" s="40" t="n">
        <v>-46.575677</v>
      </c>
      <c r="D8492" s="40" t="n">
        <v>34</v>
      </c>
      <c r="E8492" s="41" t="n">
        <v>1569.3074</v>
      </c>
    </row>
    <row r="8493">
      <c r="A8493" s="42">
        <f>_xlfn.XLOOKUP(53601,Trip[shape_id],Trip[shape_id],"Não encontrado")</f>
        <v/>
      </c>
      <c r="B8493" s="43" t="n">
        <v>-23.469422</v>
      </c>
      <c r="C8493" s="43" t="n">
        <v>-46.575184</v>
      </c>
      <c r="D8493" s="43" t="n">
        <v>35</v>
      </c>
      <c r="E8493" s="44" t="n">
        <v>1645.3373</v>
      </c>
    </row>
    <row r="8494">
      <c r="A8494" s="39">
        <f>_xlfn.XLOOKUP(53601,Trip[shape_id],Trip[shape_id],"Não encontrado")</f>
        <v/>
      </c>
      <c r="B8494" s="40" t="n">
        <v>-23.469467</v>
      </c>
      <c r="C8494" s="40" t="n">
        <v>-46.574948</v>
      </c>
      <c r="D8494" s="40" t="n">
        <v>36</v>
      </c>
      <c r="E8494" s="41" t="n">
        <v>1645.3373</v>
      </c>
    </row>
    <row r="8495">
      <c r="A8495" s="42">
        <f>_xlfn.XLOOKUP(53601,Trip[shape_id],Trip[shape_id],"Não encontrado")</f>
        <v/>
      </c>
      <c r="B8495" s="43" t="n">
        <v>-23.469654</v>
      </c>
      <c r="C8495" s="43" t="n">
        <v>-46.574358</v>
      </c>
      <c r="D8495" s="43" t="n">
        <v>37</v>
      </c>
      <c r="E8495" s="44" t="n">
        <v>1709.073</v>
      </c>
    </row>
    <row r="8496">
      <c r="A8496" s="39">
        <f>_xlfn.XLOOKUP(53601,Trip[shape_id],Trip[shape_id],"Não encontrado")</f>
        <v/>
      </c>
      <c r="B8496" s="40" t="n">
        <v>-23.469903</v>
      </c>
      <c r="C8496" s="40" t="n">
        <v>-46.573743</v>
      </c>
      <c r="D8496" s="40" t="n">
        <v>38</v>
      </c>
      <c r="E8496" s="41" t="n">
        <v>1844.1725</v>
      </c>
    </row>
    <row r="8497">
      <c r="A8497" s="42">
        <f>_xlfn.XLOOKUP(53601,Trip[shape_id],Trip[shape_id],"Não encontrado")</f>
        <v/>
      </c>
      <c r="B8497" s="43" t="n">
        <v>-23.470144</v>
      </c>
      <c r="C8497" s="43" t="n">
        <v>-46.573147</v>
      </c>
      <c r="D8497" s="43" t="n">
        <v>39</v>
      </c>
      <c r="E8497" s="44" t="n">
        <v>1857.9049</v>
      </c>
    </row>
    <row r="8498">
      <c r="A8498" s="39">
        <f>_xlfn.XLOOKUP(53601,Trip[shape_id],Trip[shape_id],"Não encontrado")</f>
        <v/>
      </c>
      <c r="B8498" s="40" t="n">
        <v>-23.470194</v>
      </c>
      <c r="C8498" s="40" t="n">
        <v>-46.573024</v>
      </c>
      <c r="D8498" s="40" t="n">
        <v>40</v>
      </c>
      <c r="E8498" s="41" t="n">
        <v>1857.9049</v>
      </c>
    </row>
    <row r="8499">
      <c r="A8499" s="42">
        <f>_xlfn.XLOOKUP(53601,Trip[shape_id],Trip[shape_id],"Não encontrado")</f>
        <v/>
      </c>
      <c r="B8499" s="43" t="n">
        <v>-23.470127</v>
      </c>
      <c r="C8499" s="43" t="n">
        <v>-46.572877</v>
      </c>
      <c r="D8499" s="43" t="n">
        <v>41</v>
      </c>
      <c r="E8499" s="44" t="n">
        <v>1874.6564</v>
      </c>
    </row>
    <row r="8500">
      <c r="A8500" s="39">
        <f>_xlfn.XLOOKUP(53601,Trip[shape_id],Trip[shape_id],"Não encontrado")</f>
        <v/>
      </c>
      <c r="B8500" s="40" t="n">
        <v>-23.471018</v>
      </c>
      <c r="C8500" s="40" t="n">
        <v>-46.572391</v>
      </c>
      <c r="D8500" s="40" t="n">
        <v>42</v>
      </c>
      <c r="E8500" s="41" t="n">
        <v>1985.1226</v>
      </c>
    </row>
    <row r="8501">
      <c r="A8501" s="42">
        <f>_xlfn.XLOOKUP(53601,Trip[shape_id],Trip[shape_id],"Não encontrado")</f>
        <v/>
      </c>
      <c r="B8501" s="43" t="n">
        <v>-23.471758</v>
      </c>
      <c r="C8501" s="43" t="n">
        <v>-46.571988</v>
      </c>
      <c r="D8501" s="43" t="n">
        <v>43</v>
      </c>
      <c r="E8501" s="44" t="n">
        <v>2076.8384</v>
      </c>
    </row>
    <row r="8502">
      <c r="A8502" s="39">
        <f>_xlfn.XLOOKUP(53601,Trip[shape_id],Trip[shape_id],"Não encontrado")</f>
        <v/>
      </c>
      <c r="B8502" s="40" t="n">
        <v>-23.472232</v>
      </c>
      <c r="C8502" s="40" t="n">
        <v>-46.571722</v>
      </c>
      <c r="D8502" s="40" t="n">
        <v>44</v>
      </c>
      <c r="E8502" s="41" t="n">
        <v>2135.9512</v>
      </c>
    </row>
    <row r="8503">
      <c r="A8503" s="42">
        <f>_xlfn.XLOOKUP(53601,Trip[shape_id],Trip[shape_id],"Não encontrado")</f>
        <v/>
      </c>
      <c r="B8503" s="43" t="n">
        <v>-23.472303</v>
      </c>
      <c r="C8503" s="43" t="n">
        <v>-46.571688</v>
      </c>
      <c r="D8503" s="43" t="n">
        <v>45</v>
      </c>
      <c r="E8503" s="44" t="n">
        <v>2144.5476</v>
      </c>
    </row>
    <row r="8504">
      <c r="A8504" s="39">
        <f>_xlfn.XLOOKUP(53601,Trip[shape_id],Trip[shape_id],"Não encontrado")</f>
        <v/>
      </c>
      <c r="B8504" s="40" t="n">
        <v>-23.472671</v>
      </c>
      <c r="C8504" s="40" t="n">
        <v>-46.571487</v>
      </c>
      <c r="D8504" s="40" t="n">
        <v>46</v>
      </c>
      <c r="E8504" s="41" t="n">
        <v>2190.1848</v>
      </c>
    </row>
    <row r="8505">
      <c r="A8505" s="42">
        <f>_xlfn.XLOOKUP(53601,Trip[shape_id],Trip[shape_id],"Não encontrado")</f>
        <v/>
      </c>
      <c r="B8505" s="43" t="n">
        <v>-23.473087</v>
      </c>
      <c r="C8505" s="43" t="n">
        <v>-46.571263</v>
      </c>
      <c r="D8505" s="43" t="n">
        <v>47</v>
      </c>
      <c r="E8505" s="44" t="n">
        <v>2241.6274</v>
      </c>
    </row>
    <row r="8506">
      <c r="A8506" s="39">
        <f>_xlfn.XLOOKUP(53601,Trip[shape_id],Trip[shape_id],"Não encontrado")</f>
        <v/>
      </c>
      <c r="B8506" s="40" t="n">
        <v>-23.473453</v>
      </c>
      <c r="C8506" s="40" t="n">
        <v>-46.571062</v>
      </c>
      <c r="D8506" s="40" t="n">
        <v>48</v>
      </c>
      <c r="E8506" s="41" t="n">
        <v>2287.0667</v>
      </c>
    </row>
    <row r="8507">
      <c r="A8507" s="42">
        <f>_xlfn.XLOOKUP(53601,Trip[shape_id],Trip[shape_id],"Não encontrado")</f>
        <v/>
      </c>
      <c r="B8507" s="43" t="n">
        <v>-23.473801</v>
      </c>
      <c r="C8507" s="43" t="n">
        <v>-46.570862</v>
      </c>
      <c r="D8507" s="43" t="n">
        <v>49</v>
      </c>
      <c r="E8507" s="44" t="n">
        <v>2330.689</v>
      </c>
    </row>
    <row r="8508">
      <c r="A8508" s="39">
        <f>_xlfn.XLOOKUP(53601,Trip[shape_id],Trip[shape_id],"Não encontrado")</f>
        <v/>
      </c>
      <c r="B8508" s="40" t="n">
        <v>-23.474026</v>
      </c>
      <c r="C8508" s="40" t="n">
        <v>-46.570749</v>
      </c>
      <c r="D8508" s="40" t="n">
        <v>50</v>
      </c>
      <c r="E8508" s="41" t="n">
        <v>2358.1519</v>
      </c>
    </row>
    <row r="8509">
      <c r="A8509" s="42">
        <f>_xlfn.XLOOKUP(53601,Trip[shape_id],Trip[shape_id],"Não encontrado")</f>
        <v/>
      </c>
      <c r="B8509" s="43" t="n">
        <v>-23.474327</v>
      </c>
      <c r="C8509" s="43" t="n">
        <v>-46.570576</v>
      </c>
      <c r="D8509" s="43" t="n">
        <v>51</v>
      </c>
      <c r="E8509" s="44" t="n">
        <v>2395.8831</v>
      </c>
    </row>
    <row r="8510">
      <c r="A8510" s="39">
        <f>_xlfn.XLOOKUP(53601,Trip[shape_id],Trip[shape_id],"Não encontrado")</f>
        <v/>
      </c>
      <c r="B8510" s="40" t="n">
        <v>-23.474636</v>
      </c>
      <c r="C8510" s="40" t="n">
        <v>-46.570395</v>
      </c>
      <c r="D8510" s="40" t="n">
        <v>52</v>
      </c>
      <c r="E8510" s="41" t="n">
        <v>2434.781</v>
      </c>
    </row>
    <row r="8511">
      <c r="A8511" s="42">
        <f>_xlfn.XLOOKUP(53601,Trip[shape_id],Trip[shape_id],"Não encontrado")</f>
        <v/>
      </c>
      <c r="B8511" s="43" t="n">
        <v>-23.475127</v>
      </c>
      <c r="C8511" s="43" t="n">
        <v>-46.570112</v>
      </c>
      <c r="D8511" s="43" t="n">
        <v>53</v>
      </c>
      <c r="E8511" s="44" t="n">
        <v>2496.3674</v>
      </c>
    </row>
    <row r="8512">
      <c r="A8512" s="39">
        <f>_xlfn.XLOOKUP(53601,Trip[shape_id],Trip[shape_id],"Não encontrado")</f>
        <v/>
      </c>
      <c r="B8512" s="40" t="n">
        <v>-23.475336</v>
      </c>
      <c r="C8512" s="40" t="n">
        <v>-46.569993</v>
      </c>
      <c r="D8512" s="40" t="n">
        <v>54</v>
      </c>
      <c r="E8512" s="41" t="n">
        <v>2522.5127</v>
      </c>
    </row>
    <row r="8513">
      <c r="A8513" s="42">
        <f>_xlfn.XLOOKUP(53601,Trip[shape_id],Trip[shape_id],"Não encontrado")</f>
        <v/>
      </c>
      <c r="B8513" s="43" t="n">
        <v>-23.475305</v>
      </c>
      <c r="C8513" s="43" t="n">
        <v>-46.57013</v>
      </c>
      <c r="D8513" s="43" t="n">
        <v>55</v>
      </c>
      <c r="E8513" s="44" t="n">
        <v>2536.9236</v>
      </c>
    </row>
    <row r="8514">
      <c r="A8514" s="39">
        <f>_xlfn.XLOOKUP(53601,Trip[shape_id],Trip[shape_id],"Não encontrado")</f>
        <v/>
      </c>
      <c r="B8514" s="40" t="n">
        <v>-23.475339</v>
      </c>
      <c r="C8514" s="40" t="n">
        <v>-46.570283</v>
      </c>
      <c r="D8514" s="40" t="n">
        <v>56</v>
      </c>
      <c r="E8514" s="41" t="n">
        <v>2553.0015</v>
      </c>
    </row>
    <row r="8515">
      <c r="A8515" s="42">
        <f>_xlfn.XLOOKUP(53601,Trip[shape_id],Trip[shape_id],"Não encontrado")</f>
        <v/>
      </c>
      <c r="B8515" s="43" t="n">
        <v>-23.47547</v>
      </c>
      <c r="C8515" s="43" t="n">
        <v>-46.570534</v>
      </c>
      <c r="D8515" s="43" t="n">
        <v>57</v>
      </c>
      <c r="E8515" s="44" t="n">
        <v>2582.4634</v>
      </c>
    </row>
    <row r="8516">
      <c r="A8516" s="39">
        <f>_xlfn.XLOOKUP(53601,Trip[shape_id],Trip[shape_id],"Não encontrado")</f>
        <v/>
      </c>
      <c r="B8516" s="40" t="n">
        <v>-23.475684</v>
      </c>
      <c r="C8516" s="40" t="n">
        <v>-46.570975</v>
      </c>
      <c r="D8516" s="40" t="n">
        <v>58</v>
      </c>
      <c r="E8516" s="41" t="n">
        <v>2633.3696</v>
      </c>
    </row>
    <row r="8517">
      <c r="A8517" s="42">
        <f>_xlfn.XLOOKUP(53601,Trip[shape_id],Trip[shape_id],"Não encontrado")</f>
        <v/>
      </c>
      <c r="B8517" s="43" t="n">
        <v>-23.475899</v>
      </c>
      <c r="C8517" s="43" t="n">
        <v>-46.571444</v>
      </c>
      <c r="D8517" s="43" t="n">
        <v>59</v>
      </c>
      <c r="E8517" s="44" t="n">
        <v>2686.873</v>
      </c>
    </row>
    <row r="8518">
      <c r="A8518" s="39">
        <f>_xlfn.XLOOKUP(53601,Trip[shape_id],Trip[shape_id],"Não encontrado")</f>
        <v/>
      </c>
      <c r="B8518" s="40" t="n">
        <v>-23.475926</v>
      </c>
      <c r="C8518" s="40" t="n">
        <v>-46.571497</v>
      </c>
      <c r="D8518" s="40" t="n">
        <v>60</v>
      </c>
      <c r="E8518" s="41" t="n">
        <v>2693.0591</v>
      </c>
    </row>
    <row r="8519">
      <c r="A8519" s="42">
        <f>_xlfn.XLOOKUP(53601,Trip[shape_id],Trip[shape_id],"Não encontrado")</f>
        <v/>
      </c>
      <c r="B8519" s="43" t="n">
        <v>-23.476129</v>
      </c>
      <c r="C8519" s="43" t="n">
        <v>-46.571924</v>
      </c>
      <c r="D8519" s="43" t="n">
        <v>61</v>
      </c>
      <c r="E8519" s="44" t="n">
        <v>2742.134</v>
      </c>
    </row>
    <row r="8520">
      <c r="A8520" s="39">
        <f>_xlfn.XLOOKUP(53601,Trip[shape_id],Trip[shape_id],"Não encontrado")</f>
        <v/>
      </c>
      <c r="B8520" s="40" t="n">
        <v>-23.476364</v>
      </c>
      <c r="C8520" s="40" t="n">
        <v>-46.572441</v>
      </c>
      <c r="D8520" s="40" t="n">
        <v>62</v>
      </c>
      <c r="E8520" s="41" t="n">
        <v>2801.0149</v>
      </c>
    </row>
    <row r="8521">
      <c r="A8521" s="42">
        <f>_xlfn.XLOOKUP(53601,Trip[shape_id],Trip[shape_id],"Não encontrado")</f>
        <v/>
      </c>
      <c r="B8521" s="43" t="n">
        <v>-23.47657</v>
      </c>
      <c r="C8521" s="43" t="n">
        <v>-46.572885</v>
      </c>
      <c r="D8521" s="43" t="n">
        <v>63</v>
      </c>
      <c r="E8521" s="44" t="n">
        <v>2851.7881</v>
      </c>
    </row>
    <row r="8522">
      <c r="A8522" s="39">
        <f>_xlfn.XLOOKUP(53601,Trip[shape_id],Trip[shape_id],"Não encontrado")</f>
        <v/>
      </c>
      <c r="B8522" s="40" t="n">
        <v>-23.476865</v>
      </c>
      <c r="C8522" s="40" t="n">
        <v>-46.573526</v>
      </c>
      <c r="D8522" s="40" t="n">
        <v>64</v>
      </c>
      <c r="E8522" s="41" t="n">
        <v>2924.9697</v>
      </c>
    </row>
    <row r="8523">
      <c r="A8523" s="42">
        <f>_xlfn.XLOOKUP(53601,Trip[shape_id],Trip[shape_id],"Não encontrado")</f>
        <v/>
      </c>
      <c r="B8523" s="43" t="n">
        <v>-23.476929</v>
      </c>
      <c r="C8523" s="43" t="n">
        <v>-46.573667</v>
      </c>
      <c r="D8523" s="43" t="n">
        <v>65</v>
      </c>
      <c r="E8523" s="44" t="n">
        <v>2941.0237</v>
      </c>
    </row>
    <row r="8524">
      <c r="A8524" s="39">
        <f>_xlfn.XLOOKUP(53601,Trip[shape_id],Trip[shape_id],"Não encontrado")</f>
        <v/>
      </c>
      <c r="B8524" s="40" t="n">
        <v>-23.47701</v>
      </c>
      <c r="C8524" s="40" t="n">
        <v>-46.57384</v>
      </c>
      <c r="D8524" s="40" t="n">
        <v>66</v>
      </c>
      <c r="E8524" s="41" t="n">
        <v>2960.8433</v>
      </c>
    </row>
    <row r="8525">
      <c r="A8525" s="42">
        <f>_xlfn.XLOOKUP(53601,Trip[shape_id],Trip[shape_id],"Não encontrado")</f>
        <v/>
      </c>
      <c r="B8525" s="43" t="n">
        <v>-23.477451</v>
      </c>
      <c r="C8525" s="43" t="n">
        <v>-46.573596</v>
      </c>
      <c r="D8525" s="43" t="n">
        <v>67</v>
      </c>
      <c r="E8525" s="44" t="n">
        <v>3015.6775</v>
      </c>
    </row>
    <row r="8526">
      <c r="A8526" s="39">
        <f>_xlfn.XLOOKUP(53601,Trip[shape_id],Trip[shape_id],"Não encontrado")</f>
        <v/>
      </c>
      <c r="B8526" s="40" t="n">
        <v>-23.477512</v>
      </c>
      <c r="C8526" s="40" t="n">
        <v>-46.573562</v>
      </c>
      <c r="D8526" s="40" t="n">
        <v>68</v>
      </c>
      <c r="E8526" s="41" t="n">
        <v>3023.2732</v>
      </c>
    </row>
    <row r="8527">
      <c r="A8527" s="42">
        <f>_xlfn.XLOOKUP(53601,Trip[shape_id],Trip[shape_id],"Não encontrado")</f>
        <v/>
      </c>
      <c r="B8527" s="43" t="n">
        <v>-23.477851</v>
      </c>
      <c r="C8527" s="43" t="n">
        <v>-46.573376</v>
      </c>
      <c r="D8527" s="43" t="n">
        <v>69</v>
      </c>
      <c r="E8527" s="44" t="n">
        <v>3065.3523</v>
      </c>
    </row>
    <row r="8528">
      <c r="A8528" s="39">
        <f>_xlfn.XLOOKUP(53601,Trip[shape_id],Trip[shape_id],"Não encontrado")</f>
        <v/>
      </c>
      <c r="B8528" s="40" t="n">
        <v>-23.477885</v>
      </c>
      <c r="C8528" s="40" t="n">
        <v>-46.573356</v>
      </c>
      <c r="D8528" s="40" t="n">
        <v>70</v>
      </c>
      <c r="E8528" s="41" t="n">
        <v>3069.6355</v>
      </c>
    </row>
    <row r="8529">
      <c r="A8529" s="42">
        <f>_xlfn.XLOOKUP(53601,Trip[shape_id],Trip[shape_id],"Não encontrado")</f>
        <v/>
      </c>
      <c r="B8529" s="43" t="n">
        <v>-23.478168</v>
      </c>
      <c r="C8529" s="43" t="n">
        <v>-46.5732</v>
      </c>
      <c r="D8529" s="43" t="n">
        <v>71</v>
      </c>
      <c r="E8529" s="44" t="n">
        <v>3104.7969</v>
      </c>
    </row>
    <row r="8530">
      <c r="A8530" s="39">
        <f>_xlfn.XLOOKUP(53601,Trip[shape_id],Trip[shape_id],"Não encontrado")</f>
        <v/>
      </c>
      <c r="B8530" s="40" t="n">
        <v>-23.478215</v>
      </c>
      <c r="C8530" s="40" t="n">
        <v>-46.573174</v>
      </c>
      <c r="D8530" s="40" t="n">
        <v>72</v>
      </c>
      <c r="E8530" s="41" t="n">
        <v>3110.6409</v>
      </c>
    </row>
    <row r="8531">
      <c r="A8531" s="42">
        <f>_xlfn.XLOOKUP(53601,Trip[shape_id],Trip[shape_id],"Não encontrado")</f>
        <v/>
      </c>
      <c r="B8531" s="43" t="n">
        <v>-23.478547</v>
      </c>
      <c r="C8531" s="43" t="n">
        <v>-46.57299</v>
      </c>
      <c r="D8531" s="43" t="n">
        <v>73</v>
      </c>
      <c r="E8531" s="44" t="n">
        <v>3151.936</v>
      </c>
    </row>
    <row r="8532">
      <c r="A8532" s="39">
        <f>_xlfn.XLOOKUP(53601,Trip[shape_id],Trip[shape_id],"Não encontrado")</f>
        <v/>
      </c>
      <c r="B8532" s="40" t="n">
        <v>-23.478752</v>
      </c>
      <c r="C8532" s="40" t="n">
        <v>-46.572876</v>
      </c>
      <c r="D8532" s="40" t="n">
        <v>74</v>
      </c>
      <c r="E8532" s="41" t="n">
        <v>3177.4526</v>
      </c>
    </row>
    <row r="8533">
      <c r="A8533" s="42">
        <f>_xlfn.XLOOKUP(53601,Trip[shape_id],Trip[shape_id],"Não encontrado")</f>
        <v/>
      </c>
      <c r="B8533" s="43" t="n">
        <v>-23.478883</v>
      </c>
      <c r="C8533" s="43" t="n">
        <v>-46.572807</v>
      </c>
      <c r="D8533" s="43" t="n">
        <v>75</v>
      </c>
      <c r="E8533" s="44" t="n">
        <v>3193.5828</v>
      </c>
    </row>
    <row r="8534">
      <c r="A8534" s="39">
        <f>_xlfn.XLOOKUP(53601,Trip[shape_id],Trip[shape_id],"Não encontrado")</f>
        <v/>
      </c>
      <c r="B8534" s="40" t="n">
        <v>-23.47906</v>
      </c>
      <c r="C8534" s="40" t="n">
        <v>-46.572693</v>
      </c>
      <c r="D8534" s="40" t="n">
        <v>76</v>
      </c>
      <c r="E8534" s="41" t="n">
        <v>3216.3843</v>
      </c>
    </row>
    <row r="8535">
      <c r="A8535" s="42">
        <f>_xlfn.XLOOKUP(53601,Trip[shape_id],Trip[shape_id],"Não encontrado")</f>
        <v/>
      </c>
      <c r="B8535" s="43" t="n">
        <v>-23.479525</v>
      </c>
      <c r="C8535" s="43" t="n">
        <v>-46.572419</v>
      </c>
      <c r="D8535" s="43" t="n">
        <v>77</v>
      </c>
      <c r="E8535" s="44" t="n">
        <v>3274.9988</v>
      </c>
    </row>
    <row r="8536">
      <c r="A8536" s="39">
        <f>_xlfn.XLOOKUP(53601,Trip[shape_id],Trip[shape_id],"Não encontrado")</f>
        <v/>
      </c>
      <c r="B8536" s="40" t="n">
        <v>-23.479909</v>
      </c>
      <c r="C8536" s="40" t="n">
        <v>-46.572219</v>
      </c>
      <c r="D8536" s="40" t="n">
        <v>78</v>
      </c>
      <c r="E8536" s="41" t="n">
        <v>3322.1804</v>
      </c>
    </row>
    <row r="8537">
      <c r="A8537" s="42">
        <f>_xlfn.XLOOKUP(53601,Trip[shape_id],Trip[shape_id],"Não encontrado")</f>
        <v/>
      </c>
      <c r="B8537" s="43" t="n">
        <v>-23.480103</v>
      </c>
      <c r="C8537" s="43" t="n">
        <v>-46.572106</v>
      </c>
      <c r="D8537" s="43" t="n">
        <v>79</v>
      </c>
      <c r="E8537" s="44" t="n">
        <v>3346.5708</v>
      </c>
    </row>
    <row r="8538">
      <c r="A8538" s="39">
        <f>_xlfn.XLOOKUP(53601,Trip[shape_id],Trip[shape_id],"Não encontrado")</f>
        <v/>
      </c>
      <c r="B8538" s="40" t="n">
        <v>-23.48051</v>
      </c>
      <c r="C8538" s="40" t="n">
        <v>-46.571869</v>
      </c>
      <c r="D8538" s="40" t="n">
        <v>80</v>
      </c>
      <c r="E8538" s="41" t="n">
        <v>3397.7371</v>
      </c>
    </row>
    <row r="8539">
      <c r="A8539" s="42">
        <f>_xlfn.XLOOKUP(53601,Trip[shape_id],Trip[shape_id],"Não encontrado")</f>
        <v/>
      </c>
      <c r="B8539" s="43" t="n">
        <v>-23.480643</v>
      </c>
      <c r="C8539" s="43" t="n">
        <v>-46.571802</v>
      </c>
      <c r="D8539" s="43" t="n">
        <v>81</v>
      </c>
      <c r="E8539" s="44" t="n">
        <v>3413.9795</v>
      </c>
    </row>
    <row r="8540">
      <c r="A8540" s="39">
        <f>_xlfn.XLOOKUP(53601,Trip[shape_id],Trip[shape_id],"Não encontrado")</f>
        <v/>
      </c>
      <c r="B8540" s="40" t="n">
        <v>-23.480803</v>
      </c>
      <c r="C8540" s="40" t="n">
        <v>-46.571724</v>
      </c>
      <c r="D8540" s="40" t="n">
        <v>82</v>
      </c>
      <c r="E8540" s="41" t="n">
        <v>3433.4087</v>
      </c>
    </row>
    <row r="8541">
      <c r="A8541" s="42">
        <f>_xlfn.XLOOKUP(53601,Trip[shape_id],Trip[shape_id],"Não encontrado")</f>
        <v/>
      </c>
      <c r="B8541" s="43" t="n">
        <v>-23.480968</v>
      </c>
      <c r="C8541" s="43" t="n">
        <v>-46.571624</v>
      </c>
      <c r="D8541" s="43" t="n">
        <v>83</v>
      </c>
      <c r="E8541" s="44" t="n">
        <v>3454.3442</v>
      </c>
    </row>
    <row r="8542">
      <c r="A8542" s="39">
        <f>_xlfn.XLOOKUP(53601,Trip[shape_id],Trip[shape_id],"Não encontrado")</f>
        <v/>
      </c>
      <c r="B8542" s="40" t="n">
        <v>-23.481011</v>
      </c>
      <c r="C8542" s="40" t="n">
        <v>-46.571596</v>
      </c>
      <c r="D8542" s="40" t="n">
        <v>84</v>
      </c>
      <c r="E8542" s="41" t="n">
        <v>3459.8989</v>
      </c>
    </row>
    <row r="8543">
      <c r="A8543" s="42">
        <f>_xlfn.XLOOKUP(53601,Trip[shape_id],Trip[shape_id],"Não encontrado")</f>
        <v/>
      </c>
      <c r="B8543" s="43" t="n">
        <v>-23.481226</v>
      </c>
      <c r="C8543" s="43" t="n">
        <v>-46.571471</v>
      </c>
      <c r="D8543" s="43" t="n">
        <v>85</v>
      </c>
      <c r="E8543" s="44" t="n">
        <v>3486.9182</v>
      </c>
    </row>
    <row r="8544">
      <c r="A8544" s="39">
        <f>_xlfn.XLOOKUP(53601,Trip[shape_id],Trip[shape_id],"Não encontrado")</f>
        <v/>
      </c>
      <c r="B8544" s="40" t="n">
        <v>-23.481498</v>
      </c>
      <c r="C8544" s="40" t="n">
        <v>-46.571316</v>
      </c>
      <c r="D8544" s="40" t="n">
        <v>86</v>
      </c>
      <c r="E8544" s="41" t="n">
        <v>3520.9504</v>
      </c>
    </row>
    <row r="8545">
      <c r="A8545" s="42">
        <f>_xlfn.XLOOKUP(53601,Trip[shape_id],Trip[shape_id],"Não encontrado")</f>
        <v/>
      </c>
      <c r="B8545" s="43" t="n">
        <v>-23.481661</v>
      </c>
      <c r="C8545" s="43" t="n">
        <v>-46.571226</v>
      </c>
      <c r="D8545" s="43" t="n">
        <v>87</v>
      </c>
      <c r="E8545" s="44" t="n">
        <v>3541.2092</v>
      </c>
    </row>
    <row r="8546">
      <c r="A8546" s="39">
        <f>_xlfn.XLOOKUP(53601,Trip[shape_id],Trip[shape_id],"Não encontrado")</f>
        <v/>
      </c>
      <c r="B8546" s="40" t="n">
        <v>-23.482083</v>
      </c>
      <c r="C8546" s="40" t="n">
        <v>-46.571004</v>
      </c>
      <c r="D8546" s="40" t="n">
        <v>88</v>
      </c>
      <c r="E8546" s="41" t="n">
        <v>3593.1577</v>
      </c>
    </row>
    <row r="8547">
      <c r="A8547" s="42">
        <f>_xlfn.XLOOKUP(53601,Trip[shape_id],Trip[shape_id],"Não encontrado")</f>
        <v/>
      </c>
      <c r="B8547" s="43" t="n">
        <v>-23.482316</v>
      </c>
      <c r="C8547" s="43" t="n">
        <v>-46.570867</v>
      </c>
      <c r="D8547" s="43" t="n">
        <v>89</v>
      </c>
      <c r="E8547" s="44" t="n">
        <v>3622.5134</v>
      </c>
    </row>
    <row r="8548">
      <c r="A8548" s="39">
        <f>_xlfn.XLOOKUP(53601,Trip[shape_id],Trip[shape_id],"Não encontrado")</f>
        <v/>
      </c>
      <c r="B8548" s="40" t="n">
        <v>-23.482406</v>
      </c>
      <c r="C8548" s="40" t="n">
        <v>-46.570819</v>
      </c>
      <c r="D8548" s="40" t="n">
        <v>90</v>
      </c>
      <c r="E8548" s="41" t="n">
        <v>3633.6221</v>
      </c>
    </row>
    <row r="8549">
      <c r="A8549" s="42">
        <f>_xlfn.XLOOKUP(53601,Trip[shape_id],Trip[shape_id],"Não encontrado")</f>
        <v/>
      </c>
      <c r="B8549" s="43" t="n">
        <v>-23.482629</v>
      </c>
      <c r="C8549" s="43" t="n">
        <v>-46.570697</v>
      </c>
      <c r="D8549" s="43" t="n">
        <v>91</v>
      </c>
      <c r="E8549" s="44" t="n">
        <v>3661.2856</v>
      </c>
    </row>
    <row r="8550">
      <c r="A8550" s="39">
        <f>_xlfn.XLOOKUP(53601,Trip[shape_id],Trip[shape_id],"Não encontrado")</f>
        <v/>
      </c>
      <c r="B8550" s="40" t="n">
        <v>-23.482923</v>
      </c>
      <c r="C8550" s="40" t="n">
        <v>-46.570518</v>
      </c>
      <c r="D8550" s="40" t="n">
        <v>92</v>
      </c>
      <c r="E8550" s="41" t="n">
        <v>3698.6294</v>
      </c>
    </row>
    <row r="8551">
      <c r="A8551" s="42">
        <f>_xlfn.XLOOKUP(53601,Trip[shape_id],Trip[shape_id],"Não encontrado")</f>
        <v/>
      </c>
      <c r="B8551" s="43" t="n">
        <v>-23.483271</v>
      </c>
      <c r="C8551" s="43" t="n">
        <v>-46.570356</v>
      </c>
      <c r="D8551" s="43" t="n">
        <v>93</v>
      </c>
      <c r="E8551" s="44" t="n">
        <v>3740.5735</v>
      </c>
    </row>
    <row r="8552">
      <c r="A8552" s="39">
        <f>_xlfn.XLOOKUP(53601,Trip[shape_id],Trip[shape_id],"Não encontrado")</f>
        <v/>
      </c>
      <c r="B8552" s="40" t="n">
        <v>-23.483875</v>
      </c>
      <c r="C8552" s="40" t="n">
        <v>-46.570009</v>
      </c>
      <c r="D8552" s="40" t="n">
        <v>94</v>
      </c>
      <c r="E8552" s="41" t="n">
        <v>3816.2786</v>
      </c>
    </row>
    <row r="8553">
      <c r="A8553" s="42">
        <f>_xlfn.XLOOKUP(53601,Trip[shape_id],Trip[shape_id],"Não encontrado")</f>
        <v/>
      </c>
      <c r="B8553" s="43" t="n">
        <v>-23.484376</v>
      </c>
      <c r="C8553" s="43" t="n">
        <v>-46.569747</v>
      </c>
      <c r="D8553" s="43" t="n">
        <v>95</v>
      </c>
      <c r="E8553" s="44" t="n">
        <v>3877.8823</v>
      </c>
    </row>
    <row r="8554">
      <c r="A8554" s="39">
        <f>_xlfn.XLOOKUP(53601,Trip[shape_id],Trip[shape_id],"Não encontrado")</f>
        <v/>
      </c>
      <c r="B8554" s="40" t="n">
        <v>-23.484791</v>
      </c>
      <c r="C8554" s="40" t="n">
        <v>-46.56952</v>
      </c>
      <c r="D8554" s="40" t="n">
        <v>96</v>
      </c>
      <c r="E8554" s="41" t="n">
        <v>3929.3623</v>
      </c>
    </row>
    <row r="8555">
      <c r="A8555" s="42">
        <f>_xlfn.XLOOKUP(53601,Trip[shape_id],Trip[shape_id],"Não encontrado")</f>
        <v/>
      </c>
      <c r="B8555" s="43" t="n">
        <v>-23.485068</v>
      </c>
      <c r="C8555" s="43" t="n">
        <v>-46.569357</v>
      </c>
      <c r="D8555" s="43" t="n">
        <v>97</v>
      </c>
      <c r="E8555" s="44" t="n">
        <v>3964.2678</v>
      </c>
    </row>
    <row r="8556">
      <c r="A8556" s="39">
        <f>_xlfn.XLOOKUP(53601,Trip[shape_id],Trip[shape_id],"Não encontrado")</f>
        <v/>
      </c>
      <c r="B8556" s="40" t="n">
        <v>-23.48557</v>
      </c>
      <c r="C8556" s="40" t="n">
        <v>-46.56907</v>
      </c>
      <c r="D8556" s="40" t="n">
        <v>98</v>
      </c>
      <c r="E8556" s="41" t="n">
        <v>4027.1211</v>
      </c>
    </row>
    <row r="8557">
      <c r="A8557" s="42">
        <f>_xlfn.XLOOKUP(53601,Trip[shape_id],Trip[shape_id],"Não encontrado")</f>
        <v/>
      </c>
      <c r="B8557" s="43" t="n">
        <v>-23.486069</v>
      </c>
      <c r="C8557" s="43" t="n">
        <v>-46.568798</v>
      </c>
      <c r="D8557" s="43" t="n">
        <v>99</v>
      </c>
      <c r="E8557" s="44" t="n">
        <v>4088.9775</v>
      </c>
    </row>
    <row r="8558">
      <c r="A8558" s="39">
        <f>_xlfn.XLOOKUP(53601,Trip[shape_id],Trip[shape_id],"Não encontrado")</f>
        <v/>
      </c>
      <c r="B8558" s="40" t="n">
        <v>-23.486569</v>
      </c>
      <c r="C8558" s="40" t="n">
        <v>-46.568524</v>
      </c>
      <c r="D8558" s="40" t="n">
        <v>100</v>
      </c>
      <c r="E8558" s="41" t="n">
        <v>4151.0249</v>
      </c>
    </row>
    <row r="8559">
      <c r="A8559" s="42">
        <f>_xlfn.XLOOKUP(53601,Trip[shape_id],Trip[shape_id],"Não encontrado")</f>
        <v/>
      </c>
      <c r="B8559" s="43" t="n">
        <v>-23.48668</v>
      </c>
      <c r="C8559" s="43" t="n">
        <v>-46.568461</v>
      </c>
      <c r="D8559" s="43" t="n">
        <v>101</v>
      </c>
      <c r="E8559" s="44" t="n">
        <v>4164.9009</v>
      </c>
    </row>
    <row r="8560">
      <c r="A8560" s="39">
        <f>_xlfn.XLOOKUP(53601,Trip[shape_id],Trip[shape_id],"Não encontrado")</f>
        <v/>
      </c>
      <c r="B8560" s="40" t="n">
        <v>-23.486736</v>
      </c>
      <c r="C8560" s="40" t="n">
        <v>-46.56843</v>
      </c>
      <c r="D8560" s="40" t="n">
        <v>102</v>
      </c>
      <c r="E8560" s="41" t="n">
        <v>4171.8643</v>
      </c>
    </row>
    <row r="8561">
      <c r="A8561" s="42">
        <f>_xlfn.XLOOKUP(53601,Trip[shape_id],Trip[shape_id],"Não encontrado")</f>
        <v/>
      </c>
      <c r="B8561" s="43" t="n">
        <v>-23.486861</v>
      </c>
      <c r="C8561" s="43" t="n">
        <v>-46.568367</v>
      </c>
      <c r="D8561" s="43" t="n">
        <v>103</v>
      </c>
      <c r="E8561" s="44" t="n">
        <v>4187.1309</v>
      </c>
    </row>
    <row r="8562">
      <c r="A8562" s="39">
        <f>_xlfn.XLOOKUP(53601,Trip[shape_id],Trip[shape_id],"Não encontrado")</f>
        <v/>
      </c>
      <c r="B8562" s="40" t="n">
        <v>-23.487131</v>
      </c>
      <c r="C8562" s="40" t="n">
        <v>-46.568281</v>
      </c>
      <c r="D8562" s="40" t="n">
        <v>104</v>
      </c>
      <c r="E8562" s="41" t="n">
        <v>4218.2974</v>
      </c>
    </row>
    <row r="8563">
      <c r="A8563" s="42">
        <f>_xlfn.XLOOKUP(53601,Trip[shape_id],Trip[shape_id],"Não encontrado")</f>
        <v/>
      </c>
      <c r="B8563" s="43" t="n">
        <v>-23.487305</v>
      </c>
      <c r="C8563" s="43" t="n">
        <v>-46.568383</v>
      </c>
      <c r="D8563" s="43" t="n">
        <v>105</v>
      </c>
      <c r="E8563" s="44" t="n">
        <v>4240.2046</v>
      </c>
    </row>
    <row r="8564">
      <c r="A8564" s="39">
        <f>_xlfn.XLOOKUP(53601,Trip[shape_id],Trip[shape_id],"Não encontrado")</f>
        <v/>
      </c>
      <c r="B8564" s="40" t="n">
        <v>-23.487799</v>
      </c>
      <c r="C8564" s="40" t="n">
        <v>-46.56869</v>
      </c>
      <c r="D8564" s="40" t="n">
        <v>106</v>
      </c>
      <c r="E8564" s="41" t="n">
        <v>4303.2661</v>
      </c>
    </row>
    <row r="8565">
      <c r="A8565" s="42">
        <f>_xlfn.XLOOKUP(53601,Trip[shape_id],Trip[shape_id],"Não encontrado")</f>
        <v/>
      </c>
      <c r="B8565" s="43" t="n">
        <v>-23.488175</v>
      </c>
      <c r="C8565" s="43" t="n">
        <v>-46.568907</v>
      </c>
      <c r="D8565" s="43" t="n">
        <v>107</v>
      </c>
      <c r="E8565" s="44" t="n">
        <v>4350.4404</v>
      </c>
    </row>
    <row r="8566">
      <c r="A8566" s="39">
        <f>_xlfn.XLOOKUP(53601,Trip[shape_id],Trip[shape_id],"Não encontrado")</f>
        <v/>
      </c>
      <c r="B8566" s="40" t="n">
        <v>-23.488288</v>
      </c>
      <c r="C8566" s="40" t="n">
        <v>-46.568962</v>
      </c>
      <c r="D8566" s="40" t="n">
        <v>108</v>
      </c>
      <c r="E8566" s="41" t="n">
        <v>4364.1587</v>
      </c>
    </row>
    <row r="8567">
      <c r="A8567" s="42">
        <f>_xlfn.XLOOKUP(53601,Trip[shape_id],Trip[shape_id],"Não encontrado")</f>
        <v/>
      </c>
      <c r="B8567" s="43" t="n">
        <v>-23.488767</v>
      </c>
      <c r="C8567" s="43" t="n">
        <v>-46.569283</v>
      </c>
      <c r="D8567" s="43" t="n">
        <v>109</v>
      </c>
      <c r="E8567" s="44" t="n">
        <v>4426.5244</v>
      </c>
    </row>
    <row r="8568">
      <c r="A8568" s="39">
        <f>_xlfn.XLOOKUP(53601,Trip[shape_id],Trip[shape_id],"Não encontrado")</f>
        <v/>
      </c>
      <c r="B8568" s="40" t="n">
        <v>-23.48917</v>
      </c>
      <c r="C8568" s="40" t="n">
        <v>-46.56953</v>
      </c>
      <c r="D8568" s="40" t="n">
        <v>110</v>
      </c>
      <c r="E8568" s="41" t="n">
        <v>4477.7949</v>
      </c>
    </row>
    <row r="8569">
      <c r="A8569" s="42">
        <f>_xlfn.XLOOKUP(53601,Trip[shape_id],Trip[shape_id],"Não encontrado")</f>
        <v/>
      </c>
      <c r="B8569" s="43" t="n">
        <v>-23.489182</v>
      </c>
      <c r="C8569" s="43" t="n">
        <v>-46.569848</v>
      </c>
      <c r="D8569" s="43" t="n">
        <v>111</v>
      </c>
      <c r="E8569" s="44" t="n">
        <v>4510.3057</v>
      </c>
    </row>
    <row r="8570">
      <c r="A8570" s="39">
        <f>_xlfn.XLOOKUP(53601,Trip[shape_id],Trip[shape_id],"Não encontrado")</f>
        <v/>
      </c>
      <c r="B8570" s="40" t="n">
        <v>-23.489211</v>
      </c>
      <c r="C8570" s="40" t="n">
        <v>-46.570409</v>
      </c>
      <c r="D8570" s="40" t="n">
        <v>112</v>
      </c>
      <c r="E8570" s="41" t="n">
        <v>4567.7012</v>
      </c>
    </row>
    <row r="8571">
      <c r="A8571" s="42">
        <f>_xlfn.XLOOKUP(53601,Trip[shape_id],Trip[shape_id],"Não encontrado")</f>
        <v/>
      </c>
      <c r="B8571" s="43" t="n">
        <v>-23.489211</v>
      </c>
      <c r="C8571" s="43" t="n">
        <v>-46.570885</v>
      </c>
      <c r="D8571" s="43" t="n">
        <v>113</v>
      </c>
      <c r="E8571" s="44" t="n">
        <v>4616.3242</v>
      </c>
    </row>
    <row r="8572">
      <c r="A8572" s="39">
        <f>_xlfn.XLOOKUP(53601,Trip[shape_id],Trip[shape_id],"Não encontrado")</f>
        <v/>
      </c>
      <c r="B8572" s="40" t="n">
        <v>-23.489218</v>
      </c>
      <c r="C8572" s="40" t="n">
        <v>-46.571064</v>
      </c>
      <c r="D8572" s="40" t="n">
        <v>114</v>
      </c>
      <c r="E8572" s="41" t="n">
        <v>4634.6255</v>
      </c>
    </row>
    <row r="8573">
      <c r="A8573" s="42">
        <f>_xlfn.XLOOKUP(53601,Trip[shape_id],Trip[shape_id],"Não encontrado")</f>
        <v/>
      </c>
      <c r="B8573" s="43" t="n">
        <v>-23.48925</v>
      </c>
      <c r="C8573" s="43" t="n">
        <v>-46.571772</v>
      </c>
      <c r="D8573" s="43" t="n">
        <v>115</v>
      </c>
      <c r="E8573" s="44" t="n">
        <v>4707.0342</v>
      </c>
    </row>
    <row r="8574">
      <c r="A8574" s="39">
        <f>_xlfn.XLOOKUP(53601,Trip[shape_id],Trip[shape_id],"Não encontrado")</f>
        <v/>
      </c>
      <c r="B8574" s="40" t="n">
        <v>-23.489264</v>
      </c>
      <c r="C8574" s="40" t="n">
        <v>-46.572428</v>
      </c>
      <c r="D8574" s="40" t="n">
        <v>116</v>
      </c>
      <c r="E8574" s="41" t="n">
        <v>4774.062</v>
      </c>
    </row>
    <row r="8575">
      <c r="A8575" s="42">
        <f>_xlfn.XLOOKUP(53601,Trip[shape_id],Trip[shape_id],"Não encontrado")</f>
        <v/>
      </c>
      <c r="B8575" s="43" t="n">
        <v>-23.489278</v>
      </c>
      <c r="C8575" s="43" t="n">
        <v>-46.573167</v>
      </c>
      <c r="D8575" s="43" t="n">
        <v>117</v>
      </c>
      <c r="E8575" s="44" t="n">
        <v>4849.5664</v>
      </c>
    </row>
    <row r="8576">
      <c r="A8576" s="39">
        <f>_xlfn.XLOOKUP(53601,Trip[shape_id],Trip[shape_id],"Não encontrado")</f>
        <v/>
      </c>
      <c r="B8576" s="40" t="n">
        <v>-23.48931</v>
      </c>
      <c r="C8576" s="40" t="n">
        <v>-46.573759</v>
      </c>
      <c r="D8576" s="40" t="n">
        <v>118</v>
      </c>
      <c r="E8576" s="41" t="n">
        <v>4910.1426</v>
      </c>
    </row>
    <row r="8577">
      <c r="A8577" s="42">
        <f>_xlfn.XLOOKUP(53601,Trip[shape_id],Trip[shape_id],"Não encontrado")</f>
        <v/>
      </c>
      <c r="B8577" s="43" t="n">
        <v>-23.48931</v>
      </c>
      <c r="C8577" s="43" t="n">
        <v>-46.573914</v>
      </c>
      <c r="D8577" s="43" t="n">
        <v>119</v>
      </c>
      <c r="E8577" s="44" t="n">
        <v>4925.9756</v>
      </c>
    </row>
    <row r="8578">
      <c r="A8578" s="39">
        <f>_xlfn.XLOOKUP(53601,Trip[shape_id],Trip[shape_id],"Não encontrado")</f>
        <v/>
      </c>
      <c r="B8578" s="40" t="n">
        <v>-23.489292</v>
      </c>
      <c r="C8578" s="40" t="n">
        <v>-46.574014</v>
      </c>
      <c r="D8578" s="40" t="n">
        <v>120</v>
      </c>
      <c r="E8578" s="41" t="n">
        <v>4936.3833</v>
      </c>
    </row>
    <row r="8579">
      <c r="A8579" s="42">
        <f>_xlfn.XLOOKUP(53601,Trip[shape_id],Trip[shape_id],"Não encontrado")</f>
        <v/>
      </c>
      <c r="B8579" s="43" t="n">
        <v>-23.489273</v>
      </c>
      <c r="C8579" s="43" t="n">
        <v>-46.574077</v>
      </c>
      <c r="D8579" s="43" t="n">
        <v>121</v>
      </c>
      <c r="E8579" s="44" t="n">
        <v>4943.1543</v>
      </c>
    </row>
    <row r="8580">
      <c r="A8580" s="39">
        <f>_xlfn.XLOOKUP(53601,Trip[shape_id],Trip[shape_id],"Não encontrado")</f>
        <v/>
      </c>
      <c r="B8580" s="40" t="n">
        <v>-23.489225</v>
      </c>
      <c r="C8580" s="40" t="n">
        <v>-46.574138</v>
      </c>
      <c r="D8580" s="40" t="n">
        <v>122</v>
      </c>
      <c r="E8580" s="41" t="n">
        <v>4951.3447</v>
      </c>
    </row>
    <row r="8581">
      <c r="A8581" s="42">
        <f>_xlfn.XLOOKUP(53601,Trip[shape_id],Trip[shape_id],"Não encontrado")</f>
        <v/>
      </c>
      <c r="B8581" s="43" t="n">
        <v>-23.489191</v>
      </c>
      <c r="C8581" s="43" t="n">
        <v>-46.57416</v>
      </c>
      <c r="D8581" s="43" t="n">
        <v>123</v>
      </c>
      <c r="E8581" s="44" t="n">
        <v>4955.73</v>
      </c>
    </row>
    <row r="8582">
      <c r="A8582" s="39">
        <f>_xlfn.XLOOKUP(53601,Trip[shape_id],Trip[shape_id],"Não encontrado")</f>
        <v/>
      </c>
      <c r="B8582" s="40" t="n">
        <v>-23.489162</v>
      </c>
      <c r="C8582" s="40" t="n">
        <v>-46.57421</v>
      </c>
      <c r="D8582" s="40" t="n">
        <v>124</v>
      </c>
      <c r="E8582" s="41" t="n">
        <v>4961.7632</v>
      </c>
    </row>
    <row r="8583">
      <c r="A8583" s="42">
        <f>_xlfn.XLOOKUP(53601,Trip[shape_id],Trip[shape_id],"Não encontrado")</f>
        <v/>
      </c>
      <c r="B8583" s="43" t="n">
        <v>-23.489153</v>
      </c>
      <c r="C8583" s="43" t="n">
        <v>-46.574261</v>
      </c>
      <c r="D8583" s="43" t="n">
        <v>125</v>
      </c>
      <c r="E8583" s="44" t="n">
        <v>4967.0679</v>
      </c>
    </row>
    <row r="8584">
      <c r="A8584" s="39">
        <f>_xlfn.XLOOKUP(53601,Trip[shape_id],Trip[shape_id],"Não encontrado")</f>
        <v/>
      </c>
      <c r="B8584" s="40" t="n">
        <v>-23.489149</v>
      </c>
      <c r="C8584" s="40" t="n">
        <v>-46.574312</v>
      </c>
      <c r="D8584" s="40" t="n">
        <v>126</v>
      </c>
      <c r="E8584" s="41" t="n">
        <v>4977.1177</v>
      </c>
    </row>
    <row r="8585">
      <c r="A8585" s="42">
        <f>_xlfn.XLOOKUP(53601,Trip[shape_id],Trip[shape_id],"Não encontrado")</f>
        <v/>
      </c>
      <c r="B8585" s="43" t="n">
        <v>-23.489145</v>
      </c>
      <c r="C8585" s="43" t="n">
        <v>-46.574359</v>
      </c>
      <c r="D8585" s="43" t="n">
        <v>127</v>
      </c>
      <c r="E8585" s="44" t="n">
        <v>4982.4351</v>
      </c>
    </row>
    <row r="8586">
      <c r="A8586" s="39">
        <f>_xlfn.XLOOKUP(53601,Trip[shape_id],Trip[shape_id],"Não encontrado")</f>
        <v/>
      </c>
      <c r="B8586" s="40" t="n">
        <v>-23.489147</v>
      </c>
      <c r="C8586" s="40" t="n">
        <v>-46.574411</v>
      </c>
      <c r="D8586" s="40" t="n">
        <v>128</v>
      </c>
      <c r="E8586" s="41" t="n">
        <v>4987.4463</v>
      </c>
    </row>
    <row r="8587">
      <c r="A8587" s="42">
        <f>_xlfn.XLOOKUP(53601,Trip[shape_id],Trip[shape_id],"Não encontrado")</f>
        <v/>
      </c>
      <c r="B8587" s="43" t="n">
        <v>-23.489149</v>
      </c>
      <c r="C8587" s="43" t="n">
        <v>-46.57446</v>
      </c>
      <c r="D8587" s="43" t="n">
        <v>129</v>
      </c>
      <c r="E8587" s="44" t="n">
        <v>4995.9424</v>
      </c>
    </row>
    <row r="8588">
      <c r="A8588" s="39">
        <f>_xlfn.XLOOKUP(53601,Trip[shape_id],Trip[shape_id],"Não encontrado")</f>
        <v/>
      </c>
      <c r="B8588" s="40" t="n">
        <v>-23.489173</v>
      </c>
      <c r="C8588" s="40" t="n">
        <v>-46.574539</v>
      </c>
      <c r="D8588" s="40" t="n">
        <v>130</v>
      </c>
      <c r="E8588" s="41" t="n">
        <v>4995.9424</v>
      </c>
    </row>
    <row r="8589">
      <c r="A8589" s="42">
        <f>_xlfn.XLOOKUP(53601,Trip[shape_id],Trip[shape_id],"Não encontrado")</f>
        <v/>
      </c>
      <c r="B8589" s="43" t="n">
        <v>-23.489296</v>
      </c>
      <c r="C8589" s="43" t="n">
        <v>-46.574688</v>
      </c>
      <c r="D8589" s="43" t="n">
        <v>131</v>
      </c>
      <c r="E8589" s="44" t="n">
        <v>5025.4526</v>
      </c>
    </row>
    <row r="8590">
      <c r="A8590" s="39">
        <f>_xlfn.XLOOKUP(53601,Trip[shape_id],Trip[shape_id],"Não encontrado")</f>
        <v/>
      </c>
      <c r="B8590" s="40" t="n">
        <v>-23.489377</v>
      </c>
      <c r="C8590" s="40" t="n">
        <v>-46.574702</v>
      </c>
      <c r="D8590" s="40" t="n">
        <v>132</v>
      </c>
      <c r="E8590" s="41" t="n">
        <v>5025.4526</v>
      </c>
    </row>
    <row r="8591">
      <c r="A8591" s="42">
        <f>_xlfn.XLOOKUP(53601,Trip[shape_id],Trip[shape_id],"Não encontrado")</f>
        <v/>
      </c>
      <c r="B8591" s="43" t="n">
        <v>-23.489445</v>
      </c>
      <c r="C8591" s="43" t="n">
        <v>-46.574704</v>
      </c>
      <c r="D8591" s="43" t="n">
        <v>133</v>
      </c>
      <c r="E8591" s="44" t="n">
        <v>5032.9868</v>
      </c>
    </row>
    <row r="8592">
      <c r="A8592" s="39">
        <f>_xlfn.XLOOKUP(53601,Trip[shape_id],Trip[shape_id],"Não encontrado")</f>
        <v/>
      </c>
      <c r="B8592" s="40" t="n">
        <v>-23.489507</v>
      </c>
      <c r="C8592" s="40" t="n">
        <v>-46.574697</v>
      </c>
      <c r="D8592" s="40" t="n">
        <v>134</v>
      </c>
      <c r="E8592" s="41" t="n">
        <v>5039.8906</v>
      </c>
    </row>
    <row r="8593">
      <c r="A8593" s="42">
        <f>_xlfn.XLOOKUP(53601,Trip[shape_id],Trip[shape_id],"Não encontrado")</f>
        <v/>
      </c>
      <c r="B8593" s="43" t="n">
        <v>-23.489577</v>
      </c>
      <c r="C8593" s="43" t="n">
        <v>-46.574684</v>
      </c>
      <c r="D8593" s="43" t="n">
        <v>135</v>
      </c>
      <c r="E8593" s="44" t="n">
        <v>5047.7559</v>
      </c>
    </row>
    <row r="8594">
      <c r="A8594" s="39">
        <f>_xlfn.XLOOKUP(53601,Trip[shape_id],Trip[shape_id],"Não encontrado")</f>
        <v/>
      </c>
      <c r="B8594" s="40" t="n">
        <v>-23.489651</v>
      </c>
      <c r="C8594" s="40" t="n">
        <v>-46.574593</v>
      </c>
      <c r="D8594" s="40" t="n">
        <v>136</v>
      </c>
      <c r="E8594" s="41" t="n">
        <v>5060.1484</v>
      </c>
    </row>
    <row r="8595">
      <c r="A8595" s="42">
        <f>_xlfn.XLOOKUP(53601,Trip[shape_id],Trip[shape_id],"Não encontrado")</f>
        <v/>
      </c>
      <c r="B8595" s="43" t="n">
        <v>-23.489731</v>
      </c>
      <c r="C8595" s="43" t="n">
        <v>-46.574529</v>
      </c>
      <c r="D8595" s="43" t="n">
        <v>137</v>
      </c>
      <c r="E8595" s="44" t="n">
        <v>5078.9971</v>
      </c>
    </row>
    <row r="8596">
      <c r="A8596" s="39">
        <f>_xlfn.XLOOKUP(53601,Trip[shape_id],Trip[shape_id],"Não encontrado")</f>
        <v/>
      </c>
      <c r="B8596" s="40" t="n">
        <v>-23.489793</v>
      </c>
      <c r="C8596" s="40" t="n">
        <v>-46.574492</v>
      </c>
      <c r="D8596" s="40" t="n">
        <v>138</v>
      </c>
      <c r="E8596" s="41" t="n">
        <v>5084.4863</v>
      </c>
    </row>
    <row r="8597">
      <c r="A8597" s="42">
        <f>_xlfn.XLOOKUP(53601,Trip[shape_id],Trip[shape_id],"Não encontrado")</f>
        <v/>
      </c>
      <c r="B8597" s="43" t="n">
        <v>-23.489839</v>
      </c>
      <c r="C8597" s="43" t="n">
        <v>-46.574472</v>
      </c>
      <c r="D8597" s="43" t="n">
        <v>139</v>
      </c>
      <c r="E8597" s="44" t="n">
        <v>5101.1353</v>
      </c>
    </row>
    <row r="8598">
      <c r="A8598" s="39">
        <f>_xlfn.XLOOKUP(53601,Trip[shape_id],Trip[shape_id],"Não encontrado")</f>
        <v/>
      </c>
      <c r="B8598" s="40" t="n">
        <v>-23.489984</v>
      </c>
      <c r="C8598" s="40" t="n">
        <v>-46.574429</v>
      </c>
      <c r="D8598" s="40" t="n">
        <v>140</v>
      </c>
      <c r="E8598" s="41" t="n">
        <v>5101.1353</v>
      </c>
    </row>
    <row r="8599">
      <c r="A8599" s="42">
        <f>_xlfn.XLOOKUP(53601,Trip[shape_id],Trip[shape_id],"Não encontrado")</f>
        <v/>
      </c>
      <c r="B8599" s="43" t="n">
        <v>-23.490818</v>
      </c>
      <c r="C8599" s="43" t="n">
        <v>-46.574447</v>
      </c>
      <c r="D8599" s="43" t="n">
        <v>141</v>
      </c>
      <c r="E8599" s="44" t="n">
        <v>5193.52</v>
      </c>
    </row>
    <row r="8600">
      <c r="A8600" s="39">
        <f>_xlfn.XLOOKUP(53601,Trip[shape_id],Trip[shape_id],"Não encontrado")</f>
        <v/>
      </c>
      <c r="B8600" s="40" t="n">
        <v>-23.491517</v>
      </c>
      <c r="C8600" s="40" t="n">
        <v>-46.574467</v>
      </c>
      <c r="D8600" s="40" t="n">
        <v>142</v>
      </c>
      <c r="E8600" s="41" t="n">
        <v>5270.9619</v>
      </c>
    </row>
    <row r="8601">
      <c r="A8601" s="42">
        <f>_xlfn.XLOOKUP(53601,Trip[shape_id],Trip[shape_id],"Não encontrado")</f>
        <v/>
      </c>
      <c r="B8601" s="43" t="n">
        <v>-23.491861</v>
      </c>
      <c r="C8601" s="43" t="n">
        <v>-46.574476</v>
      </c>
      <c r="D8601" s="43" t="n">
        <v>143</v>
      </c>
      <c r="E8601" s="44" t="n">
        <v>5309.0713</v>
      </c>
    </row>
    <row r="8602">
      <c r="A8602" s="39">
        <f>_xlfn.XLOOKUP(53601,Trip[shape_id],Trip[shape_id],"Não encontrado")</f>
        <v/>
      </c>
      <c r="B8602" s="40" t="n">
        <v>-23.49193</v>
      </c>
      <c r="C8602" s="40" t="n">
        <v>-46.574478</v>
      </c>
      <c r="D8602" s="40" t="n">
        <v>144</v>
      </c>
      <c r="E8602" s="41" t="n">
        <v>5316.7158</v>
      </c>
    </row>
    <row r="8603">
      <c r="A8603" s="42">
        <f>_xlfn.XLOOKUP(53601,Trip[shape_id],Trip[shape_id],"Não encontrado")</f>
        <v/>
      </c>
      <c r="B8603" s="43" t="n">
        <v>-23.491988</v>
      </c>
      <c r="C8603" s="43" t="n">
        <v>-46.574522</v>
      </c>
      <c r="D8603" s="43" t="n">
        <v>145</v>
      </c>
      <c r="E8603" s="44" t="n">
        <v>5324.5557</v>
      </c>
    </row>
    <row r="8604">
      <c r="A8604" s="39">
        <f>_xlfn.XLOOKUP(53601,Trip[shape_id],Trip[shape_id],"Não encontrado")</f>
        <v/>
      </c>
      <c r="B8604" s="40" t="n">
        <v>-23.492183</v>
      </c>
      <c r="C8604" s="40" t="n">
        <v>-46.574553</v>
      </c>
      <c r="D8604" s="40" t="n">
        <v>146</v>
      </c>
      <c r="E8604" s="41" t="n">
        <v>5346.3828</v>
      </c>
    </row>
    <row r="8605">
      <c r="A8605" s="42">
        <f>_xlfn.XLOOKUP(53601,Trip[shape_id],Trip[shape_id],"Não encontrado")</f>
        <v/>
      </c>
      <c r="B8605" s="43" t="n">
        <v>-23.492527</v>
      </c>
      <c r="C8605" s="43" t="n">
        <v>-46.574641</v>
      </c>
      <c r="D8605" s="43" t="n">
        <v>147</v>
      </c>
      <c r="E8605" s="44" t="n">
        <v>5385.5273</v>
      </c>
    </row>
    <row r="8606">
      <c r="A8606" s="39">
        <f>_xlfn.XLOOKUP(53601,Trip[shape_id],Trip[shape_id],"Não encontrado")</f>
        <v/>
      </c>
      <c r="B8606" s="40" t="n">
        <v>-23.492643</v>
      </c>
      <c r="C8606" s="40" t="n">
        <v>-46.574673</v>
      </c>
      <c r="D8606" s="40" t="n">
        <v>148</v>
      </c>
      <c r="E8606" s="41" t="n">
        <v>5398.7837</v>
      </c>
    </row>
    <row r="8607">
      <c r="A8607" s="42">
        <f>_xlfn.XLOOKUP(53601,Trip[shape_id],Trip[shape_id],"Não encontrado")</f>
        <v/>
      </c>
      <c r="B8607" s="43" t="n">
        <v>-23.492722</v>
      </c>
      <c r="C8607" s="43" t="n">
        <v>-46.574684</v>
      </c>
      <c r="D8607" s="43" t="n">
        <v>149</v>
      </c>
      <c r="E8607" s="44" t="n">
        <v>5407.6045</v>
      </c>
    </row>
    <row r="8608">
      <c r="A8608" s="39">
        <f>_xlfn.XLOOKUP(53601,Trip[shape_id],Trip[shape_id],"Não encontrado")</f>
        <v/>
      </c>
      <c r="B8608" s="40" t="n">
        <v>-23.492795</v>
      </c>
      <c r="C8608" s="40" t="n">
        <v>-46.574657</v>
      </c>
      <c r="D8608" s="40" t="n">
        <v>150</v>
      </c>
      <c r="E8608" s="41" t="n">
        <v>5416.147</v>
      </c>
    </row>
    <row r="8609">
      <c r="A8609" s="42">
        <f>_xlfn.XLOOKUP(53601,Trip[shape_id],Trip[shape_id],"Não encontrado")</f>
        <v/>
      </c>
      <c r="B8609" s="43" t="n">
        <v>-23.492844</v>
      </c>
      <c r="C8609" s="43" t="n">
        <v>-46.57463</v>
      </c>
      <c r="D8609" s="43" t="n">
        <v>151</v>
      </c>
      <c r="E8609" s="44" t="n">
        <v>5422.2339</v>
      </c>
    </row>
    <row r="8610">
      <c r="A8610" s="39">
        <f>_xlfn.XLOOKUP(53601,Trip[shape_id],Trip[shape_id],"Não encontrado")</f>
        <v/>
      </c>
      <c r="B8610" s="40" t="n">
        <v>-23.492958</v>
      </c>
      <c r="C8610" s="40" t="n">
        <v>-46.574545</v>
      </c>
      <c r="D8610" s="40" t="n">
        <v>152</v>
      </c>
      <c r="E8610" s="41" t="n">
        <v>5437.5566</v>
      </c>
    </row>
    <row r="8611">
      <c r="A8611" s="42">
        <f>_xlfn.XLOOKUP(53601,Trip[shape_id],Trip[shape_id],"Não encontrado")</f>
        <v/>
      </c>
      <c r="B8611" s="43" t="n">
        <v>-23.493032</v>
      </c>
      <c r="C8611" s="43" t="n">
        <v>-46.574531</v>
      </c>
      <c r="D8611" s="43" t="n">
        <v>153</v>
      </c>
      <c r="E8611" s="44" t="n">
        <v>5445.876</v>
      </c>
    </row>
    <row r="8612">
      <c r="A8612" s="39">
        <f>_xlfn.XLOOKUP(53601,Trip[shape_id],Trip[shape_id],"Não encontrado")</f>
        <v/>
      </c>
      <c r="B8612" s="40" t="n">
        <v>-23.493202</v>
      </c>
      <c r="C8612" s="40" t="n">
        <v>-46.574526</v>
      </c>
      <c r="D8612" s="40" t="n">
        <v>154</v>
      </c>
      <c r="E8612" s="41" t="n">
        <v>5464.7104</v>
      </c>
    </row>
    <row r="8613">
      <c r="A8613" s="42">
        <f>_xlfn.XLOOKUP(53601,Trip[shape_id],Trip[shape_id],"Não encontrado")</f>
        <v/>
      </c>
      <c r="B8613" s="43" t="n">
        <v>-23.494086</v>
      </c>
      <c r="C8613" s="43" t="n">
        <v>-46.57521</v>
      </c>
      <c r="D8613" s="43" t="n">
        <v>155</v>
      </c>
      <c r="E8613" s="44" t="n">
        <v>5584.9878</v>
      </c>
    </row>
    <row r="8614">
      <c r="A8614" s="39">
        <f>_xlfn.XLOOKUP(53601,Trip[shape_id],Trip[shape_id],"Não encontrado")</f>
        <v/>
      </c>
      <c r="B8614" s="40" t="n">
        <v>-23.494491</v>
      </c>
      <c r="C8614" s="40" t="n">
        <v>-46.57552</v>
      </c>
      <c r="D8614" s="40" t="n">
        <v>156</v>
      </c>
      <c r="E8614" s="41" t="n">
        <v>5639.8931</v>
      </c>
    </row>
    <row r="8615">
      <c r="A8615" s="42">
        <f>_xlfn.XLOOKUP(53601,Trip[shape_id],Trip[shape_id],"Não encontrado")</f>
        <v/>
      </c>
      <c r="B8615" s="43" t="n">
        <v>-23.494849</v>
      </c>
      <c r="C8615" s="43" t="n">
        <v>-46.57579</v>
      </c>
      <c r="D8615" s="43" t="n">
        <v>157</v>
      </c>
      <c r="E8615" s="44" t="n">
        <v>5688.1904</v>
      </c>
    </row>
    <row r="8616">
      <c r="A8616" s="39">
        <f>_xlfn.XLOOKUP(53601,Trip[shape_id],Trip[shape_id],"Não encontrado")</f>
        <v/>
      </c>
      <c r="B8616" s="40" t="n">
        <v>-23.49493</v>
      </c>
      <c r="C8616" s="40" t="n">
        <v>-46.575847</v>
      </c>
      <c r="D8616" s="40" t="n">
        <v>158</v>
      </c>
      <c r="E8616" s="41" t="n">
        <v>5698.8848</v>
      </c>
    </row>
    <row r="8617">
      <c r="A8617" s="42">
        <f>_xlfn.XLOOKUP(53601,Trip[shape_id],Trip[shape_id],"Não encontrado")</f>
        <v/>
      </c>
      <c r="B8617" s="43" t="n">
        <v>-23.495021</v>
      </c>
      <c r="C8617" s="43" t="n">
        <v>-46.575903</v>
      </c>
      <c r="D8617" s="43" t="n">
        <v>159</v>
      </c>
      <c r="E8617" s="44" t="n">
        <v>5710.4731</v>
      </c>
    </row>
    <row r="8618">
      <c r="A8618" s="39">
        <f>_xlfn.XLOOKUP(53601,Trip[shape_id],Trip[shape_id],"Não encontrado")</f>
        <v/>
      </c>
      <c r="B8618" s="40" t="n">
        <v>-23.495113</v>
      </c>
      <c r="C8618" s="40" t="n">
        <v>-46.575934</v>
      </c>
      <c r="D8618" s="40" t="n">
        <v>160</v>
      </c>
      <c r="E8618" s="41" t="n">
        <v>5721.1426</v>
      </c>
    </row>
    <row r="8619">
      <c r="A8619" s="42">
        <f>_xlfn.XLOOKUP(53601,Trip[shape_id],Trip[shape_id],"Não encontrado")</f>
        <v/>
      </c>
      <c r="B8619" s="43" t="n">
        <v>-23.495187</v>
      </c>
      <c r="C8619" s="43" t="n">
        <v>-46.575948</v>
      </c>
      <c r="D8619" s="43" t="n">
        <v>161</v>
      </c>
      <c r="E8619" s="44" t="n">
        <v>5729.4619</v>
      </c>
    </row>
    <row r="8620">
      <c r="A8620" s="39">
        <f>_xlfn.XLOOKUP(53601,Trip[shape_id],Trip[shape_id],"Não encontrado")</f>
        <v/>
      </c>
      <c r="B8620" s="40" t="n">
        <v>-23.495344</v>
      </c>
      <c r="C8620" s="40" t="n">
        <v>-46.575963</v>
      </c>
      <c r="D8620" s="40" t="n">
        <v>162</v>
      </c>
      <c r="E8620" s="41" t="n">
        <v>5746.917</v>
      </c>
    </row>
    <row r="8621">
      <c r="A8621" s="42">
        <f>_xlfn.XLOOKUP(53601,Trip[shape_id],Trip[shape_id],"Não encontrado")</f>
        <v/>
      </c>
      <c r="B8621" s="43" t="n">
        <v>-23.495483</v>
      </c>
      <c r="C8621" s="43" t="n">
        <v>-46.575936</v>
      </c>
      <c r="D8621" s="43" t="n">
        <v>163</v>
      </c>
      <c r="E8621" s="44" t="n">
        <v>5762.5562</v>
      </c>
    </row>
    <row r="8622">
      <c r="A8622" s="39">
        <f>_xlfn.XLOOKUP(53601,Trip[shape_id],Trip[shape_id],"Não encontrado")</f>
        <v/>
      </c>
      <c r="B8622" s="40" t="n">
        <v>-23.495604</v>
      </c>
      <c r="C8622" s="40" t="n">
        <v>-46.575908</v>
      </c>
      <c r="D8622" s="40" t="n">
        <v>164</v>
      </c>
      <c r="E8622" s="41" t="n">
        <v>5776.2593</v>
      </c>
    </row>
    <row r="8623">
      <c r="A8623" s="42">
        <f>_xlfn.XLOOKUP(53601,Trip[shape_id],Trip[shape_id],"Não encontrado")</f>
        <v/>
      </c>
      <c r="B8623" s="43" t="n">
        <v>-23.495699</v>
      </c>
      <c r="C8623" s="43" t="n">
        <v>-46.575895</v>
      </c>
      <c r="D8623" s="43" t="n">
        <v>165</v>
      </c>
      <c r="E8623" s="44" t="n">
        <v>5786.8643</v>
      </c>
    </row>
    <row r="8624">
      <c r="A8624" s="39">
        <f>_xlfn.XLOOKUP(53601,Trip[shape_id],Trip[shape_id],"Não encontrado")</f>
        <v/>
      </c>
      <c r="B8624" s="40" t="n">
        <v>-23.495771</v>
      </c>
      <c r="C8624" s="40" t="n">
        <v>-46.575891</v>
      </c>
      <c r="D8624" s="40" t="n">
        <v>166</v>
      </c>
      <c r="E8624" s="41" t="n">
        <v>5794.8491</v>
      </c>
    </row>
    <row r="8625">
      <c r="A8625" s="42">
        <f>_xlfn.XLOOKUP(53601,Trip[shape_id],Trip[shape_id],"Não encontrado")</f>
        <v/>
      </c>
      <c r="B8625" s="43" t="n">
        <v>-23.495867</v>
      </c>
      <c r="C8625" s="43" t="n">
        <v>-46.575922</v>
      </c>
      <c r="D8625" s="43" t="n">
        <v>167</v>
      </c>
      <c r="E8625" s="44" t="n">
        <v>5805.9429</v>
      </c>
    </row>
    <row r="8626">
      <c r="A8626" s="39">
        <f>_xlfn.XLOOKUP(53601,Trip[shape_id],Trip[shape_id],"Não encontrado")</f>
        <v/>
      </c>
      <c r="B8626" s="40" t="n">
        <v>-23.496086</v>
      </c>
      <c r="C8626" s="40" t="n">
        <v>-46.576019</v>
      </c>
      <c r="D8626" s="40" t="n">
        <v>168</v>
      </c>
      <c r="E8626" s="41" t="n">
        <v>5832.1431</v>
      </c>
    </row>
    <row r="8627">
      <c r="A8627" s="42">
        <f>_xlfn.XLOOKUP(53601,Trip[shape_id],Trip[shape_id],"Não encontrado")</f>
        <v/>
      </c>
      <c r="B8627" s="43" t="n">
        <v>-23.496187</v>
      </c>
      <c r="C8627" s="43" t="n">
        <v>-46.576127</v>
      </c>
      <c r="D8627" s="43" t="n">
        <v>169</v>
      </c>
      <c r="E8627" s="44" t="n">
        <v>5847.8535</v>
      </c>
    </row>
    <row r="8628">
      <c r="A8628" s="39">
        <f>_xlfn.XLOOKUP(53601,Trip[shape_id],Trip[shape_id],"Não encontrado")</f>
        <v/>
      </c>
      <c r="B8628" s="40" t="n">
        <v>-23.496282</v>
      </c>
      <c r="C8628" s="40" t="n">
        <v>-46.576234</v>
      </c>
      <c r="D8628" s="40" t="n">
        <v>170</v>
      </c>
      <c r="E8628" s="41" t="n">
        <v>5863.0239</v>
      </c>
    </row>
    <row r="8629">
      <c r="A8629" s="42">
        <f>_xlfn.XLOOKUP(53601,Trip[shape_id],Trip[shape_id],"Não encontrado")</f>
        <v/>
      </c>
      <c r="B8629" s="43" t="n">
        <v>-23.49602</v>
      </c>
      <c r="C8629" s="43" t="n">
        <v>-46.576525</v>
      </c>
      <c r="D8629" s="43" t="n">
        <v>171</v>
      </c>
      <c r="E8629" s="44" t="n">
        <v>5904.563</v>
      </c>
    </row>
    <row r="8630">
      <c r="A8630" s="39">
        <f>_xlfn.XLOOKUP(53601,Trip[shape_id],Trip[shape_id],"Não encontrado")</f>
        <v/>
      </c>
      <c r="B8630" s="40" t="n">
        <v>-23.495781</v>
      </c>
      <c r="C8630" s="40" t="n">
        <v>-46.576792</v>
      </c>
      <c r="D8630" s="40" t="n">
        <v>172</v>
      </c>
      <c r="E8630" s="41" t="n">
        <v>5942.5684</v>
      </c>
    </row>
    <row r="8631">
      <c r="A8631" s="42">
        <f>_xlfn.XLOOKUP(53601,Trip[shape_id],Trip[shape_id],"Não encontrado")</f>
        <v/>
      </c>
      <c r="B8631" s="43" t="n">
        <v>-23.495563</v>
      </c>
      <c r="C8631" s="43" t="n">
        <v>-46.577029</v>
      </c>
      <c r="D8631" s="43" t="n">
        <v>173</v>
      </c>
      <c r="E8631" s="44" t="n">
        <v>5976.7583</v>
      </c>
    </row>
    <row r="8632">
      <c r="A8632" s="39">
        <f>_xlfn.XLOOKUP(53601,Trip[shape_id],Trip[shape_id],"Não encontrado")</f>
        <v/>
      </c>
      <c r="B8632" s="40" t="n">
        <v>-23.495538</v>
      </c>
      <c r="C8632" s="40" t="n">
        <v>-46.57706</v>
      </c>
      <c r="D8632" s="40" t="n">
        <v>174</v>
      </c>
      <c r="E8632" s="41" t="n">
        <v>5980.9653</v>
      </c>
    </row>
    <row r="8633">
      <c r="A8633" s="42">
        <f>_xlfn.XLOOKUP(53601,Trip[shape_id],Trip[shape_id],"Não encontrado")</f>
        <v/>
      </c>
      <c r="B8633" s="43" t="n">
        <v>-23.495465</v>
      </c>
      <c r="C8633" s="43" t="n">
        <v>-46.577206</v>
      </c>
      <c r="D8633" s="43" t="n">
        <v>175</v>
      </c>
      <c r="E8633" s="44" t="n">
        <v>5997.9287</v>
      </c>
    </row>
    <row r="8634">
      <c r="A8634" s="39">
        <f>_xlfn.XLOOKUP(53601,Trip[shape_id],Trip[shape_id],"Não encontrado")</f>
        <v/>
      </c>
      <c r="B8634" s="40" t="n">
        <v>-23.495402</v>
      </c>
      <c r="C8634" s="40" t="n">
        <v>-46.577325</v>
      </c>
      <c r="D8634" s="40" t="n">
        <v>176</v>
      </c>
      <c r="E8634" s="41" t="n">
        <v>6011.9438</v>
      </c>
    </row>
    <row r="8635">
      <c r="A8635" s="42">
        <f>_xlfn.XLOOKUP(53601,Trip[shape_id],Trip[shape_id],"Não encontrado")</f>
        <v/>
      </c>
      <c r="B8635" s="43" t="n">
        <v>-23.495336</v>
      </c>
      <c r="C8635" s="43" t="n">
        <v>-46.57755</v>
      </c>
      <c r="D8635" s="43" t="n">
        <v>177</v>
      </c>
      <c r="E8635" s="44" t="n">
        <v>6036.061</v>
      </c>
    </row>
    <row r="8636">
      <c r="A8636" s="39">
        <f>_xlfn.XLOOKUP(53601,Trip[shape_id],Trip[shape_id],"Não encontrado")</f>
        <v/>
      </c>
      <c r="B8636" s="40" t="n">
        <v>-23.495281</v>
      </c>
      <c r="C8636" s="40" t="n">
        <v>-46.577882</v>
      </c>
      <c r="D8636" s="40" t="n">
        <v>178</v>
      </c>
      <c r="E8636" s="41" t="n">
        <v>6070.5156</v>
      </c>
    </row>
    <row r="8637">
      <c r="A8637" s="42">
        <f>_xlfn.XLOOKUP(53601,Trip[shape_id],Trip[shape_id],"Não encontrado")</f>
        <v/>
      </c>
      <c r="B8637" s="43" t="n">
        <v>-23.495267</v>
      </c>
      <c r="C8637" s="43" t="n">
        <v>-46.577988</v>
      </c>
      <c r="D8637" s="43" t="n">
        <v>179</v>
      </c>
      <c r="E8637" s="44" t="n">
        <v>6081.4536</v>
      </c>
    </row>
    <row r="8638">
      <c r="A8638" s="39">
        <f>_xlfn.XLOOKUP(53601,Trip[shape_id],Trip[shape_id],"Não encontrado")</f>
        <v/>
      </c>
      <c r="B8638" s="40" t="n">
        <v>-23.495193</v>
      </c>
      <c r="C8638" s="40" t="n">
        <v>-46.578434</v>
      </c>
      <c r="D8638" s="40" t="n">
        <v>180</v>
      </c>
      <c r="E8638" s="41" t="n">
        <v>6127.7417</v>
      </c>
    </row>
    <row r="8639">
      <c r="A8639" s="42">
        <f>_xlfn.XLOOKUP(53601,Trip[shape_id],Trip[shape_id],"Não encontrado")</f>
        <v/>
      </c>
      <c r="B8639" s="43" t="n">
        <v>-23.495069</v>
      </c>
      <c r="C8639" s="43" t="n">
        <v>-46.579249</v>
      </c>
      <c r="D8639" s="43" t="n">
        <v>181</v>
      </c>
      <c r="E8639" s="44" t="n">
        <v>6212.1147</v>
      </c>
    </row>
    <row r="8640">
      <c r="A8640" s="39">
        <f>_xlfn.XLOOKUP(53601,Trip[shape_id],Trip[shape_id],"Não encontrado")</f>
        <v/>
      </c>
      <c r="B8640" s="40" t="n">
        <v>-23.49503</v>
      </c>
      <c r="C8640" s="40" t="n">
        <v>-46.579507</v>
      </c>
      <c r="D8640" s="40" t="n">
        <v>182</v>
      </c>
      <c r="E8640" s="41" t="n">
        <v>6238.8198</v>
      </c>
    </row>
    <row r="8641">
      <c r="A8641" s="42">
        <f>_xlfn.XLOOKUP(53601,Trip[shape_id],Trip[shape_id],"Não encontrado")</f>
        <v/>
      </c>
      <c r="B8641" s="43" t="n">
        <v>-23.495028</v>
      </c>
      <c r="C8641" s="43" t="n">
        <v>-46.579579</v>
      </c>
      <c r="D8641" s="43" t="n">
        <v>183</v>
      </c>
      <c r="E8641" s="44" t="n">
        <v>6246.1782</v>
      </c>
    </row>
    <row r="8642">
      <c r="A8642" s="39">
        <f>_xlfn.XLOOKUP(53601,Trip[shape_id],Trip[shape_id],"Não encontrado")</f>
        <v/>
      </c>
      <c r="B8642" s="40" t="n">
        <v>-23.495001</v>
      </c>
      <c r="C8642" s="40" t="n">
        <v>-46.580326</v>
      </c>
      <c r="D8642" s="40" t="n">
        <v>184</v>
      </c>
      <c r="E8642" s="41" t="n">
        <v>6322.5391</v>
      </c>
    </row>
    <row r="8643">
      <c r="A8643" s="42">
        <f>_xlfn.XLOOKUP(53601,Trip[shape_id],Trip[shape_id],"Não encontrado")</f>
        <v/>
      </c>
      <c r="B8643" s="43" t="n">
        <v>-23.494992</v>
      </c>
      <c r="C8643" s="43" t="n">
        <v>-46.580613</v>
      </c>
      <c r="D8643" s="43" t="n">
        <v>185</v>
      </c>
      <c r="E8643" s="44" t="n">
        <v>6351.8716</v>
      </c>
    </row>
    <row r="8644">
      <c r="A8644" s="39">
        <f>_xlfn.XLOOKUP(53601,Trip[shape_id],Trip[shape_id],"Não encontrado")</f>
        <v/>
      </c>
      <c r="B8644" s="40" t="n">
        <v>-23.494983</v>
      </c>
      <c r="C8644" s="40" t="n">
        <v>-46.580865</v>
      </c>
      <c r="D8644" s="40" t="n">
        <v>186</v>
      </c>
      <c r="E8644" s="41" t="n">
        <v>6377.6313</v>
      </c>
    </row>
    <row r="8645">
      <c r="A8645" s="42">
        <f>_xlfn.XLOOKUP(53601,Trip[shape_id],Trip[shape_id],"Não encontrado")</f>
        <v/>
      </c>
      <c r="B8645" s="43" t="n">
        <v>-23.494964</v>
      </c>
      <c r="C8645" s="43" t="n">
        <v>-46.581222</v>
      </c>
      <c r="D8645" s="43" t="n">
        <v>187</v>
      </c>
      <c r="E8645" s="44" t="n">
        <v>6414.1577</v>
      </c>
    </row>
    <row r="8646">
      <c r="A8646" s="39">
        <f>_xlfn.XLOOKUP(53601,Trip[shape_id],Trip[shape_id],"Não encontrado")</f>
        <v/>
      </c>
      <c r="B8646" s="40" t="n">
        <v>-23.494954</v>
      </c>
      <c r="C8646" s="40" t="n">
        <v>-46.58146</v>
      </c>
      <c r="D8646" s="40" t="n">
        <v>188</v>
      </c>
      <c r="E8646" s="41" t="n">
        <v>6438.4937</v>
      </c>
    </row>
    <row r="8647">
      <c r="A8647" s="42">
        <f>_xlfn.XLOOKUP(53601,Trip[shape_id],Trip[shape_id],"Não encontrado")</f>
        <v/>
      </c>
      <c r="B8647" s="43" t="n">
        <v>-23.494798</v>
      </c>
      <c r="C8647" s="43" t="n">
        <v>-46.58252</v>
      </c>
      <c r="D8647" s="43" t="n">
        <v>189</v>
      </c>
      <c r="E8647" s="44" t="n">
        <v>6548.1372</v>
      </c>
    </row>
    <row r="8648">
      <c r="A8648" s="39">
        <f>_xlfn.XLOOKUP(53601,Trip[shape_id],Trip[shape_id],"Não encontrado")</f>
        <v/>
      </c>
      <c r="B8648" s="40" t="n">
        <v>-23.494744</v>
      </c>
      <c r="C8648" s="40" t="n">
        <v>-46.582984</v>
      </c>
      <c r="D8648" s="40" t="n">
        <v>190</v>
      </c>
      <c r="E8648" s="41" t="n">
        <v>6595.9082</v>
      </c>
    </row>
    <row r="8649">
      <c r="A8649" s="42">
        <f>_xlfn.XLOOKUP(53601,Trip[shape_id],Trip[shape_id],"Não encontrado")</f>
        <v/>
      </c>
      <c r="B8649" s="43" t="n">
        <v>-23.494824</v>
      </c>
      <c r="C8649" s="43" t="n">
        <v>-46.583619</v>
      </c>
      <c r="D8649" s="43" t="n">
        <v>191</v>
      </c>
      <c r="E8649" s="44" t="n">
        <v>6661.3726</v>
      </c>
    </row>
    <row r="8650">
      <c r="A8650" s="39">
        <f>_xlfn.XLOOKUP(53601,Trip[shape_id],Trip[shape_id],"Não encontrado")</f>
        <v/>
      </c>
      <c r="B8650" s="40" t="n">
        <v>-23.494873</v>
      </c>
      <c r="C8650" s="40" t="n">
        <v>-46.58397</v>
      </c>
      <c r="D8650" s="40" t="n">
        <v>192</v>
      </c>
      <c r="E8650" s="41" t="n">
        <v>6697.6338</v>
      </c>
    </row>
    <row r="8651">
      <c r="A8651" s="42">
        <f>_xlfn.XLOOKUP(53601,Trip[shape_id],Trip[shape_id],"Não encontrado")</f>
        <v/>
      </c>
      <c r="B8651" s="43" t="n">
        <v>-23.494925</v>
      </c>
      <c r="C8651" s="43" t="n">
        <v>-46.584265</v>
      </c>
      <c r="D8651" s="43" t="n">
        <v>193</v>
      </c>
      <c r="E8651" s="44" t="n">
        <v>6728.312</v>
      </c>
    </row>
    <row r="8652">
      <c r="A8652" s="39">
        <f>_xlfn.XLOOKUP(53601,Trip[shape_id],Trip[shape_id],"Não encontrado")</f>
        <v/>
      </c>
      <c r="B8652" s="40" t="n">
        <v>-23.494956</v>
      </c>
      <c r="C8652" s="40" t="n">
        <v>-46.584418</v>
      </c>
      <c r="D8652" s="40" t="n">
        <v>194</v>
      </c>
      <c r="E8652" s="41" t="n">
        <v>6744.313</v>
      </c>
    </row>
    <row r="8653">
      <c r="A8653" s="42">
        <f>_xlfn.XLOOKUP(53601,Trip[shape_id],Trip[shape_id],"Não encontrado")</f>
        <v/>
      </c>
      <c r="B8653" s="43" t="n">
        <v>-23.495018</v>
      </c>
      <c r="C8653" s="43" t="n">
        <v>-46.584497</v>
      </c>
      <c r="D8653" s="43" t="n">
        <v>195</v>
      </c>
      <c r="E8653" s="44" t="n">
        <v>6754.9087</v>
      </c>
    </row>
    <row r="8654">
      <c r="A8654" s="39">
        <f>_xlfn.XLOOKUP(53601,Trip[shape_id],Trip[shape_id],"Não encontrado")</f>
        <v/>
      </c>
      <c r="B8654" s="40" t="n">
        <v>-23.495093</v>
      </c>
      <c r="C8654" s="40" t="n">
        <v>-46.584693</v>
      </c>
      <c r="D8654" s="40" t="n">
        <v>196</v>
      </c>
      <c r="E8654" s="41" t="n">
        <v>6776.584</v>
      </c>
    </row>
    <row r="8655">
      <c r="A8655" s="42">
        <f>_xlfn.XLOOKUP(53601,Trip[shape_id],Trip[shape_id],"Não encontrado")</f>
        <v/>
      </c>
      <c r="B8655" s="43" t="n">
        <v>-23.495135</v>
      </c>
      <c r="C8655" s="43" t="n">
        <v>-46.584843</v>
      </c>
      <c r="D8655" s="43" t="n">
        <v>197</v>
      </c>
      <c r="E8655" s="44" t="n">
        <v>6792.5962</v>
      </c>
    </row>
    <row r="8656">
      <c r="A8656" s="39">
        <f>_xlfn.XLOOKUP(53601,Trip[shape_id],Trip[shape_id],"Não encontrado")</f>
        <v/>
      </c>
      <c r="B8656" s="40" t="n">
        <v>-23.495272</v>
      </c>
      <c r="C8656" s="40" t="n">
        <v>-46.58499</v>
      </c>
      <c r="D8656" s="40" t="n">
        <v>198</v>
      </c>
      <c r="E8656" s="41" t="n">
        <v>6813.9424</v>
      </c>
    </row>
    <row r="8657">
      <c r="A8657" s="42">
        <f>_xlfn.XLOOKUP(53601,Trip[shape_id],Trip[shape_id],"Não encontrado")</f>
        <v/>
      </c>
      <c r="B8657" s="43" t="n">
        <v>-23.49559</v>
      </c>
      <c r="C8657" s="43" t="n">
        <v>-46.585326</v>
      </c>
      <c r="D8657" s="43" t="n">
        <v>199</v>
      </c>
      <c r="E8657" s="44" t="n">
        <v>6863.1182</v>
      </c>
    </row>
    <row r="8658">
      <c r="A8658" s="39">
        <f>_xlfn.XLOOKUP(53601,Trip[shape_id],Trip[shape_id],"Não encontrado")</f>
        <v/>
      </c>
      <c r="B8658" s="40" t="n">
        <v>-23.496163</v>
      </c>
      <c r="C8658" s="40" t="n">
        <v>-46.585925</v>
      </c>
      <c r="D8658" s="40" t="n">
        <v>200</v>
      </c>
      <c r="E8658" s="41" t="n">
        <v>6951.27</v>
      </c>
    </row>
    <row r="8659">
      <c r="A8659" s="42">
        <f>_xlfn.XLOOKUP(53601,Trip[shape_id],Trip[shape_id],"Não encontrado")</f>
        <v/>
      </c>
      <c r="B8659" s="43" t="n">
        <v>-23.496566</v>
      </c>
      <c r="C8659" s="43" t="n">
        <v>-46.586347</v>
      </c>
      <c r="D8659" s="43" t="n">
        <v>201</v>
      </c>
      <c r="E8659" s="44" t="n">
        <v>7013.3188</v>
      </c>
    </row>
    <row r="8660">
      <c r="A8660" s="39">
        <f>_xlfn.XLOOKUP(53601,Trip[shape_id],Trip[shape_id],"Não encontrado")</f>
        <v/>
      </c>
      <c r="B8660" s="40" t="n">
        <v>-23.496709</v>
      </c>
      <c r="C8660" s="40" t="n">
        <v>-46.586497</v>
      </c>
      <c r="D8660" s="40" t="n">
        <v>202</v>
      </c>
      <c r="E8660" s="41" t="n">
        <v>7035.3545</v>
      </c>
    </row>
    <row r="8661">
      <c r="A8661" s="42">
        <f>_xlfn.XLOOKUP(53601,Trip[shape_id],Trip[shape_id],"Não encontrado")</f>
        <v/>
      </c>
      <c r="B8661" s="43" t="n">
        <v>-23.496951</v>
      </c>
      <c r="C8661" s="43" t="n">
        <v>-46.585823</v>
      </c>
      <c r="D8661" s="43" t="n">
        <v>203</v>
      </c>
      <c r="E8661" s="44" t="n">
        <v>7109.2324</v>
      </c>
    </row>
    <row r="8662">
      <c r="A8662" s="39">
        <f>_xlfn.XLOOKUP(53601,Trip[shape_id],Trip[shape_id],"Não encontrado")</f>
        <v/>
      </c>
      <c r="B8662" s="40" t="n">
        <v>-23.497277</v>
      </c>
      <c r="C8662" s="40" t="n">
        <v>-46.585945</v>
      </c>
      <c r="D8662" s="40" t="n">
        <v>204</v>
      </c>
      <c r="E8662" s="41" t="n">
        <v>7147.4272</v>
      </c>
    </row>
    <row r="8663">
      <c r="A8663" s="42">
        <f>_xlfn.XLOOKUP(53601,Trip[shape_id],Trip[shape_id],"Não encontrado")</f>
        <v/>
      </c>
      <c r="B8663" s="43" t="n">
        <v>-23.49743</v>
      </c>
      <c r="C8663" s="43" t="n">
        <v>-46.585998</v>
      </c>
      <c r="D8663" s="43" t="n">
        <v>205</v>
      </c>
      <c r="E8663" s="44" t="n">
        <v>7165.2158</v>
      </c>
    </row>
    <row r="8664">
      <c r="A8664" s="39">
        <f>_xlfn.XLOOKUP(53601,Trip[shape_id],Trip[shape_id],"Não encontrado")</f>
        <v/>
      </c>
      <c r="B8664" s="40" t="n">
        <v>-23.497651</v>
      </c>
      <c r="C8664" s="40" t="n">
        <v>-46.586049</v>
      </c>
      <c r="D8664" s="40" t="n">
        <v>206</v>
      </c>
      <c r="E8664" s="41" t="n">
        <v>7190.2402</v>
      </c>
    </row>
    <row r="8665">
      <c r="A8665" s="42">
        <f>_xlfn.XLOOKUP(53601,Trip[shape_id],Trip[shape_id],"Não encontrado")</f>
        <v/>
      </c>
      <c r="B8665" s="43" t="n">
        <v>-23.497735</v>
      </c>
      <c r="C8665" s="43" t="n">
        <v>-46.586112</v>
      </c>
      <c r="D8665" s="43" t="n">
        <v>207</v>
      </c>
      <c r="E8665" s="44" t="n">
        <v>7201.5522</v>
      </c>
    </row>
    <row r="8666">
      <c r="A8666" s="39">
        <f>_xlfn.XLOOKUP(53601,Trip[shape_id],Trip[shape_id],"Não encontrado")</f>
        <v/>
      </c>
      <c r="B8666" s="40" t="n">
        <v>-23.498009</v>
      </c>
      <c r="C8666" s="40" t="n">
        <v>-46.586306</v>
      </c>
      <c r="D8666" s="40" t="n">
        <v>208</v>
      </c>
      <c r="E8666" s="41" t="n">
        <v>7237.7949</v>
      </c>
    </row>
    <row r="8667">
      <c r="A8667" s="42">
        <f>_xlfn.XLOOKUP(53601,Trip[shape_id],Trip[shape_id],"Não encontrado")</f>
        <v/>
      </c>
      <c r="B8667" s="43" t="n">
        <v>-23.498238</v>
      </c>
      <c r="C8667" s="43" t="n">
        <v>-46.586545</v>
      </c>
      <c r="D8667" s="43" t="n">
        <v>209</v>
      </c>
      <c r="E8667" s="44" t="n">
        <v>7272.9971</v>
      </c>
    </row>
    <row r="8668">
      <c r="A8668" s="39">
        <f>_xlfn.XLOOKUP(53601,Trip[shape_id],Trip[shape_id],"Não encontrado")</f>
        <v/>
      </c>
      <c r="B8668" s="40" t="n">
        <v>-23.498647</v>
      </c>
      <c r="C8668" s="40" t="n">
        <v>-46.587154</v>
      </c>
      <c r="D8668" s="40" t="n">
        <v>210</v>
      </c>
      <c r="E8668" s="41" t="n">
        <v>7349.9468</v>
      </c>
    </row>
    <row r="8669">
      <c r="A8669" s="42">
        <f>_xlfn.XLOOKUP(53601,Trip[shape_id],Trip[shape_id],"Não encontrado")</f>
        <v/>
      </c>
      <c r="B8669" s="43" t="n">
        <v>-23.498777</v>
      </c>
      <c r="C8669" s="43" t="n">
        <v>-46.587343</v>
      </c>
      <c r="D8669" s="43" t="n">
        <v>211</v>
      </c>
      <c r="E8669" s="44" t="n">
        <v>7374.0293</v>
      </c>
    </row>
    <row r="8670">
      <c r="A8670" s="39">
        <f>_xlfn.XLOOKUP(53601,Trip[shape_id],Trip[shape_id],"Não encontrado")</f>
        <v/>
      </c>
      <c r="B8670" s="40" t="n">
        <v>-23.498894</v>
      </c>
      <c r="C8670" s="40" t="n">
        <v>-46.587452</v>
      </c>
      <c r="D8670" s="40" t="n">
        <v>212</v>
      </c>
      <c r="E8670" s="41" t="n">
        <v>7391.1133</v>
      </c>
    </row>
    <row r="8671">
      <c r="A8671" s="42">
        <f>_xlfn.XLOOKUP(53601,Trip[shape_id],Trip[shape_id],"Não encontrado")</f>
        <v/>
      </c>
      <c r="B8671" s="43" t="n">
        <v>-23.499105</v>
      </c>
      <c r="C8671" s="43" t="n">
        <v>-46.587629</v>
      </c>
      <c r="D8671" s="43" t="n">
        <v>213</v>
      </c>
      <c r="E8671" s="44" t="n">
        <v>7420.6587</v>
      </c>
    </row>
    <row r="8672">
      <c r="A8672" s="39">
        <f>_xlfn.XLOOKUP(53601,Trip[shape_id],Trip[shape_id],"Não encontrado")</f>
        <v/>
      </c>
      <c r="B8672" s="40" t="n">
        <v>-23.499275</v>
      </c>
      <c r="C8672" s="40" t="n">
        <v>-46.587753</v>
      </c>
      <c r="D8672" s="40" t="n">
        <v>214</v>
      </c>
      <c r="E8672" s="41" t="n">
        <v>7443.3501</v>
      </c>
    </row>
    <row r="8673">
      <c r="A8673" s="42">
        <f>_xlfn.XLOOKUP(53601,Trip[shape_id],Trip[shape_id],"Não encontrado")</f>
        <v/>
      </c>
      <c r="B8673" s="43" t="n">
        <v>-23.499484</v>
      </c>
      <c r="C8673" s="43" t="n">
        <v>-46.587902</v>
      </c>
      <c r="D8673" s="43" t="n">
        <v>215</v>
      </c>
      <c r="E8673" s="44" t="n">
        <v>7471.0522</v>
      </c>
    </row>
    <row r="8674">
      <c r="A8674" s="39">
        <f>_xlfn.XLOOKUP(53601,Trip[shape_id],Trip[shape_id],"Não encontrado")</f>
        <v/>
      </c>
      <c r="B8674" s="40" t="n">
        <v>-23.499636</v>
      </c>
      <c r="C8674" s="40" t="n">
        <v>-46.587994</v>
      </c>
      <c r="D8674" s="40" t="n">
        <v>216</v>
      </c>
      <c r="E8674" s="41" t="n">
        <v>7490.3315</v>
      </c>
    </row>
    <row r="8675">
      <c r="A8675" s="42">
        <f>_xlfn.XLOOKUP(53601,Trip[shape_id],Trip[shape_id],"Não encontrado")</f>
        <v/>
      </c>
      <c r="B8675" s="43" t="n">
        <v>-23.499807</v>
      </c>
      <c r="C8675" s="43" t="n">
        <v>-46.58812</v>
      </c>
      <c r="D8675" s="43" t="n">
        <v>217</v>
      </c>
      <c r="E8675" s="44" t="n">
        <v>7513.229</v>
      </c>
    </row>
    <row r="8676">
      <c r="A8676" s="39">
        <f>_xlfn.XLOOKUP(53601,Trip[shape_id],Trip[shape_id],"Não encontrado")</f>
        <v/>
      </c>
      <c r="B8676" s="40" t="n">
        <v>-23.499911</v>
      </c>
      <c r="C8676" s="40" t="n">
        <v>-46.588297</v>
      </c>
      <c r="D8676" s="40" t="n">
        <v>218</v>
      </c>
      <c r="E8676" s="41" t="n">
        <v>7534.665</v>
      </c>
    </row>
    <row r="8677">
      <c r="A8677" s="42">
        <f>_xlfn.XLOOKUP(53601,Trip[shape_id],Trip[shape_id],"Não encontrado")</f>
        <v/>
      </c>
      <c r="B8677" s="43" t="n">
        <v>-23.499982</v>
      </c>
      <c r="C8677" s="43" t="n">
        <v>-46.58844</v>
      </c>
      <c r="D8677" s="43" t="n">
        <v>219</v>
      </c>
      <c r="E8677" s="44" t="n">
        <v>7551.2534</v>
      </c>
    </row>
    <row r="8678">
      <c r="A8678" s="39">
        <f>_xlfn.XLOOKUP(53601,Trip[shape_id],Trip[shape_id],"Não encontrado")</f>
        <v/>
      </c>
      <c r="B8678" s="40" t="n">
        <v>-23.500024</v>
      </c>
      <c r="C8678" s="40" t="n">
        <v>-46.588569</v>
      </c>
      <c r="D8678" s="40" t="n">
        <v>220</v>
      </c>
      <c r="E8678" s="41" t="n">
        <v>7565.2261</v>
      </c>
    </row>
    <row r="8679">
      <c r="A8679" s="42">
        <f>_xlfn.XLOOKUP(53601,Trip[shape_id],Trip[shape_id],"Não encontrado")</f>
        <v/>
      </c>
      <c r="B8679" s="43" t="n">
        <v>-23.500143</v>
      </c>
      <c r="C8679" s="43" t="n">
        <v>-46.589029</v>
      </c>
      <c r="D8679" s="43" t="n">
        <v>221</v>
      </c>
      <c r="E8679" s="44" t="n">
        <v>7614.0244</v>
      </c>
    </row>
    <row r="8680">
      <c r="A8680" s="39">
        <f>_xlfn.XLOOKUP(53601,Trip[shape_id],Trip[shape_id],"Não encontrado")</f>
        <v/>
      </c>
      <c r="B8680" s="40" t="n">
        <v>-23.500203</v>
      </c>
      <c r="C8680" s="40" t="n">
        <v>-46.589194</v>
      </c>
      <c r="D8680" s="40" t="n">
        <v>222</v>
      </c>
      <c r="E8680" s="41" t="n">
        <v>7632.1401</v>
      </c>
    </row>
    <row r="8681">
      <c r="A8681" s="42">
        <f>_xlfn.XLOOKUP(53601,Trip[shape_id],Trip[shape_id],"Não encontrado")</f>
        <v/>
      </c>
      <c r="B8681" s="43" t="n">
        <v>-23.500261</v>
      </c>
      <c r="C8681" s="43" t="n">
        <v>-46.589294</v>
      </c>
      <c r="D8681" s="43" t="n">
        <v>223</v>
      </c>
      <c r="E8681" s="44" t="n">
        <v>7644.2065</v>
      </c>
    </row>
    <row r="8682">
      <c r="A8682" s="39">
        <f>_xlfn.XLOOKUP(53601,Trip[shape_id],Trip[shape_id],"Não encontrado")</f>
        <v/>
      </c>
      <c r="B8682" s="40" t="n">
        <v>-23.500321</v>
      </c>
      <c r="C8682" s="40" t="n">
        <v>-46.589375</v>
      </c>
      <c r="D8682" s="40" t="n">
        <v>224</v>
      </c>
      <c r="E8682" s="41" t="n">
        <v>7654.8184</v>
      </c>
    </row>
    <row r="8683">
      <c r="A8683" s="42">
        <f>_xlfn.XLOOKUP(53601,Trip[shape_id],Trip[shape_id],"Não encontrado")</f>
        <v/>
      </c>
      <c r="B8683" s="43" t="n">
        <v>-23.500434</v>
      </c>
      <c r="C8683" s="43" t="n">
        <v>-46.589501</v>
      </c>
      <c r="D8683" s="43" t="n">
        <v>225</v>
      </c>
      <c r="E8683" s="44" t="n">
        <v>7672.77</v>
      </c>
    </row>
    <row r="8684">
      <c r="A8684" s="39">
        <f>_xlfn.XLOOKUP(53601,Trip[shape_id],Trip[shape_id],"Não encontrado")</f>
        <v/>
      </c>
      <c r="B8684" s="40" t="n">
        <v>-23.500533</v>
      </c>
      <c r="C8684" s="40" t="n">
        <v>-46.589575</v>
      </c>
      <c r="D8684" s="40" t="n">
        <v>226</v>
      </c>
      <c r="E8684" s="41" t="n">
        <v>7686.0869</v>
      </c>
    </row>
    <row r="8685">
      <c r="A8685" s="42">
        <f>_xlfn.XLOOKUP(53601,Trip[shape_id],Trip[shape_id],"Não encontrado")</f>
        <v/>
      </c>
      <c r="B8685" s="43" t="n">
        <v>-23.500624</v>
      </c>
      <c r="C8685" s="43" t="n">
        <v>-46.589634</v>
      </c>
      <c r="D8685" s="43" t="n">
        <v>227</v>
      </c>
      <c r="E8685" s="44" t="n">
        <v>7697.8291</v>
      </c>
    </row>
    <row r="8686">
      <c r="A8686" s="39">
        <f>_xlfn.XLOOKUP(53601,Trip[shape_id],Trip[shape_id],"Não encontrado")</f>
        <v/>
      </c>
      <c r="B8686" s="40" t="n">
        <v>-23.500701</v>
      </c>
      <c r="C8686" s="40" t="n">
        <v>-46.589652</v>
      </c>
      <c r="D8686" s="40" t="n">
        <v>228</v>
      </c>
      <c r="E8686" s="41" t="n">
        <v>7706.5522</v>
      </c>
    </row>
    <row r="8687">
      <c r="A8687" s="42">
        <f>_xlfn.XLOOKUP(53601,Trip[shape_id],Trip[shape_id],"Não encontrado")</f>
        <v/>
      </c>
      <c r="B8687" s="43" t="n">
        <v>-23.500814</v>
      </c>
      <c r="C8687" s="43" t="n">
        <v>-46.589635</v>
      </c>
      <c r="D8687" s="43" t="n">
        <v>229</v>
      </c>
      <c r="E8687" s="44" t="n">
        <v>7719.1875</v>
      </c>
    </row>
    <row r="8688">
      <c r="A8688" s="39">
        <f>_xlfn.XLOOKUP(53601,Trip[shape_id],Trip[shape_id],"Não encontrado")</f>
        <v/>
      </c>
      <c r="B8688" s="40" t="n">
        <v>-23.50093</v>
      </c>
      <c r="C8688" s="40" t="n">
        <v>-46.589801</v>
      </c>
      <c r="D8688" s="40" t="n">
        <v>230</v>
      </c>
      <c r="E8688" s="41" t="n">
        <v>7740.4604</v>
      </c>
    </row>
    <row r="8689">
      <c r="A8689" s="42">
        <f>_xlfn.XLOOKUP(53601,Trip[shape_id],Trip[shape_id],"Não encontrado")</f>
        <v/>
      </c>
      <c r="B8689" s="43" t="n">
        <v>-23.500992</v>
      </c>
      <c r="C8689" s="43" t="n">
        <v>-46.589879</v>
      </c>
      <c r="D8689" s="43" t="n">
        <v>231</v>
      </c>
      <c r="E8689" s="44" t="n">
        <v>7750.978</v>
      </c>
    </row>
    <row r="8690">
      <c r="A8690" s="39">
        <f>_xlfn.XLOOKUP(53601,Trip[shape_id],Trip[shape_id],"Não encontrado")</f>
        <v/>
      </c>
      <c r="B8690" s="40" t="n">
        <v>-23.501068</v>
      </c>
      <c r="C8690" s="40" t="n">
        <v>-46.589983</v>
      </c>
      <c r="D8690" s="40" t="n">
        <v>232</v>
      </c>
      <c r="E8690" s="41" t="n">
        <v>7764.5313</v>
      </c>
    </row>
    <row r="8691">
      <c r="A8691" s="42">
        <f>_xlfn.XLOOKUP(53601,Trip[shape_id],Trip[shape_id],"Não encontrado")</f>
        <v/>
      </c>
      <c r="B8691" s="43" t="n">
        <v>-23.501111</v>
      </c>
      <c r="C8691" s="43" t="n">
        <v>-46.590037</v>
      </c>
      <c r="D8691" s="43" t="n">
        <v>233</v>
      </c>
      <c r="E8691" s="44" t="n">
        <v>7771.8179</v>
      </c>
    </row>
    <row r="8692">
      <c r="A8692" s="39">
        <f>_xlfn.XLOOKUP(53601,Trip[shape_id],Trip[shape_id],"Não encontrado")</f>
        <v/>
      </c>
      <c r="B8692" s="40" t="n">
        <v>-23.50119</v>
      </c>
      <c r="C8692" s="40" t="n">
        <v>-46.590134</v>
      </c>
      <c r="D8692" s="40" t="n">
        <v>234</v>
      </c>
      <c r="E8692" s="41" t="n">
        <v>7785.0356</v>
      </c>
    </row>
    <row r="8693">
      <c r="A8693" s="42">
        <f>_xlfn.XLOOKUP(53601,Trip[shape_id],Trip[shape_id],"Não encontrado")</f>
        <v/>
      </c>
      <c r="B8693" s="43" t="n">
        <v>-23.501322</v>
      </c>
      <c r="C8693" s="43" t="n">
        <v>-46.590261</v>
      </c>
      <c r="D8693" s="43" t="n">
        <v>235</v>
      </c>
      <c r="E8693" s="44" t="n">
        <v>7804.5801</v>
      </c>
    </row>
    <row r="8694">
      <c r="A8694" s="39">
        <f>_xlfn.XLOOKUP(53601,Trip[shape_id],Trip[shape_id],"Não encontrado")</f>
        <v/>
      </c>
      <c r="B8694" s="40" t="n">
        <v>-23.501453</v>
      </c>
      <c r="C8694" s="40" t="n">
        <v>-46.590355</v>
      </c>
      <c r="D8694" s="40" t="n">
        <v>236</v>
      </c>
      <c r="E8694" s="41" t="n">
        <v>7821.9775</v>
      </c>
    </row>
    <row r="8695">
      <c r="A8695" s="42">
        <f>_xlfn.XLOOKUP(53601,Trip[shape_id],Trip[shape_id],"Não encontrado")</f>
        <v/>
      </c>
      <c r="B8695" s="43" t="n">
        <v>-23.501595</v>
      </c>
      <c r="C8695" s="43" t="n">
        <v>-46.59042</v>
      </c>
      <c r="D8695" s="43" t="n">
        <v>237</v>
      </c>
      <c r="E8695" s="44" t="n">
        <v>7839.0483</v>
      </c>
    </row>
    <row r="8696">
      <c r="A8696" s="39">
        <f>_xlfn.XLOOKUP(53601,Trip[shape_id],Trip[shape_id],"Não encontrado")</f>
        <v/>
      </c>
      <c r="B8696" s="40" t="n">
        <v>-23.501767</v>
      </c>
      <c r="C8696" s="40" t="n">
        <v>-46.590499</v>
      </c>
      <c r="D8696" s="40" t="n">
        <v>238</v>
      </c>
      <c r="E8696" s="41" t="n">
        <v>7859.7358</v>
      </c>
    </row>
    <row r="8697">
      <c r="A8697" s="42">
        <f>_xlfn.XLOOKUP(53601,Trip[shape_id],Trip[shape_id],"Não encontrado")</f>
        <v/>
      </c>
      <c r="B8697" s="43" t="n">
        <v>-23.501936</v>
      </c>
      <c r="C8697" s="43" t="n">
        <v>-46.590576</v>
      </c>
      <c r="D8697" s="43" t="n">
        <v>239</v>
      </c>
      <c r="E8697" s="44" t="n">
        <v>7880.0381</v>
      </c>
    </row>
    <row r="8698">
      <c r="A8698" s="39">
        <f>_xlfn.XLOOKUP(53601,Trip[shape_id],Trip[shape_id],"Não encontrado")</f>
        <v/>
      </c>
      <c r="B8698" s="40" t="n">
        <v>-23.502126</v>
      </c>
      <c r="C8698" s="40" t="n">
        <v>-46.590685</v>
      </c>
      <c r="D8698" s="40" t="n">
        <v>240</v>
      </c>
      <c r="E8698" s="41" t="n">
        <v>7903.8447</v>
      </c>
    </row>
    <row r="8699">
      <c r="A8699" s="42">
        <f>_xlfn.XLOOKUP(53601,Trip[shape_id],Trip[shape_id],"Não encontrado")</f>
        <v/>
      </c>
      <c r="B8699" s="43" t="n">
        <v>-23.502377</v>
      </c>
      <c r="C8699" s="43" t="n">
        <v>-46.590844</v>
      </c>
      <c r="D8699" s="43" t="n">
        <v>241</v>
      </c>
      <c r="E8699" s="44" t="n">
        <v>7936.0396</v>
      </c>
    </row>
    <row r="8700">
      <c r="A8700" s="39">
        <f>_xlfn.XLOOKUP(53601,Trip[shape_id],Trip[shape_id],"Não encontrado")</f>
        <v/>
      </c>
      <c r="B8700" s="40" t="n">
        <v>-23.502482</v>
      </c>
      <c r="C8700" s="40" t="n">
        <v>-46.590903</v>
      </c>
      <c r="D8700" s="40" t="n">
        <v>242</v>
      </c>
      <c r="E8700" s="41" t="n">
        <v>7949.1372</v>
      </c>
    </row>
    <row r="8701">
      <c r="A8701" s="42">
        <f>_xlfn.XLOOKUP(53601,Trip[shape_id],Trip[shape_id],"Não encontrado")</f>
        <v/>
      </c>
      <c r="B8701" s="43" t="n">
        <v>-23.502786</v>
      </c>
      <c r="C8701" s="43" t="n">
        <v>-46.591153</v>
      </c>
      <c r="D8701" s="43" t="n">
        <v>243</v>
      </c>
      <c r="E8701" s="44" t="n">
        <v>7991.3936</v>
      </c>
    </row>
    <row r="8702">
      <c r="A8702" s="39">
        <f>_xlfn.XLOOKUP(53601,Trip[shape_id],Trip[shape_id],"Não encontrado")</f>
        <v/>
      </c>
      <c r="B8702" s="40" t="n">
        <v>-23.503028</v>
      </c>
      <c r="C8702" s="40" t="n">
        <v>-46.591386</v>
      </c>
      <c r="D8702" s="40" t="n">
        <v>244</v>
      </c>
      <c r="E8702" s="41" t="n">
        <v>8027.2363</v>
      </c>
    </row>
    <row r="8703">
      <c r="A8703" s="42">
        <f>_xlfn.XLOOKUP(53601,Trip[shape_id],Trip[shape_id],"Não encontrado")</f>
        <v/>
      </c>
      <c r="B8703" s="43" t="n">
        <v>-23.503203</v>
      </c>
      <c r="C8703" s="43" t="n">
        <v>-46.59155</v>
      </c>
      <c r="D8703" s="43" t="n">
        <v>245</v>
      </c>
      <c r="E8703" s="44" t="n">
        <v>8052.853</v>
      </c>
    </row>
    <row r="8704">
      <c r="A8704" s="39">
        <f>_xlfn.XLOOKUP(53601,Trip[shape_id],Trip[shape_id],"Não encontrado")</f>
        <v/>
      </c>
      <c r="B8704" s="40" t="n">
        <v>-23.503275</v>
      </c>
      <c r="C8704" s="40" t="n">
        <v>-46.591656</v>
      </c>
      <c r="D8704" s="40" t="n">
        <v>246</v>
      </c>
      <c r="E8704" s="41" t="n">
        <v>8066.2993</v>
      </c>
    </row>
    <row r="8705">
      <c r="A8705" s="42">
        <f>_xlfn.XLOOKUP(53601,Trip[shape_id],Trip[shape_id],"Não encontrado")</f>
        <v/>
      </c>
      <c r="B8705" s="43" t="n">
        <v>-23.503431</v>
      </c>
      <c r="C8705" s="43" t="n">
        <v>-46.59181</v>
      </c>
      <c r="D8705" s="43" t="n">
        <v>247</v>
      </c>
      <c r="E8705" s="44" t="n">
        <v>8089.6641</v>
      </c>
    </row>
    <row r="8706">
      <c r="A8706" s="39">
        <f>_xlfn.XLOOKUP(53601,Trip[shape_id],Trip[shape_id],"Não encontrado")</f>
        <v/>
      </c>
      <c r="B8706" s="40" t="n">
        <v>-23.50353</v>
      </c>
      <c r="C8706" s="40" t="n">
        <v>-46.591893</v>
      </c>
      <c r="D8706" s="40" t="n">
        <v>248</v>
      </c>
      <c r="E8706" s="41" t="n">
        <v>8103.5234</v>
      </c>
    </row>
    <row r="8707">
      <c r="A8707" s="42">
        <f>_xlfn.XLOOKUP(53601,Trip[shape_id],Trip[shape_id],"Não encontrado")</f>
        <v/>
      </c>
      <c r="B8707" s="43" t="n">
        <v>-23.503657</v>
      </c>
      <c r="C8707" s="43" t="n">
        <v>-46.591947</v>
      </c>
      <c r="D8707" s="43" t="n">
        <v>249</v>
      </c>
      <c r="E8707" s="44" t="n">
        <v>8118.6318</v>
      </c>
    </row>
    <row r="8708">
      <c r="A8708" s="39">
        <f>_xlfn.XLOOKUP(53601,Trip[shape_id],Trip[shape_id],"Não encontrado")</f>
        <v/>
      </c>
      <c r="B8708" s="40" t="n">
        <v>-23.503791</v>
      </c>
      <c r="C8708" s="40" t="n">
        <v>-46.591985</v>
      </c>
      <c r="D8708" s="40" t="n">
        <v>250</v>
      </c>
      <c r="E8708" s="41" t="n">
        <v>8133.9717</v>
      </c>
    </row>
    <row r="8709">
      <c r="A8709" s="42">
        <f>_xlfn.XLOOKUP(53601,Trip[shape_id],Trip[shape_id],"Não encontrado")</f>
        <v/>
      </c>
      <c r="B8709" s="43" t="n">
        <v>-23.503863</v>
      </c>
      <c r="C8709" s="43" t="n">
        <v>-46.592013</v>
      </c>
      <c r="D8709" s="43" t="n">
        <v>251</v>
      </c>
      <c r="E8709" s="44" t="n">
        <v>8142.4429</v>
      </c>
    </row>
    <row r="8710">
      <c r="A8710" s="39">
        <f>_xlfn.XLOOKUP(53601,Trip[shape_id],Trip[shape_id],"Não encontrado")</f>
        <v/>
      </c>
      <c r="B8710" s="40" t="n">
        <v>-23.503963</v>
      </c>
      <c r="C8710" s="40" t="n">
        <v>-46.592028</v>
      </c>
      <c r="D8710" s="40" t="n">
        <v>252</v>
      </c>
      <c r="E8710" s="41" t="n">
        <v>8153.6235</v>
      </c>
    </row>
    <row r="8711">
      <c r="A8711" s="42">
        <f>_xlfn.XLOOKUP(53601,Trip[shape_id],Trip[shape_id],"Não encontrado")</f>
        <v/>
      </c>
      <c r="B8711" s="43" t="n">
        <v>-23.504075</v>
      </c>
      <c r="C8711" s="43" t="n">
        <v>-46.59203</v>
      </c>
      <c r="D8711" s="43" t="n">
        <v>253</v>
      </c>
      <c r="E8711" s="44" t="n">
        <v>8166.0293</v>
      </c>
    </row>
    <row r="8712">
      <c r="A8712" s="39">
        <f>_xlfn.XLOOKUP(53601,Trip[shape_id],Trip[shape_id],"Não encontrado")</f>
        <v/>
      </c>
      <c r="B8712" s="40" t="n">
        <v>-23.504177</v>
      </c>
      <c r="C8712" s="40" t="n">
        <v>-46.592022</v>
      </c>
      <c r="D8712" s="40" t="n">
        <v>254</v>
      </c>
      <c r="E8712" s="41" t="n">
        <v>8177.3555</v>
      </c>
    </row>
    <row r="8713">
      <c r="A8713" s="42">
        <f>_xlfn.XLOOKUP(53601,Trip[shape_id],Trip[shape_id],"Não encontrado")</f>
        <v/>
      </c>
      <c r="B8713" s="43" t="n">
        <v>-23.504271</v>
      </c>
      <c r="C8713" s="43" t="n">
        <v>-46.591983</v>
      </c>
      <c r="D8713" s="43" t="n">
        <v>255</v>
      </c>
      <c r="E8713" s="44" t="n">
        <v>8188.5024</v>
      </c>
    </row>
    <row r="8714">
      <c r="A8714" s="39">
        <f>_xlfn.XLOOKUP(53601,Trip[shape_id],Trip[shape_id],"Não encontrado")</f>
        <v/>
      </c>
      <c r="B8714" s="40" t="n">
        <v>-23.504654</v>
      </c>
      <c r="C8714" s="40" t="n">
        <v>-46.591767</v>
      </c>
      <c r="D8714" s="40" t="n">
        <v>256</v>
      </c>
      <c r="E8714" s="41" t="n">
        <v>8236.3145</v>
      </c>
    </row>
    <row r="8715">
      <c r="A8715" s="42">
        <f>_xlfn.XLOOKUP(53601,Trip[shape_id],Trip[shape_id],"Não encontrado")</f>
        <v/>
      </c>
      <c r="B8715" s="43" t="n">
        <v>-23.504897</v>
      </c>
      <c r="C8715" s="43" t="n">
        <v>-46.591619</v>
      </c>
      <c r="D8715" s="43" t="n">
        <v>257</v>
      </c>
      <c r="E8715" s="44" t="n">
        <v>8267.1816</v>
      </c>
    </row>
    <row r="8716">
      <c r="A8716" s="39">
        <f>_xlfn.XLOOKUP(53601,Trip[shape_id],Trip[shape_id],"Não encontrado")</f>
        <v/>
      </c>
      <c r="B8716" s="40" t="n">
        <v>-23.505151</v>
      </c>
      <c r="C8716" s="40" t="n">
        <v>-46.591489</v>
      </c>
      <c r="D8716" s="40" t="n">
        <v>258</v>
      </c>
      <c r="E8716" s="41" t="n">
        <v>8298.2881</v>
      </c>
    </row>
    <row r="8717">
      <c r="A8717" s="42">
        <f>_xlfn.XLOOKUP(53601,Trip[shape_id],Trip[shape_id],"Não encontrado")</f>
        <v/>
      </c>
      <c r="B8717" s="43" t="n">
        <v>-23.505487</v>
      </c>
      <c r="C8717" s="43" t="n">
        <v>-46.591296</v>
      </c>
      <c r="D8717" s="43" t="n">
        <v>259</v>
      </c>
      <c r="E8717" s="44" t="n">
        <v>8340.3994</v>
      </c>
    </row>
    <row r="8718">
      <c r="A8718" s="39">
        <f>_xlfn.XLOOKUP(53601,Trip[shape_id],Trip[shape_id],"Não encontrado")</f>
        <v/>
      </c>
      <c r="B8718" s="40" t="n">
        <v>-23.50556</v>
      </c>
      <c r="C8718" s="40" t="n">
        <v>-46.591245</v>
      </c>
      <c r="D8718" s="40" t="n">
        <v>260</v>
      </c>
      <c r="E8718" s="41" t="n">
        <v>8350.017599999999</v>
      </c>
    </row>
    <row r="8719">
      <c r="A8719" s="42">
        <f>_xlfn.XLOOKUP(53601,Trip[shape_id],Trip[shape_id],"Não encontrado")</f>
        <v/>
      </c>
      <c r="B8719" s="43" t="n">
        <v>-23.505786</v>
      </c>
      <c r="C8719" s="43" t="n">
        <v>-46.591079</v>
      </c>
      <c r="D8719" s="43" t="n">
        <v>261</v>
      </c>
      <c r="E8719" s="44" t="n">
        <v>8380.249</v>
      </c>
    </row>
    <row r="8720">
      <c r="A8720" s="39">
        <f>_xlfn.XLOOKUP(53601,Trip[shape_id],Trip[shape_id],"Não encontrado")</f>
        <v/>
      </c>
      <c r="B8720" s="40" t="n">
        <v>-23.505861</v>
      </c>
      <c r="C8720" s="40" t="n">
        <v>-46.591025</v>
      </c>
      <c r="D8720" s="40" t="n">
        <v>262</v>
      </c>
      <c r="E8720" s="41" t="n">
        <v>8390.2197</v>
      </c>
    </row>
    <row r="8721">
      <c r="A8721" s="42">
        <f>_xlfn.XLOOKUP(53601,Trip[shape_id],Trip[shape_id],"Não encontrado")</f>
        <v/>
      </c>
      <c r="B8721" s="43" t="n">
        <v>-23.506099</v>
      </c>
      <c r="C8721" s="43" t="n">
        <v>-46.590813</v>
      </c>
      <c r="D8721" s="43" t="n">
        <v>263</v>
      </c>
      <c r="E8721" s="44" t="n">
        <v>8424.332</v>
      </c>
    </row>
    <row r="8722">
      <c r="A8722" s="39">
        <f>_xlfn.XLOOKUP(53601,Trip[shape_id],Trip[shape_id],"Não encontrado")</f>
        <v/>
      </c>
      <c r="B8722" s="40" t="n">
        <v>-23.506224</v>
      </c>
      <c r="C8722" s="40" t="n">
        <v>-46.590627</v>
      </c>
      <c r="D8722" s="40" t="n">
        <v>264</v>
      </c>
      <c r="E8722" s="41" t="n">
        <v>8447.838900000001</v>
      </c>
    </row>
    <row r="8723">
      <c r="A8723" s="42">
        <f>_xlfn.XLOOKUP(53601,Trip[shape_id],Trip[shape_id],"Não encontrado")</f>
        <v/>
      </c>
      <c r="B8723" s="43" t="n">
        <v>-23.506349</v>
      </c>
      <c r="C8723" s="43" t="n">
        <v>-46.590434</v>
      </c>
      <c r="D8723" s="43" t="n">
        <v>265</v>
      </c>
      <c r="E8723" s="44" t="n">
        <v>8471.926799999999</v>
      </c>
    </row>
    <row r="8724">
      <c r="A8724" s="39">
        <f>_xlfn.XLOOKUP(53601,Trip[shape_id],Trip[shape_id],"Não encontrado")</f>
        <v/>
      </c>
      <c r="B8724" s="40" t="n">
        <v>-23.506508</v>
      </c>
      <c r="C8724" s="40" t="n">
        <v>-46.590165</v>
      </c>
      <c r="D8724" s="40" t="n">
        <v>266</v>
      </c>
      <c r="E8724" s="41" t="n">
        <v>8504.5605</v>
      </c>
    </row>
    <row r="8725">
      <c r="A8725" s="42">
        <f>_xlfn.XLOOKUP(53601,Trip[shape_id],Trip[shape_id],"Não encontrado")</f>
        <v/>
      </c>
      <c r="B8725" s="43" t="n">
        <v>-23.506686</v>
      </c>
      <c r="C8725" s="43" t="n">
        <v>-46.589606</v>
      </c>
      <c r="D8725" s="43" t="n">
        <v>267</v>
      </c>
      <c r="E8725" s="44" t="n">
        <v>8564.9619</v>
      </c>
    </row>
    <row r="8726">
      <c r="A8726" s="39">
        <f>_xlfn.XLOOKUP(53601,Trip[shape_id],Trip[shape_id],"Não encontrado")</f>
        <v/>
      </c>
      <c r="B8726" s="40" t="n">
        <v>-23.506783</v>
      </c>
      <c r="C8726" s="40" t="n">
        <v>-46.589563</v>
      </c>
      <c r="D8726" s="40" t="n">
        <v>268</v>
      </c>
      <c r="E8726" s="41" t="n">
        <v>8576.5674</v>
      </c>
    </row>
    <row r="8727">
      <c r="A8727" s="42">
        <f>_xlfn.XLOOKUP(53601,Trip[shape_id],Trip[shape_id],"Não encontrado")</f>
        <v/>
      </c>
      <c r="B8727" s="43" t="n">
        <v>-23.506858</v>
      </c>
      <c r="C8727" s="43" t="n">
        <v>-46.589528</v>
      </c>
      <c r="D8727" s="43" t="n">
        <v>269</v>
      </c>
      <c r="E8727" s="44" t="n">
        <v>8585.6104</v>
      </c>
    </row>
    <row r="8728">
      <c r="A8728" s="39">
        <f>_xlfn.XLOOKUP(53601,Trip[shape_id],Trip[shape_id],"Não encontrado")</f>
        <v/>
      </c>
      <c r="B8728" s="40" t="n">
        <v>-23.50689</v>
      </c>
      <c r="C8728" s="40" t="n">
        <v>-46.589471</v>
      </c>
      <c r="D8728" s="40" t="n">
        <v>270</v>
      </c>
      <c r="E8728" s="41" t="n">
        <v>8592.425800000001</v>
      </c>
    </row>
    <row r="8729">
      <c r="A8729" s="42">
        <f>_xlfn.XLOOKUP(53601,Trip[shape_id],Trip[shape_id],"Não encontrado")</f>
        <v/>
      </c>
      <c r="B8729" s="43" t="n">
        <v>-23.506947</v>
      </c>
      <c r="C8729" s="43" t="n">
        <v>-46.5894</v>
      </c>
      <c r="D8729" s="43" t="n">
        <v>271</v>
      </c>
      <c r="E8729" s="44" t="n">
        <v>8602.040000000001</v>
      </c>
    </row>
    <row r="8730">
      <c r="A8730" s="39">
        <f>_xlfn.XLOOKUP(53601,Trip[shape_id],Trip[shape_id],"Não encontrado")</f>
        <v/>
      </c>
      <c r="B8730" s="40" t="n">
        <v>-23.507053</v>
      </c>
      <c r="C8730" s="40" t="n">
        <v>-46.589309</v>
      </c>
      <c r="D8730" s="40" t="n">
        <v>272</v>
      </c>
      <c r="E8730" s="41" t="n">
        <v>8617.0137</v>
      </c>
    </row>
    <row r="8731">
      <c r="A8731" s="42">
        <f>_xlfn.XLOOKUP(53601,Trip[shape_id],Trip[shape_id],"Não encontrado")</f>
        <v/>
      </c>
      <c r="B8731" s="43" t="n">
        <v>-23.507343</v>
      </c>
      <c r="C8731" s="43" t="n">
        <v>-46.589217</v>
      </c>
      <c r="D8731" s="43" t="n">
        <v>273</v>
      </c>
      <c r="E8731" s="44" t="n">
        <v>8650.477500000001</v>
      </c>
    </row>
    <row r="8732">
      <c r="A8732" s="39">
        <f>_xlfn.XLOOKUP(53601,Trip[shape_id],Trip[shape_id],"Não encontrado")</f>
        <v/>
      </c>
      <c r="B8732" s="40" t="n">
        <v>-23.507679</v>
      </c>
      <c r="C8732" s="40" t="n">
        <v>-46.589145</v>
      </c>
      <c r="D8732" s="40" t="n">
        <v>274</v>
      </c>
      <c r="E8732" s="41" t="n">
        <v>8688.4092</v>
      </c>
    </row>
    <row r="8733">
      <c r="A8733" s="42">
        <f>_xlfn.XLOOKUP(53601,Trip[shape_id],Trip[shape_id],"Não encontrado")</f>
        <v/>
      </c>
      <c r="B8733" s="43" t="n">
        <v>-23.5079</v>
      </c>
      <c r="C8733" s="43" t="n">
        <v>-46.58909</v>
      </c>
      <c r="D8733" s="43" t="n">
        <v>275</v>
      </c>
      <c r="E8733" s="44" t="n">
        <v>8713.521500000001</v>
      </c>
    </row>
    <row r="8734">
      <c r="A8734" s="39">
        <f>_xlfn.XLOOKUP(53601,Trip[shape_id],Trip[shape_id],"Não encontrado")</f>
        <v/>
      </c>
      <c r="B8734" s="40" t="n">
        <v>-23.507986</v>
      </c>
      <c r="C8734" s="40" t="n">
        <v>-46.589065</v>
      </c>
      <c r="D8734" s="40" t="n">
        <v>276</v>
      </c>
      <c r="E8734" s="41" t="n">
        <v>8723.382799999999</v>
      </c>
    </row>
    <row r="8735">
      <c r="A8735" s="42">
        <f>_xlfn.XLOOKUP(53601,Trip[shape_id],Trip[shape_id],"Não encontrado")</f>
        <v/>
      </c>
      <c r="B8735" s="43" t="n">
        <v>-23.508084</v>
      </c>
      <c r="C8735" s="43" t="n">
        <v>-46.589023</v>
      </c>
      <c r="D8735" s="43" t="n">
        <v>277</v>
      </c>
      <c r="E8735" s="44" t="n">
        <v>8735.0537</v>
      </c>
    </row>
    <row r="8736">
      <c r="A8736" s="39">
        <f>_xlfn.XLOOKUP(53601,Trip[shape_id],Trip[shape_id],"Não encontrado")</f>
        <v/>
      </c>
      <c r="B8736" s="40" t="n">
        <v>-23.508163</v>
      </c>
      <c r="C8736" s="40" t="n">
        <v>-46.588995</v>
      </c>
      <c r="D8736" s="40" t="n">
        <v>278</v>
      </c>
      <c r="E8736" s="41" t="n">
        <v>8744.2588</v>
      </c>
    </row>
    <row r="8737">
      <c r="A8737" s="42">
        <f>_xlfn.XLOOKUP(53601,Trip[shape_id],Trip[shape_id],"Não encontrado")</f>
        <v/>
      </c>
      <c r="B8737" s="43" t="n">
        <v>-23.508289</v>
      </c>
      <c r="C8737" s="43" t="n">
        <v>-46.588868</v>
      </c>
      <c r="D8737" s="43" t="n">
        <v>279</v>
      </c>
      <c r="E8737" s="44" t="n">
        <v>8763.3105</v>
      </c>
    </row>
    <row r="8738">
      <c r="A8738" s="39">
        <f>_xlfn.XLOOKUP(53601,Trip[shape_id],Trip[shape_id],"Não encontrado")</f>
        <v/>
      </c>
      <c r="B8738" s="40" t="n">
        <v>-23.508391</v>
      </c>
      <c r="C8738" s="40" t="n">
        <v>-46.588748</v>
      </c>
      <c r="D8738" s="40" t="n">
        <v>280</v>
      </c>
      <c r="E8738" s="41" t="n">
        <v>8779.978499999999</v>
      </c>
    </row>
    <row r="8739">
      <c r="A8739" s="42">
        <f>_xlfn.XLOOKUP(53601,Trip[shape_id],Trip[shape_id],"Não encontrado")</f>
        <v/>
      </c>
      <c r="B8739" s="43" t="n">
        <v>-23.508457</v>
      </c>
      <c r="C8739" s="43" t="n">
        <v>-46.58866</v>
      </c>
      <c r="D8739" s="43" t="n">
        <v>281</v>
      </c>
      <c r="E8739" s="44" t="n">
        <v>8791.5635</v>
      </c>
    </row>
    <row r="8740">
      <c r="A8740" s="39">
        <f>_xlfn.XLOOKUP(53601,Trip[shape_id],Trip[shape_id],"Não encontrado")</f>
        <v/>
      </c>
      <c r="B8740" s="40" t="n">
        <v>-23.508496</v>
      </c>
      <c r="C8740" s="40" t="n">
        <v>-46.588599</v>
      </c>
      <c r="D8740" s="40" t="n">
        <v>282</v>
      </c>
      <c r="E8740" s="41" t="n">
        <v>8799.1445</v>
      </c>
    </row>
    <row r="8741">
      <c r="A8741" s="42">
        <f>_xlfn.XLOOKUP(53601,Trip[shape_id],Trip[shape_id],"Não encontrado")</f>
        <v/>
      </c>
      <c r="B8741" s="43" t="n">
        <v>-23.508528</v>
      </c>
      <c r="C8741" s="43" t="n">
        <v>-46.588501</v>
      </c>
      <c r="D8741" s="43" t="n">
        <v>283</v>
      </c>
      <c r="E8741" s="44" t="n">
        <v>8809.762699999999</v>
      </c>
    </row>
    <row r="8742">
      <c r="A8742" s="39">
        <f>_xlfn.XLOOKUP(53601,Trip[shape_id],Trip[shape_id],"Não encontrado")</f>
        <v/>
      </c>
      <c r="B8742" s="40" t="n">
        <v>-23.508517</v>
      </c>
      <c r="C8742" s="40" t="n">
        <v>-46.588008</v>
      </c>
      <c r="D8742" s="40" t="n">
        <v>284</v>
      </c>
      <c r="E8742" s="41" t="n">
        <v>8860.1299</v>
      </c>
    </row>
    <row r="8743">
      <c r="A8743" s="42">
        <f>_xlfn.XLOOKUP(53601,Trip[shape_id],Trip[shape_id],"Não encontrado")</f>
        <v/>
      </c>
      <c r="B8743" s="43" t="n">
        <v>-23.508514</v>
      </c>
      <c r="C8743" s="43" t="n">
        <v>-46.587754</v>
      </c>
      <c r="D8743" s="43" t="n">
        <v>285</v>
      </c>
      <c r="E8743" s="44" t="n">
        <v>8886.074199999999</v>
      </c>
    </row>
    <row r="8744">
      <c r="A8744" s="39">
        <f>_xlfn.XLOOKUP(53601,Trip[shape_id],Trip[shape_id],"Não encontrado")</f>
        <v/>
      </c>
      <c r="B8744" s="40" t="n">
        <v>-23.508523</v>
      </c>
      <c r="C8744" s="40" t="n">
        <v>-46.587693</v>
      </c>
      <c r="D8744" s="40" t="n">
        <v>286</v>
      </c>
      <c r="E8744" s="41" t="n">
        <v>8892.3838</v>
      </c>
    </row>
    <row r="8745">
      <c r="A8745" s="42">
        <f>_xlfn.XLOOKUP(53601,Trip[shape_id],Trip[shape_id],"Não encontrado")</f>
        <v/>
      </c>
      <c r="B8745" s="43" t="n">
        <v>-23.508543</v>
      </c>
      <c r="C8745" s="43" t="n">
        <v>-46.587613</v>
      </c>
      <c r="D8745" s="43" t="n">
        <v>287</v>
      </c>
      <c r="E8745" s="44" t="n">
        <v>8900.8496</v>
      </c>
    </row>
    <row r="8746">
      <c r="A8746" s="39">
        <f>_xlfn.XLOOKUP(53601,Trip[shape_id],Trip[shape_id],"Não encontrado")</f>
        <v/>
      </c>
      <c r="B8746" s="40" t="n">
        <v>-23.50857</v>
      </c>
      <c r="C8746" s="40" t="n">
        <v>-46.58757</v>
      </c>
      <c r="D8746" s="40" t="n">
        <v>288</v>
      </c>
      <c r="E8746" s="41" t="n">
        <v>8906.1621</v>
      </c>
    </row>
    <row r="8747">
      <c r="A8747" s="42">
        <f>_xlfn.XLOOKUP(53601,Trip[shape_id],Trip[shape_id],"Não encontrado")</f>
        <v/>
      </c>
      <c r="B8747" s="43" t="n">
        <v>-23.508592</v>
      </c>
      <c r="C8747" s="43" t="n">
        <v>-46.587531</v>
      </c>
      <c r="D8747" s="43" t="n">
        <v>289</v>
      </c>
      <c r="E8747" s="44" t="n">
        <v>8910.832</v>
      </c>
    </row>
    <row r="8748">
      <c r="A8748" s="39">
        <f>_xlfn.XLOOKUP(53601,Trip[shape_id],Trip[shape_id],"Não encontrado")</f>
        <v/>
      </c>
      <c r="B8748" s="40" t="n">
        <v>-23.508631</v>
      </c>
      <c r="C8748" s="40" t="n">
        <v>-46.587496</v>
      </c>
      <c r="D8748" s="40" t="n">
        <v>290</v>
      </c>
      <c r="E8748" s="41" t="n">
        <v>8916.4385</v>
      </c>
    </row>
    <row r="8749">
      <c r="A8749" s="42">
        <f>_xlfn.XLOOKUP(53601,Trip[shape_id],Trip[shape_id],"Não encontrado")</f>
        <v/>
      </c>
      <c r="B8749" s="43" t="n">
        <v>-23.508715</v>
      </c>
      <c r="C8749" s="43" t="n">
        <v>-46.587431</v>
      </c>
      <c r="D8749" s="43" t="n">
        <v>291</v>
      </c>
      <c r="E8749" s="44" t="n">
        <v>8927.867200000001</v>
      </c>
    </row>
    <row r="8750">
      <c r="A8750" s="39">
        <f>_xlfn.XLOOKUP(53601,Trip[shape_id],Trip[shape_id],"Não encontrado")</f>
        <v/>
      </c>
      <c r="B8750" s="40" t="n">
        <v>-23.508832</v>
      </c>
      <c r="C8750" s="40" t="n">
        <v>-46.587397</v>
      </c>
      <c r="D8750" s="40" t="n">
        <v>292</v>
      </c>
      <c r="E8750" s="41" t="n">
        <v>8941.2822</v>
      </c>
    </row>
    <row r="8751">
      <c r="A8751" s="42">
        <f>_xlfn.XLOOKUP(53601,Trip[shape_id],Trip[shape_id],"Não encontrado")</f>
        <v/>
      </c>
      <c r="B8751" s="43" t="n">
        <v>-23.508973</v>
      </c>
      <c r="C8751" s="43" t="n">
        <v>-46.58742</v>
      </c>
      <c r="D8751" s="43" t="n">
        <v>293</v>
      </c>
      <c r="E8751" s="44" t="n">
        <v>8957.074199999999</v>
      </c>
    </row>
    <row r="8752">
      <c r="A8752" s="39">
        <f>_xlfn.XLOOKUP(53601,Trip[shape_id],Trip[shape_id],"Não encontrado")</f>
        <v/>
      </c>
      <c r="B8752" s="40" t="n">
        <v>-23.509405</v>
      </c>
      <c r="C8752" s="40" t="n">
        <v>-46.58757</v>
      </c>
      <c r="D8752" s="40" t="n">
        <v>294</v>
      </c>
      <c r="E8752" s="41" t="n">
        <v>9007.3115</v>
      </c>
    </row>
    <row r="8753">
      <c r="A8753" s="42">
        <f>_xlfn.XLOOKUP(53601,Trip[shape_id],Trip[shape_id],"Não encontrado")</f>
        <v/>
      </c>
      <c r="B8753" s="43" t="n">
        <v>-23.50959</v>
      </c>
      <c r="C8753" s="43" t="n">
        <v>-46.587631</v>
      </c>
      <c r="D8753" s="43" t="n">
        <v>295</v>
      </c>
      <c r="E8753" s="44" t="n">
        <v>9028.7266</v>
      </c>
    </row>
    <row r="8754">
      <c r="A8754" s="39">
        <f>_xlfn.XLOOKUP(53601,Trip[shape_id],Trip[shape_id],"Não encontrado")</f>
        <v/>
      </c>
      <c r="B8754" s="40" t="n">
        <v>-23.509668</v>
      </c>
      <c r="C8754" s="40" t="n">
        <v>-46.587662</v>
      </c>
      <c r="D8754" s="40" t="n">
        <v>296</v>
      </c>
      <c r="E8754" s="41" t="n">
        <v>9037.926799999999</v>
      </c>
    </row>
    <row r="8755">
      <c r="A8755" s="42">
        <f>_xlfn.XLOOKUP(53601,Trip[shape_id],Trip[shape_id],"Não encontrado")</f>
        <v/>
      </c>
      <c r="B8755" s="43" t="n">
        <v>-23.509777</v>
      </c>
      <c r="C8755" s="43" t="n">
        <v>-46.587664</v>
      </c>
      <c r="D8755" s="43" t="n">
        <v>297</v>
      </c>
      <c r="E8755" s="44" t="n">
        <v>9050.001</v>
      </c>
    </row>
    <row r="8756">
      <c r="A8756" s="39">
        <f>_xlfn.XLOOKUP(53601,Trip[shape_id],Trip[shape_id],"Não encontrado")</f>
        <v/>
      </c>
      <c r="B8756" s="40" t="n">
        <v>-23.509966</v>
      </c>
      <c r="C8756" s="40" t="n">
        <v>-46.587624</v>
      </c>
      <c r="D8756" s="40" t="n">
        <v>298</v>
      </c>
      <c r="E8756" s="41" t="n">
        <v>9071.328100000001</v>
      </c>
    </row>
    <row r="8757">
      <c r="A8757" s="42">
        <f>_xlfn.XLOOKUP(53601,Trip[shape_id],Trip[shape_id],"Não encontrado")</f>
        <v/>
      </c>
      <c r="B8757" s="43" t="n">
        <v>-23.510079</v>
      </c>
      <c r="C8757" s="43" t="n">
        <v>-46.58752</v>
      </c>
      <c r="D8757" s="43" t="n">
        <v>299</v>
      </c>
      <c r="E8757" s="44" t="n">
        <v>9087.743200000001</v>
      </c>
    </row>
    <row r="8758">
      <c r="A8758" s="39">
        <f>_xlfn.XLOOKUP(53601,Trip[shape_id],Trip[shape_id],"Não encontrado")</f>
        <v/>
      </c>
      <c r="B8758" s="40" t="n">
        <v>-23.510103</v>
      </c>
      <c r="C8758" s="40" t="n">
        <v>-46.587492</v>
      </c>
      <c r="D8758" s="40" t="n">
        <v>300</v>
      </c>
      <c r="E8758" s="41" t="n">
        <v>9091.647499999999</v>
      </c>
    </row>
    <row r="8759">
      <c r="A8759" s="42">
        <f>_xlfn.XLOOKUP(53601,Trip[shape_id],Trip[shape_id],"Não encontrado")</f>
        <v/>
      </c>
      <c r="B8759" s="43" t="n">
        <v>-23.510143</v>
      </c>
      <c r="C8759" s="43" t="n">
        <v>-46.587433</v>
      </c>
      <c r="D8759" s="43" t="n">
        <v>301</v>
      </c>
      <c r="E8759" s="44" t="n">
        <v>9099.126</v>
      </c>
    </row>
    <row r="8760">
      <c r="A8760" s="39">
        <f>_xlfn.XLOOKUP(53601,Trip[shape_id],Trip[shape_id],"Não encontrado")</f>
        <v/>
      </c>
      <c r="B8760" s="40" t="n">
        <v>-23.510316</v>
      </c>
      <c r="C8760" s="40" t="n">
        <v>-46.587172</v>
      </c>
      <c r="D8760" s="40" t="n">
        <v>302</v>
      </c>
      <c r="E8760" s="41" t="n">
        <v>9131.954100000001</v>
      </c>
    </row>
    <row r="8761">
      <c r="A8761" s="42">
        <f>_xlfn.XLOOKUP(53601,Trip[shape_id],Trip[shape_id],"Não encontrado")</f>
        <v/>
      </c>
      <c r="B8761" s="43" t="n">
        <v>-23.510409</v>
      </c>
      <c r="C8761" s="43" t="n">
        <v>-46.587061</v>
      </c>
      <c r="D8761" s="43" t="n">
        <v>303</v>
      </c>
      <c r="E8761" s="44" t="n">
        <v>9147.271500000001</v>
      </c>
    </row>
    <row r="8762">
      <c r="A8762" s="39">
        <f>_xlfn.XLOOKUP(53601,Trip[shape_id],Trip[shape_id],"Não encontrado")</f>
        <v/>
      </c>
      <c r="B8762" s="40" t="n">
        <v>-23.510765</v>
      </c>
      <c r="C8762" s="40" t="n">
        <v>-46.586895</v>
      </c>
      <c r="D8762" s="40" t="n">
        <v>304</v>
      </c>
      <c r="E8762" s="41" t="n">
        <v>9190.1895</v>
      </c>
    </row>
    <row r="8763">
      <c r="A8763" s="42">
        <f>_xlfn.XLOOKUP(53601,Trip[shape_id],Trip[shape_id],"Não encontrado")</f>
        <v/>
      </c>
      <c r="B8763" s="43" t="n">
        <v>-23.511106</v>
      </c>
      <c r="C8763" s="43" t="n">
        <v>-46.586784</v>
      </c>
      <c r="D8763" s="43" t="n">
        <v>305</v>
      </c>
      <c r="E8763" s="44" t="n">
        <v>9229.6201</v>
      </c>
    </row>
    <row r="8764">
      <c r="A8764" s="39">
        <f>_xlfn.XLOOKUP(53601,Trip[shape_id],Trip[shape_id],"Não encontrado")</f>
        <v/>
      </c>
      <c r="B8764" s="40" t="n">
        <v>-23.511332</v>
      </c>
      <c r="C8764" s="40" t="n">
        <v>-46.586647</v>
      </c>
      <c r="D8764" s="40" t="n">
        <v>306</v>
      </c>
      <c r="E8764" s="41" t="n">
        <v>9258.295899999999</v>
      </c>
    </row>
    <row r="8765">
      <c r="A8765" s="42">
        <f>_xlfn.XLOOKUP(53601,Trip[shape_id],Trip[shape_id],"Não encontrado")</f>
        <v/>
      </c>
      <c r="B8765" s="43" t="n">
        <v>-23.511514</v>
      </c>
      <c r="C8765" s="43" t="n">
        <v>-46.586456</v>
      </c>
      <c r="D8765" s="43" t="n">
        <v>307</v>
      </c>
      <c r="E8765" s="44" t="n">
        <v>9286.3467</v>
      </c>
    </row>
    <row r="8766">
      <c r="A8766" s="39">
        <f>_xlfn.XLOOKUP(53601,Trip[shape_id],Trip[shape_id],"Não encontrado")</f>
        <v/>
      </c>
      <c r="B8766" s="40" t="n">
        <v>-23.511687</v>
      </c>
      <c r="C8766" s="40" t="n">
        <v>-46.586196</v>
      </c>
      <c r="D8766" s="40" t="n">
        <v>308</v>
      </c>
      <c r="E8766" s="41" t="n">
        <v>9319.0918</v>
      </c>
    </row>
    <row r="8767">
      <c r="A8767" s="42">
        <f>_xlfn.XLOOKUP(53601,Trip[shape_id],Trip[shape_id],"Não encontrado")</f>
        <v/>
      </c>
      <c r="B8767" s="43" t="n">
        <v>-23.512006</v>
      </c>
      <c r="C8767" s="43" t="n">
        <v>-46.585725</v>
      </c>
      <c r="D8767" s="43" t="n">
        <v>309</v>
      </c>
      <c r="E8767" s="44" t="n">
        <v>9378.776400000001</v>
      </c>
    </row>
    <row r="8768">
      <c r="A8768" s="39">
        <f>_xlfn.XLOOKUP(53601,Trip[shape_id],Trip[shape_id],"Não encontrado")</f>
        <v/>
      </c>
      <c r="B8768" s="40" t="n">
        <v>-23.512266</v>
      </c>
      <c r="C8768" s="40" t="n">
        <v>-46.585336</v>
      </c>
      <c r="D8768" s="40" t="n">
        <v>310</v>
      </c>
      <c r="E8768" s="41" t="n">
        <v>9427.843800000001</v>
      </c>
    </row>
    <row r="8769">
      <c r="A8769" s="42">
        <f>_xlfn.XLOOKUP(53601,Trip[shape_id],Trip[shape_id],"Não encontrado")</f>
        <v/>
      </c>
      <c r="B8769" s="43" t="n">
        <v>-23.512348</v>
      </c>
      <c r="C8769" s="43" t="n">
        <v>-46.585299</v>
      </c>
      <c r="D8769" s="43" t="n">
        <v>311</v>
      </c>
      <c r="E8769" s="44" t="n">
        <v>9437.680700000001</v>
      </c>
    </row>
    <row r="8770">
      <c r="A8770" s="39">
        <f>_xlfn.XLOOKUP(53601,Trip[shape_id],Trip[shape_id],"Não encontrado")</f>
        <v/>
      </c>
      <c r="B8770" s="40" t="n">
        <v>-23.512404</v>
      </c>
      <c r="C8770" s="40" t="n">
        <v>-46.585287</v>
      </c>
      <c r="D8770" s="40" t="n">
        <v>312</v>
      </c>
      <c r="E8770" s="41" t="n">
        <v>9444.002</v>
      </c>
    </row>
    <row r="8771">
      <c r="A8771" s="42">
        <f>_xlfn.XLOOKUP(53601,Trip[shape_id],Trip[shape_id],"Não encontrado")</f>
        <v/>
      </c>
      <c r="B8771" s="43" t="n">
        <v>-23.512421</v>
      </c>
      <c r="C8771" s="43" t="n">
        <v>-46.585284</v>
      </c>
      <c r="D8771" s="43" t="n">
        <v>313</v>
      </c>
      <c r="E8771" s="44" t="n">
        <v>9445.9121</v>
      </c>
    </row>
    <row r="8772">
      <c r="A8772" s="39">
        <f>_xlfn.XLOOKUP(53601,Trip[shape_id],Trip[shape_id],"Não encontrado")</f>
        <v/>
      </c>
      <c r="B8772" s="40" t="n">
        <v>-23.512474</v>
      </c>
      <c r="C8772" s="40" t="n">
        <v>-46.585279</v>
      </c>
      <c r="D8772" s="40" t="n">
        <v>314</v>
      </c>
      <c r="E8772" s="41" t="n">
        <v>9451.8037</v>
      </c>
    </row>
    <row r="8773">
      <c r="A8773" s="42">
        <f>_xlfn.XLOOKUP(53601,Trip[shape_id],Trip[shape_id],"Não encontrado")</f>
        <v/>
      </c>
      <c r="B8773" s="43" t="n">
        <v>-23.512519</v>
      </c>
      <c r="C8773" s="43" t="n">
        <v>-46.585276</v>
      </c>
      <c r="D8773" s="43" t="n">
        <v>315</v>
      </c>
      <c r="E8773" s="44" t="n">
        <v>9456.796899999999</v>
      </c>
    </row>
    <row r="8774">
      <c r="A8774" s="39">
        <f>_xlfn.XLOOKUP(53601,Trip[shape_id],Trip[shape_id],"Não encontrado")</f>
        <v/>
      </c>
      <c r="B8774" s="40" t="n">
        <v>-23.512599</v>
      </c>
      <c r="C8774" s="40" t="n">
        <v>-46.585303</v>
      </c>
      <c r="D8774" s="40" t="n">
        <v>316</v>
      </c>
      <c r="E8774" s="41" t="n">
        <v>9466.0762</v>
      </c>
    </row>
    <row r="8775">
      <c r="A8775" s="42">
        <f>_xlfn.XLOOKUP(53601,Trip[shape_id],Trip[shape_id],"Não encontrado")</f>
        <v/>
      </c>
      <c r="B8775" s="43" t="n">
        <v>-23.5127</v>
      </c>
      <c r="C8775" s="43" t="n">
        <v>-46.585175</v>
      </c>
      <c r="D8775" s="43" t="n">
        <v>317</v>
      </c>
      <c r="E8775" s="44" t="n">
        <v>9483.281300000001</v>
      </c>
    </row>
    <row r="8776">
      <c r="A8776" s="39">
        <f>_xlfn.XLOOKUP(53601,Trip[shape_id],Trip[shape_id],"Não encontrado")</f>
        <v/>
      </c>
      <c r="B8776" s="40" t="n">
        <v>-23.512639</v>
      </c>
      <c r="C8776" s="40" t="n">
        <v>-46.585108</v>
      </c>
      <c r="D8776" s="40" t="n">
        <v>318</v>
      </c>
      <c r="E8776" s="41" t="n">
        <v>9496.6543</v>
      </c>
    </row>
    <row r="8777">
      <c r="A8777" s="42">
        <f>_xlfn.XLOOKUP(53601,Trip[shape_id],Trip[shape_id],"Não encontrado")</f>
        <v/>
      </c>
      <c r="B8777" s="43" t="n">
        <v>-23.512624</v>
      </c>
      <c r="C8777" s="43" t="n">
        <v>-46.585075</v>
      </c>
      <c r="D8777" s="43" t="n">
        <v>319</v>
      </c>
      <c r="E8777" s="44" t="n">
        <v>9500.890600000001</v>
      </c>
    </row>
    <row r="8778">
      <c r="A8778" s="39">
        <f>_xlfn.XLOOKUP(53601,Trip[shape_id],Trip[shape_id],"Não encontrado")</f>
        <v/>
      </c>
      <c r="B8778" s="40" t="n">
        <v>-23.512611</v>
      </c>
      <c r="C8778" s="40" t="n">
        <v>-46.585036</v>
      </c>
      <c r="D8778" s="40" t="n">
        <v>320</v>
      </c>
      <c r="E8778" s="41" t="n">
        <v>9500.890600000001</v>
      </c>
    </row>
    <row r="8779">
      <c r="A8779" s="42">
        <f>_xlfn.XLOOKUP(53601,Trip[shape_id],Trip[shape_id],"Não encontrado")</f>
        <v/>
      </c>
      <c r="B8779" s="43" t="n">
        <v>-23.512558</v>
      </c>
      <c r="C8779" s="43" t="n">
        <v>-46.585164</v>
      </c>
      <c r="D8779" s="43" t="n">
        <v>321</v>
      </c>
      <c r="E8779" s="44" t="n">
        <v>9515.2207</v>
      </c>
    </row>
    <row r="8780">
      <c r="A8780" s="39">
        <f>_xlfn.XLOOKUP(53601,Trip[shape_id],Trip[shape_id],"Não encontrado")</f>
        <v/>
      </c>
      <c r="B8780" s="40" t="n">
        <v>-23.512538</v>
      </c>
      <c r="C8780" s="40" t="n">
        <v>-46.585215</v>
      </c>
      <c r="D8780" s="40" t="n">
        <v>322</v>
      </c>
      <c r="E8780" s="41" t="n">
        <v>9527.457</v>
      </c>
    </row>
    <row r="8781">
      <c r="A8781" s="42">
        <f>_xlfn.XLOOKUP(53601,Trip[shape_id],Trip[shape_id],"Não encontrado")</f>
        <v/>
      </c>
      <c r="B8781" s="43" t="n">
        <v>-23.512519</v>
      </c>
      <c r="C8781" s="43" t="n">
        <v>-46.585276</v>
      </c>
      <c r="D8781" s="43" t="n">
        <v>323</v>
      </c>
      <c r="E8781" s="44" t="n">
        <v>9527.457</v>
      </c>
    </row>
    <row r="8782">
      <c r="A8782" s="39">
        <f>_xlfn.XLOOKUP(53601,Trip[shape_id],Trip[shape_id],"Não encontrado")</f>
        <v/>
      </c>
      <c r="B8782" s="40" t="n">
        <v>-23.512599</v>
      </c>
      <c r="C8782" s="40" t="n">
        <v>-46.585303</v>
      </c>
      <c r="D8782" s="40" t="n">
        <v>324</v>
      </c>
      <c r="E8782" s="41" t="n">
        <v>9536.7363</v>
      </c>
    </row>
    <row r="8783">
      <c r="A8783" s="42">
        <f>_xlfn.XLOOKUP(53601,Trip[shape_id],Trip[shape_id],"Não encontrado")</f>
        <v/>
      </c>
      <c r="B8783" s="43" t="n">
        <v>-23.512656</v>
      </c>
      <c r="C8783" s="43" t="n">
        <v>-46.585324</v>
      </c>
      <c r="D8783" s="43" t="n">
        <v>325</v>
      </c>
      <c r="E8783" s="44" t="n">
        <v>9543.4033</v>
      </c>
    </row>
    <row r="8784">
      <c r="A8784" s="39">
        <f>_xlfn.XLOOKUP(53601,Trip[shape_id],Trip[shape_id],"Não encontrado")</f>
        <v/>
      </c>
      <c r="B8784" s="40" t="n">
        <v>-23.512682</v>
      </c>
      <c r="C8784" s="40" t="n">
        <v>-46.585338</v>
      </c>
      <c r="D8784" s="40" t="n">
        <v>326</v>
      </c>
      <c r="E8784" s="41" t="n">
        <v>9546.6191</v>
      </c>
    </row>
    <row r="8785">
      <c r="A8785" s="42">
        <f>_xlfn.XLOOKUP(53601,Trip[shape_id],Trip[shape_id],"Não encontrado")</f>
        <v/>
      </c>
      <c r="B8785" s="43" t="n">
        <v>-23.512721</v>
      </c>
      <c r="C8785" s="43" t="n">
        <v>-46.585359</v>
      </c>
      <c r="D8785" s="43" t="n">
        <v>327</v>
      </c>
      <c r="E8785" s="44" t="n">
        <v>9551.4414</v>
      </c>
    </row>
    <row r="8786">
      <c r="A8786" s="39">
        <f>_xlfn.XLOOKUP(53601,Trip[shape_id],Trip[shape_id],"Não encontrado")</f>
        <v/>
      </c>
      <c r="B8786" s="40" t="n">
        <v>-23.512982</v>
      </c>
      <c r="C8786" s="40" t="n">
        <v>-46.58557</v>
      </c>
      <c r="D8786" s="40" t="n">
        <v>328</v>
      </c>
      <c r="E8786" s="41" t="n">
        <v>9587.4961</v>
      </c>
    </row>
    <row r="8787">
      <c r="A8787" s="42">
        <f>_xlfn.XLOOKUP(53601,Trip[shape_id],Trip[shape_id],"Não encontrado")</f>
        <v/>
      </c>
      <c r="B8787" s="43" t="n">
        <v>-23.513844</v>
      </c>
      <c r="C8787" s="43" t="n">
        <v>-46.586249</v>
      </c>
      <c r="D8787" s="43" t="n">
        <v>329</v>
      </c>
      <c r="E8787" s="44" t="n">
        <v>9705.492200000001</v>
      </c>
    </row>
    <row r="8788">
      <c r="A8788" s="39">
        <f>_xlfn.XLOOKUP(53601,Trip[shape_id],Trip[shape_id],"Não encontrado")</f>
        <v/>
      </c>
      <c r="B8788" s="40" t="n">
        <v>-23.514679</v>
      </c>
      <c r="C8788" s="40" t="n">
        <v>-46.586906</v>
      </c>
      <c r="D8788" s="40" t="n">
        <v>330</v>
      </c>
      <c r="E8788" s="41" t="n">
        <v>9819.748</v>
      </c>
    </row>
    <row r="8789">
      <c r="A8789" s="42">
        <f>_xlfn.XLOOKUP(53601,Trip[shape_id],Trip[shape_id],"Não encontrado")</f>
        <v/>
      </c>
      <c r="B8789" s="43" t="n">
        <v>-23.515064</v>
      </c>
      <c r="C8789" s="43" t="n">
        <v>-46.587206</v>
      </c>
      <c r="D8789" s="43" t="n">
        <v>331</v>
      </c>
      <c r="E8789" s="44" t="n">
        <v>9872.2539</v>
      </c>
    </row>
    <row r="8790">
      <c r="A8790" s="39">
        <f>_xlfn.XLOOKUP(53601,Trip[shape_id],Trip[shape_id],"Não encontrado")</f>
        <v/>
      </c>
      <c r="B8790" s="40" t="n">
        <v>-23.515458</v>
      </c>
      <c r="C8790" s="40" t="n">
        <v>-46.587517</v>
      </c>
      <c r="D8790" s="40" t="n">
        <v>332</v>
      </c>
      <c r="E8790" s="41" t="n">
        <v>9926.2256</v>
      </c>
    </row>
    <row r="8791">
      <c r="A8791" s="42">
        <f>_xlfn.XLOOKUP(53601,Trip[shape_id],Trip[shape_id],"Não encontrado")</f>
        <v/>
      </c>
      <c r="B8791" s="43" t="n">
        <v>-23.516308</v>
      </c>
      <c r="C8791" s="43" t="n">
        <v>-46.588181</v>
      </c>
      <c r="D8791" s="43" t="n">
        <v>333</v>
      </c>
      <c r="E8791" s="44" t="n">
        <v>10042.246</v>
      </c>
    </row>
    <row r="8792">
      <c r="A8792" s="39">
        <f>_xlfn.XLOOKUP(53601,Trip[shape_id],Trip[shape_id],"Não encontrado")</f>
        <v/>
      </c>
      <c r="B8792" s="40" t="n">
        <v>-23.517513</v>
      </c>
      <c r="C8792" s="40" t="n">
        <v>-46.589133</v>
      </c>
      <c r="D8792" s="40" t="n">
        <v>334</v>
      </c>
      <c r="E8792" s="41" t="n">
        <v>10207.361</v>
      </c>
    </row>
    <row r="8793">
      <c r="A8793" s="42">
        <f>_xlfn.XLOOKUP(53601,Trip[shape_id],Trip[shape_id],"Não encontrado")</f>
        <v/>
      </c>
      <c r="B8793" s="43" t="n">
        <v>-23.518729</v>
      </c>
      <c r="C8793" s="43" t="n">
        <v>-46.590084</v>
      </c>
      <c r="D8793" s="43" t="n">
        <v>335</v>
      </c>
      <c r="E8793" s="44" t="n">
        <v>10373.403</v>
      </c>
    </row>
    <row r="8794">
      <c r="A8794" s="39">
        <f>_xlfn.XLOOKUP(53601,Trip[shape_id],Trip[shape_id],"Não encontrado")</f>
        <v/>
      </c>
      <c r="B8794" s="40" t="n">
        <v>-23.519959</v>
      </c>
      <c r="C8794" s="40" t="n">
        <v>-46.591054</v>
      </c>
      <c r="D8794" s="40" t="n">
        <v>336</v>
      </c>
      <c r="E8794" s="41" t="n">
        <v>10541.838</v>
      </c>
    </row>
    <row r="8795">
      <c r="A8795" s="42">
        <f>_xlfn.XLOOKUP(53601,Trip[shape_id],Trip[shape_id],"Não encontrado")</f>
        <v/>
      </c>
      <c r="B8795" s="43" t="n">
        <v>-23.520714</v>
      </c>
      <c r="C8795" s="43" t="n">
        <v>-46.591639</v>
      </c>
      <c r="D8795" s="43" t="n">
        <v>337</v>
      </c>
      <c r="E8795" s="44" t="n">
        <v>10644.605</v>
      </c>
    </row>
    <row r="8796">
      <c r="A8796" s="39">
        <f>_xlfn.XLOOKUP(53601,Trip[shape_id],Trip[shape_id],"Não encontrado")</f>
        <v/>
      </c>
      <c r="B8796" s="40" t="n">
        <v>-23.520741</v>
      </c>
      <c r="C8796" s="40" t="n">
        <v>-46.591658</v>
      </c>
      <c r="D8796" s="40" t="n">
        <v>338</v>
      </c>
      <c r="E8796" s="41" t="n">
        <v>10648.17</v>
      </c>
    </row>
    <row r="8797">
      <c r="A8797" s="42">
        <f>_xlfn.XLOOKUP(53601,Trip[shape_id],Trip[shape_id],"Não encontrado")</f>
        <v/>
      </c>
      <c r="B8797" s="43" t="n">
        <v>-23.520805</v>
      </c>
      <c r="C8797" s="43" t="n">
        <v>-46.591718</v>
      </c>
      <c r="D8797" s="43" t="n">
        <v>339</v>
      </c>
      <c r="E8797" s="44" t="n">
        <v>10657.539</v>
      </c>
    </row>
    <row r="8798">
      <c r="A8798" s="39">
        <f>_xlfn.XLOOKUP(53601,Trip[shape_id],Trip[shape_id],"Não encontrado")</f>
        <v/>
      </c>
      <c r="B8798" s="40" t="n">
        <v>-23.521174</v>
      </c>
      <c r="C8798" s="40" t="n">
        <v>-46.592015</v>
      </c>
      <c r="D8798" s="40" t="n">
        <v>340</v>
      </c>
      <c r="E8798" s="41" t="n">
        <v>10708.432</v>
      </c>
    </row>
    <row r="8799">
      <c r="A8799" s="42">
        <f>_xlfn.XLOOKUP(53601,Trip[shape_id],Trip[shape_id],"Não encontrado")</f>
        <v/>
      </c>
      <c r="B8799" s="43" t="n">
        <v>-23.522395</v>
      </c>
      <c r="C8799" s="43" t="n">
        <v>-46.592974</v>
      </c>
      <c r="D8799" s="43" t="n">
        <v>341</v>
      </c>
      <c r="E8799" s="44" t="n">
        <v>10875.399</v>
      </c>
    </row>
    <row r="8800">
      <c r="A8800" s="39">
        <f>_xlfn.XLOOKUP(53601,Trip[shape_id],Trip[shape_id],"Não encontrado")</f>
        <v/>
      </c>
      <c r="B8800" s="40" t="n">
        <v>-23.523613</v>
      </c>
      <c r="C8800" s="40" t="n">
        <v>-46.593932</v>
      </c>
      <c r="D8800" s="40" t="n">
        <v>342</v>
      </c>
      <c r="E8800" s="41" t="n">
        <v>11042.037</v>
      </c>
    </row>
    <row r="8801">
      <c r="A8801" s="42">
        <f>_xlfn.XLOOKUP(53601,Trip[shape_id],Trip[shape_id],"Não encontrado")</f>
        <v/>
      </c>
      <c r="B8801" s="43" t="n">
        <v>-23.524229</v>
      </c>
      <c r="C8801" s="43" t="n">
        <v>-46.59441</v>
      </c>
      <c r="D8801" s="43" t="n">
        <v>343</v>
      </c>
      <c r="E8801" s="44" t="n">
        <v>11125.925</v>
      </c>
    </row>
    <row r="8802">
      <c r="A8802" s="39">
        <f>_xlfn.XLOOKUP(53601,Trip[shape_id],Trip[shape_id],"Não encontrado")</f>
        <v/>
      </c>
      <c r="B8802" s="40" t="n">
        <v>-23.524315</v>
      </c>
      <c r="C8802" s="40" t="n">
        <v>-46.594473</v>
      </c>
      <c r="D8802" s="40" t="n">
        <v>344</v>
      </c>
      <c r="E8802" s="41" t="n">
        <v>11137.419</v>
      </c>
    </row>
    <row r="8803">
      <c r="A8803" s="42">
        <f>_xlfn.XLOOKUP(53601,Trip[shape_id],Trip[shape_id],"Não encontrado")</f>
        <v/>
      </c>
      <c r="B8803" s="43" t="n">
        <v>-23.52486</v>
      </c>
      <c r="C8803" s="43" t="n">
        <v>-46.594896</v>
      </c>
      <c r="D8803" s="43" t="n">
        <v>345</v>
      </c>
      <c r="E8803" s="44" t="n">
        <v>11211.644</v>
      </c>
    </row>
    <row r="8804">
      <c r="A8804" s="39">
        <f>_xlfn.XLOOKUP(53601,Trip[shape_id],Trip[shape_id],"Não encontrado")</f>
        <v/>
      </c>
      <c r="B8804" s="40" t="n">
        <v>-23.525114</v>
      </c>
      <c r="C8804" s="40" t="n">
        <v>-46.5951</v>
      </c>
      <c r="D8804" s="40" t="n">
        <v>346</v>
      </c>
      <c r="E8804" s="41" t="n">
        <v>11246.648</v>
      </c>
    </row>
    <row r="8805">
      <c r="A8805" s="42">
        <f>_xlfn.XLOOKUP(53601,Trip[shape_id],Trip[shape_id],"Não encontrado")</f>
        <v/>
      </c>
      <c r="B8805" s="43" t="n">
        <v>-23.525353</v>
      </c>
      <c r="C8805" s="43" t="n">
        <v>-46.595283</v>
      </c>
      <c r="D8805" s="43" t="n">
        <v>347</v>
      </c>
      <c r="E8805" s="44" t="n">
        <v>11279.051</v>
      </c>
    </row>
    <row r="8806">
      <c r="A8806" s="39">
        <f>_xlfn.XLOOKUP(53601,Trip[shape_id],Trip[shape_id],"Não encontrado")</f>
        <v/>
      </c>
      <c r="B8806" s="40" t="n">
        <v>-23.525898</v>
      </c>
      <c r="C8806" s="40" t="n">
        <v>-46.595689</v>
      </c>
      <c r="D8806" s="40" t="n">
        <v>348</v>
      </c>
      <c r="E8806" s="41" t="n">
        <v>11352.278</v>
      </c>
    </row>
    <row r="8807">
      <c r="A8807" s="42">
        <f>_xlfn.XLOOKUP(53601,Trip[shape_id],Trip[shape_id],"Não encontrado")</f>
        <v/>
      </c>
      <c r="B8807" s="43" t="n">
        <v>-23.526124</v>
      </c>
      <c r="C8807" s="43" t="n">
        <v>-46.595862</v>
      </c>
      <c r="D8807" s="43" t="n">
        <v>349</v>
      </c>
      <c r="E8807" s="44" t="n">
        <v>11382.915</v>
      </c>
    </row>
    <row r="8808">
      <c r="A8808" s="39">
        <f>_xlfn.XLOOKUP(53601,Trip[shape_id],Trip[shape_id],"Não encontrado")</f>
        <v/>
      </c>
      <c r="B8808" s="40" t="n">
        <v>-23.526216</v>
      </c>
      <c r="C8808" s="40" t="n">
        <v>-46.595889</v>
      </c>
      <c r="D8808" s="40" t="n">
        <v>350</v>
      </c>
      <c r="E8808" s="41" t="n">
        <v>11393.471</v>
      </c>
    </row>
    <row r="8809">
      <c r="A8809" s="42">
        <f>_xlfn.XLOOKUP(53601,Trip[shape_id],Trip[shape_id],"Não encontrado")</f>
        <v/>
      </c>
      <c r="B8809" s="43" t="n">
        <v>-23.526526</v>
      </c>
      <c r="C8809" s="43" t="n">
        <v>-46.596139</v>
      </c>
      <c r="D8809" s="43" t="n">
        <v>351</v>
      </c>
      <c r="E8809" s="44" t="n">
        <v>11436.256</v>
      </c>
    </row>
    <row r="8810">
      <c r="A8810" s="39">
        <f>_xlfn.XLOOKUP(53601,Trip[shape_id],Trip[shape_id],"Não encontrado")</f>
        <v/>
      </c>
      <c r="B8810" s="40" t="n">
        <v>-23.526643</v>
      </c>
      <c r="C8810" s="40" t="n">
        <v>-46.596232</v>
      </c>
      <c r="D8810" s="40" t="n">
        <v>352</v>
      </c>
      <c r="E8810" s="41" t="n">
        <v>11452.321</v>
      </c>
    </row>
    <row r="8811">
      <c r="A8811" s="42">
        <f>_xlfn.XLOOKUP(53601,Trip[shape_id],Trip[shape_id],"Não encontrado")</f>
        <v/>
      </c>
      <c r="B8811" s="43" t="n">
        <v>-23.526732</v>
      </c>
      <c r="C8811" s="43" t="n">
        <v>-46.596303</v>
      </c>
      <c r="D8811" s="43" t="n">
        <v>353</v>
      </c>
      <c r="E8811" s="44" t="n">
        <v>11464.558</v>
      </c>
    </row>
    <row r="8812">
      <c r="A8812" s="39">
        <f>_xlfn.XLOOKUP(53601,Trip[shape_id],Trip[shape_id],"Não encontrado")</f>
        <v/>
      </c>
      <c r="B8812" s="40" t="n">
        <v>-23.527097</v>
      </c>
      <c r="C8812" s="40" t="n">
        <v>-46.596582</v>
      </c>
      <c r="D8812" s="40" t="n">
        <v>354</v>
      </c>
      <c r="E8812" s="41" t="n">
        <v>11514.014</v>
      </c>
    </row>
    <row r="8813">
      <c r="A8813" s="42">
        <f>_xlfn.XLOOKUP(53601,Trip[shape_id],Trip[shape_id],"Não encontrado")</f>
        <v/>
      </c>
      <c r="B8813" s="43" t="n">
        <v>-23.527759</v>
      </c>
      <c r="C8813" s="43" t="n">
        <v>-46.597103</v>
      </c>
      <c r="D8813" s="43" t="n">
        <v>355</v>
      </c>
      <c r="E8813" s="44" t="n">
        <v>11604.602</v>
      </c>
    </row>
    <row r="8814">
      <c r="A8814" s="39">
        <f>_xlfn.XLOOKUP(53601,Trip[shape_id],Trip[shape_id],"Não encontrado")</f>
        <v/>
      </c>
      <c r="B8814" s="40" t="n">
        <v>-23.528379</v>
      </c>
      <c r="C8814" s="40" t="n">
        <v>-46.597587</v>
      </c>
      <c r="D8814" s="40" t="n">
        <v>356</v>
      </c>
      <c r="E8814" s="41" t="n">
        <v>11689.206</v>
      </c>
    </row>
    <row r="8815">
      <c r="A8815" s="42">
        <f>_xlfn.XLOOKUP(53601,Trip[shape_id],Trip[shape_id],"Não encontrado")</f>
        <v/>
      </c>
      <c r="B8815" s="43" t="n">
        <v>-23.528566</v>
      </c>
      <c r="C8815" s="43" t="n">
        <v>-46.59774</v>
      </c>
      <c r="D8815" s="43" t="n">
        <v>357</v>
      </c>
      <c r="E8815" s="44" t="n">
        <v>11715.149</v>
      </c>
    </row>
    <row r="8816">
      <c r="A8816" s="39">
        <f>_xlfn.XLOOKUP(53601,Trip[shape_id],Trip[shape_id],"Não encontrado")</f>
        <v/>
      </c>
      <c r="B8816" s="40" t="n">
        <v>-23.528724</v>
      </c>
      <c r="C8816" s="40" t="n">
        <v>-46.597872</v>
      </c>
      <c r="D8816" s="40" t="n">
        <v>358</v>
      </c>
      <c r="E8816" s="41" t="n">
        <v>11737.238</v>
      </c>
    </row>
    <row r="8817">
      <c r="A8817" s="42">
        <f>_xlfn.XLOOKUP(53601,Trip[shape_id],Trip[shape_id],"Não encontrado")</f>
        <v/>
      </c>
      <c r="B8817" s="43" t="n">
        <v>-23.529023</v>
      </c>
      <c r="C8817" s="43" t="n">
        <v>-46.598144</v>
      </c>
      <c r="D8817" s="43" t="n">
        <v>359</v>
      </c>
      <c r="E8817" s="44" t="n">
        <v>11780.46</v>
      </c>
    </row>
    <row r="8818">
      <c r="A8818" s="39">
        <f>_xlfn.XLOOKUP(53601,Trip[shape_id],Trip[shape_id],"Não encontrado")</f>
        <v/>
      </c>
      <c r="B8818" s="40" t="n">
        <v>-23.52912</v>
      </c>
      <c r="C8818" s="40" t="n">
        <v>-46.59822</v>
      </c>
      <c r="D8818" s="40" t="n">
        <v>360</v>
      </c>
      <c r="E8818" s="41" t="n">
        <v>11793.713</v>
      </c>
    </row>
    <row r="8819">
      <c r="A8819" s="42">
        <f>_xlfn.XLOOKUP(53601,Trip[shape_id],Trip[shape_id],"Não encontrado")</f>
        <v/>
      </c>
      <c r="B8819" s="43" t="n">
        <v>-23.529237</v>
      </c>
      <c r="C8819" s="43" t="n">
        <v>-46.598319</v>
      </c>
      <c r="D8819" s="43" t="n">
        <v>361</v>
      </c>
      <c r="E8819" s="44" t="n">
        <v>11810.147</v>
      </c>
    </row>
    <row r="8820">
      <c r="A8820" s="39">
        <f>_xlfn.XLOOKUP(53601,Trip[shape_id],Trip[shape_id],"Não encontrado")</f>
        <v/>
      </c>
      <c r="B8820" s="40" t="n">
        <v>-23.529285</v>
      </c>
      <c r="C8820" s="40" t="n">
        <v>-46.598387</v>
      </c>
      <c r="D8820" s="40" t="n">
        <v>362</v>
      </c>
      <c r="E8820" s="41" t="n">
        <v>11818.893</v>
      </c>
    </row>
    <row r="8821">
      <c r="A8821" s="42">
        <f>_xlfn.XLOOKUP(53601,Trip[shape_id],Trip[shape_id],"Não encontrado")</f>
        <v/>
      </c>
      <c r="B8821" s="43" t="n">
        <v>-23.529288</v>
      </c>
      <c r="C8821" s="43" t="n">
        <v>-46.598472</v>
      </c>
      <c r="D8821" s="43" t="n">
        <v>363</v>
      </c>
      <c r="E8821" s="44" t="n">
        <v>11827.579</v>
      </c>
    </row>
    <row r="8822">
      <c r="A8822" s="39">
        <f>_xlfn.XLOOKUP(53601,Trip[shape_id],Trip[shape_id],"Não encontrado")</f>
        <v/>
      </c>
      <c r="B8822" s="40" t="n">
        <v>-23.529239</v>
      </c>
      <c r="C8822" s="40" t="n">
        <v>-46.598577</v>
      </c>
      <c r="D8822" s="40" t="n">
        <v>364</v>
      </c>
      <c r="E8822" s="41" t="n">
        <v>11839.597</v>
      </c>
    </row>
    <row r="8823">
      <c r="A8823" s="42">
        <f>_xlfn.XLOOKUP(53601,Trip[shape_id],Trip[shape_id],"Não encontrado")</f>
        <v/>
      </c>
      <c r="B8823" s="43" t="n">
        <v>-23.528743</v>
      </c>
      <c r="C8823" s="43" t="n">
        <v>-46.599218</v>
      </c>
      <c r="D8823" s="43" t="n">
        <v>365</v>
      </c>
      <c r="E8823" s="44" t="n">
        <v>11925.051</v>
      </c>
    </row>
    <row r="8824">
      <c r="A8824" s="39">
        <f>_xlfn.XLOOKUP(53601,Trip[shape_id],Trip[shape_id],"Não encontrado")</f>
        <v/>
      </c>
      <c r="B8824" s="40" t="n">
        <v>-23.528458</v>
      </c>
      <c r="C8824" s="40" t="n">
        <v>-46.599586</v>
      </c>
      <c r="D8824" s="40" t="n">
        <v>366</v>
      </c>
      <c r="E8824" s="41" t="n">
        <v>11974.128</v>
      </c>
    </row>
    <row r="8825">
      <c r="A8825" s="42">
        <f>_xlfn.XLOOKUP(53601,Trip[shape_id],Trip[shape_id],"Não encontrado")</f>
        <v/>
      </c>
      <c r="B8825" s="43" t="n">
        <v>-23.528309</v>
      </c>
      <c r="C8825" s="43" t="n">
        <v>-46.599699</v>
      </c>
      <c r="D8825" s="43" t="n">
        <v>367</v>
      </c>
      <c r="E8825" s="44" t="n">
        <v>11994.265</v>
      </c>
    </row>
    <row r="8826">
      <c r="A8826" s="39">
        <f>_xlfn.XLOOKUP(53601,Trip[shape_id],Trip[shape_id],"Não encontrado")</f>
        <v/>
      </c>
      <c r="B8826" s="40" t="n">
        <v>-23.528126</v>
      </c>
      <c r="C8826" s="40" t="n">
        <v>-46.599777</v>
      </c>
      <c r="D8826" s="40" t="n">
        <v>368</v>
      </c>
      <c r="E8826" s="41" t="n">
        <v>12016.041</v>
      </c>
    </row>
    <row r="8827">
      <c r="A8827" s="42">
        <f>_xlfn.XLOOKUP(53601,Trip[shape_id],Trip[shape_id],"Não encontrado")</f>
        <v/>
      </c>
      <c r="B8827" s="43" t="n">
        <v>-23.527985</v>
      </c>
      <c r="C8827" s="43" t="n">
        <v>-46.599802</v>
      </c>
      <c r="D8827" s="43" t="n">
        <v>369</v>
      </c>
      <c r="E8827" s="44" t="n">
        <v>12031.864</v>
      </c>
    </row>
    <row r="8828">
      <c r="A8828" s="39">
        <f>_xlfn.XLOOKUP(53601,Trip[shape_id],Trip[shape_id],"Não encontrado")</f>
        <v/>
      </c>
      <c r="B8828" s="40" t="n">
        <v>-23.527894</v>
      </c>
      <c r="C8828" s="40" t="n">
        <v>-46.599808</v>
      </c>
      <c r="D8828" s="40" t="n">
        <v>370</v>
      </c>
      <c r="E8828" s="41" t="n">
        <v>12041.961</v>
      </c>
    </row>
    <row r="8829">
      <c r="A8829" s="42">
        <f>_xlfn.XLOOKUP(53601,Trip[shape_id],Trip[shape_id],"Não encontrado")</f>
        <v/>
      </c>
      <c r="B8829" s="43" t="n">
        <v>-23.527745</v>
      </c>
      <c r="C8829" s="43" t="n">
        <v>-46.599789</v>
      </c>
      <c r="D8829" s="43" t="n">
        <v>371</v>
      </c>
      <c r="E8829" s="44" t="n">
        <v>12058.576</v>
      </c>
    </row>
    <row r="8830">
      <c r="A8830" s="39">
        <f>_xlfn.XLOOKUP(53601,Trip[shape_id],Trip[shape_id],"Não encontrado")</f>
        <v/>
      </c>
      <c r="B8830" s="40" t="n">
        <v>-23.527674</v>
      </c>
      <c r="C8830" s="40" t="n">
        <v>-46.599789</v>
      </c>
      <c r="D8830" s="40" t="n">
        <v>372</v>
      </c>
      <c r="E8830" s="41" t="n">
        <v>12066.439</v>
      </c>
    </row>
    <row r="8831">
      <c r="A8831" s="42">
        <f>_xlfn.XLOOKUP(53601,Trip[shape_id],Trip[shape_id],"Não encontrado")</f>
        <v/>
      </c>
      <c r="B8831" s="43" t="n">
        <v>-23.527614</v>
      </c>
      <c r="C8831" s="43" t="n">
        <v>-46.599822</v>
      </c>
      <c r="D8831" s="43" t="n">
        <v>373</v>
      </c>
      <c r="E8831" s="44" t="n">
        <v>12073.891</v>
      </c>
    </row>
    <row r="8832">
      <c r="A8832" s="39">
        <f>_xlfn.XLOOKUP(53601,Trip[shape_id],Trip[shape_id],"Não encontrado")</f>
        <v/>
      </c>
      <c r="B8832" s="40" t="n">
        <v>-23.527592</v>
      </c>
      <c r="C8832" s="40" t="n">
        <v>-46.599857</v>
      </c>
      <c r="D8832" s="40" t="n">
        <v>374</v>
      </c>
      <c r="E8832" s="41" t="n">
        <v>12078.217</v>
      </c>
    </row>
    <row r="8833">
      <c r="A8833" s="42">
        <f>_xlfn.XLOOKUP(53601,Trip[shape_id],Trip[shape_id],"Não encontrado")</f>
        <v/>
      </c>
      <c r="B8833" s="43" t="n">
        <v>-23.52757</v>
      </c>
      <c r="C8833" s="43" t="n">
        <v>-46.599932</v>
      </c>
      <c r="D8833" s="43" t="n">
        <v>375</v>
      </c>
      <c r="E8833" s="44" t="n">
        <v>12086.254</v>
      </c>
    </row>
    <row r="8834">
      <c r="A8834" s="39">
        <f>_xlfn.XLOOKUP(53601,Trip[shape_id],Trip[shape_id],"Não encontrado")</f>
        <v/>
      </c>
      <c r="B8834" s="40" t="n">
        <v>-23.527651</v>
      </c>
      <c r="C8834" s="40" t="n">
        <v>-46.600094</v>
      </c>
      <c r="D8834" s="40" t="n">
        <v>376</v>
      </c>
      <c r="E8834" s="41" t="n">
        <v>12105.073</v>
      </c>
    </row>
    <row r="8835">
      <c r="A8835" s="42">
        <f>_xlfn.XLOOKUP(53601,Trip[shape_id],Trip[shape_id],"Não encontrado")</f>
        <v/>
      </c>
      <c r="B8835" s="43" t="n">
        <v>-23.528398</v>
      </c>
      <c r="C8835" s="43" t="n">
        <v>-46.602242</v>
      </c>
      <c r="D8835" s="43" t="n">
        <v>377</v>
      </c>
      <c r="E8835" s="44" t="n">
        <v>12339.509</v>
      </c>
    </row>
    <row r="8836">
      <c r="A8836" s="39">
        <f>_xlfn.XLOOKUP(53601,Trip[shape_id],Trip[shape_id],"Não encontrado")</f>
        <v/>
      </c>
      <c r="B8836" s="40" t="n">
        <v>-23.529372</v>
      </c>
      <c r="C8836" s="40" t="n">
        <v>-46.602176</v>
      </c>
      <c r="D8836" s="40" t="n">
        <v>378</v>
      </c>
      <c r="E8836" s="41" t="n">
        <v>12447.591</v>
      </c>
    </row>
    <row r="8837">
      <c r="A8837" s="42">
        <f>_xlfn.XLOOKUP(53601,Trip[shape_id],Trip[shape_id],"Não encontrado")</f>
        <v/>
      </c>
      <c r="B8837" s="43" t="n">
        <v>-23.529477</v>
      </c>
      <c r="C8837" s="43" t="n">
        <v>-46.602804</v>
      </c>
      <c r="D8837" s="43" t="n">
        <v>379</v>
      </c>
      <c r="E8837" s="44" t="n">
        <v>12512.767</v>
      </c>
    </row>
    <row r="8838">
      <c r="A8838" s="39">
        <f>_xlfn.XLOOKUP(53601,Trip[shape_id],Trip[shape_id],"Não encontrado")</f>
        <v/>
      </c>
      <c r="B8838" s="40" t="n">
        <v>-23.529498</v>
      </c>
      <c r="C8838" s="40" t="n">
        <v>-46.602899</v>
      </c>
      <c r="D8838" s="40" t="n">
        <v>380</v>
      </c>
      <c r="E8838" s="41" t="n">
        <v>12522.743</v>
      </c>
    </row>
    <row r="8839">
      <c r="A8839" s="42">
        <f>_xlfn.XLOOKUP(53601,Trip[shape_id],Trip[shape_id],"Não encontrado")</f>
        <v/>
      </c>
      <c r="B8839" s="43" t="n">
        <v>-23.529528</v>
      </c>
      <c r="C8839" s="43" t="n">
        <v>-46.603054</v>
      </c>
      <c r="D8839" s="43" t="n">
        <v>381</v>
      </c>
      <c r="E8839" s="44" t="n">
        <v>12538.916</v>
      </c>
    </row>
    <row r="8840">
      <c r="A8840" s="39">
        <f>_xlfn.XLOOKUP(53601,Trip[shape_id],Trip[shape_id],"Não encontrado")</f>
        <v/>
      </c>
      <c r="B8840" s="40" t="n">
        <v>-23.529691</v>
      </c>
      <c r="C8840" s="40" t="n">
        <v>-46.60303</v>
      </c>
      <c r="D8840" s="40" t="n">
        <v>382</v>
      </c>
      <c r="E8840" s="41" t="n">
        <v>12557.134</v>
      </c>
    </row>
    <row r="8841">
      <c r="A8841" s="42">
        <f>_xlfn.XLOOKUP(53601,Trip[shape_id],Trip[shape_id],"Não encontrado")</f>
        <v/>
      </c>
      <c r="B8841" s="43" t="n">
        <v>-23.530659</v>
      </c>
      <c r="C8841" s="43" t="n">
        <v>-46.602937</v>
      </c>
      <c r="D8841" s="43" t="n">
        <v>383</v>
      </c>
      <c r="E8841" s="44" t="n">
        <v>12664.761</v>
      </c>
    </row>
    <row r="8842">
      <c r="A8842" s="39">
        <f>_xlfn.XLOOKUP(53601,Trip[shape_id],Trip[shape_id],"Não encontrado")</f>
        <v/>
      </c>
      <c r="B8842" s="40" t="n">
        <v>-23.532283</v>
      </c>
      <c r="C8842" s="40" t="n">
        <v>-46.602786</v>
      </c>
      <c r="D8842" s="40" t="n">
        <v>384</v>
      </c>
      <c r="E8842" s="41" t="n">
        <v>12845.281</v>
      </c>
    </row>
    <row r="8843">
      <c r="A8843" s="42">
        <f>_xlfn.XLOOKUP(53601,Trip[shape_id],Trip[shape_id],"Não encontrado")</f>
        <v/>
      </c>
      <c r="B8843" s="43" t="n">
        <v>-23.534011</v>
      </c>
      <c r="C8843" s="43" t="n">
        <v>-46.602619</v>
      </c>
      <c r="D8843" s="43" t="n">
        <v>385</v>
      </c>
      <c r="E8843" s="44" t="n">
        <v>13037.418</v>
      </c>
    </row>
    <row r="8844">
      <c r="A8844" s="39">
        <f>_xlfn.XLOOKUP(53601,Trip[shape_id],Trip[shape_id],"Não encontrado")</f>
        <v/>
      </c>
      <c r="B8844" s="40" t="n">
        <v>-23.534624</v>
      </c>
      <c r="C8844" s="40" t="n">
        <v>-46.602562</v>
      </c>
      <c r="D8844" s="40" t="n">
        <v>386</v>
      </c>
      <c r="E8844" s="41" t="n">
        <v>13105.558</v>
      </c>
    </row>
    <row r="8845">
      <c r="A8845" s="42">
        <f>_xlfn.XLOOKUP(53601,Trip[shape_id],Trip[shape_id],"Não encontrado")</f>
        <v/>
      </c>
      <c r="B8845" s="43" t="n">
        <v>-23.536291</v>
      </c>
      <c r="C8845" s="43" t="n">
        <v>-46.602405</v>
      </c>
      <c r="D8845" s="43" t="n">
        <v>387</v>
      </c>
      <c r="E8845" s="44" t="n">
        <v>13290.875</v>
      </c>
    </row>
    <row r="8846">
      <c r="A8846" s="39">
        <f>_xlfn.XLOOKUP(53601,Trip[shape_id],Trip[shape_id],"Não encontrado")</f>
        <v/>
      </c>
      <c r="B8846" s="40" t="n">
        <v>-23.538345</v>
      </c>
      <c r="C8846" s="40" t="n">
        <v>-46.602205</v>
      </c>
      <c r="D8846" s="40" t="n">
        <v>388</v>
      </c>
      <c r="E8846" s="41" t="n">
        <v>13519.273</v>
      </c>
    </row>
    <row r="8847">
      <c r="A8847" s="42">
        <f>_xlfn.XLOOKUP(53601,Trip[shape_id],Trip[shape_id],"Não encontrado")</f>
        <v/>
      </c>
      <c r="B8847" s="43" t="n">
        <v>-23.538256</v>
      </c>
      <c r="C8847" s="43" t="n">
        <v>-46.601374</v>
      </c>
      <c r="D8847" s="43" t="n">
        <v>389</v>
      </c>
      <c r="E8847" s="44" t="n">
        <v>13604.698</v>
      </c>
    </row>
    <row r="8848">
      <c r="A8848" s="39">
        <f>_xlfn.XLOOKUP(53601,Trip[shape_id],Trip[shape_id],"Não encontrado")</f>
        <v/>
      </c>
      <c r="B8848" s="40" t="n">
        <v>-23.538216</v>
      </c>
      <c r="C8848" s="40" t="n">
        <v>-46.600865</v>
      </c>
      <c r="D8848" s="40" t="n">
        <v>390</v>
      </c>
      <c r="E8848" s="41" t="n">
        <v>13656.861</v>
      </c>
    </row>
    <row r="8849">
      <c r="A8849" s="42">
        <f>_xlfn.XLOOKUP(53601,Trip[shape_id],Trip[shape_id],"Não encontrado")</f>
        <v/>
      </c>
      <c r="B8849" s="43" t="n">
        <v>-23.538168</v>
      </c>
      <c r="C8849" s="43" t="n">
        <v>-46.600166</v>
      </c>
      <c r="D8849" s="43" t="n">
        <v>391</v>
      </c>
      <c r="E8849" s="44" t="n">
        <v>13728.435</v>
      </c>
    </row>
    <row r="8850">
      <c r="A8850" s="39">
        <f>_xlfn.XLOOKUP(53601,Trip[shape_id],Trip[shape_id],"Não encontrado")</f>
        <v/>
      </c>
      <c r="B8850" s="40" t="n">
        <v>-23.538147</v>
      </c>
      <c r="C8850" s="40" t="n">
        <v>-46.599725</v>
      </c>
      <c r="D8850" s="40" t="n">
        <v>392</v>
      </c>
      <c r="E8850" s="41" t="n">
        <v>13773.525</v>
      </c>
    </row>
    <row r="8851">
      <c r="A8851" s="42">
        <f>_xlfn.XLOOKUP(53601,Trip[shape_id],Trip[shape_id],"Não encontrado")</f>
        <v/>
      </c>
      <c r="B8851" s="43" t="n">
        <v>-23.538087</v>
      </c>
      <c r="C8851" s="43" t="n">
        <v>-46.598964</v>
      </c>
      <c r="D8851" s="43" t="n">
        <v>393</v>
      </c>
      <c r="E8851" s="44" t="n">
        <v>13851.516</v>
      </c>
    </row>
    <row r="8852">
      <c r="A8852" s="39">
        <f>_xlfn.XLOOKUP(53601,Trip[shape_id],Trip[shape_id],"Não encontrado")</f>
        <v/>
      </c>
      <c r="B8852" s="40" t="n">
        <v>-23.538049</v>
      </c>
      <c r="C8852" s="40" t="n">
        <v>-46.598306</v>
      </c>
      <c r="D8852" s="40" t="n">
        <v>394</v>
      </c>
      <c r="E8852" s="41" t="n">
        <v>13918.837</v>
      </c>
    </row>
    <row r="8853">
      <c r="A8853" s="42">
        <f>_xlfn.XLOOKUP(53601,Trip[shape_id],Trip[shape_id],"Não encontrado")</f>
        <v/>
      </c>
      <c r="B8853" s="43" t="n">
        <v>-23.538164</v>
      </c>
      <c r="C8853" s="43" t="n">
        <v>-46.598165</v>
      </c>
      <c r="D8853" s="43" t="n">
        <v>395</v>
      </c>
      <c r="E8853" s="44" t="n">
        <v>14092.211</v>
      </c>
    </row>
    <row r="8854">
      <c r="A8854" s="39">
        <f>_xlfn.XLOOKUP(53601,Trip[shape_id],Trip[shape_id],"Não encontrado")</f>
        <v/>
      </c>
      <c r="B8854" s="40" t="n">
        <v>-23.539024</v>
      </c>
      <c r="C8854" s="40" t="n">
        <v>-46.596978</v>
      </c>
      <c r="D8854" s="40" t="n">
        <v>396</v>
      </c>
      <c r="E8854" s="41" t="n">
        <v>14155.604</v>
      </c>
    </row>
    <row r="8855">
      <c r="A8855" s="42">
        <f>_xlfn.XLOOKUP(53601,Trip[shape_id],Trip[shape_id],"Não encontrado")</f>
        <v/>
      </c>
      <c r="B8855" s="43" t="n">
        <v>-23.539379</v>
      </c>
      <c r="C8855" s="43" t="n">
        <v>-46.596491</v>
      </c>
      <c r="D8855" s="43" t="n">
        <v>397</v>
      </c>
      <c r="E8855" s="44" t="n">
        <v>14155.604</v>
      </c>
    </row>
    <row r="8856">
      <c r="A8856" s="39">
        <f>_xlfn.XLOOKUP(53601,Trip[shape_id],Trip[shape_id],"Não encontrado")</f>
        <v/>
      </c>
      <c r="B8856" s="40" t="n">
        <v>-23.539609</v>
      </c>
      <c r="C8856" s="40" t="n">
        <v>-46.596174</v>
      </c>
      <c r="D8856" s="40" t="n">
        <v>398</v>
      </c>
      <c r="E8856" s="41" t="n">
        <v>14196.794</v>
      </c>
    </row>
    <row r="8857">
      <c r="A8857" s="42">
        <f>_xlfn.XLOOKUP(53601,Trip[shape_id],Trip[shape_id],"Não encontrado")</f>
        <v/>
      </c>
      <c r="B8857" s="43" t="n">
        <v>-23.540202</v>
      </c>
      <c r="C8857" s="43" t="n">
        <v>-46.59536</v>
      </c>
      <c r="D8857" s="43" t="n">
        <v>399</v>
      </c>
      <c r="E8857" s="44" t="n">
        <v>14302.728</v>
      </c>
    </row>
    <row r="8858">
      <c r="A8858" s="39">
        <f>_xlfn.XLOOKUP(53601,Trip[shape_id],Trip[shape_id],"Não encontrado")</f>
        <v/>
      </c>
      <c r="B8858" s="40" t="n">
        <v>-23.540413</v>
      </c>
      <c r="C8858" s="40" t="n">
        <v>-46.595098</v>
      </c>
      <c r="D8858" s="40" t="n">
        <v>400</v>
      </c>
      <c r="E8858" s="41" t="n">
        <v>14344.708</v>
      </c>
    </row>
    <row r="8859">
      <c r="A8859" s="42">
        <f>_xlfn.XLOOKUP(53601,Trip[shape_id],Trip[shape_id],"Não encontrado")</f>
        <v/>
      </c>
      <c r="B8859" s="43" t="n">
        <v>-23.540454</v>
      </c>
      <c r="C8859" s="43" t="n">
        <v>-46.595053</v>
      </c>
      <c r="D8859" s="43" t="n">
        <v>401</v>
      </c>
      <c r="E8859" s="44" t="n">
        <v>14352.547</v>
      </c>
    </row>
    <row r="8860">
      <c r="A8860" s="39">
        <f>_xlfn.XLOOKUP(53601,Trip[shape_id],Trip[shape_id],"Não encontrado")</f>
        <v/>
      </c>
      <c r="B8860" s="40" t="n">
        <v>-23.540512</v>
      </c>
      <c r="C8860" s="40" t="n">
        <v>-46.595009</v>
      </c>
      <c r="D8860" s="40" t="n">
        <v>402</v>
      </c>
      <c r="E8860" s="41" t="n">
        <v>14360.331</v>
      </c>
    </row>
    <row r="8861">
      <c r="A8861" s="42">
        <f>_xlfn.XLOOKUP(53601,Trip[shape_id],Trip[shape_id],"Não encontrado")</f>
        <v/>
      </c>
      <c r="B8861" s="43" t="n">
        <v>-23.540577</v>
      </c>
      <c r="C8861" s="43" t="n">
        <v>-46.59498</v>
      </c>
      <c r="D8861" s="43" t="n">
        <v>403</v>
      </c>
      <c r="E8861" s="44" t="n">
        <v>14360.331</v>
      </c>
    </row>
    <row r="8862">
      <c r="A8862" s="39">
        <f>_xlfn.XLOOKUP(53601,Trip[shape_id],Trip[shape_id],"Não encontrado")</f>
        <v/>
      </c>
      <c r="B8862" s="40" t="n">
        <v>-23.540977</v>
      </c>
      <c r="C8862" s="40" t="n">
        <v>-46.594814</v>
      </c>
      <c r="D8862" s="40" t="n">
        <v>404</v>
      </c>
      <c r="E8862" s="41" t="n">
        <v>14475.379</v>
      </c>
    </row>
    <row r="8863">
      <c r="A8863" s="42">
        <f>_xlfn.XLOOKUP(53601,Trip[shape_id],Trip[shape_id],"Não encontrado")</f>
        <v/>
      </c>
      <c r="B8863" s="43" t="n">
        <v>-23.541546</v>
      </c>
      <c r="C8863" s="43" t="n">
        <v>-46.594574</v>
      </c>
      <c r="D8863" s="43" t="n">
        <v>405</v>
      </c>
      <c r="E8863" s="44" t="n">
        <v>14475.379</v>
      </c>
    </row>
    <row r="8864">
      <c r="A8864" s="39">
        <f>_xlfn.XLOOKUP(53601,Trip[shape_id],Trip[shape_id],"Não encontrado")</f>
        <v/>
      </c>
      <c r="B8864" s="40" t="n">
        <v>-23.541914</v>
      </c>
      <c r="C8864" s="40" t="n">
        <v>-46.594438</v>
      </c>
      <c r="D8864" s="40" t="n">
        <v>406</v>
      </c>
      <c r="E8864" s="41" t="n">
        <v>14594.203</v>
      </c>
    </row>
    <row r="8865">
      <c r="A8865" s="42">
        <f>_xlfn.XLOOKUP(53601,Trip[shape_id],Trip[shape_id],"Não encontrado")</f>
        <v/>
      </c>
      <c r="B8865" s="43" t="n">
        <v>-23.542553</v>
      </c>
      <c r="C8865" s="43" t="n">
        <v>-46.594173</v>
      </c>
      <c r="D8865" s="43" t="n">
        <v>407</v>
      </c>
      <c r="E8865" s="44" t="n">
        <v>14594.203</v>
      </c>
    </row>
    <row r="8866">
      <c r="A8866" s="39">
        <f>_xlfn.XLOOKUP(53601,Trip[shape_id],Trip[shape_id],"Não encontrado")</f>
        <v/>
      </c>
      <c r="B8866" s="40" t="n">
        <v>-23.54333</v>
      </c>
      <c r="C8866" s="40" t="n">
        <v>-46.593842</v>
      </c>
      <c r="D8866" s="40" t="n">
        <v>408</v>
      </c>
      <c r="E8866" s="41" t="n">
        <v>14686.656</v>
      </c>
    </row>
    <row r="8867">
      <c r="A8867" s="42">
        <f>_xlfn.XLOOKUP(53601,Trip[shape_id],Trip[shape_id],"Não encontrado")</f>
        <v/>
      </c>
      <c r="B8867" s="43" t="n">
        <v>-23.543628</v>
      </c>
      <c r="C8867" s="43" t="n">
        <v>-46.593718</v>
      </c>
      <c r="D8867" s="43" t="n">
        <v>409</v>
      </c>
      <c r="E8867" s="44" t="n">
        <v>14722.006</v>
      </c>
    </row>
    <row r="8868">
      <c r="A8868" s="39">
        <f>_xlfn.XLOOKUP(53601,Trip[shape_id],Trip[shape_id],"Não encontrado")</f>
        <v/>
      </c>
      <c r="B8868" s="40" t="n">
        <v>-23.544143</v>
      </c>
      <c r="C8868" s="40" t="n">
        <v>-46.59349</v>
      </c>
      <c r="D8868" s="40" t="n">
        <v>410</v>
      </c>
      <c r="E8868" s="41" t="n">
        <v>14783.611</v>
      </c>
    </row>
    <row r="8869">
      <c r="A8869" s="42">
        <f>_xlfn.XLOOKUP(53601,Trip[shape_id],Trip[shape_id],"Não encontrado")</f>
        <v/>
      </c>
      <c r="B8869" s="43" t="n">
        <v>-23.54439</v>
      </c>
      <c r="C8869" s="43" t="n">
        <v>-46.593382</v>
      </c>
      <c r="D8869" s="43" t="n">
        <v>411</v>
      </c>
      <c r="E8869" s="44" t="n">
        <v>14813.105</v>
      </c>
    </row>
    <row r="8870">
      <c r="A8870" s="39">
        <f>_xlfn.XLOOKUP(53601,Trip[shape_id],Trip[shape_id],"Não encontrado")</f>
        <v/>
      </c>
      <c r="B8870" s="40" t="n">
        <v>-23.544523</v>
      </c>
      <c r="C8870" s="40" t="n">
        <v>-46.593299</v>
      </c>
      <c r="D8870" s="40" t="n">
        <v>412</v>
      </c>
      <c r="E8870" s="41" t="n">
        <v>14854.462</v>
      </c>
    </row>
    <row r="8871">
      <c r="A8871" s="42">
        <f>_xlfn.XLOOKUP(53601,Trip[shape_id],Trip[shape_id],"Não encontrado")</f>
        <v/>
      </c>
      <c r="B8871" s="43" t="n">
        <v>-23.544705</v>
      </c>
      <c r="C8871" s="43" t="n">
        <v>-46.593165</v>
      </c>
      <c r="D8871" s="43" t="n">
        <v>413</v>
      </c>
      <c r="E8871" s="44" t="n">
        <v>14865.594</v>
      </c>
    </row>
    <row r="8872">
      <c r="A8872" s="39">
        <f>_xlfn.XLOOKUP(53601,Trip[shape_id],Trip[shape_id],"Não encontrado")</f>
        <v/>
      </c>
      <c r="B8872" s="40" t="n">
        <v>-23.544785</v>
      </c>
      <c r="C8872" s="40" t="n">
        <v>-46.593099</v>
      </c>
      <c r="D8872" s="40" t="n">
        <v>414</v>
      </c>
      <c r="E8872" s="41" t="n">
        <v>14865.594</v>
      </c>
    </row>
    <row r="8873">
      <c r="A8873" s="42">
        <f>_xlfn.XLOOKUP(53601,Trip[shape_id],Trip[shape_id],"Não encontrado")</f>
        <v/>
      </c>
      <c r="B8873" s="43" t="n">
        <v>-23.545129</v>
      </c>
      <c r="C8873" s="43" t="n">
        <v>-46.592785</v>
      </c>
      <c r="D8873" s="43" t="n">
        <v>415</v>
      </c>
      <c r="E8873" s="44" t="n">
        <v>14969.113</v>
      </c>
    </row>
    <row r="8874">
      <c r="A8874" s="39">
        <f>_xlfn.XLOOKUP(53601,Trip[shape_id],Trip[shape_id],"Não encontrado")</f>
        <v/>
      </c>
      <c r="B8874" s="40" t="n">
        <v>-23.5455</v>
      </c>
      <c r="C8874" s="40" t="n">
        <v>-46.592446</v>
      </c>
      <c r="D8874" s="40" t="n">
        <v>416</v>
      </c>
      <c r="E8874" s="41" t="n">
        <v>14986.931</v>
      </c>
    </row>
    <row r="8875">
      <c r="A8875" s="42">
        <f>_xlfn.XLOOKUP(53601,Trip[shape_id],Trip[shape_id],"Não encontrado")</f>
        <v/>
      </c>
      <c r="B8875" s="43" t="n">
        <v>-23.545621</v>
      </c>
      <c r="C8875" s="43" t="n">
        <v>-46.592331</v>
      </c>
      <c r="D8875" s="43" t="n">
        <v>417</v>
      </c>
      <c r="E8875" s="44" t="n">
        <v>14986.931</v>
      </c>
    </row>
    <row r="8876">
      <c r="A8876" s="39">
        <f>_xlfn.XLOOKUP(53601,Trip[shape_id],Trip[shape_id],"Não encontrado")</f>
        <v/>
      </c>
      <c r="B8876" s="40" t="n">
        <v>-23.545688</v>
      </c>
      <c r="C8876" s="40" t="n">
        <v>-46.592418</v>
      </c>
      <c r="D8876" s="40" t="n">
        <v>418</v>
      </c>
      <c r="E8876" s="41" t="n">
        <v>14998.505</v>
      </c>
    </row>
    <row r="8877">
      <c r="A8877" s="42">
        <f>_xlfn.XLOOKUP(53601,Trip[shape_id],Trip[shape_id],"Não encontrado")</f>
        <v/>
      </c>
      <c r="B8877" s="43" t="n">
        <v>-23.545985</v>
      </c>
      <c r="C8877" s="43" t="n">
        <v>-46.592159</v>
      </c>
      <c r="D8877" s="43" t="n">
        <v>419</v>
      </c>
      <c r="E8877" s="44" t="n">
        <v>15040.711</v>
      </c>
    </row>
    <row r="8878">
      <c r="A8878" s="39">
        <f>_xlfn.XLOOKUP(53601,Trip[shape_id],Trip[shape_id],"Não encontrado")</f>
        <v/>
      </c>
      <c r="B8878" s="40" t="n">
        <v>-23.547045</v>
      </c>
      <c r="C8878" s="40" t="n">
        <v>-46.591203</v>
      </c>
      <c r="D8878" s="40" t="n">
        <v>420</v>
      </c>
      <c r="E8878" s="41" t="n">
        <v>15193.388</v>
      </c>
    </row>
    <row r="8879">
      <c r="A8879" s="42">
        <f>_xlfn.XLOOKUP(53601,Trip[shape_id],Trip[shape_id],"Não encontrado")</f>
        <v/>
      </c>
      <c r="B8879" s="43" t="n">
        <v>-23.54737</v>
      </c>
      <c r="C8879" s="43" t="n">
        <v>-46.590898</v>
      </c>
      <c r="D8879" s="43" t="n">
        <v>421</v>
      </c>
      <c r="E8879" s="44" t="n">
        <v>15283.426</v>
      </c>
    </row>
    <row r="8880">
      <c r="A8880" s="39">
        <f>_xlfn.XLOOKUP(53601,Trip[shape_id],Trip[shape_id],"Não encontrado")</f>
        <v/>
      </c>
      <c r="B8880" s="40" t="n">
        <v>-23.547666</v>
      </c>
      <c r="C8880" s="40" t="n">
        <v>-46.590634</v>
      </c>
      <c r="D8880" s="40" t="n">
        <v>422</v>
      </c>
      <c r="E8880" s="41" t="n">
        <v>15283.426</v>
      </c>
    </row>
    <row r="8881">
      <c r="A8881" s="42">
        <f>_xlfn.XLOOKUP(53601,Trip[shape_id],Trip[shape_id],"Não encontrado")</f>
        <v/>
      </c>
      <c r="B8881" s="43" t="n">
        <v>-23.548008</v>
      </c>
      <c r="C8881" s="43" t="n">
        <v>-46.590309</v>
      </c>
      <c r="D8881" s="43" t="n">
        <v>423</v>
      </c>
      <c r="E8881" s="44" t="n">
        <v>15333.783</v>
      </c>
    </row>
    <row r="8882">
      <c r="A8882" s="39">
        <f>_xlfn.XLOOKUP(53601,Trip[shape_id],Trip[shape_id],"Não encontrado")</f>
        <v/>
      </c>
      <c r="B8882" s="40" t="n">
        <v>-23.548638</v>
      </c>
      <c r="C8882" s="40" t="n">
        <v>-46.589737</v>
      </c>
      <c r="D8882" s="40" t="n">
        <v>424</v>
      </c>
      <c r="E8882" s="41" t="n">
        <v>15424.773</v>
      </c>
    </row>
    <row r="8883">
      <c r="A8883" s="42">
        <f>_xlfn.XLOOKUP(53601,Trip[shape_id],Trip[shape_id],"Não encontrado")</f>
        <v/>
      </c>
      <c r="B8883" s="43" t="n">
        <v>-23.549239</v>
      </c>
      <c r="C8883" s="43" t="n">
        <v>-46.589182</v>
      </c>
      <c r="D8883" s="43" t="n">
        <v>425</v>
      </c>
      <c r="E8883" s="44" t="n">
        <v>15512.19</v>
      </c>
    </row>
    <row r="8884">
      <c r="A8884" s="39">
        <f>_xlfn.XLOOKUP(53601,Trip[shape_id],Trip[shape_id],"Não encontrado")</f>
        <v/>
      </c>
      <c r="B8884" s="40" t="n">
        <v>-23.549574</v>
      </c>
      <c r="C8884" s="40" t="n">
        <v>-46.588875</v>
      </c>
      <c r="D8884" s="40" t="n">
        <v>426</v>
      </c>
      <c r="E8884" s="41" t="n">
        <v>15565.406</v>
      </c>
    </row>
    <row r="8885">
      <c r="A8885" s="42">
        <f>_xlfn.XLOOKUP(53601,Trip[shape_id],Trip[shape_id],"Não encontrado")</f>
        <v/>
      </c>
      <c r="B8885" s="43" t="n">
        <v>-23.549594</v>
      </c>
      <c r="C8885" s="43" t="n">
        <v>-46.588835</v>
      </c>
      <c r="D8885" s="43" t="n">
        <v>427</v>
      </c>
      <c r="E8885" s="44" t="n">
        <v>15571.217</v>
      </c>
    </row>
    <row r="8886">
      <c r="A8886" s="39">
        <f>_xlfn.XLOOKUP(53601,Trip[shape_id],Trip[shape_id],"Não encontrado")</f>
        <v/>
      </c>
      <c r="B8886" s="40" t="n">
        <v>-23.549642</v>
      </c>
      <c r="C8886" s="40" t="n">
        <v>-46.588812</v>
      </c>
      <c r="D8886" s="40" t="n">
        <v>428</v>
      </c>
      <c r="E8886" s="41" t="n">
        <v>15633.72</v>
      </c>
    </row>
    <row r="8887">
      <c r="A8887" s="42">
        <f>_xlfn.XLOOKUP(53601,Trip[shape_id],Trip[shape_id],"Não encontrado")</f>
        <v/>
      </c>
      <c r="B8887" s="43" t="n">
        <v>-23.55007</v>
      </c>
      <c r="C8887" s="43" t="n">
        <v>-46.588413</v>
      </c>
      <c r="D8887" s="43" t="n">
        <v>429</v>
      </c>
      <c r="E8887" s="44" t="n">
        <v>15643.858</v>
      </c>
    </row>
    <row r="8888">
      <c r="A8888" s="39">
        <f>_xlfn.XLOOKUP(53601,Trip[shape_id],Trip[shape_id],"Não encontrado")</f>
        <v/>
      </c>
      <c r="B8888" s="40" t="n">
        <v>-23.550134</v>
      </c>
      <c r="C8888" s="40" t="n">
        <v>-46.588342</v>
      </c>
      <c r="D8888" s="40" t="n">
        <v>430</v>
      </c>
      <c r="E8888" s="41" t="n">
        <v>15643.858</v>
      </c>
    </row>
    <row r="8889">
      <c r="A8889" s="42">
        <f>_xlfn.XLOOKUP(53601,Trip[shape_id],Trip[shape_id],"Não encontrado")</f>
        <v/>
      </c>
      <c r="B8889" s="43" t="n">
        <v>-23.54943</v>
      </c>
      <c r="C8889" s="43" t="n">
        <v>-46.587652</v>
      </c>
      <c r="D8889" s="43" t="n">
        <v>431</v>
      </c>
      <c r="E8889" s="44" t="n">
        <v>15748.941</v>
      </c>
    </row>
    <row r="8890">
      <c r="A8890" s="39">
        <f>_xlfn.XLOOKUP(53601,Trip[shape_id],Trip[shape_id],"Não encontrado")</f>
        <v/>
      </c>
      <c r="B8890" s="40" t="n">
        <v>-23.548967</v>
      </c>
      <c r="C8890" s="40" t="n">
        <v>-46.587203</v>
      </c>
      <c r="D8890" s="40" t="n">
        <v>432</v>
      </c>
      <c r="E8890" s="41" t="n">
        <v>15817.725</v>
      </c>
    </row>
    <row r="8891">
      <c r="A8891" s="42">
        <f>_xlfn.XLOOKUP(53601,Trip[shape_id],Trip[shape_id],"Não encontrado")</f>
        <v/>
      </c>
      <c r="B8891" s="43" t="n">
        <v>-23.548219</v>
      </c>
      <c r="C8891" s="43" t="n">
        <v>-46.586458</v>
      </c>
      <c r="D8891" s="43" t="n">
        <v>433</v>
      </c>
      <c r="E8891" s="44" t="n">
        <v>15930.192</v>
      </c>
    </row>
    <row r="8892">
      <c r="A8892" s="39">
        <f>_xlfn.XLOOKUP(53601,Trip[shape_id],Trip[shape_id],"Não encontrado")</f>
        <v/>
      </c>
      <c r="B8892" s="40" t="n">
        <v>-23.547811</v>
      </c>
      <c r="C8892" s="40" t="n">
        <v>-46.586065</v>
      </c>
      <c r="D8892" s="40" t="n">
        <v>434</v>
      </c>
      <c r="E8892" s="41" t="n">
        <v>15990.624</v>
      </c>
    </row>
    <row r="8893">
      <c r="A8893" s="42">
        <f>_xlfn.XLOOKUP(53601,Trip[shape_id],Trip[shape_id],"Não encontrado")</f>
        <v/>
      </c>
      <c r="B8893" s="43" t="n">
        <v>-23.547703</v>
      </c>
      <c r="C8893" s="43" t="n">
        <v>-46.585961</v>
      </c>
      <c r="D8893" s="43" t="n">
        <v>435</v>
      </c>
      <c r="E8893" s="44" t="n">
        <v>16006.619</v>
      </c>
    </row>
    <row r="8894">
      <c r="A8894" s="39">
        <f>_xlfn.XLOOKUP(53601,Trip[shape_id],Trip[shape_id],"Não encontrado")</f>
        <v/>
      </c>
      <c r="B8894" s="40" t="n">
        <v>-23.547363</v>
      </c>
      <c r="C8894" s="40" t="n">
        <v>-46.58563</v>
      </c>
      <c r="D8894" s="40" t="n">
        <v>436</v>
      </c>
      <c r="E8894" s="41" t="n">
        <v>16057.217</v>
      </c>
    </row>
    <row r="8895">
      <c r="A8895" s="42">
        <f>_xlfn.XLOOKUP(53601,Trip[shape_id],Trip[shape_id],"Não encontrado")</f>
        <v/>
      </c>
      <c r="B8895" s="43" t="n">
        <v>-23.547108</v>
      </c>
      <c r="C8895" s="43" t="n">
        <v>-46.585381</v>
      </c>
      <c r="D8895" s="43" t="n">
        <v>437</v>
      </c>
      <c r="E8895" s="44" t="n">
        <v>16095.217</v>
      </c>
    </row>
    <row r="8896">
      <c r="A8896" s="39">
        <f>_xlfn.XLOOKUP(53601,Trip[shape_id],Trip[shape_id],"Não encontrado")</f>
        <v/>
      </c>
      <c r="B8896" s="40" t="n">
        <v>-23.546857</v>
      </c>
      <c r="C8896" s="40" t="n">
        <v>-46.585144</v>
      </c>
      <c r="D8896" s="40" t="n">
        <v>438</v>
      </c>
      <c r="E8896" s="41" t="n">
        <v>16132.072</v>
      </c>
    </row>
    <row r="8897">
      <c r="A8897" s="42">
        <f>_xlfn.XLOOKUP(53601,Trip[shape_id],Trip[shape_id],"Não encontrado")</f>
        <v/>
      </c>
      <c r="B8897" s="43" t="n">
        <v>-23.546272</v>
      </c>
      <c r="C8897" s="43" t="n">
        <v>-46.584563</v>
      </c>
      <c r="D8897" s="43" t="n">
        <v>439</v>
      </c>
      <c r="E8897" s="44" t="n">
        <v>16219.918</v>
      </c>
    </row>
    <row r="8898">
      <c r="A8898" s="39">
        <f>_xlfn.XLOOKUP(53601,Trip[shape_id],Trip[shape_id],"Não encontrado")</f>
        <v/>
      </c>
      <c r="B8898" s="40" t="n">
        <v>-23.545795</v>
      </c>
      <c r="C8898" s="40" t="n">
        <v>-46.584964</v>
      </c>
      <c r="D8898" s="40" t="n">
        <v>440</v>
      </c>
      <c r="E8898" s="41" t="n">
        <v>16286.756</v>
      </c>
    </row>
    <row r="8899">
      <c r="A8899" s="42">
        <f>_xlfn.XLOOKUP(53601,Trip[shape_id],Trip[shape_id],"Não encontrado")</f>
        <v/>
      </c>
      <c r="B8899" s="43" t="n">
        <v>-23.545511</v>
      </c>
      <c r="C8899" s="43" t="n">
        <v>-46.585207</v>
      </c>
      <c r="D8899" s="43" t="n">
        <v>441</v>
      </c>
      <c r="E8899" s="44" t="n">
        <v>16326.817</v>
      </c>
    </row>
    <row r="8900">
      <c r="A8900" s="39">
        <f>_xlfn.XLOOKUP(53601,Trip[shape_id],Trip[shape_id],"Não encontrado")</f>
        <v/>
      </c>
      <c r="B8900" s="40" t="n">
        <v>-23.545145</v>
      </c>
      <c r="C8900" s="40" t="n">
        <v>-46.585522</v>
      </c>
      <c r="D8900" s="40" t="n">
        <v>442</v>
      </c>
      <c r="E8900" s="41" t="n">
        <v>16378.563</v>
      </c>
    </row>
    <row r="8901">
      <c r="A8901" s="42">
        <f>_xlfn.XLOOKUP(53601,Trip[shape_id],Trip[shape_id],"Não encontrado")</f>
        <v/>
      </c>
      <c r="B8901" s="43" t="n">
        <v>-23.544446</v>
      </c>
      <c r="C8901" s="43" t="n">
        <v>-46.586102</v>
      </c>
      <c r="D8901" s="43" t="n">
        <v>443</v>
      </c>
      <c r="E8901" s="44" t="n">
        <v>16476.033</v>
      </c>
    </row>
    <row r="8902">
      <c r="A8902" s="39">
        <f>_xlfn.XLOOKUP(53601,Trip[shape_id],Trip[shape_id],"Não encontrado")</f>
        <v/>
      </c>
      <c r="B8902" s="40" t="n">
        <v>-23.543919</v>
      </c>
      <c r="C8902" s="40" t="n">
        <v>-46.586542</v>
      </c>
      <c r="D8902" s="40" t="n">
        <v>444</v>
      </c>
      <c r="E8902" s="41" t="n">
        <v>16549.688</v>
      </c>
    </row>
    <row r="8903">
      <c r="A8903" s="42">
        <f>_xlfn.XLOOKUP(53601,Trip[shape_id],Trip[shape_id],"Não encontrado")</f>
        <v/>
      </c>
      <c r="B8903" s="43" t="n">
        <v>-23.543322</v>
      </c>
      <c r="C8903" s="43" t="n">
        <v>-46.587028</v>
      </c>
      <c r="D8903" s="43" t="n">
        <v>445</v>
      </c>
      <c r="E8903" s="44" t="n">
        <v>16632.357</v>
      </c>
    </row>
    <row r="8904">
      <c r="A8904" s="39">
        <f>_xlfn.XLOOKUP(53601,Trip[shape_id],Trip[shape_id],"Não encontrado")</f>
        <v/>
      </c>
      <c r="B8904" s="40" t="n">
        <v>-23.542911</v>
      </c>
      <c r="C8904" s="40" t="n">
        <v>-46.584872</v>
      </c>
      <c r="D8904" s="40" t="n">
        <v>446</v>
      </c>
      <c r="E8904" s="41" t="n">
        <v>17055.789</v>
      </c>
    </row>
    <row r="8905">
      <c r="A8905" s="42">
        <f>_xlfn.XLOOKUP(53601,Trip[shape_id],Trip[shape_id],"Não encontrado")</f>
        <v/>
      </c>
      <c r="B8905" s="43" t="n">
        <v>-23.542539</v>
      </c>
      <c r="C8905" s="43" t="n">
        <v>-46.582969</v>
      </c>
      <c r="D8905" s="43" t="n">
        <v>447</v>
      </c>
      <c r="E8905" s="44" t="n">
        <v>17055.789</v>
      </c>
    </row>
    <row r="8906">
      <c r="A8906" s="39">
        <f>_xlfn.XLOOKUP(53601,Trip[shape_id],Trip[shape_id],"Não encontrado")</f>
        <v/>
      </c>
      <c r="B8906" s="40" t="n">
        <v>-23.542452</v>
      </c>
      <c r="C8906" s="40" t="n">
        <v>-46.582587</v>
      </c>
      <c r="D8906" s="40" t="n">
        <v>448</v>
      </c>
      <c r="E8906" s="41" t="n">
        <v>17095.967</v>
      </c>
    </row>
    <row r="8907">
      <c r="A8907" s="42">
        <f>_xlfn.XLOOKUP(53601,Trip[shape_id],Trip[shape_id],"Não encontrado")</f>
        <v/>
      </c>
      <c r="B8907" s="43" t="n">
        <v>-23.542298</v>
      </c>
      <c r="C8907" s="43" t="n">
        <v>-46.581994</v>
      </c>
      <c r="D8907" s="43" t="n">
        <v>449</v>
      </c>
      <c r="E8907" s="44" t="n">
        <v>17210.545</v>
      </c>
    </row>
    <row r="8908">
      <c r="A8908" s="39">
        <f>_xlfn.XLOOKUP(53601,Trip[shape_id],Trip[shape_id],"Não encontrado")</f>
        <v/>
      </c>
      <c r="B8908" s="40" t="n">
        <v>-23.542201</v>
      </c>
      <c r="C8908" s="40" t="n">
        <v>-46.581499</v>
      </c>
      <c r="D8908" s="40" t="n">
        <v>450</v>
      </c>
      <c r="E8908" s="41" t="n">
        <v>17210.545</v>
      </c>
    </row>
    <row r="8909">
      <c r="A8909" s="42">
        <f>_xlfn.XLOOKUP(53601,Trip[shape_id],Trip[shape_id],"Não encontrado")</f>
        <v/>
      </c>
      <c r="B8909" s="43" t="n">
        <v>-23.542178</v>
      </c>
      <c r="C8909" s="43" t="n">
        <v>-46.581384</v>
      </c>
      <c r="D8909" s="43" t="n">
        <v>451</v>
      </c>
      <c r="E8909" s="44" t="n">
        <v>17222.561</v>
      </c>
    </row>
    <row r="8910">
      <c r="A8910" s="39">
        <f>_xlfn.XLOOKUP(53601,Trip[shape_id],Trip[shape_id],"Não encontrado")</f>
        <v/>
      </c>
      <c r="B8910" s="40" t="n">
        <v>-23.542077</v>
      </c>
      <c r="C8910" s="40" t="n">
        <v>-46.580834</v>
      </c>
      <c r="D8910" s="40" t="n">
        <v>452</v>
      </c>
      <c r="E8910" s="41" t="n">
        <v>17279.824</v>
      </c>
    </row>
    <row r="8911">
      <c r="A8911" s="42">
        <f>_xlfn.XLOOKUP(53601,Trip[shape_id],Trip[shape_id],"Não encontrado")</f>
        <v/>
      </c>
      <c r="B8911" s="43" t="n">
        <v>-23.542059</v>
      </c>
      <c r="C8911" s="43" t="n">
        <v>-46.58071</v>
      </c>
      <c r="D8911" s="43" t="n">
        <v>453</v>
      </c>
      <c r="E8911" s="44" t="n">
        <v>17292.643</v>
      </c>
    </row>
    <row r="8912">
      <c r="A8912" s="39">
        <f>_xlfn.XLOOKUP(53601,Trip[shape_id],Trip[shape_id],"Não encontrado")</f>
        <v/>
      </c>
      <c r="B8912" s="40" t="n">
        <v>-23.542028</v>
      </c>
      <c r="C8912" s="40" t="n">
        <v>-46.58056</v>
      </c>
      <c r="D8912" s="40" t="n">
        <v>454</v>
      </c>
      <c r="E8912" s="41" t="n">
        <v>17308.338</v>
      </c>
    </row>
    <row r="8913">
      <c r="A8913" s="42">
        <f>_xlfn.XLOOKUP(53601,Trip[shape_id],Trip[shape_id],"Não encontrado")</f>
        <v/>
      </c>
      <c r="B8913" s="43" t="n">
        <v>-23.541994</v>
      </c>
      <c r="C8913" s="43" t="n">
        <v>-46.580414</v>
      </c>
      <c r="D8913" s="43" t="n">
        <v>455</v>
      </c>
      <c r="E8913" s="44" t="n">
        <v>17323.713</v>
      </c>
    </row>
    <row r="8914">
      <c r="A8914" s="39">
        <f>_xlfn.XLOOKUP(53601,Trip[shape_id],Trip[shape_id],"Não encontrado")</f>
        <v/>
      </c>
      <c r="B8914" s="40" t="n">
        <v>-23.541987</v>
      </c>
      <c r="C8914" s="40" t="n">
        <v>-46.580275</v>
      </c>
      <c r="D8914" s="40" t="n">
        <v>456</v>
      </c>
      <c r="E8914" s="41" t="n">
        <v>17337.928</v>
      </c>
    </row>
    <row r="8915">
      <c r="A8915" s="42">
        <f>_xlfn.XLOOKUP(53601,Trip[shape_id],Trip[shape_id],"Não encontrado")</f>
        <v/>
      </c>
      <c r="B8915" s="43" t="n">
        <v>-23.5419</v>
      </c>
      <c r="C8915" s="43" t="n">
        <v>-46.579898</v>
      </c>
      <c r="D8915" s="43" t="n">
        <v>457</v>
      </c>
      <c r="E8915" s="44" t="n">
        <v>17377.609</v>
      </c>
    </row>
    <row r="8916">
      <c r="A8916" s="39">
        <f>_xlfn.XLOOKUP(53601,Trip[shape_id],Trip[shape_id],"Não encontrado")</f>
        <v/>
      </c>
      <c r="B8916" s="40" t="n">
        <v>-23.541877</v>
      </c>
      <c r="C8916" s="40" t="n">
        <v>-46.579802</v>
      </c>
      <c r="D8916" s="40" t="n">
        <v>458</v>
      </c>
      <c r="E8916" s="41" t="n">
        <v>17387.738</v>
      </c>
    </row>
    <row r="8917">
      <c r="A8917" s="42">
        <f>_xlfn.XLOOKUP(53601,Trip[shape_id],Trip[shape_id],"Não encontrado")</f>
        <v/>
      </c>
      <c r="B8917" s="43" t="n">
        <v>-23.541829</v>
      </c>
      <c r="C8917" s="43" t="n">
        <v>-46.579618</v>
      </c>
      <c r="D8917" s="43" t="n">
        <v>459</v>
      </c>
      <c r="E8917" s="44" t="n">
        <v>17420.447</v>
      </c>
    </row>
    <row r="8918">
      <c r="A8918" s="39">
        <f>_xlfn.XLOOKUP(53601,Trip[shape_id],Trip[shape_id],"Não encontrado")</f>
        <v/>
      </c>
      <c r="B8918" s="40" t="n">
        <v>-23.54179</v>
      </c>
      <c r="C8918" s="40" t="n">
        <v>-46.579496</v>
      </c>
      <c r="D8918" s="40" t="n">
        <v>460</v>
      </c>
      <c r="E8918" s="41" t="n">
        <v>17420.447</v>
      </c>
    </row>
    <row r="8919">
      <c r="A8919" s="42">
        <f>_xlfn.XLOOKUP(53601,Trip[shape_id],Trip[shape_id],"Não encontrado")</f>
        <v/>
      </c>
      <c r="B8919" s="43" t="n">
        <v>-23.541718</v>
      </c>
      <c r="C8919" s="43" t="n">
        <v>-46.579271</v>
      </c>
      <c r="D8919" s="43" t="n">
        <v>461</v>
      </c>
      <c r="E8919" s="44" t="n">
        <v>17476.43</v>
      </c>
    </row>
    <row r="8920">
      <c r="A8920" s="39">
        <f>_xlfn.XLOOKUP(53601,Trip[shape_id],Trip[shape_id],"Não encontrado")</f>
        <v/>
      </c>
      <c r="B8920" s="40" t="n">
        <v>-23.541612</v>
      </c>
      <c r="C8920" s="40" t="n">
        <v>-46.578983</v>
      </c>
      <c r="D8920" s="40" t="n">
        <v>462</v>
      </c>
      <c r="E8920" s="41" t="n">
        <v>17516.957</v>
      </c>
    </row>
    <row r="8921">
      <c r="A8921" s="42">
        <f>_xlfn.XLOOKUP(53601,Trip[shape_id],Trip[shape_id],"Não encontrado")</f>
        <v/>
      </c>
      <c r="B8921" s="43" t="n">
        <v>-23.541464</v>
      </c>
      <c r="C8921" s="43" t="n">
        <v>-46.57862</v>
      </c>
      <c r="D8921" s="43" t="n">
        <v>463</v>
      </c>
      <c r="E8921" s="44" t="n">
        <v>17516.957</v>
      </c>
    </row>
    <row r="8922">
      <c r="A8922" s="39">
        <f>_xlfn.XLOOKUP(53601,Trip[shape_id],Trip[shape_id],"Não encontrado")</f>
        <v/>
      </c>
      <c r="B8922" s="40" t="n">
        <v>-23.541394</v>
      </c>
      <c r="C8922" s="40" t="n">
        <v>-46.578451</v>
      </c>
      <c r="D8922" s="40" t="n">
        <v>464</v>
      </c>
      <c r="E8922" s="41" t="n">
        <v>17552.104</v>
      </c>
    </row>
    <row r="8923">
      <c r="A8923" s="42">
        <f>_xlfn.XLOOKUP(53601,Trip[shape_id],Trip[shape_id],"Não encontrado")</f>
        <v/>
      </c>
      <c r="B8923" s="43" t="n">
        <v>-23.541332</v>
      </c>
      <c r="C8923" s="43" t="n">
        <v>-46.578307</v>
      </c>
      <c r="D8923" s="43" t="n">
        <v>465</v>
      </c>
      <c r="E8923" s="44" t="n">
        <v>17578.383</v>
      </c>
    </row>
    <row r="8924">
      <c r="A8924" s="39">
        <f>_xlfn.XLOOKUP(53601,Trip[shape_id],Trip[shape_id],"Não encontrado")</f>
        <v/>
      </c>
      <c r="B8924" s="40" t="n">
        <v>-23.541244</v>
      </c>
      <c r="C8924" s="40" t="n">
        <v>-46.578068</v>
      </c>
      <c r="D8924" s="40" t="n">
        <v>466</v>
      </c>
      <c r="E8924" s="41" t="n">
        <v>17594.922</v>
      </c>
    </row>
    <row r="8925">
      <c r="A8925" s="42">
        <f>_xlfn.XLOOKUP(53601,Trip[shape_id],Trip[shape_id],"Não encontrado")</f>
        <v/>
      </c>
      <c r="B8925" s="43" t="n">
        <v>-23.541195</v>
      </c>
      <c r="C8925" s="43" t="n">
        <v>-46.577915</v>
      </c>
      <c r="D8925" s="43" t="n">
        <v>467</v>
      </c>
      <c r="E8925" s="44" t="n">
        <v>17608.83</v>
      </c>
    </row>
    <row r="8926">
      <c r="A8926" s="39">
        <f>_xlfn.XLOOKUP(53601,Trip[shape_id],Trip[shape_id],"Não encontrado")</f>
        <v/>
      </c>
      <c r="B8926" s="40" t="n">
        <v>-23.541164</v>
      </c>
      <c r="C8926" s="40" t="n">
        <v>-46.577783</v>
      </c>
      <c r="D8926" s="40" t="n">
        <v>468</v>
      </c>
      <c r="E8926" s="41" t="n">
        <v>17628.582</v>
      </c>
    </row>
    <row r="8927">
      <c r="A8927" s="42">
        <f>_xlfn.XLOOKUP(53601,Trip[shape_id],Trip[shape_id],"Não encontrado")</f>
        <v/>
      </c>
      <c r="B8927" s="43" t="n">
        <v>-23.541115</v>
      </c>
      <c r="C8927" s="43" t="n">
        <v>-46.577597</v>
      </c>
      <c r="D8927" s="43" t="n">
        <v>469</v>
      </c>
      <c r="E8927" s="44" t="n">
        <v>17628.582</v>
      </c>
    </row>
    <row r="8928">
      <c r="A8928" s="39">
        <f>_xlfn.XLOOKUP(53601,Trip[shape_id],Trip[shape_id],"Não encontrado")</f>
        <v/>
      </c>
      <c r="B8928" s="40" t="n">
        <v>-23.541045</v>
      </c>
      <c r="C8928" s="40" t="n">
        <v>-46.577278</v>
      </c>
      <c r="D8928" s="40" t="n">
        <v>470</v>
      </c>
      <c r="E8928" s="41" t="n">
        <v>17662.064</v>
      </c>
    </row>
    <row r="8929">
      <c r="A8929" s="42">
        <f>_xlfn.XLOOKUP(53601,Trip[shape_id],Trip[shape_id],"Não encontrado")</f>
        <v/>
      </c>
      <c r="B8929" s="43" t="n">
        <v>-23.541002</v>
      </c>
      <c r="C8929" s="43" t="n">
        <v>-46.576953</v>
      </c>
      <c r="D8929" s="43" t="n">
        <v>471</v>
      </c>
      <c r="E8929" s="44" t="n">
        <v>17695.59</v>
      </c>
    </row>
    <row r="8930">
      <c r="A8930" s="39">
        <f>_xlfn.XLOOKUP(53601,Trip[shape_id],Trip[shape_id],"Não encontrado")</f>
        <v/>
      </c>
      <c r="B8930" s="40" t="n">
        <v>-23.540959</v>
      </c>
      <c r="C8930" s="40" t="n">
        <v>-46.576741</v>
      </c>
      <c r="D8930" s="40" t="n">
        <v>472</v>
      </c>
      <c r="E8930" s="41" t="n">
        <v>17717.754</v>
      </c>
    </row>
    <row r="8931">
      <c r="A8931" s="42">
        <f>_xlfn.XLOOKUP(53601,Trip[shape_id],Trip[shape_id],"Não encontrado")</f>
        <v/>
      </c>
      <c r="B8931" s="43" t="n">
        <v>-23.540824</v>
      </c>
      <c r="C8931" s="43" t="n">
        <v>-46.576064</v>
      </c>
      <c r="D8931" s="43" t="n">
        <v>473</v>
      </c>
      <c r="E8931" s="44" t="n">
        <v>17812.611</v>
      </c>
    </row>
    <row r="8932">
      <c r="A8932" s="39">
        <f>_xlfn.XLOOKUP(53601,Trip[shape_id],Trip[shape_id],"Não encontrado")</f>
        <v/>
      </c>
      <c r="B8932" s="40" t="n">
        <v>-23.540778</v>
      </c>
      <c r="C8932" s="40" t="n">
        <v>-46.575833</v>
      </c>
      <c r="D8932" s="40" t="n">
        <v>474</v>
      </c>
      <c r="E8932" s="41" t="n">
        <v>17828.408</v>
      </c>
    </row>
    <row r="8933">
      <c r="A8933" s="42">
        <f>_xlfn.XLOOKUP(53601,Trip[shape_id],Trip[shape_id],"Não encontrado")</f>
        <v/>
      </c>
      <c r="B8933" s="43" t="n">
        <v>-23.540747</v>
      </c>
      <c r="C8933" s="43" t="n">
        <v>-46.575682</v>
      </c>
      <c r="D8933" s="43" t="n">
        <v>475</v>
      </c>
      <c r="E8933" s="44" t="n">
        <v>17836.145</v>
      </c>
    </row>
    <row r="8934">
      <c r="A8934" s="39">
        <f>_xlfn.XLOOKUP(53601,Trip[shape_id],Trip[shape_id],"Não encontrado")</f>
        <v/>
      </c>
      <c r="B8934" s="40" t="n">
        <v>-23.540732</v>
      </c>
      <c r="C8934" s="40" t="n">
        <v>-46.575608</v>
      </c>
      <c r="D8934" s="40" t="n">
        <v>476</v>
      </c>
      <c r="E8934" s="41" t="n">
        <v>17846.395</v>
      </c>
    </row>
    <row r="8935">
      <c r="A8935" s="42">
        <f>_xlfn.XLOOKUP(53601,Trip[shape_id],Trip[shape_id],"Não encontrado")</f>
        <v/>
      </c>
      <c r="B8935" s="43" t="n">
        <v>-23.540712</v>
      </c>
      <c r="C8935" s="43" t="n">
        <v>-46.57551</v>
      </c>
      <c r="D8935" s="43" t="n">
        <v>477</v>
      </c>
      <c r="E8935" s="44" t="n">
        <v>17853.936</v>
      </c>
    </row>
    <row r="8936">
      <c r="A8936" s="39">
        <f>_xlfn.XLOOKUP(53601,Trip[shape_id],Trip[shape_id],"Não encontrado")</f>
        <v/>
      </c>
      <c r="B8936" s="40" t="n">
        <v>-23.540678</v>
      </c>
      <c r="C8936" s="40" t="n">
        <v>-46.575446</v>
      </c>
      <c r="D8936" s="40" t="n">
        <v>478</v>
      </c>
      <c r="E8936" s="41" t="n">
        <v>17853.936</v>
      </c>
    </row>
    <row r="8937">
      <c r="A8937" s="42">
        <f>_xlfn.XLOOKUP(53601,Trip[shape_id],Trip[shape_id],"Não encontrado")</f>
        <v/>
      </c>
      <c r="B8937" s="43" t="n">
        <v>-23.540827</v>
      </c>
      <c r="C8937" s="43" t="n">
        <v>-46.575412</v>
      </c>
      <c r="D8937" s="43" t="n">
        <v>479</v>
      </c>
      <c r="E8937" s="44" t="n">
        <v>17870.799</v>
      </c>
    </row>
    <row r="8938">
      <c r="A8938" s="39">
        <f>_xlfn.XLOOKUP(53601,Trip[shape_id],Trip[shape_id],"Não encontrado")</f>
        <v/>
      </c>
      <c r="B8938" s="40" t="n">
        <v>-23.541763</v>
      </c>
      <c r="C8938" s="40" t="n">
        <v>-46.575226</v>
      </c>
      <c r="D8938" s="40" t="n">
        <v>480</v>
      </c>
      <c r="E8938" s="41" t="n">
        <v>17976.188</v>
      </c>
    </row>
    <row r="8939">
      <c r="A8939" s="42">
        <f>_xlfn.XLOOKUP(53601,Trip[shape_id],Trip[shape_id],"Não encontrado")</f>
        <v/>
      </c>
      <c r="B8939" s="43" t="n">
        <v>-23.541905</v>
      </c>
      <c r="C8939" s="43" t="n">
        <v>-46.575184</v>
      </c>
      <c r="D8939" s="43" t="n">
        <v>481</v>
      </c>
      <c r="E8939" s="44" t="n">
        <v>17992.488</v>
      </c>
    </row>
    <row r="8940">
      <c r="A8940" s="39">
        <f>_xlfn.XLOOKUP(53601,Trip[shape_id],Trip[shape_id],"Não encontrado")</f>
        <v/>
      </c>
      <c r="B8940" s="40" t="n">
        <v>-23.542412</v>
      </c>
      <c r="C8940" s="40" t="n">
        <v>-46.575056</v>
      </c>
      <c r="D8940" s="40" t="n">
        <v>482</v>
      </c>
      <c r="E8940" s="41" t="n">
        <v>18050.141</v>
      </c>
    </row>
    <row r="8941">
      <c r="A8941" s="42">
        <f>_xlfn.XLOOKUP(53601,Trip[shape_id],Trip[shape_id],"Não encontrado")</f>
        <v/>
      </c>
      <c r="B8941" s="43" t="n">
        <v>-23.542827</v>
      </c>
      <c r="C8941" s="43" t="n">
        <v>-46.574961</v>
      </c>
      <c r="D8941" s="43" t="n">
        <v>483</v>
      </c>
      <c r="E8941" s="44" t="n">
        <v>18097.115</v>
      </c>
    </row>
    <row r="8942">
      <c r="A8942" s="39">
        <f>_xlfn.XLOOKUP(53601,Trip[shape_id],Trip[shape_id],"Não encontrado")</f>
        <v/>
      </c>
      <c r="B8942" s="40" t="n">
        <v>-23.543459</v>
      </c>
      <c r="C8942" s="40" t="n">
        <v>-46.574811</v>
      </c>
      <c r="D8942" s="40" t="n">
        <v>484</v>
      </c>
      <c r="E8942" s="41" t="n">
        <v>18168.766</v>
      </c>
    </row>
    <row r="8943">
      <c r="A8943" s="42">
        <f>_xlfn.XLOOKUP(53601,Trip[shape_id],Trip[shape_id],"Não encontrado")</f>
        <v/>
      </c>
      <c r="B8943" s="43" t="n">
        <v>-23.543703</v>
      </c>
      <c r="C8943" s="43" t="n">
        <v>-46.574755</v>
      </c>
      <c r="D8943" s="43" t="n">
        <v>485</v>
      </c>
      <c r="E8943" s="44" t="n">
        <v>18196.387</v>
      </c>
    </row>
    <row r="8944">
      <c r="A8944" s="39">
        <f>_xlfn.XLOOKUP(53601,Trip[shape_id],Trip[shape_id],"Não encontrado")</f>
        <v/>
      </c>
      <c r="B8944" s="40" t="n">
        <v>-23.544425</v>
      </c>
      <c r="C8944" s="40" t="n">
        <v>-46.574584</v>
      </c>
      <c r="D8944" s="40" t="n">
        <v>486</v>
      </c>
      <c r="E8944" s="41" t="n">
        <v>18278.234</v>
      </c>
    </row>
    <row r="8945">
      <c r="A8945" s="42">
        <f>_xlfn.XLOOKUP(53601,Trip[shape_id],Trip[shape_id],"Não encontrado")</f>
        <v/>
      </c>
      <c r="B8945" s="43" t="n">
        <v>-23.544554</v>
      </c>
      <c r="C8945" s="43" t="n">
        <v>-46.574554</v>
      </c>
      <c r="D8945" s="43" t="n">
        <v>487</v>
      </c>
      <c r="E8945" s="44" t="n">
        <v>18292.846</v>
      </c>
    </row>
    <row r="8946">
      <c r="A8946" s="39">
        <f>_xlfn.XLOOKUP(53601,Trip[shape_id],Trip[shape_id],"Não encontrado")</f>
        <v/>
      </c>
      <c r="B8946" s="40" t="n">
        <v>-23.545237</v>
      </c>
      <c r="C8946" s="40" t="n">
        <v>-46.574395</v>
      </c>
      <c r="D8946" s="40" t="n">
        <v>488</v>
      </c>
      <c r="E8946" s="41" t="n">
        <v>18370.211</v>
      </c>
    </row>
    <row r="8947">
      <c r="A8947" s="42">
        <f>_xlfn.XLOOKUP(53601,Trip[shape_id],Trip[shape_id],"Não encontrado")</f>
        <v/>
      </c>
      <c r="B8947" s="43" t="n">
        <v>-23.546124</v>
      </c>
      <c r="C8947" s="43" t="n">
        <v>-46.574184</v>
      </c>
      <c r="D8947" s="43" t="n">
        <v>489</v>
      </c>
      <c r="E8947" s="44" t="n">
        <v>18470.783</v>
      </c>
    </row>
    <row r="8948">
      <c r="A8948" s="39">
        <f>_xlfn.XLOOKUP(53601,Trip[shape_id],Trip[shape_id],"Não encontrado")</f>
        <v/>
      </c>
      <c r="B8948" s="40" t="n">
        <v>-23.546605</v>
      </c>
      <c r="C8948" s="40" t="n">
        <v>-46.574071</v>
      </c>
      <c r="D8948" s="40" t="n">
        <v>490</v>
      </c>
      <c r="E8948" s="41" t="n">
        <v>18525.289</v>
      </c>
    </row>
    <row r="8949">
      <c r="A8949" s="42">
        <f>_xlfn.XLOOKUP(53601,Trip[shape_id],Trip[shape_id],"Não encontrado")</f>
        <v/>
      </c>
      <c r="B8949" s="43" t="n">
        <v>-23.546744</v>
      </c>
      <c r="C8949" s="43" t="n">
        <v>-46.574041</v>
      </c>
      <c r="D8949" s="43" t="n">
        <v>491</v>
      </c>
      <c r="E8949" s="44" t="n">
        <v>18540.986</v>
      </c>
    </row>
    <row r="8950">
      <c r="A8950" s="39">
        <f>_xlfn.XLOOKUP(53601,Trip[shape_id],Trip[shape_id],"Não encontrado")</f>
        <v/>
      </c>
      <c r="B8950" s="40" t="n">
        <v>-23.546829</v>
      </c>
      <c r="C8950" s="40" t="n">
        <v>-46.574021</v>
      </c>
      <c r="D8950" s="40" t="n">
        <v>492</v>
      </c>
      <c r="E8950" s="41" t="n">
        <v>18557.471</v>
      </c>
    </row>
    <row r="8951">
      <c r="A8951" s="42">
        <f>_xlfn.XLOOKUP(53601,Trip[shape_id],Trip[shape_id],"Não encontrado")</f>
        <v/>
      </c>
      <c r="B8951" s="43" t="n">
        <v>-23.54688</v>
      </c>
      <c r="C8951" s="43" t="n">
        <v>-46.573983</v>
      </c>
      <c r="D8951" s="43" t="n">
        <v>493</v>
      </c>
      <c r="E8951" s="44" t="n">
        <v>18564.086</v>
      </c>
    </row>
    <row r="8952">
      <c r="A8952" s="39">
        <f>_xlfn.XLOOKUP(53601,Trip[shape_id],Trip[shape_id],"Não encontrado")</f>
        <v/>
      </c>
      <c r="B8952" s="40" t="n">
        <v>-23.546939</v>
      </c>
      <c r="C8952" s="40" t="n">
        <v>-46.573993</v>
      </c>
      <c r="D8952" s="40" t="n">
        <v>494</v>
      </c>
      <c r="E8952" s="41" t="n">
        <v>18588.484</v>
      </c>
    </row>
    <row r="8953">
      <c r="A8953" s="42">
        <f>_xlfn.XLOOKUP(53601,Trip[shape_id],Trip[shape_id],"Não encontrado")</f>
        <v/>
      </c>
      <c r="B8953" s="43" t="n">
        <v>-23.547155</v>
      </c>
      <c r="C8953" s="43" t="n">
        <v>-46.573946</v>
      </c>
      <c r="D8953" s="43" t="n">
        <v>495</v>
      </c>
      <c r="E8953" s="44" t="n">
        <v>18588.484</v>
      </c>
    </row>
    <row r="8954">
      <c r="A8954" s="39">
        <f>_xlfn.XLOOKUP(53601,Trip[shape_id],Trip[shape_id],"Não encontrado")</f>
        <v/>
      </c>
      <c r="B8954" s="40" t="n">
        <v>-23.547301</v>
      </c>
      <c r="C8954" s="40" t="n">
        <v>-46.57391</v>
      </c>
      <c r="D8954" s="40" t="n">
        <v>496</v>
      </c>
      <c r="E8954" s="41" t="n">
        <v>18605.066</v>
      </c>
    </row>
    <row r="8955">
      <c r="A8955" s="42">
        <f>_xlfn.XLOOKUP(53601,Trip[shape_id],Trip[shape_id],"Não encontrado")</f>
        <v/>
      </c>
      <c r="B8955" s="43" t="n">
        <v>-23.548182</v>
      </c>
      <c r="C8955" s="43" t="n">
        <v>-46.573702</v>
      </c>
      <c r="D8955" s="43" t="n">
        <v>497</v>
      </c>
      <c r="E8955" s="44" t="n">
        <v>18704.924</v>
      </c>
    </row>
    <row r="8956">
      <c r="A8956" s="39">
        <f>_xlfn.XLOOKUP(53601,Trip[shape_id],Trip[shape_id],"Não encontrado")</f>
        <v/>
      </c>
      <c r="B8956" s="40" t="n">
        <v>-23.548313</v>
      </c>
      <c r="C8956" s="40" t="n">
        <v>-46.573674</v>
      </c>
      <c r="D8956" s="40" t="n">
        <v>498</v>
      </c>
      <c r="E8956" s="41" t="n">
        <v>18719.711</v>
      </c>
    </row>
    <row r="8957">
      <c r="A8957" s="42">
        <f>_xlfn.XLOOKUP(53601,Trip[shape_id],Trip[shape_id],"Não encontrado")</f>
        <v/>
      </c>
      <c r="B8957" s="43" t="n">
        <v>-23.548727</v>
      </c>
      <c r="C8957" s="43" t="n">
        <v>-46.573577</v>
      </c>
      <c r="D8957" s="43" t="n">
        <v>499</v>
      </c>
      <c r="E8957" s="44" t="n">
        <v>18766.619</v>
      </c>
    </row>
    <row r="8958">
      <c r="A8958" s="39">
        <f>_xlfn.XLOOKUP(53601,Trip[shape_id],Trip[shape_id],"Não encontrado")</f>
        <v/>
      </c>
      <c r="B8958" s="40" t="n">
        <v>-23.549213</v>
      </c>
      <c r="C8958" s="40" t="n">
        <v>-46.573458</v>
      </c>
      <c r="D8958" s="40" t="n">
        <v>500</v>
      </c>
      <c r="E8958" s="41" t="n">
        <v>18821.799</v>
      </c>
    </row>
    <row r="8959">
      <c r="A8959" s="42">
        <f>_xlfn.XLOOKUP(53601,Trip[shape_id],Trip[shape_id],"Não encontrado")</f>
        <v/>
      </c>
      <c r="B8959" s="43" t="n">
        <v>-23.549677</v>
      </c>
      <c r="C8959" s="43" t="n">
        <v>-46.57335</v>
      </c>
      <c r="D8959" s="43" t="n">
        <v>501</v>
      </c>
      <c r="E8959" s="44" t="n">
        <v>18879.227</v>
      </c>
    </row>
    <row r="8960">
      <c r="A8960" s="39">
        <f>_xlfn.XLOOKUP(53601,Trip[shape_id],Trip[shape_id],"Não encontrado")</f>
        <v/>
      </c>
      <c r="B8960" s="40" t="n">
        <v>-23.549716</v>
      </c>
      <c r="C8960" s="40" t="n">
        <v>-46.573328</v>
      </c>
      <c r="D8960" s="40" t="n">
        <v>502</v>
      </c>
      <c r="E8960" s="41" t="n">
        <v>18885.322</v>
      </c>
    </row>
    <row r="8961">
      <c r="A8961" s="42">
        <f>_xlfn.XLOOKUP(53601,Trip[shape_id],Trip[shape_id],"Não encontrado")</f>
        <v/>
      </c>
      <c r="B8961" s="43" t="n">
        <v>-23.549771</v>
      </c>
      <c r="C8961" s="43" t="n">
        <v>-46.57333</v>
      </c>
      <c r="D8961" s="43" t="n">
        <v>503</v>
      </c>
      <c r="E8961" s="44" t="n">
        <v>18937.773</v>
      </c>
    </row>
    <row r="8962">
      <c r="A8962" s="39">
        <f>_xlfn.XLOOKUP(53601,Trip[shape_id],Trip[shape_id],"Não encontrado")</f>
        <v/>
      </c>
      <c r="B8962" s="40" t="n">
        <v>-23.550234</v>
      </c>
      <c r="C8962" s="40" t="n">
        <v>-46.573222</v>
      </c>
      <c r="D8962" s="40" t="n">
        <v>504</v>
      </c>
      <c r="E8962" s="41" t="n">
        <v>18937.773</v>
      </c>
    </row>
    <row r="8963">
      <c r="A8963" s="42">
        <f>_xlfn.XLOOKUP(53601,Trip[shape_id],Trip[shape_id],"Não encontrado")</f>
        <v/>
      </c>
      <c r="B8963" s="43" t="n">
        <v>-23.55002</v>
      </c>
      <c r="C8963" s="43" t="n">
        <v>-46.572162</v>
      </c>
      <c r="D8963" s="43" t="n">
        <v>505</v>
      </c>
      <c r="E8963" s="44" t="n">
        <v>19048.566</v>
      </c>
    </row>
    <row r="8964">
      <c r="A8964" s="39">
        <f>_xlfn.XLOOKUP(53601,Trip[shape_id],Trip[shape_id],"Não encontrado")</f>
        <v/>
      </c>
      <c r="B8964" s="40" t="n">
        <v>-23.549926</v>
      </c>
      <c r="C8964" s="40" t="n">
        <v>-46.571693</v>
      </c>
      <c r="D8964" s="40" t="n">
        <v>506</v>
      </c>
      <c r="E8964" s="41" t="n">
        <v>19097.57</v>
      </c>
    </row>
    <row r="8965">
      <c r="A8965" s="42">
        <f>_xlfn.XLOOKUP(53601,Trip[shape_id],Trip[shape_id],"Não encontrado")</f>
        <v/>
      </c>
      <c r="B8965" s="43" t="n">
        <v>-23.549823</v>
      </c>
      <c r="C8965" s="43" t="n">
        <v>-46.571185</v>
      </c>
      <c r="D8965" s="43" t="n">
        <v>507</v>
      </c>
      <c r="E8965" s="44" t="n">
        <v>19150.678</v>
      </c>
    </row>
    <row r="8966">
      <c r="A8966" s="39">
        <f>_xlfn.XLOOKUP(53601,Trip[shape_id],Trip[shape_id],"Não encontrado")</f>
        <v/>
      </c>
      <c r="B8966" s="40" t="n">
        <v>-23.549724</v>
      </c>
      <c r="C8966" s="40" t="n">
        <v>-46.570673</v>
      </c>
      <c r="D8966" s="40" t="n">
        <v>508</v>
      </c>
      <c r="E8966" s="41" t="n">
        <v>19204.092</v>
      </c>
    </row>
    <row r="8967">
      <c r="A8967" s="42">
        <f>_xlfn.XLOOKUP(53601,Trip[shape_id],Trip[shape_id],"Não encontrado")</f>
        <v/>
      </c>
      <c r="B8967" s="43" t="n">
        <v>-23.549512</v>
      </c>
      <c r="C8967" s="43" t="n">
        <v>-46.569616</v>
      </c>
      <c r="D8967" s="43" t="n">
        <v>509</v>
      </c>
      <c r="E8967" s="44" t="n">
        <v>19400.072</v>
      </c>
    </row>
    <row r="8968">
      <c r="A8968" s="39">
        <f>_xlfn.XLOOKUP(53601,Trip[shape_id],Trip[shape_id],"Não encontrado")</f>
        <v/>
      </c>
      <c r="B8968" s="40" t="n">
        <v>-23.549354</v>
      </c>
      <c r="C8968" s="40" t="n">
        <v>-46.568796</v>
      </c>
      <c r="D8968" s="40" t="n">
        <v>510</v>
      </c>
      <c r="E8968" s="41" t="n">
        <v>19400.072</v>
      </c>
    </row>
    <row r="8969">
      <c r="A8969" s="42">
        <f>_xlfn.XLOOKUP(53601,Trip[shape_id],Trip[shape_id],"Não encontrado")</f>
        <v/>
      </c>
      <c r="B8969" s="43" t="n">
        <v>-23.549316</v>
      </c>
      <c r="C8969" s="43" t="n">
        <v>-46.568604</v>
      </c>
      <c r="D8969" s="43" t="n">
        <v>511</v>
      </c>
      <c r="E8969" s="44" t="n">
        <v>19420.123</v>
      </c>
    </row>
    <row r="8970">
      <c r="A8970" s="39">
        <f>_xlfn.XLOOKUP(53601,Trip[shape_id],Trip[shape_id],"Não encontrado")</f>
        <v/>
      </c>
      <c r="B8970" s="40" t="n">
        <v>-23.549211</v>
      </c>
      <c r="C8970" s="40" t="n">
        <v>-46.56812</v>
      </c>
      <c r="D8970" s="40" t="n">
        <v>512</v>
      </c>
      <c r="E8970" s="41" t="n">
        <v>19470.891</v>
      </c>
    </row>
    <row r="8971">
      <c r="A8971" s="42">
        <f>_xlfn.XLOOKUP(53601,Trip[shape_id],Trip[shape_id],"Não encontrado")</f>
        <v/>
      </c>
      <c r="B8971" s="43" t="n">
        <v>-23.548999</v>
      </c>
      <c r="C8971" s="43" t="n">
        <v>-46.566999</v>
      </c>
      <c r="D8971" s="43" t="n">
        <v>513</v>
      </c>
      <c r="E8971" s="44" t="n">
        <v>19587.732</v>
      </c>
    </row>
    <row r="8972">
      <c r="A8972" s="39">
        <f>_xlfn.XLOOKUP(53601,Trip[shape_id],Trip[shape_id],"Não encontrado")</f>
        <v/>
      </c>
      <c r="B8972" s="40" t="n">
        <v>-23.548852</v>
      </c>
      <c r="C8972" s="40" t="n">
        <v>-46.566237</v>
      </c>
      <c r="D8972" s="40" t="n">
        <v>514</v>
      </c>
      <c r="E8972" s="41" t="n">
        <v>19667.221</v>
      </c>
    </row>
    <row r="8973">
      <c r="A8973" s="42">
        <f>_xlfn.XLOOKUP(53601,Trip[shape_id],Trip[shape_id],"Não encontrado")</f>
        <v/>
      </c>
      <c r="B8973" s="43" t="n">
        <v>-23.548715</v>
      </c>
      <c r="C8973" s="43" t="n">
        <v>-46.565562</v>
      </c>
      <c r="D8973" s="43" t="n">
        <v>515</v>
      </c>
      <c r="E8973" s="44" t="n">
        <v>19737.791</v>
      </c>
    </row>
    <row r="8974">
      <c r="A8974" s="39">
        <f>_xlfn.XLOOKUP(53601,Trip[shape_id],Trip[shape_id],"Não encontrado")</f>
        <v/>
      </c>
      <c r="B8974" s="40" t="n">
        <v>-23.548609</v>
      </c>
      <c r="C8974" s="40" t="n">
        <v>-46.56501</v>
      </c>
      <c r="D8974" s="40" t="n">
        <v>516</v>
      </c>
      <c r="E8974" s="41" t="n">
        <v>19795.361</v>
      </c>
    </row>
    <row r="8975">
      <c r="A8975" s="42">
        <f>_xlfn.XLOOKUP(53601,Trip[shape_id],Trip[shape_id],"Não encontrado")</f>
        <v/>
      </c>
      <c r="B8975" s="43" t="n">
        <v>-23.548516</v>
      </c>
      <c r="C8975" s="43" t="n">
        <v>-46.56453</v>
      </c>
      <c r="D8975" s="43" t="n">
        <v>517</v>
      </c>
      <c r="E8975" s="44" t="n">
        <v>19845.441</v>
      </c>
    </row>
    <row r="8976">
      <c r="A8976" s="39">
        <f>_xlfn.XLOOKUP(53601,Trip[shape_id],Trip[shape_id],"Não encontrado")</f>
        <v/>
      </c>
      <c r="B8976" s="40" t="n">
        <v>-23.548423</v>
      </c>
      <c r="C8976" s="40" t="n">
        <v>-46.564053</v>
      </c>
      <c r="D8976" s="40" t="n">
        <v>518</v>
      </c>
      <c r="E8976" s="41" t="n">
        <v>19895.223</v>
      </c>
    </row>
    <row r="8977">
      <c r="A8977" s="42">
        <f>_xlfn.XLOOKUP(53601,Trip[shape_id],Trip[shape_id],"Não encontrado")</f>
        <v/>
      </c>
      <c r="B8977" s="43" t="n">
        <v>-23.548382</v>
      </c>
      <c r="C8977" s="43" t="n">
        <v>-46.563842</v>
      </c>
      <c r="D8977" s="43" t="n">
        <v>519</v>
      </c>
      <c r="E8977" s="44" t="n">
        <v>19945.303</v>
      </c>
    </row>
    <row r="8978">
      <c r="A8978" s="39">
        <f>_xlfn.XLOOKUP(53601,Trip[shape_id],Trip[shape_id],"Não encontrado")</f>
        <v/>
      </c>
      <c r="B8978" s="40" t="n">
        <v>-23.54833</v>
      </c>
      <c r="C8978" s="40" t="n">
        <v>-46.563573</v>
      </c>
      <c r="D8978" s="40" t="n">
        <v>520</v>
      </c>
      <c r="E8978" s="41" t="n">
        <v>19945.303</v>
      </c>
    </row>
    <row r="8979">
      <c r="A8979" s="42">
        <f>_xlfn.XLOOKUP(53601,Trip[shape_id],Trip[shape_id],"Não encontrado")</f>
        <v/>
      </c>
      <c r="B8979" s="43" t="n">
        <v>-23.548219</v>
      </c>
      <c r="C8979" s="43" t="n">
        <v>-46.563011</v>
      </c>
      <c r="D8979" s="43" t="n">
        <v>521</v>
      </c>
      <c r="E8979" s="44" t="n">
        <v>20003.986</v>
      </c>
    </row>
    <row r="8980">
      <c r="A8980" s="39">
        <f>_xlfn.XLOOKUP(53601,Trip[shape_id],Trip[shape_id],"Não encontrado")</f>
        <v/>
      </c>
      <c r="B8980" s="40" t="n">
        <v>-23.548131</v>
      </c>
      <c r="C8980" s="40" t="n">
        <v>-46.562553</v>
      </c>
      <c r="D8980" s="40" t="n">
        <v>522</v>
      </c>
      <c r="E8980" s="41" t="n">
        <v>20062.648</v>
      </c>
    </row>
    <row r="8981">
      <c r="A8981" s="42">
        <f>_xlfn.XLOOKUP(53601,Trip[shape_id],Trip[shape_id],"Não encontrado")</f>
        <v/>
      </c>
      <c r="B8981" s="43" t="n">
        <v>-23.548109</v>
      </c>
      <c r="C8981" s="43" t="n">
        <v>-46.562449</v>
      </c>
      <c r="D8981" s="43" t="n">
        <v>523</v>
      </c>
      <c r="E8981" s="44" t="n">
        <v>20062.648</v>
      </c>
    </row>
    <row r="8982">
      <c r="A8982" s="39">
        <f>_xlfn.XLOOKUP(53601,Trip[shape_id],Trip[shape_id],"Não encontrado")</f>
        <v/>
      </c>
      <c r="B8982" s="40" t="n">
        <v>-23.548</v>
      </c>
      <c r="C8982" s="40" t="n">
        <v>-46.561927</v>
      </c>
      <c r="D8982" s="40" t="n">
        <v>524</v>
      </c>
      <c r="E8982" s="41" t="n">
        <v>20117.297</v>
      </c>
    </row>
    <row r="8983">
      <c r="A8983" s="42">
        <f>_xlfn.XLOOKUP(53601,Trip[shape_id],Trip[shape_id],"Não encontrado")</f>
        <v/>
      </c>
      <c r="B8983" s="43" t="n">
        <v>-23.547828</v>
      </c>
      <c r="C8983" s="43" t="n">
        <v>-46.560999</v>
      </c>
      <c r="D8983" s="43" t="n">
        <v>525</v>
      </c>
      <c r="E8983" s="44" t="n">
        <v>20213.945</v>
      </c>
    </row>
    <row r="8984">
      <c r="A8984" s="39">
        <f>_xlfn.XLOOKUP(53601,Trip[shape_id],Trip[shape_id],"Não encontrado")</f>
        <v/>
      </c>
      <c r="B8984" s="40" t="n">
        <v>-23.547734</v>
      </c>
      <c r="C8984" s="40" t="n">
        <v>-46.560517</v>
      </c>
      <c r="D8984" s="40" t="n">
        <v>526</v>
      </c>
      <c r="E8984" s="41" t="n">
        <v>20270.641</v>
      </c>
    </row>
    <row r="8985">
      <c r="A8985" s="42">
        <f>_xlfn.XLOOKUP(53601,Trip[shape_id],Trip[shape_id],"Não encontrado")</f>
        <v/>
      </c>
      <c r="B8985" s="43" t="n">
        <v>-23.547726</v>
      </c>
      <c r="C8985" s="43" t="n">
        <v>-46.560455</v>
      </c>
      <c r="D8985" s="43" t="n">
        <v>527</v>
      </c>
      <c r="E8985" s="44" t="n">
        <v>20270.641</v>
      </c>
    </row>
    <row r="8986">
      <c r="A8986" s="39">
        <f>_xlfn.XLOOKUP(53601,Trip[shape_id],Trip[shape_id],"Não encontrado")</f>
        <v/>
      </c>
      <c r="B8986" s="40" t="n">
        <v>-23.547712</v>
      </c>
      <c r="C8986" s="40" t="n">
        <v>-46.560332</v>
      </c>
      <c r="D8986" s="40" t="n">
        <v>528</v>
      </c>
      <c r="E8986" s="41" t="n">
        <v>20357.842</v>
      </c>
    </row>
    <row r="8987">
      <c r="A8987" s="42">
        <f>_xlfn.XLOOKUP(53601,Trip[shape_id],Trip[shape_id],"Não encontrado")</f>
        <v/>
      </c>
      <c r="B8987" s="43" t="n">
        <v>-23.547563</v>
      </c>
      <c r="C8987" s="43" t="n">
        <v>-46.55962</v>
      </c>
      <c r="D8987" s="43" t="n">
        <v>529</v>
      </c>
      <c r="E8987" s="44" t="n">
        <v>20357.842</v>
      </c>
    </row>
    <row r="8988">
      <c r="A8988" s="39">
        <f>_xlfn.XLOOKUP(53601,Trip[shape_id],Trip[shape_id],"Não encontrado")</f>
        <v/>
      </c>
      <c r="B8988" s="40" t="n">
        <v>-23.547241</v>
      </c>
      <c r="C8988" s="40" t="n">
        <v>-46.557977</v>
      </c>
      <c r="D8988" s="40" t="n">
        <v>530</v>
      </c>
      <c r="E8988" s="41" t="n">
        <v>20535.336</v>
      </c>
    </row>
    <row r="8989">
      <c r="A8989" s="42">
        <f>_xlfn.XLOOKUP(53601,Trip[shape_id],Trip[shape_id],"Não encontrado")</f>
        <v/>
      </c>
      <c r="B8989" s="43" t="n">
        <v>-23.547233</v>
      </c>
      <c r="C8989" s="43" t="n">
        <v>-46.557919</v>
      </c>
      <c r="D8989" s="43" t="n">
        <v>531</v>
      </c>
      <c r="E8989" s="44" t="n">
        <v>20535.336</v>
      </c>
    </row>
    <row r="8990">
      <c r="A8990" s="39">
        <f>_xlfn.XLOOKUP(53601,Trip[shape_id],Trip[shape_id],"Não encontrado")</f>
        <v/>
      </c>
      <c r="B8990" s="40" t="n">
        <v>-23.547216</v>
      </c>
      <c r="C8990" s="40" t="n">
        <v>-46.557854</v>
      </c>
      <c r="D8990" s="40" t="n">
        <v>532</v>
      </c>
      <c r="E8990" s="41" t="n">
        <v>20554.988</v>
      </c>
    </row>
    <row r="8991">
      <c r="A8991" s="42">
        <f>_xlfn.XLOOKUP(53601,Trip[shape_id],Trip[shape_id],"Não encontrado")</f>
        <v/>
      </c>
      <c r="B8991" s="43" t="n">
        <v>-23.547184</v>
      </c>
      <c r="C8991" s="43" t="n">
        <v>-46.557734</v>
      </c>
      <c r="D8991" s="43" t="n">
        <v>533</v>
      </c>
      <c r="E8991" s="44" t="n">
        <v>20672.621</v>
      </c>
    </row>
    <row r="8992">
      <c r="A8992" s="39">
        <f>_xlfn.XLOOKUP(53601,Trip[shape_id],Trip[shape_id],"Não encontrado")</f>
        <v/>
      </c>
      <c r="B8992" s="40" t="n">
        <v>-23.546968</v>
      </c>
      <c r="C8992" s="40" t="n">
        <v>-46.556606</v>
      </c>
      <c r="D8992" s="40" t="n">
        <v>534</v>
      </c>
      <c r="E8992" s="41" t="n">
        <v>20672.621</v>
      </c>
    </row>
    <row r="8993">
      <c r="A8993" s="42">
        <f>_xlfn.XLOOKUP(53601,Trip[shape_id],Trip[shape_id],"Não encontrado")</f>
        <v/>
      </c>
      <c r="B8993" s="43" t="n">
        <v>-23.546755</v>
      </c>
      <c r="C8993" s="43" t="n">
        <v>-46.555464</v>
      </c>
      <c r="D8993" s="43" t="n">
        <v>535</v>
      </c>
      <c r="E8993" s="44" t="n">
        <v>20791.588</v>
      </c>
    </row>
    <row r="8994">
      <c r="A8994" s="39">
        <f>_xlfn.XLOOKUP(53601,Trip[shape_id],Trip[shape_id],"Não encontrado")</f>
        <v/>
      </c>
      <c r="B8994" s="40" t="n">
        <v>-23.547276</v>
      </c>
      <c r="C8994" s="40" t="n">
        <v>-46.55532</v>
      </c>
      <c r="D8994" s="40" t="n">
        <v>536</v>
      </c>
      <c r="E8994" s="41" t="n">
        <v>20851.133</v>
      </c>
    </row>
    <row r="8995">
      <c r="A8995" s="42">
        <f>_xlfn.XLOOKUP(53601,Trip[shape_id],Trip[shape_id],"Não encontrado")</f>
        <v/>
      </c>
      <c r="B8995" s="43" t="n">
        <v>-23.547767</v>
      </c>
      <c r="C8995" s="43" t="n">
        <v>-46.555185</v>
      </c>
      <c r="D8995" s="43" t="n">
        <v>537</v>
      </c>
      <c r="E8995" s="44" t="n">
        <v>20907.232</v>
      </c>
    </row>
    <row r="8996">
      <c r="A8996" s="39">
        <f>_xlfn.XLOOKUP(53601,Trip[shape_id],Trip[shape_id],"Não encontrado")</f>
        <v/>
      </c>
      <c r="B8996" s="40" t="n">
        <v>-23.547821</v>
      </c>
      <c r="C8996" s="40" t="n">
        <v>-46.55518</v>
      </c>
      <c r="D8996" s="40" t="n">
        <v>538</v>
      </c>
      <c r="E8996" s="41" t="n">
        <v>21026.816</v>
      </c>
    </row>
    <row r="8997">
      <c r="A8997" s="42">
        <f>_xlfn.XLOOKUP(53601,Trip[shape_id],Trip[shape_id],"Não encontrado")</f>
        <v/>
      </c>
      <c r="B8997" s="43" t="n">
        <v>-23.548822</v>
      </c>
      <c r="C8997" s="43" t="n">
        <v>-46.554938</v>
      </c>
      <c r="D8997" s="43" t="n">
        <v>539</v>
      </c>
      <c r="E8997" s="44" t="n">
        <v>21026.816</v>
      </c>
    </row>
    <row r="8998">
      <c r="A8998" s="39">
        <f>_xlfn.XLOOKUP(53601,Trip[shape_id],Trip[shape_id],"Não encontrado")</f>
        <v/>
      </c>
      <c r="B8998" s="40" t="n">
        <v>-23.549217</v>
      </c>
      <c r="C8998" s="40" t="n">
        <v>-46.554835</v>
      </c>
      <c r="D8998" s="40" t="n">
        <v>540</v>
      </c>
      <c r="E8998" s="41" t="n">
        <v>21071.811</v>
      </c>
    </row>
    <row r="8999">
      <c r="A8999" s="42">
        <f>_xlfn.XLOOKUP(53601,Trip[shape_id],Trip[shape_id],"Não encontrado")</f>
        <v/>
      </c>
      <c r="B8999" s="43" t="n">
        <v>-23.549867</v>
      </c>
      <c r="C8999" s="43" t="n">
        <v>-46.554661</v>
      </c>
      <c r="D8999" s="43" t="n">
        <v>541</v>
      </c>
      <c r="E8999" s="44" t="n">
        <v>21145.959</v>
      </c>
    </row>
    <row r="9000">
      <c r="A9000" s="39">
        <f>_xlfn.XLOOKUP(53601,Trip[shape_id],Trip[shape_id],"Não encontrado")</f>
        <v/>
      </c>
      <c r="B9000" s="40" t="n">
        <v>-23.55089</v>
      </c>
      <c r="C9000" s="40" t="n">
        <v>-46.55439</v>
      </c>
      <c r="D9000" s="40" t="n">
        <v>542</v>
      </c>
      <c r="E9000" s="41" t="n">
        <v>21262.588</v>
      </c>
    </row>
    <row r="9001">
      <c r="A9001" s="42">
        <f>_xlfn.XLOOKUP(53601,Trip[shape_id],Trip[shape_id],"Não encontrado")</f>
        <v/>
      </c>
      <c r="B9001" s="43" t="n">
        <v>-23.551438</v>
      </c>
      <c r="C9001" s="43" t="n">
        <v>-46.554244</v>
      </c>
      <c r="D9001" s="43" t="n">
        <v>543</v>
      </c>
      <c r="E9001" s="44" t="n">
        <v>21325.084</v>
      </c>
    </row>
    <row r="9002">
      <c r="A9002" s="39">
        <f>_xlfn.XLOOKUP(53601,Trip[shape_id],Trip[shape_id],"Não encontrado")</f>
        <v/>
      </c>
      <c r="B9002" s="40" t="n">
        <v>-23.551972</v>
      </c>
      <c r="C9002" s="40" t="n">
        <v>-46.554099</v>
      </c>
      <c r="D9002" s="40" t="n">
        <v>544</v>
      </c>
      <c r="E9002" s="41" t="n">
        <v>21386.051</v>
      </c>
    </row>
    <row r="9003">
      <c r="A9003" s="42">
        <f>_xlfn.XLOOKUP(53601,Trip[shape_id],Trip[shape_id],"Não encontrado")</f>
        <v/>
      </c>
      <c r="B9003" s="43" t="n">
        <v>-23.552777</v>
      </c>
      <c r="C9003" s="43" t="n">
        <v>-46.553884</v>
      </c>
      <c r="D9003" s="43" t="n">
        <v>545</v>
      </c>
      <c r="E9003" s="44" t="n">
        <v>21477.869</v>
      </c>
    </row>
    <row r="9004">
      <c r="A9004" s="39">
        <f>_xlfn.XLOOKUP(53601,Trip[shape_id],Trip[shape_id],"Não encontrado")</f>
        <v/>
      </c>
      <c r="B9004" s="40" t="n">
        <v>-23.552893</v>
      </c>
      <c r="C9004" s="40" t="n">
        <v>-46.553868</v>
      </c>
      <c r="D9004" s="40" t="n">
        <v>546</v>
      </c>
      <c r="E9004" s="41" t="n">
        <v>21596.02</v>
      </c>
    </row>
    <row r="9005">
      <c r="A9005" s="42">
        <f>_xlfn.XLOOKUP(53601,Trip[shape_id],Trip[shape_id],"Não encontrado")</f>
        <v/>
      </c>
      <c r="B9005" s="43" t="n">
        <v>-23.55384</v>
      </c>
      <c r="C9005" s="43" t="n">
        <v>-46.553948</v>
      </c>
      <c r="D9005" s="43" t="n">
        <v>547</v>
      </c>
      <c r="E9005" s="44" t="n">
        <v>21601.227</v>
      </c>
    </row>
    <row r="9006">
      <c r="A9006" s="39">
        <f>_xlfn.XLOOKUP(53601,Trip[shape_id],Trip[shape_id],"Não encontrado")</f>
        <v/>
      </c>
      <c r="B9006" s="40" t="n">
        <v>-23.553887</v>
      </c>
      <c r="C9006" s="40" t="n">
        <v>-46.553949</v>
      </c>
      <c r="D9006" s="40" t="n">
        <v>548</v>
      </c>
      <c r="E9006" s="41" t="n">
        <v>21601.227</v>
      </c>
    </row>
    <row r="9007">
      <c r="A9007" s="42">
        <f>_xlfn.XLOOKUP(53601,Trip[shape_id],Trip[shape_id],"Não encontrado")</f>
        <v/>
      </c>
      <c r="B9007" s="43" t="n">
        <v>-23.554148</v>
      </c>
      <c r="C9007" s="43" t="n">
        <v>-46.553973</v>
      </c>
      <c r="D9007" s="43" t="n">
        <v>549</v>
      </c>
      <c r="E9007" s="44" t="n">
        <v>21630.236</v>
      </c>
    </row>
    <row r="9008">
      <c r="A9008" s="39">
        <f>_xlfn.XLOOKUP(53601,Trip[shape_id],Trip[shape_id],"Não encontrado")</f>
        <v/>
      </c>
      <c r="B9008" s="40" t="n">
        <v>-23.555412</v>
      </c>
      <c r="C9008" s="40" t="n">
        <v>-46.554079</v>
      </c>
      <c r="D9008" s="40" t="n">
        <v>550</v>
      </c>
      <c r="E9008" s="41" t="n">
        <v>21770.645</v>
      </c>
    </row>
    <row r="9009">
      <c r="A9009" s="42">
        <f>_xlfn.XLOOKUP(53601,Trip[shape_id],Trip[shape_id],"Não encontrado")</f>
        <v/>
      </c>
      <c r="B9009" s="43" t="n">
        <v>-23.556096</v>
      </c>
      <c r="C9009" s="43" t="n">
        <v>-46.554129</v>
      </c>
      <c r="D9009" s="43" t="n">
        <v>551</v>
      </c>
      <c r="E9009" s="44" t="n">
        <v>21846.57</v>
      </c>
    </row>
    <row r="9010">
      <c r="A9010" s="39">
        <f>_xlfn.XLOOKUP(53601,Trip[shape_id],Trip[shape_id],"Não encontrado")</f>
        <v/>
      </c>
      <c r="B9010" s="40" t="n">
        <v>-23.556251</v>
      </c>
      <c r="C9010" s="40" t="n">
        <v>-46.553992</v>
      </c>
      <c r="D9010" s="40" t="n">
        <v>552</v>
      </c>
      <c r="E9010" s="41" t="n">
        <v>21942.695</v>
      </c>
    </row>
    <row r="9011">
      <c r="A9011" s="42">
        <f>_xlfn.XLOOKUP(53601,Trip[shape_id],Trip[shape_id],"Não encontrado")</f>
        <v/>
      </c>
      <c r="B9011" s="43" t="n">
        <v>-23.556788</v>
      </c>
      <c r="C9011" s="43" t="n">
        <v>-46.553561</v>
      </c>
      <c r="D9011" s="43" t="n">
        <v>553</v>
      </c>
      <c r="E9011" s="44" t="n">
        <v>21970.197</v>
      </c>
    </row>
    <row r="9012">
      <c r="A9012" s="39">
        <f>_xlfn.XLOOKUP(53601,Trip[shape_id],Trip[shape_id],"Não encontrado")</f>
        <v/>
      </c>
      <c r="B9012" s="40" t="n">
        <v>-23.556985</v>
      </c>
      <c r="C9012" s="40" t="n">
        <v>-46.553397</v>
      </c>
      <c r="D9012" s="40" t="n">
        <v>554</v>
      </c>
      <c r="E9012" s="41" t="n">
        <v>21977.617</v>
      </c>
    </row>
    <row r="9013">
      <c r="A9013" s="42">
        <f>_xlfn.XLOOKUP(53601,Trip[shape_id],Trip[shape_id],"Não encontrado")</f>
        <v/>
      </c>
      <c r="B9013" s="43" t="n">
        <v>-23.557039</v>
      </c>
      <c r="C9013" s="43" t="n">
        <v>-46.553354</v>
      </c>
      <c r="D9013" s="43" t="n">
        <v>555</v>
      </c>
      <c r="E9013" s="44" t="n">
        <v>21977.617</v>
      </c>
    </row>
    <row r="9014">
      <c r="A9014" s="39">
        <f>_xlfn.XLOOKUP(53601,Trip[shape_id],Trip[shape_id],"Não encontrado")</f>
        <v/>
      </c>
      <c r="B9014" s="40" t="n">
        <v>-23.557062</v>
      </c>
      <c r="C9014" s="40" t="n">
        <v>-46.553334</v>
      </c>
      <c r="D9014" s="40" t="n">
        <v>556</v>
      </c>
      <c r="E9014" s="41" t="n">
        <v>21989.449</v>
      </c>
    </row>
    <row r="9015">
      <c r="A9015" s="42">
        <f>_xlfn.XLOOKUP(53601,Trip[shape_id],Trip[shape_id],"Não encontrado")</f>
        <v/>
      </c>
      <c r="B9015" s="43" t="n">
        <v>-23.55713</v>
      </c>
      <c r="C9015" s="43" t="n">
        <v>-46.553294</v>
      </c>
      <c r="D9015" s="43" t="n">
        <v>557</v>
      </c>
      <c r="E9015" s="44" t="n">
        <v>21993.25</v>
      </c>
    </row>
    <row r="9016">
      <c r="A9016" s="39">
        <f>_xlfn.XLOOKUP(53601,Trip[shape_id],Trip[shape_id],"Não encontrado")</f>
        <v/>
      </c>
      <c r="B9016" s="40" t="n">
        <v>-23.557164</v>
      </c>
      <c r="C9016" s="40" t="n">
        <v>-46.553299</v>
      </c>
      <c r="D9016" s="40" t="n">
        <v>558</v>
      </c>
      <c r="E9016" s="41" t="n">
        <v>21999.201</v>
      </c>
    </row>
    <row r="9017">
      <c r="A9017" s="42">
        <f>_xlfn.XLOOKUP(53601,Trip[shape_id],Trip[shape_id],"Não encontrado")</f>
        <v/>
      </c>
      <c r="B9017" s="43" t="n">
        <v>-23.557197</v>
      </c>
      <c r="C9017" s="43" t="n">
        <v>-46.553253</v>
      </c>
      <c r="D9017" s="43" t="n">
        <v>559</v>
      </c>
      <c r="E9017" s="44" t="n">
        <v>22004.689</v>
      </c>
    </row>
    <row r="9018">
      <c r="A9018" s="39">
        <f>_xlfn.XLOOKUP(53601,Trip[shape_id],Trip[shape_id],"Não encontrado")</f>
        <v/>
      </c>
      <c r="B9018" s="40" t="n">
        <v>-23.557246</v>
      </c>
      <c r="C9018" s="40" t="n">
        <v>-46.553245</v>
      </c>
      <c r="D9018" s="40" t="n">
        <v>560</v>
      </c>
      <c r="E9018" s="41" t="n">
        <v>22016.824</v>
      </c>
    </row>
    <row r="9019">
      <c r="A9019" s="42">
        <f>_xlfn.XLOOKUP(53601,Trip[shape_id],Trip[shape_id],"Não encontrado")</f>
        <v/>
      </c>
      <c r="B9019" s="43" t="n">
        <v>-23.557354</v>
      </c>
      <c r="C9019" s="43" t="n">
        <v>-46.553225</v>
      </c>
      <c r="D9019" s="43" t="n">
        <v>561</v>
      </c>
      <c r="E9019" s="44" t="n">
        <v>22016.824</v>
      </c>
    </row>
    <row r="9020">
      <c r="A9020" s="39">
        <f>_xlfn.XLOOKUP(53601,Trip[shape_id],Trip[shape_id],"Não encontrado")</f>
        <v/>
      </c>
      <c r="B9020" s="40" t="n">
        <v>-23.557415</v>
      </c>
      <c r="C9020" s="40" t="n">
        <v>-46.553214</v>
      </c>
      <c r="D9020" s="40" t="n">
        <v>562</v>
      </c>
      <c r="E9020" s="41" t="n">
        <v>22107.844</v>
      </c>
    </row>
    <row r="9021">
      <c r="A9021" s="42">
        <f>_xlfn.XLOOKUP(53601,Trip[shape_id],Trip[shape_id],"Não encontrado")</f>
        <v/>
      </c>
      <c r="B9021" s="43" t="n">
        <v>-23.558172</v>
      </c>
      <c r="C9021" s="43" t="n">
        <v>-46.553141</v>
      </c>
      <c r="D9021" s="43" t="n">
        <v>563</v>
      </c>
      <c r="E9021" s="44" t="n">
        <v>22107.844</v>
      </c>
    </row>
    <row r="9022">
      <c r="A9022" s="39">
        <f>_xlfn.XLOOKUP(53601,Trip[shape_id],Trip[shape_id],"Não encontrado")</f>
        <v/>
      </c>
      <c r="B9022" s="40" t="n">
        <v>-23.558447</v>
      </c>
      <c r="C9022" s="40" t="n">
        <v>-46.553113</v>
      </c>
      <c r="D9022" s="40" t="n">
        <v>564</v>
      </c>
      <c r="E9022" s="41" t="n">
        <v>22138.434</v>
      </c>
    </row>
    <row r="9023">
      <c r="A9023" s="42">
        <f>_xlfn.XLOOKUP(53601,Trip[shape_id],Trip[shape_id],"Não encontrado")</f>
        <v/>
      </c>
      <c r="B9023" s="43" t="n">
        <v>-23.559265</v>
      </c>
      <c r="C9023" s="43" t="n">
        <v>-46.553025</v>
      </c>
      <c r="D9023" s="43" t="n">
        <v>565</v>
      </c>
      <c r="E9023" s="44" t="n">
        <v>22229.473</v>
      </c>
    </row>
    <row r="9024">
      <c r="A9024" s="39">
        <f>_xlfn.XLOOKUP(53601,Trip[shape_id],Trip[shape_id],"Não encontrado")</f>
        <v/>
      </c>
      <c r="B9024" s="40" t="n">
        <v>-23.559604</v>
      </c>
      <c r="C9024" s="40" t="n">
        <v>-46.552992</v>
      </c>
      <c r="D9024" s="40" t="n">
        <v>566</v>
      </c>
      <c r="E9024" s="41" t="n">
        <v>22267.168</v>
      </c>
    </row>
    <row r="9025">
      <c r="A9025" s="42">
        <f>_xlfn.XLOOKUP(53601,Trip[shape_id],Trip[shape_id],"Não encontrado")</f>
        <v/>
      </c>
      <c r="B9025" s="43" t="n">
        <v>-23.560001</v>
      </c>
      <c r="C9025" s="43" t="n">
        <v>-46.552947</v>
      </c>
      <c r="D9025" s="43" t="n">
        <v>567</v>
      </c>
      <c r="E9025" s="44" t="n">
        <v>22311.375</v>
      </c>
    </row>
    <row r="9026">
      <c r="A9026" s="39">
        <f>_xlfn.XLOOKUP(53601,Trip[shape_id],Trip[shape_id],"Não encontrado")</f>
        <v/>
      </c>
      <c r="B9026" s="40" t="n">
        <v>-23.560564</v>
      </c>
      <c r="C9026" s="40" t="n">
        <v>-46.552889</v>
      </c>
      <c r="D9026" s="40" t="n">
        <v>568</v>
      </c>
      <c r="E9026" s="41" t="n">
        <v>22476.412</v>
      </c>
    </row>
    <row r="9027">
      <c r="A9027" s="42">
        <f>_xlfn.XLOOKUP(53601,Trip[shape_id],Trip[shape_id],"Não encontrado")</f>
        <v/>
      </c>
      <c r="B9027" s="43" t="n">
        <v>-23.561484</v>
      </c>
      <c r="C9027" s="43" t="n">
        <v>-46.552789</v>
      </c>
      <c r="D9027" s="43" t="n">
        <v>569</v>
      </c>
      <c r="E9027" s="44" t="n">
        <v>22476.412</v>
      </c>
    </row>
    <row r="9028">
      <c r="A9028" s="39">
        <f>_xlfn.XLOOKUP(53601,Trip[shape_id],Trip[shape_id],"Não encontrado")</f>
        <v/>
      </c>
      <c r="B9028" s="40" t="n">
        <v>-23.561602</v>
      </c>
      <c r="C9028" s="40" t="n">
        <v>-46.552743</v>
      </c>
      <c r="D9028" s="40" t="n">
        <v>570</v>
      </c>
      <c r="E9028" s="41" t="n">
        <v>22504.18</v>
      </c>
    </row>
    <row r="9029">
      <c r="A9029" s="42">
        <f>_xlfn.XLOOKUP(53601,Trip[shape_id],Trip[shape_id],"Não encontrado")</f>
        <v/>
      </c>
      <c r="B9029" s="43" t="n">
        <v>-23.561704</v>
      </c>
      <c r="C9029" s="43" t="n">
        <v>-46.552664</v>
      </c>
      <c r="D9029" s="43" t="n">
        <v>571</v>
      </c>
      <c r="E9029" s="44" t="n">
        <v>22517.852</v>
      </c>
    </row>
    <row r="9030">
      <c r="A9030" s="39">
        <f>_xlfn.XLOOKUP(53601,Trip[shape_id],Trip[shape_id],"Não encontrado")</f>
        <v/>
      </c>
      <c r="B9030" s="40" t="n">
        <v>-23.561805</v>
      </c>
      <c r="C9030" s="40" t="n">
        <v>-46.552587</v>
      </c>
      <c r="D9030" s="40" t="n">
        <v>572</v>
      </c>
      <c r="E9030" s="41" t="n">
        <v>22524.479</v>
      </c>
    </row>
    <row r="9031">
      <c r="A9031" s="42">
        <f>_xlfn.XLOOKUP(53601,Trip[shape_id],Trip[shape_id],"Não encontrado")</f>
        <v/>
      </c>
      <c r="B9031" s="43" t="n">
        <v>-23.561849</v>
      </c>
      <c r="C9031" s="43" t="n">
        <v>-46.552543</v>
      </c>
      <c r="D9031" s="43" t="n">
        <v>573</v>
      </c>
      <c r="E9031" s="44" t="n">
        <v>22544.525</v>
      </c>
    </row>
    <row r="9032">
      <c r="A9032" s="39">
        <f>_xlfn.XLOOKUP(53601,Trip[shape_id],Trip[shape_id],"Não encontrado")</f>
        <v/>
      </c>
      <c r="B9032" s="40" t="n">
        <v>-23.561983</v>
      </c>
      <c r="C9032" s="40" t="n">
        <v>-46.552411</v>
      </c>
      <c r="D9032" s="40" t="n">
        <v>574</v>
      </c>
      <c r="E9032" s="41" t="n">
        <v>22544.525</v>
      </c>
    </row>
    <row r="9033">
      <c r="A9033" s="42">
        <f>_xlfn.XLOOKUP(53601,Trip[shape_id],Trip[shape_id],"Não encontrado")</f>
        <v/>
      </c>
      <c r="B9033" s="43" t="n">
        <v>-23.562132</v>
      </c>
      <c r="C9033" s="43" t="n">
        <v>-46.552176</v>
      </c>
      <c r="D9033" s="43" t="n">
        <v>575</v>
      </c>
      <c r="E9033" s="44" t="n">
        <v>22587.09</v>
      </c>
    </row>
    <row r="9034">
      <c r="A9034" s="39">
        <f>_xlfn.XLOOKUP(53601,Trip[shape_id],Trip[shape_id],"Não encontrado")</f>
        <v/>
      </c>
      <c r="B9034" s="40" t="n">
        <v>-23.562182</v>
      </c>
      <c r="C9034" s="40" t="n">
        <v>-46.552056</v>
      </c>
      <c r="D9034" s="40" t="n">
        <v>576</v>
      </c>
      <c r="E9034" s="41" t="n">
        <v>22606.152</v>
      </c>
    </row>
    <row r="9035">
      <c r="A9035" s="42">
        <f>_xlfn.XLOOKUP(53601,Trip[shape_id],Trip[shape_id],"Não encontrado")</f>
        <v/>
      </c>
      <c r="B9035" s="43" t="n">
        <v>-23.562249</v>
      </c>
      <c r="C9035" s="43" t="n">
        <v>-46.551884</v>
      </c>
      <c r="D9035" s="43" t="n">
        <v>577</v>
      </c>
      <c r="E9035" s="44" t="n">
        <v>22606.152</v>
      </c>
    </row>
    <row r="9036">
      <c r="A9036" s="39">
        <f>_xlfn.XLOOKUP(53601,Trip[shape_id],Trip[shape_id],"Não encontrado")</f>
        <v/>
      </c>
      <c r="B9036" s="40" t="n">
        <v>-23.562289</v>
      </c>
      <c r="C9036" s="40" t="n">
        <v>-46.551805</v>
      </c>
      <c r="D9036" s="40" t="n">
        <v>578</v>
      </c>
      <c r="E9036" s="41" t="n">
        <v>22625.521</v>
      </c>
    </row>
    <row r="9037">
      <c r="A9037" s="42">
        <f>_xlfn.XLOOKUP(53601,Trip[shape_id],Trip[shape_id],"Não encontrado")</f>
        <v/>
      </c>
      <c r="B9037" s="43" t="n">
        <v>-23.562332</v>
      </c>
      <c r="C9037" s="43" t="n">
        <v>-46.551717</v>
      </c>
      <c r="D9037" s="43" t="n">
        <v>579</v>
      </c>
      <c r="E9037" s="44" t="n">
        <v>22631.93</v>
      </c>
    </row>
    <row r="9038">
      <c r="A9038" s="39">
        <f>_xlfn.XLOOKUP(53601,Trip[shape_id],Trip[shape_id],"Não encontrado")</f>
        <v/>
      </c>
      <c r="B9038" s="40" t="n">
        <v>-23.562363</v>
      </c>
      <c r="C9038" s="40" t="n">
        <v>-46.551664</v>
      </c>
      <c r="D9038" s="40" t="n">
        <v>580</v>
      </c>
      <c r="E9038" s="41" t="n">
        <v>22631.93</v>
      </c>
    </row>
    <row r="9039">
      <c r="A9039" s="42">
        <f>_xlfn.XLOOKUP(53601,Trip[shape_id],Trip[shape_id],"Não encontrado")</f>
        <v/>
      </c>
      <c r="B9039" s="43" t="n">
        <v>-23.562325</v>
      </c>
      <c r="C9039" s="43" t="n">
        <v>-46.551401</v>
      </c>
      <c r="D9039" s="43" t="n">
        <v>581</v>
      </c>
      <c r="E9039" s="44" t="n">
        <v>22695.621</v>
      </c>
    </row>
    <row r="9040">
      <c r="A9040" s="39">
        <f>_xlfn.XLOOKUP(53601,Trip[shape_id],Trip[shape_id],"Não encontrado")</f>
        <v/>
      </c>
      <c r="B9040" s="40" t="n">
        <v>-23.562305</v>
      </c>
      <c r="C9040" s="40" t="n">
        <v>-46.551044</v>
      </c>
      <c r="D9040" s="40" t="n">
        <v>582</v>
      </c>
      <c r="E9040" s="41" t="n">
        <v>22695.621</v>
      </c>
    </row>
    <row r="9041">
      <c r="A9041" s="42">
        <f>_xlfn.XLOOKUP(53601,Trip[shape_id],Trip[shape_id],"Não encontrado")</f>
        <v/>
      </c>
      <c r="B9041" s="43" t="n">
        <v>-23.562367</v>
      </c>
      <c r="C9041" s="43" t="n">
        <v>-46.550756</v>
      </c>
      <c r="D9041" s="43" t="n">
        <v>583</v>
      </c>
      <c r="E9041" s="44" t="n">
        <v>22725.814</v>
      </c>
    </row>
    <row r="9042">
      <c r="A9042" s="39">
        <f>_xlfn.XLOOKUP(53601,Trip[shape_id],Trip[shape_id],"Não encontrado")</f>
        <v/>
      </c>
      <c r="B9042" s="40" t="n">
        <v>-23.562414</v>
      </c>
      <c r="C9042" s="40" t="n">
        <v>-46.550573</v>
      </c>
      <c r="D9042" s="40" t="n">
        <v>584</v>
      </c>
      <c r="E9042" s="41" t="n">
        <v>22767.092</v>
      </c>
    </row>
    <row r="9043">
      <c r="A9043" s="42">
        <f>_xlfn.XLOOKUP(53601,Trip[shape_id],Trip[shape_id],"Não encontrado")</f>
        <v/>
      </c>
      <c r="B9043" s="43" t="n">
        <v>-23.562498</v>
      </c>
      <c r="C9043" s="43" t="n">
        <v>-46.550379</v>
      </c>
      <c r="D9043" s="43" t="n">
        <v>585</v>
      </c>
      <c r="E9043" s="44" t="n">
        <v>22785.379</v>
      </c>
    </row>
    <row r="9044">
      <c r="A9044" s="39">
        <f>_xlfn.XLOOKUP(53601,Trip[shape_id],Trip[shape_id],"Não encontrado")</f>
        <v/>
      </c>
      <c r="B9044" s="40" t="n">
        <v>-23.562591</v>
      </c>
      <c r="C9044" s="40" t="n">
        <v>-46.550231</v>
      </c>
      <c r="D9044" s="40" t="n">
        <v>586</v>
      </c>
      <c r="E9044" s="41" t="n">
        <v>22804.521</v>
      </c>
    </row>
    <row r="9045">
      <c r="A9045" s="42">
        <f>_xlfn.XLOOKUP(53601,Trip[shape_id],Trip[shape_id],"Não encontrado")</f>
        <v/>
      </c>
      <c r="B9045" s="43" t="n">
        <v>-23.56271</v>
      </c>
      <c r="C9045" s="43" t="n">
        <v>-46.550095</v>
      </c>
      <c r="D9045" s="43" t="n">
        <v>587</v>
      </c>
      <c r="E9045" s="44" t="n">
        <v>22876.176</v>
      </c>
    </row>
    <row r="9046">
      <c r="A9046" s="39">
        <f>_xlfn.XLOOKUP(53601,Trip[shape_id],Trip[shape_id],"Não encontrado")</f>
        <v/>
      </c>
      <c r="B9046" s="40" t="n">
        <v>-23.563175</v>
      </c>
      <c r="C9046" s="40" t="n">
        <v>-46.549607</v>
      </c>
      <c r="D9046" s="40" t="n">
        <v>588</v>
      </c>
      <c r="E9046" s="41" t="n">
        <v>22876.176</v>
      </c>
    </row>
    <row r="9047">
      <c r="A9047" s="42">
        <f>_xlfn.XLOOKUP(53601,Trip[shape_id],Trip[shape_id],"Não encontrado")</f>
        <v/>
      </c>
      <c r="B9047" s="43" t="n">
        <v>-23.563414</v>
      </c>
      <c r="C9047" s="43" t="n">
        <v>-46.54937</v>
      </c>
      <c r="D9047" s="43" t="n">
        <v>589</v>
      </c>
      <c r="E9047" s="44" t="n">
        <v>22952.199</v>
      </c>
    </row>
    <row r="9048">
      <c r="A9048" s="39">
        <f>_xlfn.XLOOKUP(53601,Trip[shape_id],Trip[shape_id],"Não encontrado")</f>
        <v/>
      </c>
      <c r="B9048" s="40" t="n">
        <v>-23.563682</v>
      </c>
      <c r="C9048" s="40" t="n">
        <v>-46.549105</v>
      </c>
      <c r="D9048" s="40" t="n">
        <v>590</v>
      </c>
      <c r="E9048" s="41" t="n">
        <v>22952.199</v>
      </c>
    </row>
    <row r="9049">
      <c r="A9049" s="42">
        <f>_xlfn.XLOOKUP(53601,Trip[shape_id],Trip[shape_id],"Não encontrado")</f>
        <v/>
      </c>
      <c r="B9049" s="43" t="n">
        <v>-23.5638</v>
      </c>
      <c r="C9049" s="43" t="n">
        <v>-46.548977</v>
      </c>
      <c r="D9049" s="43" t="n">
        <v>591</v>
      </c>
      <c r="E9049" s="44" t="n">
        <v>22998.48</v>
      </c>
    </row>
    <row r="9050">
      <c r="A9050" s="39">
        <f>_xlfn.XLOOKUP(53601,Trip[shape_id],Trip[shape_id],"Não encontrado")</f>
        <v/>
      </c>
      <c r="B9050" s="40" t="n">
        <v>-23.563962</v>
      </c>
      <c r="C9050" s="40" t="n">
        <v>-46.548769</v>
      </c>
      <c r="D9050" s="40" t="n">
        <v>592</v>
      </c>
      <c r="E9050" s="41" t="n">
        <v>23026.465</v>
      </c>
    </row>
    <row r="9051">
      <c r="A9051" s="42">
        <f>_xlfn.XLOOKUP(53601,Trip[shape_id],Trip[shape_id],"Não encontrado")</f>
        <v/>
      </c>
      <c r="B9051" s="43" t="n">
        <v>-23.564105</v>
      </c>
      <c r="C9051" s="43" t="n">
        <v>-46.548543</v>
      </c>
      <c r="D9051" s="43" t="n">
        <v>593</v>
      </c>
      <c r="E9051" s="44" t="n">
        <v>23056.102</v>
      </c>
    </row>
    <row r="9052">
      <c r="A9052" s="39">
        <f>_xlfn.XLOOKUP(53601,Trip[shape_id],Trip[shape_id],"Não encontrado")</f>
        <v/>
      </c>
      <c r="B9052" s="40" t="n">
        <v>-23.564224</v>
      </c>
      <c r="C9052" s="40" t="n">
        <v>-46.548283</v>
      </c>
      <c r="D9052" s="40" t="n">
        <v>594</v>
      </c>
      <c r="E9052" s="41" t="n">
        <v>23061.111</v>
      </c>
    </row>
    <row r="9053">
      <c r="A9053" s="42">
        <f>_xlfn.XLOOKUP(53601,Trip[shape_id],Trip[shape_id],"Não encontrado")</f>
        <v/>
      </c>
      <c r="B9053" s="43" t="n">
        <v>-23.564242</v>
      </c>
      <c r="C9053" s="43" t="n">
        <v>-46.548238</v>
      </c>
      <c r="D9053" s="43" t="n">
        <v>595</v>
      </c>
      <c r="E9053" s="44" t="n">
        <v>23086.826</v>
      </c>
    </row>
    <row r="9054">
      <c r="A9054" s="39">
        <f>_xlfn.XLOOKUP(53601,Trip[shape_id],Trip[shape_id],"Não encontrado")</f>
        <v/>
      </c>
      <c r="B9054" s="40" t="n">
        <v>-23.564318</v>
      </c>
      <c r="C9054" s="40" t="n">
        <v>-46.548</v>
      </c>
      <c r="D9054" s="40" t="n">
        <v>596</v>
      </c>
      <c r="E9054" s="41" t="n">
        <v>23107.361</v>
      </c>
    </row>
    <row r="9055">
      <c r="A9055" s="42">
        <f>_xlfn.XLOOKUP(53601,Trip[shape_id],Trip[shape_id],"Não encontrado")</f>
        <v/>
      </c>
      <c r="B9055" s="43" t="n">
        <v>-23.564367</v>
      </c>
      <c r="C9055" s="43" t="n">
        <v>-46.547806</v>
      </c>
      <c r="D9055" s="43" t="n">
        <v>597</v>
      </c>
      <c r="E9055" s="44" t="n">
        <v>23107.361</v>
      </c>
    </row>
    <row r="9056">
      <c r="A9056" s="39">
        <f>_xlfn.XLOOKUP(53601,Trip[shape_id],Trip[shape_id],"Não encontrado")</f>
        <v/>
      </c>
      <c r="B9056" s="40" t="n">
        <v>-23.564459</v>
      </c>
      <c r="C9056" s="40" t="n">
        <v>-46.5474</v>
      </c>
      <c r="D9056" s="40" t="n">
        <v>598</v>
      </c>
      <c r="E9056" s="41" t="n">
        <v>23178.404</v>
      </c>
    </row>
    <row r="9057">
      <c r="A9057" s="42">
        <f>_xlfn.XLOOKUP(53601,Trip[shape_id],Trip[shape_id],"Não encontrado")</f>
        <v/>
      </c>
      <c r="B9057" s="43" t="n">
        <v>-23.564511</v>
      </c>
      <c r="C9057" s="43" t="n">
        <v>-46.547128</v>
      </c>
      <c r="D9057" s="43" t="n">
        <v>599</v>
      </c>
      <c r="E9057" s="44" t="n">
        <v>23178.404</v>
      </c>
    </row>
    <row r="9058">
      <c r="A9058" s="39">
        <f>_xlfn.XLOOKUP(53601,Trip[shape_id],Trip[shape_id],"Não encontrado")</f>
        <v/>
      </c>
      <c r="B9058" s="40" t="n">
        <v>-23.564632</v>
      </c>
      <c r="C9058" s="40" t="n">
        <v>-46.546513</v>
      </c>
      <c r="D9058" s="40" t="n">
        <v>600</v>
      </c>
      <c r="E9058" s="41" t="n">
        <v>23257.033</v>
      </c>
    </row>
    <row r="9059">
      <c r="A9059" s="42">
        <f>_xlfn.XLOOKUP(53601,Trip[shape_id],Trip[shape_id],"Não encontrado")</f>
        <v/>
      </c>
      <c r="B9059" s="43" t="n">
        <v>-23.564664</v>
      </c>
      <c r="C9059" s="43" t="n">
        <v>-46.546376</v>
      </c>
      <c r="D9059" s="43" t="n">
        <v>601</v>
      </c>
      <c r="E9059" s="44" t="n">
        <v>23276.961</v>
      </c>
    </row>
    <row r="9060">
      <c r="A9060" s="39">
        <f>_xlfn.XLOOKUP(53601,Trip[shape_id],Trip[shape_id],"Não encontrado")</f>
        <v/>
      </c>
      <c r="B9060" s="40" t="n">
        <v>-23.564709</v>
      </c>
      <c r="C9060" s="40" t="n">
        <v>-46.546187</v>
      </c>
      <c r="D9060" s="40" t="n">
        <v>602</v>
      </c>
      <c r="E9060" s="41" t="n">
        <v>23293.568</v>
      </c>
    </row>
    <row r="9061">
      <c r="A9061" s="42">
        <f>_xlfn.XLOOKUP(53601,Trip[shape_id],Trip[shape_id],"Não encontrado")</f>
        <v/>
      </c>
      <c r="B9061" s="43" t="n">
        <v>-23.564767</v>
      </c>
      <c r="C9061" s="43" t="n">
        <v>-46.546037</v>
      </c>
      <c r="D9061" s="43" t="n">
        <v>603</v>
      </c>
      <c r="E9061" s="44" t="n">
        <v>23293.568</v>
      </c>
    </row>
    <row r="9062">
      <c r="A9062" s="39">
        <f>_xlfn.XLOOKUP(53601,Trip[shape_id],Trip[shape_id],"Não encontrado")</f>
        <v/>
      </c>
      <c r="B9062" s="40" t="n">
        <v>-23.565066</v>
      </c>
      <c r="C9062" s="40" t="n">
        <v>-46.545558</v>
      </c>
      <c r="D9062" s="40" t="n">
        <v>604</v>
      </c>
      <c r="E9062" s="41" t="n">
        <v>23364.328</v>
      </c>
    </row>
    <row r="9063">
      <c r="A9063" s="42">
        <f>_xlfn.XLOOKUP(53601,Trip[shape_id],Trip[shape_id],"Não encontrado")</f>
        <v/>
      </c>
      <c r="B9063" s="43" t="n">
        <v>-23.565129</v>
      </c>
      <c r="C9063" s="43" t="n">
        <v>-46.545466</v>
      </c>
      <c r="D9063" s="43" t="n">
        <v>605</v>
      </c>
      <c r="E9063" s="44" t="n">
        <v>23364.328</v>
      </c>
    </row>
    <row r="9064">
      <c r="A9064" s="39">
        <f>_xlfn.XLOOKUP(53601,Trip[shape_id],Trip[shape_id],"Não encontrado")</f>
        <v/>
      </c>
      <c r="B9064" s="40" t="n">
        <v>-23.56529</v>
      </c>
      <c r="C9064" s="40" t="n">
        <v>-46.545294</v>
      </c>
      <c r="D9064" s="40" t="n">
        <v>606</v>
      </c>
      <c r="E9064" s="41" t="n">
        <v>23389.354</v>
      </c>
    </row>
    <row r="9065">
      <c r="A9065" s="42">
        <f>_xlfn.XLOOKUP(53601,Trip[shape_id],Trip[shape_id],"Não encontrado")</f>
        <v/>
      </c>
      <c r="B9065" s="43" t="n">
        <v>-23.565479</v>
      </c>
      <c r="C9065" s="43" t="n">
        <v>-46.545116</v>
      </c>
      <c r="D9065" s="43" t="n">
        <v>607</v>
      </c>
      <c r="E9065" s="44" t="n">
        <v>23417.074</v>
      </c>
    </row>
    <row r="9066">
      <c r="A9066" s="39">
        <f>_xlfn.XLOOKUP(53601,Trip[shape_id],Trip[shape_id],"Não encontrado")</f>
        <v/>
      </c>
      <c r="B9066" s="40" t="n">
        <v>-23.565745</v>
      </c>
      <c r="C9066" s="40" t="n">
        <v>-46.544917</v>
      </c>
      <c r="D9066" s="40" t="n">
        <v>608</v>
      </c>
      <c r="E9066" s="41" t="n">
        <v>23452.859</v>
      </c>
    </row>
    <row r="9067">
      <c r="A9067" s="42">
        <f>_xlfn.XLOOKUP(53601,Trip[shape_id],Trip[shape_id],"Não encontrado")</f>
        <v/>
      </c>
      <c r="B9067" s="43" t="n">
        <v>-23.56598</v>
      </c>
      <c r="C9067" s="43" t="n">
        <v>-46.544726</v>
      </c>
      <c r="D9067" s="43" t="n">
        <v>609</v>
      </c>
      <c r="E9067" s="44" t="n">
        <v>23485.381</v>
      </c>
    </row>
    <row r="9068">
      <c r="A9068" s="39">
        <f>_xlfn.XLOOKUP(53601,Trip[shape_id],Trip[shape_id],"Não encontrado")</f>
        <v/>
      </c>
      <c r="B9068" s="40" t="n">
        <v>-23.566871</v>
      </c>
      <c r="C9068" s="40" t="n">
        <v>-46.543981</v>
      </c>
      <c r="D9068" s="40" t="n">
        <v>610</v>
      </c>
      <c r="E9068" s="41" t="n">
        <v>23609.971</v>
      </c>
    </row>
    <row r="9069">
      <c r="A9069" s="42">
        <f>_xlfn.XLOOKUP(53601,Trip[shape_id],Trip[shape_id],"Não encontrado")</f>
        <v/>
      </c>
      <c r="B9069" s="43" t="n">
        <v>-23.56695</v>
      </c>
      <c r="C9069" s="43" t="n">
        <v>-46.543871</v>
      </c>
      <c r="D9069" s="43" t="n">
        <v>611</v>
      </c>
      <c r="E9069" s="44" t="n">
        <v>23637.275</v>
      </c>
    </row>
    <row r="9070">
      <c r="A9070" s="39">
        <f>_xlfn.XLOOKUP(53601,Trip[shape_id],Trip[shape_id],"Não encontrado")</f>
        <v/>
      </c>
      <c r="B9070" s="40" t="n">
        <v>-23.567027</v>
      </c>
      <c r="C9070" s="40" t="n">
        <v>-46.543774</v>
      </c>
      <c r="D9070" s="40" t="n">
        <v>612</v>
      </c>
      <c r="E9070" s="41" t="n">
        <v>23646.91</v>
      </c>
    </row>
    <row r="9071">
      <c r="A9071" s="42">
        <f>_xlfn.XLOOKUP(53601,Trip[shape_id],Trip[shape_id],"Não encontrado")</f>
        <v/>
      </c>
      <c r="B9071" s="43" t="n">
        <v>-23.567081</v>
      </c>
      <c r="C9071" s="43" t="n">
        <v>-46.5437</v>
      </c>
      <c r="D9071" s="43" t="n">
        <v>613</v>
      </c>
      <c r="E9071" s="44" t="n">
        <v>23646.91</v>
      </c>
    </row>
    <row r="9072">
      <c r="A9072" s="39">
        <f>_xlfn.XLOOKUP(53601,Trip[shape_id],Trip[shape_id],"Não encontrado")</f>
        <v/>
      </c>
      <c r="B9072" s="40" t="n">
        <v>-23.567138</v>
      </c>
      <c r="C9072" s="40" t="n">
        <v>-46.543599</v>
      </c>
      <c r="D9072" s="40" t="n">
        <v>614</v>
      </c>
      <c r="E9072" s="41" t="n">
        <v>23671.656</v>
      </c>
    </row>
    <row r="9073">
      <c r="A9073" s="42">
        <f>_xlfn.XLOOKUP(53601,Trip[shape_id],Trip[shape_id],"Não encontrado")</f>
        <v/>
      </c>
      <c r="B9073" s="43" t="n">
        <v>-23.567185</v>
      </c>
      <c r="C9073" s="43" t="n">
        <v>-46.543486</v>
      </c>
      <c r="D9073" s="43" t="n">
        <v>615</v>
      </c>
      <c r="E9073" s="44" t="n">
        <v>23681.299</v>
      </c>
    </row>
    <row r="9074">
      <c r="A9074" s="39">
        <f>_xlfn.XLOOKUP(53601,Trip[shape_id],Trip[shape_id],"Não encontrado")</f>
        <v/>
      </c>
      <c r="B9074" s="40" t="n">
        <v>-23.567221</v>
      </c>
      <c r="C9074" s="40" t="n">
        <v>-46.5434</v>
      </c>
      <c r="D9074" s="40" t="n">
        <v>616</v>
      </c>
      <c r="E9074" s="41" t="n">
        <v>23681.299</v>
      </c>
    </row>
    <row r="9075">
      <c r="A9075" s="42">
        <f>_xlfn.XLOOKUP(53601,Trip[shape_id],Trip[shape_id],"Não encontrado")</f>
        <v/>
      </c>
      <c r="B9075" s="43" t="n">
        <v>-23.567284</v>
      </c>
      <c r="C9075" s="43" t="n">
        <v>-46.543132</v>
      </c>
      <c r="D9075" s="43" t="n">
        <v>617</v>
      </c>
      <c r="E9075" s="44" t="n">
        <v>23719.094</v>
      </c>
    </row>
    <row r="9076">
      <c r="A9076" s="39">
        <f>_xlfn.XLOOKUP(53601,Trip[shape_id],Trip[shape_id],"Não encontrado")</f>
        <v/>
      </c>
      <c r="B9076" s="40" t="n">
        <v>-23.567294</v>
      </c>
      <c r="C9076" s="40" t="n">
        <v>-46.543039</v>
      </c>
      <c r="D9076" s="40" t="n">
        <v>618</v>
      </c>
      <c r="E9076" s="41" t="n">
        <v>23719.094</v>
      </c>
    </row>
    <row r="9077">
      <c r="A9077" s="42">
        <f>_xlfn.XLOOKUP(53601,Trip[shape_id],Trip[shape_id],"Não encontrado")</f>
        <v/>
      </c>
      <c r="B9077" s="43" t="n">
        <v>-23.567359</v>
      </c>
      <c r="C9077" s="43" t="n">
        <v>-46.542193</v>
      </c>
      <c r="D9077" s="43" t="n">
        <v>619</v>
      </c>
      <c r="E9077" s="44" t="n">
        <v>23805.76</v>
      </c>
    </row>
    <row r="9078">
      <c r="A9078" s="39">
        <f>_xlfn.XLOOKUP(53601,Trip[shape_id],Trip[shape_id],"Não encontrado")</f>
        <v/>
      </c>
      <c r="B9078" s="40" t="n">
        <v>-23.567362</v>
      </c>
      <c r="C9078" s="40" t="n">
        <v>-46.542027</v>
      </c>
      <c r="D9078" s="40" t="n">
        <v>620</v>
      </c>
      <c r="E9078" s="41" t="n">
        <v>23822.709</v>
      </c>
    </row>
    <row r="9079">
      <c r="A9079" s="42">
        <f>_xlfn.XLOOKUP(53601,Trip[shape_id],Trip[shape_id],"Não encontrado")</f>
        <v/>
      </c>
      <c r="B9079" s="43" t="n">
        <v>-23.567344</v>
      </c>
      <c r="C9079" s="43" t="n">
        <v>-46.541975</v>
      </c>
      <c r="D9079" s="43" t="n">
        <v>621</v>
      </c>
      <c r="E9079" s="44" t="n">
        <v>23833.379</v>
      </c>
    </row>
    <row r="9080">
      <c r="A9080" s="39">
        <f>_xlfn.XLOOKUP(53601,Trip[shape_id],Trip[shape_id],"Não encontrado")</f>
        <v/>
      </c>
      <c r="B9080" s="40" t="n">
        <v>-23.567335</v>
      </c>
      <c r="C9080" s="40" t="n">
        <v>-46.541927</v>
      </c>
      <c r="D9080" s="40" t="n">
        <v>622</v>
      </c>
      <c r="E9080" s="41" t="n">
        <v>23849.102</v>
      </c>
    </row>
    <row r="9081">
      <c r="A9081" s="42">
        <f>_xlfn.XLOOKUP(53601,Trip[shape_id],Trip[shape_id],"Não encontrado")</f>
        <v/>
      </c>
      <c r="B9081" s="43" t="n">
        <v>-23.567333</v>
      </c>
      <c r="C9081" s="43" t="n">
        <v>-46.541773</v>
      </c>
      <c r="D9081" s="43" t="n">
        <v>623</v>
      </c>
      <c r="E9081" s="44" t="n">
        <v>23849.102</v>
      </c>
    </row>
    <row r="9082">
      <c r="A9082" s="39">
        <f>_xlfn.XLOOKUP(53601,Trip[shape_id],Trip[shape_id],"Não encontrado")</f>
        <v/>
      </c>
      <c r="B9082" s="40" t="n">
        <v>-23.567351</v>
      </c>
      <c r="C9082" s="40" t="n">
        <v>-46.541517</v>
      </c>
      <c r="D9082" s="40" t="n">
        <v>624</v>
      </c>
      <c r="E9082" s="41" t="n">
        <v>23875.313</v>
      </c>
    </row>
    <row r="9083">
      <c r="A9083" s="42">
        <f>_xlfn.XLOOKUP(53601,Trip[shape_id],Trip[shape_id],"Não encontrado")</f>
        <v/>
      </c>
      <c r="B9083" s="43" t="n">
        <v>-23.567397</v>
      </c>
      <c r="C9083" s="43" t="n">
        <v>-46.541544</v>
      </c>
      <c r="D9083" s="43" t="n">
        <v>625</v>
      </c>
      <c r="E9083" s="44" t="n">
        <v>23881.104</v>
      </c>
    </row>
    <row r="9084">
      <c r="A9084" s="39">
        <f>_xlfn.XLOOKUP(53601,Trip[shape_id],Trip[shape_id],"Não encontrado")</f>
        <v/>
      </c>
      <c r="B9084" s="40" t="n">
        <v>-23.567433</v>
      </c>
      <c r="C9084" s="40" t="n">
        <v>-46.541553</v>
      </c>
      <c r="D9084" s="40" t="n">
        <v>626</v>
      </c>
      <c r="E9084" s="41" t="n">
        <v>23885.195</v>
      </c>
    </row>
    <row r="9085">
      <c r="A9085" s="42">
        <f>_xlfn.XLOOKUP(53601,Trip[shape_id],Trip[shape_id],"Não encontrado")</f>
        <v/>
      </c>
      <c r="B9085" s="43" t="n">
        <v>-23.567458</v>
      </c>
      <c r="C9085" s="43" t="n">
        <v>-46.541558</v>
      </c>
      <c r="D9085" s="43" t="n">
        <v>627</v>
      </c>
      <c r="E9085" s="44" t="n">
        <v>23888.01</v>
      </c>
    </row>
    <row r="9086">
      <c r="A9086" s="39">
        <f>_xlfn.XLOOKUP(53601,Trip[shape_id],Trip[shape_id],"Não encontrado")</f>
        <v/>
      </c>
      <c r="B9086" s="40" t="n">
        <v>-23.567476</v>
      </c>
      <c r="C9086" s="40" t="n">
        <v>-46.541562</v>
      </c>
      <c r="D9086" s="40" t="n">
        <v>628</v>
      </c>
      <c r="E9086" s="41" t="n">
        <v>23890.043</v>
      </c>
    </row>
    <row r="9087">
      <c r="A9087" s="42">
        <f>_xlfn.XLOOKUP(53601,Trip[shape_id],Trip[shape_id],"Não encontrado")</f>
        <v/>
      </c>
      <c r="B9087" s="43" t="n">
        <v>-23.567548</v>
      </c>
      <c r="C9087" s="43" t="n">
        <v>-46.541551</v>
      </c>
      <c r="D9087" s="43" t="n">
        <v>629</v>
      </c>
      <c r="E9087" s="44" t="n">
        <v>23898.096</v>
      </c>
    </row>
    <row r="9088">
      <c r="A9088" s="39">
        <f>_xlfn.XLOOKUP(53601,Trip[shape_id],Trip[shape_id],"Não encontrado")</f>
        <v/>
      </c>
      <c r="B9088" s="40" t="n">
        <v>-23.567591</v>
      </c>
      <c r="C9088" s="40" t="n">
        <v>-46.541475</v>
      </c>
      <c r="D9088" s="40" t="n">
        <v>630</v>
      </c>
      <c r="E9088" s="41" t="n">
        <v>23926.348</v>
      </c>
    </row>
    <row r="9089">
      <c r="A9089" s="42">
        <f>_xlfn.XLOOKUP(53601,Trip[shape_id],Trip[shape_id],"Não encontrado")</f>
        <v/>
      </c>
      <c r="B9089" s="43" t="n">
        <v>-23.567687</v>
      </c>
      <c r="C9089" s="43" t="n">
        <v>-46.541319</v>
      </c>
      <c r="D9089" s="43" t="n">
        <v>631</v>
      </c>
      <c r="E9089" s="44" t="n">
        <v>23934.381</v>
      </c>
    </row>
    <row r="9090">
      <c r="A9090" s="39">
        <f>_xlfn.XLOOKUP(53601,Trip[shape_id],Trip[shape_id],"Não encontrado")</f>
        <v/>
      </c>
      <c r="B9090" s="40" t="n">
        <v>-23.567735</v>
      </c>
      <c r="C9090" s="40" t="n">
        <v>-46.54126</v>
      </c>
      <c r="D9090" s="40" t="n">
        <v>632</v>
      </c>
      <c r="E9090" s="41" t="n">
        <v>23953.563</v>
      </c>
    </row>
    <row r="9091">
      <c r="A9091" s="42">
        <f>_xlfn.XLOOKUP(53601,Trip[shape_id],Trip[shape_id],"Não encontrado")</f>
        <v/>
      </c>
      <c r="B9091" s="43" t="n">
        <v>-23.567844</v>
      </c>
      <c r="C9091" s="43" t="n">
        <v>-46.541114</v>
      </c>
      <c r="D9091" s="43" t="n">
        <v>633</v>
      </c>
      <c r="E9091" s="44" t="n">
        <v>23976.715</v>
      </c>
    </row>
    <row r="9092">
      <c r="A9092" s="39">
        <f>_xlfn.XLOOKUP(53601,Trip[shape_id],Trip[shape_id],"Não encontrado")</f>
        <v/>
      </c>
      <c r="B9092" s="40" t="n">
        <v>-23.568007</v>
      </c>
      <c r="C9092" s="40" t="n">
        <v>-46.540972</v>
      </c>
      <c r="D9092" s="40" t="n">
        <v>634</v>
      </c>
      <c r="E9092" s="41" t="n">
        <v>23987.074</v>
      </c>
    </row>
    <row r="9093">
      <c r="A9093" s="42">
        <f>_xlfn.XLOOKUP(53601,Trip[shape_id],Trip[shape_id],"Não encontrado")</f>
        <v/>
      </c>
      <c r="B9093" s="43" t="n">
        <v>-23.568085</v>
      </c>
      <c r="C9093" s="43" t="n">
        <v>-46.540916</v>
      </c>
      <c r="D9093" s="43" t="n">
        <v>635</v>
      </c>
      <c r="E9093" s="44" t="n">
        <v>23997.932</v>
      </c>
    </row>
    <row r="9094">
      <c r="A9094" s="39">
        <f>_xlfn.XLOOKUP(53601,Trip[shape_id],Trip[shape_id],"Não encontrado")</f>
        <v/>
      </c>
      <c r="B9094" s="40" t="n">
        <v>-23.56817</v>
      </c>
      <c r="C9094" s="40" t="n">
        <v>-46.540863</v>
      </c>
      <c r="D9094" s="40" t="n">
        <v>636</v>
      </c>
      <c r="E9094" s="41" t="n">
        <v>24036.355</v>
      </c>
    </row>
    <row r="9095">
      <c r="A9095" s="42">
        <f>_xlfn.XLOOKUP(53601,Trip[shape_id],Trip[shape_id],"Não encontrado")</f>
        <v/>
      </c>
      <c r="B9095" s="43" t="n">
        <v>-23.56848</v>
      </c>
      <c r="C9095" s="43" t="n">
        <v>-46.540694</v>
      </c>
      <c r="D9095" s="43" t="n">
        <v>637</v>
      </c>
      <c r="E9095" s="44" t="n">
        <v>24096.135</v>
      </c>
    </row>
    <row r="9096">
      <c r="A9096" s="39">
        <f>_xlfn.XLOOKUP(53601,Trip[shape_id],Trip[shape_id],"Não encontrado")</f>
        <v/>
      </c>
      <c r="B9096" s="40" t="n">
        <v>-23.568965</v>
      </c>
      <c r="C9096" s="40" t="n">
        <v>-46.540437</v>
      </c>
      <c r="D9096" s="40" t="n">
        <v>638</v>
      </c>
      <c r="E9096" s="41" t="n">
        <v>24096.135</v>
      </c>
    </row>
    <row r="9097">
      <c r="A9097" s="42">
        <f>_xlfn.XLOOKUP(53601,Trip[shape_id],Trip[shape_id],"Não encontrado")</f>
        <v/>
      </c>
      <c r="B9097" s="43" t="n">
        <v>-23.569113</v>
      </c>
      <c r="C9097" s="43" t="n">
        <v>-46.540361</v>
      </c>
      <c r="D9097" s="43" t="n">
        <v>639</v>
      </c>
      <c r="E9097" s="44" t="n">
        <v>24125.088</v>
      </c>
    </row>
    <row r="9098">
      <c r="A9098" s="39">
        <f>_xlfn.XLOOKUP(53601,Trip[shape_id],Trip[shape_id],"Não encontrado")</f>
        <v/>
      </c>
      <c r="B9098" s="40" t="n">
        <v>-23.569201</v>
      </c>
      <c r="C9098" s="40" t="n">
        <v>-46.540315</v>
      </c>
      <c r="D9098" s="40" t="n">
        <v>640</v>
      </c>
      <c r="E9098" s="41" t="n">
        <v>24125.088</v>
      </c>
    </row>
    <row r="9099">
      <c r="A9099" s="42">
        <f>_xlfn.XLOOKUP(53601,Trip[shape_id],Trip[shape_id],"Não encontrado")</f>
        <v/>
      </c>
      <c r="B9099" s="43" t="n">
        <v>-23.569375</v>
      </c>
      <c r="C9099" s="43" t="n">
        <v>-46.54035</v>
      </c>
      <c r="D9099" s="43" t="n">
        <v>641</v>
      </c>
      <c r="E9099" s="44" t="n">
        <v>24155.684</v>
      </c>
    </row>
    <row r="9100">
      <c r="A9100" s="39">
        <f>_xlfn.XLOOKUP(53601,Trip[shape_id],Trip[shape_id],"Não encontrado")</f>
        <v/>
      </c>
      <c r="B9100" s="40" t="n">
        <v>-23.569472</v>
      </c>
      <c r="C9100" s="40" t="n">
        <v>-46.540373</v>
      </c>
      <c r="D9100" s="40" t="n">
        <v>642</v>
      </c>
      <c r="E9100" s="41" t="n">
        <v>24155.684</v>
      </c>
    </row>
    <row r="9101">
      <c r="A9101" s="42">
        <f>_xlfn.XLOOKUP(53601,Trip[shape_id],Trip[shape_id],"Não encontrado")</f>
        <v/>
      </c>
      <c r="B9101" s="43" t="n">
        <v>-23.569777</v>
      </c>
      <c r="C9101" s="43" t="n">
        <v>-46.54057</v>
      </c>
      <c r="D9101" s="43" t="n">
        <v>643</v>
      </c>
      <c r="E9101" s="44" t="n">
        <v>24206.572</v>
      </c>
    </row>
    <row r="9102">
      <c r="A9102" s="39">
        <f>_xlfn.XLOOKUP(53601,Trip[shape_id],Trip[shape_id],"Não encontrado")</f>
        <v/>
      </c>
      <c r="B9102" s="40" t="n">
        <v>-23.569877</v>
      </c>
      <c r="C9102" s="40" t="n">
        <v>-46.540603</v>
      </c>
      <c r="D9102" s="40" t="n">
        <v>644</v>
      </c>
      <c r="E9102" s="41" t="n">
        <v>24212.887</v>
      </c>
    </row>
    <row r="9103">
      <c r="A9103" s="42">
        <f>_xlfn.XLOOKUP(53601,Trip[shape_id],Trip[shape_id],"Não encontrado")</f>
        <v/>
      </c>
      <c r="B9103" s="43" t="n">
        <v>-23.569934</v>
      </c>
      <c r="C9103" s="43" t="n">
        <v>-46.540602</v>
      </c>
      <c r="D9103" s="43" t="n">
        <v>645</v>
      </c>
      <c r="E9103" s="44" t="n">
        <v>24216.32</v>
      </c>
    </row>
    <row r="9104">
      <c r="A9104" s="39">
        <f>_xlfn.XLOOKUP(53601,Trip[shape_id],Trip[shape_id],"Não encontrado")</f>
        <v/>
      </c>
      <c r="B9104" s="40" t="n">
        <v>-23.569965</v>
      </c>
      <c r="C9104" s="40" t="n">
        <v>-46.540602</v>
      </c>
      <c r="D9104" s="40" t="n">
        <v>646</v>
      </c>
      <c r="E9104" s="41" t="n">
        <v>24226.346</v>
      </c>
    </row>
    <row r="9105">
      <c r="A9105" s="42">
        <f>_xlfn.XLOOKUP(53601,Trip[shape_id],Trip[shape_id],"Não encontrado")</f>
        <v/>
      </c>
      <c r="B9105" s="43" t="n">
        <v>-23.570053</v>
      </c>
      <c r="C9105" s="43" t="n">
        <v>-46.540579</v>
      </c>
      <c r="D9105" s="43" t="n">
        <v>647</v>
      </c>
      <c r="E9105" s="44" t="n">
        <v>24238.982</v>
      </c>
    </row>
    <row r="9106">
      <c r="A9106" s="39">
        <f>_xlfn.XLOOKUP(53601,Trip[shape_id],Trip[shape_id],"Não encontrado")</f>
        <v/>
      </c>
      <c r="B9106" s="40" t="n">
        <v>-23.57016</v>
      </c>
      <c r="C9106" s="40" t="n">
        <v>-46.540536</v>
      </c>
      <c r="D9106" s="40" t="n">
        <v>648</v>
      </c>
      <c r="E9106" s="41" t="n">
        <v>24238.982</v>
      </c>
    </row>
    <row r="9107">
      <c r="A9107" s="42">
        <f>_xlfn.XLOOKUP(53601,Trip[shape_id],Trip[shape_id],"Não encontrado")</f>
        <v/>
      </c>
      <c r="B9107" s="43" t="n">
        <v>-23.570263</v>
      </c>
      <c r="C9107" s="43" t="n">
        <v>-46.540403</v>
      </c>
      <c r="D9107" s="43" t="n">
        <v>649</v>
      </c>
      <c r="E9107" s="44" t="n">
        <v>24264.867</v>
      </c>
    </row>
    <row r="9108">
      <c r="A9108" s="39">
        <f>_xlfn.XLOOKUP(53601,Trip[shape_id],Trip[shape_id],"Não encontrado")</f>
        <v/>
      </c>
      <c r="B9108" s="40" t="n">
        <v>-23.570307</v>
      </c>
      <c r="C9108" s="40" t="n">
        <v>-46.540339</v>
      </c>
      <c r="D9108" s="40" t="n">
        <v>650</v>
      </c>
      <c r="E9108" s="41" t="n">
        <v>24274.725</v>
      </c>
    </row>
    <row r="9109">
      <c r="A9109" s="42">
        <f>_xlfn.XLOOKUP(53601,Trip[shape_id],Trip[shape_id],"Não encontrado")</f>
        <v/>
      </c>
      <c r="B9109" s="43" t="n">
        <v>-23.570354</v>
      </c>
      <c r="C9109" s="43" t="n">
        <v>-46.540257</v>
      </c>
      <c r="D9109" s="43" t="n">
        <v>651</v>
      </c>
      <c r="E9109" s="44" t="n">
        <v>24274.725</v>
      </c>
    </row>
    <row r="9110">
      <c r="A9110" s="39">
        <f>_xlfn.XLOOKUP(53601,Trip[shape_id],Trip[shape_id],"Não encontrado")</f>
        <v/>
      </c>
      <c r="B9110" s="40" t="n">
        <v>-23.570552</v>
      </c>
      <c r="C9110" s="40" t="n">
        <v>-46.539682</v>
      </c>
      <c r="D9110" s="40" t="n">
        <v>652</v>
      </c>
      <c r="E9110" s="41" t="n">
        <v>24403.041</v>
      </c>
    </row>
    <row r="9111">
      <c r="A9111" s="42">
        <f>_xlfn.XLOOKUP(53601,Trip[shape_id],Trip[shape_id],"Não encontrado")</f>
        <v/>
      </c>
      <c r="B9111" s="43" t="n">
        <v>-23.570763</v>
      </c>
      <c r="C9111" s="43" t="n">
        <v>-46.539081</v>
      </c>
      <c r="D9111" s="43" t="n">
        <v>653</v>
      </c>
      <c r="E9111" s="44" t="n">
        <v>24437.619</v>
      </c>
    </row>
    <row r="9112">
      <c r="A9112" s="39">
        <f>_xlfn.XLOOKUP(53601,Trip[shape_id],Trip[shape_id],"Não encontrado")</f>
        <v/>
      </c>
      <c r="B9112" s="40" t="n">
        <v>-23.570873</v>
      </c>
      <c r="C9112" s="40" t="n">
        <v>-46.538764</v>
      </c>
      <c r="D9112" s="40" t="n">
        <v>654</v>
      </c>
      <c r="E9112" s="41" t="n">
        <v>24437.619</v>
      </c>
    </row>
    <row r="9113">
      <c r="A9113" s="42">
        <f>_xlfn.XLOOKUP(53601,Trip[shape_id],Trip[shape_id],"Não encontrado")</f>
        <v/>
      </c>
      <c r="B9113" s="43" t="n">
        <v>-23.570938</v>
      </c>
      <c r="C9113" s="43" t="n">
        <v>-46.538579</v>
      </c>
      <c r="D9113" s="43" t="n">
        <v>655</v>
      </c>
      <c r="E9113" s="44" t="n">
        <v>24515.518</v>
      </c>
    </row>
    <row r="9114">
      <c r="A9114" s="39">
        <f>_xlfn.XLOOKUP(53601,Trip[shape_id],Trip[shape_id],"Não encontrado")</f>
        <v/>
      </c>
      <c r="B9114" s="40" t="n">
        <v>-23.571126</v>
      </c>
      <c r="C9114" s="40" t="n">
        <v>-46.538052</v>
      </c>
      <c r="D9114" s="40" t="n">
        <v>656</v>
      </c>
      <c r="E9114" s="41" t="n">
        <v>24552.725</v>
      </c>
    </row>
    <row r="9115">
      <c r="A9115" s="42">
        <f>_xlfn.XLOOKUP(53601,Trip[shape_id],Trip[shape_id],"Não encontrado")</f>
        <v/>
      </c>
      <c r="B9115" s="43" t="n">
        <v>-23.571247</v>
      </c>
      <c r="C9115" s="43" t="n">
        <v>-46.537712</v>
      </c>
      <c r="D9115" s="43" t="n">
        <v>657</v>
      </c>
      <c r="E9115" s="44" t="n">
        <v>24594.074</v>
      </c>
    </row>
    <row r="9116">
      <c r="A9116" s="39">
        <f>_xlfn.XLOOKUP(53601,Trip[shape_id],Trip[shape_id],"Não encontrado")</f>
        <v/>
      </c>
      <c r="B9116" s="40" t="n">
        <v>-23.571403</v>
      </c>
      <c r="C9116" s="40" t="n">
        <v>-46.537344</v>
      </c>
      <c r="D9116" s="40" t="n">
        <v>658</v>
      </c>
      <c r="E9116" s="41" t="n">
        <v>24594.074</v>
      </c>
    </row>
    <row r="9117">
      <c r="A9117" s="42">
        <f>_xlfn.XLOOKUP(53601,Trip[shape_id],Trip[shape_id],"Não encontrado")</f>
        <v/>
      </c>
      <c r="B9117" s="43" t="n">
        <v>-23.571564</v>
      </c>
      <c r="C9117" s="43" t="n">
        <v>-46.53696</v>
      </c>
      <c r="D9117" s="43" t="n">
        <v>659</v>
      </c>
      <c r="E9117" s="44" t="n">
        <v>24637.141</v>
      </c>
    </row>
    <row r="9118">
      <c r="A9118" s="39">
        <f>_xlfn.XLOOKUP(53601,Trip[shape_id],Trip[shape_id],"Não encontrado")</f>
        <v/>
      </c>
      <c r="B9118" s="40" t="n">
        <v>-23.571741</v>
      </c>
      <c r="C9118" s="40" t="n">
        <v>-46.536594</v>
      </c>
      <c r="D9118" s="40" t="n">
        <v>660</v>
      </c>
      <c r="E9118" s="41" t="n">
        <v>24679.334</v>
      </c>
    </row>
    <row r="9119">
      <c r="A9119" s="42">
        <f>_xlfn.XLOOKUP(53601,Trip[shape_id],Trip[shape_id],"Não encontrado")</f>
        <v/>
      </c>
      <c r="B9119" s="43" t="n">
        <v>-23.572661</v>
      </c>
      <c r="C9119" s="43" t="n">
        <v>-46.534615</v>
      </c>
      <c r="D9119" s="43" t="n">
        <v>661</v>
      </c>
      <c r="E9119" s="44" t="n">
        <v>24905.602</v>
      </c>
    </row>
    <row r="9120">
      <c r="A9120" s="39">
        <f>_xlfn.XLOOKUP(53601,Trip[shape_id],Trip[shape_id],"Não encontrado")</f>
        <v/>
      </c>
      <c r="B9120" s="40" t="n">
        <v>-23.572746</v>
      </c>
      <c r="C9120" s="40" t="n">
        <v>-46.53444</v>
      </c>
      <c r="D9120" s="40" t="n">
        <v>662</v>
      </c>
      <c r="E9120" s="41" t="n">
        <v>24953.008</v>
      </c>
    </row>
    <row r="9121">
      <c r="A9121" s="42">
        <f>_xlfn.XLOOKUP(53601,Trip[shape_id],Trip[shape_id],"Não encontrado")</f>
        <v/>
      </c>
      <c r="B9121" s="43" t="n">
        <v>-23.572847</v>
      </c>
      <c r="C9121" s="43" t="n">
        <v>-46.534197</v>
      </c>
      <c r="D9121" s="43" t="n">
        <v>663</v>
      </c>
      <c r="E9121" s="44" t="n">
        <v>24960.984</v>
      </c>
    </row>
    <row r="9122">
      <c r="A9122" s="39">
        <f>_xlfn.XLOOKUP(53601,Trip[shape_id],Trip[shape_id],"Não encontrado")</f>
        <v/>
      </c>
      <c r="B9122" s="40" t="n">
        <v>-23.572879</v>
      </c>
      <c r="C9122" s="40" t="n">
        <v>-46.534127</v>
      </c>
      <c r="D9122" s="40" t="n">
        <v>664</v>
      </c>
      <c r="E9122" s="41" t="n">
        <v>24974.701</v>
      </c>
    </row>
    <row r="9123">
      <c r="A9123" s="42">
        <f>_xlfn.XLOOKUP(53601,Trip[shape_id],Trip[shape_id],"Não encontrado")</f>
        <v/>
      </c>
      <c r="B9123" s="43" t="n">
        <v>-23.572922</v>
      </c>
      <c r="C9123" s="43" t="n">
        <v>-46.534001</v>
      </c>
      <c r="D9123" s="43" t="n">
        <v>665</v>
      </c>
      <c r="E9123" s="44" t="n">
        <v>24984.377</v>
      </c>
    </row>
    <row r="9124">
      <c r="A9124" s="39">
        <f>_xlfn.XLOOKUP(53601,Trip[shape_id],Trip[shape_id],"Não encontrado")</f>
        <v/>
      </c>
      <c r="B9124" s="40" t="n">
        <v>-23.572943</v>
      </c>
      <c r="C9124" s="40" t="n">
        <v>-46.533909</v>
      </c>
      <c r="D9124" s="40" t="n">
        <v>666</v>
      </c>
      <c r="E9124" s="41" t="n">
        <v>24984.377</v>
      </c>
    </row>
    <row r="9125">
      <c r="A9125" s="42">
        <f>_xlfn.XLOOKUP(53601,Trip[shape_id],Trip[shape_id],"Não encontrado")</f>
        <v/>
      </c>
      <c r="B9125" s="43" t="n">
        <v>-23.572972</v>
      </c>
      <c r="C9125" s="43" t="n">
        <v>-46.533783</v>
      </c>
      <c r="D9125" s="43" t="n">
        <v>667</v>
      </c>
      <c r="E9125" s="44" t="n">
        <v>25016.549</v>
      </c>
    </row>
    <row r="9126">
      <c r="A9126" s="39">
        <f>_xlfn.XLOOKUP(53601,Trip[shape_id],Trip[shape_id],"Não encontrado")</f>
        <v/>
      </c>
      <c r="B9126" s="40" t="n">
        <v>-23.573004</v>
      </c>
      <c r="C9126" s="40" t="n">
        <v>-46.533601</v>
      </c>
      <c r="D9126" s="40" t="n">
        <v>668</v>
      </c>
      <c r="E9126" s="41" t="n">
        <v>25037.5</v>
      </c>
    </row>
    <row r="9127">
      <c r="A9127" s="42">
        <f>_xlfn.XLOOKUP(53601,Trip[shape_id],Trip[shape_id],"Não encontrado")</f>
        <v/>
      </c>
      <c r="B9127" s="43" t="n">
        <v>-23.573013</v>
      </c>
      <c r="C9127" s="43" t="n">
        <v>-46.533396</v>
      </c>
      <c r="D9127" s="43" t="n">
        <v>669</v>
      </c>
      <c r="E9127" s="44" t="n">
        <v>25047.098</v>
      </c>
    </row>
    <row r="9128">
      <c r="A9128" s="39">
        <f>_xlfn.XLOOKUP(53601,Trip[shape_id],Trip[shape_id],"Não encontrado")</f>
        <v/>
      </c>
      <c r="B9128" s="40" t="n">
        <v>-23.573014</v>
      </c>
      <c r="C9128" s="40" t="n">
        <v>-46.533302</v>
      </c>
      <c r="D9128" s="40" t="n">
        <v>670</v>
      </c>
      <c r="E9128" s="41" t="n">
        <v>25047.098</v>
      </c>
    </row>
    <row r="9129">
      <c r="A9129" s="42">
        <f>_xlfn.XLOOKUP(53601,Trip[shape_id],Trip[shape_id],"Não encontrado")</f>
        <v/>
      </c>
      <c r="B9129" s="43" t="n">
        <v>-23.573014</v>
      </c>
      <c r="C9129" s="43" t="n">
        <v>-46.533172</v>
      </c>
      <c r="D9129" s="43" t="n">
        <v>671</v>
      </c>
      <c r="E9129" s="44" t="n">
        <v>25065.994</v>
      </c>
    </row>
    <row r="9130">
      <c r="A9130" s="39">
        <f>_xlfn.XLOOKUP(53601,Trip[shape_id],Trip[shape_id],"Não encontrado")</f>
        <v/>
      </c>
      <c r="B9130" s="40" t="n">
        <v>-23.573011</v>
      </c>
      <c r="C9130" s="40" t="n">
        <v>-46.533117</v>
      </c>
      <c r="D9130" s="40" t="n">
        <v>672</v>
      </c>
      <c r="E9130" s="41" t="n">
        <v>25065.994</v>
      </c>
    </row>
    <row r="9131">
      <c r="A9131" s="42">
        <f>_xlfn.XLOOKUP(53601,Trip[shape_id],Trip[shape_id],"Não encontrado")</f>
        <v/>
      </c>
      <c r="B9131" s="43" t="n">
        <v>-23.573027</v>
      </c>
      <c r="C9131" s="43" t="n">
        <v>-46.5331</v>
      </c>
      <c r="D9131" s="43" t="n">
        <v>673</v>
      </c>
      <c r="E9131" s="44" t="n">
        <v>25068.477</v>
      </c>
    </row>
    <row r="9132">
      <c r="A9132" s="39">
        <f>_xlfn.XLOOKUP(53601,Trip[shape_id],Trip[shape_id],"Não encontrado")</f>
        <v/>
      </c>
      <c r="B9132" s="40" t="n">
        <v>-23.573135</v>
      </c>
      <c r="C9132" s="40" t="n">
        <v>-46.533063</v>
      </c>
      <c r="D9132" s="40" t="n">
        <v>674</v>
      </c>
      <c r="E9132" s="41" t="n">
        <v>25081.02</v>
      </c>
    </row>
    <row r="9133">
      <c r="A9133" s="42">
        <f>_xlfn.XLOOKUP(53601,Trip[shape_id],Trip[shape_id],"Não encontrado")</f>
        <v/>
      </c>
      <c r="B9133" s="43" t="n">
        <v>-23.573203</v>
      </c>
      <c r="C9133" s="43" t="n">
        <v>-46.533041</v>
      </c>
      <c r="D9133" s="43" t="n">
        <v>675</v>
      </c>
      <c r="E9133" s="44" t="n">
        <v>25088.877</v>
      </c>
    </row>
    <row r="9134">
      <c r="A9134" s="39">
        <f>_xlfn.XLOOKUP(53601,Trip[shape_id],Trip[shape_id],"Não encontrado")</f>
        <v/>
      </c>
      <c r="B9134" s="40" t="n">
        <v>-23.573272</v>
      </c>
      <c r="C9134" s="40" t="n">
        <v>-46.53303</v>
      </c>
      <c r="D9134" s="40" t="n">
        <v>676</v>
      </c>
      <c r="E9134" s="41" t="n">
        <v>25096.602</v>
      </c>
    </row>
    <row r="9135">
      <c r="A9135" s="42">
        <f>_xlfn.XLOOKUP(53601,Trip[shape_id],Trip[shape_id],"Não encontrado")</f>
        <v/>
      </c>
      <c r="B9135" s="43" t="n">
        <v>-23.573301</v>
      </c>
      <c r="C9135" s="43" t="n">
        <v>-46.533026</v>
      </c>
      <c r="D9135" s="43" t="n">
        <v>677</v>
      </c>
      <c r="E9135" s="44" t="n">
        <v>25099.838</v>
      </c>
    </row>
    <row r="9136">
      <c r="A9136" s="39">
        <f>_xlfn.XLOOKUP(53601,Trip[shape_id],Trip[shape_id],"Não encontrado")</f>
        <v/>
      </c>
      <c r="B9136" s="40" t="n">
        <v>-23.573427</v>
      </c>
      <c r="C9136" s="40" t="n">
        <v>-46.533047</v>
      </c>
      <c r="D9136" s="40" t="n">
        <v>678</v>
      </c>
      <c r="E9136" s="41" t="n">
        <v>25113.957</v>
      </c>
    </row>
    <row r="9137">
      <c r="A9137" s="42">
        <f>_xlfn.XLOOKUP(53601,Trip[shape_id],Trip[shape_id],"Não encontrado")</f>
        <v/>
      </c>
      <c r="B9137" s="43" t="n">
        <v>-23.573507</v>
      </c>
      <c r="C9137" s="43" t="n">
        <v>-46.533073</v>
      </c>
      <c r="D9137" s="43" t="n">
        <v>679</v>
      </c>
      <c r="E9137" s="44" t="n">
        <v>25123.207</v>
      </c>
    </row>
    <row r="9138">
      <c r="A9138" s="39">
        <f>_xlfn.XLOOKUP(53601,Trip[shape_id],Trip[shape_id],"Não encontrado")</f>
        <v/>
      </c>
      <c r="B9138" s="40" t="n">
        <v>-23.573579</v>
      </c>
      <c r="C9138" s="40" t="n">
        <v>-46.533105</v>
      </c>
      <c r="D9138" s="40" t="n">
        <v>680</v>
      </c>
      <c r="E9138" s="41" t="n">
        <v>25131.824</v>
      </c>
    </row>
    <row r="9139">
      <c r="A9139" s="42">
        <f>_xlfn.XLOOKUP(53601,Trip[shape_id],Trip[shape_id],"Não encontrado")</f>
        <v/>
      </c>
      <c r="B9139" s="43" t="n">
        <v>-23.573807</v>
      </c>
      <c r="C9139" s="43" t="n">
        <v>-46.533232</v>
      </c>
      <c r="D9139" s="43" t="n">
        <v>681</v>
      </c>
      <c r="E9139" s="44" t="n">
        <v>25160.209</v>
      </c>
    </row>
    <row r="9140">
      <c r="A9140" s="39">
        <f>_xlfn.XLOOKUP(53601,Trip[shape_id],Trip[shape_id],"Não encontrado")</f>
        <v/>
      </c>
      <c r="B9140" s="40" t="n">
        <v>-23.574419</v>
      </c>
      <c r="C9140" s="40" t="n">
        <v>-46.533625</v>
      </c>
      <c r="D9140" s="40" t="n">
        <v>682</v>
      </c>
      <c r="E9140" s="41" t="n">
        <v>25238.973</v>
      </c>
    </row>
    <row r="9141">
      <c r="A9141" s="42">
        <f>_xlfn.XLOOKUP(53601,Trip[shape_id],Trip[shape_id],"Não encontrado")</f>
        <v/>
      </c>
      <c r="B9141" s="43" t="n">
        <v>-23.574502</v>
      </c>
      <c r="C9141" s="43" t="n">
        <v>-46.533677</v>
      </c>
      <c r="D9141" s="43" t="n">
        <v>683</v>
      </c>
      <c r="E9141" s="44" t="n">
        <v>25249.588</v>
      </c>
    </row>
    <row r="9142">
      <c r="A9142" s="39">
        <f>_xlfn.XLOOKUP(53601,Trip[shape_id],Trip[shape_id],"Não encontrado")</f>
        <v/>
      </c>
      <c r="B9142" s="40" t="n">
        <v>-23.574589</v>
      </c>
      <c r="C9142" s="40" t="n">
        <v>-46.533692</v>
      </c>
      <c r="D9142" s="40" t="n">
        <v>684</v>
      </c>
      <c r="E9142" s="41" t="n">
        <v>25259.344</v>
      </c>
    </row>
    <row r="9143">
      <c r="A9143" s="42">
        <f>_xlfn.XLOOKUP(53601,Trip[shape_id],Trip[shape_id],"Não encontrado")</f>
        <v/>
      </c>
      <c r="B9143" s="43" t="n">
        <v>-23.574625</v>
      </c>
      <c r="C9143" s="43" t="n">
        <v>-46.533685</v>
      </c>
      <c r="D9143" s="43" t="n">
        <v>685</v>
      </c>
      <c r="E9143" s="44" t="n">
        <v>25263.395</v>
      </c>
    </row>
    <row r="9144">
      <c r="A9144" s="39">
        <f>_xlfn.XLOOKUP(53601,Trip[shape_id],Trip[shape_id],"Não encontrado")</f>
        <v/>
      </c>
      <c r="B9144" s="40" t="n">
        <v>-23.574651</v>
      </c>
      <c r="C9144" s="40" t="n">
        <v>-46.533668</v>
      </c>
      <c r="D9144" s="40" t="n">
        <v>686</v>
      </c>
      <c r="E9144" s="41" t="n">
        <v>25272.084</v>
      </c>
    </row>
    <row r="9145">
      <c r="A9145" s="42">
        <f>_xlfn.XLOOKUP(53601,Trip[shape_id],Trip[shape_id],"Não encontrado")</f>
        <v/>
      </c>
      <c r="B9145" s="43" t="n">
        <v>-23.574689</v>
      </c>
      <c r="C9145" s="43" t="n">
        <v>-46.533636</v>
      </c>
      <c r="D9145" s="43" t="n">
        <v>687</v>
      </c>
      <c r="E9145" s="44" t="n">
        <v>25285.334</v>
      </c>
    </row>
    <row r="9146">
      <c r="A9146" s="39">
        <f>_xlfn.XLOOKUP(53601,Trip[shape_id],Trip[shape_id],"Não encontrado")</f>
        <v/>
      </c>
      <c r="B9146" s="40" t="n">
        <v>-23.574763</v>
      </c>
      <c r="C9146" s="40" t="n">
        <v>-46.533534</v>
      </c>
      <c r="D9146" s="40" t="n">
        <v>688</v>
      </c>
      <c r="E9146" s="41" t="n">
        <v>25299.895</v>
      </c>
    </row>
    <row r="9147">
      <c r="A9147" s="42">
        <f>_xlfn.XLOOKUP(53601,Trip[shape_id],Trip[shape_id],"Não encontrado")</f>
        <v/>
      </c>
      <c r="B9147" s="43" t="n">
        <v>-23.574842</v>
      </c>
      <c r="C9147" s="43" t="n">
        <v>-46.53342</v>
      </c>
      <c r="D9147" s="43" t="n">
        <v>689</v>
      </c>
      <c r="E9147" s="44" t="n">
        <v>25311.406</v>
      </c>
    </row>
    <row r="9148">
      <c r="A9148" s="39">
        <f>_xlfn.XLOOKUP(53601,Trip[shape_id],Trip[shape_id],"Não encontrado")</f>
        <v/>
      </c>
      <c r="B9148" s="40" t="n">
        <v>-23.574898</v>
      </c>
      <c r="C9148" s="40" t="n">
        <v>-46.533325</v>
      </c>
      <c r="D9148" s="40" t="n">
        <v>690</v>
      </c>
      <c r="E9148" s="41" t="n">
        <v>25311.406</v>
      </c>
    </row>
    <row r="9149">
      <c r="A9149" s="42">
        <f>_xlfn.XLOOKUP(53601,Trip[shape_id],Trip[shape_id],"Não encontrado")</f>
        <v/>
      </c>
      <c r="B9149" s="43" t="n">
        <v>-23.575011</v>
      </c>
      <c r="C9149" s="43" t="n">
        <v>-46.533036</v>
      </c>
      <c r="D9149" s="43" t="n">
        <v>691</v>
      </c>
      <c r="E9149" s="44" t="n">
        <v>25371.303</v>
      </c>
    </row>
    <row r="9150">
      <c r="A9150" s="39">
        <f>_xlfn.XLOOKUP(53601,Trip[shape_id],Trip[shape_id],"Não encontrado")</f>
        <v/>
      </c>
      <c r="B9150" s="40" t="n">
        <v>-23.57509</v>
      </c>
      <c r="C9150" s="40" t="n">
        <v>-46.532777</v>
      </c>
      <c r="D9150" s="40" t="n">
        <v>692</v>
      </c>
      <c r="E9150" s="41" t="n">
        <v>25371.303</v>
      </c>
    </row>
    <row r="9151">
      <c r="A9151" s="42">
        <f>_xlfn.XLOOKUP(53601,Trip[shape_id],Trip[shape_id],"Não encontrado")</f>
        <v/>
      </c>
      <c r="B9151" s="43" t="n">
        <v>-23.575192</v>
      </c>
      <c r="C9151" s="43" t="n">
        <v>-46.532471</v>
      </c>
      <c r="D9151" s="43" t="n">
        <v>693</v>
      </c>
      <c r="E9151" s="44" t="n">
        <v>25439.025</v>
      </c>
    </row>
    <row r="9152">
      <c r="A9152" s="39">
        <f>_xlfn.XLOOKUP(53601,Trip[shape_id],Trip[shape_id],"Não encontrado")</f>
        <v/>
      </c>
      <c r="B9152" s="40" t="n">
        <v>-23.575305</v>
      </c>
      <c r="C9152" s="40" t="n">
        <v>-46.532156</v>
      </c>
      <c r="D9152" s="40" t="n">
        <v>694</v>
      </c>
      <c r="E9152" s="41" t="n">
        <v>25482.771</v>
      </c>
    </row>
    <row r="9153">
      <c r="A9153" s="42">
        <f>_xlfn.XLOOKUP(53601,Trip[shape_id],Trip[shape_id],"Não encontrado")</f>
        <v/>
      </c>
      <c r="B9153" s="43" t="n">
        <v>-23.575407</v>
      </c>
      <c r="C9153" s="43" t="n">
        <v>-46.531742</v>
      </c>
      <c r="D9153" s="43" t="n">
        <v>695</v>
      </c>
      <c r="E9153" s="44" t="n">
        <v>25482.771</v>
      </c>
    </row>
    <row r="9154">
      <c r="A9154" s="39">
        <f>_xlfn.XLOOKUP(53601,Trip[shape_id],Trip[shape_id],"Não encontrado")</f>
        <v/>
      </c>
      <c r="B9154" s="40" t="n">
        <v>-23.575434</v>
      </c>
      <c r="C9154" s="40" t="n">
        <v>-46.531655</v>
      </c>
      <c r="D9154" s="40" t="n">
        <v>696</v>
      </c>
      <c r="E9154" s="41" t="n">
        <v>25523.328</v>
      </c>
    </row>
    <row r="9155">
      <c r="A9155" s="42">
        <f>_xlfn.XLOOKUP(53601,Trip[shape_id],Trip[shape_id],"Não encontrado")</f>
        <v/>
      </c>
      <c r="B9155" s="43" t="n">
        <v>-23.575533</v>
      </c>
      <c r="C9155" s="43" t="n">
        <v>-46.531369</v>
      </c>
      <c r="D9155" s="43" t="n">
        <v>697</v>
      </c>
      <c r="E9155" s="44" t="n">
        <v>25536.229</v>
      </c>
    </row>
    <row r="9156">
      <c r="A9156" s="39">
        <f>_xlfn.XLOOKUP(53601,Trip[shape_id],Trip[shape_id],"Não encontrado")</f>
        <v/>
      </c>
      <c r="B9156" s="40" t="n">
        <v>-23.575577</v>
      </c>
      <c r="C9156" s="40" t="n">
        <v>-46.531252</v>
      </c>
      <c r="D9156" s="40" t="n">
        <v>698</v>
      </c>
      <c r="E9156" s="41" t="n">
        <v>25545.65</v>
      </c>
    </row>
    <row r="9157">
      <c r="A9157" s="42">
        <f>_xlfn.XLOOKUP(53601,Trip[shape_id],Trip[shape_id],"Não encontrado")</f>
        <v/>
      </c>
      <c r="B9157" s="43" t="n">
        <v>-23.575621</v>
      </c>
      <c r="C9157" s="43" t="n">
        <v>-46.531173</v>
      </c>
      <c r="D9157" s="43" t="n">
        <v>699</v>
      </c>
      <c r="E9157" s="44" t="n">
        <v>25553.424</v>
      </c>
    </row>
    <row r="9158">
      <c r="A9158" s="39">
        <f>_xlfn.XLOOKUP(53601,Trip[shape_id],Trip[shape_id],"Não encontrado")</f>
        <v/>
      </c>
      <c r="B9158" s="40" t="n">
        <v>-23.575663</v>
      </c>
      <c r="C9158" s="40" t="n">
        <v>-46.531112</v>
      </c>
      <c r="D9158" s="40" t="n">
        <v>700</v>
      </c>
      <c r="E9158" s="41" t="n">
        <v>25553.424</v>
      </c>
    </row>
    <row r="9159">
      <c r="A9159" s="42">
        <f>_xlfn.XLOOKUP(53601,Trip[shape_id],Trip[shape_id],"Não encontrado")</f>
        <v/>
      </c>
      <c r="B9159" s="43" t="n">
        <v>-23.575862</v>
      </c>
      <c r="C9159" s="43" t="n">
        <v>-46.530734</v>
      </c>
      <c r="D9159" s="43" t="n">
        <v>701</v>
      </c>
      <c r="E9159" s="44" t="n">
        <v>25606.404</v>
      </c>
    </row>
    <row r="9160">
      <c r="A9160" s="39">
        <f>_xlfn.XLOOKUP(53601,Trip[shape_id],Trip[shape_id],"Não encontrado")</f>
        <v/>
      </c>
      <c r="B9160" s="40" t="n">
        <v>-23.575898</v>
      </c>
      <c r="C9160" s="40" t="n">
        <v>-46.53066</v>
      </c>
      <c r="D9160" s="40" t="n">
        <v>702</v>
      </c>
      <c r="E9160" s="41" t="n">
        <v>25615.486</v>
      </c>
    </row>
    <row r="9161">
      <c r="A9161" s="42">
        <f>_xlfn.XLOOKUP(53601,Trip[shape_id],Trip[shape_id],"Não encontrado")</f>
        <v/>
      </c>
      <c r="B9161" s="43" t="n">
        <v>-23.575925</v>
      </c>
      <c r="C9161" s="43" t="n">
        <v>-46.530576</v>
      </c>
      <c r="D9161" s="43" t="n">
        <v>703</v>
      </c>
      <c r="E9161" s="44" t="n">
        <v>25624.342</v>
      </c>
    </row>
    <row r="9162">
      <c r="A9162" s="39">
        <f>_xlfn.XLOOKUP(53601,Trip[shape_id],Trip[shape_id],"Não encontrado")</f>
        <v/>
      </c>
      <c r="B9162" s="40" t="n">
        <v>-23.575941</v>
      </c>
      <c r="C9162" s="40" t="n">
        <v>-46.530491</v>
      </c>
      <c r="D9162" s="40" t="n">
        <v>704</v>
      </c>
      <c r="E9162" s="41" t="n">
        <v>25664.498</v>
      </c>
    </row>
    <row r="9163">
      <c r="A9163" s="42">
        <f>_xlfn.XLOOKUP(53601,Trip[shape_id],Trip[shape_id],"Não encontrado")</f>
        <v/>
      </c>
      <c r="B9163" s="43" t="n">
        <v>-23.576006</v>
      </c>
      <c r="C9163" s="43" t="n">
        <v>-46.530104</v>
      </c>
      <c r="D9163" s="43" t="n">
        <v>705</v>
      </c>
      <c r="E9163" s="44" t="n">
        <v>25694.768</v>
      </c>
    </row>
    <row r="9164">
      <c r="A9164" s="39">
        <f>_xlfn.XLOOKUP(53601,Trip[shape_id],Trip[shape_id],"Não encontrado")</f>
        <v/>
      </c>
      <c r="B9164" s="40" t="n">
        <v>-23.576063</v>
      </c>
      <c r="C9164" s="40" t="n">
        <v>-46.529814</v>
      </c>
      <c r="D9164" s="40" t="n">
        <v>706</v>
      </c>
      <c r="E9164" s="41" t="n">
        <v>25694.768</v>
      </c>
    </row>
    <row r="9165">
      <c r="A9165" s="42">
        <f>_xlfn.XLOOKUP(53601,Trip[shape_id],Trip[shape_id],"Não encontrado")</f>
        <v/>
      </c>
      <c r="B9165" s="43" t="n">
        <v>-23.576141</v>
      </c>
      <c r="C9165" s="43" t="n">
        <v>-46.529385</v>
      </c>
      <c r="D9165" s="43" t="n">
        <v>707</v>
      </c>
      <c r="E9165" s="44" t="n">
        <v>25739.404</v>
      </c>
    </row>
    <row r="9166">
      <c r="A9166" s="39">
        <f>_xlfn.XLOOKUP(53601,Trip[shape_id],Trip[shape_id],"Não encontrado")</f>
        <v/>
      </c>
      <c r="B9166" s="40" t="n">
        <v>-23.576146</v>
      </c>
      <c r="C9166" s="40" t="n">
        <v>-46.529305</v>
      </c>
      <c r="D9166" s="40" t="n">
        <v>708</v>
      </c>
      <c r="E9166" s="41" t="n">
        <v>25753.82</v>
      </c>
    </row>
    <row r="9167">
      <c r="A9167" s="42">
        <f>_xlfn.XLOOKUP(53601,Trip[shape_id],Trip[shape_id],"Não encontrado")</f>
        <v/>
      </c>
      <c r="B9167" s="43" t="n">
        <v>-23.576144</v>
      </c>
      <c r="C9167" s="43" t="n">
        <v>-46.529244</v>
      </c>
      <c r="D9167" s="43" t="n">
        <v>709</v>
      </c>
      <c r="E9167" s="44" t="n">
        <v>25761.527</v>
      </c>
    </row>
    <row r="9168">
      <c r="A9168" s="39">
        <f>_xlfn.XLOOKUP(53601,Trip[shape_id],Trip[shape_id],"Não encontrado")</f>
        <v/>
      </c>
      <c r="B9168" s="40" t="n">
        <v>-23.576136</v>
      </c>
      <c r="C9168" s="40" t="n">
        <v>-46.529169</v>
      </c>
      <c r="D9168" s="40" t="n">
        <v>710</v>
      </c>
      <c r="E9168" s="41" t="n">
        <v>25769.74</v>
      </c>
    </row>
    <row r="9169">
      <c r="A9169" s="42">
        <f>_xlfn.XLOOKUP(53601,Trip[shape_id],Trip[shape_id],"Não encontrado")</f>
        <v/>
      </c>
      <c r="B9169" s="43" t="n">
        <v>-23.576122</v>
      </c>
      <c r="C9169" s="43" t="n">
        <v>-46.52909</v>
      </c>
      <c r="D9169" s="43" t="n">
        <v>711</v>
      </c>
      <c r="E9169" s="44" t="n">
        <v>25769.74</v>
      </c>
    </row>
    <row r="9170">
      <c r="A9170" s="39">
        <f>_xlfn.XLOOKUP(53601,Trip[shape_id],Trip[shape_id],"Não encontrado")</f>
        <v/>
      </c>
      <c r="B9170" s="40" t="n">
        <v>-23.576083</v>
      </c>
      <c r="C9170" s="40" t="n">
        <v>-46.528929</v>
      </c>
      <c r="D9170" s="40" t="n">
        <v>712</v>
      </c>
      <c r="E9170" s="41" t="n">
        <v>25803.711</v>
      </c>
    </row>
    <row r="9171">
      <c r="A9171" s="42">
        <f>_xlfn.XLOOKUP(53601,Trip[shape_id],Trip[shape_id],"Não encontrado")</f>
        <v/>
      </c>
      <c r="B9171" s="43" t="n">
        <v>-23.576038</v>
      </c>
      <c r="C9171" s="43" t="n">
        <v>-46.52877</v>
      </c>
      <c r="D9171" s="43" t="n">
        <v>713</v>
      </c>
      <c r="E9171" s="44" t="n">
        <v>25803.711</v>
      </c>
    </row>
    <row r="9172">
      <c r="A9172" s="39">
        <f>_xlfn.XLOOKUP(53601,Trip[shape_id],Trip[shape_id],"Não encontrado")</f>
        <v/>
      </c>
      <c r="B9172" s="40" t="n">
        <v>-23.575884</v>
      </c>
      <c r="C9172" s="40" t="n">
        <v>-46.528747</v>
      </c>
      <c r="D9172" s="40" t="n">
        <v>714</v>
      </c>
      <c r="E9172" s="41" t="n">
        <v>25820.928</v>
      </c>
    </row>
    <row r="9173">
      <c r="A9173" s="42">
        <f>_xlfn.XLOOKUP(53601,Trip[shape_id],Trip[shape_id],"Não encontrado")</f>
        <v/>
      </c>
      <c r="B9173" s="43" t="n">
        <v>-23.575732</v>
      </c>
      <c r="C9173" s="43" t="n">
        <v>-46.528735</v>
      </c>
      <c r="D9173" s="43" t="n">
        <v>715</v>
      </c>
      <c r="E9173" s="44" t="n">
        <v>25837.807</v>
      </c>
    </row>
    <row r="9174">
      <c r="A9174" s="39">
        <f>_xlfn.XLOOKUP(53601,Trip[shape_id],Trip[shape_id],"Não encontrado")</f>
        <v/>
      </c>
      <c r="B9174" s="40" t="n">
        <v>-23.57563</v>
      </c>
      <c r="C9174" s="40" t="n">
        <v>-46.528747</v>
      </c>
      <c r="D9174" s="40" t="n">
        <v>716</v>
      </c>
      <c r="E9174" s="41" t="n">
        <v>25849.17</v>
      </c>
    </row>
    <row r="9175">
      <c r="A9175" s="42">
        <f>_xlfn.XLOOKUP(53601,Trip[shape_id],Trip[shape_id],"Não encontrado")</f>
        <v/>
      </c>
      <c r="B9175" s="43" t="n">
        <v>-23.575571</v>
      </c>
      <c r="C9175" s="43" t="n">
        <v>-46.52877</v>
      </c>
      <c r="D9175" s="43" t="n">
        <v>717</v>
      </c>
      <c r="E9175" s="44" t="n">
        <v>25856.113</v>
      </c>
    </row>
    <row r="9176">
      <c r="A9176" s="39">
        <f>_xlfn.XLOOKUP(53601,Trip[shape_id],Trip[shape_id],"Não encontrado")</f>
        <v/>
      </c>
      <c r="B9176" s="40" t="n">
        <v>-23.575488</v>
      </c>
      <c r="C9176" s="40" t="n">
        <v>-46.528846</v>
      </c>
      <c r="D9176" s="40" t="n">
        <v>718</v>
      </c>
      <c r="E9176" s="41" t="n">
        <v>25868.143</v>
      </c>
    </row>
    <row r="9177">
      <c r="A9177" s="42">
        <f>_xlfn.XLOOKUP(53601,Trip[shape_id],Trip[shape_id],"Não encontrado")</f>
        <v/>
      </c>
      <c r="B9177" s="43" t="n">
        <v>-23.575467</v>
      </c>
      <c r="C9177" s="43" t="n">
        <v>-46.528882</v>
      </c>
      <c r="D9177" s="43" t="n">
        <v>719</v>
      </c>
      <c r="E9177" s="44" t="n">
        <v>25872.492</v>
      </c>
    </row>
    <row r="9178">
      <c r="A9178" s="39">
        <f>_xlfn.XLOOKUP(53601,Trip[shape_id],Trip[shape_id],"Não encontrado")</f>
        <v/>
      </c>
      <c r="B9178" s="40" t="n">
        <v>-23.575278</v>
      </c>
      <c r="C9178" s="40" t="n">
        <v>-46.528696</v>
      </c>
      <c r="D9178" s="40" t="n">
        <v>720</v>
      </c>
      <c r="E9178" s="41" t="n">
        <v>25907.973</v>
      </c>
    </row>
    <row r="9179">
      <c r="A9179" s="42">
        <f>_xlfn.XLOOKUP(53601,Trip[shape_id],Trip[shape_id],"Não encontrado")</f>
        <v/>
      </c>
      <c r="B9179" s="43" t="n">
        <v>-23.575231</v>
      </c>
      <c r="C9179" s="43" t="n">
        <v>-46.528647</v>
      </c>
      <c r="D9179" s="43" t="n">
        <v>721</v>
      </c>
      <c r="E9179" s="44" t="n">
        <v>25907.973</v>
      </c>
    </row>
    <row r="9180">
      <c r="A9180" s="39">
        <f>_xlfn.XLOOKUP(53601,Trip[shape_id],Trip[shape_id],"Não encontrado")</f>
        <v/>
      </c>
      <c r="B9180" s="40" t="n">
        <v>-23.575322</v>
      </c>
      <c r="C9180" s="40" t="n">
        <v>-46.528433</v>
      </c>
      <c r="D9180" s="40" t="n">
        <v>722</v>
      </c>
      <c r="E9180" s="41" t="n">
        <v>25944.297</v>
      </c>
    </row>
    <row r="9181">
      <c r="A9181" s="42">
        <f>_xlfn.XLOOKUP(53601,Trip[shape_id],Trip[shape_id],"Não encontrado")</f>
        <v/>
      </c>
      <c r="B9181" s="43" t="n">
        <v>-23.575357</v>
      </c>
      <c r="C9181" s="43" t="n">
        <v>-46.528319</v>
      </c>
      <c r="D9181" s="43" t="n">
        <v>723</v>
      </c>
      <c r="E9181" s="44" t="n">
        <v>25967.752</v>
      </c>
    </row>
    <row r="9182">
      <c r="A9182" s="39">
        <f>_xlfn.XLOOKUP(53601,Trip[shape_id],Trip[shape_id],"Não encontrado")</f>
        <v/>
      </c>
      <c r="B9182" s="40" t="n">
        <v>-23.575408</v>
      </c>
      <c r="C9182" s="40" t="n">
        <v>-46.528096</v>
      </c>
      <c r="D9182" s="40" t="n">
        <v>724</v>
      </c>
      <c r="E9182" s="41" t="n">
        <v>25995.99</v>
      </c>
    </row>
    <row r="9183">
      <c r="A9183" s="42">
        <f>_xlfn.XLOOKUP(53601,Trip[shape_id],Trip[shape_id],"Não encontrado")</f>
        <v/>
      </c>
      <c r="B9183" s="43" t="n">
        <v>-23.575443</v>
      </c>
      <c r="C9183" s="43" t="n">
        <v>-46.527822</v>
      </c>
      <c r="D9183" s="43" t="n">
        <v>725</v>
      </c>
      <c r="E9183" s="44" t="n">
        <v>25995.99</v>
      </c>
    </row>
    <row r="9184">
      <c r="A9184" s="39">
        <f>_xlfn.XLOOKUP(53601,Trip[shape_id],Trip[shape_id],"Não encontrado")</f>
        <v/>
      </c>
      <c r="B9184" s="40" t="n">
        <v>-23.57487</v>
      </c>
      <c r="C9184" s="40" t="n">
        <v>-46.527734</v>
      </c>
      <c r="D9184" s="40" t="n">
        <v>726</v>
      </c>
      <c r="E9184" s="41" t="n">
        <v>26060.084</v>
      </c>
    </row>
    <row r="9185">
      <c r="A9185" s="42">
        <f>_xlfn.XLOOKUP(53601,Trip[shape_id],Trip[shape_id],"Não encontrado")</f>
        <v/>
      </c>
      <c r="B9185" s="43" t="n">
        <v>-23.574493</v>
      </c>
      <c r="C9185" s="43" t="n">
        <v>-46.527678</v>
      </c>
      <c r="D9185" s="43" t="n">
        <v>727</v>
      </c>
      <c r="E9185" s="44" t="n">
        <v>26102.227</v>
      </c>
    </row>
    <row r="9186">
      <c r="A9186" s="39">
        <f>_xlfn.XLOOKUP(53601,Trip[shape_id],Trip[shape_id],"Não encontrado")</f>
        <v/>
      </c>
      <c r="B9186" s="40" t="n">
        <v>-23.574415</v>
      </c>
      <c r="C9186" s="40" t="n">
        <v>-46.527668</v>
      </c>
      <c r="D9186" s="40" t="n">
        <v>728</v>
      </c>
      <c r="E9186" s="41" t="n">
        <v>26110.926</v>
      </c>
    </row>
    <row r="9187">
      <c r="A9187" s="42">
        <f>_xlfn.XLOOKUP(53601,Trip[shape_id],Trip[shape_id],"Não encontrado")</f>
        <v/>
      </c>
      <c r="B9187" s="43" t="n">
        <v>-23.574312</v>
      </c>
      <c r="C9187" s="43" t="n">
        <v>-46.527661</v>
      </c>
      <c r="D9187" s="43" t="n">
        <v>729</v>
      </c>
      <c r="E9187" s="44" t="n">
        <v>26122.355</v>
      </c>
    </row>
    <row r="9188">
      <c r="A9188" s="39">
        <f>_xlfn.XLOOKUP(53601,Trip[shape_id],Trip[shape_id],"Não encontrado")</f>
        <v/>
      </c>
      <c r="B9188" s="40" t="n">
        <v>-23.57424</v>
      </c>
      <c r="C9188" s="40" t="n">
        <v>-46.527655</v>
      </c>
      <c r="D9188" s="40" t="n">
        <v>730</v>
      </c>
      <c r="E9188" s="41" t="n">
        <v>26130.354</v>
      </c>
    </row>
    <row r="9189">
      <c r="A9189" s="42">
        <f>_xlfn.XLOOKUP(53601,Trip[shape_id],Trip[shape_id],"Não encontrado")</f>
        <v/>
      </c>
      <c r="B9189" s="43" t="n">
        <v>-23.574157</v>
      </c>
      <c r="C9189" s="43" t="n">
        <v>-46.527661</v>
      </c>
      <c r="D9189" s="43" t="n">
        <v>731</v>
      </c>
      <c r="E9189" s="44" t="n">
        <v>26139.566</v>
      </c>
    </row>
    <row r="9190">
      <c r="A9190" s="39">
        <f>_xlfn.XLOOKUP(53601,Trip[shape_id],Trip[shape_id],"Não encontrado")</f>
        <v/>
      </c>
      <c r="B9190" s="40" t="n">
        <v>-23.573886</v>
      </c>
      <c r="C9190" s="40" t="n">
        <v>-46.527698</v>
      </c>
      <c r="D9190" s="40" t="n">
        <v>732</v>
      </c>
      <c r="E9190" s="41" t="n">
        <v>26169.816</v>
      </c>
    </row>
    <row r="9191">
      <c r="A9191" s="42">
        <f>_xlfn.XLOOKUP(53601,Trip[shape_id],Trip[shape_id],"Não encontrado")</f>
        <v/>
      </c>
      <c r="B9191" s="43" t="n">
        <v>-23.573708</v>
      </c>
      <c r="C9191" s="43" t="n">
        <v>-46.527737</v>
      </c>
      <c r="D9191" s="43" t="n">
        <v>733</v>
      </c>
      <c r="E9191" s="44" t="n">
        <v>26189.928</v>
      </c>
    </row>
    <row r="9192">
      <c r="A9192" s="39">
        <f>_xlfn.XLOOKUP(53601,Trip[shape_id],Trip[shape_id],"Não encontrado")</f>
        <v/>
      </c>
      <c r="B9192" s="40" t="n">
        <v>-23.573562</v>
      </c>
      <c r="C9192" s="40" t="n">
        <v>-46.527744</v>
      </c>
      <c r="D9192" s="40" t="n">
        <v>734</v>
      </c>
      <c r="E9192" s="41" t="n">
        <v>26206.113</v>
      </c>
    </row>
    <row r="9193">
      <c r="A9193" s="42">
        <f>_xlfn.XLOOKUP(53601,Trip[shape_id],Trip[shape_id],"Não encontrado")</f>
        <v/>
      </c>
      <c r="B9193" s="43" t="n">
        <v>-23.573508</v>
      </c>
      <c r="C9193" s="43" t="n">
        <v>-46.527738</v>
      </c>
      <c r="D9193" s="43" t="n">
        <v>735</v>
      </c>
      <c r="E9193" s="44" t="n">
        <v>26212.125</v>
      </c>
    </row>
    <row r="9194">
      <c r="A9194" s="39">
        <f>_xlfn.XLOOKUP(53601,Trip[shape_id],Trip[shape_id],"Não encontrado")</f>
        <v/>
      </c>
      <c r="B9194" s="40" t="n">
        <v>-23.57348</v>
      </c>
      <c r="C9194" s="40" t="n">
        <v>-46.527726</v>
      </c>
      <c r="D9194" s="40" t="n">
        <v>736</v>
      </c>
      <c r="E9194" s="41" t="n">
        <v>26215.459</v>
      </c>
    </row>
    <row r="9195">
      <c r="A9195" s="42">
        <f>_xlfn.XLOOKUP(53601,Trip[shape_id],Trip[shape_id],"Não encontrado")</f>
        <v/>
      </c>
      <c r="B9195" s="43" t="n">
        <v>-23.573124</v>
      </c>
      <c r="C9195" s="43" t="n">
        <v>-46.527545</v>
      </c>
      <c r="D9195" s="43" t="n">
        <v>737</v>
      </c>
      <c r="E9195" s="44" t="n">
        <v>26259.002</v>
      </c>
    </row>
    <row r="9196">
      <c r="A9196" s="39">
        <f>_xlfn.XLOOKUP(53601,Trip[shape_id],Trip[shape_id],"Não encontrado")</f>
        <v/>
      </c>
      <c r="B9196" s="40" t="n">
        <v>-23.572712</v>
      </c>
      <c r="C9196" s="40" t="n">
        <v>-46.527332</v>
      </c>
      <c r="D9196" s="40" t="n">
        <v>738</v>
      </c>
      <c r="E9196" s="41" t="n">
        <v>26309.549</v>
      </c>
    </row>
    <row r="9197">
      <c r="A9197" s="42">
        <f>_xlfn.XLOOKUP(53601,Trip[shape_id],Trip[shape_id],"Não encontrado")</f>
        <v/>
      </c>
      <c r="B9197" s="43" t="n">
        <v>-23.572307</v>
      </c>
      <c r="C9197" s="43" t="n">
        <v>-46.527117</v>
      </c>
      <c r="D9197" s="43" t="n">
        <v>739</v>
      </c>
      <c r="E9197" s="44" t="n">
        <v>26359.484</v>
      </c>
    </row>
    <row r="9198">
      <c r="A9198" s="39">
        <f>_xlfn.XLOOKUP(53601,Trip[shape_id],Trip[shape_id],"Não encontrado")</f>
        <v/>
      </c>
      <c r="B9198" s="40" t="n">
        <v>-23.571894</v>
      </c>
      <c r="C9198" s="40" t="n">
        <v>-46.526891</v>
      </c>
      <c r="D9198" s="40" t="n">
        <v>740</v>
      </c>
      <c r="E9198" s="41" t="n">
        <v>26410.715</v>
      </c>
    </row>
    <row r="9199">
      <c r="A9199" s="42">
        <f>_xlfn.XLOOKUP(53601,Trip[shape_id],Trip[shape_id],"Não encontrado")</f>
        <v/>
      </c>
      <c r="B9199" s="43" t="n">
        <v>-23.571783</v>
      </c>
      <c r="C9199" s="43" t="n">
        <v>-46.527032</v>
      </c>
      <c r="D9199" s="43" t="n">
        <v>741</v>
      </c>
      <c r="E9199" s="44" t="n">
        <v>26429.645</v>
      </c>
    </row>
    <row r="9200">
      <c r="A9200" s="39">
        <f>_xlfn.XLOOKUP(53601,Trip[shape_id],Trip[shape_id],"Não encontrado")</f>
        <v/>
      </c>
      <c r="B9200" s="40" t="n">
        <v>-23.571726</v>
      </c>
      <c r="C9200" s="40" t="n">
        <v>-46.527117</v>
      </c>
      <c r="D9200" s="40" t="n">
        <v>742</v>
      </c>
      <c r="E9200" s="41" t="n">
        <v>26440.375</v>
      </c>
    </row>
    <row r="9201">
      <c r="A9201" s="42">
        <f>_xlfn.XLOOKUP(53601,Trip[shape_id],Trip[shape_id],"Não encontrado")</f>
        <v/>
      </c>
      <c r="B9201" s="43" t="n">
        <v>-23.571315</v>
      </c>
      <c r="C9201" s="43" t="n">
        <v>-46.527107</v>
      </c>
      <c r="D9201" s="43" t="n">
        <v>743</v>
      </c>
      <c r="E9201" s="44" t="n">
        <v>26485.906</v>
      </c>
    </row>
    <row r="9202">
      <c r="A9202" s="39">
        <f>_xlfn.XLOOKUP(53601,Trip[shape_id],Trip[shape_id],"Não encontrado")</f>
        <v/>
      </c>
      <c r="B9202" s="40" t="n">
        <v>-23.57132</v>
      </c>
      <c r="C9202" s="40" t="n">
        <v>-46.527084</v>
      </c>
      <c r="D9202" s="40" t="n">
        <v>744</v>
      </c>
      <c r="E9202" s="41" t="n">
        <v>26493.352</v>
      </c>
    </row>
    <row r="9203">
      <c r="A9203" s="42">
        <f>_xlfn.XLOOKUP(53601,Trip[shape_id],Trip[shape_id],"Não encontrado")</f>
        <v/>
      </c>
      <c r="B9203" s="43" t="n">
        <v>-23.571325</v>
      </c>
      <c r="C9203" s="43" t="n">
        <v>-46.527035</v>
      </c>
      <c r="D9203" s="43" t="n">
        <v>745</v>
      </c>
      <c r="E9203" s="44" t="n">
        <v>26502.342</v>
      </c>
    </row>
    <row r="9204">
      <c r="A9204" s="39">
        <f>_xlfn.XLOOKUP(53601,Trip[shape_id],Trip[shape_id],"Não encontrado")</f>
        <v/>
      </c>
      <c r="B9204" s="40" t="n">
        <v>-23.571328</v>
      </c>
      <c r="C9204" s="40" t="n">
        <v>-46.526947</v>
      </c>
      <c r="D9204" s="40" t="n">
        <v>746</v>
      </c>
      <c r="E9204" s="41" t="n">
        <v>26516.434</v>
      </c>
    </row>
    <row r="9205">
      <c r="A9205" s="42">
        <f>_xlfn.XLOOKUP(53601,Trip[shape_id],Trip[shape_id],"Não encontrado")</f>
        <v/>
      </c>
      <c r="B9205" s="43" t="n">
        <v>-23.571325</v>
      </c>
      <c r="C9205" s="43" t="n">
        <v>-46.526809</v>
      </c>
      <c r="D9205" s="43" t="n">
        <v>747</v>
      </c>
      <c r="E9205" s="44" t="n">
        <v>26534.098</v>
      </c>
    </row>
    <row r="9206">
      <c r="A9206" s="39">
        <f>_xlfn.XLOOKUP(53601,Trip[shape_id],Trip[shape_id],"Não encontrado")</f>
        <v/>
      </c>
      <c r="B9206" s="40" t="n">
        <v>-23.571328</v>
      </c>
      <c r="C9206" s="40" t="n">
        <v>-46.526636</v>
      </c>
      <c r="D9206" s="40" t="n">
        <v>748</v>
      </c>
      <c r="E9206" s="41" t="n">
        <v>26545.035</v>
      </c>
    </row>
    <row r="9207">
      <c r="A9207" s="42">
        <f>_xlfn.XLOOKUP(53601,Trip[shape_id],Trip[shape_id],"Não encontrado")</f>
        <v/>
      </c>
      <c r="B9207" s="43" t="n">
        <v>-23.571333</v>
      </c>
      <c r="C9207" s="43" t="n">
        <v>-46.526529</v>
      </c>
      <c r="D9207" s="43" t="n">
        <v>749</v>
      </c>
      <c r="E9207" s="44" t="n">
        <v>26545.035</v>
      </c>
    </row>
    <row r="9208">
      <c r="A9208" s="39">
        <f>_xlfn.XLOOKUP(53601,Trip[shape_id],Trip[shape_id],"Não encontrado")</f>
        <v/>
      </c>
      <c r="B9208" s="40" t="n">
        <v>-23.571336</v>
      </c>
      <c r="C9208" s="40" t="n">
        <v>-46.525953</v>
      </c>
      <c r="D9208" s="40" t="n">
        <v>750</v>
      </c>
      <c r="E9208" s="41" t="n">
        <v>26603.838</v>
      </c>
    </row>
    <row r="9209">
      <c r="A9209" s="42">
        <f>_xlfn.XLOOKUP(53601,Trip[shape_id],Trip[shape_id],"Não encontrado")</f>
        <v/>
      </c>
      <c r="B9209" s="43" t="n">
        <v>-23.571334</v>
      </c>
      <c r="C9209" s="43" t="n">
        <v>-46.525368</v>
      </c>
      <c r="D9209" s="43" t="n">
        <v>751</v>
      </c>
      <c r="E9209" s="44" t="n">
        <v>26663.559</v>
      </c>
    </row>
    <row r="9210">
      <c r="A9210" s="39">
        <f>_xlfn.XLOOKUP(53601,Trip[shape_id],Trip[shape_id],"Não encontrado")</f>
        <v/>
      </c>
      <c r="B9210" s="40" t="n">
        <v>-23.571344</v>
      </c>
      <c r="C9210" s="40" t="n">
        <v>-46.524756</v>
      </c>
      <c r="D9210" s="40" t="n">
        <v>752</v>
      </c>
      <c r="E9210" s="41" t="n">
        <v>26726.045</v>
      </c>
    </row>
    <row r="9211">
      <c r="A9211" s="42">
        <f>_xlfn.XLOOKUP(53601,Trip[shape_id],Trip[shape_id],"Não encontrado")</f>
        <v/>
      </c>
      <c r="B9211" s="43" t="n">
        <v>-23.571171</v>
      </c>
      <c r="C9211" s="43" t="n">
        <v>-46.524761</v>
      </c>
      <c r="D9211" s="43" t="n">
        <v>753</v>
      </c>
      <c r="E9211" s="44" t="n">
        <v>26745.211</v>
      </c>
    </row>
    <row r="9212">
      <c r="A9212" s="39">
        <f>_xlfn.XLOOKUP(53601,Trip[shape_id],Trip[shape_id],"Não encontrado")</f>
        <v/>
      </c>
      <c r="B9212" s="40" t="n">
        <v>-23.570294</v>
      </c>
      <c r="C9212" s="40" t="n">
        <v>-46.52476</v>
      </c>
      <c r="D9212" s="40" t="n">
        <v>754</v>
      </c>
      <c r="E9212" s="41" t="n">
        <v>26842.34</v>
      </c>
    </row>
    <row r="9213">
      <c r="A9213" s="42">
        <f>_xlfn.XLOOKUP(53601,Trip[shape_id],Trip[shape_id],"Não encontrado")</f>
        <v/>
      </c>
      <c r="B9213" s="43" t="n">
        <v>-23.570017</v>
      </c>
      <c r="C9213" s="43" t="n">
        <v>-46.524624</v>
      </c>
      <c r="D9213" s="43" t="n">
        <v>755</v>
      </c>
      <c r="E9213" s="44" t="n">
        <v>26886.629</v>
      </c>
    </row>
    <row r="9214">
      <c r="A9214" s="39">
        <f>_xlfn.XLOOKUP(53601,Trip[shape_id],Trip[shape_id],"Não encontrado")</f>
        <v/>
      </c>
      <c r="B9214" s="40" t="n">
        <v>-23.569934</v>
      </c>
      <c r="C9214" s="40" t="n">
        <v>-46.524572</v>
      </c>
      <c r="D9214" s="40" t="n">
        <v>756</v>
      </c>
      <c r="E9214" s="41" t="n">
        <v>26895.971</v>
      </c>
    </row>
    <row r="9215">
      <c r="A9215" s="42">
        <f>_xlfn.XLOOKUP(53601,Trip[shape_id],Trip[shape_id],"Não encontrado")</f>
        <v/>
      </c>
      <c r="B9215" s="43" t="n">
        <v>-23.569854</v>
      </c>
      <c r="C9215" s="43" t="n">
        <v>-46.524543</v>
      </c>
      <c r="D9215" s="43" t="n">
        <v>757</v>
      </c>
      <c r="E9215" s="44" t="n">
        <v>26984.188</v>
      </c>
    </row>
    <row r="9216">
      <c r="A9216" s="39">
        <f>_xlfn.XLOOKUP(53601,Trip[shape_id],Trip[shape_id],"Não encontrado")</f>
        <v/>
      </c>
      <c r="B9216" s="40" t="n">
        <v>-23.569169</v>
      </c>
      <c r="C9216" s="40" t="n">
        <v>-46.524102</v>
      </c>
      <c r="D9216" s="40" t="n">
        <v>758</v>
      </c>
      <c r="E9216" s="41" t="n">
        <v>27030.355</v>
      </c>
    </row>
    <row r="9217">
      <c r="A9217" s="42">
        <f>_xlfn.XLOOKUP(53601,Trip[shape_id],Trip[shape_id],"Não encontrado")</f>
        <v/>
      </c>
      <c r="B9217" s="43" t="n">
        <v>-23.568809</v>
      </c>
      <c r="C9217" s="43" t="n">
        <v>-46.523874</v>
      </c>
      <c r="D9217" s="43" t="n">
        <v>759</v>
      </c>
      <c r="E9217" s="44" t="n">
        <v>27030.355</v>
      </c>
    </row>
    <row r="9218">
      <c r="A9218" s="39">
        <f>_xlfn.XLOOKUP(53601,Trip[shape_id],Trip[shape_id],"Não encontrado")</f>
        <v/>
      </c>
      <c r="B9218" s="40" t="n">
        <v>-23.568347</v>
      </c>
      <c r="C9218" s="40" t="n">
        <v>-46.523576</v>
      </c>
      <c r="D9218" s="40" t="n">
        <v>760</v>
      </c>
      <c r="E9218" s="41" t="n">
        <v>27106.34</v>
      </c>
    </row>
    <row r="9219">
      <c r="A9219" s="42">
        <f>_xlfn.XLOOKUP(53601,Trip[shape_id],Trip[shape_id],"Não encontrado")</f>
        <v/>
      </c>
      <c r="B9219" s="43" t="n">
        <v>-23.568218</v>
      </c>
      <c r="C9219" s="43" t="n">
        <v>-46.523496</v>
      </c>
      <c r="D9219" s="43" t="n">
        <v>761</v>
      </c>
      <c r="E9219" s="44" t="n">
        <v>27106.34</v>
      </c>
    </row>
    <row r="9220">
      <c r="A9220" s="39">
        <f>_xlfn.XLOOKUP(53601,Trip[shape_id],Trip[shape_id],"Não encontrado")</f>
        <v/>
      </c>
      <c r="B9220" s="40" t="n">
        <v>-23.567523</v>
      </c>
      <c r="C9220" s="40" t="n">
        <v>-46.523064</v>
      </c>
      <c r="D9220" s="40" t="n">
        <v>762</v>
      </c>
      <c r="E9220" s="41" t="n">
        <v>27215.008</v>
      </c>
    </row>
    <row r="9221">
      <c r="A9221" s="42">
        <f>_xlfn.XLOOKUP(53601,Trip[shape_id],Trip[shape_id],"Não encontrado")</f>
        <v/>
      </c>
      <c r="B9221" s="43" t="n">
        <v>-23.567371</v>
      </c>
      <c r="C9221" s="43" t="n">
        <v>-46.522959</v>
      </c>
      <c r="D9221" s="43" t="n">
        <v>763</v>
      </c>
      <c r="E9221" s="44" t="n">
        <v>27215.008</v>
      </c>
    </row>
    <row r="9222">
      <c r="A9222" s="39">
        <f>_xlfn.XLOOKUP(53601,Trip[shape_id],Trip[shape_id],"Não encontrado")</f>
        <v/>
      </c>
      <c r="B9222" s="40" t="n">
        <v>-23.56717</v>
      </c>
      <c r="C9222" s="40" t="n">
        <v>-46.522804</v>
      </c>
      <c r="D9222" s="40" t="n">
        <v>764</v>
      </c>
      <c r="E9222" s="41" t="n">
        <v>27242.32</v>
      </c>
    </row>
    <row r="9223">
      <c r="A9223" s="42">
        <f>_xlfn.XLOOKUP(53601,Trip[shape_id],Trip[shape_id],"Não encontrado")</f>
        <v/>
      </c>
      <c r="B9223" s="43" t="n">
        <v>-23.567026</v>
      </c>
      <c r="C9223" s="43" t="n">
        <v>-46.52272</v>
      </c>
      <c r="D9223" s="43" t="n">
        <v>765</v>
      </c>
      <c r="E9223" s="44" t="n">
        <v>27260.428</v>
      </c>
    </row>
    <row r="9224">
      <c r="A9224" s="39">
        <f>_xlfn.XLOOKUP(53601,Trip[shape_id],Trip[shape_id],"Não encontrado")</f>
        <v/>
      </c>
      <c r="B9224" s="40" t="n">
        <v>-23.56691</v>
      </c>
      <c r="C9224" s="40" t="n">
        <v>-46.522794</v>
      </c>
      <c r="D9224" s="40" t="n">
        <v>766</v>
      </c>
      <c r="E9224" s="41" t="n">
        <v>27275.332</v>
      </c>
    </row>
    <row r="9225">
      <c r="A9225" s="42">
        <f>_xlfn.XLOOKUP(53601,Trip[shape_id],Trip[shape_id],"Não encontrado")</f>
        <v/>
      </c>
      <c r="B9225" s="43" t="n">
        <v>-23.566852</v>
      </c>
      <c r="C9225" s="43" t="n">
        <v>-46.522825</v>
      </c>
      <c r="D9225" s="43" t="n">
        <v>767</v>
      </c>
      <c r="E9225" s="44" t="n">
        <v>27297.928</v>
      </c>
    </row>
    <row r="9226">
      <c r="A9226" s="39">
        <f>_xlfn.XLOOKUP(53601,Trip[shape_id],Trip[shape_id],"Não encontrado")</f>
        <v/>
      </c>
      <c r="B9226" s="40" t="n">
        <v>-23.566713</v>
      </c>
      <c r="C9226" s="40" t="n">
        <v>-46.522814</v>
      </c>
      <c r="D9226" s="40" t="n">
        <v>768</v>
      </c>
      <c r="E9226" s="41" t="n">
        <v>27297.928</v>
      </c>
    </row>
    <row r="9227">
      <c r="A9227" s="42">
        <f>_xlfn.XLOOKUP(53601,Trip[shape_id],Trip[shape_id],"Não encontrado")</f>
        <v/>
      </c>
      <c r="B9227" s="43" t="n">
        <v>-23.566099</v>
      </c>
      <c r="C9227" s="43" t="n">
        <v>-46.522405</v>
      </c>
      <c r="D9227" s="43" t="n">
        <v>769</v>
      </c>
      <c r="E9227" s="44" t="n">
        <v>27377.725</v>
      </c>
    </row>
    <row r="9228">
      <c r="A9228" s="39">
        <f>_xlfn.XLOOKUP(53601,Trip[shape_id],Trip[shape_id],"Não encontrado")</f>
        <v/>
      </c>
      <c r="B9228" s="40" t="n">
        <v>-23.565524</v>
      </c>
      <c r="C9228" s="40" t="n">
        <v>-46.521976</v>
      </c>
      <c r="D9228" s="40" t="n">
        <v>770</v>
      </c>
      <c r="E9228" s="41" t="n">
        <v>27455.014</v>
      </c>
    </row>
    <row r="9229">
      <c r="A9229" s="42">
        <f>_xlfn.XLOOKUP(53601,Trip[shape_id],Trip[shape_id],"Não encontrado")</f>
        <v/>
      </c>
      <c r="B9229" s="43" t="n">
        <v>-23.564715</v>
      </c>
      <c r="C9229" s="43" t="n">
        <v>-46.521431</v>
      </c>
      <c r="D9229" s="43" t="n">
        <v>771</v>
      </c>
      <c r="E9229" s="44" t="n">
        <v>27560.482</v>
      </c>
    </row>
    <row r="9230">
      <c r="A9230" s="39">
        <f>_xlfn.XLOOKUP(53601,Trip[shape_id],Trip[shape_id],"Não encontrado")</f>
        <v/>
      </c>
      <c r="B9230" s="40" t="n">
        <v>-23.564637</v>
      </c>
      <c r="C9230" s="40" t="n">
        <v>-46.521372</v>
      </c>
      <c r="D9230" s="40" t="n">
        <v>772</v>
      </c>
      <c r="E9230" s="41" t="n">
        <v>27571.014</v>
      </c>
    </row>
    <row r="9231">
      <c r="A9231" s="42">
        <f>_xlfn.XLOOKUP(53601,Trip[shape_id],Trip[shape_id],"Não encontrado")</f>
        <v/>
      </c>
      <c r="B9231" s="43" t="n">
        <v>-23.563775</v>
      </c>
      <c r="C9231" s="43" t="n">
        <v>-46.520718</v>
      </c>
      <c r="D9231" s="43" t="n">
        <v>773</v>
      </c>
      <c r="E9231" s="44" t="n">
        <v>27687.514</v>
      </c>
    </row>
    <row r="9232">
      <c r="A9232" s="39">
        <f>_xlfn.XLOOKUP(53601,Trip[shape_id],Trip[shape_id],"Não encontrado")</f>
        <v/>
      </c>
      <c r="B9232" s="40" t="n">
        <v>-23.562921</v>
      </c>
      <c r="C9232" s="40" t="n">
        <v>-46.520109</v>
      </c>
      <c r="D9232" s="40" t="n">
        <v>774</v>
      </c>
      <c r="E9232" s="41" t="n">
        <v>27800.701</v>
      </c>
    </row>
    <row r="9233">
      <c r="A9233" s="42">
        <f>_xlfn.XLOOKUP(53601,Trip[shape_id],Trip[shape_id],"Não encontrado")</f>
        <v/>
      </c>
      <c r="B9233" s="43" t="n">
        <v>-23.562722</v>
      </c>
      <c r="C9233" s="43" t="n">
        <v>-46.520435</v>
      </c>
      <c r="D9233" s="43" t="n">
        <v>775</v>
      </c>
      <c r="E9233" s="44" t="n">
        <v>27840.619</v>
      </c>
    </row>
    <row r="9234">
      <c r="A9234" s="39">
        <f>_xlfn.XLOOKUP(53601,Trip[shape_id],Trip[shape_id],"Não encontrado")</f>
        <v/>
      </c>
      <c r="B9234" s="40" t="n">
        <v>-23.562233</v>
      </c>
      <c r="C9234" s="40" t="n">
        <v>-46.521269</v>
      </c>
      <c r="D9234" s="40" t="n">
        <v>776</v>
      </c>
      <c r="E9234" s="41" t="n">
        <v>27941.529</v>
      </c>
    </row>
    <row r="9235">
      <c r="A9235" s="42">
        <f>_xlfn.XLOOKUP(53601,Trip[shape_id],Trip[shape_id],"Não encontrado")</f>
        <v/>
      </c>
      <c r="B9235" s="43" t="n">
        <v>-23.561679</v>
      </c>
      <c r="C9235" s="43" t="n">
        <v>-46.522208</v>
      </c>
      <c r="D9235" s="43" t="n">
        <v>777</v>
      </c>
      <c r="E9235" s="44" t="n">
        <v>28055.348</v>
      </c>
    </row>
    <row r="9236">
      <c r="A9236" s="39">
        <f>_xlfn.XLOOKUP(53601,Trip[shape_id],Trip[shape_id],"Não encontrado")</f>
        <v/>
      </c>
      <c r="B9236" s="40" t="n">
        <v>-23.561403</v>
      </c>
      <c r="C9236" s="40" t="n">
        <v>-46.522129</v>
      </c>
      <c r="D9236" s="40" t="n">
        <v>778</v>
      </c>
      <c r="E9236" s="41" t="n">
        <v>28113.637</v>
      </c>
    </row>
    <row r="9237">
      <c r="A9237" s="42">
        <f>_xlfn.XLOOKUP(53601,Trip[shape_id],Trip[shape_id],"Não encontrado")</f>
        <v/>
      </c>
      <c r="B9237" s="43" t="n">
        <v>-23.561174</v>
      </c>
      <c r="C9237" s="43" t="n">
        <v>-46.522048</v>
      </c>
      <c r="D9237" s="43" t="n">
        <v>779</v>
      </c>
      <c r="E9237" s="44" t="n">
        <v>28135.604</v>
      </c>
    </row>
    <row r="9238">
      <c r="A9238" s="39">
        <f>_xlfn.XLOOKUP(53601,Trip[shape_id],Trip[shape_id],"Não encontrado")</f>
        <v/>
      </c>
      <c r="B9238" s="40" t="n">
        <v>-23.560983</v>
      </c>
      <c r="C9238" s="40" t="n">
        <v>-46.52199</v>
      </c>
      <c r="D9238" s="40" t="n">
        <v>780</v>
      </c>
      <c r="E9238" s="41" t="n">
        <v>28135.604</v>
      </c>
    </row>
    <row r="9239">
      <c r="A9239" s="42">
        <f>_xlfn.XLOOKUP(53601,Trip[shape_id],Trip[shape_id],"Não encontrado")</f>
        <v/>
      </c>
      <c r="B9239" s="43" t="n">
        <v>-23.560605</v>
      </c>
      <c r="C9239" s="43" t="n">
        <v>-46.521794</v>
      </c>
      <c r="D9239" s="43" t="n">
        <v>781</v>
      </c>
      <c r="E9239" s="44" t="n">
        <v>28206.369</v>
      </c>
    </row>
    <row r="9240">
      <c r="A9240" s="39">
        <f>_xlfn.XLOOKUP(53601,Trip[shape_id],Trip[shape_id],"Não encontrado")</f>
        <v/>
      </c>
      <c r="B9240" s="40" t="n">
        <v>-23.560404</v>
      </c>
      <c r="C9240" s="40" t="n">
        <v>-46.521697</v>
      </c>
      <c r="D9240" s="40" t="n">
        <v>782</v>
      </c>
      <c r="E9240" s="41" t="n">
        <v>28206.369</v>
      </c>
    </row>
    <row r="9241">
      <c r="A9241" s="42">
        <f>_xlfn.XLOOKUP(53601,Trip[shape_id],Trip[shape_id],"Não encontrado")</f>
        <v/>
      </c>
      <c r="B9241" s="43" t="n">
        <v>-23.560195</v>
      </c>
      <c r="C9241" s="43" t="n">
        <v>-46.521583</v>
      </c>
      <c r="D9241" s="43" t="n">
        <v>783</v>
      </c>
      <c r="E9241" s="44" t="n">
        <v>28232.277</v>
      </c>
    </row>
    <row r="9242">
      <c r="A9242" s="39">
        <f>_xlfn.XLOOKUP(53601,Trip[shape_id],Trip[shape_id],"Não encontrado")</f>
        <v/>
      </c>
      <c r="B9242" s="40" t="n">
        <v>-23.559926</v>
      </c>
      <c r="C9242" s="40" t="n">
        <v>-46.521437</v>
      </c>
      <c r="D9242" s="40" t="n">
        <v>784</v>
      </c>
      <c r="E9242" s="41" t="n">
        <v>28265.59</v>
      </c>
    </row>
    <row r="9243">
      <c r="A9243" s="42">
        <f>_xlfn.XLOOKUP(53601,Trip[shape_id],Trip[shape_id],"Não encontrado")</f>
        <v/>
      </c>
      <c r="B9243" s="43" t="n">
        <v>-23.559651</v>
      </c>
      <c r="C9243" s="43" t="n">
        <v>-46.521287</v>
      </c>
      <c r="D9243" s="43" t="n">
        <v>785</v>
      </c>
      <c r="E9243" s="44" t="n">
        <v>28299.68</v>
      </c>
    </row>
    <row r="9244">
      <c r="A9244" s="39">
        <f>_xlfn.XLOOKUP(53601,Trip[shape_id],Trip[shape_id],"Não encontrado")</f>
        <v/>
      </c>
      <c r="B9244" s="40" t="n">
        <v>-23.559047</v>
      </c>
      <c r="C9244" s="40" t="n">
        <v>-46.520942</v>
      </c>
      <c r="D9244" s="40" t="n">
        <v>786</v>
      </c>
      <c r="E9244" s="41" t="n">
        <v>28375.281</v>
      </c>
    </row>
    <row r="9245">
      <c r="A9245" s="42">
        <f>_xlfn.XLOOKUP(53601,Trip[shape_id],Trip[shape_id],"Não encontrado")</f>
        <v/>
      </c>
      <c r="B9245" s="43" t="n">
        <v>-23.558956</v>
      </c>
      <c r="C9245" s="43" t="n">
        <v>-46.521083</v>
      </c>
      <c r="D9245" s="43" t="n">
        <v>787</v>
      </c>
      <c r="E9245" s="44" t="n">
        <v>28392.854</v>
      </c>
    </row>
    <row r="9246">
      <c r="A9246" s="39">
        <f>_xlfn.XLOOKUP(53601,Trip[shape_id],Trip[shape_id],"Não encontrado")</f>
        <v/>
      </c>
      <c r="B9246" s="40" t="n">
        <v>-23.55885</v>
      </c>
      <c r="C9246" s="40" t="n">
        <v>-46.521175</v>
      </c>
      <c r="D9246" s="40" t="n">
        <v>788</v>
      </c>
      <c r="E9246" s="41" t="n">
        <v>28407.889</v>
      </c>
    </row>
    <row r="9247">
      <c r="A9247" s="42">
        <f>_xlfn.XLOOKUP(53601,Trip[shape_id],Trip[shape_id],"Não encontrado")</f>
        <v/>
      </c>
      <c r="B9247" s="43" t="n">
        <v>-23.55869</v>
      </c>
      <c r="C9247" s="43" t="n">
        <v>-46.521447</v>
      </c>
      <c r="D9247" s="43" t="n">
        <v>789</v>
      </c>
      <c r="E9247" s="44" t="n">
        <v>28440.83</v>
      </c>
    </row>
    <row r="9248">
      <c r="A9248" s="39">
        <f>_xlfn.XLOOKUP(53601,Trip[shape_id],Trip[shape_id],"Não encontrado")</f>
        <v/>
      </c>
      <c r="B9248" s="40" t="n">
        <v>-23.558641</v>
      </c>
      <c r="C9248" s="40" t="n">
        <v>-46.521514</v>
      </c>
      <c r="D9248" s="40" t="n">
        <v>790</v>
      </c>
      <c r="E9248" s="41" t="n">
        <v>28449.561</v>
      </c>
    </row>
    <row r="9249">
      <c r="A9249" s="42">
        <f>_xlfn.XLOOKUP(53601,Trip[shape_id],Trip[shape_id],"Não encontrado")</f>
        <v/>
      </c>
      <c r="B9249" s="43" t="n">
        <v>-23.558515</v>
      </c>
      <c r="C9249" s="43" t="n">
        <v>-46.521681</v>
      </c>
      <c r="D9249" s="43" t="n">
        <v>791</v>
      </c>
      <c r="E9249" s="44" t="n">
        <v>28471.594</v>
      </c>
    </row>
    <row r="9250">
      <c r="A9250" s="39">
        <f>_xlfn.XLOOKUP(53601,Trip[shape_id],Trip[shape_id],"Não encontrado")</f>
        <v/>
      </c>
      <c r="B9250" s="40" t="n">
        <v>-23.558319</v>
      </c>
      <c r="C9250" s="40" t="n">
        <v>-46.521941</v>
      </c>
      <c r="D9250" s="40" t="n">
        <v>792</v>
      </c>
      <c r="E9250" s="41" t="n">
        <v>28505.885</v>
      </c>
    </row>
    <row r="9251">
      <c r="A9251" s="42">
        <f>_xlfn.XLOOKUP(53601,Trip[shape_id],Trip[shape_id],"Não encontrado")</f>
        <v/>
      </c>
      <c r="B9251" s="43" t="n">
        <v>-23.558263</v>
      </c>
      <c r="C9251" s="43" t="n">
        <v>-46.522021</v>
      </c>
      <c r="D9251" s="43" t="n">
        <v>793</v>
      </c>
      <c r="E9251" s="44" t="n">
        <v>28516.141</v>
      </c>
    </row>
    <row r="9252">
      <c r="A9252" s="39">
        <f>_xlfn.XLOOKUP(53601,Trip[shape_id],Trip[shape_id],"Não encontrado")</f>
        <v/>
      </c>
      <c r="B9252" s="40" t="n">
        <v>-23.558135</v>
      </c>
      <c r="C9252" s="40" t="n">
        <v>-46.522221</v>
      </c>
      <c r="D9252" s="40" t="n">
        <v>794</v>
      </c>
      <c r="E9252" s="41" t="n">
        <v>28540.998</v>
      </c>
    </row>
    <row r="9253">
      <c r="A9253" s="42">
        <f>_xlfn.XLOOKUP(53601,Trip[shape_id],Trip[shape_id],"Não encontrado")</f>
        <v/>
      </c>
      <c r="B9253" s="43" t="n">
        <v>-23.557992</v>
      </c>
      <c r="C9253" s="43" t="n">
        <v>-46.522454</v>
      </c>
      <c r="D9253" s="43" t="n">
        <v>795</v>
      </c>
      <c r="E9253" s="44" t="n">
        <v>28569.576</v>
      </c>
    </row>
    <row r="9254">
      <c r="A9254" s="39">
        <f>_xlfn.XLOOKUP(53601,Trip[shape_id],Trip[shape_id],"Não encontrado")</f>
        <v/>
      </c>
      <c r="B9254" s="40" t="n">
        <v>-23.557947</v>
      </c>
      <c r="C9254" s="40" t="n">
        <v>-46.522538</v>
      </c>
      <c r="D9254" s="40" t="n">
        <v>796</v>
      </c>
      <c r="E9254" s="41" t="n">
        <v>28579.496</v>
      </c>
    </row>
    <row r="9255">
      <c r="A9255" s="42">
        <f>_xlfn.XLOOKUP(53601,Trip[shape_id],Trip[shape_id],"Não encontrado")</f>
        <v/>
      </c>
      <c r="B9255" s="43" t="n">
        <v>-23.557775</v>
      </c>
      <c r="C9255" s="43" t="n">
        <v>-46.522808</v>
      </c>
      <c r="D9255" s="43" t="n">
        <v>797</v>
      </c>
      <c r="E9255" s="44" t="n">
        <v>28613.004</v>
      </c>
    </row>
    <row r="9256">
      <c r="A9256" s="39">
        <f>_xlfn.XLOOKUP(53601,Trip[shape_id],Trip[shape_id],"Não encontrado")</f>
        <v/>
      </c>
      <c r="B9256" s="40" t="n">
        <v>-23.557752</v>
      </c>
      <c r="C9256" s="40" t="n">
        <v>-46.522923</v>
      </c>
      <c r="D9256" s="40" t="n">
        <v>798</v>
      </c>
      <c r="E9256" s="41" t="n">
        <v>28625.018</v>
      </c>
    </row>
    <row r="9257">
      <c r="A9257" s="42">
        <f>_xlfn.XLOOKUP(53601,Trip[shape_id],Trip[shape_id],"Não encontrado")</f>
        <v/>
      </c>
      <c r="B9257" s="43" t="n">
        <v>-23.557718</v>
      </c>
      <c r="C9257" s="43" t="n">
        <v>-46.52309</v>
      </c>
      <c r="D9257" s="43" t="n">
        <v>799</v>
      </c>
      <c r="E9257" s="44" t="n">
        <v>28642.479</v>
      </c>
    </row>
    <row r="9258">
      <c r="A9258" s="39">
        <f>_xlfn.XLOOKUP(53601,Trip[shape_id],Trip[shape_id],"Não encontrado")</f>
        <v/>
      </c>
      <c r="B9258" s="40" t="n">
        <v>-23.557752</v>
      </c>
      <c r="C9258" s="40" t="n">
        <v>-46.523215</v>
      </c>
      <c r="D9258" s="40" t="n">
        <v>800</v>
      </c>
      <c r="E9258" s="41" t="n">
        <v>28655.785</v>
      </c>
    </row>
    <row r="9259">
      <c r="A9259" s="42">
        <f>_xlfn.XLOOKUP(53601,Trip[shape_id],Trip[shape_id],"Não encontrado")</f>
        <v/>
      </c>
      <c r="B9259" s="43" t="n">
        <v>-23.557765</v>
      </c>
      <c r="C9259" s="43" t="n">
        <v>-46.523229</v>
      </c>
      <c r="D9259" s="43" t="n">
        <v>801</v>
      </c>
      <c r="E9259" s="44" t="n">
        <v>28660.52</v>
      </c>
    </row>
    <row r="9260">
      <c r="A9260" s="39">
        <f>_xlfn.XLOOKUP(53601,Trip[shape_id],Trip[shape_id],"Não encontrado")</f>
        <v/>
      </c>
      <c r="B9260" s="40" t="n">
        <v>-23.557789</v>
      </c>
      <c r="C9260" s="40" t="n">
        <v>-46.523234</v>
      </c>
      <c r="D9260" s="40" t="n">
        <v>802</v>
      </c>
      <c r="E9260" s="41" t="n">
        <v>28660.52</v>
      </c>
    </row>
    <row r="9261">
      <c r="A9261" s="42">
        <f>_xlfn.XLOOKUP(53601,Trip[shape_id],Trip[shape_id],"Não encontrado")</f>
        <v/>
      </c>
      <c r="B9261" s="43" t="n">
        <v>-23.557806</v>
      </c>
      <c r="C9261" s="43" t="n">
        <v>-46.523214</v>
      </c>
      <c r="D9261" s="43" t="n">
        <v>803</v>
      </c>
      <c r="E9261" s="44" t="n">
        <v>28663.297</v>
      </c>
    </row>
    <row r="9262">
      <c r="A9262" s="39">
        <f>_xlfn.XLOOKUP(53601,Trip[shape_id],Trip[shape_id],"Não encontrado")</f>
        <v/>
      </c>
      <c r="B9262" s="40" t="n">
        <v>-23.557832</v>
      </c>
      <c r="C9262" s="40" t="n">
        <v>-46.523188</v>
      </c>
      <c r="D9262" s="40" t="n">
        <v>804</v>
      </c>
      <c r="E9262" s="41" t="n">
        <v>28669.125</v>
      </c>
    </row>
    <row r="9263">
      <c r="A9263" s="42">
        <f>_xlfn.XLOOKUP(53601,Trip[shape_id],Trip[shape_id],"Não encontrado")</f>
        <v/>
      </c>
      <c r="B9263" s="43" t="n">
        <v>-23.557849</v>
      </c>
      <c r="C9263" s="43" t="n">
        <v>-46.523185</v>
      </c>
      <c r="D9263" s="43" t="n">
        <v>805</v>
      </c>
      <c r="E9263" s="44" t="n">
        <v>28670.146</v>
      </c>
    </row>
    <row r="9264">
      <c r="A9264" s="39">
        <f>_xlfn.XLOOKUP(53601,Trip[shape_id],Trip[shape_id],"Não encontrado")</f>
        <v/>
      </c>
      <c r="B9264" s="40" t="n">
        <v>-23.557858</v>
      </c>
      <c r="C9264" s="40" t="n">
        <v>-46.523187</v>
      </c>
      <c r="D9264" s="40" t="n">
        <v>806</v>
      </c>
      <c r="E9264" s="41" t="n">
        <v>28671.508</v>
      </c>
    </row>
    <row r="9265">
      <c r="A9265" s="42">
        <f>_xlfn.XLOOKUP(53601,Trip[shape_id],Trip[shape_id],"Não encontrado")</f>
        <v/>
      </c>
      <c r="B9265" s="43" t="n">
        <v>-23.557869</v>
      </c>
      <c r="C9265" s="43" t="n">
        <v>-46.523193</v>
      </c>
      <c r="D9265" s="43" t="n">
        <v>807</v>
      </c>
      <c r="E9265" s="44" t="n">
        <v>28671.508</v>
      </c>
    </row>
    <row r="9266">
      <c r="A9266" s="39">
        <f>_xlfn.XLOOKUP(53601,Trip[shape_id],Trip[shape_id],"Não encontrado")</f>
        <v/>
      </c>
      <c r="B9266" s="40" t="n">
        <v>-23.557995</v>
      </c>
      <c r="C9266" s="40" t="n">
        <v>-46.523146</v>
      </c>
      <c r="D9266" s="40" t="n">
        <v>808</v>
      </c>
      <c r="E9266" s="41" t="n">
        <v>28695.086</v>
      </c>
    </row>
    <row r="9267">
      <c r="A9267" s="42">
        <f>_xlfn.XLOOKUP(53601,Trip[shape_id],Trip[shape_id],"Não encontrado")</f>
        <v/>
      </c>
      <c r="B9267" s="43" t="n">
        <v>-23.558039</v>
      </c>
      <c r="C9267" s="43" t="n">
        <v>-46.523074</v>
      </c>
      <c r="D9267" s="43" t="n">
        <v>809</v>
      </c>
      <c r="E9267" s="44" t="n">
        <v>28695.086</v>
      </c>
    </row>
    <row r="9268">
      <c r="A9268" s="39">
        <f>_xlfn.XLOOKUP(53601,Trip[shape_id],Trip[shape_id],"Não encontrado")</f>
        <v/>
      </c>
      <c r="B9268" s="40" t="n">
        <v>-23.558068</v>
      </c>
      <c r="C9268" s="40" t="n">
        <v>-46.523026</v>
      </c>
      <c r="D9268" s="40" t="n">
        <v>810</v>
      </c>
      <c r="E9268" s="41" t="n">
        <v>28700.945</v>
      </c>
    </row>
    <row r="9269">
      <c r="A9269" s="42">
        <f>_xlfn.XLOOKUP(53601,Trip[shape_id],Trip[shape_id],"Não encontrado")</f>
        <v/>
      </c>
      <c r="B9269" s="43" t="n">
        <v>-23.55813</v>
      </c>
      <c r="C9269" s="43" t="n">
        <v>-46.522926</v>
      </c>
      <c r="D9269" s="43" t="n">
        <v>811</v>
      </c>
      <c r="E9269" s="44" t="n">
        <v>28713.25</v>
      </c>
    </row>
    <row r="9270">
      <c r="A9270" s="39">
        <f>_xlfn.XLOOKUP(53601,Trip[shape_id],Trip[shape_id],"Não encontrado")</f>
        <v/>
      </c>
      <c r="B9270" s="40" t="n">
        <v>-23.558157</v>
      </c>
      <c r="C9270" s="40" t="n">
        <v>-46.522883</v>
      </c>
      <c r="D9270" s="40" t="n">
        <v>812</v>
      </c>
      <c r="E9270" s="41" t="n">
        <v>28718.563</v>
      </c>
    </row>
    <row r="9271">
      <c r="A9271" s="42">
        <f>_xlfn.XLOOKUP(53601,Trip[shape_id],Trip[shape_id],"Não encontrado")</f>
        <v/>
      </c>
      <c r="B9271" s="43" t="n">
        <v>-23.558222</v>
      </c>
      <c r="C9271" s="43" t="n">
        <v>-46.522778</v>
      </c>
      <c r="D9271" s="43" t="n">
        <v>813</v>
      </c>
      <c r="E9271" s="44" t="n">
        <v>28731.475</v>
      </c>
    </row>
    <row r="9272">
      <c r="A9272" s="39">
        <f>_xlfn.XLOOKUP(53601,Trip[shape_id],Trip[shape_id],"Não encontrado")</f>
        <v/>
      </c>
      <c r="B9272" s="40" t="n">
        <v>-23.558249</v>
      </c>
      <c r="C9272" s="40" t="n">
        <v>-46.522734</v>
      </c>
      <c r="D9272" s="40" t="n">
        <v>814</v>
      </c>
      <c r="E9272" s="41" t="n">
        <v>28736.871</v>
      </c>
    </row>
    <row r="9273">
      <c r="A9273" s="42">
        <f>_xlfn.XLOOKUP(53601,Trip[shape_id],Trip[shape_id],"Não encontrado")</f>
        <v/>
      </c>
      <c r="B9273" s="43" t="n">
        <v>-23.558318</v>
      </c>
      <c r="C9273" s="43" t="n">
        <v>-46.522621</v>
      </c>
      <c r="D9273" s="43" t="n">
        <v>815</v>
      </c>
      <c r="E9273" s="44" t="n">
        <v>28750.709</v>
      </c>
    </row>
    <row r="9274">
      <c r="A9274" s="39">
        <f>_xlfn.XLOOKUP(53601,Trip[shape_id],Trip[shape_id],"Não encontrado")</f>
        <v/>
      </c>
      <c r="B9274" s="40" t="n">
        <v>-23.558348</v>
      </c>
      <c r="C9274" s="40" t="n">
        <v>-46.522572</v>
      </c>
      <c r="D9274" s="40" t="n">
        <v>816</v>
      </c>
      <c r="E9274" s="41" t="n">
        <v>28756.715</v>
      </c>
    </row>
    <row r="9275">
      <c r="A9275" s="42">
        <f>_xlfn.XLOOKUP(53601,Trip[shape_id],Trip[shape_id],"Não encontrado")</f>
        <v/>
      </c>
      <c r="B9275" s="43" t="n">
        <v>-23.558408</v>
      </c>
      <c r="C9275" s="43" t="n">
        <v>-46.522475</v>
      </c>
      <c r="D9275" s="43" t="n">
        <v>817</v>
      </c>
      <c r="E9275" s="44" t="n">
        <v>28768.641</v>
      </c>
    </row>
    <row r="9276">
      <c r="A9276" s="39">
        <f>_xlfn.XLOOKUP(53601,Trip[shape_id],Trip[shape_id],"Não encontrado")</f>
        <v/>
      </c>
      <c r="B9276" s="40" t="n">
        <v>-23.558441</v>
      </c>
      <c r="C9276" s="40" t="n">
        <v>-46.522422</v>
      </c>
      <c r="D9276" s="40" t="n">
        <v>818</v>
      </c>
      <c r="E9276" s="41" t="n">
        <v>28775.17</v>
      </c>
    </row>
    <row r="9277">
      <c r="A9277" s="42">
        <f>_xlfn.XLOOKUP(53601,Trip[shape_id],Trip[shape_id],"Não encontrado")</f>
        <v/>
      </c>
      <c r="B9277" s="43" t="n">
        <v>-23.558486</v>
      </c>
      <c r="C9277" s="43" t="n">
        <v>-46.52235</v>
      </c>
      <c r="D9277" s="43" t="n">
        <v>819</v>
      </c>
      <c r="E9277" s="44" t="n">
        <v>28784.051</v>
      </c>
    </row>
    <row r="9278">
      <c r="A9278" s="39">
        <f>_xlfn.XLOOKUP(53601,Trip[shape_id],Trip[shape_id],"Não encontrado")</f>
        <v/>
      </c>
      <c r="B9278" s="40" t="n">
        <v>-23.558523</v>
      </c>
      <c r="C9278" s="40" t="n">
        <v>-46.522289</v>
      </c>
      <c r="D9278" s="40" t="n">
        <v>820</v>
      </c>
      <c r="E9278" s="41" t="n">
        <v>28791.506</v>
      </c>
    </row>
    <row r="9279">
      <c r="A9279" s="39">
        <f>_xlfn.XLOOKUP(60011,Trip[shape_id],Trip[shape_id],"Não encontrado")</f>
        <v/>
      </c>
      <c r="B9279" s="40" t="n">
        <v>-23.584601</v>
      </c>
      <c r="C9279" s="40" t="n">
        <v>-46.583426</v>
      </c>
      <c r="D9279" s="40" t="n">
        <v>1</v>
      </c>
      <c r="E9279" s="41" t="n">
        <v>62.00135</v>
      </c>
    </row>
    <row r="9280">
      <c r="A9280" s="42">
        <f>_xlfn.XLOOKUP(60011,Trip[shape_id],Trip[shape_id],"Não encontrado")</f>
        <v/>
      </c>
      <c r="B9280" s="43" t="n">
        <v>-23.58482</v>
      </c>
      <c r="C9280" s="43" t="n">
        <v>-46.582867</v>
      </c>
      <c r="D9280" s="43" t="n">
        <v>2</v>
      </c>
      <c r="E9280" s="44" t="n">
        <v>104.24855</v>
      </c>
    </row>
    <row r="9281">
      <c r="A9281" s="39">
        <f>_xlfn.XLOOKUP(60011,Trip[shape_id],Trip[shape_id],"Não encontrado")</f>
        <v/>
      </c>
      <c r="B9281" s="40" t="n">
        <v>-23.58496</v>
      </c>
      <c r="C9281" s="40" t="n">
        <v>-46.582482</v>
      </c>
      <c r="D9281" s="40" t="n">
        <v>3</v>
      </c>
      <c r="E9281" s="41" t="n">
        <v>130.95403</v>
      </c>
    </row>
    <row r="9282">
      <c r="A9282" s="42">
        <f>_xlfn.XLOOKUP(60011,Trip[shape_id],Trip[shape_id],"Não encontrado")</f>
        <v/>
      </c>
      <c r="B9282" s="43" t="n">
        <v>-23.585</v>
      </c>
      <c r="C9282" s="43" t="n">
        <v>-46.582224</v>
      </c>
      <c r="D9282" s="43" t="n">
        <v>4</v>
      </c>
      <c r="E9282" s="44" t="n">
        <v>148.00227</v>
      </c>
    </row>
    <row r="9283">
      <c r="A9283" s="39">
        <f>_xlfn.XLOOKUP(60011,Trip[shape_id],Trip[shape_id],"Não encontrado")</f>
        <v/>
      </c>
      <c r="B9283" s="40" t="n">
        <v>-23.585002</v>
      </c>
      <c r="C9283" s="40" t="n">
        <v>-46.582057</v>
      </c>
      <c r="D9283" s="40" t="n">
        <v>5</v>
      </c>
      <c r="E9283" s="41" t="n">
        <v>164.05936</v>
      </c>
    </row>
    <row r="9284">
      <c r="A9284" s="42">
        <f>_xlfn.XLOOKUP(60011,Trip[shape_id],Trip[shape_id],"Não encontrado")</f>
        <v/>
      </c>
      <c r="B9284" s="43" t="n">
        <v>-23.584993</v>
      </c>
      <c r="C9284" s="43" t="n">
        <v>-46.5819</v>
      </c>
      <c r="D9284" s="43" t="n">
        <v>6</v>
      </c>
      <c r="E9284" s="44" t="n">
        <v>199.29512</v>
      </c>
    </row>
    <row r="9285">
      <c r="A9285" s="39">
        <f>_xlfn.XLOOKUP(60011,Trip[shape_id],Trip[shape_id],"Não encontrado")</f>
        <v/>
      </c>
      <c r="B9285" s="40" t="n">
        <v>-23.584933</v>
      </c>
      <c r="C9285" s="40" t="n">
        <v>-46.581561</v>
      </c>
      <c r="D9285" s="40" t="n">
        <v>7</v>
      </c>
      <c r="E9285" s="41" t="n">
        <v>370.13538</v>
      </c>
    </row>
    <row r="9286">
      <c r="A9286" s="42">
        <f>_xlfn.XLOOKUP(60011,Trip[shape_id],Trip[shape_id],"Não encontrado")</f>
        <v/>
      </c>
      <c r="B9286" s="43" t="n">
        <v>-23.58468</v>
      </c>
      <c r="C9286" s="43" t="n">
        <v>-46.57991</v>
      </c>
      <c r="D9286" s="43" t="n">
        <v>8</v>
      </c>
      <c r="E9286" s="44" t="n">
        <v>591.17932</v>
      </c>
    </row>
    <row r="9287">
      <c r="A9287" s="39">
        <f>_xlfn.XLOOKUP(60011,Trip[shape_id],Trip[shape_id],"Não encontrado")</f>
        <v/>
      </c>
      <c r="B9287" s="40" t="n">
        <v>-23.584363</v>
      </c>
      <c r="C9287" s="40" t="n">
        <v>-46.577772</v>
      </c>
      <c r="D9287" s="40" t="n">
        <v>9</v>
      </c>
      <c r="E9287" s="41" t="n">
        <v>660.27393</v>
      </c>
    </row>
    <row r="9288">
      <c r="A9288" s="42">
        <f>_xlfn.XLOOKUP(60011,Trip[shape_id],Trip[shape_id],"Não encontrado")</f>
        <v/>
      </c>
      <c r="B9288" s="43" t="n">
        <v>-23.584268</v>
      </c>
      <c r="C9288" s="43" t="n">
        <v>-46.577103</v>
      </c>
      <c r="D9288" s="43" t="n">
        <v>10</v>
      </c>
      <c r="E9288" s="44" t="n">
        <v>696.47858</v>
      </c>
    </row>
    <row r="9289">
      <c r="A9289" s="39">
        <f>_xlfn.XLOOKUP(60011,Trip[shape_id],Trip[shape_id],"Não encontrado")</f>
        <v/>
      </c>
      <c r="B9289" s="40" t="n">
        <v>-23.584158</v>
      </c>
      <c r="C9289" s="40" t="n">
        <v>-46.576769</v>
      </c>
      <c r="D9289" s="40" t="n">
        <v>11</v>
      </c>
      <c r="E9289" s="41" t="n">
        <v>725.92462</v>
      </c>
    </row>
    <row r="9290">
      <c r="A9290" s="42">
        <f>_xlfn.XLOOKUP(60011,Trip[shape_id],Trip[shape_id],"Não encontrado")</f>
        <v/>
      </c>
      <c r="B9290" s="43" t="n">
        <v>-23.584102</v>
      </c>
      <c r="C9290" s="43" t="n">
        <v>-46.576487</v>
      </c>
      <c r="D9290" s="43" t="n">
        <v>12</v>
      </c>
      <c r="E9290" s="44" t="n">
        <v>776.87482</v>
      </c>
    </row>
    <row r="9291">
      <c r="A9291" s="39">
        <f>_xlfn.XLOOKUP(60011,Trip[shape_id],Trip[shape_id],"Não encontrado")</f>
        <v/>
      </c>
      <c r="B9291" s="40" t="n">
        <v>-23.583917</v>
      </c>
      <c r="C9291" s="40" t="n">
        <v>-46.57603</v>
      </c>
      <c r="D9291" s="40" t="n">
        <v>13</v>
      </c>
      <c r="E9291" s="41" t="n">
        <v>830.9269399999999</v>
      </c>
    </row>
    <row r="9292">
      <c r="A9292" s="42">
        <f>_xlfn.XLOOKUP(60011,Trip[shape_id],Trip[shape_id],"Não encontrado")</f>
        <v/>
      </c>
      <c r="B9292" s="43" t="n">
        <v>-23.583707</v>
      </c>
      <c r="C9292" s="43" t="n">
        <v>-46.575552</v>
      </c>
      <c r="D9292" s="43" t="n">
        <v>14</v>
      </c>
      <c r="E9292" s="44" t="n">
        <v>866.96173</v>
      </c>
    </row>
    <row r="9293">
      <c r="A9293" s="39">
        <f>_xlfn.XLOOKUP(60011,Trip[shape_id],Trip[shape_id],"Não encontrado")</f>
        <v/>
      </c>
      <c r="B9293" s="40" t="n">
        <v>-23.583515</v>
      </c>
      <c r="C9293" s="40" t="n">
        <v>-46.575267</v>
      </c>
      <c r="D9293" s="40" t="n">
        <v>15</v>
      </c>
      <c r="E9293" s="41" t="n">
        <v>930.33008</v>
      </c>
    </row>
    <row r="9294">
      <c r="A9294" s="42">
        <f>_xlfn.XLOOKUP(60011,Trip[shape_id],Trip[shape_id],"Não encontrado")</f>
        <v/>
      </c>
      <c r="B9294" s="43" t="n">
        <v>-23.58327</v>
      </c>
      <c r="C9294" s="43" t="n">
        <v>-46.574706</v>
      </c>
      <c r="D9294" s="43" t="n">
        <v>16</v>
      </c>
      <c r="E9294" s="44" t="n">
        <v>981.35919</v>
      </c>
    </row>
    <row r="9295">
      <c r="A9295" s="39">
        <f>_xlfn.XLOOKUP(60011,Trip[shape_id],Trip[shape_id],"Não encontrado")</f>
        <v/>
      </c>
      <c r="B9295" s="40" t="n">
        <v>-23.583094</v>
      </c>
      <c r="C9295" s="40" t="n">
        <v>-46.574244</v>
      </c>
      <c r="D9295" s="40" t="n">
        <v>17</v>
      </c>
      <c r="E9295" s="41" t="n">
        <v>1024.6598</v>
      </c>
    </row>
    <row r="9296">
      <c r="A9296" s="42">
        <f>_xlfn.XLOOKUP(60011,Trip[shape_id],Trip[shape_id],"Não encontrado")</f>
        <v/>
      </c>
      <c r="B9296" s="43" t="n">
        <v>-23.582987</v>
      </c>
      <c r="C9296" s="43" t="n">
        <v>-46.573836</v>
      </c>
      <c r="D9296" s="43" t="n">
        <v>18</v>
      </c>
      <c r="E9296" s="44" t="n">
        <v>1075.0388</v>
      </c>
    </row>
    <row r="9297">
      <c r="A9297" s="39">
        <f>_xlfn.XLOOKUP(60011,Trip[shape_id],Trip[shape_id],"Não encontrado")</f>
        <v/>
      </c>
      <c r="B9297" s="40" t="n">
        <v>-23.582898</v>
      </c>
      <c r="C9297" s="40" t="n">
        <v>-46.573352</v>
      </c>
      <c r="D9297" s="40" t="n">
        <v>19</v>
      </c>
      <c r="E9297" s="41" t="n">
        <v>1126.8843</v>
      </c>
    </row>
    <row r="9298">
      <c r="A9298" s="42">
        <f>_xlfn.XLOOKUP(60011,Trip[shape_id],Trip[shape_id],"Não encontrado")</f>
        <v/>
      </c>
      <c r="B9298" s="43" t="n">
        <v>-23.582848</v>
      </c>
      <c r="C9298" s="43" t="n">
        <v>-46.572847</v>
      </c>
      <c r="D9298" s="43" t="n">
        <v>20</v>
      </c>
      <c r="E9298" s="44" t="n">
        <v>1159.5496</v>
      </c>
    </row>
    <row r="9299">
      <c r="A9299" s="39">
        <f>_xlfn.XLOOKUP(60011,Trip[shape_id],Trip[shape_id],"Não encontrado")</f>
        <v/>
      </c>
      <c r="B9299" s="40" t="n">
        <v>-23.582846</v>
      </c>
      <c r="C9299" s="40" t="n">
        <v>-46.572527</v>
      </c>
      <c r="D9299" s="40" t="n">
        <v>21</v>
      </c>
      <c r="E9299" s="41" t="n">
        <v>1159.5496</v>
      </c>
    </row>
    <row r="9300">
      <c r="A9300" s="42">
        <f>_xlfn.XLOOKUP(60011,Trip[shape_id],Trip[shape_id],"Não encontrado")</f>
        <v/>
      </c>
      <c r="B9300" s="43" t="n">
        <v>-23.582875</v>
      </c>
      <c r="C9300" s="43" t="n">
        <v>-46.571744</v>
      </c>
      <c r="D9300" s="43" t="n">
        <v>22</v>
      </c>
      <c r="E9300" s="44" t="n">
        <v>1357.478</v>
      </c>
    </row>
    <row r="9301">
      <c r="A9301" s="39">
        <f>_xlfn.XLOOKUP(60011,Trip[shape_id],Trip[shape_id],"Não encontrado")</f>
        <v/>
      </c>
      <c r="B9301" s="40" t="n">
        <v>-23.582927</v>
      </c>
      <c r="C9301" s="40" t="n">
        <v>-46.57059</v>
      </c>
      <c r="D9301" s="40" t="n">
        <v>23</v>
      </c>
      <c r="E9301" s="41" t="n">
        <v>1472.434</v>
      </c>
    </row>
    <row r="9302">
      <c r="A9302" s="42">
        <f>_xlfn.XLOOKUP(60011,Trip[shape_id],Trip[shape_id],"Não encontrado")</f>
        <v/>
      </c>
      <c r="B9302" s="43" t="n">
        <v>-23.582945</v>
      </c>
      <c r="C9302" s="43" t="n">
        <v>-46.569464</v>
      </c>
      <c r="D9302" s="43" t="n">
        <v>24</v>
      </c>
      <c r="E9302" s="44" t="n">
        <v>1533.6866</v>
      </c>
    </row>
    <row r="9303">
      <c r="A9303" s="39">
        <f>_xlfn.XLOOKUP(60011,Trip[shape_id],Trip[shape_id],"Não encontrado")</f>
        <v/>
      </c>
      <c r="B9303" s="40" t="n">
        <v>-23.582953</v>
      </c>
      <c r="C9303" s="40" t="n">
        <v>-46.568864</v>
      </c>
      <c r="D9303" s="40" t="n">
        <v>25</v>
      </c>
      <c r="E9303" s="41" t="n">
        <v>1589.8066</v>
      </c>
    </row>
    <row r="9304">
      <c r="A9304" s="42">
        <f>_xlfn.XLOOKUP(60011,Trip[shape_id],Trip[shape_id],"Não encontrado")</f>
        <v/>
      </c>
      <c r="B9304" s="43" t="n">
        <v>-23.582926</v>
      </c>
      <c r="C9304" s="43" t="n">
        <v>-46.568315</v>
      </c>
      <c r="D9304" s="43" t="n">
        <v>26</v>
      </c>
      <c r="E9304" s="44" t="n">
        <v>1664.9233</v>
      </c>
    </row>
    <row r="9305">
      <c r="A9305" s="39">
        <f>_xlfn.XLOOKUP(60011,Trip[shape_id],Trip[shape_id],"Não encontrado")</f>
        <v/>
      </c>
      <c r="B9305" s="40" t="n">
        <v>-23.582848</v>
      </c>
      <c r="C9305" s="40" t="n">
        <v>-46.567584</v>
      </c>
      <c r="D9305" s="40" t="n">
        <v>27</v>
      </c>
      <c r="E9305" s="41" t="n">
        <v>1734.0874</v>
      </c>
    </row>
    <row r="9306">
      <c r="A9306" s="42">
        <f>_xlfn.XLOOKUP(60011,Trip[shape_id],Trip[shape_id],"Não encontrado")</f>
        <v/>
      </c>
      <c r="B9306" s="43" t="n">
        <v>-23.582784</v>
      </c>
      <c r="C9306" s="43" t="n">
        <v>-46.56691</v>
      </c>
      <c r="D9306" s="43" t="n">
        <v>28</v>
      </c>
      <c r="E9306" s="44" t="n">
        <v>1814.021</v>
      </c>
    </row>
    <row r="9307">
      <c r="A9307" s="39">
        <f>_xlfn.XLOOKUP(60011,Trip[shape_id],Trip[shape_id],"Não encontrado")</f>
        <v/>
      </c>
      <c r="B9307" s="40" t="n">
        <v>-23.582702</v>
      </c>
      <c r="C9307" s="40" t="n">
        <v>-46.566132</v>
      </c>
      <c r="D9307" s="40" t="n">
        <v>29</v>
      </c>
      <c r="E9307" s="41" t="n">
        <v>2054.8452</v>
      </c>
    </row>
    <row r="9308">
      <c r="A9308" s="42">
        <f>_xlfn.XLOOKUP(60011,Trip[shape_id],Trip[shape_id],"Não encontrado")</f>
        <v/>
      </c>
      <c r="B9308" s="43" t="n">
        <v>-23.582472</v>
      </c>
      <c r="C9308" s="43" t="n">
        <v>-46.563786</v>
      </c>
      <c r="D9308" s="43" t="n">
        <v>30</v>
      </c>
      <c r="E9308" s="44" t="n">
        <v>2099.6406</v>
      </c>
    </row>
    <row r="9309">
      <c r="A9309" s="39">
        <f>_xlfn.XLOOKUP(60011,Trip[shape_id],Trip[shape_id],"Não encontrado")</f>
        <v/>
      </c>
      <c r="B9309" s="40" t="n">
        <v>-23.582447</v>
      </c>
      <c r="C9309" s="40" t="n">
        <v>-46.563348</v>
      </c>
      <c r="D9309" s="40" t="n">
        <v>31</v>
      </c>
      <c r="E9309" s="41" t="n">
        <v>2164.0488</v>
      </c>
    </row>
    <row r="9310">
      <c r="A9310" s="42">
        <f>_xlfn.XLOOKUP(60011,Trip[shape_id],Trip[shape_id],"Não encontrado")</f>
        <v/>
      </c>
      <c r="B9310" s="43" t="n">
        <v>-23.582344</v>
      </c>
      <c r="C9310" s="43" t="n">
        <v>-46.562727</v>
      </c>
      <c r="D9310" s="43" t="n">
        <v>32</v>
      </c>
      <c r="E9310" s="44" t="n">
        <v>2186.8193</v>
      </c>
    </row>
    <row r="9311">
      <c r="A9311" s="39">
        <f>_xlfn.XLOOKUP(60011,Trip[shape_id],Trip[shape_id],"Não encontrado")</f>
        <v/>
      </c>
      <c r="B9311" s="40" t="n">
        <v>-23.58231</v>
      </c>
      <c r="C9311" s="40" t="n">
        <v>-46.562507</v>
      </c>
      <c r="D9311" s="40" t="n">
        <v>33</v>
      </c>
      <c r="E9311" s="41" t="n">
        <v>2262.6885</v>
      </c>
    </row>
    <row r="9312">
      <c r="A9312" s="42">
        <f>_xlfn.XLOOKUP(60011,Trip[shape_id],Trip[shape_id],"Não encontrado")</f>
        <v/>
      </c>
      <c r="B9312" s="43" t="n">
        <v>-23.58214</v>
      </c>
      <c r="C9312" s="43" t="n">
        <v>-46.561787</v>
      </c>
      <c r="D9312" s="43" t="n">
        <v>34</v>
      </c>
      <c r="E9312" s="44" t="n">
        <v>2262.6885</v>
      </c>
    </row>
    <row r="9313">
      <c r="A9313" s="39">
        <f>_xlfn.XLOOKUP(60011,Trip[shape_id],Trip[shape_id],"Não encontrado")</f>
        <v/>
      </c>
      <c r="B9313" s="40" t="n">
        <v>-23.581884</v>
      </c>
      <c r="C9313" s="40" t="n">
        <v>-46.560637</v>
      </c>
      <c r="D9313" s="40" t="n">
        <v>35</v>
      </c>
      <c r="E9313" s="41" t="n">
        <v>2426.7</v>
      </c>
    </row>
    <row r="9314">
      <c r="A9314" s="42">
        <f>_xlfn.XLOOKUP(60011,Trip[shape_id],Trip[shape_id],"Não encontrado")</f>
        <v/>
      </c>
      <c r="B9314" s="43" t="n">
        <v>-23.581793</v>
      </c>
      <c r="C9314" s="43" t="n">
        <v>-46.560225</v>
      </c>
      <c r="D9314" s="43" t="n">
        <v>36</v>
      </c>
      <c r="E9314" s="44" t="n">
        <v>2449.2661</v>
      </c>
    </row>
    <row r="9315">
      <c r="A9315" s="39">
        <f>_xlfn.XLOOKUP(60011,Trip[shape_id],Trip[shape_id],"Não encontrado")</f>
        <v/>
      </c>
      <c r="B9315" s="40" t="n">
        <v>-23.581773</v>
      </c>
      <c r="C9315" s="40" t="n">
        <v>-46.560005</v>
      </c>
      <c r="D9315" s="40" t="n">
        <v>37</v>
      </c>
      <c r="E9315" s="41" t="n">
        <v>2481.6511</v>
      </c>
    </row>
    <row r="9316">
      <c r="A9316" s="42">
        <f>_xlfn.XLOOKUP(60011,Trip[shape_id],Trip[shape_id],"Não encontrado")</f>
        <v/>
      </c>
      <c r="B9316" s="43" t="n">
        <v>-23.581747</v>
      </c>
      <c r="C9316" s="43" t="n">
        <v>-46.559689</v>
      </c>
      <c r="D9316" s="43" t="n">
        <v>38</v>
      </c>
      <c r="E9316" s="44" t="n">
        <v>2511.7693</v>
      </c>
    </row>
    <row r="9317">
      <c r="A9317" s="39">
        <f>_xlfn.XLOOKUP(60011,Trip[shape_id],Trip[shape_id],"Não encontrado")</f>
        <v/>
      </c>
      <c r="B9317" s="40" t="n">
        <v>-23.581742</v>
      </c>
      <c r="C9317" s="40" t="n">
        <v>-46.559394</v>
      </c>
      <c r="D9317" s="40" t="n">
        <v>39</v>
      </c>
      <c r="E9317" s="41" t="n">
        <v>2548.6328</v>
      </c>
    </row>
    <row r="9318">
      <c r="A9318" s="42">
        <f>_xlfn.XLOOKUP(60011,Trip[shape_id],Trip[shape_id],"Não encontrado")</f>
        <v/>
      </c>
      <c r="B9318" s="43" t="n">
        <v>-23.581751</v>
      </c>
      <c r="C9318" s="43" t="n">
        <v>-46.559033</v>
      </c>
      <c r="D9318" s="43" t="n">
        <v>40</v>
      </c>
      <c r="E9318" s="44" t="n">
        <v>2576.6653</v>
      </c>
    </row>
    <row r="9319">
      <c r="A9319" s="39">
        <f>_xlfn.XLOOKUP(60011,Trip[shape_id],Trip[shape_id],"Não encontrado")</f>
        <v/>
      </c>
      <c r="B9319" s="40" t="n">
        <v>-23.581768</v>
      </c>
      <c r="C9319" s="40" t="n">
        <v>-46.558759</v>
      </c>
      <c r="D9319" s="40" t="n">
        <v>41</v>
      </c>
      <c r="E9319" s="41" t="n">
        <v>2600.2932</v>
      </c>
    </row>
    <row r="9320">
      <c r="A9320" s="42">
        <f>_xlfn.XLOOKUP(60011,Trip[shape_id],Trip[shape_id],"Não encontrado")</f>
        <v/>
      </c>
      <c r="B9320" s="43" t="n">
        <v>-23.581792</v>
      </c>
      <c r="C9320" s="43" t="n">
        <v>-46.558529</v>
      </c>
      <c r="D9320" s="43" t="n">
        <v>42</v>
      </c>
      <c r="E9320" s="44" t="n">
        <v>2626.9604</v>
      </c>
    </row>
    <row r="9321">
      <c r="A9321" s="39">
        <f>_xlfn.XLOOKUP(60011,Trip[shape_id],Trip[shape_id],"Não encontrado")</f>
        <v/>
      </c>
      <c r="B9321" s="40" t="n">
        <v>-23.58184</v>
      </c>
      <c r="C9321" s="40" t="n">
        <v>-46.558273</v>
      </c>
      <c r="D9321" s="40" t="n">
        <v>43</v>
      </c>
      <c r="E9321" s="41" t="n">
        <v>2836.366</v>
      </c>
    </row>
    <row r="9322">
      <c r="A9322" s="42">
        <f>_xlfn.XLOOKUP(60011,Trip[shape_id],Trip[shape_id],"Não encontrado")</f>
        <v/>
      </c>
      <c r="B9322" s="43" t="n">
        <v>-23.58224</v>
      </c>
      <c r="C9322" s="43" t="n">
        <v>-46.556268</v>
      </c>
      <c r="D9322" s="43" t="n">
        <v>44</v>
      </c>
      <c r="E9322" s="44" t="n">
        <v>3008.158</v>
      </c>
    </row>
    <row r="9323">
      <c r="A9323" s="39">
        <f>_xlfn.XLOOKUP(60011,Trip[shape_id],Trip[shape_id],"Não encontrado")</f>
        <v/>
      </c>
      <c r="B9323" s="40" t="n">
        <v>-23.582576</v>
      </c>
      <c r="C9323" s="40" t="n">
        <v>-46.554625</v>
      </c>
      <c r="D9323" s="40" t="n">
        <v>45</v>
      </c>
      <c r="E9323" s="41" t="n">
        <v>3131.2363</v>
      </c>
    </row>
    <row r="9324">
      <c r="A9324" s="42">
        <f>_xlfn.XLOOKUP(60011,Trip[shape_id],Trip[shape_id],"Não encontrado")</f>
        <v/>
      </c>
      <c r="B9324" s="43" t="n">
        <v>-23.582813</v>
      </c>
      <c r="C9324" s="43" t="n">
        <v>-46.553447</v>
      </c>
      <c r="D9324" s="43" t="n">
        <v>46</v>
      </c>
      <c r="E9324" s="44" t="n">
        <v>3164.8574</v>
      </c>
    </row>
    <row r="9325">
      <c r="A9325" s="39">
        <f>_xlfn.XLOOKUP(60011,Trip[shape_id],Trip[shape_id],"Não encontrado")</f>
        <v/>
      </c>
      <c r="B9325" s="40" t="n">
        <v>-23.582881</v>
      </c>
      <c r="C9325" s="40" t="n">
        <v>-46.553126</v>
      </c>
      <c r="D9325" s="40" t="n">
        <v>47</v>
      </c>
      <c r="E9325" s="41" t="n">
        <v>3198.9919</v>
      </c>
    </row>
    <row r="9326">
      <c r="A9326" s="42">
        <f>_xlfn.XLOOKUP(60011,Trip[shape_id],Trip[shape_id],"Não encontrado")</f>
        <v/>
      </c>
      <c r="B9326" s="43" t="n">
        <v>-23.582987</v>
      </c>
      <c r="C9326" s="43" t="n">
        <v>-46.552812</v>
      </c>
      <c r="D9326" s="43" t="n">
        <v>48</v>
      </c>
      <c r="E9326" s="44" t="n">
        <v>3304.0339</v>
      </c>
    </row>
    <row r="9327">
      <c r="A9327" s="39">
        <f>_xlfn.XLOOKUP(60011,Trip[shape_id],Trip[shape_id],"Não encontrado")</f>
        <v/>
      </c>
      <c r="B9327" s="40" t="n">
        <v>-23.583375</v>
      </c>
      <c r="C9327" s="40" t="n">
        <v>-46.551873</v>
      </c>
      <c r="D9327" s="40" t="n">
        <v>49</v>
      </c>
      <c r="E9327" s="41" t="n">
        <v>3350.575</v>
      </c>
    </row>
    <row r="9328">
      <c r="A9328" s="42">
        <f>_xlfn.XLOOKUP(60011,Trip[shape_id],Trip[shape_id],"Não encontrado")</f>
        <v/>
      </c>
      <c r="B9328" s="43" t="n">
        <v>-23.583547</v>
      </c>
      <c r="C9328" s="43" t="n">
        <v>-46.551457</v>
      </c>
      <c r="D9328" s="43" t="n">
        <v>50</v>
      </c>
      <c r="E9328" s="44" t="n">
        <v>3403.5684</v>
      </c>
    </row>
    <row r="9329">
      <c r="A9329" s="39">
        <f>_xlfn.XLOOKUP(60011,Trip[shape_id],Trip[shape_id],"Não encontrado")</f>
        <v/>
      </c>
      <c r="B9329" s="40" t="n">
        <v>-23.583738</v>
      </c>
      <c r="C9329" s="40" t="n">
        <v>-46.550981</v>
      </c>
      <c r="D9329" s="40" t="n">
        <v>51</v>
      </c>
      <c r="E9329" s="41" t="n">
        <v>3452.8879</v>
      </c>
    </row>
    <row r="9330">
      <c r="A9330" s="42">
        <f>_xlfn.XLOOKUP(60011,Trip[shape_id],Trip[shape_id],"Não encontrado")</f>
        <v/>
      </c>
      <c r="B9330" s="43" t="n">
        <v>-23.583924</v>
      </c>
      <c r="C9330" s="43" t="n">
        <v>-46.550542</v>
      </c>
      <c r="D9330" s="43" t="n">
        <v>52</v>
      </c>
      <c r="E9330" s="44" t="n">
        <v>3492.5295</v>
      </c>
    </row>
    <row r="9331">
      <c r="A9331" s="39">
        <f>_xlfn.XLOOKUP(60011,Trip[shape_id],Trip[shape_id],"Não encontrado")</f>
        <v/>
      </c>
      <c r="B9331" s="40" t="n">
        <v>-23.584081</v>
      </c>
      <c r="C9331" s="40" t="n">
        <v>-46.550193</v>
      </c>
      <c r="D9331" s="40" t="n">
        <v>53</v>
      </c>
      <c r="E9331" s="41" t="n">
        <v>3526.0452</v>
      </c>
    </row>
    <row r="9332">
      <c r="A9332" s="42">
        <f>_xlfn.XLOOKUP(60011,Trip[shape_id],Trip[shape_id],"Não encontrado")</f>
        <v/>
      </c>
      <c r="B9332" s="43" t="n">
        <v>-23.584228</v>
      </c>
      <c r="C9332" s="43" t="n">
        <v>-46.549906</v>
      </c>
      <c r="D9332" s="43" t="n">
        <v>54</v>
      </c>
      <c r="E9332" s="44" t="n">
        <v>3574.4329</v>
      </c>
    </row>
    <row r="9333">
      <c r="A9333" s="39">
        <f>_xlfn.XLOOKUP(60011,Trip[shape_id],Trip[shape_id],"Não encontrado")</f>
        <v/>
      </c>
      <c r="B9333" s="40" t="n">
        <v>-23.584461</v>
      </c>
      <c r="C9333" s="40" t="n">
        <v>-46.549505</v>
      </c>
      <c r="D9333" s="40" t="n">
        <v>55</v>
      </c>
      <c r="E9333" s="41" t="n">
        <v>3598.575</v>
      </c>
    </row>
    <row r="9334">
      <c r="A9334" s="42">
        <f>_xlfn.XLOOKUP(60011,Trip[shape_id],Trip[shape_id],"Não encontrado")</f>
        <v/>
      </c>
      <c r="B9334" s="43" t="n">
        <v>-23.584583</v>
      </c>
      <c r="C9334" s="43" t="n">
        <v>-46.549309</v>
      </c>
      <c r="D9334" s="43" t="n">
        <v>56</v>
      </c>
      <c r="E9334" s="44" t="n">
        <v>3620.7166</v>
      </c>
    </row>
    <row r="9335">
      <c r="A9335" s="39">
        <f>_xlfn.XLOOKUP(60011,Trip[shape_id],Trip[shape_id],"Não encontrado")</f>
        <v/>
      </c>
      <c r="B9335" s="40" t="n">
        <v>-23.584706</v>
      </c>
      <c r="C9335" s="40" t="n">
        <v>-46.549138</v>
      </c>
      <c r="D9335" s="40" t="n">
        <v>57</v>
      </c>
      <c r="E9335" s="41" t="n">
        <v>3654.468</v>
      </c>
    </row>
    <row r="9336">
      <c r="A9336" s="42">
        <f>_xlfn.XLOOKUP(60011,Trip[shape_id],Trip[shape_id],"Não encontrado")</f>
        <v/>
      </c>
      <c r="B9336" s="43" t="n">
        <v>-23.5849</v>
      </c>
      <c r="C9336" s="43" t="n">
        <v>-46.548883</v>
      </c>
      <c r="D9336" s="43" t="n">
        <v>58</v>
      </c>
      <c r="E9336" s="44" t="n">
        <v>4043.8706</v>
      </c>
    </row>
    <row r="9337">
      <c r="A9337" s="39">
        <f>_xlfn.XLOOKUP(60011,Trip[shape_id],Trip[shape_id],"Não encontrado")</f>
        <v/>
      </c>
      <c r="B9337" s="40" t="n">
        <v>-23.587288</v>
      </c>
      <c r="C9337" s="40" t="n">
        <v>-46.546083</v>
      </c>
      <c r="D9337" s="40" t="n">
        <v>59</v>
      </c>
      <c r="E9337" s="41" t="n">
        <v>4131.0859</v>
      </c>
    </row>
    <row r="9338">
      <c r="A9338" s="42">
        <f>_xlfn.XLOOKUP(60011,Trip[shape_id],Trip[shape_id],"Não encontrado")</f>
        <v/>
      </c>
      <c r="B9338" s="43" t="n">
        <v>-23.587845</v>
      </c>
      <c r="C9338" s="43" t="n">
        <v>-46.545479</v>
      </c>
      <c r="D9338" s="43" t="n">
        <v>60</v>
      </c>
      <c r="E9338" s="44" t="n">
        <v>4159.5117</v>
      </c>
    </row>
    <row r="9339">
      <c r="A9339" s="39">
        <f>_xlfn.XLOOKUP(60011,Trip[shape_id],Trip[shape_id],"Não encontrado")</f>
        <v/>
      </c>
      <c r="B9339" s="40" t="n">
        <v>-23.588049</v>
      </c>
      <c r="C9339" s="40" t="n">
        <v>-46.54531</v>
      </c>
      <c r="D9339" s="40" t="n">
        <v>61</v>
      </c>
      <c r="E9339" s="41" t="n">
        <v>4216.6143</v>
      </c>
    </row>
    <row r="9340">
      <c r="A9340" s="42">
        <f>_xlfn.XLOOKUP(60011,Trip[shape_id],Trip[shape_id],"Não encontrado")</f>
        <v/>
      </c>
      <c r="B9340" s="43" t="n">
        <v>-23.588466</v>
      </c>
      <c r="C9340" s="43" t="n">
        <v>-46.544981</v>
      </c>
      <c r="D9340" s="43" t="n">
        <v>62</v>
      </c>
      <c r="E9340" s="44" t="n">
        <v>4279.0986</v>
      </c>
    </row>
    <row r="9341">
      <c r="A9341" s="39">
        <f>_xlfn.XLOOKUP(60011,Trip[shape_id],Trip[shape_id],"Não encontrado")</f>
        <v/>
      </c>
      <c r="B9341" s="40" t="n">
        <v>-23.58894</v>
      </c>
      <c r="C9341" s="40" t="n">
        <v>-46.544649</v>
      </c>
      <c r="D9341" s="40" t="n">
        <v>63</v>
      </c>
      <c r="E9341" s="41" t="n">
        <v>4286.4648</v>
      </c>
    </row>
    <row r="9342">
      <c r="A9342" s="42">
        <f>_xlfn.XLOOKUP(60011,Trip[shape_id],Trip[shape_id],"Não encontrado")</f>
        <v/>
      </c>
      <c r="B9342" s="43" t="n">
        <v>-23.588992</v>
      </c>
      <c r="C9342" s="43" t="n">
        <v>-46.544604</v>
      </c>
      <c r="D9342" s="43" t="n">
        <v>64</v>
      </c>
      <c r="E9342" s="44" t="n">
        <v>4286.4648</v>
      </c>
    </row>
    <row r="9343">
      <c r="A9343" s="39">
        <f>_xlfn.XLOOKUP(60011,Trip[shape_id],Trip[shape_id],"Não encontrado")</f>
        <v/>
      </c>
      <c r="B9343" s="40" t="n">
        <v>-23.589728</v>
      </c>
      <c r="C9343" s="40" t="n">
        <v>-46.544012</v>
      </c>
      <c r="D9343" s="40" t="n">
        <v>65</v>
      </c>
      <c r="E9343" s="41" t="n">
        <v>4524.6699</v>
      </c>
    </row>
    <row r="9344">
      <c r="A9344" s="42">
        <f>_xlfn.XLOOKUP(60011,Trip[shape_id],Trip[shape_id],"Não encontrado")</f>
        <v/>
      </c>
      <c r="B9344" s="43" t="n">
        <v>-23.590762</v>
      </c>
      <c r="C9344" s="43" t="n">
        <v>-46.54328</v>
      </c>
      <c r="D9344" s="43" t="n">
        <v>66</v>
      </c>
      <c r="E9344" s="44" t="n">
        <v>4564.8096</v>
      </c>
    </row>
    <row r="9345">
      <c r="A9345" s="39">
        <f>_xlfn.XLOOKUP(60011,Trip[shape_id],Trip[shape_id],"Não encontrado")</f>
        <v/>
      </c>
      <c r="B9345" s="40" t="n">
        <v>-23.591041</v>
      </c>
      <c r="C9345" s="40" t="n">
        <v>-46.543029</v>
      </c>
      <c r="D9345" s="40" t="n">
        <v>67</v>
      </c>
      <c r="E9345" s="41" t="n">
        <v>4589.6489</v>
      </c>
    </row>
    <row r="9346">
      <c r="A9346" s="42">
        <f>_xlfn.XLOOKUP(60011,Trip[shape_id],Trip[shape_id],"Não encontrado")</f>
        <v/>
      </c>
      <c r="B9346" s="43" t="n">
        <v>-23.591205</v>
      </c>
      <c r="C9346" s="43" t="n">
        <v>-46.542863</v>
      </c>
      <c r="D9346" s="43" t="n">
        <v>68</v>
      </c>
      <c r="E9346" s="44" t="n">
        <v>4619.668</v>
      </c>
    </row>
    <row r="9347">
      <c r="A9347" s="39">
        <f>_xlfn.XLOOKUP(60011,Trip[shape_id],Trip[shape_id],"Não encontrado")</f>
        <v/>
      </c>
      <c r="B9347" s="40" t="n">
        <v>-23.591402</v>
      </c>
      <c r="C9347" s="40" t="n">
        <v>-46.542661</v>
      </c>
      <c r="D9347" s="40" t="n">
        <v>69</v>
      </c>
      <c r="E9347" s="41" t="n">
        <v>4841.5649</v>
      </c>
    </row>
    <row r="9348">
      <c r="A9348" s="42">
        <f>_xlfn.XLOOKUP(60011,Trip[shape_id],Trip[shape_id],"Não encontrado")</f>
        <v/>
      </c>
      <c r="B9348" s="43" t="n">
        <v>-23.592509</v>
      </c>
      <c r="C9348" s="43" t="n">
        <v>-46.540849</v>
      </c>
      <c r="D9348" s="43" t="n">
        <v>70</v>
      </c>
      <c r="E9348" s="44" t="n">
        <v>4902.8027</v>
      </c>
    </row>
    <row r="9349">
      <c r="A9349" s="39">
        <f>_xlfn.XLOOKUP(60011,Trip[shape_id],Trip[shape_id],"Não encontrado")</f>
        <v/>
      </c>
      <c r="B9349" s="40" t="n">
        <v>-23.592837</v>
      </c>
      <c r="C9349" s="40" t="n">
        <v>-46.540366</v>
      </c>
      <c r="D9349" s="40" t="n">
        <v>71</v>
      </c>
      <c r="E9349" s="41" t="n">
        <v>4929.2573</v>
      </c>
    </row>
    <row r="9350">
      <c r="A9350" s="42">
        <f>_xlfn.XLOOKUP(60011,Trip[shape_id],Trip[shape_id],"Não encontrado")</f>
        <v/>
      </c>
      <c r="B9350" s="43" t="n">
        <v>-23.592977</v>
      </c>
      <c r="C9350" s="43" t="n">
        <v>-46.540156</v>
      </c>
      <c r="D9350" s="43" t="n">
        <v>72</v>
      </c>
      <c r="E9350" s="44" t="n">
        <v>4968.4521</v>
      </c>
    </row>
    <row r="9351">
      <c r="A9351" s="39">
        <f>_xlfn.XLOOKUP(60011,Trip[shape_id],Trip[shape_id],"Não encontrado")</f>
        <v/>
      </c>
      <c r="B9351" s="40" t="n">
        <v>-23.593224</v>
      </c>
      <c r="C9351" s="40" t="n">
        <v>-46.539881</v>
      </c>
      <c r="D9351" s="40" t="n">
        <v>73</v>
      </c>
      <c r="E9351" s="41" t="n">
        <v>5060.7339</v>
      </c>
    </row>
    <row r="9352">
      <c r="A9352" s="42">
        <f>_xlfn.XLOOKUP(60011,Trip[shape_id],Trip[shape_id],"Não encontrado")</f>
        <v/>
      </c>
      <c r="B9352" s="43" t="n">
        <v>-23.593806</v>
      </c>
      <c r="C9352" s="43" t="n">
        <v>-46.539234</v>
      </c>
      <c r="D9352" s="43" t="n">
        <v>74</v>
      </c>
      <c r="E9352" s="44" t="n">
        <v>5234.0059</v>
      </c>
    </row>
    <row r="9353">
      <c r="A9353" s="39">
        <f>_xlfn.XLOOKUP(60011,Trip[shape_id],Trip[shape_id],"Não encontrado")</f>
        <v/>
      </c>
      <c r="B9353" s="40" t="n">
        <v>-23.594976</v>
      </c>
      <c r="C9353" s="40" t="n">
        <v>-46.538107</v>
      </c>
      <c r="D9353" s="40" t="n">
        <v>75</v>
      </c>
      <c r="E9353" s="41" t="n">
        <v>5305.8994</v>
      </c>
    </row>
    <row r="9354">
      <c r="A9354" s="42">
        <f>_xlfn.XLOOKUP(60011,Trip[shape_id],Trip[shape_id],"Não encontrado")</f>
        <v/>
      </c>
      <c r="B9354" s="43" t="n">
        <v>-23.595457</v>
      </c>
      <c r="C9354" s="43" t="n">
        <v>-46.537634</v>
      </c>
      <c r="D9354" s="43" t="n">
        <v>76</v>
      </c>
      <c r="E9354" s="44" t="n">
        <v>5305.8994</v>
      </c>
    </row>
    <row r="9355">
      <c r="A9355" s="39">
        <f>_xlfn.XLOOKUP(60011,Trip[shape_id],Trip[shape_id],"Não encontrado")</f>
        <v/>
      </c>
      <c r="B9355" s="40" t="n">
        <v>-23.596756</v>
      </c>
      <c r="C9355" s="40" t="n">
        <v>-46.536347</v>
      </c>
      <c r="D9355" s="40" t="n">
        <v>77</v>
      </c>
      <c r="E9355" s="41" t="n">
        <v>5562.2656</v>
      </c>
    </row>
    <row r="9356">
      <c r="A9356" s="42">
        <f>_xlfn.XLOOKUP(60011,Trip[shape_id],Trip[shape_id],"Não encontrado")</f>
        <v/>
      </c>
      <c r="B9356" s="43" t="n">
        <v>-23.597138</v>
      </c>
      <c r="C9356" s="43" t="n">
        <v>-46.535909</v>
      </c>
      <c r="D9356" s="43" t="n">
        <v>78</v>
      </c>
      <c r="E9356" s="44" t="n">
        <v>5577.2998</v>
      </c>
    </row>
    <row r="9357">
      <c r="A9357" s="39">
        <f>_xlfn.XLOOKUP(60011,Trip[shape_id],Trip[shape_id],"Não encontrado")</f>
        <v/>
      </c>
      <c r="B9357" s="40" t="n">
        <v>-23.597218</v>
      </c>
      <c r="C9357" s="40" t="n">
        <v>-46.53579</v>
      </c>
      <c r="D9357" s="40" t="n">
        <v>79</v>
      </c>
      <c r="E9357" s="41" t="n">
        <v>5595.8828</v>
      </c>
    </row>
    <row r="9358">
      <c r="A9358" s="42">
        <f>_xlfn.XLOOKUP(60011,Trip[shape_id],Trip[shape_id],"Não encontrado")</f>
        <v/>
      </c>
      <c r="B9358" s="43" t="n">
        <v>-23.597317</v>
      </c>
      <c r="C9358" s="43" t="n">
        <v>-46.535643</v>
      </c>
      <c r="D9358" s="43" t="n">
        <v>80</v>
      </c>
      <c r="E9358" s="44" t="n">
        <v>5613.4458</v>
      </c>
    </row>
    <row r="9359">
      <c r="A9359" s="39">
        <f>_xlfn.XLOOKUP(60011,Trip[shape_id],Trip[shape_id],"Não encontrado")</f>
        <v/>
      </c>
      <c r="B9359" s="40" t="n">
        <v>-23.597424</v>
      </c>
      <c r="C9359" s="40" t="n">
        <v>-46.535516</v>
      </c>
      <c r="D9359" s="40" t="n">
        <v>81</v>
      </c>
      <c r="E9359" s="41" t="n">
        <v>5639.3145</v>
      </c>
    </row>
    <row r="9360">
      <c r="A9360" s="42">
        <f>_xlfn.XLOOKUP(60011,Trip[shape_id],Trip[shape_id],"Não encontrado")</f>
        <v/>
      </c>
      <c r="B9360" s="43" t="n">
        <v>-23.597552</v>
      </c>
      <c r="C9360" s="43" t="n">
        <v>-46.535304</v>
      </c>
      <c r="D9360" s="43" t="n">
        <v>82</v>
      </c>
      <c r="E9360" s="44" t="n">
        <v>5671.9946</v>
      </c>
    </row>
    <row r="9361">
      <c r="A9361" s="39">
        <f>_xlfn.XLOOKUP(60011,Trip[shape_id],Trip[shape_id],"Não encontrado")</f>
        <v/>
      </c>
      <c r="B9361" s="40" t="n">
        <v>-23.5977</v>
      </c>
      <c r="C9361" s="40" t="n">
        <v>-46.535027</v>
      </c>
      <c r="D9361" s="40" t="n">
        <v>83</v>
      </c>
      <c r="E9361" s="41" t="n">
        <v>5686.5776</v>
      </c>
    </row>
    <row r="9362">
      <c r="A9362" s="42">
        <f>_xlfn.XLOOKUP(60011,Trip[shape_id],Trip[shape_id],"Não encontrado")</f>
        <v/>
      </c>
      <c r="B9362" s="43" t="n">
        <v>-23.597767</v>
      </c>
      <c r="C9362" s="43" t="n">
        <v>-46.534904</v>
      </c>
      <c r="D9362" s="43" t="n">
        <v>84</v>
      </c>
      <c r="E9362" s="44" t="n">
        <v>5710.1479</v>
      </c>
    </row>
    <row r="9363">
      <c r="A9363" s="39">
        <f>_xlfn.XLOOKUP(60011,Trip[shape_id],Trip[shape_id],"Não encontrado")</f>
        <v/>
      </c>
      <c r="B9363" s="40" t="n">
        <v>-23.597847</v>
      </c>
      <c r="C9363" s="40" t="n">
        <v>-46.53469</v>
      </c>
      <c r="D9363" s="40" t="n">
        <v>85</v>
      </c>
      <c r="E9363" s="41" t="n">
        <v>5749.6099</v>
      </c>
    </row>
    <row r="9364">
      <c r="A9364" s="42">
        <f>_xlfn.XLOOKUP(60011,Trip[shape_id],Trip[shape_id],"Não encontrado")</f>
        <v/>
      </c>
      <c r="B9364" s="43" t="n">
        <v>-23.597986</v>
      </c>
      <c r="C9364" s="43" t="n">
        <v>-46.534334</v>
      </c>
      <c r="D9364" s="43" t="n">
        <v>86</v>
      </c>
      <c r="E9364" s="44" t="n">
        <v>5767.1738</v>
      </c>
    </row>
    <row r="9365">
      <c r="A9365" s="39">
        <f>_xlfn.XLOOKUP(60011,Trip[shape_id],Trip[shape_id],"Não encontrado")</f>
        <v/>
      </c>
      <c r="B9365" s="40" t="n">
        <v>-23.598042</v>
      </c>
      <c r="C9365" s="40" t="n">
        <v>-46.534173</v>
      </c>
      <c r="D9365" s="40" t="n">
        <v>87</v>
      </c>
      <c r="E9365" s="41" t="n">
        <v>5902.647</v>
      </c>
    </row>
    <row r="9366">
      <c r="A9366" s="42">
        <f>_xlfn.XLOOKUP(60011,Trip[shape_id],Trip[shape_id],"Não encontrado")</f>
        <v/>
      </c>
      <c r="B9366" s="43" t="n">
        <v>-23.598421</v>
      </c>
      <c r="C9366" s="43" t="n">
        <v>-46.532911</v>
      </c>
      <c r="D9366" s="43" t="n">
        <v>88</v>
      </c>
      <c r="E9366" s="44" t="n">
        <v>6062.5693</v>
      </c>
    </row>
    <row r="9367">
      <c r="A9367" s="39">
        <f>_xlfn.XLOOKUP(60011,Trip[shape_id],Trip[shape_id],"Não encontrado")</f>
        <v/>
      </c>
      <c r="B9367" s="40" t="n">
        <v>-23.598903</v>
      </c>
      <c r="C9367" s="40" t="n">
        <v>-46.531434</v>
      </c>
      <c r="D9367" s="40" t="n">
        <v>89</v>
      </c>
      <c r="E9367" s="41" t="n">
        <v>6179.9341</v>
      </c>
    </row>
    <row r="9368">
      <c r="A9368" s="42">
        <f>_xlfn.XLOOKUP(60011,Trip[shape_id],Trip[shape_id],"Não encontrado")</f>
        <v/>
      </c>
      <c r="B9368" s="43" t="n">
        <v>-23.599254</v>
      </c>
      <c r="C9368" s="43" t="n">
        <v>-46.530349</v>
      </c>
      <c r="D9368" s="43" t="n">
        <v>90</v>
      </c>
      <c r="E9368" s="44" t="n">
        <v>6282.5215</v>
      </c>
    </row>
    <row r="9369">
      <c r="A9369" s="39">
        <f>_xlfn.XLOOKUP(60011,Trip[shape_id],Trip[shape_id],"Não encontrado")</f>
        <v/>
      </c>
      <c r="B9369" s="40" t="n">
        <v>-23.599567</v>
      </c>
      <c r="C9369" s="40" t="n">
        <v>-46.529403</v>
      </c>
      <c r="D9369" s="40" t="n">
        <v>91</v>
      </c>
      <c r="E9369" s="41" t="n">
        <v>6311.9238</v>
      </c>
    </row>
    <row r="9370">
      <c r="A9370" s="42">
        <f>_xlfn.XLOOKUP(60011,Trip[shape_id],Trip[shape_id],"Não encontrado")</f>
        <v/>
      </c>
      <c r="B9370" s="43" t="n">
        <v>-23.599662</v>
      </c>
      <c r="C9370" s="43" t="n">
        <v>-46.529134</v>
      </c>
      <c r="D9370" s="43" t="n">
        <v>92</v>
      </c>
      <c r="E9370" s="44" t="n">
        <v>6330.1782</v>
      </c>
    </row>
    <row r="9371">
      <c r="A9371" s="39">
        <f>_xlfn.XLOOKUP(60011,Trip[shape_id],Trip[shape_id],"Não encontrado")</f>
        <v/>
      </c>
      <c r="B9371" s="40" t="n">
        <v>-23.599721</v>
      </c>
      <c r="C9371" s="40" t="n">
        <v>-46.528967</v>
      </c>
      <c r="D9371" s="40" t="n">
        <v>93</v>
      </c>
      <c r="E9371" s="41" t="n">
        <v>6350.8506</v>
      </c>
    </row>
    <row r="9372">
      <c r="A9372" s="42">
        <f>_xlfn.XLOOKUP(60011,Trip[shape_id],Trip[shape_id],"Não encontrado")</f>
        <v/>
      </c>
      <c r="B9372" s="43" t="n">
        <v>-23.599801</v>
      </c>
      <c r="C9372" s="43" t="n">
        <v>-46.528784</v>
      </c>
      <c r="D9372" s="43" t="n">
        <v>94</v>
      </c>
      <c r="E9372" s="44" t="n">
        <v>6370.9385</v>
      </c>
    </row>
    <row r="9373">
      <c r="A9373" s="39">
        <f>_xlfn.XLOOKUP(60011,Trip[shape_id],Trip[shape_id],"Não encontrado")</f>
        <v/>
      </c>
      <c r="B9373" s="40" t="n">
        <v>-23.599884</v>
      </c>
      <c r="C9373" s="40" t="n">
        <v>-46.528609</v>
      </c>
      <c r="D9373" s="40" t="n">
        <v>95</v>
      </c>
      <c r="E9373" s="41" t="n">
        <v>6389.9995</v>
      </c>
    </row>
    <row r="9374">
      <c r="A9374" s="42">
        <f>_xlfn.XLOOKUP(60011,Trip[shape_id],Trip[shape_id],"Não encontrado")</f>
        <v/>
      </c>
      <c r="B9374" s="43" t="n">
        <v>-23.59998</v>
      </c>
      <c r="C9374" s="43" t="n">
        <v>-46.528454</v>
      </c>
      <c r="D9374" s="43" t="n">
        <v>96</v>
      </c>
      <c r="E9374" s="44" t="n">
        <v>6410.6792</v>
      </c>
    </row>
    <row r="9375">
      <c r="A9375" s="39">
        <f>_xlfn.XLOOKUP(60011,Trip[shape_id],Trip[shape_id],"Não encontrado")</f>
        <v/>
      </c>
      <c r="B9375" s="40" t="n">
        <v>-23.600083</v>
      </c>
      <c r="C9375" s="40" t="n">
        <v>-46.528285</v>
      </c>
      <c r="D9375" s="40" t="n">
        <v>97</v>
      </c>
      <c r="E9375" s="41" t="n">
        <v>6470.667</v>
      </c>
    </row>
    <row r="9376">
      <c r="A9376" s="42">
        <f>_xlfn.XLOOKUP(60011,Trip[shape_id],Trip[shape_id],"Não encontrado")</f>
        <v/>
      </c>
      <c r="B9376" s="43" t="n">
        <v>-23.600402</v>
      </c>
      <c r="C9376" s="43" t="n">
        <v>-46.52781</v>
      </c>
      <c r="D9376" s="43" t="n">
        <v>98</v>
      </c>
      <c r="E9376" s="44" t="n">
        <v>6566.4302</v>
      </c>
    </row>
    <row r="9377">
      <c r="A9377" s="39">
        <f>_xlfn.XLOOKUP(60011,Trip[shape_id],Trip[shape_id],"Não encontrado")</f>
        <v/>
      </c>
      <c r="B9377" s="40" t="n">
        <v>-23.600924</v>
      </c>
      <c r="C9377" s="40" t="n">
        <v>-46.527062</v>
      </c>
      <c r="D9377" s="40" t="n">
        <v>99</v>
      </c>
      <c r="E9377" s="41" t="n">
        <v>6566.4302</v>
      </c>
    </row>
    <row r="9378">
      <c r="A9378" s="42">
        <f>_xlfn.XLOOKUP(60011,Trip[shape_id],Trip[shape_id],"Não encontrado")</f>
        <v/>
      </c>
      <c r="B9378" s="43" t="n">
        <v>-23.601141</v>
      </c>
      <c r="C9378" s="43" t="n">
        <v>-46.526748</v>
      </c>
      <c r="D9378" s="43" t="n">
        <v>100</v>
      </c>
      <c r="E9378" s="44" t="n">
        <v>6651.7109</v>
      </c>
    </row>
    <row r="9379">
      <c r="A9379" s="39">
        <f>_xlfn.XLOOKUP(60011,Trip[shape_id],Trip[shape_id],"Não encontrado")</f>
        <v/>
      </c>
      <c r="B9379" s="40" t="n">
        <v>-23.601389</v>
      </c>
      <c r="C9379" s="40" t="n">
        <v>-46.526396</v>
      </c>
      <c r="D9379" s="40" t="n">
        <v>101</v>
      </c>
      <c r="E9379" s="41" t="n">
        <v>6687.8638</v>
      </c>
    </row>
    <row r="9380">
      <c r="A9380" s="42">
        <f>_xlfn.XLOOKUP(60011,Trip[shape_id],Trip[shape_id],"Não encontrado")</f>
        <v/>
      </c>
      <c r="B9380" s="43" t="n">
        <v>-23.601555</v>
      </c>
      <c r="C9380" s="43" t="n">
        <v>-46.526091</v>
      </c>
      <c r="D9380" s="43" t="n">
        <v>102</v>
      </c>
      <c r="E9380" s="44" t="n">
        <v>6725.7866</v>
      </c>
    </row>
    <row r="9381">
      <c r="A9381" s="39">
        <f>_xlfn.XLOOKUP(60011,Trip[shape_id],Trip[shape_id],"Não encontrado")</f>
        <v/>
      </c>
      <c r="B9381" s="40" t="n">
        <v>-23.601675</v>
      </c>
      <c r="C9381" s="40" t="n">
        <v>-46.525743</v>
      </c>
      <c r="D9381" s="40" t="n">
        <v>103</v>
      </c>
      <c r="E9381" s="41" t="n">
        <v>6751.5469</v>
      </c>
    </row>
    <row r="9382">
      <c r="A9382" s="42">
        <f>_xlfn.XLOOKUP(60011,Trip[shape_id],Trip[shape_id],"Não encontrado")</f>
        <v/>
      </c>
      <c r="B9382" s="43" t="n">
        <v>-23.601755</v>
      </c>
      <c r="C9382" s="43" t="n">
        <v>-46.525506</v>
      </c>
      <c r="D9382" s="43" t="n">
        <v>104</v>
      </c>
      <c r="E9382" s="44" t="n">
        <v>6767.4829</v>
      </c>
    </row>
    <row r="9383">
      <c r="A9383" s="39">
        <f>_xlfn.XLOOKUP(60011,Trip[shape_id],Trip[shape_id],"Não encontrado")</f>
        <v/>
      </c>
      <c r="B9383" s="40" t="n">
        <v>-23.601798</v>
      </c>
      <c r="C9383" s="40" t="n">
        <v>-46.525357</v>
      </c>
      <c r="D9383" s="40" t="n">
        <v>105</v>
      </c>
      <c r="E9383" s="41" t="n">
        <v>6784.1255</v>
      </c>
    </row>
    <row r="9384">
      <c r="A9384" s="42">
        <f>_xlfn.XLOOKUP(60011,Trip[shape_id],Trip[shape_id],"Não encontrado")</f>
        <v/>
      </c>
      <c r="B9384" s="43" t="n">
        <v>-23.601827</v>
      </c>
      <c r="C9384" s="43" t="n">
        <v>-46.525197</v>
      </c>
      <c r="D9384" s="43" t="n">
        <v>106</v>
      </c>
      <c r="E9384" s="44" t="n">
        <v>6810.5889</v>
      </c>
    </row>
    <row r="9385">
      <c r="A9385" s="39">
        <f>_xlfn.XLOOKUP(60011,Trip[shape_id],Trip[shape_id],"Não encontrado")</f>
        <v/>
      </c>
      <c r="B9385" s="40" t="n">
        <v>-23.601875</v>
      </c>
      <c r="C9385" s="40" t="n">
        <v>-46.524943</v>
      </c>
      <c r="D9385" s="40" t="n">
        <v>107</v>
      </c>
      <c r="E9385" s="41" t="n">
        <v>6829.3989</v>
      </c>
    </row>
    <row r="9386">
      <c r="A9386" s="42">
        <f>_xlfn.XLOOKUP(60011,Trip[shape_id],Trip[shape_id],"Não encontrado")</f>
        <v/>
      </c>
      <c r="B9386" s="43" t="n">
        <v>-23.601907</v>
      </c>
      <c r="C9386" s="43" t="n">
        <v>-46.524762</v>
      </c>
      <c r="D9386" s="43" t="n">
        <v>108</v>
      </c>
      <c r="E9386" s="44" t="n">
        <v>6851.3071</v>
      </c>
    </row>
    <row r="9387">
      <c r="A9387" s="39">
        <f>_xlfn.XLOOKUP(60011,Trip[shape_id],Trip[shape_id],"Não encontrado")</f>
        <v/>
      </c>
      <c r="B9387" s="40" t="n">
        <v>-23.601938</v>
      </c>
      <c r="C9387" s="40" t="n">
        <v>-46.52455</v>
      </c>
      <c r="D9387" s="40" t="n">
        <v>109</v>
      </c>
      <c r="E9387" s="41" t="n">
        <v>6884.6816</v>
      </c>
    </row>
    <row r="9388">
      <c r="A9388" s="42">
        <f>_xlfn.XLOOKUP(60011,Trip[shape_id],Trip[shape_id],"Não encontrado")</f>
        <v/>
      </c>
      <c r="B9388" s="43" t="n">
        <v>-23.601985</v>
      </c>
      <c r="C9388" s="43" t="n">
        <v>-46.524227</v>
      </c>
      <c r="D9388" s="43" t="n">
        <v>110</v>
      </c>
      <c r="E9388" s="44" t="n">
        <v>6925.4058</v>
      </c>
    </row>
    <row r="9389">
      <c r="A9389" s="39">
        <f>_xlfn.XLOOKUP(60011,Trip[shape_id],Trip[shape_id],"Não encontrado")</f>
        <v/>
      </c>
      <c r="B9389" s="40" t="n">
        <v>-23.602037</v>
      </c>
      <c r="C9389" s="40" t="n">
        <v>-46.523832</v>
      </c>
      <c r="D9389" s="40" t="n">
        <v>111</v>
      </c>
      <c r="E9389" s="41" t="n">
        <v>6960.2612</v>
      </c>
    </row>
    <row r="9390">
      <c r="A9390" s="42">
        <f>_xlfn.XLOOKUP(60011,Trip[shape_id],Trip[shape_id],"Não encontrado")</f>
        <v/>
      </c>
      <c r="B9390" s="43" t="n">
        <v>-23.602088</v>
      </c>
      <c r="C9390" s="43" t="n">
        <v>-46.523495</v>
      </c>
      <c r="D9390" s="43" t="n">
        <v>112</v>
      </c>
      <c r="E9390" s="44" t="n">
        <v>7044.9663</v>
      </c>
    </row>
    <row r="9391">
      <c r="A9391" s="39">
        <f>_xlfn.XLOOKUP(60011,Trip[shape_id],Trip[shape_id],"Não encontrado")</f>
        <v/>
      </c>
      <c r="B9391" s="40" t="n">
        <v>-23.602206</v>
      </c>
      <c r="C9391" s="40" t="n">
        <v>-46.522675</v>
      </c>
      <c r="D9391" s="40" t="n">
        <v>113</v>
      </c>
      <c r="E9391" s="41" t="n">
        <v>7196.9575</v>
      </c>
    </row>
    <row r="9392">
      <c r="A9392" s="42">
        <f>_xlfn.XLOOKUP(60011,Trip[shape_id],Trip[shape_id],"Não encontrado")</f>
        <v/>
      </c>
      <c r="B9392" s="43" t="n">
        <v>-23.602414</v>
      </c>
      <c r="C9392" s="43" t="n">
        <v>-46.521203</v>
      </c>
      <c r="D9392" s="43" t="n">
        <v>114</v>
      </c>
      <c r="E9392" s="44" t="n">
        <v>7231.8311</v>
      </c>
    </row>
    <row r="9393">
      <c r="A9393" s="39">
        <f>_xlfn.XLOOKUP(60011,Trip[shape_id],Trip[shape_id],"Não encontrado")</f>
        <v/>
      </c>
      <c r="B9393" s="40" t="n">
        <v>-23.602466</v>
      </c>
      <c r="C9393" s="40" t="n">
        <v>-46.520866</v>
      </c>
      <c r="D9393" s="40" t="n">
        <v>115</v>
      </c>
      <c r="E9393" s="41" t="n">
        <v>7264.5547</v>
      </c>
    </row>
    <row r="9394">
      <c r="A9394" s="42">
        <f>_xlfn.XLOOKUP(60011,Trip[shape_id],Trip[shape_id],"Não encontrado")</f>
        <v/>
      </c>
      <c r="B9394" s="43" t="n">
        <v>-23.602516</v>
      </c>
      <c r="C9394" s="43" t="n">
        <v>-46.52055</v>
      </c>
      <c r="D9394" s="43" t="n">
        <v>116</v>
      </c>
      <c r="E9394" s="44" t="n">
        <v>7288.6411</v>
      </c>
    </row>
    <row r="9395">
      <c r="A9395" s="39">
        <f>_xlfn.XLOOKUP(60011,Trip[shape_id],Trip[shape_id],"Não encontrado")</f>
        <v/>
      </c>
      <c r="B9395" s="40" t="n">
        <v>-23.602536</v>
      </c>
      <c r="C9395" s="40" t="n">
        <v>-46.520315</v>
      </c>
      <c r="D9395" s="40" t="n">
        <v>117</v>
      </c>
      <c r="E9395" s="41" t="n">
        <v>7323.0708</v>
      </c>
    </row>
    <row r="9396">
      <c r="A9396" s="42">
        <f>_xlfn.XLOOKUP(60011,Trip[shape_id],Trip[shape_id],"Não encontrado")</f>
        <v/>
      </c>
      <c r="B9396" s="43" t="n">
        <v>-23.60255</v>
      </c>
      <c r="C9396" s="43" t="n">
        <v>-46.519978</v>
      </c>
      <c r="D9396" s="43" t="n">
        <v>118</v>
      </c>
      <c r="E9396" s="44" t="n">
        <v>7390.4609</v>
      </c>
    </row>
    <row r="9397">
      <c r="A9397" s="39">
        <f>_xlfn.XLOOKUP(60011,Trip[shape_id],Trip[shape_id],"Não encontrado")</f>
        <v/>
      </c>
      <c r="B9397" s="40" t="n">
        <v>-23.602568</v>
      </c>
      <c r="C9397" s="40" t="n">
        <v>-46.519318</v>
      </c>
      <c r="D9397" s="40" t="n">
        <v>119</v>
      </c>
      <c r="E9397" s="41" t="n">
        <v>7468.8555</v>
      </c>
    </row>
    <row r="9398">
      <c r="A9398" s="42">
        <f>_xlfn.XLOOKUP(60011,Trip[shape_id],Trip[shape_id],"Não encontrado")</f>
        <v/>
      </c>
      <c r="B9398" s="43" t="n">
        <v>-23.602556</v>
      </c>
      <c r="C9398" s="43" t="n">
        <v>-46.51855</v>
      </c>
      <c r="D9398" s="43" t="n">
        <v>120</v>
      </c>
      <c r="E9398" s="44" t="n">
        <v>7523.2119</v>
      </c>
    </row>
    <row r="9399">
      <c r="A9399" s="39">
        <f>_xlfn.XLOOKUP(60011,Trip[shape_id],Trip[shape_id],"Não encontrado")</f>
        <v/>
      </c>
      <c r="B9399" s="40" t="n">
        <v>-23.602579</v>
      </c>
      <c r="C9399" s="40" t="n">
        <v>-46.518018</v>
      </c>
      <c r="D9399" s="40" t="n">
        <v>121</v>
      </c>
      <c r="E9399" s="41" t="n">
        <v>7558.2002</v>
      </c>
    </row>
    <row r="9400">
      <c r="A9400" s="42">
        <f>_xlfn.XLOOKUP(60011,Trip[shape_id],Trip[shape_id],"Não encontrado")</f>
        <v/>
      </c>
      <c r="B9400" s="43" t="n">
        <v>-23.602626</v>
      </c>
      <c r="C9400" s="43" t="n">
        <v>-46.517679</v>
      </c>
      <c r="D9400" s="43" t="n">
        <v>122</v>
      </c>
      <c r="E9400" s="44" t="n">
        <v>7604.0518</v>
      </c>
    </row>
    <row r="9401">
      <c r="A9401" s="39">
        <f>_xlfn.XLOOKUP(60011,Trip[shape_id],Trip[shape_id],"Não encontrado")</f>
        <v/>
      </c>
      <c r="B9401" s="40" t="n">
        <v>-23.602705</v>
      </c>
      <c r="C9401" s="40" t="n">
        <v>-46.517238</v>
      </c>
      <c r="D9401" s="40" t="n">
        <v>123</v>
      </c>
      <c r="E9401" s="41" t="n">
        <v>7646.335</v>
      </c>
    </row>
    <row r="9402">
      <c r="A9402" s="42">
        <f>_xlfn.XLOOKUP(60011,Trip[shape_id],Trip[shape_id],"Não encontrado")</f>
        <v/>
      </c>
      <c r="B9402" s="43" t="n">
        <v>-23.602781</v>
      </c>
      <c r="C9402" s="43" t="n">
        <v>-46.516832</v>
      </c>
      <c r="D9402" s="43" t="n">
        <v>124</v>
      </c>
      <c r="E9402" s="44" t="n">
        <v>7708.4321</v>
      </c>
    </row>
    <row r="9403">
      <c r="A9403" s="39">
        <f>_xlfn.XLOOKUP(60011,Trip[shape_id],Trip[shape_id],"Não encontrado")</f>
        <v/>
      </c>
      <c r="B9403" s="40" t="n">
        <v>-23.602874</v>
      </c>
      <c r="C9403" s="40" t="n">
        <v>-46.516232</v>
      </c>
      <c r="D9403" s="40" t="n">
        <v>125</v>
      </c>
      <c r="E9403" s="41" t="n">
        <v>7732.7944</v>
      </c>
    </row>
    <row r="9404">
      <c r="A9404" s="42">
        <f>_xlfn.XLOOKUP(60011,Trip[shape_id],Trip[shape_id],"Não encontrado")</f>
        <v/>
      </c>
      <c r="B9404" s="43" t="n">
        <v>-23.602907</v>
      </c>
      <c r="C9404" s="43" t="n">
        <v>-46.515996</v>
      </c>
      <c r="D9404" s="43" t="n">
        <v>126</v>
      </c>
      <c r="E9404" s="44" t="n">
        <v>7760.2671</v>
      </c>
    </row>
    <row r="9405">
      <c r="A9405" s="39">
        <f>_xlfn.XLOOKUP(60011,Trip[shape_id],Trip[shape_id],"Não encontrado")</f>
        <v/>
      </c>
      <c r="B9405" s="40" t="n">
        <v>-23.602945</v>
      </c>
      <c r="C9405" s="40" t="n">
        <v>-46.51573</v>
      </c>
      <c r="D9405" s="40" t="n">
        <v>127</v>
      </c>
      <c r="E9405" s="41" t="n">
        <v>7760.2671</v>
      </c>
    </row>
    <row r="9406">
      <c r="A9406" s="42">
        <f>_xlfn.XLOOKUP(60011,Trip[shape_id],Trip[shape_id],"Não encontrado")</f>
        <v/>
      </c>
      <c r="B9406" s="43" t="n">
        <v>-23.603013</v>
      </c>
      <c r="C9406" s="43" t="n">
        <v>-46.514874</v>
      </c>
      <c r="D9406" s="43" t="n">
        <v>128</v>
      </c>
      <c r="E9406" s="44" t="n">
        <v>7897.5723</v>
      </c>
    </row>
    <row r="9407">
      <c r="A9407" s="39">
        <f>_xlfn.XLOOKUP(60011,Trip[shape_id],Trip[shape_id],"Não encontrado")</f>
        <v/>
      </c>
      <c r="B9407" s="40" t="n">
        <v>-23.603084</v>
      </c>
      <c r="C9407" s="40" t="n">
        <v>-46.514394</v>
      </c>
      <c r="D9407" s="40" t="n">
        <v>129</v>
      </c>
      <c r="E9407" s="41" t="n">
        <v>8003.1919</v>
      </c>
    </row>
    <row r="9408">
      <c r="A9408" s="42">
        <f>_xlfn.XLOOKUP(60011,Trip[shape_id],Trip[shape_id],"Não encontrado")</f>
        <v/>
      </c>
      <c r="B9408" s="43" t="n">
        <v>-23.603279</v>
      </c>
      <c r="C9408" s="43" t="n">
        <v>-46.513381</v>
      </c>
      <c r="D9408" s="43" t="n">
        <v>130</v>
      </c>
      <c r="E9408" s="44" t="n">
        <v>8061.9956</v>
      </c>
    </row>
    <row r="9409">
      <c r="A9409" s="39">
        <f>_xlfn.XLOOKUP(60011,Trip[shape_id],Trip[shape_id],"Não encontrado")</f>
        <v/>
      </c>
      <c r="B9409" s="40" t="n">
        <v>-23.603396</v>
      </c>
      <c r="C9409" s="40" t="n">
        <v>-46.512819</v>
      </c>
      <c r="D9409" s="40" t="n">
        <v>131</v>
      </c>
      <c r="E9409" s="41" t="n">
        <v>8119.6123</v>
      </c>
    </row>
    <row r="9410">
      <c r="A9410" s="42">
        <f>_xlfn.XLOOKUP(60011,Trip[shape_id],Trip[shape_id],"Não encontrado")</f>
        <v/>
      </c>
      <c r="B9410" s="43" t="n">
        <v>-23.603505</v>
      </c>
      <c r="C9410" s="43" t="n">
        <v>-46.512267</v>
      </c>
      <c r="D9410" s="43" t="n">
        <v>132</v>
      </c>
      <c r="E9410" s="44" t="n">
        <v>8138.6069</v>
      </c>
    </row>
    <row r="9411">
      <c r="A9411" s="39">
        <f>_xlfn.XLOOKUP(60011,Trip[shape_id],Trip[shape_id],"Não encontrado")</f>
        <v/>
      </c>
      <c r="B9411" s="40" t="n">
        <v>-23.603558</v>
      </c>
      <c r="C9411" s="40" t="n">
        <v>-46.51209</v>
      </c>
      <c r="D9411" s="40" t="n">
        <v>133</v>
      </c>
      <c r="E9411" s="41" t="n">
        <v>8158.3623</v>
      </c>
    </row>
    <row r="9412">
      <c r="A9412" s="42">
        <f>_xlfn.XLOOKUP(60011,Trip[shape_id],Trip[shape_id],"Não encontrado")</f>
        <v/>
      </c>
      <c r="B9412" s="43" t="n">
        <v>-23.603638</v>
      </c>
      <c r="C9412" s="43" t="n">
        <v>-46.511917</v>
      </c>
      <c r="D9412" s="43" t="n">
        <v>134</v>
      </c>
      <c r="E9412" s="44" t="n">
        <v>8198.0898</v>
      </c>
    </row>
    <row r="9413">
      <c r="A9413" s="39">
        <f>_xlfn.XLOOKUP(60011,Trip[shape_id],Trip[shape_id],"Não encontrado")</f>
        <v/>
      </c>
      <c r="B9413" s="40" t="n">
        <v>-23.60385</v>
      </c>
      <c r="C9413" s="40" t="n">
        <v>-46.511603</v>
      </c>
      <c r="D9413" s="40" t="n">
        <v>135</v>
      </c>
      <c r="E9413" s="41" t="n">
        <v>8300.2744</v>
      </c>
    </row>
    <row r="9414">
      <c r="A9414" s="42">
        <f>_xlfn.XLOOKUP(60011,Trip[shape_id],Trip[shape_id],"Não encontrado")</f>
        <v/>
      </c>
      <c r="B9414" s="43" t="n">
        <v>-23.604425</v>
      </c>
      <c r="C9414" s="43" t="n">
        <v>-46.51082</v>
      </c>
      <c r="D9414" s="43" t="n">
        <v>136</v>
      </c>
      <c r="E9414" s="44" t="n">
        <v>8321.579100000001</v>
      </c>
    </row>
    <row r="9415">
      <c r="A9415" s="39">
        <f>_xlfn.XLOOKUP(60011,Trip[shape_id],Trip[shape_id],"Não encontrado")</f>
        <v/>
      </c>
      <c r="B9415" s="40" t="n">
        <v>-23.604534</v>
      </c>
      <c r="C9415" s="40" t="n">
        <v>-46.510648</v>
      </c>
      <c r="D9415" s="40" t="n">
        <v>137</v>
      </c>
      <c r="E9415" s="41" t="n">
        <v>8332.2461</v>
      </c>
    </row>
    <row r="9416">
      <c r="A9416" s="42">
        <f>_xlfn.XLOOKUP(60011,Trip[shape_id],Trip[shape_id],"Não encontrado")</f>
        <v/>
      </c>
      <c r="B9416" s="43" t="n">
        <v>-23.604555</v>
      </c>
      <c r="C9416" s="43" t="n">
        <v>-46.510546</v>
      </c>
      <c r="D9416" s="43" t="n">
        <v>138</v>
      </c>
      <c r="E9416" s="44" t="n">
        <v>8353.886699999999</v>
      </c>
    </row>
    <row r="9417">
      <c r="A9417" s="39">
        <f>_xlfn.XLOOKUP(60011,Trip[shape_id],Trip[shape_id],"Não encontrado")</f>
        <v/>
      </c>
      <c r="B9417" s="40" t="n">
        <v>-23.604559</v>
      </c>
      <c r="C9417" s="40" t="n">
        <v>-46.510334</v>
      </c>
      <c r="D9417" s="40" t="n">
        <v>139</v>
      </c>
      <c r="E9417" s="41" t="n">
        <v>8369.262699999999</v>
      </c>
    </row>
    <row r="9418">
      <c r="A9418" s="42">
        <f>_xlfn.XLOOKUP(60011,Trip[shape_id],Trip[shape_id],"Não encontrado")</f>
        <v/>
      </c>
      <c r="B9418" s="43" t="n">
        <v>-23.604546</v>
      </c>
      <c r="C9418" s="43" t="n">
        <v>-46.510184</v>
      </c>
      <c r="D9418" s="43" t="n">
        <v>140</v>
      </c>
      <c r="E9418" s="44" t="n">
        <v>8383.054700000001</v>
      </c>
    </row>
    <row r="9419">
      <c r="A9419" s="39">
        <f>_xlfn.XLOOKUP(60011,Trip[shape_id],Trip[shape_id],"Não encontrado")</f>
        <v/>
      </c>
      <c r="B9419" s="40" t="n">
        <v>-23.604512</v>
      </c>
      <c r="C9419" s="40" t="n">
        <v>-46.510054</v>
      </c>
      <c r="D9419" s="40" t="n">
        <v>141</v>
      </c>
      <c r="E9419" s="41" t="n">
        <v>8408.184600000001</v>
      </c>
    </row>
    <row r="9420">
      <c r="A9420" s="42">
        <f>_xlfn.XLOOKUP(60011,Trip[shape_id],Trip[shape_id],"Não encontrado")</f>
        <v/>
      </c>
      <c r="B9420" s="43" t="n">
        <v>-23.604431</v>
      </c>
      <c r="C9420" s="43" t="n">
        <v>-46.509824</v>
      </c>
      <c r="D9420" s="43" t="n">
        <v>142</v>
      </c>
      <c r="E9420" s="44" t="n">
        <v>8427.7637</v>
      </c>
    </row>
    <row r="9421">
      <c r="A9421" s="39">
        <f>_xlfn.XLOOKUP(60011,Trip[shape_id],Trip[shape_id],"Não encontrado")</f>
        <v/>
      </c>
      <c r="B9421" s="40" t="n">
        <v>-23.604381</v>
      </c>
      <c r="C9421" s="40" t="n">
        <v>-46.50964</v>
      </c>
      <c r="D9421" s="40" t="n">
        <v>143</v>
      </c>
      <c r="E9421" s="41" t="n">
        <v>8444.9131</v>
      </c>
    </row>
    <row r="9422">
      <c r="A9422" s="42">
        <f>_xlfn.XLOOKUP(60011,Trip[shape_id],Trip[shape_id],"Não encontrado")</f>
        <v/>
      </c>
      <c r="B9422" s="43" t="n">
        <v>-23.604357</v>
      </c>
      <c r="C9422" s="43" t="n">
        <v>-46.509474</v>
      </c>
      <c r="D9422" s="43" t="n">
        <v>144</v>
      </c>
      <c r="E9422" s="44" t="n">
        <v>8461.0576</v>
      </c>
    </row>
    <row r="9423">
      <c r="A9423" s="39">
        <f>_xlfn.XLOOKUP(60011,Trip[shape_id],Trip[shape_id],"Não encontrado")</f>
        <v/>
      </c>
      <c r="B9423" s="40" t="n">
        <v>-23.60435</v>
      </c>
      <c r="C9423" s="40" t="n">
        <v>-46.509316</v>
      </c>
      <c r="D9423" s="40" t="n">
        <v>145</v>
      </c>
      <c r="E9423" s="41" t="n">
        <v>8469.372100000001</v>
      </c>
    </row>
    <row r="9424">
      <c r="A9424" s="42">
        <f>_xlfn.XLOOKUP(60011,Trip[shape_id],Trip[shape_id],"Não encontrado")</f>
        <v/>
      </c>
      <c r="B9424" s="43" t="n">
        <v>-23.604358</v>
      </c>
      <c r="C9424" s="43" t="n">
        <v>-46.509235</v>
      </c>
      <c r="D9424" s="43" t="n">
        <v>146</v>
      </c>
      <c r="E9424" s="44" t="n">
        <v>8473.8066</v>
      </c>
    </row>
    <row r="9425">
      <c r="A9425" s="39">
        <f>_xlfn.XLOOKUP(60011,Trip[shape_id],Trip[shape_id],"Não encontrado")</f>
        <v/>
      </c>
      <c r="B9425" s="40" t="n">
        <v>-23.604379</v>
      </c>
      <c r="C9425" s="40" t="n">
        <v>-46.509198</v>
      </c>
      <c r="D9425" s="40" t="n">
        <v>147</v>
      </c>
      <c r="E9425" s="41" t="n">
        <v>8477.793</v>
      </c>
    </row>
    <row r="9426">
      <c r="A9426" s="42">
        <f>_xlfn.XLOOKUP(60011,Trip[shape_id],Trip[shape_id],"Não encontrado")</f>
        <v/>
      </c>
      <c r="B9426" s="43" t="n">
        <v>-23.604405</v>
      </c>
      <c r="C9426" s="43" t="n">
        <v>-46.509171</v>
      </c>
      <c r="D9426" s="43" t="n">
        <v>148</v>
      </c>
      <c r="E9426" s="44" t="n">
        <v>8495.364299999999</v>
      </c>
    </row>
    <row r="9427">
      <c r="A9427" s="39">
        <f>_xlfn.XLOOKUP(60011,Trip[shape_id],Trip[shape_id],"Não encontrado")</f>
        <v/>
      </c>
      <c r="B9427" s="40" t="n">
        <v>-23.604544</v>
      </c>
      <c r="C9427" s="40" t="n">
        <v>-46.509088</v>
      </c>
      <c r="D9427" s="40" t="n">
        <v>149</v>
      </c>
      <c r="E9427" s="41" t="n">
        <v>8506.6152</v>
      </c>
    </row>
    <row r="9428">
      <c r="A9428" s="42">
        <f>_xlfn.XLOOKUP(60011,Trip[shape_id],Trip[shape_id],"Não encontrado")</f>
        <v/>
      </c>
      <c r="B9428" s="43" t="n">
        <v>-23.604628</v>
      </c>
      <c r="C9428" s="43" t="n">
        <v>-46.509026</v>
      </c>
      <c r="D9428" s="43" t="n">
        <v>150</v>
      </c>
      <c r="E9428" s="44" t="n">
        <v>8539.876</v>
      </c>
    </row>
    <row r="9429">
      <c r="A9429" s="39">
        <f>_xlfn.XLOOKUP(60011,Trip[shape_id],Trip[shape_id],"Não encontrado")</f>
        <v/>
      </c>
      <c r="B9429" s="40" t="n">
        <v>-23.604872</v>
      </c>
      <c r="C9429" s="40" t="n">
        <v>-46.508836</v>
      </c>
      <c r="D9429" s="40" t="n">
        <v>151</v>
      </c>
      <c r="E9429" s="41" t="n">
        <v>8662.1621</v>
      </c>
    </row>
    <row r="9430">
      <c r="A9430" s="42">
        <f>_xlfn.XLOOKUP(60011,Trip[shape_id],Trip[shape_id],"Não encontrado")</f>
        <v/>
      </c>
      <c r="B9430" s="43" t="n">
        <v>-23.605783</v>
      </c>
      <c r="C9430" s="43" t="n">
        <v>-46.508159</v>
      </c>
      <c r="D9430" s="43" t="n">
        <v>152</v>
      </c>
      <c r="E9430" s="44" t="n">
        <v>8749.2158</v>
      </c>
    </row>
    <row r="9431">
      <c r="A9431" s="39">
        <f>_xlfn.XLOOKUP(60011,Trip[shape_id],Trip[shape_id],"Não encontrado")</f>
        <v/>
      </c>
      <c r="B9431" s="40" t="n">
        <v>-23.606434</v>
      </c>
      <c r="C9431" s="40" t="n">
        <v>-46.507681</v>
      </c>
      <c r="D9431" s="40" t="n">
        <v>153</v>
      </c>
      <c r="E9431" s="41" t="n">
        <v>8749.2158</v>
      </c>
    </row>
    <row r="9432">
      <c r="A9432" s="42">
        <f>_xlfn.XLOOKUP(60011,Trip[shape_id],Trip[shape_id],"Não encontrado")</f>
        <v/>
      </c>
      <c r="B9432" s="43" t="n">
        <v>-23.607164</v>
      </c>
      <c r="C9432" s="43" t="n">
        <v>-46.507191</v>
      </c>
      <c r="D9432" s="43" t="n">
        <v>154</v>
      </c>
      <c r="E9432" s="44" t="n">
        <v>8941.334999999999</v>
      </c>
    </row>
    <row r="9433">
      <c r="A9433" s="39">
        <f>_xlfn.XLOOKUP(60011,Trip[shape_id],Trip[shape_id],"Não encontrado")</f>
        <v/>
      </c>
      <c r="B9433" s="40" t="n">
        <v>-23.607947</v>
      </c>
      <c r="C9433" s="40" t="n">
        <v>-46.506764</v>
      </c>
      <c r="D9433" s="40" t="n">
        <v>155</v>
      </c>
      <c r="E9433" s="41" t="n">
        <v>8963.3848</v>
      </c>
    </row>
    <row r="9434">
      <c r="A9434" s="42">
        <f>_xlfn.XLOOKUP(60011,Trip[shape_id],Trip[shape_id],"Não encontrado")</f>
        <v/>
      </c>
      <c r="B9434" s="43" t="n">
        <v>-23.608121</v>
      </c>
      <c r="C9434" s="43" t="n">
        <v>-46.506659</v>
      </c>
      <c r="D9434" s="43" t="n">
        <v>156</v>
      </c>
      <c r="E9434" s="44" t="n">
        <v>8996.748</v>
      </c>
    </row>
    <row r="9435">
      <c r="A9435" s="39">
        <f>_xlfn.XLOOKUP(60011,Trip[shape_id],Trip[shape_id],"Não encontrado")</f>
        <v/>
      </c>
      <c r="B9435" s="40" t="n">
        <v>-23.60836</v>
      </c>
      <c r="C9435" s="40" t="n">
        <v>-46.50646</v>
      </c>
      <c r="D9435" s="40" t="n">
        <v>157</v>
      </c>
      <c r="E9435" s="41" t="n">
        <v>9042.6055</v>
      </c>
    </row>
    <row r="9436">
      <c r="A9436" s="42">
        <f>_xlfn.XLOOKUP(60011,Trip[shape_id],Trip[shape_id],"Não encontrado")</f>
        <v/>
      </c>
      <c r="B9436" s="43" t="n">
        <v>-23.608643</v>
      </c>
      <c r="C9436" s="43" t="n">
        <v>-46.506132</v>
      </c>
      <c r="D9436" s="43" t="n">
        <v>158</v>
      </c>
      <c r="E9436" s="44" t="n">
        <v>9116.2539</v>
      </c>
    </row>
    <row r="9437">
      <c r="A9437" s="39">
        <f>_xlfn.XLOOKUP(60011,Trip[shape_id],Trip[shape_id],"Não encontrado")</f>
        <v/>
      </c>
      <c r="B9437" s="40" t="n">
        <v>-23.609052</v>
      </c>
      <c r="C9437" s="40" t="n">
        <v>-46.505563</v>
      </c>
      <c r="D9437" s="40" t="n">
        <v>159</v>
      </c>
      <c r="E9437" s="41" t="n">
        <v>9234.804700000001</v>
      </c>
    </row>
    <row r="9438">
      <c r="A9438" s="42">
        <f>_xlfn.XLOOKUP(60011,Trip[shape_id],Trip[shape_id],"Não encontrado")</f>
        <v/>
      </c>
      <c r="B9438" s="43" t="n">
        <v>-23.609731</v>
      </c>
      <c r="C9438" s="43" t="n">
        <v>-46.504665</v>
      </c>
      <c r="D9438" s="43" t="n">
        <v>160</v>
      </c>
      <c r="E9438" s="44" t="n">
        <v>9259.911099999999</v>
      </c>
    </row>
    <row r="9439">
      <c r="A9439" s="39">
        <f>_xlfn.XLOOKUP(60011,Trip[shape_id],Trip[shape_id],"Não encontrado")</f>
        <v/>
      </c>
      <c r="B9439" s="40" t="n">
        <v>-23.609875</v>
      </c>
      <c r="C9439" s="40" t="n">
        <v>-46.504475</v>
      </c>
      <c r="D9439" s="40" t="n">
        <v>161</v>
      </c>
      <c r="E9439" s="41" t="n">
        <v>9284.333000000001</v>
      </c>
    </row>
    <row r="9440">
      <c r="A9440" s="42">
        <f>_xlfn.XLOOKUP(60011,Trip[shape_id],Trip[shape_id],"Não encontrado")</f>
        <v/>
      </c>
      <c r="B9440" s="43" t="n">
        <v>-23.610049</v>
      </c>
      <c r="C9440" s="43" t="n">
        <v>-46.504328</v>
      </c>
      <c r="D9440" s="43" t="n">
        <v>162</v>
      </c>
      <c r="E9440" s="44" t="n">
        <v>9303.0684</v>
      </c>
    </row>
    <row r="9441">
      <c r="A9441" s="39">
        <f>_xlfn.XLOOKUP(60011,Trip[shape_id],Trip[shape_id],"Não encontrado")</f>
        <v/>
      </c>
      <c r="B9441" s="40" t="n">
        <v>-23.610205</v>
      </c>
      <c r="C9441" s="40" t="n">
        <v>-46.504257</v>
      </c>
      <c r="D9441" s="40" t="n">
        <v>163</v>
      </c>
      <c r="E9441" s="41" t="n">
        <v>9327.5605</v>
      </c>
    </row>
    <row r="9442">
      <c r="A9442" s="42">
        <f>_xlfn.XLOOKUP(60011,Trip[shape_id],Trip[shape_id],"Não encontrado")</f>
        <v/>
      </c>
      <c r="B9442" s="43" t="n">
        <v>-23.61041</v>
      </c>
      <c r="C9442" s="43" t="n">
        <v>-46.504167</v>
      </c>
      <c r="D9442" s="43" t="n">
        <v>164</v>
      </c>
      <c r="E9442" s="44" t="n">
        <v>9360.0869</v>
      </c>
    </row>
    <row r="9443">
      <c r="A9443" s="39">
        <f>_xlfn.XLOOKUP(60011,Trip[shape_id],Trip[shape_id],"Não encontrado")</f>
        <v/>
      </c>
      <c r="B9443" s="40" t="n">
        <v>-23.610701</v>
      </c>
      <c r="C9443" s="40" t="n">
        <v>-46.504124</v>
      </c>
      <c r="D9443" s="40" t="n">
        <v>165</v>
      </c>
      <c r="E9443" s="41" t="n">
        <v>9382.9229</v>
      </c>
    </row>
    <row r="9444">
      <c r="A9444" s="42">
        <f>_xlfn.XLOOKUP(60011,Trip[shape_id],Trip[shape_id],"Não encontrado")</f>
        <v/>
      </c>
      <c r="B9444" s="43" t="n">
        <v>-23.610906</v>
      </c>
      <c r="C9444" s="43" t="n">
        <v>-46.504148</v>
      </c>
      <c r="D9444" s="43" t="n">
        <v>166</v>
      </c>
      <c r="E9444" s="44" t="n">
        <v>9423.0381</v>
      </c>
    </row>
    <row r="9445">
      <c r="A9445" s="39">
        <f>_xlfn.XLOOKUP(60011,Trip[shape_id],Trip[shape_id],"Não encontrado")</f>
        <v/>
      </c>
      <c r="B9445" s="40" t="n">
        <v>-23.611254</v>
      </c>
      <c r="C9445" s="40" t="n">
        <v>-46.504257</v>
      </c>
      <c r="D9445" s="40" t="n">
        <v>167</v>
      </c>
      <c r="E9445" s="41" t="n">
        <v>9463.3369</v>
      </c>
    </row>
    <row r="9446">
      <c r="A9446" s="42">
        <f>_xlfn.XLOOKUP(60011,Trip[shape_id],Trip[shape_id],"Não encontrado")</f>
        <v/>
      </c>
      <c r="B9446" s="43" t="n">
        <v>-23.611606</v>
      </c>
      <c r="C9446" s="43" t="n">
        <v>-46.504357</v>
      </c>
      <c r="D9446" s="43" t="n">
        <v>168</v>
      </c>
      <c r="E9446" s="44" t="n">
        <v>9480.707</v>
      </c>
    </row>
    <row r="9447">
      <c r="A9447" s="39">
        <f>_xlfn.XLOOKUP(60011,Trip[shape_id],Trip[shape_id],"Não encontrado")</f>
        <v/>
      </c>
      <c r="B9447" s="40" t="n">
        <v>-23.611757</v>
      </c>
      <c r="C9447" s="40" t="n">
        <v>-46.504403</v>
      </c>
      <c r="D9447" s="40" t="n">
        <v>169</v>
      </c>
      <c r="E9447" s="41" t="n">
        <v>9503.9658</v>
      </c>
    </row>
    <row r="9448">
      <c r="A9448" s="42">
        <f>_xlfn.XLOOKUP(60011,Trip[shape_id],Trip[shape_id],"Não encontrado")</f>
        <v/>
      </c>
      <c r="B9448" s="43" t="n">
        <v>-23.611967</v>
      </c>
      <c r="C9448" s="43" t="n">
        <v>-46.504404</v>
      </c>
      <c r="D9448" s="43" t="n">
        <v>170</v>
      </c>
      <c r="E9448" s="44" t="n">
        <v>9525.1885</v>
      </c>
    </row>
    <row r="9449">
      <c r="A9449" s="39">
        <f>_xlfn.XLOOKUP(60011,Trip[shape_id],Trip[shape_id],"Não encontrado")</f>
        <v/>
      </c>
      <c r="B9449" s="40" t="n">
        <v>-23.612157</v>
      </c>
      <c r="C9449" s="40" t="n">
        <v>-46.504377</v>
      </c>
      <c r="D9449" s="40" t="n">
        <v>171</v>
      </c>
      <c r="E9449" s="41" t="n">
        <v>9546.055700000001</v>
      </c>
    </row>
    <row r="9450">
      <c r="A9450" s="42">
        <f>_xlfn.XLOOKUP(60011,Trip[shape_id],Trip[shape_id],"Não encontrado")</f>
        <v/>
      </c>
      <c r="B9450" s="43" t="n">
        <v>-23.612341</v>
      </c>
      <c r="C9450" s="43" t="n">
        <v>-46.504333</v>
      </c>
      <c r="D9450" s="43" t="n">
        <v>172</v>
      </c>
      <c r="E9450" s="44" t="n">
        <v>9561.002</v>
      </c>
    </row>
    <row r="9451">
      <c r="A9451" s="39">
        <f>_xlfn.XLOOKUP(60011,Trip[shape_id],Trip[shape_id],"Não encontrado")</f>
        <v/>
      </c>
      <c r="B9451" s="40" t="n">
        <v>-23.61247</v>
      </c>
      <c r="C9451" s="40" t="n">
        <v>-46.50429</v>
      </c>
      <c r="D9451" s="40" t="n">
        <v>173</v>
      </c>
      <c r="E9451" s="41" t="n">
        <v>9577.098599999999</v>
      </c>
    </row>
    <row r="9452">
      <c r="A9452" s="42">
        <f>_xlfn.XLOOKUP(60011,Trip[shape_id],Trip[shape_id],"Não encontrado")</f>
        <v/>
      </c>
      <c r="B9452" s="43" t="n">
        <v>-23.612602</v>
      </c>
      <c r="C9452" s="43" t="n">
        <v>-46.504224</v>
      </c>
      <c r="D9452" s="43" t="n">
        <v>174</v>
      </c>
      <c r="E9452" s="44" t="n">
        <v>9656.776400000001</v>
      </c>
    </row>
    <row r="9453">
      <c r="A9453" s="39">
        <f>_xlfn.XLOOKUP(60011,Trip[shape_id],Trip[shape_id],"Não encontrado")</f>
        <v/>
      </c>
      <c r="B9453" s="40" t="n">
        <v>-23.613233</v>
      </c>
      <c r="C9453" s="40" t="n">
        <v>-46.503849</v>
      </c>
      <c r="D9453" s="40" t="n">
        <v>175</v>
      </c>
      <c r="E9453" s="41" t="n">
        <v>9704.2549</v>
      </c>
    </row>
    <row r="9454">
      <c r="A9454" s="42">
        <f>_xlfn.XLOOKUP(60011,Trip[shape_id],Trip[shape_id],"Não encontrado")</f>
        <v/>
      </c>
      <c r="B9454" s="43" t="n">
        <v>-23.613616</v>
      </c>
      <c r="C9454" s="43" t="n">
        <v>-46.50364</v>
      </c>
      <c r="D9454" s="43" t="n">
        <v>176</v>
      </c>
      <c r="E9454" s="44" t="n">
        <v>9743.8428</v>
      </c>
    </row>
    <row r="9455">
      <c r="A9455" s="39">
        <f>_xlfn.XLOOKUP(60011,Trip[shape_id],Trip[shape_id],"Não encontrado")</f>
        <v/>
      </c>
      <c r="B9455" s="40" t="n">
        <v>-23.613925</v>
      </c>
      <c r="C9455" s="40" t="n">
        <v>-46.503445</v>
      </c>
      <c r="D9455" s="40" t="n">
        <v>177</v>
      </c>
      <c r="E9455" s="41" t="n">
        <v>9787.0283</v>
      </c>
    </row>
    <row r="9456">
      <c r="A9456" s="42">
        <f>_xlfn.XLOOKUP(60011,Trip[shape_id],Trip[shape_id],"Não encontrado")</f>
        <v/>
      </c>
      <c r="B9456" s="43" t="n">
        <v>-23.614229</v>
      </c>
      <c r="C9456" s="43" t="n">
        <v>-46.50318</v>
      </c>
      <c r="D9456" s="43" t="n">
        <v>178</v>
      </c>
      <c r="E9456" s="44" t="n">
        <v>9825.3887</v>
      </c>
    </row>
    <row r="9457">
      <c r="A9457" s="39">
        <f>_xlfn.XLOOKUP(60011,Trip[shape_id],Trip[shape_id],"Não encontrado")</f>
        <v/>
      </c>
      <c r="B9457" s="40" t="n">
        <v>-23.614486</v>
      </c>
      <c r="C9457" s="40" t="n">
        <v>-46.502928</v>
      </c>
      <c r="D9457" s="40" t="n">
        <v>179</v>
      </c>
      <c r="E9457" s="41" t="n">
        <v>9862.9609</v>
      </c>
    </row>
    <row r="9458">
      <c r="A9458" s="42">
        <f>_xlfn.XLOOKUP(60011,Trip[shape_id],Trip[shape_id],"Não encontrado")</f>
        <v/>
      </c>
      <c r="B9458" s="43" t="n">
        <v>-23.614695</v>
      </c>
      <c r="C9458" s="43" t="n">
        <v>-46.502638</v>
      </c>
      <c r="D9458" s="43" t="n">
        <v>180</v>
      </c>
      <c r="E9458" s="44" t="n">
        <v>9898.963900000001</v>
      </c>
    </row>
    <row r="9459">
      <c r="A9459" s="39">
        <f>_xlfn.XLOOKUP(60011,Trip[shape_id],Trip[shape_id],"Não encontrado")</f>
        <v/>
      </c>
      <c r="B9459" s="40" t="n">
        <v>-23.614817</v>
      </c>
      <c r="C9459" s="40" t="n">
        <v>-46.502311</v>
      </c>
      <c r="D9459" s="40" t="n">
        <v>181</v>
      </c>
      <c r="E9459" s="41" t="n">
        <v>9927.3809</v>
      </c>
    </row>
    <row r="9460">
      <c r="A9460" s="42">
        <f>_xlfn.XLOOKUP(60011,Trip[shape_id],Trip[shape_id],"Não encontrado")</f>
        <v/>
      </c>
      <c r="B9460" s="43" t="n">
        <v>-23.614851</v>
      </c>
      <c r="C9460" s="43" t="n">
        <v>-46.502035</v>
      </c>
      <c r="D9460" s="43" t="n">
        <v>182</v>
      </c>
      <c r="E9460" s="44" t="n">
        <v>9987.5254</v>
      </c>
    </row>
    <row r="9461">
      <c r="A9461" s="39">
        <f>_xlfn.XLOOKUP(60011,Trip[shape_id],Trip[shape_id],"Não encontrado")</f>
        <v/>
      </c>
      <c r="B9461" s="40" t="n">
        <v>-23.614778</v>
      </c>
      <c r="C9461" s="40" t="n">
        <v>-46.501451</v>
      </c>
      <c r="D9461" s="40" t="n">
        <v>183</v>
      </c>
      <c r="E9461" s="41" t="n">
        <v>10070.586</v>
      </c>
    </row>
    <row r="9462">
      <c r="A9462" s="42">
        <f>_xlfn.XLOOKUP(60011,Trip[shape_id],Trip[shape_id],"Não encontrado")</f>
        <v/>
      </c>
      <c r="B9462" s="43" t="n">
        <v>-23.61464</v>
      </c>
      <c r="C9462" s="43" t="n">
        <v>-46.500651</v>
      </c>
      <c r="D9462" s="43" t="n">
        <v>184</v>
      </c>
      <c r="E9462" s="44" t="n">
        <v>10070.586</v>
      </c>
    </row>
    <row r="9463">
      <c r="A9463" s="39">
        <f>_xlfn.XLOOKUP(60011,Trip[shape_id],Trip[shape_id],"Não encontrado")</f>
        <v/>
      </c>
      <c r="B9463" s="40" t="n">
        <v>-23.614503</v>
      </c>
      <c r="C9463" s="40" t="n">
        <v>-46.499891</v>
      </c>
      <c r="D9463" s="40" t="n">
        <v>185</v>
      </c>
      <c r="E9463" s="41" t="n">
        <v>10200.649</v>
      </c>
    </row>
    <row r="9464">
      <c r="A9464" s="42">
        <f>_xlfn.XLOOKUP(60011,Trip[shape_id],Trip[shape_id],"Não encontrado")</f>
        <v/>
      </c>
      <c r="B9464" s="43" t="n">
        <v>-23.614411</v>
      </c>
      <c r="C9464" s="43" t="n">
        <v>-46.499401</v>
      </c>
      <c r="D9464" s="43" t="n">
        <v>186</v>
      </c>
      <c r="E9464" s="44" t="n">
        <v>10258.586</v>
      </c>
    </row>
    <row r="9465">
      <c r="A9465" s="39">
        <f>_xlfn.XLOOKUP(60011,Trip[shape_id],Trip[shape_id],"Não encontrado")</f>
        <v/>
      </c>
      <c r="B9465" s="40" t="n">
        <v>-23.614285</v>
      </c>
      <c r="C9465" s="40" t="n">
        <v>-46.49885</v>
      </c>
      <c r="D9465" s="40" t="n">
        <v>187</v>
      </c>
      <c r="E9465" s="41" t="n">
        <v>10304.331</v>
      </c>
    </row>
    <row r="9466">
      <c r="A9466" s="42">
        <f>_xlfn.XLOOKUP(60011,Trip[shape_id],Trip[shape_id],"Não encontrado")</f>
        <v/>
      </c>
      <c r="B9466" s="43" t="n">
        <v>-23.614211</v>
      </c>
      <c r="C9466" s="43" t="n">
        <v>-46.498409</v>
      </c>
      <c r="D9466" s="43" t="n">
        <v>188</v>
      </c>
      <c r="E9466" s="44" t="n">
        <v>10344.89</v>
      </c>
    </row>
    <row r="9467">
      <c r="A9467" s="39">
        <f>_xlfn.XLOOKUP(60011,Trip[shape_id],Trip[shape_id],"Não encontrado")</f>
        <v/>
      </c>
      <c r="B9467" s="40" t="n">
        <v>-23.614163</v>
      </c>
      <c r="C9467" s="40" t="n">
        <v>-46.498015</v>
      </c>
      <c r="D9467" s="40" t="n">
        <v>189</v>
      </c>
      <c r="E9467" s="41" t="n">
        <v>10376.142</v>
      </c>
    </row>
    <row r="9468">
      <c r="A9468" s="42">
        <f>_xlfn.XLOOKUP(60011,Trip[shape_id],Trip[shape_id],"Não encontrado")</f>
        <v/>
      </c>
      <c r="B9468" s="43" t="n">
        <v>-23.614152</v>
      </c>
      <c r="C9468" s="43" t="n">
        <v>-46.497709</v>
      </c>
      <c r="D9468" s="43" t="n">
        <v>190</v>
      </c>
      <c r="E9468" s="44" t="n">
        <v>10403.806</v>
      </c>
    </row>
    <row r="9469">
      <c r="A9469" s="39">
        <f>_xlfn.XLOOKUP(60011,Trip[shape_id],Trip[shape_id],"Não encontrado")</f>
        <v/>
      </c>
      <c r="B9469" s="40" t="n">
        <v>-23.614158</v>
      </c>
      <c r="C9469" s="40" t="n">
        <v>-46.497438</v>
      </c>
      <c r="D9469" s="40" t="n">
        <v>191</v>
      </c>
      <c r="E9469" s="41" t="n">
        <v>10455.717</v>
      </c>
    </row>
    <row r="9470">
      <c r="A9470" s="42">
        <f>_xlfn.XLOOKUP(60011,Trip[shape_id],Trip[shape_id],"Não encontrado")</f>
        <v/>
      </c>
      <c r="B9470" s="43" t="n">
        <v>-23.614182</v>
      </c>
      <c r="C9470" s="43" t="n">
        <v>-46.49693</v>
      </c>
      <c r="D9470" s="43" t="n">
        <v>192</v>
      </c>
      <c r="E9470" s="44" t="n">
        <v>10481.278</v>
      </c>
    </row>
    <row r="9471">
      <c r="A9471" s="39">
        <f>_xlfn.XLOOKUP(60011,Trip[shape_id],Trip[shape_id],"Não encontrado")</f>
        <v/>
      </c>
      <c r="B9471" s="40" t="n">
        <v>-23.614207</v>
      </c>
      <c r="C9471" s="40" t="n">
        <v>-46.496681</v>
      </c>
      <c r="D9471" s="40" t="n">
        <v>193</v>
      </c>
      <c r="E9471" s="41" t="n">
        <v>10503.016</v>
      </c>
    </row>
    <row r="9472">
      <c r="A9472" s="42">
        <f>_xlfn.XLOOKUP(60011,Trip[shape_id],Trip[shape_id],"Não encontrado")</f>
        <v/>
      </c>
      <c r="B9472" s="43" t="n">
        <v>-23.614207</v>
      </c>
      <c r="C9472" s="43" t="n">
        <v>-46.496468</v>
      </c>
      <c r="D9472" s="43" t="n">
        <v>194</v>
      </c>
      <c r="E9472" s="44" t="n">
        <v>10537.487</v>
      </c>
    </row>
    <row r="9473">
      <c r="A9473" s="39">
        <f>_xlfn.XLOOKUP(60011,Trip[shape_id],Trip[shape_id],"Não encontrado")</f>
        <v/>
      </c>
      <c r="B9473" s="40" t="n">
        <v>-23.614119</v>
      </c>
      <c r="C9473" s="40" t="n">
        <v>-46.496144</v>
      </c>
      <c r="D9473" s="40" t="n">
        <v>195</v>
      </c>
      <c r="E9473" s="41" t="n">
        <v>10567.384</v>
      </c>
    </row>
    <row r="9474">
      <c r="A9474" s="42">
        <f>_xlfn.XLOOKUP(60011,Trip[shape_id],Trip[shape_id],"Não encontrado")</f>
        <v/>
      </c>
      <c r="B9474" s="43" t="n">
        <v>-23.614002</v>
      </c>
      <c r="C9474" s="43" t="n">
        <v>-46.49588</v>
      </c>
      <c r="D9474" s="43" t="n">
        <v>196</v>
      </c>
      <c r="E9474" s="44" t="n">
        <v>10602.887</v>
      </c>
    </row>
    <row r="9475">
      <c r="A9475" s="39">
        <f>_xlfn.XLOOKUP(60011,Trip[shape_id],Trip[shape_id],"Não encontrado")</f>
        <v/>
      </c>
      <c r="B9475" s="40" t="n">
        <v>-23.613801</v>
      </c>
      <c r="C9475" s="40" t="n">
        <v>-46.495609</v>
      </c>
      <c r="D9475" s="40" t="n">
        <v>197</v>
      </c>
      <c r="E9475" s="41" t="n">
        <v>10638.929</v>
      </c>
    </row>
    <row r="9476">
      <c r="A9476" s="42">
        <f>_xlfn.XLOOKUP(60011,Trip[shape_id],Trip[shape_id],"Não encontrado")</f>
        <v/>
      </c>
      <c r="B9476" s="43" t="n">
        <v>-23.613538</v>
      </c>
      <c r="C9476" s="43" t="n">
        <v>-46.495401</v>
      </c>
      <c r="D9476" s="43" t="n">
        <v>198</v>
      </c>
      <c r="E9476" s="44" t="n">
        <v>10663.275</v>
      </c>
    </row>
    <row r="9477">
      <c r="A9477" s="39">
        <f>_xlfn.XLOOKUP(60011,Trip[shape_id],Trip[shape_id],"Não encontrado")</f>
        <v/>
      </c>
      <c r="B9477" s="40" t="n">
        <v>-23.613348</v>
      </c>
      <c r="C9477" s="40" t="n">
        <v>-46.495281</v>
      </c>
      <c r="D9477" s="40" t="n">
        <v>199</v>
      </c>
      <c r="E9477" s="41" t="n">
        <v>10681.768</v>
      </c>
    </row>
    <row r="9478">
      <c r="A9478" s="42">
        <f>_xlfn.XLOOKUP(60011,Trip[shape_id],Trip[shape_id],"Não encontrado")</f>
        <v/>
      </c>
      <c r="B9478" s="43" t="n">
        <v>-23.61321</v>
      </c>
      <c r="C9478" s="43" t="n">
        <v>-46.495179</v>
      </c>
      <c r="D9478" s="43" t="n">
        <v>200</v>
      </c>
      <c r="E9478" s="44" t="n">
        <v>10701.361</v>
      </c>
    </row>
    <row r="9479">
      <c r="A9479" s="39">
        <f>_xlfn.XLOOKUP(60011,Trip[shape_id],Trip[shape_id],"Não encontrado")</f>
        <v/>
      </c>
      <c r="B9479" s="40" t="n">
        <v>-23.613087</v>
      </c>
      <c r="C9479" s="40" t="n">
        <v>-46.495041</v>
      </c>
      <c r="D9479" s="40" t="n">
        <v>201</v>
      </c>
      <c r="E9479" s="41" t="n">
        <v>10723.352</v>
      </c>
    </row>
    <row r="9480">
      <c r="A9480" s="42">
        <f>_xlfn.XLOOKUP(60011,Trip[shape_id],Trip[shape_id],"Não encontrado")</f>
        <v/>
      </c>
      <c r="B9480" s="43" t="n">
        <v>-23.612965</v>
      </c>
      <c r="C9480" s="43" t="n">
        <v>-46.494871</v>
      </c>
      <c r="D9480" s="43" t="n">
        <v>202</v>
      </c>
      <c r="E9480" s="44" t="n">
        <v>10758.648</v>
      </c>
    </row>
    <row r="9481">
      <c r="A9481" s="39">
        <f>_xlfn.XLOOKUP(60011,Trip[shape_id],Trip[shape_id],"Não encontrado")</f>
        <v/>
      </c>
      <c r="B9481" s="40" t="n">
        <v>-23.61282</v>
      </c>
      <c r="C9481" s="40" t="n">
        <v>-46.494563</v>
      </c>
      <c r="D9481" s="40" t="n">
        <v>203</v>
      </c>
      <c r="E9481" s="41" t="n">
        <v>10778.391</v>
      </c>
    </row>
    <row r="9482">
      <c r="A9482" s="42">
        <f>_xlfn.XLOOKUP(60011,Trip[shape_id],Trip[shape_id],"Não encontrado")</f>
        <v/>
      </c>
      <c r="B9482" s="43" t="n">
        <v>-23.612771</v>
      </c>
      <c r="C9482" s="43" t="n">
        <v>-46.494377</v>
      </c>
      <c r="D9482" s="43" t="n">
        <v>204</v>
      </c>
      <c r="E9482" s="44" t="n">
        <v>10806.563</v>
      </c>
    </row>
    <row r="9483">
      <c r="A9483" s="39">
        <f>_xlfn.XLOOKUP(60011,Trip[shape_id],Trip[shape_id],"Não encontrado")</f>
        <v/>
      </c>
      <c r="B9483" s="40" t="n">
        <v>-23.61274</v>
      </c>
      <c r="C9483" s="40" t="n">
        <v>-46.494103</v>
      </c>
      <c r="D9483" s="40" t="n">
        <v>205</v>
      </c>
      <c r="E9483" s="41" t="n">
        <v>10822.938</v>
      </c>
    </row>
    <row r="9484">
      <c r="A9484" s="42">
        <f>_xlfn.XLOOKUP(60011,Trip[shape_id],Trip[shape_id],"Não encontrado")</f>
        <v/>
      </c>
      <c r="B9484" s="43" t="n">
        <v>-23.612751</v>
      </c>
      <c r="C9484" s="43" t="n">
        <v>-46.493943</v>
      </c>
      <c r="D9484" s="43" t="n">
        <v>206</v>
      </c>
      <c r="E9484" s="44" t="n">
        <v>10850.144</v>
      </c>
    </row>
    <row r="9485">
      <c r="A9485" s="39">
        <f>_xlfn.XLOOKUP(60011,Trip[shape_id],Trip[shape_id],"Não encontrado")</f>
        <v/>
      </c>
      <c r="B9485" s="40" t="n">
        <v>-23.612801</v>
      </c>
      <c r="C9485" s="40" t="n">
        <v>-46.493682</v>
      </c>
      <c r="D9485" s="40" t="n">
        <v>207</v>
      </c>
      <c r="E9485" s="41" t="n">
        <v>10895.768</v>
      </c>
    </row>
    <row r="9486">
      <c r="A9486" s="42">
        <f>_xlfn.XLOOKUP(60011,Trip[shape_id],Trip[shape_id],"Não encontrado")</f>
        <v/>
      </c>
      <c r="B9486" s="43" t="n">
        <v>-23.612923</v>
      </c>
      <c r="C9486" s="43" t="n">
        <v>-46.493255</v>
      </c>
      <c r="D9486" s="43" t="n">
        <v>208</v>
      </c>
      <c r="E9486" s="44" t="n">
        <v>10938.743</v>
      </c>
    </row>
    <row r="9487">
      <c r="A9487" s="39">
        <f>_xlfn.XLOOKUP(60011,Trip[shape_id],Trip[shape_id],"Não encontrado")</f>
        <v/>
      </c>
      <c r="B9487" s="40" t="n">
        <v>-23.613026</v>
      </c>
      <c r="C9487" s="40" t="n">
        <v>-46.492849</v>
      </c>
      <c r="D9487" s="40" t="n">
        <v>209</v>
      </c>
      <c r="E9487" s="41" t="n">
        <v>10965.622</v>
      </c>
    </row>
    <row r="9488">
      <c r="A9488" s="42">
        <f>_xlfn.XLOOKUP(60011,Trip[shape_id],Trip[shape_id],"Não encontrado")</f>
        <v/>
      </c>
      <c r="B9488" s="43" t="n">
        <v>-23.613039</v>
      </c>
      <c r="C9488" s="43" t="n">
        <v>-46.492586</v>
      </c>
      <c r="D9488" s="43" t="n">
        <v>210</v>
      </c>
      <c r="E9488" s="44" t="n">
        <v>10982.988</v>
      </c>
    </row>
    <row r="9489">
      <c r="A9489" s="39">
        <f>_xlfn.XLOOKUP(60011,Trip[shape_id],Trip[shape_id],"Não encontrado")</f>
        <v/>
      </c>
      <c r="B9489" s="40" t="n">
        <v>-23.613032</v>
      </c>
      <c r="C9489" s="40" t="n">
        <v>-46.492416</v>
      </c>
      <c r="D9489" s="40" t="n">
        <v>211</v>
      </c>
      <c r="E9489" s="41" t="n">
        <v>11000.667</v>
      </c>
    </row>
    <row r="9490">
      <c r="A9490" s="42">
        <f>_xlfn.XLOOKUP(60011,Trip[shape_id],Trip[shape_id],"Não encontrado")</f>
        <v/>
      </c>
      <c r="B9490" s="43" t="n">
        <v>-23.613013</v>
      </c>
      <c r="C9490" s="43" t="n">
        <v>-46.492244</v>
      </c>
      <c r="D9490" s="43" t="n">
        <v>212</v>
      </c>
      <c r="E9490" s="44" t="n">
        <v>11035.352</v>
      </c>
    </row>
    <row r="9491">
      <c r="A9491" s="39">
        <f>_xlfn.XLOOKUP(60011,Trip[shape_id],Trip[shape_id],"Não encontrado")</f>
        <v/>
      </c>
      <c r="B9491" s="40" t="n">
        <v>-23.612946</v>
      </c>
      <c r="C9491" s="40" t="n">
        <v>-46.491912</v>
      </c>
      <c r="D9491" s="40" t="n">
        <v>213</v>
      </c>
      <c r="E9491" s="41" t="n">
        <v>11070.72</v>
      </c>
    </row>
    <row r="9492">
      <c r="A9492" s="42">
        <f>_xlfn.XLOOKUP(60011,Trip[shape_id],Trip[shape_id],"Não encontrado")</f>
        <v/>
      </c>
      <c r="B9492" s="43" t="n">
        <v>-23.612889</v>
      </c>
      <c r="C9492" s="43" t="n">
        <v>-46.491571</v>
      </c>
      <c r="D9492" s="43" t="n">
        <v>214</v>
      </c>
      <c r="E9492" s="44" t="n">
        <v>11106.951</v>
      </c>
    </row>
    <row r="9493">
      <c r="A9493" s="39">
        <f>_xlfn.XLOOKUP(60011,Trip[shape_id],Trip[shape_id],"Não encontrado")</f>
        <v/>
      </c>
      <c r="B9493" s="40" t="n">
        <v>-23.612829</v>
      </c>
      <c r="C9493" s="40" t="n">
        <v>-46.491222</v>
      </c>
      <c r="D9493" s="40" t="n">
        <v>215</v>
      </c>
      <c r="E9493" s="41" t="n">
        <v>11147.139</v>
      </c>
    </row>
    <row r="9494">
      <c r="A9494" s="42">
        <f>_xlfn.XLOOKUP(60011,Trip[shape_id],Trip[shape_id],"Não encontrado")</f>
        <v/>
      </c>
      <c r="B9494" s="43" t="n">
        <v>-23.612806</v>
      </c>
      <c r="C9494" s="43" t="n">
        <v>-46.490829</v>
      </c>
      <c r="D9494" s="43" t="n">
        <v>216</v>
      </c>
      <c r="E9494" s="44" t="n">
        <v>11173.47</v>
      </c>
    </row>
    <row r="9495">
      <c r="A9495" s="39">
        <f>_xlfn.XLOOKUP(60011,Trip[shape_id],Trip[shape_id],"Não encontrado")</f>
        <v/>
      </c>
      <c r="B9495" s="40" t="n">
        <v>-23.612808</v>
      </c>
      <c r="C9495" s="40" t="n">
        <v>-46.490571</v>
      </c>
      <c r="D9495" s="40" t="n">
        <v>217</v>
      </c>
      <c r="E9495" s="41" t="n">
        <v>11196.121</v>
      </c>
    </row>
    <row r="9496">
      <c r="A9496" s="42">
        <f>_xlfn.XLOOKUP(60011,Trip[shape_id],Trip[shape_id],"Não encontrado")</f>
        <v/>
      </c>
      <c r="B9496" s="43" t="n">
        <v>-23.612827</v>
      </c>
      <c r="C9496" s="43" t="n">
        <v>-46.49035</v>
      </c>
      <c r="D9496" s="43" t="n">
        <v>218</v>
      </c>
      <c r="E9496" s="44" t="n">
        <v>11262.339</v>
      </c>
    </row>
    <row r="9497">
      <c r="A9497" s="39">
        <f>_xlfn.XLOOKUP(60011,Trip[shape_id],Trip[shape_id],"Não encontrado")</f>
        <v/>
      </c>
      <c r="B9497" s="40" t="n">
        <v>-23.6129</v>
      </c>
      <c r="C9497" s="40" t="n">
        <v>-46.489706</v>
      </c>
      <c r="D9497" s="40" t="n">
        <v>219</v>
      </c>
      <c r="E9497" s="41" t="n">
        <v>11293.795</v>
      </c>
    </row>
    <row r="9498">
      <c r="A9498" s="42">
        <f>_xlfn.XLOOKUP(60011,Trip[shape_id],Trip[shape_id],"Não encontrado")</f>
        <v/>
      </c>
      <c r="B9498" s="43" t="n">
        <v>-23.612941</v>
      </c>
      <c r="C9498" s="43" t="n">
        <v>-46.489401</v>
      </c>
      <c r="D9498" s="43" t="n">
        <v>220</v>
      </c>
      <c r="E9498" s="44" t="n">
        <v>11309.923</v>
      </c>
    </row>
    <row r="9499">
      <c r="A9499" s="39">
        <f>_xlfn.XLOOKUP(60011,Trip[shape_id],Trip[shape_id],"Não encontrado")</f>
        <v/>
      </c>
      <c r="B9499" s="40" t="n">
        <v>-23.612944</v>
      </c>
      <c r="C9499" s="40" t="n">
        <v>-46.489243</v>
      </c>
      <c r="D9499" s="40" t="n">
        <v>221</v>
      </c>
      <c r="E9499" s="41" t="n">
        <v>11327.413</v>
      </c>
    </row>
    <row r="9500">
      <c r="A9500" s="42">
        <f>_xlfn.XLOOKUP(60011,Trip[shape_id],Trip[shape_id],"Não encontrado")</f>
        <v/>
      </c>
      <c r="B9500" s="43" t="n">
        <v>-23.612924</v>
      </c>
      <c r="C9500" s="43" t="n">
        <v>-46.489073</v>
      </c>
      <c r="D9500" s="43" t="n">
        <v>222</v>
      </c>
      <c r="E9500" s="44" t="n">
        <v>11343.09</v>
      </c>
    </row>
    <row r="9501">
      <c r="A9501" s="39">
        <f>_xlfn.XLOOKUP(60011,Trip[shape_id],Trip[shape_id],"Não encontrado")</f>
        <v/>
      </c>
      <c r="B9501" s="40" t="n">
        <v>-23.61288</v>
      </c>
      <c r="C9501" s="40" t="n">
        <v>-46.488927</v>
      </c>
      <c r="D9501" s="40" t="n">
        <v>223</v>
      </c>
      <c r="E9501" s="41" t="n">
        <v>11380.087</v>
      </c>
    </row>
    <row r="9502">
      <c r="A9502" s="42">
        <f>_xlfn.XLOOKUP(60011,Trip[shape_id],Trip[shape_id],"Não encontrado")</f>
        <v/>
      </c>
      <c r="B9502" s="43" t="n">
        <v>-23.612732</v>
      </c>
      <c r="C9502" s="43" t="n">
        <v>-46.488602</v>
      </c>
      <c r="D9502" s="43" t="n">
        <v>224</v>
      </c>
      <c r="E9502" s="44" t="n">
        <v>11394.696</v>
      </c>
    </row>
    <row r="9503">
      <c r="A9503" s="39">
        <f>_xlfn.XLOOKUP(60011,Trip[shape_id],Trip[shape_id],"Não encontrado")</f>
        <v/>
      </c>
      <c r="B9503" s="40" t="n">
        <v>-23.612663</v>
      </c>
      <c r="C9503" s="40" t="n">
        <v>-46.48848</v>
      </c>
      <c r="D9503" s="40" t="n">
        <v>225</v>
      </c>
      <c r="E9503" s="41" t="n">
        <v>11402.802</v>
      </c>
    </row>
    <row r="9504">
      <c r="A9504" s="42">
        <f>_xlfn.XLOOKUP(60011,Trip[shape_id],Trip[shape_id],"Não encontrado")</f>
        <v/>
      </c>
      <c r="B9504" s="43" t="n">
        <v>-23.612614</v>
      </c>
      <c r="C9504" s="43" t="n">
        <v>-46.488421</v>
      </c>
      <c r="D9504" s="43" t="n">
        <v>226</v>
      </c>
      <c r="E9504" s="44" t="n">
        <v>11569.806</v>
      </c>
    </row>
    <row r="9505">
      <c r="A9505" s="39">
        <f>_xlfn.XLOOKUP(60011,Trip[shape_id],Trip[shape_id],"Não encontrado")</f>
        <v/>
      </c>
      <c r="B9505" s="40" t="n">
        <v>-23.611556</v>
      </c>
      <c r="C9505" s="40" t="n">
        <v>-46.487255</v>
      </c>
      <c r="D9505" s="40" t="n">
        <v>227</v>
      </c>
      <c r="E9505" s="41" t="n">
        <v>11569.806</v>
      </c>
    </row>
    <row r="9506">
      <c r="A9506" s="42">
        <f>_xlfn.XLOOKUP(60011,Trip[shape_id],Trip[shape_id],"Não encontrado")</f>
        <v/>
      </c>
      <c r="B9506" s="43" t="n">
        <v>-23.610931</v>
      </c>
      <c r="C9506" s="43" t="n">
        <v>-46.486575</v>
      </c>
      <c r="D9506" s="43" t="n">
        <v>228</v>
      </c>
      <c r="E9506" s="44" t="n">
        <v>11712.471</v>
      </c>
    </row>
    <row r="9507">
      <c r="A9507" s="39">
        <f>_xlfn.XLOOKUP(60011,Trip[shape_id],Trip[shape_id],"Não encontrado")</f>
        <v/>
      </c>
      <c r="B9507" s="40" t="n">
        <v>-23.610642</v>
      </c>
      <c r="C9507" s="40" t="n">
        <v>-46.48627</v>
      </c>
      <c r="D9507" s="40" t="n">
        <v>229</v>
      </c>
      <c r="E9507" s="41" t="n">
        <v>11735.851</v>
      </c>
    </row>
    <row r="9508">
      <c r="A9508" s="42">
        <f>_xlfn.XLOOKUP(60011,Trip[shape_id],Trip[shape_id],"Não encontrado")</f>
        <v/>
      </c>
      <c r="B9508" s="43" t="n">
        <v>-23.610515</v>
      </c>
      <c r="C9508" s="43" t="n">
        <v>-46.486087</v>
      </c>
      <c r="D9508" s="43" t="n">
        <v>230</v>
      </c>
      <c r="E9508" s="44" t="n">
        <v>11768.131</v>
      </c>
    </row>
    <row r="9509">
      <c r="A9509" s="39">
        <f>_xlfn.XLOOKUP(60011,Trip[shape_id],Trip[shape_id],"Não encontrado")</f>
        <v/>
      </c>
      <c r="B9509" s="40" t="n">
        <v>-23.610383</v>
      </c>
      <c r="C9509" s="40" t="n">
        <v>-46.485805</v>
      </c>
      <c r="D9509" s="40" t="n">
        <v>231</v>
      </c>
      <c r="E9509" s="41" t="n">
        <v>11795.143</v>
      </c>
    </row>
    <row r="9510">
      <c r="A9510" s="42">
        <f>_xlfn.XLOOKUP(60011,Trip[shape_id],Trip[shape_id],"Não encontrado")</f>
        <v/>
      </c>
      <c r="B9510" s="43" t="n">
        <v>-23.610293</v>
      </c>
      <c r="C9510" s="43" t="n">
        <v>-46.485559</v>
      </c>
      <c r="D9510" s="43" t="n">
        <v>232</v>
      </c>
      <c r="E9510" s="44" t="n">
        <v>11820.752</v>
      </c>
    </row>
    <row r="9511">
      <c r="A9511" s="39">
        <f>_xlfn.XLOOKUP(60011,Trip[shape_id],Trip[shape_id],"Não encontrado")</f>
        <v/>
      </c>
      <c r="B9511" s="40" t="n">
        <v>-23.610243</v>
      </c>
      <c r="C9511" s="40" t="n">
        <v>-46.485314</v>
      </c>
      <c r="D9511" s="40" t="n">
        <v>233</v>
      </c>
      <c r="E9511" s="41" t="n">
        <v>11847.286</v>
      </c>
    </row>
    <row r="9512">
      <c r="A9512" s="42">
        <f>_xlfn.XLOOKUP(60011,Trip[shape_id],Trip[shape_id],"Não encontrado")</f>
        <v/>
      </c>
      <c r="B9512" s="43" t="n">
        <v>-23.610243</v>
      </c>
      <c r="C9512" s="43" t="n">
        <v>-46.485054</v>
      </c>
      <c r="D9512" s="43" t="n">
        <v>234</v>
      </c>
      <c r="E9512" s="44" t="n">
        <v>11871.354</v>
      </c>
    </row>
    <row r="9513">
      <c r="A9513" s="39">
        <f>_xlfn.XLOOKUP(60011,Trip[shape_id],Trip[shape_id],"Não encontrado")</f>
        <v/>
      </c>
      <c r="B9513" s="40" t="n">
        <v>-23.61027</v>
      </c>
      <c r="C9513" s="40" t="n">
        <v>-46.48482</v>
      </c>
      <c r="D9513" s="40" t="n">
        <v>235</v>
      </c>
      <c r="E9513" s="41" t="n">
        <v>11891.766</v>
      </c>
    </row>
    <row r="9514">
      <c r="A9514" s="42">
        <f>_xlfn.XLOOKUP(60011,Trip[shape_id],Trip[shape_id],"Não encontrado")</f>
        <v/>
      </c>
      <c r="B9514" s="43" t="n">
        <v>-23.610311</v>
      </c>
      <c r="C9514" s="43" t="n">
        <v>-46.484625</v>
      </c>
      <c r="D9514" s="43" t="n">
        <v>236</v>
      </c>
      <c r="E9514" s="44" t="n">
        <v>11904.367</v>
      </c>
    </row>
    <row r="9515">
      <c r="A9515" s="39">
        <f>_xlfn.XLOOKUP(60011,Trip[shape_id],Trip[shape_id],"Não encontrado")</f>
        <v/>
      </c>
      <c r="B9515" s="40" t="n">
        <v>-23.61035</v>
      </c>
      <c r="C9515" s="40" t="n">
        <v>-46.484509</v>
      </c>
      <c r="D9515" s="40" t="n">
        <v>237</v>
      </c>
      <c r="E9515" s="41" t="n">
        <v>11942.751</v>
      </c>
    </row>
    <row r="9516">
      <c r="A9516" s="42">
        <f>_xlfn.XLOOKUP(60011,Trip[shape_id],Trip[shape_id],"Não encontrado")</f>
        <v/>
      </c>
      <c r="B9516" s="43" t="n">
        <v>-23.610526</v>
      </c>
      <c r="C9516" s="43" t="n">
        <v>-46.484185</v>
      </c>
      <c r="D9516" s="43" t="n">
        <v>238</v>
      </c>
      <c r="E9516" s="44" t="n">
        <v>11972.505</v>
      </c>
    </row>
    <row r="9517">
      <c r="A9517" s="39">
        <f>_xlfn.XLOOKUP(60011,Trip[shape_id],Trip[shape_id],"Não encontrado")</f>
        <v/>
      </c>
      <c r="B9517" s="40" t="n">
        <v>-23.610685</v>
      </c>
      <c r="C9517" s="40" t="n">
        <v>-46.48395</v>
      </c>
      <c r="D9517" s="40" t="n">
        <v>239</v>
      </c>
      <c r="E9517" s="41" t="n">
        <v>11991.299</v>
      </c>
    </row>
    <row r="9518">
      <c r="A9518" s="42">
        <f>_xlfn.XLOOKUP(60011,Trip[shape_id],Trip[shape_id],"Não encontrado")</f>
        <v/>
      </c>
      <c r="B9518" s="43" t="n">
        <v>-23.610807</v>
      </c>
      <c r="C9518" s="43" t="n">
        <v>-46.483822</v>
      </c>
      <c r="D9518" s="43" t="n">
        <v>240</v>
      </c>
      <c r="E9518" s="44" t="n">
        <v>12006.372</v>
      </c>
    </row>
    <row r="9519">
      <c r="A9519" s="39">
        <f>_xlfn.XLOOKUP(60011,Trip[shape_id],Trip[shape_id],"Não encontrado")</f>
        <v/>
      </c>
      <c r="B9519" s="40" t="n">
        <v>-23.610908</v>
      </c>
      <c r="C9519" s="40" t="n">
        <v>-46.483723</v>
      </c>
      <c r="D9519" s="40" t="n">
        <v>241</v>
      </c>
      <c r="E9519" s="41" t="n">
        <v>12024.434</v>
      </c>
    </row>
    <row r="9520">
      <c r="A9520" s="42">
        <f>_xlfn.XLOOKUP(60011,Trip[shape_id],Trip[shape_id],"Não encontrado")</f>
        <v/>
      </c>
      <c r="B9520" s="43" t="n">
        <v>-23.611045</v>
      </c>
      <c r="C9520" s="43" t="n">
        <v>-46.483627</v>
      </c>
      <c r="D9520" s="43" t="n">
        <v>242</v>
      </c>
      <c r="E9520" s="44" t="n">
        <v>12044.552</v>
      </c>
    </row>
    <row r="9521">
      <c r="A9521" s="39">
        <f>_xlfn.XLOOKUP(60011,Trip[shape_id],Trip[shape_id],"Não encontrado")</f>
        <v/>
      </c>
      <c r="B9521" s="40" t="n">
        <v>-23.611208</v>
      </c>
      <c r="C9521" s="40" t="n">
        <v>-46.48354</v>
      </c>
      <c r="D9521" s="40" t="n">
        <v>243</v>
      </c>
      <c r="E9521" s="41" t="n">
        <v>12069.617</v>
      </c>
    </row>
    <row r="9522">
      <c r="A9522" s="42">
        <f>_xlfn.XLOOKUP(60011,Trip[shape_id],Trip[shape_id],"Não encontrado")</f>
        <v/>
      </c>
      <c r="B9522" s="43" t="n">
        <v>-23.611421</v>
      </c>
      <c r="C9522" s="43" t="n">
        <v>-46.483457</v>
      </c>
      <c r="D9522" s="43" t="n">
        <v>244</v>
      </c>
      <c r="E9522" s="44" t="n">
        <v>12106.431</v>
      </c>
    </row>
    <row r="9523">
      <c r="A9523" s="39">
        <f>_xlfn.XLOOKUP(60011,Trip[shape_id],Trip[shape_id],"Não encontrado")</f>
        <v/>
      </c>
      <c r="B9523" s="40" t="n">
        <v>-23.611739</v>
      </c>
      <c r="C9523" s="40" t="n">
        <v>-46.483352</v>
      </c>
      <c r="D9523" s="40" t="n">
        <v>245</v>
      </c>
      <c r="E9523" s="41" t="n">
        <v>12113.374</v>
      </c>
    </row>
    <row r="9524">
      <c r="A9524" s="42">
        <f>_xlfn.XLOOKUP(60011,Trip[shape_id],Trip[shape_id],"Não encontrado")</f>
        <v/>
      </c>
      <c r="B9524" s="43" t="n">
        <v>-23.611798</v>
      </c>
      <c r="C9524" s="43" t="n">
        <v>-46.483329</v>
      </c>
      <c r="D9524" s="43" t="n">
        <v>246</v>
      </c>
      <c r="E9524" s="44" t="n">
        <v>12135.822</v>
      </c>
    </row>
    <row r="9525">
      <c r="A9525" s="39">
        <f>_xlfn.XLOOKUP(60011,Trip[shape_id],Trip[shape_id],"Não encontrado")</f>
        <v/>
      </c>
      <c r="B9525" s="40" t="n">
        <v>-23.611979</v>
      </c>
      <c r="C9525" s="40" t="n">
        <v>-46.48323</v>
      </c>
      <c r="D9525" s="40" t="n">
        <v>247</v>
      </c>
      <c r="E9525" s="41" t="n">
        <v>12156.148</v>
      </c>
    </row>
    <row r="9526">
      <c r="A9526" s="42">
        <f>_xlfn.XLOOKUP(60011,Trip[shape_id],Trip[shape_id],"Não encontrado")</f>
        <v/>
      </c>
      <c r="B9526" s="43" t="n">
        <v>-23.612132</v>
      </c>
      <c r="C9526" s="43" t="n">
        <v>-46.48312</v>
      </c>
      <c r="D9526" s="43" t="n">
        <v>248</v>
      </c>
      <c r="E9526" s="44" t="n">
        <v>12179.876</v>
      </c>
    </row>
    <row r="9527">
      <c r="A9527" s="39">
        <f>_xlfn.XLOOKUP(60011,Trip[shape_id],Trip[shape_id],"Não encontrado")</f>
        <v/>
      </c>
      <c r="B9527" s="40" t="n">
        <v>-23.612282</v>
      </c>
      <c r="C9527" s="40" t="n">
        <v>-46.482954</v>
      </c>
      <c r="D9527" s="40" t="n">
        <v>249</v>
      </c>
      <c r="E9527" s="41" t="n">
        <v>12210.345</v>
      </c>
    </row>
    <row r="9528">
      <c r="A9528" s="42">
        <f>_xlfn.XLOOKUP(60011,Trip[shape_id],Trip[shape_id],"Não encontrado")</f>
        <v/>
      </c>
      <c r="B9528" s="43" t="n">
        <v>-23.612422</v>
      </c>
      <c r="C9528" s="43" t="n">
        <v>-46.482697</v>
      </c>
      <c r="D9528" s="43" t="n">
        <v>250</v>
      </c>
      <c r="E9528" s="44" t="n">
        <v>12235.843</v>
      </c>
    </row>
    <row r="9529">
      <c r="A9529" s="39">
        <f>_xlfn.XLOOKUP(60011,Trip[shape_id],Trip[shape_id],"Não encontrado")</f>
        <v/>
      </c>
      <c r="B9529" s="40" t="n">
        <v>-23.612486</v>
      </c>
      <c r="C9529" s="40" t="n">
        <v>-46.482457</v>
      </c>
      <c r="D9529" s="40" t="n">
        <v>251</v>
      </c>
      <c r="E9529" s="41" t="n">
        <v>12281.062</v>
      </c>
    </row>
    <row r="9530">
      <c r="A9530" s="42">
        <f>_xlfn.XLOOKUP(60011,Trip[shape_id],Trip[shape_id],"Não encontrado")</f>
        <v/>
      </c>
      <c r="B9530" s="43" t="n">
        <v>-23.612494</v>
      </c>
      <c r="C9530" s="43" t="n">
        <v>-46.482014</v>
      </c>
      <c r="D9530" s="43" t="n">
        <v>252</v>
      </c>
      <c r="E9530" s="44" t="n">
        <v>12410.427</v>
      </c>
    </row>
    <row r="9531">
      <c r="A9531" s="39">
        <f>_xlfn.XLOOKUP(60011,Trip[shape_id],Trip[shape_id],"Não encontrado")</f>
        <v/>
      </c>
      <c r="B9531" s="40" t="n">
        <v>-23.612553</v>
      </c>
      <c r="C9531" s="40" t="n">
        <v>-46.480748</v>
      </c>
      <c r="D9531" s="40" t="n">
        <v>253</v>
      </c>
      <c r="E9531" s="41" t="n">
        <v>12447.324</v>
      </c>
    </row>
    <row r="9532">
      <c r="A9532" s="42">
        <f>_xlfn.XLOOKUP(60011,Trip[shape_id],Trip[shape_id],"Não encontrado")</f>
        <v/>
      </c>
      <c r="B9532" s="43" t="n">
        <v>-23.612625</v>
      </c>
      <c r="C9532" s="43" t="n">
        <v>-46.480395</v>
      </c>
      <c r="D9532" s="43" t="n">
        <v>254</v>
      </c>
      <c r="E9532" s="44" t="n">
        <v>12471.132</v>
      </c>
    </row>
    <row r="9533">
      <c r="A9533" s="39">
        <f>_xlfn.XLOOKUP(60011,Trip[shape_id],Trip[shape_id],"Não encontrado")</f>
        <v/>
      </c>
      <c r="B9533" s="40" t="n">
        <v>-23.612655</v>
      </c>
      <c r="C9533" s="40" t="n">
        <v>-46.480164</v>
      </c>
      <c r="D9533" s="40" t="n">
        <v>255</v>
      </c>
      <c r="E9533" s="41" t="n">
        <v>12505.534</v>
      </c>
    </row>
    <row r="9534">
      <c r="A9534" s="42">
        <f>_xlfn.XLOOKUP(60011,Trip[shape_id],Trip[shape_id],"Não encontrado")</f>
        <v/>
      </c>
      <c r="B9534" s="43" t="n">
        <v>-23.612697</v>
      </c>
      <c r="C9534" s="43" t="n">
        <v>-46.47983</v>
      </c>
      <c r="D9534" s="43" t="n">
        <v>256</v>
      </c>
      <c r="E9534" s="44" t="n">
        <v>12545.03</v>
      </c>
    </row>
    <row r="9535">
      <c r="A9535" s="39">
        <f>_xlfn.XLOOKUP(60011,Trip[shape_id],Trip[shape_id],"Não encontrado")</f>
        <v/>
      </c>
      <c r="B9535" s="40" t="n">
        <v>-23.6127</v>
      </c>
      <c r="C9535" s="40" t="n">
        <v>-46.479443</v>
      </c>
      <c r="D9535" s="40" t="n">
        <v>257</v>
      </c>
      <c r="E9535" s="41" t="n">
        <v>12593.511</v>
      </c>
    </row>
    <row r="9536">
      <c r="A9536" s="42">
        <f>_xlfn.XLOOKUP(60011,Trip[shape_id],Trip[shape_id],"Não encontrado")</f>
        <v/>
      </c>
      <c r="B9536" s="43" t="n">
        <v>-23.612643</v>
      </c>
      <c r="C9536" s="43" t="n">
        <v>-46.478972</v>
      </c>
      <c r="D9536" s="43" t="n">
        <v>258</v>
      </c>
      <c r="E9536" s="44" t="n">
        <v>12814.175</v>
      </c>
    </row>
    <row r="9537">
      <c r="A9537" s="39">
        <f>_xlfn.XLOOKUP(60011,Trip[shape_id],Trip[shape_id],"Não encontrado")</f>
        <v/>
      </c>
      <c r="B9537" s="40" t="n">
        <v>-23.612161</v>
      </c>
      <c r="C9537" s="40" t="n">
        <v>-46.476874</v>
      </c>
      <c r="D9537" s="40" t="n">
        <v>259</v>
      </c>
      <c r="E9537" s="41" t="n">
        <v>12814.175</v>
      </c>
    </row>
    <row r="9538">
      <c r="A9538" s="42">
        <f>_xlfn.XLOOKUP(60011,Trip[shape_id],Trip[shape_id],"Não encontrado")</f>
        <v/>
      </c>
      <c r="B9538" s="43" t="n">
        <v>-23.611963</v>
      </c>
      <c r="C9538" s="43" t="n">
        <v>-46.476174</v>
      </c>
      <c r="D9538" s="43" t="n">
        <v>260</v>
      </c>
      <c r="E9538" s="44" t="n">
        <v>12936.571</v>
      </c>
    </row>
    <row r="9539">
      <c r="A9539" s="39">
        <f>_xlfn.XLOOKUP(60011,Trip[shape_id],Trip[shape_id],"Não encontrado")</f>
        <v/>
      </c>
      <c r="B9539" s="40" t="n">
        <v>-23.611747</v>
      </c>
      <c r="C9539" s="40" t="n">
        <v>-46.47577</v>
      </c>
      <c r="D9539" s="40" t="n">
        <v>261</v>
      </c>
      <c r="E9539" s="41" t="n">
        <v>12971.597</v>
      </c>
    </row>
    <row r="9540">
      <c r="A9540" s="42">
        <f>_xlfn.XLOOKUP(60011,Trip[shape_id],Trip[shape_id],"Não encontrado")</f>
        <v/>
      </c>
      <c r="B9540" s="43" t="n">
        <v>-23.611509</v>
      </c>
      <c r="C9540" s="43" t="n">
        <v>-46.475544</v>
      </c>
      <c r="D9540" s="43" t="n">
        <v>262</v>
      </c>
      <c r="E9540" s="44" t="n">
        <v>13069.83</v>
      </c>
    </row>
    <row r="9541">
      <c r="A9541" s="39">
        <f>_xlfn.XLOOKUP(60011,Trip[shape_id],Trip[shape_id],"Não encontrado")</f>
        <v/>
      </c>
      <c r="B9541" s="40" t="n">
        <v>-23.610768</v>
      </c>
      <c r="C9541" s="40" t="n">
        <v>-46.475015</v>
      </c>
      <c r="D9541" s="40" t="n">
        <v>263</v>
      </c>
      <c r="E9541" s="41" t="n">
        <v>13110.119</v>
      </c>
    </row>
    <row r="9542">
      <c r="A9542" s="42">
        <f>_xlfn.XLOOKUP(60011,Trip[shape_id],Trip[shape_id],"Não encontrado")</f>
        <v/>
      </c>
      <c r="B9542" s="43" t="n">
        <v>-23.610473</v>
      </c>
      <c r="C9542" s="43" t="n">
        <v>-46.474784</v>
      </c>
      <c r="D9542" s="43" t="n">
        <v>264</v>
      </c>
      <c r="E9542" s="44" t="n">
        <v>13146.509</v>
      </c>
    </row>
    <row r="9543">
      <c r="A9543" s="39">
        <f>_xlfn.XLOOKUP(60011,Trip[shape_id],Trip[shape_id],"Não encontrado")</f>
        <v/>
      </c>
      <c r="B9543" s="40" t="n">
        <v>-23.61023</v>
      </c>
      <c r="C9543" s="40" t="n">
        <v>-46.474544</v>
      </c>
      <c r="D9543" s="40" t="n">
        <v>265</v>
      </c>
      <c r="E9543" s="41" t="n">
        <v>13169.432</v>
      </c>
    </row>
    <row r="9544">
      <c r="A9544" s="42">
        <f>_xlfn.XLOOKUP(60011,Trip[shape_id],Trip[shape_id],"Não encontrado")</f>
        <v/>
      </c>
      <c r="B9544" s="43" t="n">
        <v>-23.610098</v>
      </c>
      <c r="C9544" s="43" t="n">
        <v>-46.474371</v>
      </c>
      <c r="D9544" s="43" t="n">
        <v>266</v>
      </c>
      <c r="E9544" s="44" t="n">
        <v>13303.084</v>
      </c>
    </row>
    <row r="9545">
      <c r="A9545" s="39">
        <f>_xlfn.XLOOKUP(60011,Trip[shape_id],Trip[shape_id],"Não encontrado")</f>
        <v/>
      </c>
      <c r="B9545" s="40" t="n">
        <v>-23.609446</v>
      </c>
      <c r="C9545" s="40" t="n">
        <v>-46.473269</v>
      </c>
      <c r="D9545" s="40" t="n">
        <v>267</v>
      </c>
      <c r="E9545" s="41" t="n">
        <v>13333.314</v>
      </c>
    </row>
    <row r="9546">
      <c r="A9546" s="42">
        <f>_xlfn.XLOOKUP(60011,Trip[shape_id],Trip[shape_id],"Não encontrado")</f>
        <v/>
      </c>
      <c r="B9546" s="43" t="n">
        <v>-23.609274</v>
      </c>
      <c r="C9546" s="43" t="n">
        <v>-46.473039</v>
      </c>
      <c r="D9546" s="43" t="n">
        <v>268</v>
      </c>
      <c r="E9546" s="44" t="n">
        <v>13359.771</v>
      </c>
    </row>
    <row r="9547">
      <c r="A9547" s="39">
        <f>_xlfn.XLOOKUP(60011,Trip[shape_id],Trip[shape_id],"Não encontrado")</f>
        <v/>
      </c>
      <c r="B9547" s="40" t="n">
        <v>-23.609089</v>
      </c>
      <c r="C9547" s="40" t="n">
        <v>-46.472875</v>
      </c>
      <c r="D9547" s="40" t="n">
        <v>269</v>
      </c>
      <c r="E9547" s="41" t="n">
        <v>13389.316</v>
      </c>
    </row>
    <row r="9548">
      <c r="A9548" s="42">
        <f>_xlfn.XLOOKUP(60011,Trip[shape_id],Trip[shape_id],"Não encontrado")</f>
        <v/>
      </c>
      <c r="B9548" s="43" t="n">
        <v>-23.608855</v>
      </c>
      <c r="C9548" s="43" t="n">
        <v>-46.472736</v>
      </c>
      <c r="D9548" s="43" t="n">
        <v>270</v>
      </c>
      <c r="E9548" s="44" t="n">
        <v>13434.338</v>
      </c>
    </row>
    <row r="9549">
      <c r="A9549" s="39">
        <f>_xlfn.XLOOKUP(60011,Trip[shape_id],Trip[shape_id],"Não encontrado")</f>
        <v/>
      </c>
      <c r="B9549" s="40" t="n">
        <v>-23.608468</v>
      </c>
      <c r="C9549" s="40" t="n">
        <v>-46.472601</v>
      </c>
      <c r="D9549" s="40" t="n">
        <v>271</v>
      </c>
      <c r="E9549" s="41" t="n">
        <v>13459.223</v>
      </c>
    </row>
    <row r="9550">
      <c r="A9550" s="42">
        <f>_xlfn.XLOOKUP(60011,Trip[shape_id],Trip[shape_id],"Não encontrado")</f>
        <v/>
      </c>
      <c r="B9550" s="43" t="n">
        <v>-23.608247</v>
      </c>
      <c r="C9550" s="43" t="n">
        <v>-46.472557</v>
      </c>
      <c r="D9550" s="43" t="n">
        <v>272</v>
      </c>
      <c r="E9550" s="44" t="n">
        <v>13560.572</v>
      </c>
    </row>
    <row r="9551">
      <c r="A9551" s="39">
        <f>_xlfn.XLOOKUP(60011,Trip[shape_id],Trip[shape_id],"Não encontrado")</f>
        <v/>
      </c>
      <c r="B9551" s="40" t="n">
        <v>-23.607357</v>
      </c>
      <c r="C9551" s="40" t="n">
        <v>-46.472326</v>
      </c>
      <c r="D9551" s="40" t="n">
        <v>273</v>
      </c>
      <c r="E9551" s="41" t="n">
        <v>13598.127</v>
      </c>
    </row>
    <row r="9552">
      <c r="A9552" s="42">
        <f>_xlfn.XLOOKUP(60011,Trip[shape_id],Trip[shape_id],"Não encontrado")</f>
        <v/>
      </c>
      <c r="B9552" s="43" t="n">
        <v>-23.607053</v>
      </c>
      <c r="C9552" s="43" t="n">
        <v>-46.472163</v>
      </c>
      <c r="D9552" s="43" t="n">
        <v>274</v>
      </c>
      <c r="E9552" s="44" t="n">
        <v>13628.741</v>
      </c>
    </row>
    <row r="9553">
      <c r="A9553" s="39">
        <f>_xlfn.XLOOKUP(60011,Trip[shape_id],Trip[shape_id],"Não encontrado")</f>
        <v/>
      </c>
      <c r="B9553" s="40" t="n">
        <v>-23.606824</v>
      </c>
      <c r="C9553" s="40" t="n">
        <v>-46.471995</v>
      </c>
      <c r="D9553" s="40" t="n">
        <v>275</v>
      </c>
      <c r="E9553" s="41" t="n">
        <v>13656.416</v>
      </c>
    </row>
    <row r="9554">
      <c r="A9554" s="42">
        <f>_xlfn.XLOOKUP(60011,Trip[shape_id],Trip[shape_id],"Não encontrado")</f>
        <v/>
      </c>
      <c r="B9554" s="43" t="n">
        <v>-23.606625</v>
      </c>
      <c r="C9554" s="43" t="n">
        <v>-46.471831</v>
      </c>
      <c r="D9554" s="43" t="n">
        <v>276</v>
      </c>
      <c r="E9554" s="44" t="n">
        <v>13700.118</v>
      </c>
    </row>
    <row r="9555">
      <c r="A9555" s="39">
        <f>_xlfn.XLOOKUP(60011,Trip[shape_id],Trip[shape_id],"Não encontrado")</f>
        <v/>
      </c>
      <c r="B9555" s="40" t="n">
        <v>-23.606308</v>
      </c>
      <c r="C9555" s="40" t="n">
        <v>-46.471576</v>
      </c>
      <c r="D9555" s="40" t="n">
        <v>277</v>
      </c>
      <c r="E9555" s="41" t="n">
        <v>13727.039</v>
      </c>
    </row>
    <row r="9556">
      <c r="A9556" s="42">
        <f>_xlfn.XLOOKUP(60011,Trip[shape_id],Trip[shape_id],"Não encontrado")</f>
        <v/>
      </c>
      <c r="B9556" s="43" t="n">
        <v>-23.60611</v>
      </c>
      <c r="C9556" s="43" t="n">
        <v>-46.471423</v>
      </c>
      <c r="D9556" s="43" t="n">
        <v>278</v>
      </c>
      <c r="E9556" s="44" t="n">
        <v>13742.203</v>
      </c>
    </row>
    <row r="9557">
      <c r="A9557" s="39">
        <f>_xlfn.XLOOKUP(60011,Trip[shape_id],Trip[shape_id],"Não encontrado")</f>
        <v/>
      </c>
      <c r="B9557" s="40" t="n">
        <v>-23.605986</v>
      </c>
      <c r="C9557" s="40" t="n">
        <v>-46.47136</v>
      </c>
      <c r="D9557" s="40" t="n">
        <v>279</v>
      </c>
      <c r="E9557" s="41" t="n">
        <v>13790.924</v>
      </c>
    </row>
    <row r="9558">
      <c r="A9558" s="42">
        <f>_xlfn.XLOOKUP(60011,Trip[shape_id],Trip[shape_id],"Não encontrado")</f>
        <v/>
      </c>
      <c r="B9558" s="43" t="n">
        <v>-23.605576</v>
      </c>
      <c r="C9558" s="43" t="n">
        <v>-46.471187</v>
      </c>
      <c r="D9558" s="43" t="n">
        <v>280</v>
      </c>
      <c r="E9558" s="44" t="n">
        <v>13839.22</v>
      </c>
    </row>
    <row r="9559">
      <c r="A9559" s="39">
        <f>_xlfn.XLOOKUP(60011,Trip[shape_id],Trip[shape_id],"Não encontrado")</f>
        <v/>
      </c>
      <c r="B9559" s="40" t="n">
        <v>-23.605149</v>
      </c>
      <c r="C9559" s="40" t="n">
        <v>-46.471091</v>
      </c>
      <c r="D9559" s="40" t="n">
        <v>281</v>
      </c>
      <c r="E9559" s="41" t="n">
        <v>13898.556</v>
      </c>
    </row>
    <row r="9560">
      <c r="A9560" s="42">
        <f>_xlfn.XLOOKUP(60011,Trip[shape_id],Trip[shape_id],"Não encontrado")</f>
        <v/>
      </c>
      <c r="B9560" s="43" t="n">
        <v>-23.60462</v>
      </c>
      <c r="C9560" s="43" t="n">
        <v>-46.470999</v>
      </c>
      <c r="D9560" s="43" t="n">
        <v>282</v>
      </c>
      <c r="E9560" s="44" t="n">
        <v>14176.491</v>
      </c>
    </row>
    <row r="9561">
      <c r="A9561" s="39">
        <f>_xlfn.XLOOKUP(60011,Trip[shape_id],Trip[shape_id],"Não encontrado")</f>
        <v/>
      </c>
      <c r="B9561" s="40" t="n">
        <v>-23.602143</v>
      </c>
      <c r="C9561" s="40" t="n">
        <v>-46.470562</v>
      </c>
      <c r="D9561" s="40" t="n">
        <v>283</v>
      </c>
      <c r="E9561" s="41" t="n">
        <v>14326.531</v>
      </c>
    </row>
    <row r="9562">
      <c r="A9562" s="42">
        <f>_xlfn.XLOOKUP(60011,Trip[shape_id],Trip[shape_id],"Não encontrado")</f>
        <v/>
      </c>
      <c r="B9562" s="43" t="n">
        <v>-23.600808</v>
      </c>
      <c r="C9562" s="43" t="n">
        <v>-46.470312</v>
      </c>
      <c r="D9562" s="43" t="n">
        <v>284</v>
      </c>
      <c r="E9562" s="44" t="n">
        <v>14350.65</v>
      </c>
    </row>
    <row r="9563">
      <c r="A9563" s="39">
        <f>_xlfn.XLOOKUP(60011,Trip[shape_id],Trip[shape_id],"Não encontrado")</f>
        <v/>
      </c>
      <c r="B9563" s="40" t="n">
        <v>-23.600609</v>
      </c>
      <c r="C9563" s="40" t="n">
        <v>-46.470216</v>
      </c>
      <c r="D9563" s="40" t="n">
        <v>285</v>
      </c>
      <c r="E9563" s="41" t="n">
        <v>14389.73</v>
      </c>
    </row>
    <row r="9564">
      <c r="A9564" s="42">
        <f>_xlfn.XLOOKUP(60011,Trip[shape_id],Trip[shape_id],"Não encontrado")</f>
        <v/>
      </c>
      <c r="B9564" s="43" t="n">
        <v>-23.600288</v>
      </c>
      <c r="C9564" s="43" t="n">
        <v>-46.470057</v>
      </c>
      <c r="D9564" s="43" t="n">
        <v>286</v>
      </c>
      <c r="E9564" s="44" t="n">
        <v>14415.533</v>
      </c>
    </row>
    <row r="9565">
      <c r="A9565" s="39">
        <f>_xlfn.XLOOKUP(60011,Trip[shape_id],Trip[shape_id],"Não encontrado")</f>
        <v/>
      </c>
      <c r="B9565" s="40" t="n">
        <v>-23.600081</v>
      </c>
      <c r="C9565" s="40" t="n">
        <v>-46.469941</v>
      </c>
      <c r="D9565" s="40" t="n">
        <v>287</v>
      </c>
      <c r="E9565" s="41" t="n">
        <v>14453.106</v>
      </c>
    </row>
    <row r="9566">
      <c r="A9566" s="42">
        <f>_xlfn.XLOOKUP(60011,Trip[shape_id],Trip[shape_id],"Não encontrado")</f>
        <v/>
      </c>
      <c r="B9566" s="43" t="n">
        <v>-23.599803</v>
      </c>
      <c r="C9566" s="43" t="n">
        <v>-46.46973</v>
      </c>
      <c r="D9566" s="43" t="n">
        <v>288</v>
      </c>
      <c r="E9566" s="44" t="n">
        <v>14485.883</v>
      </c>
    </row>
    <row r="9567">
      <c r="A9567" s="39">
        <f>_xlfn.XLOOKUP(60011,Trip[shape_id],Trip[shape_id],"Não encontrado")</f>
        <v/>
      </c>
      <c r="B9567" s="40" t="n">
        <v>-23.59957</v>
      </c>
      <c r="C9567" s="40" t="n">
        <v>-46.469532</v>
      </c>
      <c r="D9567" s="40" t="n">
        <v>289</v>
      </c>
      <c r="E9567" s="41" t="n">
        <v>14570.127</v>
      </c>
    </row>
    <row r="9568">
      <c r="A9568" s="42">
        <f>_xlfn.XLOOKUP(60011,Trip[shape_id],Trip[shape_id],"Não encontrado")</f>
        <v/>
      </c>
      <c r="B9568" s="43" t="n">
        <v>-23.599039</v>
      </c>
      <c r="C9568" s="43" t="n">
        <v>-46.468941</v>
      </c>
      <c r="D9568" s="43" t="n">
        <v>290</v>
      </c>
      <c r="E9568" s="44" t="n">
        <v>14570.127</v>
      </c>
    </row>
    <row r="9569">
      <c r="A9569" s="39">
        <f>_xlfn.XLOOKUP(60012,Trip[shape_id],Trip[shape_id],"Não encontrado")</f>
        <v/>
      </c>
      <c r="B9569" s="40" t="n">
        <v>-23.599039</v>
      </c>
      <c r="C9569" s="40" t="n">
        <v>-46.468941</v>
      </c>
      <c r="D9569" s="40" t="n">
        <v>1</v>
      </c>
      <c r="E9569" s="41" t="n">
        <v>0</v>
      </c>
    </row>
    <row r="9570">
      <c r="A9570" s="42">
        <f>_xlfn.XLOOKUP(60012,Trip[shape_id],Trip[shape_id],"Não encontrado")</f>
        <v/>
      </c>
      <c r="B9570" s="43" t="n">
        <v>-23.59957</v>
      </c>
      <c r="C9570" s="43" t="n">
        <v>-46.469532</v>
      </c>
      <c r="D9570" s="43" t="n">
        <v>2</v>
      </c>
      <c r="E9570" s="44" t="n">
        <v>84.24406399999999</v>
      </c>
    </row>
    <row r="9571">
      <c r="A9571" s="39">
        <f>_xlfn.XLOOKUP(60012,Trip[shape_id],Trip[shape_id],"Não encontrado")</f>
        <v/>
      </c>
      <c r="B9571" s="40" t="n">
        <v>-23.599803</v>
      </c>
      <c r="C9571" s="40" t="n">
        <v>-46.46973</v>
      </c>
      <c r="D9571" s="40" t="n">
        <v>3</v>
      </c>
      <c r="E9571" s="41" t="n">
        <v>117.02073</v>
      </c>
    </row>
    <row r="9572">
      <c r="A9572" s="42">
        <f>_xlfn.XLOOKUP(60012,Trip[shape_id],Trip[shape_id],"Não encontrado")</f>
        <v/>
      </c>
      <c r="B9572" s="43" t="n">
        <v>-23.600081</v>
      </c>
      <c r="C9572" s="43" t="n">
        <v>-46.469941</v>
      </c>
      <c r="D9572" s="43" t="n">
        <v>4</v>
      </c>
      <c r="E9572" s="44" t="n">
        <v>154.59406</v>
      </c>
    </row>
    <row r="9573">
      <c r="A9573" s="39">
        <f>_xlfn.XLOOKUP(60012,Trip[shape_id],Trip[shape_id],"Não encontrado")</f>
        <v/>
      </c>
      <c r="B9573" s="40" t="n">
        <v>-23.600288</v>
      </c>
      <c r="C9573" s="40" t="n">
        <v>-46.470057</v>
      </c>
      <c r="D9573" s="40" t="n">
        <v>5</v>
      </c>
      <c r="E9573" s="41" t="n">
        <v>180.39655</v>
      </c>
    </row>
    <row r="9574">
      <c r="A9574" s="42">
        <f>_xlfn.XLOOKUP(60012,Trip[shape_id],Trip[shape_id],"Não encontrado")</f>
        <v/>
      </c>
      <c r="B9574" s="43" t="n">
        <v>-23.600609</v>
      </c>
      <c r="C9574" s="43" t="n">
        <v>-46.470216</v>
      </c>
      <c r="D9574" s="43" t="n">
        <v>6</v>
      </c>
      <c r="E9574" s="44" t="n">
        <v>219.47682</v>
      </c>
    </row>
    <row r="9575">
      <c r="A9575" s="39">
        <f>_xlfn.XLOOKUP(60012,Trip[shape_id],Trip[shape_id],"Não encontrado")</f>
        <v/>
      </c>
      <c r="B9575" s="40" t="n">
        <v>-23.600808</v>
      </c>
      <c r="C9575" s="40" t="n">
        <v>-46.470312</v>
      </c>
      <c r="D9575" s="40" t="n">
        <v>7</v>
      </c>
      <c r="E9575" s="41" t="n">
        <v>243.59637</v>
      </c>
    </row>
    <row r="9576">
      <c r="A9576" s="42">
        <f>_xlfn.XLOOKUP(60012,Trip[shape_id],Trip[shape_id],"Não encontrado")</f>
        <v/>
      </c>
      <c r="B9576" s="43" t="n">
        <v>-23.602143</v>
      </c>
      <c r="C9576" s="43" t="n">
        <v>-46.470562</v>
      </c>
      <c r="D9576" s="43" t="n">
        <v>8</v>
      </c>
      <c r="E9576" s="44" t="n">
        <v>393.63647</v>
      </c>
    </row>
    <row r="9577">
      <c r="A9577" s="39">
        <f>_xlfn.XLOOKUP(60012,Trip[shape_id],Trip[shape_id],"Não encontrado")</f>
        <v/>
      </c>
      <c r="B9577" s="40" t="n">
        <v>-23.60462</v>
      </c>
      <c r="C9577" s="40" t="n">
        <v>-46.470999</v>
      </c>
      <c r="D9577" s="40" t="n">
        <v>9</v>
      </c>
      <c r="E9577" s="41" t="n">
        <v>671.57239</v>
      </c>
    </row>
    <row r="9578">
      <c r="A9578" s="42">
        <f>_xlfn.XLOOKUP(60012,Trip[shape_id],Trip[shape_id],"Não encontrado")</f>
        <v/>
      </c>
      <c r="B9578" s="43" t="n">
        <v>-23.605149</v>
      </c>
      <c r="C9578" s="43" t="n">
        <v>-46.471091</v>
      </c>
      <c r="D9578" s="43" t="n">
        <v>10</v>
      </c>
      <c r="E9578" s="44" t="n">
        <v>730.90802</v>
      </c>
    </row>
    <row r="9579">
      <c r="A9579" s="39">
        <f>_xlfn.XLOOKUP(60012,Trip[shape_id],Trip[shape_id],"Não encontrado")</f>
        <v/>
      </c>
      <c r="B9579" s="40" t="n">
        <v>-23.605576</v>
      </c>
      <c r="C9579" s="40" t="n">
        <v>-46.471187</v>
      </c>
      <c r="D9579" s="40" t="n">
        <v>11</v>
      </c>
      <c r="E9579" s="41" t="n">
        <v>779.20367</v>
      </c>
    </row>
    <row r="9580">
      <c r="A9580" s="42">
        <f>_xlfn.XLOOKUP(60012,Trip[shape_id],Trip[shape_id],"Não encontrado")</f>
        <v/>
      </c>
      <c r="B9580" s="43" t="n">
        <v>-23.605986</v>
      </c>
      <c r="C9580" s="43" t="n">
        <v>-46.47136</v>
      </c>
      <c r="D9580" s="43" t="n">
        <v>12</v>
      </c>
      <c r="E9580" s="44" t="n">
        <v>827.92401</v>
      </c>
    </row>
    <row r="9581">
      <c r="A9581" s="39">
        <f>_xlfn.XLOOKUP(60012,Trip[shape_id],Trip[shape_id],"Não encontrado")</f>
        <v/>
      </c>
      <c r="B9581" s="40" t="n">
        <v>-23.60611</v>
      </c>
      <c r="C9581" s="40" t="n">
        <v>-46.471423</v>
      </c>
      <c r="D9581" s="40" t="n">
        <v>13</v>
      </c>
      <c r="E9581" s="41" t="n">
        <v>843.0878300000001</v>
      </c>
    </row>
    <row r="9582">
      <c r="A9582" s="42">
        <f>_xlfn.XLOOKUP(60012,Trip[shape_id],Trip[shape_id],"Não encontrado")</f>
        <v/>
      </c>
      <c r="B9582" s="43" t="n">
        <v>-23.606308</v>
      </c>
      <c r="C9582" s="43" t="n">
        <v>-46.471576</v>
      </c>
      <c r="D9582" s="43" t="n">
        <v>14</v>
      </c>
      <c r="E9582" s="44" t="n">
        <v>870.00842</v>
      </c>
    </row>
    <row r="9583">
      <c r="A9583" s="39">
        <f>_xlfn.XLOOKUP(60012,Trip[shape_id],Trip[shape_id],"Não encontrado")</f>
        <v/>
      </c>
      <c r="B9583" s="40" t="n">
        <v>-23.606625</v>
      </c>
      <c r="C9583" s="40" t="n">
        <v>-46.471831</v>
      </c>
      <c r="D9583" s="40" t="n">
        <v>15</v>
      </c>
      <c r="E9583" s="41" t="n">
        <v>913.71106</v>
      </c>
    </row>
    <row r="9584">
      <c r="A9584" s="42">
        <f>_xlfn.XLOOKUP(60012,Trip[shape_id],Trip[shape_id],"Não encontrado")</f>
        <v/>
      </c>
      <c r="B9584" s="43" t="n">
        <v>-23.606824</v>
      </c>
      <c r="C9584" s="43" t="n">
        <v>-46.471995</v>
      </c>
      <c r="D9584" s="43" t="n">
        <v>16</v>
      </c>
      <c r="E9584" s="44" t="n">
        <v>941.38593</v>
      </c>
    </row>
    <row r="9585">
      <c r="A9585" s="39">
        <f>_xlfn.XLOOKUP(60012,Trip[shape_id],Trip[shape_id],"Não encontrado")</f>
        <v/>
      </c>
      <c r="B9585" s="40" t="n">
        <v>-23.607053</v>
      </c>
      <c r="C9585" s="40" t="n">
        <v>-46.472163</v>
      </c>
      <c r="D9585" s="40" t="n">
        <v>17</v>
      </c>
      <c r="E9585" s="41" t="n">
        <v>972.00012</v>
      </c>
    </row>
    <row r="9586">
      <c r="A9586" s="42">
        <f>_xlfn.XLOOKUP(60012,Trip[shape_id],Trip[shape_id],"Não encontrado")</f>
        <v/>
      </c>
      <c r="B9586" s="43" t="n">
        <v>-23.607357</v>
      </c>
      <c r="C9586" s="43" t="n">
        <v>-46.472326</v>
      </c>
      <c r="D9586" s="43" t="n">
        <v>18</v>
      </c>
      <c r="E9586" s="44" t="n">
        <v>1009.5544</v>
      </c>
    </row>
    <row r="9587">
      <c r="A9587" s="39">
        <f>_xlfn.XLOOKUP(60012,Trip[shape_id],Trip[shape_id],"Não encontrado")</f>
        <v/>
      </c>
      <c r="B9587" s="40" t="n">
        <v>-23.608247</v>
      </c>
      <c r="C9587" s="40" t="n">
        <v>-46.472557</v>
      </c>
      <c r="D9587" s="40" t="n">
        <v>19</v>
      </c>
      <c r="E9587" s="41" t="n">
        <v>1110.9044</v>
      </c>
    </row>
    <row r="9588">
      <c r="A9588" s="42">
        <f>_xlfn.XLOOKUP(60012,Trip[shape_id],Trip[shape_id],"Não encontrado")</f>
        <v/>
      </c>
      <c r="B9588" s="43" t="n">
        <v>-23.608468</v>
      </c>
      <c r="C9588" s="43" t="n">
        <v>-46.472601</v>
      </c>
      <c r="D9588" s="43" t="n">
        <v>20</v>
      </c>
      <c r="E9588" s="44" t="n">
        <v>1135.7892</v>
      </c>
    </row>
    <row r="9589">
      <c r="A9589" s="39">
        <f>_xlfn.XLOOKUP(60012,Trip[shape_id],Trip[shape_id],"Não encontrado")</f>
        <v/>
      </c>
      <c r="B9589" s="40" t="n">
        <v>-23.608855</v>
      </c>
      <c r="C9589" s="40" t="n">
        <v>-46.472736</v>
      </c>
      <c r="D9589" s="40" t="n">
        <v>21</v>
      </c>
      <c r="E9589" s="41" t="n">
        <v>1180.8103</v>
      </c>
    </row>
    <row r="9590">
      <c r="A9590" s="42">
        <f>_xlfn.XLOOKUP(60012,Trip[shape_id],Trip[shape_id],"Não encontrado")</f>
        <v/>
      </c>
      <c r="B9590" s="43" t="n">
        <v>-23.609089</v>
      </c>
      <c r="C9590" s="43" t="n">
        <v>-46.472875</v>
      </c>
      <c r="D9590" s="43" t="n">
        <v>22</v>
      </c>
      <c r="E9590" s="44" t="n">
        <v>1210.3549</v>
      </c>
    </row>
    <row r="9591">
      <c r="A9591" s="39">
        <f>_xlfn.XLOOKUP(60012,Trip[shape_id],Trip[shape_id],"Não encontrado")</f>
        <v/>
      </c>
      <c r="B9591" s="40" t="n">
        <v>-23.609274</v>
      </c>
      <c r="C9591" s="40" t="n">
        <v>-46.473039</v>
      </c>
      <c r="D9591" s="40" t="n">
        <v>23</v>
      </c>
      <c r="E9591" s="41" t="n">
        <v>1236.8114</v>
      </c>
    </row>
    <row r="9592">
      <c r="A9592" s="42">
        <f>_xlfn.XLOOKUP(60012,Trip[shape_id],Trip[shape_id],"Não encontrado")</f>
        <v/>
      </c>
      <c r="B9592" s="43" t="n">
        <v>-23.609446</v>
      </c>
      <c r="C9592" s="43" t="n">
        <v>-46.473269</v>
      </c>
      <c r="D9592" s="43" t="n">
        <v>24</v>
      </c>
      <c r="E9592" s="44" t="n">
        <v>1267.0416</v>
      </c>
    </row>
    <row r="9593">
      <c r="A9593" s="39">
        <f>_xlfn.XLOOKUP(60012,Trip[shape_id],Trip[shape_id],"Não encontrado")</f>
        <v/>
      </c>
      <c r="B9593" s="40" t="n">
        <v>-23.610098</v>
      </c>
      <c r="C9593" s="40" t="n">
        <v>-46.474371</v>
      </c>
      <c r="D9593" s="40" t="n">
        <v>25</v>
      </c>
      <c r="E9593" s="41" t="n">
        <v>1400.6941</v>
      </c>
    </row>
    <row r="9594">
      <c r="A9594" s="42">
        <f>_xlfn.XLOOKUP(60012,Trip[shape_id],Trip[shape_id],"Não encontrado")</f>
        <v/>
      </c>
      <c r="B9594" s="43" t="n">
        <v>-23.61023</v>
      </c>
      <c r="C9594" s="43" t="n">
        <v>-46.474544</v>
      </c>
      <c r="D9594" s="43" t="n">
        <v>26</v>
      </c>
      <c r="E9594" s="44" t="n">
        <v>1423.6167</v>
      </c>
    </row>
    <row r="9595">
      <c r="A9595" s="39">
        <f>_xlfn.XLOOKUP(60012,Trip[shape_id],Trip[shape_id],"Não encontrado")</f>
        <v/>
      </c>
      <c r="B9595" s="40" t="n">
        <v>-23.610473</v>
      </c>
      <c r="C9595" s="40" t="n">
        <v>-46.474784</v>
      </c>
      <c r="D9595" s="40" t="n">
        <v>27</v>
      </c>
      <c r="E9595" s="41" t="n">
        <v>1460.0066</v>
      </c>
    </row>
    <row r="9596">
      <c r="A9596" s="42">
        <f>_xlfn.XLOOKUP(60012,Trip[shape_id],Trip[shape_id],"Não encontrado")</f>
        <v/>
      </c>
      <c r="B9596" s="43" t="n">
        <v>-23.610768</v>
      </c>
      <c r="C9596" s="43" t="n">
        <v>-46.475015</v>
      </c>
      <c r="D9596" s="43" t="n">
        <v>28</v>
      </c>
      <c r="E9596" s="44" t="n">
        <v>1500.2959</v>
      </c>
    </row>
    <row r="9597">
      <c r="A9597" s="39">
        <f>_xlfn.XLOOKUP(60012,Trip[shape_id],Trip[shape_id],"Não encontrado")</f>
        <v/>
      </c>
      <c r="B9597" s="40" t="n">
        <v>-23.611509</v>
      </c>
      <c r="C9597" s="40" t="n">
        <v>-46.475544</v>
      </c>
      <c r="D9597" s="40" t="n">
        <v>29</v>
      </c>
      <c r="E9597" s="41" t="n">
        <v>1598.5289</v>
      </c>
    </row>
    <row r="9598">
      <c r="A9598" s="42">
        <f>_xlfn.XLOOKUP(60012,Trip[shape_id],Trip[shape_id],"Não encontrado")</f>
        <v/>
      </c>
      <c r="B9598" s="43" t="n">
        <v>-23.611747</v>
      </c>
      <c r="C9598" s="43" t="n">
        <v>-46.47577</v>
      </c>
      <c r="D9598" s="43" t="n">
        <v>30</v>
      </c>
      <c r="E9598" s="44" t="n">
        <v>1633.5542</v>
      </c>
    </row>
    <row r="9599">
      <c r="A9599" s="39">
        <f>_xlfn.XLOOKUP(60012,Trip[shape_id],Trip[shape_id],"Não encontrado")</f>
        <v/>
      </c>
      <c r="B9599" s="40" t="n">
        <v>-23.611963</v>
      </c>
      <c r="C9599" s="40" t="n">
        <v>-46.476174</v>
      </c>
      <c r="D9599" s="40" t="n">
        <v>31</v>
      </c>
      <c r="E9599" s="41" t="n">
        <v>1681.2219</v>
      </c>
    </row>
    <row r="9600">
      <c r="A9600" s="42">
        <f>_xlfn.XLOOKUP(60012,Trip[shape_id],Trip[shape_id],"Não encontrado")</f>
        <v/>
      </c>
      <c r="B9600" s="43" t="n">
        <v>-23.612161</v>
      </c>
      <c r="C9600" s="43" t="n">
        <v>-46.476874</v>
      </c>
      <c r="D9600" s="43" t="n">
        <v>32</v>
      </c>
      <c r="E9600" s="44" t="n">
        <v>1755.95</v>
      </c>
    </row>
    <row r="9601">
      <c r="A9601" s="39">
        <f>_xlfn.XLOOKUP(60012,Trip[shape_id],Trip[shape_id],"Não encontrado")</f>
        <v/>
      </c>
      <c r="B9601" s="40" t="n">
        <v>-23.612643</v>
      </c>
      <c r="C9601" s="40" t="n">
        <v>-46.478972</v>
      </c>
      <c r="D9601" s="40" t="n">
        <v>33</v>
      </c>
      <c r="E9601" s="41" t="n">
        <v>1976.6141</v>
      </c>
    </row>
    <row r="9602">
      <c r="A9602" s="42">
        <f>_xlfn.XLOOKUP(60012,Trip[shape_id],Trip[shape_id],"Não encontrado")</f>
        <v/>
      </c>
      <c r="B9602" s="43" t="n">
        <v>-23.6127</v>
      </c>
      <c r="C9602" s="43" t="n">
        <v>-46.479443</v>
      </c>
      <c r="D9602" s="43" t="n">
        <v>34</v>
      </c>
      <c r="E9602" s="44" t="n">
        <v>2025.0944</v>
      </c>
    </row>
    <row r="9603">
      <c r="A9603" s="39">
        <f>_xlfn.XLOOKUP(60012,Trip[shape_id],Trip[shape_id],"Não encontrado")</f>
        <v/>
      </c>
      <c r="B9603" s="40" t="n">
        <v>-23.612697</v>
      </c>
      <c r="C9603" s="40" t="n">
        <v>-46.47983</v>
      </c>
      <c r="D9603" s="40" t="n">
        <v>35</v>
      </c>
      <c r="E9603" s="41" t="n">
        <v>2064.5906</v>
      </c>
    </row>
    <row r="9604">
      <c r="A9604" s="42">
        <f>_xlfn.XLOOKUP(60012,Trip[shape_id],Trip[shape_id],"Não encontrado")</f>
        <v/>
      </c>
      <c r="B9604" s="43" t="n">
        <v>-23.612655</v>
      </c>
      <c r="C9604" s="43" t="n">
        <v>-46.480164</v>
      </c>
      <c r="D9604" s="43" t="n">
        <v>36</v>
      </c>
      <c r="E9604" s="44" t="n">
        <v>2098.9927</v>
      </c>
    </row>
    <row r="9605">
      <c r="A9605" s="39">
        <f>_xlfn.XLOOKUP(60012,Trip[shape_id],Trip[shape_id],"Não encontrado")</f>
        <v/>
      </c>
      <c r="B9605" s="40" t="n">
        <v>-23.612625</v>
      </c>
      <c r="C9605" s="40" t="n">
        <v>-46.480395</v>
      </c>
      <c r="D9605" s="40" t="n">
        <v>37</v>
      </c>
      <c r="E9605" s="41" t="n">
        <v>2122.8</v>
      </c>
    </row>
    <row r="9606">
      <c r="A9606" s="42">
        <f>_xlfn.XLOOKUP(60012,Trip[shape_id],Trip[shape_id],"Não encontrado")</f>
        <v/>
      </c>
      <c r="B9606" s="43" t="n">
        <v>-23.612553</v>
      </c>
      <c r="C9606" s="43" t="n">
        <v>-46.480748</v>
      </c>
      <c r="D9606" s="43" t="n">
        <v>38</v>
      </c>
      <c r="E9606" s="44" t="n">
        <v>2159.697</v>
      </c>
    </row>
    <row r="9607">
      <c r="A9607" s="39">
        <f>_xlfn.XLOOKUP(60012,Trip[shape_id],Trip[shape_id],"Não encontrado")</f>
        <v/>
      </c>
      <c r="B9607" s="40" t="n">
        <v>-23.612494</v>
      </c>
      <c r="C9607" s="40" t="n">
        <v>-46.482014</v>
      </c>
      <c r="D9607" s="40" t="n">
        <v>39</v>
      </c>
      <c r="E9607" s="41" t="n">
        <v>2289.0627</v>
      </c>
    </row>
    <row r="9608">
      <c r="A9608" s="42">
        <f>_xlfn.XLOOKUP(60012,Trip[shape_id],Trip[shape_id],"Não encontrado")</f>
        <v/>
      </c>
      <c r="B9608" s="43" t="n">
        <v>-23.612486</v>
      </c>
      <c r="C9608" s="43" t="n">
        <v>-46.482457</v>
      </c>
      <c r="D9608" s="43" t="n">
        <v>40</v>
      </c>
      <c r="E9608" s="44" t="n">
        <v>2334.2813</v>
      </c>
    </row>
    <row r="9609">
      <c r="A9609" s="39">
        <f>_xlfn.XLOOKUP(60012,Trip[shape_id],Trip[shape_id],"Não encontrado")</f>
        <v/>
      </c>
      <c r="B9609" s="40" t="n">
        <v>-23.612422</v>
      </c>
      <c r="C9609" s="40" t="n">
        <v>-46.482697</v>
      </c>
      <c r="D9609" s="40" t="n">
        <v>41</v>
      </c>
      <c r="E9609" s="41" t="n">
        <v>2359.7795</v>
      </c>
    </row>
    <row r="9610">
      <c r="A9610" s="42">
        <f>_xlfn.XLOOKUP(60012,Trip[shape_id],Trip[shape_id],"Não encontrado")</f>
        <v/>
      </c>
      <c r="B9610" s="43" t="n">
        <v>-23.612282</v>
      </c>
      <c r="C9610" s="43" t="n">
        <v>-46.482954</v>
      </c>
      <c r="D9610" s="43" t="n">
        <v>42</v>
      </c>
      <c r="E9610" s="44" t="n">
        <v>2390.248</v>
      </c>
    </row>
    <row r="9611">
      <c r="A9611" s="39">
        <f>_xlfn.XLOOKUP(60012,Trip[shape_id],Trip[shape_id],"Não encontrado")</f>
        <v/>
      </c>
      <c r="B9611" s="40" t="n">
        <v>-23.612132</v>
      </c>
      <c r="C9611" s="40" t="n">
        <v>-46.48312</v>
      </c>
      <c r="D9611" s="40" t="n">
        <v>43</v>
      </c>
      <c r="E9611" s="41" t="n">
        <v>2413.9756</v>
      </c>
    </row>
    <row r="9612">
      <c r="A9612" s="42">
        <f>_xlfn.XLOOKUP(60012,Trip[shape_id],Trip[shape_id],"Não encontrado")</f>
        <v/>
      </c>
      <c r="B9612" s="43" t="n">
        <v>-23.611979</v>
      </c>
      <c r="C9612" s="43" t="n">
        <v>-46.48323</v>
      </c>
      <c r="D9612" s="43" t="n">
        <v>44</v>
      </c>
      <c r="E9612" s="44" t="n">
        <v>2434.302</v>
      </c>
    </row>
    <row r="9613">
      <c r="A9613" s="39">
        <f>_xlfn.XLOOKUP(60012,Trip[shape_id],Trip[shape_id],"Não encontrado")</f>
        <v/>
      </c>
      <c r="B9613" s="40" t="n">
        <v>-23.611798</v>
      </c>
      <c r="C9613" s="40" t="n">
        <v>-46.483329</v>
      </c>
      <c r="D9613" s="40" t="n">
        <v>45</v>
      </c>
      <c r="E9613" s="41" t="n">
        <v>2456.7505</v>
      </c>
    </row>
    <row r="9614">
      <c r="A9614" s="42">
        <f>_xlfn.XLOOKUP(60012,Trip[shape_id],Trip[shape_id],"Não encontrado")</f>
        <v/>
      </c>
      <c r="B9614" s="43" t="n">
        <v>-23.611739</v>
      </c>
      <c r="C9614" s="43" t="n">
        <v>-46.483352</v>
      </c>
      <c r="D9614" s="43" t="n">
        <v>46</v>
      </c>
      <c r="E9614" s="44" t="n">
        <v>2463.6938</v>
      </c>
    </row>
    <row r="9615">
      <c r="A9615" s="39">
        <f>_xlfn.XLOOKUP(60012,Trip[shape_id],Trip[shape_id],"Não encontrado")</f>
        <v/>
      </c>
      <c r="B9615" s="40" t="n">
        <v>-23.611421</v>
      </c>
      <c r="C9615" s="40" t="n">
        <v>-46.483457</v>
      </c>
      <c r="D9615" s="40" t="n">
        <v>47</v>
      </c>
      <c r="E9615" s="41" t="n">
        <v>2500.5073</v>
      </c>
    </row>
    <row r="9616">
      <c r="A9616" s="42">
        <f>_xlfn.XLOOKUP(60012,Trip[shape_id],Trip[shape_id],"Não encontrado")</f>
        <v/>
      </c>
      <c r="B9616" s="43" t="n">
        <v>-23.611208</v>
      </c>
      <c r="C9616" s="43" t="n">
        <v>-46.48354</v>
      </c>
      <c r="D9616" s="43" t="n">
        <v>48</v>
      </c>
      <c r="E9616" s="44" t="n">
        <v>2525.5723</v>
      </c>
    </row>
    <row r="9617">
      <c r="A9617" s="39">
        <f>_xlfn.XLOOKUP(60012,Trip[shape_id],Trip[shape_id],"Não encontrado")</f>
        <v/>
      </c>
      <c r="B9617" s="40" t="n">
        <v>-23.611045</v>
      </c>
      <c r="C9617" s="40" t="n">
        <v>-46.483627</v>
      </c>
      <c r="D9617" s="40" t="n">
        <v>49</v>
      </c>
      <c r="E9617" s="41" t="n">
        <v>2545.6902</v>
      </c>
    </row>
    <row r="9618">
      <c r="A9618" s="42">
        <f>_xlfn.XLOOKUP(60012,Trip[shape_id],Trip[shape_id],"Não encontrado")</f>
        <v/>
      </c>
      <c r="B9618" s="43" t="n">
        <v>-23.610908</v>
      </c>
      <c r="C9618" s="43" t="n">
        <v>-46.483723</v>
      </c>
      <c r="D9618" s="43" t="n">
        <v>50</v>
      </c>
      <c r="E9618" s="44" t="n">
        <v>2563.7515</v>
      </c>
    </row>
    <row r="9619">
      <c r="A9619" s="39">
        <f>_xlfn.XLOOKUP(60012,Trip[shape_id],Trip[shape_id],"Não encontrado")</f>
        <v/>
      </c>
      <c r="B9619" s="40" t="n">
        <v>-23.610807</v>
      </c>
      <c r="C9619" s="40" t="n">
        <v>-46.483822</v>
      </c>
      <c r="D9619" s="40" t="n">
        <v>51</v>
      </c>
      <c r="E9619" s="41" t="n">
        <v>2578.825</v>
      </c>
    </row>
    <row r="9620">
      <c r="A9620" s="42">
        <f>_xlfn.XLOOKUP(60012,Trip[shape_id],Trip[shape_id],"Não encontrado")</f>
        <v/>
      </c>
      <c r="B9620" s="43" t="n">
        <v>-23.610685</v>
      </c>
      <c r="C9620" s="43" t="n">
        <v>-46.48395</v>
      </c>
      <c r="D9620" s="43" t="n">
        <v>52</v>
      </c>
      <c r="E9620" s="44" t="n">
        <v>2597.6191</v>
      </c>
    </row>
    <row r="9621">
      <c r="A9621" s="39">
        <f>_xlfn.XLOOKUP(60012,Trip[shape_id],Trip[shape_id],"Não encontrado")</f>
        <v/>
      </c>
      <c r="B9621" s="40" t="n">
        <v>-23.610526</v>
      </c>
      <c r="C9621" s="40" t="n">
        <v>-46.484185</v>
      </c>
      <c r="D9621" s="40" t="n">
        <v>53</v>
      </c>
      <c r="E9621" s="41" t="n">
        <v>2627.373</v>
      </c>
    </row>
    <row r="9622">
      <c r="A9622" s="42">
        <f>_xlfn.XLOOKUP(60012,Trip[shape_id],Trip[shape_id],"Não encontrado")</f>
        <v/>
      </c>
      <c r="B9622" s="43" t="n">
        <v>-23.61035</v>
      </c>
      <c r="C9622" s="43" t="n">
        <v>-46.484509</v>
      </c>
      <c r="D9622" s="43" t="n">
        <v>54</v>
      </c>
      <c r="E9622" s="44" t="n">
        <v>2665.7568</v>
      </c>
    </row>
    <row r="9623">
      <c r="A9623" s="39">
        <f>_xlfn.XLOOKUP(60012,Trip[shape_id],Trip[shape_id],"Não encontrado")</f>
        <v/>
      </c>
      <c r="B9623" s="40" t="n">
        <v>-23.610311</v>
      </c>
      <c r="C9623" s="40" t="n">
        <v>-46.484625</v>
      </c>
      <c r="D9623" s="40" t="n">
        <v>55</v>
      </c>
      <c r="E9623" s="41" t="n">
        <v>2678.3584</v>
      </c>
    </row>
    <row r="9624">
      <c r="A9624" s="42">
        <f>_xlfn.XLOOKUP(60012,Trip[shape_id],Trip[shape_id],"Não encontrado")</f>
        <v/>
      </c>
      <c r="B9624" s="43" t="n">
        <v>-23.61027</v>
      </c>
      <c r="C9624" s="43" t="n">
        <v>-46.48482</v>
      </c>
      <c r="D9624" s="43" t="n">
        <v>56</v>
      </c>
      <c r="E9624" s="44" t="n">
        <v>2698.7708</v>
      </c>
    </row>
    <row r="9625">
      <c r="A9625" s="39">
        <f>_xlfn.XLOOKUP(60012,Trip[shape_id],Trip[shape_id],"Não encontrado")</f>
        <v/>
      </c>
      <c r="B9625" s="40" t="n">
        <v>-23.610243</v>
      </c>
      <c r="C9625" s="40" t="n">
        <v>-46.485054</v>
      </c>
      <c r="D9625" s="40" t="n">
        <v>57</v>
      </c>
      <c r="E9625" s="41" t="n">
        <v>2722.8384</v>
      </c>
    </row>
    <row r="9626">
      <c r="A9626" s="42">
        <f>_xlfn.XLOOKUP(60012,Trip[shape_id],Trip[shape_id],"Não encontrado")</f>
        <v/>
      </c>
      <c r="B9626" s="43" t="n">
        <v>-23.610243</v>
      </c>
      <c r="C9626" s="43" t="n">
        <v>-46.485314</v>
      </c>
      <c r="D9626" s="43" t="n">
        <v>58</v>
      </c>
      <c r="E9626" s="44" t="n">
        <v>2749.3728</v>
      </c>
    </row>
    <row r="9627">
      <c r="A9627" s="39">
        <f>_xlfn.XLOOKUP(60012,Trip[shape_id],Trip[shape_id],"Não encontrado")</f>
        <v/>
      </c>
      <c r="B9627" s="40" t="n">
        <v>-23.610293</v>
      </c>
      <c r="C9627" s="40" t="n">
        <v>-46.485559</v>
      </c>
      <c r="D9627" s="40" t="n">
        <v>59</v>
      </c>
      <c r="E9627" s="41" t="n">
        <v>2774.9824</v>
      </c>
    </row>
    <row r="9628">
      <c r="A9628" s="42">
        <f>_xlfn.XLOOKUP(60012,Trip[shape_id],Trip[shape_id],"Não encontrado")</f>
        <v/>
      </c>
      <c r="B9628" s="43" t="n">
        <v>-23.610383</v>
      </c>
      <c r="C9628" s="43" t="n">
        <v>-46.485805</v>
      </c>
      <c r="D9628" s="43" t="n">
        <v>60</v>
      </c>
      <c r="E9628" s="44" t="n">
        <v>2801.9946</v>
      </c>
    </row>
    <row r="9629">
      <c r="A9629" s="39">
        <f>_xlfn.XLOOKUP(60012,Trip[shape_id],Trip[shape_id],"Não encontrado")</f>
        <v/>
      </c>
      <c r="B9629" s="40" t="n">
        <v>-23.610515</v>
      </c>
      <c r="C9629" s="40" t="n">
        <v>-46.486087</v>
      </c>
      <c r="D9629" s="40" t="n">
        <v>61</v>
      </c>
      <c r="E9629" s="41" t="n">
        <v>2834.2747</v>
      </c>
    </row>
    <row r="9630">
      <c r="A9630" s="42">
        <f>_xlfn.XLOOKUP(60012,Trip[shape_id],Trip[shape_id],"Não encontrado")</f>
        <v/>
      </c>
      <c r="B9630" s="43" t="n">
        <v>-23.610642</v>
      </c>
      <c r="C9630" s="43" t="n">
        <v>-46.48627</v>
      </c>
      <c r="D9630" s="43" t="n">
        <v>62</v>
      </c>
      <c r="E9630" s="44" t="n">
        <v>2857.655</v>
      </c>
    </row>
    <row r="9631">
      <c r="A9631" s="39">
        <f>_xlfn.XLOOKUP(60012,Trip[shape_id],Trip[shape_id],"Não encontrado")</f>
        <v/>
      </c>
      <c r="B9631" s="40" t="n">
        <v>-23.610931</v>
      </c>
      <c r="C9631" s="40" t="n">
        <v>-46.486575</v>
      </c>
      <c r="D9631" s="40" t="n">
        <v>63</v>
      </c>
      <c r="E9631" s="41" t="n">
        <v>2902.3022</v>
      </c>
    </row>
    <row r="9632">
      <c r="A9632" s="42">
        <f>_xlfn.XLOOKUP(60012,Trip[shape_id],Trip[shape_id],"Não encontrado")</f>
        <v/>
      </c>
      <c r="B9632" s="43" t="n">
        <v>-23.611556</v>
      </c>
      <c r="C9632" s="43" t="n">
        <v>-46.487255</v>
      </c>
      <c r="D9632" s="43" t="n">
        <v>64</v>
      </c>
      <c r="E9632" s="44" t="n">
        <v>3000.3198</v>
      </c>
    </row>
    <row r="9633">
      <c r="A9633" s="39">
        <f>_xlfn.XLOOKUP(60012,Trip[shape_id],Trip[shape_id],"Não encontrado")</f>
        <v/>
      </c>
      <c r="B9633" s="40" t="n">
        <v>-23.612614</v>
      </c>
      <c r="C9633" s="40" t="n">
        <v>-46.488421</v>
      </c>
      <c r="D9633" s="40" t="n">
        <v>65</v>
      </c>
      <c r="E9633" s="41" t="n">
        <v>3167.3235</v>
      </c>
    </row>
    <row r="9634">
      <c r="A9634" s="42">
        <f>_xlfn.XLOOKUP(60012,Trip[shape_id],Trip[shape_id],"Não encontrado")</f>
        <v/>
      </c>
      <c r="B9634" s="43" t="n">
        <v>-23.612663</v>
      </c>
      <c r="C9634" s="43" t="n">
        <v>-46.48848</v>
      </c>
      <c r="D9634" s="43" t="n">
        <v>66</v>
      </c>
      <c r="E9634" s="44" t="n">
        <v>3175.4292</v>
      </c>
    </row>
    <row r="9635">
      <c r="A9635" s="39">
        <f>_xlfn.XLOOKUP(60012,Trip[shape_id],Trip[shape_id],"Não encontrado")</f>
        <v/>
      </c>
      <c r="B9635" s="40" t="n">
        <v>-23.612732</v>
      </c>
      <c r="C9635" s="40" t="n">
        <v>-46.488602</v>
      </c>
      <c r="D9635" s="40" t="n">
        <v>67</v>
      </c>
      <c r="E9635" s="41" t="n">
        <v>3190.0383</v>
      </c>
    </row>
    <row r="9636">
      <c r="A9636" s="42">
        <f>_xlfn.XLOOKUP(60012,Trip[shape_id],Trip[shape_id],"Não encontrado")</f>
        <v/>
      </c>
      <c r="B9636" s="43" t="n">
        <v>-23.61288</v>
      </c>
      <c r="C9636" s="43" t="n">
        <v>-46.488927</v>
      </c>
      <c r="D9636" s="43" t="n">
        <v>68</v>
      </c>
      <c r="E9636" s="44" t="n">
        <v>3227.0349</v>
      </c>
    </row>
    <row r="9637">
      <c r="A9637" s="39">
        <f>_xlfn.XLOOKUP(60012,Trip[shape_id],Trip[shape_id],"Não encontrado")</f>
        <v/>
      </c>
      <c r="B9637" s="40" t="n">
        <v>-23.612924</v>
      </c>
      <c r="C9637" s="40" t="n">
        <v>-46.489073</v>
      </c>
      <c r="D9637" s="40" t="n">
        <v>69</v>
      </c>
      <c r="E9637" s="41" t="n">
        <v>3242.7117</v>
      </c>
    </row>
    <row r="9638">
      <c r="A9638" s="42">
        <f>_xlfn.XLOOKUP(60012,Trip[shape_id],Trip[shape_id],"Não encontrado")</f>
        <v/>
      </c>
      <c r="B9638" s="43" t="n">
        <v>-23.612944</v>
      </c>
      <c r="C9638" s="43" t="n">
        <v>-46.489243</v>
      </c>
      <c r="D9638" s="43" t="n">
        <v>70</v>
      </c>
      <c r="E9638" s="44" t="n">
        <v>3260.2017</v>
      </c>
    </row>
    <row r="9639">
      <c r="A9639" s="39">
        <f>_xlfn.XLOOKUP(60012,Trip[shape_id],Trip[shape_id],"Não encontrado")</f>
        <v/>
      </c>
      <c r="B9639" s="40" t="n">
        <v>-23.612941</v>
      </c>
      <c r="C9639" s="40" t="n">
        <v>-46.489401</v>
      </c>
      <c r="D9639" s="40" t="n">
        <v>71</v>
      </c>
      <c r="E9639" s="41" t="n">
        <v>3276.3296</v>
      </c>
    </row>
    <row r="9640">
      <c r="A9640" s="42">
        <f>_xlfn.XLOOKUP(60012,Trip[shape_id],Trip[shape_id],"Não encontrado")</f>
        <v/>
      </c>
      <c r="B9640" s="43" t="n">
        <v>-23.6129</v>
      </c>
      <c r="C9640" s="43" t="n">
        <v>-46.489706</v>
      </c>
      <c r="D9640" s="43" t="n">
        <v>72</v>
      </c>
      <c r="E9640" s="44" t="n">
        <v>3307.7854</v>
      </c>
    </row>
    <row r="9641">
      <c r="A9641" s="39">
        <f>_xlfn.XLOOKUP(60012,Trip[shape_id],Trip[shape_id],"Não encontrado")</f>
        <v/>
      </c>
      <c r="B9641" s="40" t="n">
        <v>-23.612827</v>
      </c>
      <c r="C9641" s="40" t="n">
        <v>-46.49035</v>
      </c>
      <c r="D9641" s="40" t="n">
        <v>73</v>
      </c>
      <c r="E9641" s="41" t="n">
        <v>3374.0034</v>
      </c>
    </row>
    <row r="9642">
      <c r="A9642" s="42">
        <f>_xlfn.XLOOKUP(60012,Trip[shape_id],Trip[shape_id],"Não encontrado")</f>
        <v/>
      </c>
      <c r="B9642" s="43" t="n">
        <v>-23.612808</v>
      </c>
      <c r="C9642" s="43" t="n">
        <v>-46.490571</v>
      </c>
      <c r="D9642" s="43" t="n">
        <v>74</v>
      </c>
      <c r="E9642" s="44" t="n">
        <v>3396.655</v>
      </c>
    </row>
    <row r="9643">
      <c r="A9643" s="39">
        <f>_xlfn.XLOOKUP(60012,Trip[shape_id],Trip[shape_id],"Não encontrado")</f>
        <v/>
      </c>
      <c r="B9643" s="40" t="n">
        <v>-23.612806</v>
      </c>
      <c r="C9643" s="40" t="n">
        <v>-46.490829</v>
      </c>
      <c r="D9643" s="40" t="n">
        <v>75</v>
      </c>
      <c r="E9643" s="41" t="n">
        <v>3422.9858</v>
      </c>
    </row>
    <row r="9644">
      <c r="A9644" s="42">
        <f>_xlfn.XLOOKUP(60012,Trip[shape_id],Trip[shape_id],"Não encontrado")</f>
        <v/>
      </c>
      <c r="B9644" s="43" t="n">
        <v>-23.612829</v>
      </c>
      <c r="C9644" s="43" t="n">
        <v>-46.491222</v>
      </c>
      <c r="D9644" s="43" t="n">
        <v>76</v>
      </c>
      <c r="E9644" s="44" t="n">
        <v>3463.1738</v>
      </c>
    </row>
    <row r="9645">
      <c r="A9645" s="39">
        <f>_xlfn.XLOOKUP(60012,Trip[shape_id],Trip[shape_id],"Não encontrado")</f>
        <v/>
      </c>
      <c r="B9645" s="40" t="n">
        <v>-23.612889</v>
      </c>
      <c r="C9645" s="40" t="n">
        <v>-46.491571</v>
      </c>
      <c r="D9645" s="40" t="n">
        <v>77</v>
      </c>
      <c r="E9645" s="41" t="n">
        <v>3499.4053</v>
      </c>
    </row>
    <row r="9646">
      <c r="A9646" s="42">
        <f>_xlfn.XLOOKUP(60012,Trip[shape_id],Trip[shape_id],"Não encontrado")</f>
        <v/>
      </c>
      <c r="B9646" s="43" t="n">
        <v>-23.612946</v>
      </c>
      <c r="C9646" s="43" t="n">
        <v>-46.491912</v>
      </c>
      <c r="D9646" s="43" t="n">
        <v>78</v>
      </c>
      <c r="E9646" s="44" t="n">
        <v>3534.7737</v>
      </c>
    </row>
    <row r="9647">
      <c r="A9647" s="39">
        <f>_xlfn.XLOOKUP(60012,Trip[shape_id],Trip[shape_id],"Não encontrado")</f>
        <v/>
      </c>
      <c r="B9647" s="40" t="n">
        <v>-23.613013</v>
      </c>
      <c r="C9647" s="40" t="n">
        <v>-46.492244</v>
      </c>
      <c r="D9647" s="40" t="n">
        <v>79</v>
      </c>
      <c r="E9647" s="41" t="n">
        <v>3569.4585</v>
      </c>
    </row>
    <row r="9648">
      <c r="A9648" s="42">
        <f>_xlfn.XLOOKUP(60012,Trip[shape_id],Trip[shape_id],"Não encontrado")</f>
        <v/>
      </c>
      <c r="B9648" s="43" t="n">
        <v>-23.613032</v>
      </c>
      <c r="C9648" s="43" t="n">
        <v>-46.492416</v>
      </c>
      <c r="D9648" s="43" t="n">
        <v>80</v>
      </c>
      <c r="E9648" s="44" t="n">
        <v>3587.1377</v>
      </c>
    </row>
    <row r="9649">
      <c r="A9649" s="39">
        <f>_xlfn.XLOOKUP(60012,Trip[shape_id],Trip[shape_id],"Não encontrado")</f>
        <v/>
      </c>
      <c r="B9649" s="40" t="n">
        <v>-23.613039</v>
      </c>
      <c r="C9649" s="40" t="n">
        <v>-46.492586</v>
      </c>
      <c r="D9649" s="40" t="n">
        <v>81</v>
      </c>
      <c r="E9649" s="41" t="n">
        <v>3604.5039</v>
      </c>
    </row>
    <row r="9650">
      <c r="A9650" s="42">
        <f>_xlfn.XLOOKUP(60012,Trip[shape_id],Trip[shape_id],"Não encontrado")</f>
        <v/>
      </c>
      <c r="B9650" s="43" t="n">
        <v>-23.613026</v>
      </c>
      <c r="C9650" s="43" t="n">
        <v>-46.492849</v>
      </c>
      <c r="D9650" s="43" t="n">
        <v>82</v>
      </c>
      <c r="E9650" s="44" t="n">
        <v>3631.3826</v>
      </c>
    </row>
    <row r="9651">
      <c r="A9651" s="39">
        <f>_xlfn.XLOOKUP(60012,Trip[shape_id],Trip[shape_id],"Não encontrado")</f>
        <v/>
      </c>
      <c r="B9651" s="40" t="n">
        <v>-23.612923</v>
      </c>
      <c r="C9651" s="40" t="n">
        <v>-46.493255</v>
      </c>
      <c r="D9651" s="40" t="n">
        <v>83</v>
      </c>
      <c r="E9651" s="41" t="n">
        <v>3674.3582</v>
      </c>
    </row>
    <row r="9652">
      <c r="A9652" s="42">
        <f>_xlfn.XLOOKUP(60012,Trip[shape_id],Trip[shape_id],"Não encontrado")</f>
        <v/>
      </c>
      <c r="B9652" s="43" t="n">
        <v>-23.612801</v>
      </c>
      <c r="C9652" s="43" t="n">
        <v>-46.493682</v>
      </c>
      <c r="D9652" s="43" t="n">
        <v>84</v>
      </c>
      <c r="E9652" s="44" t="n">
        <v>3719.9819</v>
      </c>
    </row>
    <row r="9653">
      <c r="A9653" s="39">
        <f>_xlfn.XLOOKUP(60012,Trip[shape_id],Trip[shape_id],"Não encontrado")</f>
        <v/>
      </c>
      <c r="B9653" s="40" t="n">
        <v>-23.612751</v>
      </c>
      <c r="C9653" s="40" t="n">
        <v>-46.493943</v>
      </c>
      <c r="D9653" s="40" t="n">
        <v>85</v>
      </c>
      <c r="E9653" s="41" t="n">
        <v>3747.1875</v>
      </c>
    </row>
    <row r="9654">
      <c r="A9654" s="42">
        <f>_xlfn.XLOOKUP(60012,Trip[shape_id],Trip[shape_id],"Não encontrado")</f>
        <v/>
      </c>
      <c r="B9654" s="43" t="n">
        <v>-23.61274</v>
      </c>
      <c r="C9654" s="43" t="n">
        <v>-46.494103</v>
      </c>
      <c r="D9654" s="43" t="n">
        <v>86</v>
      </c>
      <c r="E9654" s="44" t="n">
        <v>3763.5615</v>
      </c>
    </row>
    <row r="9655">
      <c r="A9655" s="39">
        <f>_xlfn.XLOOKUP(60012,Trip[shape_id],Trip[shape_id],"Não encontrado")</f>
        <v/>
      </c>
      <c r="B9655" s="40" t="n">
        <v>-23.612771</v>
      </c>
      <c r="C9655" s="40" t="n">
        <v>-46.494377</v>
      </c>
      <c r="D9655" s="40" t="n">
        <v>87</v>
      </c>
      <c r="E9655" s="41" t="n">
        <v>3791.7344</v>
      </c>
    </row>
    <row r="9656">
      <c r="A9656" s="42">
        <f>_xlfn.XLOOKUP(60012,Trip[shape_id],Trip[shape_id],"Não encontrado")</f>
        <v/>
      </c>
      <c r="B9656" s="43" t="n">
        <v>-23.61282</v>
      </c>
      <c r="C9656" s="43" t="n">
        <v>-46.494563</v>
      </c>
      <c r="D9656" s="43" t="n">
        <v>88</v>
      </c>
      <c r="E9656" s="44" t="n">
        <v>3811.4768</v>
      </c>
    </row>
    <row r="9657">
      <c r="A9657" s="39">
        <f>_xlfn.XLOOKUP(60012,Trip[shape_id],Trip[shape_id],"Não encontrado")</f>
        <v/>
      </c>
      <c r="B9657" s="40" t="n">
        <v>-23.612965</v>
      </c>
      <c r="C9657" s="40" t="n">
        <v>-46.494871</v>
      </c>
      <c r="D9657" s="40" t="n">
        <v>89</v>
      </c>
      <c r="E9657" s="41" t="n">
        <v>3846.7742</v>
      </c>
    </row>
    <row r="9658">
      <c r="A9658" s="42">
        <f>_xlfn.XLOOKUP(60012,Trip[shape_id],Trip[shape_id],"Não encontrado")</f>
        <v/>
      </c>
      <c r="B9658" s="43" t="n">
        <v>-23.613087</v>
      </c>
      <c r="C9658" s="43" t="n">
        <v>-46.495041</v>
      </c>
      <c r="D9658" s="43" t="n">
        <v>90</v>
      </c>
      <c r="E9658" s="44" t="n">
        <v>3868.7642</v>
      </c>
    </row>
    <row r="9659">
      <c r="A9659" s="39">
        <f>_xlfn.XLOOKUP(60012,Trip[shape_id],Trip[shape_id],"Não encontrado")</f>
        <v/>
      </c>
      <c r="B9659" s="40" t="n">
        <v>-23.61321</v>
      </c>
      <c r="C9659" s="40" t="n">
        <v>-46.495179</v>
      </c>
      <c r="D9659" s="40" t="n">
        <v>91</v>
      </c>
      <c r="E9659" s="41" t="n">
        <v>3888.3579</v>
      </c>
    </row>
    <row r="9660">
      <c r="A9660" s="42">
        <f>_xlfn.XLOOKUP(60012,Trip[shape_id],Trip[shape_id],"Não encontrado")</f>
        <v/>
      </c>
      <c r="B9660" s="43" t="n">
        <v>-23.613348</v>
      </c>
      <c r="C9660" s="43" t="n">
        <v>-46.495281</v>
      </c>
      <c r="D9660" s="43" t="n">
        <v>92</v>
      </c>
      <c r="E9660" s="44" t="n">
        <v>3906.8496</v>
      </c>
    </row>
    <row r="9661">
      <c r="A9661" s="39">
        <f>_xlfn.XLOOKUP(60012,Trip[shape_id],Trip[shape_id],"Não encontrado")</f>
        <v/>
      </c>
      <c r="B9661" s="40" t="n">
        <v>-23.613538</v>
      </c>
      <c r="C9661" s="40" t="n">
        <v>-46.495401</v>
      </c>
      <c r="D9661" s="40" t="n">
        <v>93</v>
      </c>
      <c r="E9661" s="41" t="n">
        <v>3931.1968</v>
      </c>
    </row>
    <row r="9662">
      <c r="A9662" s="42">
        <f>_xlfn.XLOOKUP(60012,Trip[shape_id],Trip[shape_id],"Não encontrado")</f>
        <v/>
      </c>
      <c r="B9662" s="43" t="n">
        <v>-23.613801</v>
      </c>
      <c r="C9662" s="43" t="n">
        <v>-46.495609</v>
      </c>
      <c r="D9662" s="43" t="n">
        <v>94</v>
      </c>
      <c r="E9662" s="44" t="n">
        <v>3967.2388</v>
      </c>
    </row>
    <row r="9663">
      <c r="A9663" s="39">
        <f>_xlfn.XLOOKUP(60012,Trip[shape_id],Trip[shape_id],"Não encontrado")</f>
        <v/>
      </c>
      <c r="B9663" s="40" t="n">
        <v>-23.614002</v>
      </c>
      <c r="C9663" s="40" t="n">
        <v>-46.49588</v>
      </c>
      <c r="D9663" s="40" t="n">
        <v>95</v>
      </c>
      <c r="E9663" s="41" t="n">
        <v>4002.7412</v>
      </c>
    </row>
    <row r="9664">
      <c r="A9664" s="42">
        <f>_xlfn.XLOOKUP(60012,Trip[shape_id],Trip[shape_id],"Não encontrado")</f>
        <v/>
      </c>
      <c r="B9664" s="43" t="n">
        <v>-23.614119</v>
      </c>
      <c r="C9664" s="43" t="n">
        <v>-46.496144</v>
      </c>
      <c r="D9664" s="43" t="n">
        <v>96</v>
      </c>
      <c r="E9664" s="44" t="n">
        <v>4032.6375</v>
      </c>
    </row>
    <row r="9665">
      <c r="A9665" s="39">
        <f>_xlfn.XLOOKUP(60012,Trip[shape_id],Trip[shape_id],"Não encontrado")</f>
        <v/>
      </c>
      <c r="B9665" s="40" t="n">
        <v>-23.614207</v>
      </c>
      <c r="C9665" s="40" t="n">
        <v>-46.496468</v>
      </c>
      <c r="D9665" s="40" t="n">
        <v>97</v>
      </c>
      <c r="E9665" s="41" t="n">
        <v>4067.1089</v>
      </c>
    </row>
    <row r="9666">
      <c r="A9666" s="42">
        <f>_xlfn.XLOOKUP(60012,Trip[shape_id],Trip[shape_id],"Não encontrado")</f>
        <v/>
      </c>
      <c r="B9666" s="43" t="n">
        <v>-23.614207</v>
      </c>
      <c r="C9666" s="43" t="n">
        <v>-46.496681</v>
      </c>
      <c r="D9666" s="43" t="n">
        <v>98</v>
      </c>
      <c r="E9666" s="44" t="n">
        <v>4088.8462</v>
      </c>
    </row>
    <row r="9667">
      <c r="A9667" s="39">
        <f>_xlfn.XLOOKUP(60012,Trip[shape_id],Trip[shape_id],"Não encontrado")</f>
        <v/>
      </c>
      <c r="B9667" s="40" t="n">
        <v>-23.614182</v>
      </c>
      <c r="C9667" s="40" t="n">
        <v>-46.49693</v>
      </c>
      <c r="D9667" s="40" t="n">
        <v>99</v>
      </c>
      <c r="E9667" s="41" t="n">
        <v>4114.4077</v>
      </c>
    </row>
    <row r="9668">
      <c r="A9668" s="42">
        <f>_xlfn.XLOOKUP(60012,Trip[shape_id],Trip[shape_id],"Não encontrado")</f>
        <v/>
      </c>
      <c r="B9668" s="43" t="n">
        <v>-23.614158</v>
      </c>
      <c r="C9668" s="43" t="n">
        <v>-46.497438</v>
      </c>
      <c r="D9668" s="43" t="n">
        <v>100</v>
      </c>
      <c r="E9668" s="44" t="n">
        <v>4166.3188</v>
      </c>
    </row>
    <row r="9669">
      <c r="A9669" s="39">
        <f>_xlfn.XLOOKUP(60012,Trip[shape_id],Trip[shape_id],"Não encontrado")</f>
        <v/>
      </c>
      <c r="B9669" s="40" t="n">
        <v>-23.614152</v>
      </c>
      <c r="C9669" s="40" t="n">
        <v>-46.497709</v>
      </c>
      <c r="D9669" s="40" t="n">
        <v>101</v>
      </c>
      <c r="E9669" s="41" t="n">
        <v>4193.9834</v>
      </c>
    </row>
    <row r="9670">
      <c r="A9670" s="42">
        <f>_xlfn.XLOOKUP(60012,Trip[shape_id],Trip[shape_id],"Não encontrado")</f>
        <v/>
      </c>
      <c r="B9670" s="43" t="n">
        <v>-23.614163</v>
      </c>
      <c r="C9670" s="43" t="n">
        <v>-46.498015</v>
      </c>
      <c r="D9670" s="43" t="n">
        <v>102</v>
      </c>
      <c r="E9670" s="44" t="n">
        <v>4225.2354</v>
      </c>
    </row>
    <row r="9671">
      <c r="A9671" s="39">
        <f>_xlfn.XLOOKUP(60012,Trip[shape_id],Trip[shape_id],"Não encontrado")</f>
        <v/>
      </c>
      <c r="B9671" s="40" t="n">
        <v>-23.614211</v>
      </c>
      <c r="C9671" s="40" t="n">
        <v>-46.498409</v>
      </c>
      <c r="D9671" s="40" t="n">
        <v>103</v>
      </c>
      <c r="E9671" s="41" t="n">
        <v>4265.7939</v>
      </c>
    </row>
    <row r="9672">
      <c r="A9672" s="42">
        <f>_xlfn.XLOOKUP(60012,Trip[shape_id],Trip[shape_id],"Não encontrado")</f>
        <v/>
      </c>
      <c r="B9672" s="43" t="n">
        <v>-23.614285</v>
      </c>
      <c r="C9672" s="43" t="n">
        <v>-46.49885</v>
      </c>
      <c r="D9672" s="43" t="n">
        <v>104</v>
      </c>
      <c r="E9672" s="44" t="n">
        <v>4311.5391</v>
      </c>
    </row>
    <row r="9673">
      <c r="A9673" s="39">
        <f>_xlfn.XLOOKUP(60012,Trip[shape_id],Trip[shape_id],"Não encontrado")</f>
        <v/>
      </c>
      <c r="B9673" s="40" t="n">
        <v>-23.614411</v>
      </c>
      <c r="C9673" s="40" t="n">
        <v>-46.499401</v>
      </c>
      <c r="D9673" s="40" t="n">
        <v>105</v>
      </c>
      <c r="E9673" s="41" t="n">
        <v>4369.4756</v>
      </c>
    </row>
    <row r="9674">
      <c r="A9674" s="42">
        <f>_xlfn.XLOOKUP(60012,Trip[shape_id],Trip[shape_id],"Não encontrado")</f>
        <v/>
      </c>
      <c r="B9674" s="43" t="n">
        <v>-23.614503</v>
      </c>
      <c r="C9674" s="43" t="n">
        <v>-46.499891</v>
      </c>
      <c r="D9674" s="43" t="n">
        <v>106</v>
      </c>
      <c r="E9674" s="44" t="n">
        <v>4420.5088</v>
      </c>
    </row>
    <row r="9675">
      <c r="A9675" s="39">
        <f>_xlfn.XLOOKUP(60012,Trip[shape_id],Trip[shape_id],"Não encontrado")</f>
        <v/>
      </c>
      <c r="B9675" s="40" t="n">
        <v>-23.61464</v>
      </c>
      <c r="C9675" s="40" t="n">
        <v>-46.500651</v>
      </c>
      <c r="D9675" s="40" t="n">
        <v>107</v>
      </c>
      <c r="E9675" s="41" t="n">
        <v>4499.5391</v>
      </c>
    </row>
    <row r="9676">
      <c r="A9676" s="42">
        <f>_xlfn.XLOOKUP(60012,Trip[shape_id],Trip[shape_id],"Não encontrado")</f>
        <v/>
      </c>
      <c r="B9676" s="43" t="n">
        <v>-23.614778</v>
      </c>
      <c r="C9676" s="43" t="n">
        <v>-46.501451</v>
      </c>
      <c r="D9676" s="43" t="n">
        <v>108</v>
      </c>
      <c r="E9676" s="44" t="n">
        <v>4582.5991</v>
      </c>
    </row>
    <row r="9677">
      <c r="A9677" s="39">
        <f>_xlfn.XLOOKUP(60012,Trip[shape_id],Trip[shape_id],"Não encontrado")</f>
        <v/>
      </c>
      <c r="B9677" s="40" t="n">
        <v>-23.614851</v>
      </c>
      <c r="C9677" s="40" t="n">
        <v>-46.502035</v>
      </c>
      <c r="D9677" s="40" t="n">
        <v>109</v>
      </c>
      <c r="E9677" s="41" t="n">
        <v>4642.7437</v>
      </c>
    </row>
    <row r="9678">
      <c r="A9678" s="42">
        <f>_xlfn.XLOOKUP(60012,Trip[shape_id],Trip[shape_id],"Não encontrado")</f>
        <v/>
      </c>
      <c r="B9678" s="43" t="n">
        <v>-23.614817</v>
      </c>
      <c r="C9678" s="43" t="n">
        <v>-46.502311</v>
      </c>
      <c r="D9678" s="43" t="n">
        <v>110</v>
      </c>
      <c r="E9678" s="44" t="n">
        <v>4671.1606</v>
      </c>
    </row>
    <row r="9679">
      <c r="A9679" s="39">
        <f>_xlfn.XLOOKUP(60012,Trip[shape_id],Trip[shape_id],"Não encontrado")</f>
        <v/>
      </c>
      <c r="B9679" s="40" t="n">
        <v>-23.614695</v>
      </c>
      <c r="C9679" s="40" t="n">
        <v>-46.502638</v>
      </c>
      <c r="D9679" s="40" t="n">
        <v>111</v>
      </c>
      <c r="E9679" s="41" t="n">
        <v>4707.1636</v>
      </c>
    </row>
    <row r="9680">
      <c r="A9680" s="42">
        <f>_xlfn.XLOOKUP(60012,Trip[shape_id],Trip[shape_id],"Não encontrado")</f>
        <v/>
      </c>
      <c r="B9680" s="43" t="n">
        <v>-23.614486</v>
      </c>
      <c r="C9680" s="43" t="n">
        <v>-46.502928</v>
      </c>
      <c r="D9680" s="43" t="n">
        <v>112</v>
      </c>
      <c r="E9680" s="44" t="n">
        <v>4744.7358</v>
      </c>
    </row>
    <row r="9681">
      <c r="A9681" s="39">
        <f>_xlfn.XLOOKUP(60012,Trip[shape_id],Trip[shape_id],"Não encontrado")</f>
        <v/>
      </c>
      <c r="B9681" s="40" t="n">
        <v>-23.614229</v>
      </c>
      <c r="C9681" s="40" t="n">
        <v>-46.50318</v>
      </c>
      <c r="D9681" s="40" t="n">
        <v>113</v>
      </c>
      <c r="E9681" s="41" t="n">
        <v>4783.0967</v>
      </c>
    </row>
    <row r="9682">
      <c r="A9682" s="42">
        <f>_xlfn.XLOOKUP(60012,Trip[shape_id],Trip[shape_id],"Não encontrado")</f>
        <v/>
      </c>
      <c r="B9682" s="43" t="n">
        <v>-23.613925</v>
      </c>
      <c r="C9682" s="43" t="n">
        <v>-46.503445</v>
      </c>
      <c r="D9682" s="43" t="n">
        <v>114</v>
      </c>
      <c r="E9682" s="44" t="n">
        <v>4826.2822</v>
      </c>
    </row>
    <row r="9683">
      <c r="A9683" s="39">
        <f>_xlfn.XLOOKUP(60012,Trip[shape_id],Trip[shape_id],"Não encontrado")</f>
        <v/>
      </c>
      <c r="B9683" s="40" t="n">
        <v>-23.613616</v>
      </c>
      <c r="C9683" s="40" t="n">
        <v>-46.50364</v>
      </c>
      <c r="D9683" s="40" t="n">
        <v>115</v>
      </c>
      <c r="E9683" s="41" t="n">
        <v>4865.8701</v>
      </c>
    </row>
    <row r="9684">
      <c r="A9684" s="42">
        <f>_xlfn.XLOOKUP(60012,Trip[shape_id],Trip[shape_id],"Não encontrado")</f>
        <v/>
      </c>
      <c r="B9684" s="43" t="n">
        <v>-23.613233</v>
      </c>
      <c r="C9684" s="43" t="n">
        <v>-46.503849</v>
      </c>
      <c r="D9684" s="43" t="n">
        <v>116</v>
      </c>
      <c r="E9684" s="44" t="n">
        <v>4913.3491</v>
      </c>
    </row>
    <row r="9685">
      <c r="A9685" s="39">
        <f>_xlfn.XLOOKUP(60012,Trip[shape_id],Trip[shape_id],"Não encontrado")</f>
        <v/>
      </c>
      <c r="B9685" s="40" t="n">
        <v>-23.612602</v>
      </c>
      <c r="C9685" s="40" t="n">
        <v>-46.504224</v>
      </c>
      <c r="D9685" s="40" t="n">
        <v>117</v>
      </c>
      <c r="E9685" s="41" t="n">
        <v>4993.0264</v>
      </c>
    </row>
    <row r="9686">
      <c r="A9686" s="42">
        <f>_xlfn.XLOOKUP(60012,Trip[shape_id],Trip[shape_id],"Não encontrado")</f>
        <v/>
      </c>
      <c r="B9686" s="43" t="n">
        <v>-23.61247</v>
      </c>
      <c r="C9686" s="43" t="n">
        <v>-46.50429</v>
      </c>
      <c r="D9686" s="43" t="n">
        <v>118</v>
      </c>
      <c r="E9686" s="44" t="n">
        <v>5009.123</v>
      </c>
    </row>
    <row r="9687">
      <c r="A9687" s="39">
        <f>_xlfn.XLOOKUP(60012,Trip[shape_id],Trip[shape_id],"Não encontrado")</f>
        <v/>
      </c>
      <c r="B9687" s="40" t="n">
        <v>-23.612341</v>
      </c>
      <c r="C9687" s="40" t="n">
        <v>-46.504333</v>
      </c>
      <c r="D9687" s="40" t="n">
        <v>119</v>
      </c>
      <c r="E9687" s="41" t="n">
        <v>5024.0693</v>
      </c>
    </row>
    <row r="9688">
      <c r="A9688" s="42">
        <f>_xlfn.XLOOKUP(60012,Trip[shape_id],Trip[shape_id],"Não encontrado")</f>
        <v/>
      </c>
      <c r="B9688" s="43" t="n">
        <v>-23.612157</v>
      </c>
      <c r="C9688" s="43" t="n">
        <v>-46.504377</v>
      </c>
      <c r="D9688" s="43" t="n">
        <v>120</v>
      </c>
      <c r="E9688" s="44" t="n">
        <v>5044.9365</v>
      </c>
    </row>
    <row r="9689">
      <c r="A9689" s="39">
        <f>_xlfn.XLOOKUP(60012,Trip[shape_id],Trip[shape_id],"Não encontrado")</f>
        <v/>
      </c>
      <c r="B9689" s="40" t="n">
        <v>-23.611967</v>
      </c>
      <c r="C9689" s="40" t="n">
        <v>-46.504404</v>
      </c>
      <c r="D9689" s="40" t="n">
        <v>121</v>
      </c>
      <c r="E9689" s="41" t="n">
        <v>5066.1592</v>
      </c>
    </row>
    <row r="9690">
      <c r="A9690" s="42">
        <f>_xlfn.XLOOKUP(60012,Trip[shape_id],Trip[shape_id],"Não encontrado")</f>
        <v/>
      </c>
      <c r="B9690" s="43" t="n">
        <v>-23.611757</v>
      </c>
      <c r="C9690" s="43" t="n">
        <v>-46.504403</v>
      </c>
      <c r="D9690" s="43" t="n">
        <v>122</v>
      </c>
      <c r="E9690" s="44" t="n">
        <v>5089.4175</v>
      </c>
    </row>
    <row r="9691">
      <c r="A9691" s="39">
        <f>_xlfn.XLOOKUP(60012,Trip[shape_id],Trip[shape_id],"Não encontrado")</f>
        <v/>
      </c>
      <c r="B9691" s="40" t="n">
        <v>-23.611606</v>
      </c>
      <c r="C9691" s="40" t="n">
        <v>-46.504357</v>
      </c>
      <c r="D9691" s="40" t="n">
        <v>123</v>
      </c>
      <c r="E9691" s="41" t="n">
        <v>5106.7876</v>
      </c>
    </row>
    <row r="9692">
      <c r="A9692" s="42">
        <f>_xlfn.XLOOKUP(60012,Trip[shape_id],Trip[shape_id],"Não encontrado")</f>
        <v/>
      </c>
      <c r="B9692" s="43" t="n">
        <v>-23.611254</v>
      </c>
      <c r="C9692" s="43" t="n">
        <v>-46.504257</v>
      </c>
      <c r="D9692" s="43" t="n">
        <v>124</v>
      </c>
      <c r="E9692" s="44" t="n">
        <v>5147.0859</v>
      </c>
    </row>
    <row r="9693">
      <c r="A9693" s="39">
        <f>_xlfn.XLOOKUP(60012,Trip[shape_id],Trip[shape_id],"Não encontrado")</f>
        <v/>
      </c>
      <c r="B9693" s="40" t="n">
        <v>-23.610906</v>
      </c>
      <c r="C9693" s="40" t="n">
        <v>-46.504148</v>
      </c>
      <c r="D9693" s="40" t="n">
        <v>125</v>
      </c>
      <c r="E9693" s="41" t="n">
        <v>5187.2012</v>
      </c>
    </row>
    <row r="9694">
      <c r="A9694" s="42">
        <f>_xlfn.XLOOKUP(60012,Trip[shape_id],Trip[shape_id],"Não encontrado")</f>
        <v/>
      </c>
      <c r="B9694" s="43" t="n">
        <v>-23.610701</v>
      </c>
      <c r="C9694" s="43" t="n">
        <v>-46.504124</v>
      </c>
      <c r="D9694" s="43" t="n">
        <v>126</v>
      </c>
      <c r="E9694" s="44" t="n">
        <v>5210.0371</v>
      </c>
    </row>
    <row r="9695">
      <c r="A9695" s="39">
        <f>_xlfn.XLOOKUP(60012,Trip[shape_id],Trip[shape_id],"Não encontrado")</f>
        <v/>
      </c>
      <c r="B9695" s="40" t="n">
        <v>-23.61041</v>
      </c>
      <c r="C9695" s="40" t="n">
        <v>-46.504167</v>
      </c>
      <c r="D9695" s="40" t="n">
        <v>127</v>
      </c>
      <c r="E9695" s="41" t="n">
        <v>5242.5635</v>
      </c>
    </row>
    <row r="9696">
      <c r="A9696" s="42">
        <f>_xlfn.XLOOKUP(60012,Trip[shape_id],Trip[shape_id],"Não encontrado")</f>
        <v/>
      </c>
      <c r="B9696" s="43" t="n">
        <v>-23.610205</v>
      </c>
      <c r="C9696" s="43" t="n">
        <v>-46.504257</v>
      </c>
      <c r="D9696" s="43" t="n">
        <v>128</v>
      </c>
      <c r="E9696" s="44" t="n">
        <v>5267.0552</v>
      </c>
    </row>
    <row r="9697">
      <c r="A9697" s="39">
        <f>_xlfn.XLOOKUP(60012,Trip[shape_id],Trip[shape_id],"Não encontrado")</f>
        <v/>
      </c>
      <c r="B9697" s="40" t="n">
        <v>-23.610049</v>
      </c>
      <c r="C9697" s="40" t="n">
        <v>-46.504328</v>
      </c>
      <c r="D9697" s="40" t="n">
        <v>129</v>
      </c>
      <c r="E9697" s="41" t="n">
        <v>5285.7905</v>
      </c>
    </row>
    <row r="9698">
      <c r="A9698" s="42">
        <f>_xlfn.XLOOKUP(60012,Trip[shape_id],Trip[shape_id],"Não encontrado")</f>
        <v/>
      </c>
      <c r="B9698" s="43" t="n">
        <v>-23.609875</v>
      </c>
      <c r="C9698" s="43" t="n">
        <v>-46.504475</v>
      </c>
      <c r="D9698" s="43" t="n">
        <v>130</v>
      </c>
      <c r="E9698" s="44" t="n">
        <v>5310.2124</v>
      </c>
    </row>
    <row r="9699">
      <c r="A9699" s="39">
        <f>_xlfn.XLOOKUP(60012,Trip[shape_id],Trip[shape_id],"Não encontrado")</f>
        <v/>
      </c>
      <c r="B9699" s="40" t="n">
        <v>-23.609731</v>
      </c>
      <c r="C9699" s="40" t="n">
        <v>-46.504665</v>
      </c>
      <c r="D9699" s="40" t="n">
        <v>131</v>
      </c>
      <c r="E9699" s="41" t="n">
        <v>5335.3188</v>
      </c>
    </row>
    <row r="9700">
      <c r="A9700" s="42">
        <f>_xlfn.XLOOKUP(60012,Trip[shape_id],Trip[shape_id],"Não encontrado")</f>
        <v/>
      </c>
      <c r="B9700" s="43" t="n">
        <v>-23.609052</v>
      </c>
      <c r="C9700" s="43" t="n">
        <v>-46.505563</v>
      </c>
      <c r="D9700" s="43" t="n">
        <v>132</v>
      </c>
      <c r="E9700" s="44" t="n">
        <v>5453.8696</v>
      </c>
    </row>
    <row r="9701">
      <c r="A9701" s="39">
        <f>_xlfn.XLOOKUP(60012,Trip[shape_id],Trip[shape_id],"Não encontrado")</f>
        <v/>
      </c>
      <c r="B9701" s="40" t="n">
        <v>-23.608643</v>
      </c>
      <c r="C9701" s="40" t="n">
        <v>-46.506132</v>
      </c>
      <c r="D9701" s="40" t="n">
        <v>133</v>
      </c>
      <c r="E9701" s="41" t="n">
        <v>5527.5181</v>
      </c>
    </row>
    <row r="9702">
      <c r="A9702" s="42">
        <f>_xlfn.XLOOKUP(60012,Trip[shape_id],Trip[shape_id],"Não encontrado")</f>
        <v/>
      </c>
      <c r="B9702" s="43" t="n">
        <v>-23.60836</v>
      </c>
      <c r="C9702" s="43" t="n">
        <v>-46.50646</v>
      </c>
      <c r="D9702" s="43" t="n">
        <v>134</v>
      </c>
      <c r="E9702" s="44" t="n">
        <v>5573.376</v>
      </c>
    </row>
    <row r="9703">
      <c r="A9703" s="39">
        <f>_xlfn.XLOOKUP(60012,Trip[shape_id],Trip[shape_id],"Não encontrado")</f>
        <v/>
      </c>
      <c r="B9703" s="40" t="n">
        <v>-23.608121</v>
      </c>
      <c r="C9703" s="40" t="n">
        <v>-46.506659</v>
      </c>
      <c r="D9703" s="40" t="n">
        <v>135</v>
      </c>
      <c r="E9703" s="41" t="n">
        <v>5606.7397</v>
      </c>
    </row>
    <row r="9704">
      <c r="A9704" s="42">
        <f>_xlfn.XLOOKUP(60012,Trip[shape_id],Trip[shape_id],"Não encontrado")</f>
        <v/>
      </c>
      <c r="B9704" s="43" t="n">
        <v>-23.607947</v>
      </c>
      <c r="C9704" s="43" t="n">
        <v>-46.506764</v>
      </c>
      <c r="D9704" s="43" t="n">
        <v>136</v>
      </c>
      <c r="E9704" s="44" t="n">
        <v>5628.7896</v>
      </c>
    </row>
    <row r="9705">
      <c r="A9705" s="39">
        <f>_xlfn.XLOOKUP(60012,Trip[shape_id],Trip[shape_id],"Não encontrado")</f>
        <v/>
      </c>
      <c r="B9705" s="40" t="n">
        <v>-23.607164</v>
      </c>
      <c r="C9705" s="40" t="n">
        <v>-46.507191</v>
      </c>
      <c r="D9705" s="40" t="n">
        <v>137</v>
      </c>
      <c r="E9705" s="41" t="n">
        <v>5725.8428</v>
      </c>
    </row>
    <row r="9706">
      <c r="A9706" s="42">
        <f>_xlfn.XLOOKUP(60012,Trip[shape_id],Trip[shape_id],"Não encontrado")</f>
        <v/>
      </c>
      <c r="B9706" s="43" t="n">
        <v>-23.606434</v>
      </c>
      <c r="C9706" s="43" t="n">
        <v>-46.507681</v>
      </c>
      <c r="D9706" s="43" t="n">
        <v>138</v>
      </c>
      <c r="E9706" s="44" t="n">
        <v>5820.9087</v>
      </c>
    </row>
    <row r="9707">
      <c r="A9707" s="39">
        <f>_xlfn.XLOOKUP(60012,Trip[shape_id],Trip[shape_id],"Não encontrado")</f>
        <v/>
      </c>
      <c r="B9707" s="40" t="n">
        <v>-23.605783</v>
      </c>
      <c r="C9707" s="40" t="n">
        <v>-46.508159</v>
      </c>
      <c r="D9707" s="40" t="n">
        <v>139</v>
      </c>
      <c r="E9707" s="41" t="n">
        <v>5907.9619</v>
      </c>
    </row>
    <row r="9708">
      <c r="A9708" s="42">
        <f>_xlfn.XLOOKUP(60012,Trip[shape_id],Trip[shape_id],"Não encontrado")</f>
        <v/>
      </c>
      <c r="B9708" s="43" t="n">
        <v>-23.604872</v>
      </c>
      <c r="C9708" s="43" t="n">
        <v>-46.508836</v>
      </c>
      <c r="D9708" s="43" t="n">
        <v>140</v>
      </c>
      <c r="E9708" s="44" t="n">
        <v>6030.2485</v>
      </c>
    </row>
    <row r="9709">
      <c r="A9709" s="39">
        <f>_xlfn.XLOOKUP(60012,Trip[shape_id],Trip[shape_id],"Não encontrado")</f>
        <v/>
      </c>
      <c r="B9709" s="40" t="n">
        <v>-23.604628</v>
      </c>
      <c r="C9709" s="40" t="n">
        <v>-46.509026</v>
      </c>
      <c r="D9709" s="40" t="n">
        <v>141</v>
      </c>
      <c r="E9709" s="41" t="n">
        <v>6063.5098</v>
      </c>
    </row>
    <row r="9710">
      <c r="A9710" s="42">
        <f>_xlfn.XLOOKUP(60012,Trip[shape_id],Trip[shape_id],"Não encontrado")</f>
        <v/>
      </c>
      <c r="B9710" s="43" t="n">
        <v>-23.604544</v>
      </c>
      <c r="C9710" s="43" t="n">
        <v>-46.509088</v>
      </c>
      <c r="D9710" s="43" t="n">
        <v>142</v>
      </c>
      <c r="E9710" s="44" t="n">
        <v>6074.7607</v>
      </c>
    </row>
    <row r="9711">
      <c r="A9711" s="39">
        <f>_xlfn.XLOOKUP(60012,Trip[shape_id],Trip[shape_id],"Não encontrado")</f>
        <v/>
      </c>
      <c r="B9711" s="40" t="n">
        <v>-23.604405</v>
      </c>
      <c r="C9711" s="40" t="n">
        <v>-46.509171</v>
      </c>
      <c r="D9711" s="40" t="n">
        <v>143</v>
      </c>
      <c r="E9711" s="41" t="n">
        <v>6092.332</v>
      </c>
    </row>
    <row r="9712">
      <c r="A9712" s="42">
        <f>_xlfn.XLOOKUP(60012,Trip[shape_id],Trip[shape_id],"Não encontrado")</f>
        <v/>
      </c>
      <c r="B9712" s="43" t="n">
        <v>-23.604379</v>
      </c>
      <c r="C9712" s="43" t="n">
        <v>-46.509198</v>
      </c>
      <c r="D9712" s="43" t="n">
        <v>144</v>
      </c>
      <c r="E9712" s="44" t="n">
        <v>6096.3179</v>
      </c>
    </row>
    <row r="9713">
      <c r="A9713" s="39">
        <f>_xlfn.XLOOKUP(60012,Trip[shape_id],Trip[shape_id],"Não encontrado")</f>
        <v/>
      </c>
      <c r="B9713" s="40" t="n">
        <v>-23.604358</v>
      </c>
      <c r="C9713" s="40" t="n">
        <v>-46.509235</v>
      </c>
      <c r="D9713" s="40" t="n">
        <v>145</v>
      </c>
      <c r="E9713" s="41" t="n">
        <v>6100.752</v>
      </c>
    </row>
    <row r="9714">
      <c r="A9714" s="42">
        <f>_xlfn.XLOOKUP(60012,Trip[shape_id],Trip[shape_id],"Não encontrado")</f>
        <v/>
      </c>
      <c r="B9714" s="43" t="n">
        <v>-23.60435</v>
      </c>
      <c r="C9714" s="43" t="n">
        <v>-46.509316</v>
      </c>
      <c r="D9714" s="43" t="n">
        <v>146</v>
      </c>
      <c r="E9714" s="44" t="n">
        <v>6109.0664</v>
      </c>
    </row>
    <row r="9715">
      <c r="A9715" s="39">
        <f>_xlfn.XLOOKUP(60012,Trip[shape_id],Trip[shape_id],"Não encontrado")</f>
        <v/>
      </c>
      <c r="B9715" s="40" t="n">
        <v>-23.604357</v>
      </c>
      <c r="C9715" s="40" t="n">
        <v>-46.509474</v>
      </c>
      <c r="D9715" s="40" t="n">
        <v>147</v>
      </c>
      <c r="E9715" s="41" t="n">
        <v>6125.2104</v>
      </c>
    </row>
    <row r="9716">
      <c r="A9716" s="42">
        <f>_xlfn.XLOOKUP(60012,Trip[shape_id],Trip[shape_id],"Não encontrado")</f>
        <v/>
      </c>
      <c r="B9716" s="43" t="n">
        <v>-23.604381</v>
      </c>
      <c r="C9716" s="43" t="n">
        <v>-46.50964</v>
      </c>
      <c r="D9716" s="43" t="n">
        <v>148</v>
      </c>
      <c r="E9716" s="44" t="n">
        <v>6142.3594</v>
      </c>
    </row>
    <row r="9717">
      <c r="A9717" s="39">
        <f>_xlfn.XLOOKUP(60012,Trip[shape_id],Trip[shape_id],"Não encontrado")</f>
        <v/>
      </c>
      <c r="B9717" s="40" t="n">
        <v>-23.604431</v>
      </c>
      <c r="C9717" s="40" t="n">
        <v>-46.509824</v>
      </c>
      <c r="D9717" s="40" t="n">
        <v>149</v>
      </c>
      <c r="E9717" s="41" t="n">
        <v>6161.938</v>
      </c>
    </row>
    <row r="9718">
      <c r="A9718" s="42">
        <f>_xlfn.XLOOKUP(60012,Trip[shape_id],Trip[shape_id],"Não encontrado")</f>
        <v/>
      </c>
      <c r="B9718" s="43" t="n">
        <v>-23.604512</v>
      </c>
      <c r="C9718" s="43" t="n">
        <v>-46.510054</v>
      </c>
      <c r="D9718" s="43" t="n">
        <v>150</v>
      </c>
      <c r="E9718" s="44" t="n">
        <v>6187.0679</v>
      </c>
    </row>
    <row r="9719">
      <c r="A9719" s="39">
        <f>_xlfn.XLOOKUP(60012,Trip[shape_id],Trip[shape_id],"Não encontrado")</f>
        <v/>
      </c>
      <c r="B9719" s="40" t="n">
        <v>-23.604546</v>
      </c>
      <c r="C9719" s="40" t="n">
        <v>-46.510184</v>
      </c>
      <c r="D9719" s="40" t="n">
        <v>151</v>
      </c>
      <c r="E9719" s="41" t="n">
        <v>6200.8594</v>
      </c>
    </row>
    <row r="9720">
      <c r="A9720" s="42">
        <f>_xlfn.XLOOKUP(60012,Trip[shape_id],Trip[shape_id],"Não encontrado")</f>
        <v/>
      </c>
      <c r="B9720" s="43" t="n">
        <v>-23.604559</v>
      </c>
      <c r="C9720" s="43" t="n">
        <v>-46.510334</v>
      </c>
      <c r="D9720" s="43" t="n">
        <v>152</v>
      </c>
      <c r="E9720" s="44" t="n">
        <v>6216.2358</v>
      </c>
    </row>
    <row r="9721">
      <c r="A9721" s="39">
        <f>_xlfn.XLOOKUP(60012,Trip[shape_id],Trip[shape_id],"Não encontrado")</f>
        <v/>
      </c>
      <c r="B9721" s="40" t="n">
        <v>-23.604555</v>
      </c>
      <c r="C9721" s="40" t="n">
        <v>-46.510546</v>
      </c>
      <c r="D9721" s="40" t="n">
        <v>153</v>
      </c>
      <c r="E9721" s="41" t="n">
        <v>6237.877</v>
      </c>
    </row>
    <row r="9722">
      <c r="A9722" s="42">
        <f>_xlfn.XLOOKUP(60012,Trip[shape_id],Trip[shape_id],"Não encontrado")</f>
        <v/>
      </c>
      <c r="B9722" s="43" t="n">
        <v>-23.604534</v>
      </c>
      <c r="C9722" s="43" t="n">
        <v>-46.510648</v>
      </c>
      <c r="D9722" s="43" t="n">
        <v>154</v>
      </c>
      <c r="E9722" s="44" t="n">
        <v>6248.5439</v>
      </c>
    </row>
    <row r="9723">
      <c r="A9723" s="39">
        <f>_xlfn.XLOOKUP(60012,Trip[shape_id],Trip[shape_id],"Não encontrado")</f>
        <v/>
      </c>
      <c r="B9723" s="40" t="n">
        <v>-23.604425</v>
      </c>
      <c r="C9723" s="40" t="n">
        <v>-46.51082</v>
      </c>
      <c r="D9723" s="40" t="n">
        <v>155</v>
      </c>
      <c r="E9723" s="41" t="n">
        <v>6269.8486</v>
      </c>
    </row>
    <row r="9724">
      <c r="A9724" s="42">
        <f>_xlfn.XLOOKUP(60012,Trip[shape_id],Trip[shape_id],"Não encontrado")</f>
        <v/>
      </c>
      <c r="B9724" s="43" t="n">
        <v>-23.60385</v>
      </c>
      <c r="C9724" s="43" t="n">
        <v>-46.511603</v>
      </c>
      <c r="D9724" s="43" t="n">
        <v>156</v>
      </c>
      <c r="E9724" s="44" t="n">
        <v>6372.0332</v>
      </c>
    </row>
    <row r="9725">
      <c r="A9725" s="39">
        <f>_xlfn.XLOOKUP(60012,Trip[shape_id],Trip[shape_id],"Não encontrado")</f>
        <v/>
      </c>
      <c r="B9725" s="40" t="n">
        <v>-23.603638</v>
      </c>
      <c r="C9725" s="40" t="n">
        <v>-46.511917</v>
      </c>
      <c r="D9725" s="40" t="n">
        <v>157</v>
      </c>
      <c r="E9725" s="41" t="n">
        <v>6411.7612</v>
      </c>
    </row>
    <row r="9726">
      <c r="A9726" s="42">
        <f>_xlfn.XLOOKUP(60012,Trip[shape_id],Trip[shape_id],"Não encontrado")</f>
        <v/>
      </c>
      <c r="B9726" s="43" t="n">
        <v>-23.603558</v>
      </c>
      <c r="C9726" s="43" t="n">
        <v>-46.51209</v>
      </c>
      <c r="D9726" s="43" t="n">
        <v>158</v>
      </c>
      <c r="E9726" s="44" t="n">
        <v>6431.5166</v>
      </c>
    </row>
    <row r="9727">
      <c r="A9727" s="39">
        <f>_xlfn.XLOOKUP(60012,Trip[shape_id],Trip[shape_id],"Não encontrado")</f>
        <v/>
      </c>
      <c r="B9727" s="40" t="n">
        <v>-23.603505</v>
      </c>
      <c r="C9727" s="40" t="n">
        <v>-46.512267</v>
      </c>
      <c r="D9727" s="40" t="n">
        <v>159</v>
      </c>
      <c r="E9727" s="41" t="n">
        <v>6450.5112</v>
      </c>
    </row>
    <row r="9728">
      <c r="A9728" s="42">
        <f>_xlfn.XLOOKUP(60012,Trip[shape_id],Trip[shape_id],"Não encontrado")</f>
        <v/>
      </c>
      <c r="B9728" s="43" t="n">
        <v>-23.603396</v>
      </c>
      <c r="C9728" s="43" t="n">
        <v>-46.512819</v>
      </c>
      <c r="D9728" s="43" t="n">
        <v>160</v>
      </c>
      <c r="E9728" s="44" t="n">
        <v>6508.1279</v>
      </c>
    </row>
    <row r="9729">
      <c r="A9729" s="39">
        <f>_xlfn.XLOOKUP(60012,Trip[shape_id],Trip[shape_id],"Não encontrado")</f>
        <v/>
      </c>
      <c r="B9729" s="40" t="n">
        <v>-23.603279</v>
      </c>
      <c r="C9729" s="40" t="n">
        <v>-46.513381</v>
      </c>
      <c r="D9729" s="40" t="n">
        <v>161</v>
      </c>
      <c r="E9729" s="41" t="n">
        <v>6566.9316</v>
      </c>
    </row>
    <row r="9730">
      <c r="A9730" s="42">
        <f>_xlfn.XLOOKUP(60012,Trip[shape_id],Trip[shape_id],"Não encontrado")</f>
        <v/>
      </c>
      <c r="B9730" s="43" t="n">
        <v>-23.603084</v>
      </c>
      <c r="C9730" s="43" t="n">
        <v>-46.514394</v>
      </c>
      <c r="D9730" s="43" t="n">
        <v>162</v>
      </c>
      <c r="E9730" s="44" t="n">
        <v>6672.5513</v>
      </c>
    </row>
    <row r="9731">
      <c r="A9731" s="39">
        <f>_xlfn.XLOOKUP(60012,Trip[shape_id],Trip[shape_id],"Não encontrado")</f>
        <v/>
      </c>
      <c r="B9731" s="40" t="n">
        <v>-23.603013</v>
      </c>
      <c r="C9731" s="40" t="n">
        <v>-46.514874</v>
      </c>
      <c r="D9731" s="40" t="n">
        <v>163</v>
      </c>
      <c r="E9731" s="41" t="n">
        <v>6722.168</v>
      </c>
    </row>
    <row r="9732">
      <c r="A9732" s="42">
        <f>_xlfn.XLOOKUP(60012,Trip[shape_id],Trip[shape_id],"Não encontrado")</f>
        <v/>
      </c>
      <c r="B9732" s="43" t="n">
        <v>-23.602945</v>
      </c>
      <c r="C9732" s="43" t="n">
        <v>-46.51573</v>
      </c>
      <c r="D9732" s="43" t="n">
        <v>164</v>
      </c>
      <c r="E9732" s="44" t="n">
        <v>6809.8564</v>
      </c>
    </row>
    <row r="9733">
      <c r="A9733" s="39">
        <f>_xlfn.XLOOKUP(60012,Trip[shape_id],Trip[shape_id],"Não encontrado")</f>
        <v/>
      </c>
      <c r="B9733" s="40" t="n">
        <v>-23.602907</v>
      </c>
      <c r="C9733" s="40" t="n">
        <v>-46.515996</v>
      </c>
      <c r="D9733" s="40" t="n">
        <v>165</v>
      </c>
      <c r="E9733" s="41" t="n">
        <v>6837.3291</v>
      </c>
    </row>
    <row r="9734">
      <c r="A9734" s="42">
        <f>_xlfn.XLOOKUP(60012,Trip[shape_id],Trip[shape_id],"Não encontrado")</f>
        <v/>
      </c>
      <c r="B9734" s="43" t="n">
        <v>-23.602874</v>
      </c>
      <c r="C9734" s="43" t="n">
        <v>-46.516232</v>
      </c>
      <c r="D9734" s="43" t="n">
        <v>166</v>
      </c>
      <c r="E9734" s="44" t="n">
        <v>6861.6914</v>
      </c>
    </row>
    <row r="9735">
      <c r="A9735" s="39">
        <f>_xlfn.XLOOKUP(60012,Trip[shape_id],Trip[shape_id],"Não encontrado")</f>
        <v/>
      </c>
      <c r="B9735" s="40" t="n">
        <v>-23.602781</v>
      </c>
      <c r="C9735" s="40" t="n">
        <v>-46.516832</v>
      </c>
      <c r="D9735" s="40" t="n">
        <v>167</v>
      </c>
      <c r="E9735" s="41" t="n">
        <v>6923.7886</v>
      </c>
    </row>
    <row r="9736">
      <c r="A9736" s="42">
        <f>_xlfn.XLOOKUP(60012,Trip[shape_id],Trip[shape_id],"Não encontrado")</f>
        <v/>
      </c>
      <c r="B9736" s="43" t="n">
        <v>-23.602705</v>
      </c>
      <c r="C9736" s="43" t="n">
        <v>-46.517238</v>
      </c>
      <c r="D9736" s="43" t="n">
        <v>168</v>
      </c>
      <c r="E9736" s="44" t="n">
        <v>6966.0718</v>
      </c>
    </row>
    <row r="9737">
      <c r="A9737" s="39">
        <f>_xlfn.XLOOKUP(60012,Trip[shape_id],Trip[shape_id],"Não encontrado")</f>
        <v/>
      </c>
      <c r="B9737" s="40" t="n">
        <v>-23.602626</v>
      </c>
      <c r="C9737" s="40" t="n">
        <v>-46.517679</v>
      </c>
      <c r="D9737" s="40" t="n">
        <v>169</v>
      </c>
      <c r="E9737" s="41" t="n">
        <v>7011.9233</v>
      </c>
    </row>
    <row r="9738">
      <c r="A9738" s="42">
        <f>_xlfn.XLOOKUP(60012,Trip[shape_id],Trip[shape_id],"Não encontrado")</f>
        <v/>
      </c>
      <c r="B9738" s="43" t="n">
        <v>-23.602579</v>
      </c>
      <c r="C9738" s="43" t="n">
        <v>-46.518018</v>
      </c>
      <c r="D9738" s="43" t="n">
        <v>170</v>
      </c>
      <c r="E9738" s="44" t="n">
        <v>7046.9116</v>
      </c>
    </row>
    <row r="9739">
      <c r="A9739" s="39">
        <f>_xlfn.XLOOKUP(60012,Trip[shape_id],Trip[shape_id],"Não encontrado")</f>
        <v/>
      </c>
      <c r="B9739" s="40" t="n">
        <v>-23.602556</v>
      </c>
      <c r="C9739" s="40" t="n">
        <v>-46.51855</v>
      </c>
      <c r="D9739" s="40" t="n">
        <v>171</v>
      </c>
      <c r="E9739" s="41" t="n">
        <v>7101.2681</v>
      </c>
    </row>
    <row r="9740">
      <c r="A9740" s="42">
        <f>_xlfn.XLOOKUP(60012,Trip[shape_id],Trip[shape_id],"Não encontrado")</f>
        <v/>
      </c>
      <c r="B9740" s="43" t="n">
        <v>-23.602568</v>
      </c>
      <c r="C9740" s="43" t="n">
        <v>-46.519318</v>
      </c>
      <c r="D9740" s="43" t="n">
        <v>172</v>
      </c>
      <c r="E9740" s="44" t="n">
        <v>7179.6626</v>
      </c>
    </row>
    <row r="9741">
      <c r="A9741" s="39">
        <f>_xlfn.XLOOKUP(60012,Trip[shape_id],Trip[shape_id],"Não encontrado")</f>
        <v/>
      </c>
      <c r="B9741" s="40" t="n">
        <v>-23.60255</v>
      </c>
      <c r="C9741" s="40" t="n">
        <v>-46.519978</v>
      </c>
      <c r="D9741" s="40" t="n">
        <v>173</v>
      </c>
      <c r="E9741" s="41" t="n">
        <v>7247.0527</v>
      </c>
    </row>
    <row r="9742">
      <c r="A9742" s="42">
        <f>_xlfn.XLOOKUP(60012,Trip[shape_id],Trip[shape_id],"Não encontrado")</f>
        <v/>
      </c>
      <c r="B9742" s="43" t="n">
        <v>-23.602536</v>
      </c>
      <c r="C9742" s="43" t="n">
        <v>-46.520315</v>
      </c>
      <c r="D9742" s="43" t="n">
        <v>174</v>
      </c>
      <c r="E9742" s="44" t="n">
        <v>7281.4824</v>
      </c>
    </row>
    <row r="9743">
      <c r="A9743" s="39">
        <f>_xlfn.XLOOKUP(60012,Trip[shape_id],Trip[shape_id],"Não encontrado")</f>
        <v/>
      </c>
      <c r="B9743" s="40" t="n">
        <v>-23.602516</v>
      </c>
      <c r="C9743" s="40" t="n">
        <v>-46.52055</v>
      </c>
      <c r="D9743" s="40" t="n">
        <v>175</v>
      </c>
      <c r="E9743" s="41" t="n">
        <v>7305.5688</v>
      </c>
    </row>
    <row r="9744">
      <c r="A9744" s="42">
        <f>_xlfn.XLOOKUP(60012,Trip[shape_id],Trip[shape_id],"Não encontrado")</f>
        <v/>
      </c>
      <c r="B9744" s="43" t="n">
        <v>-23.602466</v>
      </c>
      <c r="C9744" s="43" t="n">
        <v>-46.520866</v>
      </c>
      <c r="D9744" s="43" t="n">
        <v>176</v>
      </c>
      <c r="E9744" s="44" t="n">
        <v>7338.2925</v>
      </c>
    </row>
    <row r="9745">
      <c r="A9745" s="39">
        <f>_xlfn.XLOOKUP(60012,Trip[shape_id],Trip[shape_id],"Não encontrado")</f>
        <v/>
      </c>
      <c r="B9745" s="40" t="n">
        <v>-23.602414</v>
      </c>
      <c r="C9745" s="40" t="n">
        <v>-46.521203</v>
      </c>
      <c r="D9745" s="40" t="n">
        <v>177</v>
      </c>
      <c r="E9745" s="41" t="n">
        <v>7373.166</v>
      </c>
    </row>
    <row r="9746">
      <c r="A9746" s="42">
        <f>_xlfn.XLOOKUP(60012,Trip[shape_id],Trip[shape_id],"Não encontrado")</f>
        <v/>
      </c>
      <c r="B9746" s="43" t="n">
        <v>-23.602206</v>
      </c>
      <c r="C9746" s="43" t="n">
        <v>-46.522675</v>
      </c>
      <c r="D9746" s="43" t="n">
        <v>178</v>
      </c>
      <c r="E9746" s="44" t="n">
        <v>7525.1572</v>
      </c>
    </row>
    <row r="9747">
      <c r="A9747" s="39">
        <f>_xlfn.XLOOKUP(60012,Trip[shape_id],Trip[shape_id],"Não encontrado")</f>
        <v/>
      </c>
      <c r="B9747" s="40" t="n">
        <v>-23.602088</v>
      </c>
      <c r="C9747" s="40" t="n">
        <v>-46.523495</v>
      </c>
      <c r="D9747" s="40" t="n">
        <v>179</v>
      </c>
      <c r="E9747" s="41" t="n">
        <v>7609.8623</v>
      </c>
    </row>
    <row r="9748">
      <c r="A9748" s="42">
        <f>_xlfn.XLOOKUP(60012,Trip[shape_id],Trip[shape_id],"Não encontrado")</f>
        <v/>
      </c>
      <c r="B9748" s="43" t="n">
        <v>-23.602037</v>
      </c>
      <c r="C9748" s="43" t="n">
        <v>-46.523832</v>
      </c>
      <c r="D9748" s="43" t="n">
        <v>180</v>
      </c>
      <c r="E9748" s="44" t="n">
        <v>7644.7178</v>
      </c>
    </row>
    <row r="9749">
      <c r="A9749" s="39">
        <f>_xlfn.XLOOKUP(60012,Trip[shape_id],Trip[shape_id],"Não encontrado")</f>
        <v/>
      </c>
      <c r="B9749" s="40" t="n">
        <v>-23.601985</v>
      </c>
      <c r="C9749" s="40" t="n">
        <v>-46.524227</v>
      </c>
      <c r="D9749" s="40" t="n">
        <v>181</v>
      </c>
      <c r="E9749" s="41" t="n">
        <v>7685.4419</v>
      </c>
    </row>
    <row r="9750">
      <c r="A9750" s="42">
        <f>_xlfn.XLOOKUP(60012,Trip[shape_id],Trip[shape_id],"Não encontrado")</f>
        <v/>
      </c>
      <c r="B9750" s="43" t="n">
        <v>-23.601938</v>
      </c>
      <c r="C9750" s="43" t="n">
        <v>-46.52455</v>
      </c>
      <c r="D9750" s="43" t="n">
        <v>182</v>
      </c>
      <c r="E9750" s="44" t="n">
        <v>7718.8164</v>
      </c>
    </row>
    <row r="9751">
      <c r="A9751" s="39">
        <f>_xlfn.XLOOKUP(60012,Trip[shape_id],Trip[shape_id],"Não encontrado")</f>
        <v/>
      </c>
      <c r="B9751" s="40" t="n">
        <v>-23.601907</v>
      </c>
      <c r="C9751" s="40" t="n">
        <v>-46.524762</v>
      </c>
      <c r="D9751" s="40" t="n">
        <v>183</v>
      </c>
      <c r="E9751" s="41" t="n">
        <v>7740.7246</v>
      </c>
    </row>
    <row r="9752">
      <c r="A9752" s="42">
        <f>_xlfn.XLOOKUP(60012,Trip[shape_id],Trip[shape_id],"Não encontrado")</f>
        <v/>
      </c>
      <c r="B9752" s="43" t="n">
        <v>-23.601875</v>
      </c>
      <c r="C9752" s="43" t="n">
        <v>-46.524943</v>
      </c>
      <c r="D9752" s="43" t="n">
        <v>184</v>
      </c>
      <c r="E9752" s="44" t="n">
        <v>7759.5347</v>
      </c>
    </row>
    <row r="9753">
      <c r="A9753" s="39">
        <f>_xlfn.XLOOKUP(60012,Trip[shape_id],Trip[shape_id],"Não encontrado")</f>
        <v/>
      </c>
      <c r="B9753" s="40" t="n">
        <v>-23.601827</v>
      </c>
      <c r="C9753" s="40" t="n">
        <v>-46.525197</v>
      </c>
      <c r="D9753" s="40" t="n">
        <v>185</v>
      </c>
      <c r="E9753" s="41" t="n">
        <v>7785.998</v>
      </c>
    </row>
    <row r="9754">
      <c r="A9754" s="42">
        <f>_xlfn.XLOOKUP(60012,Trip[shape_id],Trip[shape_id],"Não encontrado")</f>
        <v/>
      </c>
      <c r="B9754" s="43" t="n">
        <v>-23.601798</v>
      </c>
      <c r="C9754" s="43" t="n">
        <v>-46.525357</v>
      </c>
      <c r="D9754" s="43" t="n">
        <v>186</v>
      </c>
      <c r="E9754" s="44" t="n">
        <v>7802.6406</v>
      </c>
    </row>
    <row r="9755">
      <c r="A9755" s="39">
        <f>_xlfn.XLOOKUP(60012,Trip[shape_id],Trip[shape_id],"Não encontrado")</f>
        <v/>
      </c>
      <c r="B9755" s="40" t="n">
        <v>-23.601755</v>
      </c>
      <c r="C9755" s="40" t="n">
        <v>-46.525506</v>
      </c>
      <c r="D9755" s="40" t="n">
        <v>187</v>
      </c>
      <c r="E9755" s="41" t="n">
        <v>7818.5767</v>
      </c>
    </row>
    <row r="9756">
      <c r="A9756" s="42">
        <f>_xlfn.XLOOKUP(60012,Trip[shape_id],Trip[shape_id],"Não encontrado")</f>
        <v/>
      </c>
      <c r="B9756" s="43" t="n">
        <v>-23.601675</v>
      </c>
      <c r="C9756" s="43" t="n">
        <v>-46.525743</v>
      </c>
      <c r="D9756" s="43" t="n">
        <v>188</v>
      </c>
      <c r="E9756" s="44" t="n">
        <v>7844.3369</v>
      </c>
    </row>
    <row r="9757">
      <c r="A9757" s="39">
        <f>_xlfn.XLOOKUP(60012,Trip[shape_id],Trip[shape_id],"Não encontrado")</f>
        <v/>
      </c>
      <c r="B9757" s="40" t="n">
        <v>-23.601555</v>
      </c>
      <c r="C9757" s="40" t="n">
        <v>-46.526091</v>
      </c>
      <c r="D9757" s="40" t="n">
        <v>189</v>
      </c>
      <c r="E9757" s="41" t="n">
        <v>7882.2598</v>
      </c>
    </row>
    <row r="9758">
      <c r="A9758" s="42">
        <f>_xlfn.XLOOKUP(60012,Trip[shape_id],Trip[shape_id],"Não encontrado")</f>
        <v/>
      </c>
      <c r="B9758" s="43" t="n">
        <v>-23.601389</v>
      </c>
      <c r="C9758" s="43" t="n">
        <v>-46.526396</v>
      </c>
      <c r="D9758" s="43" t="n">
        <v>190</v>
      </c>
      <c r="E9758" s="44" t="n">
        <v>7918.4126</v>
      </c>
    </row>
    <row r="9759">
      <c r="A9759" s="39">
        <f>_xlfn.XLOOKUP(60012,Trip[shape_id],Trip[shape_id],"Não encontrado")</f>
        <v/>
      </c>
      <c r="B9759" s="40" t="n">
        <v>-23.601141</v>
      </c>
      <c r="C9759" s="40" t="n">
        <v>-46.526748</v>
      </c>
      <c r="D9759" s="40" t="n">
        <v>191</v>
      </c>
      <c r="E9759" s="41" t="n">
        <v>7963.6353</v>
      </c>
    </row>
    <row r="9760">
      <c r="A9760" s="42">
        <f>_xlfn.XLOOKUP(60012,Trip[shape_id],Trip[shape_id],"Não encontrado")</f>
        <v/>
      </c>
      <c r="B9760" s="43" t="n">
        <v>-23.600924</v>
      </c>
      <c r="C9760" s="43" t="n">
        <v>-46.527062</v>
      </c>
      <c r="D9760" s="43" t="n">
        <v>192</v>
      </c>
      <c r="E9760" s="44" t="n">
        <v>8003.6934</v>
      </c>
    </row>
    <row r="9761">
      <c r="A9761" s="39">
        <f>_xlfn.XLOOKUP(60012,Trip[shape_id],Trip[shape_id],"Não encontrado")</f>
        <v/>
      </c>
      <c r="B9761" s="40" t="n">
        <v>-23.600402</v>
      </c>
      <c r="C9761" s="40" t="n">
        <v>-46.52781</v>
      </c>
      <c r="D9761" s="40" t="n">
        <v>193</v>
      </c>
      <c r="E9761" s="41" t="n">
        <v>8099.4565</v>
      </c>
    </row>
    <row r="9762">
      <c r="A9762" s="42">
        <f>_xlfn.XLOOKUP(60012,Trip[shape_id],Trip[shape_id],"Não encontrado")</f>
        <v/>
      </c>
      <c r="B9762" s="43" t="n">
        <v>-23.600083</v>
      </c>
      <c r="C9762" s="43" t="n">
        <v>-46.528285</v>
      </c>
      <c r="D9762" s="43" t="n">
        <v>194</v>
      </c>
      <c r="E9762" s="44" t="n">
        <v>8159.4443</v>
      </c>
    </row>
    <row r="9763">
      <c r="A9763" s="39">
        <f>_xlfn.XLOOKUP(60012,Trip[shape_id],Trip[shape_id],"Não encontrado")</f>
        <v/>
      </c>
      <c r="B9763" s="40" t="n">
        <v>-23.59998</v>
      </c>
      <c r="C9763" s="40" t="n">
        <v>-46.528454</v>
      </c>
      <c r="D9763" s="40" t="n">
        <v>195</v>
      </c>
      <c r="E9763" s="41" t="n">
        <v>8180.124</v>
      </c>
    </row>
    <row r="9764">
      <c r="A9764" s="42">
        <f>_xlfn.XLOOKUP(60012,Trip[shape_id],Trip[shape_id],"Não encontrado")</f>
        <v/>
      </c>
      <c r="B9764" s="43" t="n">
        <v>-23.599884</v>
      </c>
      <c r="C9764" s="43" t="n">
        <v>-46.528609</v>
      </c>
      <c r="D9764" s="43" t="n">
        <v>196</v>
      </c>
      <c r="E9764" s="44" t="n">
        <v>8199.184600000001</v>
      </c>
    </row>
    <row r="9765">
      <c r="A9765" s="39">
        <f>_xlfn.XLOOKUP(60012,Trip[shape_id],Trip[shape_id],"Não encontrado")</f>
        <v/>
      </c>
      <c r="B9765" s="40" t="n">
        <v>-23.599801</v>
      </c>
      <c r="C9765" s="40" t="n">
        <v>-46.528784</v>
      </c>
      <c r="D9765" s="40" t="n">
        <v>197</v>
      </c>
      <c r="E9765" s="41" t="n">
        <v>8219.272499999999</v>
      </c>
    </row>
    <row r="9766">
      <c r="A9766" s="42">
        <f>_xlfn.XLOOKUP(60012,Trip[shape_id],Trip[shape_id],"Não encontrado")</f>
        <v/>
      </c>
      <c r="B9766" s="43" t="n">
        <v>-23.599721</v>
      </c>
      <c r="C9766" s="43" t="n">
        <v>-46.528967</v>
      </c>
      <c r="D9766" s="43" t="n">
        <v>198</v>
      </c>
      <c r="E9766" s="44" t="n">
        <v>8239.945299999999</v>
      </c>
    </row>
    <row r="9767">
      <c r="A9767" s="39">
        <f>_xlfn.XLOOKUP(60012,Trip[shape_id],Trip[shape_id],"Não encontrado")</f>
        <v/>
      </c>
      <c r="B9767" s="40" t="n">
        <v>-23.599662</v>
      </c>
      <c r="C9767" s="40" t="n">
        <v>-46.529134</v>
      </c>
      <c r="D9767" s="40" t="n">
        <v>199</v>
      </c>
      <c r="E9767" s="41" t="n">
        <v>8258.199199999999</v>
      </c>
    </row>
    <row r="9768">
      <c r="A9768" s="42">
        <f>_xlfn.XLOOKUP(60012,Trip[shape_id],Trip[shape_id],"Não encontrado")</f>
        <v/>
      </c>
      <c r="B9768" s="43" t="n">
        <v>-23.599567</v>
      </c>
      <c r="C9768" s="43" t="n">
        <v>-46.529403</v>
      </c>
      <c r="D9768" s="43" t="n">
        <v>200</v>
      </c>
      <c r="E9768" s="44" t="n">
        <v>8287.6016</v>
      </c>
    </row>
    <row r="9769">
      <c r="A9769" s="39">
        <f>_xlfn.XLOOKUP(60012,Trip[shape_id],Trip[shape_id],"Não encontrado")</f>
        <v/>
      </c>
      <c r="B9769" s="40" t="n">
        <v>-23.599254</v>
      </c>
      <c r="C9769" s="40" t="n">
        <v>-46.530349</v>
      </c>
      <c r="D9769" s="40" t="n">
        <v>201</v>
      </c>
      <c r="E9769" s="41" t="n">
        <v>8390.1885</v>
      </c>
    </row>
    <row r="9770">
      <c r="A9770" s="42">
        <f>_xlfn.XLOOKUP(60012,Trip[shape_id],Trip[shape_id],"Não encontrado")</f>
        <v/>
      </c>
      <c r="B9770" s="43" t="n">
        <v>-23.598903</v>
      </c>
      <c r="C9770" s="43" t="n">
        <v>-46.531434</v>
      </c>
      <c r="D9770" s="43" t="n">
        <v>202</v>
      </c>
      <c r="E9770" s="44" t="n">
        <v>8507.5537</v>
      </c>
    </row>
    <row r="9771">
      <c r="A9771" s="39">
        <f>_xlfn.XLOOKUP(60012,Trip[shape_id],Trip[shape_id],"Não encontrado")</f>
        <v/>
      </c>
      <c r="B9771" s="40" t="n">
        <v>-23.598421</v>
      </c>
      <c r="C9771" s="40" t="n">
        <v>-46.532911</v>
      </c>
      <c r="D9771" s="40" t="n">
        <v>203</v>
      </c>
      <c r="E9771" s="41" t="n">
        <v>8667.4766</v>
      </c>
    </row>
    <row r="9772">
      <c r="A9772" s="42">
        <f>_xlfn.XLOOKUP(60012,Trip[shape_id],Trip[shape_id],"Não encontrado")</f>
        <v/>
      </c>
      <c r="B9772" s="43" t="n">
        <v>-23.598042</v>
      </c>
      <c r="C9772" s="43" t="n">
        <v>-46.534173</v>
      </c>
      <c r="D9772" s="43" t="n">
        <v>204</v>
      </c>
      <c r="E9772" s="44" t="n">
        <v>8802.949199999999</v>
      </c>
    </row>
    <row r="9773">
      <c r="A9773" s="39">
        <f>_xlfn.XLOOKUP(60012,Trip[shape_id],Trip[shape_id],"Não encontrado")</f>
        <v/>
      </c>
      <c r="B9773" s="40" t="n">
        <v>-23.597986</v>
      </c>
      <c r="C9773" s="40" t="n">
        <v>-46.534334</v>
      </c>
      <c r="D9773" s="40" t="n">
        <v>205</v>
      </c>
      <c r="E9773" s="41" t="n">
        <v>8820.512699999999</v>
      </c>
    </row>
    <row r="9774">
      <c r="A9774" s="42">
        <f>_xlfn.XLOOKUP(60012,Trip[shape_id],Trip[shape_id],"Não encontrado")</f>
        <v/>
      </c>
      <c r="B9774" s="43" t="n">
        <v>-23.597847</v>
      </c>
      <c r="C9774" s="43" t="n">
        <v>-46.53469</v>
      </c>
      <c r="D9774" s="43" t="n">
        <v>206</v>
      </c>
      <c r="E9774" s="44" t="n">
        <v>8859.9746</v>
      </c>
    </row>
    <row r="9775">
      <c r="A9775" s="39">
        <f>_xlfn.XLOOKUP(60012,Trip[shape_id],Trip[shape_id],"Não encontrado")</f>
        <v/>
      </c>
      <c r="B9775" s="40" t="n">
        <v>-23.597767</v>
      </c>
      <c r="C9775" s="40" t="n">
        <v>-46.534904</v>
      </c>
      <c r="D9775" s="40" t="n">
        <v>207</v>
      </c>
      <c r="E9775" s="41" t="n">
        <v>8883.544900000001</v>
      </c>
    </row>
    <row r="9776">
      <c r="A9776" s="42">
        <f>_xlfn.XLOOKUP(60012,Trip[shape_id],Trip[shape_id],"Não encontrado")</f>
        <v/>
      </c>
      <c r="B9776" s="43" t="n">
        <v>-23.5977</v>
      </c>
      <c r="C9776" s="43" t="n">
        <v>-46.535027</v>
      </c>
      <c r="D9776" s="43" t="n">
        <v>208</v>
      </c>
      <c r="E9776" s="44" t="n">
        <v>8898.127899999999</v>
      </c>
    </row>
    <row r="9777">
      <c r="A9777" s="39">
        <f>_xlfn.XLOOKUP(60012,Trip[shape_id],Trip[shape_id],"Não encontrado")</f>
        <v/>
      </c>
      <c r="B9777" s="40" t="n">
        <v>-23.597552</v>
      </c>
      <c r="C9777" s="40" t="n">
        <v>-46.535304</v>
      </c>
      <c r="D9777" s="40" t="n">
        <v>209</v>
      </c>
      <c r="E9777" s="41" t="n">
        <v>8930.8086</v>
      </c>
    </row>
    <row r="9778">
      <c r="A9778" s="42">
        <f>_xlfn.XLOOKUP(60012,Trip[shape_id],Trip[shape_id],"Não encontrado")</f>
        <v/>
      </c>
      <c r="B9778" s="43" t="n">
        <v>-23.597424</v>
      </c>
      <c r="C9778" s="43" t="n">
        <v>-46.535516</v>
      </c>
      <c r="D9778" s="43" t="n">
        <v>210</v>
      </c>
      <c r="E9778" s="44" t="n">
        <v>8956.676799999999</v>
      </c>
    </row>
    <row r="9779">
      <c r="A9779" s="39">
        <f>_xlfn.XLOOKUP(60012,Trip[shape_id],Trip[shape_id],"Não encontrado")</f>
        <v/>
      </c>
      <c r="B9779" s="40" t="n">
        <v>-23.597317</v>
      </c>
      <c r="C9779" s="40" t="n">
        <v>-46.535643</v>
      </c>
      <c r="D9779" s="40" t="n">
        <v>211</v>
      </c>
      <c r="E9779" s="41" t="n">
        <v>8974.239299999999</v>
      </c>
    </row>
    <row r="9780">
      <c r="A9780" s="42">
        <f>_xlfn.XLOOKUP(60012,Trip[shape_id],Trip[shape_id],"Não encontrado")</f>
        <v/>
      </c>
      <c r="B9780" s="43" t="n">
        <v>-23.597218</v>
      </c>
      <c r="C9780" s="43" t="n">
        <v>-46.53579</v>
      </c>
      <c r="D9780" s="43" t="n">
        <v>212</v>
      </c>
      <c r="E9780" s="44" t="n">
        <v>8992.8223</v>
      </c>
    </row>
    <row r="9781">
      <c r="A9781" s="39">
        <f>_xlfn.XLOOKUP(60012,Trip[shape_id],Trip[shape_id],"Não encontrado")</f>
        <v/>
      </c>
      <c r="B9781" s="40" t="n">
        <v>-23.597138</v>
      </c>
      <c r="C9781" s="40" t="n">
        <v>-46.535909</v>
      </c>
      <c r="D9781" s="40" t="n">
        <v>213</v>
      </c>
      <c r="E9781" s="41" t="n">
        <v>9007.856400000001</v>
      </c>
    </row>
    <row r="9782">
      <c r="A9782" s="42">
        <f>_xlfn.XLOOKUP(60012,Trip[shape_id],Trip[shape_id],"Não encontrado")</f>
        <v/>
      </c>
      <c r="B9782" s="43" t="n">
        <v>-23.596756</v>
      </c>
      <c r="C9782" s="43" t="n">
        <v>-46.536347</v>
      </c>
      <c r="D9782" s="43" t="n">
        <v>214</v>
      </c>
      <c r="E9782" s="44" t="n">
        <v>9069.4072</v>
      </c>
    </row>
    <row r="9783">
      <c r="A9783" s="39">
        <f>_xlfn.XLOOKUP(60012,Trip[shape_id],Trip[shape_id],"Não encontrado")</f>
        <v/>
      </c>
      <c r="B9783" s="40" t="n">
        <v>-23.595457</v>
      </c>
      <c r="C9783" s="40" t="n">
        <v>-46.537634</v>
      </c>
      <c r="D9783" s="40" t="n">
        <v>215</v>
      </c>
      <c r="E9783" s="41" t="n">
        <v>9264.223599999999</v>
      </c>
    </row>
    <row r="9784">
      <c r="A9784" s="42">
        <f>_xlfn.XLOOKUP(60012,Trip[shape_id],Trip[shape_id],"Não encontrado")</f>
        <v/>
      </c>
      <c r="B9784" s="43" t="n">
        <v>-23.594976</v>
      </c>
      <c r="C9784" s="43" t="n">
        <v>-46.538107</v>
      </c>
      <c r="D9784" s="43" t="n">
        <v>216</v>
      </c>
      <c r="E9784" s="44" t="n">
        <v>9336.117200000001</v>
      </c>
    </row>
    <row r="9785">
      <c r="A9785" s="39">
        <f>_xlfn.XLOOKUP(60012,Trip[shape_id],Trip[shape_id],"Não encontrado")</f>
        <v/>
      </c>
      <c r="B9785" s="40" t="n">
        <v>-23.593806</v>
      </c>
      <c r="C9785" s="40" t="n">
        <v>-46.539234</v>
      </c>
      <c r="D9785" s="40" t="n">
        <v>217</v>
      </c>
      <c r="E9785" s="41" t="n">
        <v>9509.3887</v>
      </c>
    </row>
    <row r="9786">
      <c r="A9786" s="42">
        <f>_xlfn.XLOOKUP(60012,Trip[shape_id],Trip[shape_id],"Não encontrado")</f>
        <v/>
      </c>
      <c r="B9786" s="43" t="n">
        <v>-23.593224</v>
      </c>
      <c r="C9786" s="43" t="n">
        <v>-46.539881</v>
      </c>
      <c r="D9786" s="43" t="n">
        <v>218</v>
      </c>
      <c r="E9786" s="44" t="n">
        <v>9601.669900000001</v>
      </c>
    </row>
    <row r="9787">
      <c r="A9787" s="39">
        <f>_xlfn.XLOOKUP(60012,Trip[shape_id],Trip[shape_id],"Não encontrado")</f>
        <v/>
      </c>
      <c r="B9787" s="40" t="n">
        <v>-23.592977</v>
      </c>
      <c r="C9787" s="40" t="n">
        <v>-46.540156</v>
      </c>
      <c r="D9787" s="40" t="n">
        <v>219</v>
      </c>
      <c r="E9787" s="41" t="n">
        <v>9640.864299999999</v>
      </c>
    </row>
    <row r="9788">
      <c r="A9788" s="42">
        <f>_xlfn.XLOOKUP(60012,Trip[shape_id],Trip[shape_id],"Não encontrado")</f>
        <v/>
      </c>
      <c r="B9788" s="43" t="n">
        <v>-23.592837</v>
      </c>
      <c r="C9788" s="43" t="n">
        <v>-46.540366</v>
      </c>
      <c r="D9788" s="43" t="n">
        <v>220</v>
      </c>
      <c r="E9788" s="44" t="n">
        <v>9667.319299999999</v>
      </c>
    </row>
    <row r="9789">
      <c r="A9789" s="39">
        <f>_xlfn.XLOOKUP(60012,Trip[shape_id],Trip[shape_id],"Não encontrado")</f>
        <v/>
      </c>
      <c r="B9789" s="40" t="n">
        <v>-23.592509</v>
      </c>
      <c r="C9789" s="40" t="n">
        <v>-46.540849</v>
      </c>
      <c r="D9789" s="40" t="n">
        <v>221</v>
      </c>
      <c r="E9789" s="41" t="n">
        <v>9728.5576</v>
      </c>
    </row>
    <row r="9790">
      <c r="A9790" s="42">
        <f>_xlfn.XLOOKUP(60012,Trip[shape_id],Trip[shape_id],"Não encontrado")</f>
        <v/>
      </c>
      <c r="B9790" s="43" t="n">
        <v>-23.591402</v>
      </c>
      <c r="C9790" s="43" t="n">
        <v>-46.542661</v>
      </c>
      <c r="D9790" s="43" t="n">
        <v>222</v>
      </c>
      <c r="E9790" s="44" t="n">
        <v>9950.455099999999</v>
      </c>
    </row>
    <row r="9791">
      <c r="A9791" s="39">
        <f>_xlfn.XLOOKUP(60012,Trip[shape_id],Trip[shape_id],"Não encontrado")</f>
        <v/>
      </c>
      <c r="B9791" s="40" t="n">
        <v>-23.591205</v>
      </c>
      <c r="C9791" s="40" t="n">
        <v>-46.542863</v>
      </c>
      <c r="D9791" s="40" t="n">
        <v>223</v>
      </c>
      <c r="E9791" s="41" t="n">
        <v>9980.473599999999</v>
      </c>
    </row>
    <row r="9792">
      <c r="A9792" s="42">
        <f>_xlfn.XLOOKUP(60012,Trip[shape_id],Trip[shape_id],"Não encontrado")</f>
        <v/>
      </c>
      <c r="B9792" s="43" t="n">
        <v>-23.591041</v>
      </c>
      <c r="C9792" s="43" t="n">
        <v>-46.543029</v>
      </c>
      <c r="D9792" s="43" t="n">
        <v>224</v>
      </c>
      <c r="E9792" s="44" t="n">
        <v>10005.313</v>
      </c>
    </row>
    <row r="9793">
      <c r="A9793" s="39">
        <f>_xlfn.XLOOKUP(60012,Trip[shape_id],Trip[shape_id],"Não encontrado")</f>
        <v/>
      </c>
      <c r="B9793" s="40" t="n">
        <v>-23.590762</v>
      </c>
      <c r="C9793" s="40" t="n">
        <v>-46.54328</v>
      </c>
      <c r="D9793" s="40" t="n">
        <v>225</v>
      </c>
      <c r="E9793" s="41" t="n">
        <v>10045.453</v>
      </c>
    </row>
    <row r="9794">
      <c r="A9794" s="42">
        <f>_xlfn.XLOOKUP(60012,Trip[shape_id],Trip[shape_id],"Não encontrado")</f>
        <v/>
      </c>
      <c r="B9794" s="43" t="n">
        <v>-23.589728</v>
      </c>
      <c r="C9794" s="43" t="n">
        <v>-46.544012</v>
      </c>
      <c r="D9794" s="43" t="n">
        <v>226</v>
      </c>
      <c r="E9794" s="44" t="n">
        <v>10182.189</v>
      </c>
    </row>
    <row r="9795">
      <c r="A9795" s="39">
        <f>_xlfn.XLOOKUP(60012,Trip[shape_id],Trip[shape_id],"Não encontrado")</f>
        <v/>
      </c>
      <c r="B9795" s="40" t="n">
        <v>-23.588992</v>
      </c>
      <c r="C9795" s="40" t="n">
        <v>-46.544604</v>
      </c>
      <c r="D9795" s="40" t="n">
        <v>227</v>
      </c>
      <c r="E9795" s="41" t="n">
        <v>10283.658</v>
      </c>
    </row>
    <row r="9796">
      <c r="A9796" s="42">
        <f>_xlfn.XLOOKUP(60012,Trip[shape_id],Trip[shape_id],"Não encontrado")</f>
        <v/>
      </c>
      <c r="B9796" s="43" t="n">
        <v>-23.58894</v>
      </c>
      <c r="C9796" s="43" t="n">
        <v>-46.544649</v>
      </c>
      <c r="D9796" s="43" t="n">
        <v>228</v>
      </c>
      <c r="E9796" s="44" t="n">
        <v>10291.024</v>
      </c>
    </row>
    <row r="9797">
      <c r="A9797" s="39">
        <f>_xlfn.XLOOKUP(60012,Trip[shape_id],Trip[shape_id],"Não encontrado")</f>
        <v/>
      </c>
      <c r="B9797" s="40" t="n">
        <v>-23.588466</v>
      </c>
      <c r="C9797" s="40" t="n">
        <v>-46.544981</v>
      </c>
      <c r="D9797" s="40" t="n">
        <v>229</v>
      </c>
      <c r="E9797" s="41" t="n">
        <v>10353.509</v>
      </c>
    </row>
    <row r="9798">
      <c r="A9798" s="42">
        <f>_xlfn.XLOOKUP(60012,Trip[shape_id],Trip[shape_id],"Não encontrado")</f>
        <v/>
      </c>
      <c r="B9798" s="43" t="n">
        <v>-23.588049</v>
      </c>
      <c r="C9798" s="43" t="n">
        <v>-46.54531</v>
      </c>
      <c r="D9798" s="43" t="n">
        <v>230</v>
      </c>
      <c r="E9798" s="44" t="n">
        <v>10410.611</v>
      </c>
    </row>
    <row r="9799">
      <c r="A9799" s="39">
        <f>_xlfn.XLOOKUP(60012,Trip[shape_id],Trip[shape_id],"Não encontrado")</f>
        <v/>
      </c>
      <c r="B9799" s="40" t="n">
        <v>-23.587845</v>
      </c>
      <c r="C9799" s="40" t="n">
        <v>-46.545479</v>
      </c>
      <c r="D9799" s="40" t="n">
        <v>231</v>
      </c>
      <c r="E9799" s="41" t="n">
        <v>10439.037</v>
      </c>
    </row>
    <row r="9800">
      <c r="A9800" s="42">
        <f>_xlfn.XLOOKUP(60012,Trip[shape_id],Trip[shape_id],"Não encontrado")</f>
        <v/>
      </c>
      <c r="B9800" s="43" t="n">
        <v>-23.587288</v>
      </c>
      <c r="C9800" s="43" t="n">
        <v>-46.546083</v>
      </c>
      <c r="D9800" s="43" t="n">
        <v>232</v>
      </c>
      <c r="E9800" s="44" t="n">
        <v>10526.253</v>
      </c>
    </row>
    <row r="9801">
      <c r="A9801" s="39">
        <f>_xlfn.XLOOKUP(60012,Trip[shape_id],Trip[shape_id],"Não encontrado")</f>
        <v/>
      </c>
      <c r="B9801" s="40" t="n">
        <v>-23.5849</v>
      </c>
      <c r="C9801" s="40" t="n">
        <v>-46.548883</v>
      </c>
      <c r="D9801" s="40" t="n">
        <v>233</v>
      </c>
      <c r="E9801" s="41" t="n">
        <v>10915.655</v>
      </c>
    </row>
    <row r="9802">
      <c r="A9802" s="42">
        <f>_xlfn.XLOOKUP(60012,Trip[shape_id],Trip[shape_id],"Não encontrado")</f>
        <v/>
      </c>
      <c r="B9802" s="43" t="n">
        <v>-23.584706</v>
      </c>
      <c r="C9802" s="43" t="n">
        <v>-46.549138</v>
      </c>
      <c r="D9802" s="43" t="n">
        <v>234</v>
      </c>
      <c r="E9802" s="44" t="n">
        <v>10949.407</v>
      </c>
    </row>
    <row r="9803">
      <c r="A9803" s="39">
        <f>_xlfn.XLOOKUP(60012,Trip[shape_id],Trip[shape_id],"Não encontrado")</f>
        <v/>
      </c>
      <c r="B9803" s="40" t="n">
        <v>-23.584583</v>
      </c>
      <c r="C9803" s="40" t="n">
        <v>-46.549309</v>
      </c>
      <c r="D9803" s="40" t="n">
        <v>235</v>
      </c>
      <c r="E9803" s="41" t="n">
        <v>10971.549</v>
      </c>
    </row>
    <row r="9804">
      <c r="A9804" s="42">
        <f>_xlfn.XLOOKUP(60012,Trip[shape_id],Trip[shape_id],"Não encontrado")</f>
        <v/>
      </c>
      <c r="B9804" s="43" t="n">
        <v>-23.584461</v>
      </c>
      <c r="C9804" s="43" t="n">
        <v>-46.549505</v>
      </c>
      <c r="D9804" s="43" t="n">
        <v>236</v>
      </c>
      <c r="E9804" s="44" t="n">
        <v>10995.69</v>
      </c>
    </row>
    <row r="9805">
      <c r="A9805" s="39">
        <f>_xlfn.XLOOKUP(60012,Trip[shape_id],Trip[shape_id],"Não encontrado")</f>
        <v/>
      </c>
      <c r="B9805" s="40" t="n">
        <v>-23.584228</v>
      </c>
      <c r="C9805" s="40" t="n">
        <v>-46.549906</v>
      </c>
      <c r="D9805" s="40" t="n">
        <v>237</v>
      </c>
      <c r="E9805" s="41" t="n">
        <v>11044.078</v>
      </c>
    </row>
    <row r="9806">
      <c r="A9806" s="42">
        <f>_xlfn.XLOOKUP(60012,Trip[shape_id],Trip[shape_id],"Não encontrado")</f>
        <v/>
      </c>
      <c r="B9806" s="43" t="n">
        <v>-23.584081</v>
      </c>
      <c r="C9806" s="43" t="n">
        <v>-46.550193</v>
      </c>
      <c r="D9806" s="43" t="n">
        <v>238</v>
      </c>
      <c r="E9806" s="44" t="n">
        <v>11077.594</v>
      </c>
    </row>
    <row r="9807">
      <c r="A9807" s="39">
        <f>_xlfn.XLOOKUP(60012,Trip[shape_id],Trip[shape_id],"Não encontrado")</f>
        <v/>
      </c>
      <c r="B9807" s="40" t="n">
        <v>-23.583924</v>
      </c>
      <c r="C9807" s="40" t="n">
        <v>-46.550542</v>
      </c>
      <c r="D9807" s="40" t="n">
        <v>239</v>
      </c>
      <c r="E9807" s="41" t="n">
        <v>11117.235</v>
      </c>
    </row>
    <row r="9808">
      <c r="A9808" s="42">
        <f>_xlfn.XLOOKUP(60012,Trip[shape_id],Trip[shape_id],"Não encontrado")</f>
        <v/>
      </c>
      <c r="B9808" s="43" t="n">
        <v>-23.583738</v>
      </c>
      <c r="C9808" s="43" t="n">
        <v>-46.550981</v>
      </c>
      <c r="D9808" s="43" t="n">
        <v>240</v>
      </c>
      <c r="E9808" s="44" t="n">
        <v>11166.555</v>
      </c>
    </row>
    <row r="9809">
      <c r="A9809" s="39">
        <f>_xlfn.XLOOKUP(60012,Trip[shape_id],Trip[shape_id],"Não encontrado")</f>
        <v/>
      </c>
      <c r="B9809" s="40" t="n">
        <v>-23.583547</v>
      </c>
      <c r="C9809" s="40" t="n">
        <v>-46.551457</v>
      </c>
      <c r="D9809" s="40" t="n">
        <v>241</v>
      </c>
      <c r="E9809" s="41" t="n">
        <v>11219.548</v>
      </c>
    </row>
    <row r="9810">
      <c r="A9810" s="42">
        <f>_xlfn.XLOOKUP(60012,Trip[shape_id],Trip[shape_id],"Não encontrado")</f>
        <v/>
      </c>
      <c r="B9810" s="43" t="n">
        <v>-23.583375</v>
      </c>
      <c r="C9810" s="43" t="n">
        <v>-46.551873</v>
      </c>
      <c r="D9810" s="43" t="n">
        <v>242</v>
      </c>
      <c r="E9810" s="44" t="n">
        <v>11266.089</v>
      </c>
    </row>
    <row r="9811">
      <c r="A9811" s="39">
        <f>_xlfn.XLOOKUP(60012,Trip[shape_id],Trip[shape_id],"Não encontrado")</f>
        <v/>
      </c>
      <c r="B9811" s="40" t="n">
        <v>-23.582987</v>
      </c>
      <c r="C9811" s="40" t="n">
        <v>-46.552812</v>
      </c>
      <c r="D9811" s="40" t="n">
        <v>243</v>
      </c>
      <c r="E9811" s="41" t="n">
        <v>11371.131</v>
      </c>
    </row>
    <row r="9812">
      <c r="A9812" s="42">
        <f>_xlfn.XLOOKUP(60012,Trip[shape_id],Trip[shape_id],"Não encontrado")</f>
        <v/>
      </c>
      <c r="B9812" s="43" t="n">
        <v>-23.582881</v>
      </c>
      <c r="C9812" s="43" t="n">
        <v>-46.553126</v>
      </c>
      <c r="D9812" s="43" t="n">
        <v>244</v>
      </c>
      <c r="E9812" s="44" t="n">
        <v>11405.266</v>
      </c>
    </row>
    <row r="9813">
      <c r="A9813" s="39">
        <f>_xlfn.XLOOKUP(60012,Trip[shape_id],Trip[shape_id],"Não encontrado")</f>
        <v/>
      </c>
      <c r="B9813" s="40" t="n">
        <v>-23.582813</v>
      </c>
      <c r="C9813" s="40" t="n">
        <v>-46.553447</v>
      </c>
      <c r="D9813" s="40" t="n">
        <v>245</v>
      </c>
      <c r="E9813" s="41" t="n">
        <v>11438.887</v>
      </c>
    </row>
    <row r="9814">
      <c r="A9814" s="42">
        <f>_xlfn.XLOOKUP(60012,Trip[shape_id],Trip[shape_id],"Não encontrado")</f>
        <v/>
      </c>
      <c r="B9814" s="43" t="n">
        <v>-23.582576</v>
      </c>
      <c r="C9814" s="43" t="n">
        <v>-46.554625</v>
      </c>
      <c r="D9814" s="43" t="n">
        <v>246</v>
      </c>
      <c r="E9814" s="44" t="n">
        <v>11561.965</v>
      </c>
    </row>
    <row r="9815">
      <c r="A9815" s="39">
        <f>_xlfn.XLOOKUP(60012,Trip[shape_id],Trip[shape_id],"Não encontrado")</f>
        <v/>
      </c>
      <c r="B9815" s="40" t="n">
        <v>-23.58224</v>
      </c>
      <c r="C9815" s="40" t="n">
        <v>-46.556268</v>
      </c>
      <c r="D9815" s="40" t="n">
        <v>247</v>
      </c>
      <c r="E9815" s="41" t="n">
        <v>11733.757</v>
      </c>
    </row>
    <row r="9816">
      <c r="A9816" s="42">
        <f>_xlfn.XLOOKUP(60012,Trip[shape_id],Trip[shape_id],"Não encontrado")</f>
        <v/>
      </c>
      <c r="B9816" s="43" t="n">
        <v>-23.58184</v>
      </c>
      <c r="C9816" s="43" t="n">
        <v>-46.558273</v>
      </c>
      <c r="D9816" s="43" t="n">
        <v>248</v>
      </c>
      <c r="E9816" s="44" t="n">
        <v>11943.162</v>
      </c>
    </row>
    <row r="9817">
      <c r="A9817" s="39">
        <f>_xlfn.XLOOKUP(60012,Trip[shape_id],Trip[shape_id],"Não encontrado")</f>
        <v/>
      </c>
      <c r="B9817" s="40" t="n">
        <v>-23.581792</v>
      </c>
      <c r="C9817" s="40" t="n">
        <v>-46.558529</v>
      </c>
      <c r="D9817" s="40" t="n">
        <v>249</v>
      </c>
      <c r="E9817" s="41" t="n">
        <v>11969.829</v>
      </c>
    </row>
    <row r="9818">
      <c r="A9818" s="42">
        <f>_xlfn.XLOOKUP(60012,Trip[shape_id],Trip[shape_id],"Não encontrado")</f>
        <v/>
      </c>
      <c r="B9818" s="43" t="n">
        <v>-23.581768</v>
      </c>
      <c r="C9818" s="43" t="n">
        <v>-46.558759</v>
      </c>
      <c r="D9818" s="43" t="n">
        <v>250</v>
      </c>
      <c r="E9818" s="44" t="n">
        <v>11993.457</v>
      </c>
    </row>
    <row r="9819">
      <c r="A9819" s="39">
        <f>_xlfn.XLOOKUP(60012,Trip[shape_id],Trip[shape_id],"Não encontrado")</f>
        <v/>
      </c>
      <c r="B9819" s="40" t="n">
        <v>-23.581751</v>
      </c>
      <c r="C9819" s="40" t="n">
        <v>-46.559033</v>
      </c>
      <c r="D9819" s="40" t="n">
        <v>251</v>
      </c>
      <c r="E9819" s="41" t="n">
        <v>12021.489</v>
      </c>
    </row>
    <row r="9820">
      <c r="A9820" s="42">
        <f>_xlfn.XLOOKUP(60012,Trip[shape_id],Trip[shape_id],"Não encontrado")</f>
        <v/>
      </c>
      <c r="B9820" s="43" t="n">
        <v>-23.581742</v>
      </c>
      <c r="C9820" s="43" t="n">
        <v>-46.559394</v>
      </c>
      <c r="D9820" s="43" t="n">
        <v>252</v>
      </c>
      <c r="E9820" s="44" t="n">
        <v>12058.353</v>
      </c>
    </row>
    <row r="9821">
      <c r="A9821" s="39">
        <f>_xlfn.XLOOKUP(60012,Trip[shape_id],Trip[shape_id],"Não encontrado")</f>
        <v/>
      </c>
      <c r="B9821" s="40" t="n">
        <v>-23.581747</v>
      </c>
      <c r="C9821" s="40" t="n">
        <v>-46.559689</v>
      </c>
      <c r="D9821" s="40" t="n">
        <v>253</v>
      </c>
      <c r="E9821" s="41" t="n">
        <v>12088.471</v>
      </c>
    </row>
    <row r="9822">
      <c r="A9822" s="42">
        <f>_xlfn.XLOOKUP(60012,Trip[shape_id],Trip[shape_id],"Não encontrado")</f>
        <v/>
      </c>
      <c r="B9822" s="43" t="n">
        <v>-23.581773</v>
      </c>
      <c r="C9822" s="43" t="n">
        <v>-46.560005</v>
      </c>
      <c r="D9822" s="43" t="n">
        <v>254</v>
      </c>
      <c r="E9822" s="44" t="n">
        <v>12120.855</v>
      </c>
    </row>
    <row r="9823">
      <c r="A9823" s="39">
        <f>_xlfn.XLOOKUP(60012,Trip[shape_id],Trip[shape_id],"Não encontrado")</f>
        <v/>
      </c>
      <c r="B9823" s="40" t="n">
        <v>-23.581793</v>
      </c>
      <c r="C9823" s="40" t="n">
        <v>-46.560225</v>
      </c>
      <c r="D9823" s="40" t="n">
        <v>255</v>
      </c>
      <c r="E9823" s="41" t="n">
        <v>12143.422</v>
      </c>
    </row>
    <row r="9824">
      <c r="A9824" s="42">
        <f>_xlfn.XLOOKUP(60012,Trip[shape_id],Trip[shape_id],"Não encontrado")</f>
        <v/>
      </c>
      <c r="B9824" s="43" t="n">
        <v>-23.581884</v>
      </c>
      <c r="C9824" s="43" t="n">
        <v>-46.560637</v>
      </c>
      <c r="D9824" s="43" t="n">
        <v>256</v>
      </c>
      <c r="E9824" s="44" t="n">
        <v>12186.669</v>
      </c>
    </row>
    <row r="9825">
      <c r="A9825" s="39">
        <f>_xlfn.XLOOKUP(60012,Trip[shape_id],Trip[shape_id],"Não encontrado")</f>
        <v/>
      </c>
      <c r="B9825" s="40" t="n">
        <v>-23.58214</v>
      </c>
      <c r="C9825" s="40" t="n">
        <v>-46.561787</v>
      </c>
      <c r="D9825" s="40" t="n">
        <v>257</v>
      </c>
      <c r="E9825" s="41" t="n">
        <v>12307.434</v>
      </c>
    </row>
    <row r="9826">
      <c r="A9826" s="42">
        <f>_xlfn.XLOOKUP(60012,Trip[shape_id],Trip[shape_id],"Não encontrado")</f>
        <v/>
      </c>
      <c r="B9826" s="43" t="n">
        <v>-23.58231</v>
      </c>
      <c r="C9826" s="43" t="n">
        <v>-46.562507</v>
      </c>
      <c r="D9826" s="43" t="n">
        <v>258</v>
      </c>
      <c r="E9826" s="44" t="n">
        <v>12383.303</v>
      </c>
    </row>
    <row r="9827">
      <c r="A9827" s="39">
        <f>_xlfn.XLOOKUP(60012,Trip[shape_id],Trip[shape_id],"Não encontrado")</f>
        <v/>
      </c>
      <c r="B9827" s="40" t="n">
        <v>-23.582344</v>
      </c>
      <c r="C9827" s="40" t="n">
        <v>-46.562727</v>
      </c>
      <c r="D9827" s="40" t="n">
        <v>259</v>
      </c>
      <c r="E9827" s="41" t="n">
        <v>12406.073</v>
      </c>
    </row>
    <row r="9828">
      <c r="A9828" s="42">
        <f>_xlfn.XLOOKUP(60012,Trip[shape_id],Trip[shape_id],"Não encontrado")</f>
        <v/>
      </c>
      <c r="B9828" s="43" t="n">
        <v>-23.582447</v>
      </c>
      <c r="C9828" s="43" t="n">
        <v>-46.563348</v>
      </c>
      <c r="D9828" s="43" t="n">
        <v>260</v>
      </c>
      <c r="E9828" s="44" t="n">
        <v>12470.481</v>
      </c>
    </row>
    <row r="9829">
      <c r="A9829" s="39">
        <f>_xlfn.XLOOKUP(60012,Trip[shape_id],Trip[shape_id],"Não encontrado")</f>
        <v/>
      </c>
      <c r="B9829" s="40" t="n">
        <v>-23.582472</v>
      </c>
      <c r="C9829" s="40" t="n">
        <v>-46.563786</v>
      </c>
      <c r="D9829" s="40" t="n">
        <v>261</v>
      </c>
      <c r="E9829" s="41" t="n">
        <v>12515.277</v>
      </c>
    </row>
    <row r="9830">
      <c r="A9830" s="42">
        <f>_xlfn.XLOOKUP(60012,Trip[shape_id],Trip[shape_id],"Não encontrado")</f>
        <v/>
      </c>
      <c r="B9830" s="43" t="n">
        <v>-23.582702</v>
      </c>
      <c r="C9830" s="43" t="n">
        <v>-46.566132</v>
      </c>
      <c r="D9830" s="43" t="n">
        <v>262</v>
      </c>
      <c r="E9830" s="44" t="n">
        <v>12756.102</v>
      </c>
    </row>
    <row r="9831">
      <c r="A9831" s="39">
        <f>_xlfn.XLOOKUP(60012,Trip[shape_id],Trip[shape_id],"Não encontrado")</f>
        <v/>
      </c>
      <c r="B9831" s="40" t="n">
        <v>-23.582784</v>
      </c>
      <c r="C9831" s="40" t="n">
        <v>-46.56691</v>
      </c>
      <c r="D9831" s="40" t="n">
        <v>263</v>
      </c>
      <c r="E9831" s="41" t="n">
        <v>12836.035</v>
      </c>
    </row>
    <row r="9832">
      <c r="A9832" s="42">
        <f>_xlfn.XLOOKUP(60012,Trip[shape_id],Trip[shape_id],"Não encontrado")</f>
        <v/>
      </c>
      <c r="B9832" s="43" t="n">
        <v>-23.582848</v>
      </c>
      <c r="C9832" s="43" t="n">
        <v>-46.567584</v>
      </c>
      <c r="D9832" s="43" t="n">
        <v>264</v>
      </c>
      <c r="E9832" s="44" t="n">
        <v>12905.199</v>
      </c>
    </row>
    <row r="9833">
      <c r="A9833" s="39">
        <f>_xlfn.XLOOKUP(60012,Trip[shape_id],Trip[shape_id],"Não encontrado")</f>
        <v/>
      </c>
      <c r="B9833" s="40" t="n">
        <v>-23.582926</v>
      </c>
      <c r="C9833" s="40" t="n">
        <v>-46.568315</v>
      </c>
      <c r="D9833" s="40" t="n">
        <v>265</v>
      </c>
      <c r="E9833" s="41" t="n">
        <v>12980.315</v>
      </c>
    </row>
    <row r="9834">
      <c r="A9834" s="42">
        <f>_xlfn.XLOOKUP(60012,Trip[shape_id],Trip[shape_id],"Não encontrado")</f>
        <v/>
      </c>
      <c r="B9834" s="43" t="n">
        <v>-23.582953</v>
      </c>
      <c r="C9834" s="43" t="n">
        <v>-46.568864</v>
      </c>
      <c r="D9834" s="43" t="n">
        <v>266</v>
      </c>
      <c r="E9834" s="44" t="n">
        <v>13036.436</v>
      </c>
    </row>
    <row r="9835">
      <c r="A9835" s="39">
        <f>_xlfn.XLOOKUP(60012,Trip[shape_id],Trip[shape_id],"Não encontrado")</f>
        <v/>
      </c>
      <c r="B9835" s="40" t="n">
        <v>-23.582945</v>
      </c>
      <c r="C9835" s="40" t="n">
        <v>-46.569464</v>
      </c>
      <c r="D9835" s="40" t="n">
        <v>267</v>
      </c>
      <c r="E9835" s="41" t="n">
        <v>13097.688</v>
      </c>
    </row>
    <row r="9836">
      <c r="A9836" s="42">
        <f>_xlfn.XLOOKUP(60012,Trip[shape_id],Trip[shape_id],"Não encontrado")</f>
        <v/>
      </c>
      <c r="B9836" s="43" t="n">
        <v>-23.582927</v>
      </c>
      <c r="C9836" s="43" t="n">
        <v>-46.57059</v>
      </c>
      <c r="D9836" s="43" t="n">
        <v>268</v>
      </c>
      <c r="E9836" s="44" t="n">
        <v>13212.645</v>
      </c>
    </row>
    <row r="9837">
      <c r="A9837" s="39">
        <f>_xlfn.XLOOKUP(60012,Trip[shape_id],Trip[shape_id],"Não encontrado")</f>
        <v/>
      </c>
      <c r="B9837" s="40" t="n">
        <v>-23.582875</v>
      </c>
      <c r="C9837" s="40" t="n">
        <v>-46.571744</v>
      </c>
      <c r="D9837" s="40" t="n">
        <v>269</v>
      </c>
      <c r="E9837" s="41" t="n">
        <v>13330.582</v>
      </c>
    </row>
    <row r="9838">
      <c r="A9838" s="42">
        <f>_xlfn.XLOOKUP(60012,Trip[shape_id],Trip[shape_id],"Não encontrado")</f>
        <v/>
      </c>
      <c r="B9838" s="43" t="n">
        <v>-23.582846</v>
      </c>
      <c r="C9838" s="43" t="n">
        <v>-46.572527</v>
      </c>
      <c r="D9838" s="43" t="n">
        <v>270</v>
      </c>
      <c r="E9838" s="44" t="n">
        <v>13410.573</v>
      </c>
    </row>
    <row r="9839">
      <c r="A9839" s="39">
        <f>_xlfn.XLOOKUP(60012,Trip[shape_id],Trip[shape_id],"Não encontrado")</f>
        <v/>
      </c>
      <c r="B9839" s="40" t="n">
        <v>-23.582848</v>
      </c>
      <c r="C9839" s="40" t="n">
        <v>-46.572847</v>
      </c>
      <c r="D9839" s="40" t="n">
        <v>271</v>
      </c>
      <c r="E9839" s="41" t="n">
        <v>13443.238</v>
      </c>
    </row>
    <row r="9840">
      <c r="A9840" s="42">
        <f>_xlfn.XLOOKUP(60012,Trip[shape_id],Trip[shape_id],"Não encontrado")</f>
        <v/>
      </c>
      <c r="B9840" s="43" t="n">
        <v>-23.582898</v>
      </c>
      <c r="C9840" s="43" t="n">
        <v>-46.573352</v>
      </c>
      <c r="D9840" s="43" t="n">
        <v>272</v>
      </c>
      <c r="E9840" s="44" t="n">
        <v>13495.084</v>
      </c>
    </row>
    <row r="9841">
      <c r="A9841" s="39">
        <f>_xlfn.XLOOKUP(60012,Trip[shape_id],Trip[shape_id],"Não encontrado")</f>
        <v/>
      </c>
      <c r="B9841" s="40" t="n">
        <v>-23.582987</v>
      </c>
      <c r="C9841" s="40" t="n">
        <v>-46.573836</v>
      </c>
      <c r="D9841" s="40" t="n">
        <v>273</v>
      </c>
      <c r="E9841" s="41" t="n">
        <v>13545.463</v>
      </c>
    </row>
    <row r="9842">
      <c r="A9842" s="42">
        <f>_xlfn.XLOOKUP(60012,Trip[shape_id],Trip[shape_id],"Não encontrado")</f>
        <v/>
      </c>
      <c r="B9842" s="43" t="n">
        <v>-23.583094</v>
      </c>
      <c r="C9842" s="43" t="n">
        <v>-46.574244</v>
      </c>
      <c r="D9842" s="43" t="n">
        <v>274</v>
      </c>
      <c r="E9842" s="44" t="n">
        <v>13588.764</v>
      </c>
    </row>
    <row r="9843">
      <c r="A9843" s="39">
        <f>_xlfn.XLOOKUP(60012,Trip[shape_id],Trip[shape_id],"Não encontrado")</f>
        <v/>
      </c>
      <c r="B9843" s="40" t="n">
        <v>-23.58327</v>
      </c>
      <c r="C9843" s="40" t="n">
        <v>-46.574706</v>
      </c>
      <c r="D9843" s="40" t="n">
        <v>275</v>
      </c>
      <c r="E9843" s="41" t="n">
        <v>13639.793</v>
      </c>
    </row>
    <row r="9844">
      <c r="A9844" s="42">
        <f>_xlfn.XLOOKUP(60012,Trip[shape_id],Trip[shape_id],"Não encontrado")</f>
        <v/>
      </c>
      <c r="B9844" s="43" t="n">
        <v>-23.583515</v>
      </c>
      <c r="C9844" s="43" t="n">
        <v>-46.575267</v>
      </c>
      <c r="D9844" s="43" t="n">
        <v>276</v>
      </c>
      <c r="E9844" s="44" t="n">
        <v>13703.161</v>
      </c>
    </row>
    <row r="9845">
      <c r="A9845" s="39">
        <f>_xlfn.XLOOKUP(60012,Trip[shape_id],Trip[shape_id],"Não encontrado")</f>
        <v/>
      </c>
      <c r="B9845" s="40" t="n">
        <v>-23.583707</v>
      </c>
      <c r="C9845" s="40" t="n">
        <v>-46.575552</v>
      </c>
      <c r="D9845" s="40" t="n">
        <v>277</v>
      </c>
      <c r="E9845" s="41" t="n">
        <v>13739.196</v>
      </c>
    </row>
    <row r="9846">
      <c r="A9846" s="42">
        <f>_xlfn.XLOOKUP(60012,Trip[shape_id],Trip[shape_id],"Não encontrado")</f>
        <v/>
      </c>
      <c r="B9846" s="43" t="n">
        <v>-23.583917</v>
      </c>
      <c r="C9846" s="43" t="n">
        <v>-46.57603</v>
      </c>
      <c r="D9846" s="43" t="n">
        <v>278</v>
      </c>
      <c r="E9846" s="44" t="n">
        <v>13793.248</v>
      </c>
    </row>
    <row r="9847">
      <c r="A9847" s="39">
        <f>_xlfn.XLOOKUP(60012,Trip[shape_id],Trip[shape_id],"Não encontrado")</f>
        <v/>
      </c>
      <c r="B9847" s="40" t="n">
        <v>-23.584102</v>
      </c>
      <c r="C9847" s="40" t="n">
        <v>-46.576487</v>
      </c>
      <c r="D9847" s="40" t="n">
        <v>279</v>
      </c>
      <c r="E9847" s="41" t="n">
        <v>13844.198</v>
      </c>
    </row>
    <row r="9848">
      <c r="A9848" s="42">
        <f>_xlfn.XLOOKUP(60012,Trip[shape_id],Trip[shape_id],"Não encontrado")</f>
        <v/>
      </c>
      <c r="B9848" s="43" t="n">
        <v>-23.584158</v>
      </c>
      <c r="C9848" s="43" t="n">
        <v>-46.576769</v>
      </c>
      <c r="D9848" s="43" t="n">
        <v>280</v>
      </c>
      <c r="E9848" s="44" t="n">
        <v>13873.645</v>
      </c>
    </row>
    <row r="9849">
      <c r="A9849" s="39">
        <f>_xlfn.XLOOKUP(60012,Trip[shape_id],Trip[shape_id],"Não encontrado")</f>
        <v/>
      </c>
      <c r="B9849" s="40" t="n">
        <v>-23.584268</v>
      </c>
      <c r="C9849" s="40" t="n">
        <v>-46.577103</v>
      </c>
      <c r="D9849" s="40" t="n">
        <v>281</v>
      </c>
      <c r="E9849" s="41" t="n">
        <v>13909.85</v>
      </c>
    </row>
    <row r="9850">
      <c r="A9850" s="42">
        <f>_xlfn.XLOOKUP(60012,Trip[shape_id],Trip[shape_id],"Não encontrado")</f>
        <v/>
      </c>
      <c r="B9850" s="43" t="n">
        <v>-23.584363</v>
      </c>
      <c r="C9850" s="43" t="n">
        <v>-46.577772</v>
      </c>
      <c r="D9850" s="43" t="n">
        <v>282</v>
      </c>
      <c r="E9850" s="44" t="n">
        <v>13978.944</v>
      </c>
    </row>
    <row r="9851">
      <c r="A9851" s="39">
        <f>_xlfn.XLOOKUP(60012,Trip[shape_id],Trip[shape_id],"Não encontrado")</f>
        <v/>
      </c>
      <c r="B9851" s="40" t="n">
        <v>-23.58468</v>
      </c>
      <c r="C9851" s="40" t="n">
        <v>-46.57991</v>
      </c>
      <c r="D9851" s="40" t="n">
        <v>283</v>
      </c>
      <c r="E9851" s="41" t="n">
        <v>14199.988</v>
      </c>
    </row>
    <row r="9852">
      <c r="A9852" s="42">
        <f>_xlfn.XLOOKUP(60012,Trip[shape_id],Trip[shape_id],"Não encontrado")</f>
        <v/>
      </c>
      <c r="B9852" s="43" t="n">
        <v>-23.584933</v>
      </c>
      <c r="C9852" s="43" t="n">
        <v>-46.581561</v>
      </c>
      <c r="D9852" s="43" t="n">
        <v>284</v>
      </c>
      <c r="E9852" s="44" t="n">
        <v>14370.828</v>
      </c>
    </row>
    <row r="9853">
      <c r="A9853" s="39">
        <f>_xlfn.XLOOKUP(60012,Trip[shape_id],Trip[shape_id],"Não encontrado")</f>
        <v/>
      </c>
      <c r="B9853" s="40" t="n">
        <v>-23.584993</v>
      </c>
      <c r="C9853" s="40" t="n">
        <v>-46.5819</v>
      </c>
      <c r="D9853" s="40" t="n">
        <v>285</v>
      </c>
      <c r="E9853" s="41" t="n">
        <v>14406.063</v>
      </c>
    </row>
    <row r="9854">
      <c r="A9854" s="42">
        <f>_xlfn.XLOOKUP(60012,Trip[shape_id],Trip[shape_id],"Não encontrado")</f>
        <v/>
      </c>
      <c r="B9854" s="43" t="n">
        <v>-23.585002</v>
      </c>
      <c r="C9854" s="43" t="n">
        <v>-46.582057</v>
      </c>
      <c r="D9854" s="43" t="n">
        <v>286</v>
      </c>
      <c r="E9854" s="44" t="n">
        <v>14422.12</v>
      </c>
    </row>
    <row r="9855">
      <c r="A9855" s="39">
        <f>_xlfn.XLOOKUP(60012,Trip[shape_id],Trip[shape_id],"Não encontrado")</f>
        <v/>
      </c>
      <c r="B9855" s="40" t="n">
        <v>-23.585</v>
      </c>
      <c r="C9855" s="40" t="n">
        <v>-46.582224</v>
      </c>
      <c r="D9855" s="40" t="n">
        <v>287</v>
      </c>
      <c r="E9855" s="41" t="n">
        <v>14439.168</v>
      </c>
    </row>
    <row r="9856">
      <c r="A9856" s="42">
        <f>_xlfn.XLOOKUP(60012,Trip[shape_id],Trip[shape_id],"Não encontrado")</f>
        <v/>
      </c>
      <c r="B9856" s="43" t="n">
        <v>-23.58496</v>
      </c>
      <c r="C9856" s="43" t="n">
        <v>-46.582482</v>
      </c>
      <c r="D9856" s="43" t="n">
        <v>288</v>
      </c>
      <c r="E9856" s="44" t="n">
        <v>14465.873</v>
      </c>
    </row>
    <row r="9857">
      <c r="A9857" s="39">
        <f>_xlfn.XLOOKUP(60012,Trip[shape_id],Trip[shape_id],"Não encontrado")</f>
        <v/>
      </c>
      <c r="B9857" s="40" t="n">
        <v>-23.58482</v>
      </c>
      <c r="C9857" s="40" t="n">
        <v>-46.582867</v>
      </c>
      <c r="D9857" s="40" t="n">
        <v>289</v>
      </c>
      <c r="E9857" s="41" t="n">
        <v>14508.12</v>
      </c>
    </row>
    <row r="9858">
      <c r="A9858" s="42">
        <f>_xlfn.XLOOKUP(60012,Trip[shape_id],Trip[shape_id],"Não encontrado")</f>
        <v/>
      </c>
      <c r="B9858" s="43" t="n">
        <v>-23.584601</v>
      </c>
      <c r="C9858" s="43" t="n">
        <v>-46.583426</v>
      </c>
      <c r="D9858" s="43" t="n">
        <v>290</v>
      </c>
      <c r="E9858" s="44" t="n">
        <v>14570.121</v>
      </c>
    </row>
    <row r="9859">
      <c r="A9859" s="39">
        <f>_xlfn.XLOOKUP(61848,Trip[shape_id],Trip[shape_id],"Não encontrado")</f>
        <v/>
      </c>
      <c r="B9859" s="40" t="n">
        <v>-23.653912</v>
      </c>
      <c r="C9859" s="40" t="n">
        <v>-46.637972</v>
      </c>
      <c r="D9859" s="40" t="n">
        <v>1</v>
      </c>
      <c r="E9859" s="41" t="n">
        <v>0</v>
      </c>
    </row>
    <row r="9860">
      <c r="A9860" s="42">
        <f>_xlfn.XLOOKUP(61848,Trip[shape_id],Trip[shape_id],"Não encontrado")</f>
        <v/>
      </c>
      <c r="B9860" s="43" t="n">
        <v>-23.653951</v>
      </c>
      <c r="C9860" s="43" t="n">
        <v>-46.637944</v>
      </c>
      <c r="D9860" s="43" t="n">
        <v>2</v>
      </c>
      <c r="E9860" s="44" t="n">
        <v>5.1780891</v>
      </c>
    </row>
    <row r="9861">
      <c r="A9861" s="39">
        <f>_xlfn.XLOOKUP(61848,Trip[shape_id],Trip[shape_id],"Não encontrado")</f>
        <v/>
      </c>
      <c r="B9861" s="40" t="n">
        <v>-23.653995</v>
      </c>
      <c r="C9861" s="40" t="n">
        <v>-46.637909</v>
      </c>
      <c r="D9861" s="40" t="n">
        <v>3</v>
      </c>
      <c r="E9861" s="41" t="n">
        <v>11.219877</v>
      </c>
    </row>
    <row r="9862">
      <c r="A9862" s="42">
        <f>_xlfn.XLOOKUP(61848,Trip[shape_id],Trip[shape_id],"Não encontrado")</f>
        <v/>
      </c>
      <c r="B9862" s="43" t="n">
        <v>-23.654085</v>
      </c>
      <c r="C9862" s="43" t="n">
        <v>-46.637771</v>
      </c>
      <c r="D9862" s="43" t="n">
        <v>4</v>
      </c>
      <c r="E9862" s="44" t="n">
        <v>28.470343</v>
      </c>
    </row>
    <row r="9863">
      <c r="A9863" s="39">
        <f>_xlfn.XLOOKUP(61848,Trip[shape_id],Trip[shape_id],"Não encontrado")</f>
        <v/>
      </c>
      <c r="B9863" s="40" t="n">
        <v>-23.654228</v>
      </c>
      <c r="C9863" s="40" t="n">
        <v>-46.637495</v>
      </c>
      <c r="D9863" s="40" t="n">
        <v>5</v>
      </c>
      <c r="E9863" s="41" t="n">
        <v>60.77681</v>
      </c>
    </row>
    <row r="9864">
      <c r="A9864" s="42">
        <f>_xlfn.XLOOKUP(61848,Trip[shape_id],Trip[shape_id],"Não encontrado")</f>
        <v/>
      </c>
      <c r="B9864" s="43" t="n">
        <v>-23.654281</v>
      </c>
      <c r="C9864" s="43" t="n">
        <v>-46.637392</v>
      </c>
      <c r="D9864" s="43" t="n">
        <v>6</v>
      </c>
      <c r="E9864" s="44" t="n">
        <v>72.813164</v>
      </c>
    </row>
    <row r="9865">
      <c r="A9865" s="39">
        <f>_xlfn.XLOOKUP(61848,Trip[shape_id],Trip[shape_id],"Não encontrado")</f>
        <v/>
      </c>
      <c r="B9865" s="40" t="n">
        <v>-23.654343</v>
      </c>
      <c r="C9865" s="40" t="n">
        <v>-46.63729</v>
      </c>
      <c r="D9865" s="40" t="n">
        <v>7</v>
      </c>
      <c r="E9865" s="41" t="n">
        <v>85.28082999999999</v>
      </c>
    </row>
    <row r="9866">
      <c r="A9866" s="42">
        <f>_xlfn.XLOOKUP(61848,Trip[shape_id],Trip[shape_id],"Não encontrado")</f>
        <v/>
      </c>
      <c r="B9866" s="43" t="n">
        <v>-23.654422</v>
      </c>
      <c r="C9866" s="43" t="n">
        <v>-46.637193</v>
      </c>
      <c r="D9866" s="43" t="n">
        <v>8</v>
      </c>
      <c r="E9866" s="44" t="n">
        <v>98.489937</v>
      </c>
    </row>
    <row r="9867">
      <c r="A9867" s="39">
        <f>_xlfn.XLOOKUP(61848,Trip[shape_id],Trip[shape_id],"Não encontrado")</f>
        <v/>
      </c>
      <c r="B9867" s="40" t="n">
        <v>-23.654513</v>
      </c>
      <c r="C9867" s="40" t="n">
        <v>-46.637118</v>
      </c>
      <c r="D9867" s="40" t="n">
        <v>9</v>
      </c>
      <c r="E9867" s="41" t="n">
        <v>111.14384</v>
      </c>
    </row>
    <row r="9868">
      <c r="A9868" s="42">
        <f>_xlfn.XLOOKUP(61848,Trip[shape_id],Trip[shape_id],"Não encontrado")</f>
        <v/>
      </c>
      <c r="B9868" s="43" t="n">
        <v>-23.65462</v>
      </c>
      <c r="C9868" s="43" t="n">
        <v>-46.637021</v>
      </c>
      <c r="D9868" s="43" t="n">
        <v>10</v>
      </c>
      <c r="E9868" s="44" t="n">
        <v>126.58279</v>
      </c>
    </row>
    <row r="9869">
      <c r="A9869" s="39">
        <f>_xlfn.XLOOKUP(61848,Trip[shape_id],Trip[shape_id],"Não encontrado")</f>
        <v/>
      </c>
      <c r="B9869" s="40" t="n">
        <v>-23.654677</v>
      </c>
      <c r="C9869" s="40" t="n">
        <v>-46.636994</v>
      </c>
      <c r="D9869" s="40" t="n">
        <v>11</v>
      </c>
      <c r="E9869" s="41" t="n">
        <v>133.46991</v>
      </c>
    </row>
    <row r="9870">
      <c r="A9870" s="42">
        <f>_xlfn.XLOOKUP(61848,Trip[shape_id],Trip[shape_id],"Não encontrado")</f>
        <v/>
      </c>
      <c r="B9870" s="43" t="n">
        <v>-23.654663</v>
      </c>
      <c r="C9870" s="43" t="n">
        <v>-46.636926</v>
      </c>
      <c r="D9870" s="43" t="n">
        <v>12</v>
      </c>
      <c r="E9870" s="44" t="n">
        <v>140.57867</v>
      </c>
    </row>
    <row r="9871">
      <c r="A9871" s="39">
        <f>_xlfn.XLOOKUP(61848,Trip[shape_id],Trip[shape_id],"Não encontrado")</f>
        <v/>
      </c>
      <c r="B9871" s="40" t="n">
        <v>-23.65461</v>
      </c>
      <c r="C9871" s="40" t="n">
        <v>-46.636818</v>
      </c>
      <c r="D9871" s="40" t="n">
        <v>13</v>
      </c>
      <c r="E9871" s="41" t="n">
        <v>153.06297</v>
      </c>
    </row>
    <row r="9872">
      <c r="A9872" s="42">
        <f>_xlfn.XLOOKUP(61848,Trip[shape_id],Trip[shape_id],"Não encontrado")</f>
        <v/>
      </c>
      <c r="B9872" s="43" t="n">
        <v>-23.654584</v>
      </c>
      <c r="C9872" s="43" t="n">
        <v>-46.636738</v>
      </c>
      <c r="D9872" s="43" t="n">
        <v>14</v>
      </c>
      <c r="E9872" s="44" t="n">
        <v>161.71793</v>
      </c>
    </row>
    <row r="9873">
      <c r="A9873" s="39">
        <f>_xlfn.XLOOKUP(61848,Trip[shape_id],Trip[shape_id],"Não encontrado")</f>
        <v/>
      </c>
      <c r="B9873" s="40" t="n">
        <v>-23.654187</v>
      </c>
      <c r="C9873" s="40" t="n">
        <v>-46.636795</v>
      </c>
      <c r="D9873" s="40" t="n">
        <v>15</v>
      </c>
      <c r="E9873" s="41" t="n">
        <v>206.06989</v>
      </c>
    </row>
    <row r="9874">
      <c r="A9874" s="42">
        <f>_xlfn.XLOOKUP(61848,Trip[shape_id],Trip[shape_id],"Não encontrado")</f>
        <v/>
      </c>
      <c r="B9874" s="43" t="n">
        <v>-23.654065</v>
      </c>
      <c r="C9874" s="43" t="n">
        <v>-46.636814</v>
      </c>
      <c r="D9874" s="43" t="n">
        <v>16</v>
      </c>
      <c r="E9874" s="44" t="n">
        <v>219.72009</v>
      </c>
    </row>
    <row r="9875">
      <c r="A9875" s="39">
        <f>_xlfn.XLOOKUP(61848,Trip[shape_id],Trip[shape_id],"Não encontrado")</f>
        <v/>
      </c>
      <c r="B9875" s="40" t="n">
        <v>-23.653107</v>
      </c>
      <c r="C9875" s="40" t="n">
        <v>-46.63697</v>
      </c>
      <c r="D9875" s="40" t="n">
        <v>17</v>
      </c>
      <c r="E9875" s="41" t="n">
        <v>327.00873</v>
      </c>
    </row>
    <row r="9876">
      <c r="A9876" s="42">
        <f>_xlfn.XLOOKUP(61848,Trip[shape_id],Trip[shape_id],"Não encontrado")</f>
        <v/>
      </c>
      <c r="B9876" s="43" t="n">
        <v>-23.652839</v>
      </c>
      <c r="C9876" s="43" t="n">
        <v>-46.637021</v>
      </c>
      <c r="D9876" s="43" t="n">
        <v>18</v>
      </c>
      <c r="E9876" s="44" t="n">
        <v>357.14316</v>
      </c>
    </row>
    <row r="9877">
      <c r="A9877" s="39">
        <f>_xlfn.XLOOKUP(61848,Trip[shape_id],Trip[shape_id],"Não encontrado")</f>
        <v/>
      </c>
      <c r="B9877" s="40" t="n">
        <v>-23.652644</v>
      </c>
      <c r="C9877" s="40" t="n">
        <v>-46.637091</v>
      </c>
      <c r="D9877" s="40" t="n">
        <v>19</v>
      </c>
      <c r="E9877" s="41" t="n">
        <v>379.89011</v>
      </c>
    </row>
    <row r="9878">
      <c r="A9878" s="42">
        <f>_xlfn.XLOOKUP(61848,Trip[shape_id],Trip[shape_id],"Não encontrado")</f>
        <v/>
      </c>
      <c r="B9878" s="43" t="n">
        <v>-23.652541</v>
      </c>
      <c r="C9878" s="43" t="n">
        <v>-46.637137</v>
      </c>
      <c r="D9878" s="43" t="n">
        <v>20</v>
      </c>
      <c r="E9878" s="44" t="n">
        <v>392.22522</v>
      </c>
    </row>
    <row r="9879">
      <c r="A9879" s="39">
        <f>_xlfn.XLOOKUP(61848,Trip[shape_id],Trip[shape_id],"Não encontrado")</f>
        <v/>
      </c>
      <c r="B9879" s="40" t="n">
        <v>-23.652466</v>
      </c>
      <c r="C9879" s="40" t="n">
        <v>-46.637177</v>
      </c>
      <c r="D9879" s="40" t="n">
        <v>21</v>
      </c>
      <c r="E9879" s="41" t="n">
        <v>401.48035</v>
      </c>
    </row>
    <row r="9880">
      <c r="A9880" s="42">
        <f>_xlfn.XLOOKUP(61848,Trip[shape_id],Trip[shape_id],"Não encontrado")</f>
        <v/>
      </c>
      <c r="B9880" s="43" t="n">
        <v>-23.652391</v>
      </c>
      <c r="C9880" s="43" t="n">
        <v>-46.637224</v>
      </c>
      <c r="D9880" s="43" t="n">
        <v>22</v>
      </c>
      <c r="E9880" s="44" t="n">
        <v>411.07193</v>
      </c>
    </row>
    <row r="9881">
      <c r="A9881" s="39">
        <f>_xlfn.XLOOKUP(61848,Trip[shape_id],Trip[shape_id],"Não encontrado")</f>
        <v/>
      </c>
      <c r="B9881" s="40" t="n">
        <v>-23.65229</v>
      </c>
      <c r="C9881" s="40" t="n">
        <v>-46.637277</v>
      </c>
      <c r="D9881" s="40" t="n">
        <v>23</v>
      </c>
      <c r="E9881" s="41" t="n">
        <v>423.49649</v>
      </c>
    </row>
    <row r="9882">
      <c r="A9882" s="42">
        <f>_xlfn.XLOOKUP(61848,Trip[shape_id],Trip[shape_id],"Não encontrado")</f>
        <v/>
      </c>
      <c r="B9882" s="43" t="n">
        <v>-23.652153</v>
      </c>
      <c r="C9882" s="43" t="n">
        <v>-46.637383</v>
      </c>
      <c r="D9882" s="43" t="n">
        <v>24</v>
      </c>
      <c r="E9882" s="44" t="n">
        <v>442.129</v>
      </c>
    </row>
    <row r="9883">
      <c r="A9883" s="39">
        <f>_xlfn.XLOOKUP(61848,Trip[shape_id],Trip[shape_id],"Não encontrado")</f>
        <v/>
      </c>
      <c r="B9883" s="40" t="n">
        <v>-23.65202</v>
      </c>
      <c r="C9883" s="40" t="n">
        <v>-46.637504</v>
      </c>
      <c r="D9883" s="40" t="n">
        <v>25</v>
      </c>
      <c r="E9883" s="41" t="n">
        <v>461.34814</v>
      </c>
    </row>
    <row r="9884">
      <c r="A9884" s="42">
        <f>_xlfn.XLOOKUP(61848,Trip[shape_id],Trip[shape_id],"Não encontrado")</f>
        <v/>
      </c>
      <c r="B9884" s="43" t="n">
        <v>-23.651888</v>
      </c>
      <c r="C9884" s="43" t="n">
        <v>-46.637648</v>
      </c>
      <c r="D9884" s="43" t="n">
        <v>26</v>
      </c>
      <c r="E9884" s="44" t="n">
        <v>482.07425</v>
      </c>
    </row>
    <row r="9885">
      <c r="A9885" s="39">
        <f>_xlfn.XLOOKUP(61848,Trip[shape_id],Trip[shape_id],"Não encontrado")</f>
        <v/>
      </c>
      <c r="B9885" s="40" t="n">
        <v>-23.651742</v>
      </c>
      <c r="C9885" s="40" t="n">
        <v>-46.637846</v>
      </c>
      <c r="D9885" s="40" t="n">
        <v>27</v>
      </c>
      <c r="E9885" s="41" t="n">
        <v>507.94974</v>
      </c>
    </row>
    <row r="9886">
      <c r="A9886" s="42">
        <f>_xlfn.XLOOKUP(61848,Trip[shape_id],Trip[shape_id],"Não encontrado")</f>
        <v/>
      </c>
      <c r="B9886" s="43" t="n">
        <v>-23.65155</v>
      </c>
      <c r="C9886" s="43" t="n">
        <v>-46.638231</v>
      </c>
      <c r="D9886" s="43" t="n">
        <v>28</v>
      </c>
      <c r="E9886" s="44" t="n">
        <v>552.61554</v>
      </c>
    </row>
    <row r="9887">
      <c r="A9887" s="39">
        <f>_xlfn.XLOOKUP(61848,Trip[shape_id],Trip[shape_id],"Não encontrado")</f>
        <v/>
      </c>
      <c r="B9887" s="40" t="n">
        <v>-23.651372</v>
      </c>
      <c r="C9887" s="40" t="n">
        <v>-46.63867</v>
      </c>
      <c r="D9887" s="40" t="n">
        <v>29</v>
      </c>
      <c r="E9887" s="41" t="n">
        <v>601.55072</v>
      </c>
    </row>
    <row r="9888">
      <c r="A9888" s="42">
        <f>_xlfn.XLOOKUP(61848,Trip[shape_id],Trip[shape_id],"Não encontrado")</f>
        <v/>
      </c>
      <c r="B9888" s="43" t="n">
        <v>-23.651182</v>
      </c>
      <c r="C9888" s="43" t="n">
        <v>-46.639162</v>
      </c>
      <c r="D9888" s="43" t="n">
        <v>30</v>
      </c>
      <c r="E9888" s="44" t="n">
        <v>655.97906</v>
      </c>
    </row>
    <row r="9889">
      <c r="A9889" s="39">
        <f>_xlfn.XLOOKUP(61848,Trip[shape_id],Trip[shape_id],"Não encontrado")</f>
        <v/>
      </c>
      <c r="B9889" s="40" t="n">
        <v>-23.650996</v>
      </c>
      <c r="C9889" s="40" t="n">
        <v>-46.639626</v>
      </c>
      <c r="D9889" s="40" t="n">
        <v>31</v>
      </c>
      <c r="E9889" s="41" t="n">
        <v>707.6061999999999</v>
      </c>
    </row>
    <row r="9890">
      <c r="A9890" s="42">
        <f>_xlfn.XLOOKUP(61848,Trip[shape_id],Trip[shape_id],"Não encontrado")</f>
        <v/>
      </c>
      <c r="B9890" s="43" t="n">
        <v>-23.650946</v>
      </c>
      <c r="C9890" s="43" t="n">
        <v>-46.639734</v>
      </c>
      <c r="D9890" s="43" t="n">
        <v>32</v>
      </c>
      <c r="E9890" s="44" t="n">
        <v>719.93774</v>
      </c>
    </row>
    <row r="9891">
      <c r="A9891" s="39">
        <f>_xlfn.XLOOKUP(61848,Trip[shape_id],Trip[shape_id],"Não encontrado")</f>
        <v/>
      </c>
      <c r="B9891" s="40" t="n">
        <v>-23.650831</v>
      </c>
      <c r="C9891" s="40" t="n">
        <v>-46.639893</v>
      </c>
      <c r="D9891" s="40" t="n">
        <v>33</v>
      </c>
      <c r="E9891" s="41" t="n">
        <v>740.5620699999999</v>
      </c>
    </row>
    <row r="9892">
      <c r="A9892" s="42">
        <f>_xlfn.XLOOKUP(61848,Trip[shape_id],Trip[shape_id],"Não encontrado")</f>
        <v/>
      </c>
      <c r="B9892" s="43" t="n">
        <v>-23.650756</v>
      </c>
      <c r="C9892" s="43" t="n">
        <v>-46.639986</v>
      </c>
      <c r="D9892" s="43" t="n">
        <v>34</v>
      </c>
      <c r="E9892" s="44" t="n">
        <v>753.17249</v>
      </c>
    </row>
    <row r="9893">
      <c r="A9893" s="39">
        <f>_xlfn.XLOOKUP(61848,Trip[shape_id],Trip[shape_id],"Não encontrado")</f>
        <v/>
      </c>
      <c r="B9893" s="40" t="n">
        <v>-23.650638</v>
      </c>
      <c r="C9893" s="40" t="n">
        <v>-46.640098</v>
      </c>
      <c r="D9893" s="40" t="n">
        <v>35</v>
      </c>
      <c r="E9893" s="41" t="n">
        <v>770.53235</v>
      </c>
    </row>
    <row r="9894">
      <c r="A9894" s="42">
        <f>_xlfn.XLOOKUP(61848,Trip[shape_id],Trip[shape_id],"Não encontrado")</f>
        <v/>
      </c>
      <c r="B9894" s="43" t="n">
        <v>-23.650481</v>
      </c>
      <c r="C9894" s="43" t="n">
        <v>-46.640215</v>
      </c>
      <c r="D9894" s="43" t="n">
        <v>36</v>
      </c>
      <c r="E9894" s="44" t="n">
        <v>791.6236</v>
      </c>
    </row>
    <row r="9895">
      <c r="A9895" s="39">
        <f>_xlfn.XLOOKUP(61848,Trip[shape_id],Trip[shape_id],"Não encontrado")</f>
        <v/>
      </c>
      <c r="B9895" s="40" t="n">
        <v>-23.650416</v>
      </c>
      <c r="C9895" s="40" t="n">
        <v>-46.640249</v>
      </c>
      <c r="D9895" s="40" t="n">
        <v>37</v>
      </c>
      <c r="E9895" s="41" t="n">
        <v>799.61475</v>
      </c>
    </row>
    <row r="9896">
      <c r="A9896" s="42">
        <f>_xlfn.XLOOKUP(61848,Trip[shape_id],Trip[shape_id],"Não encontrado")</f>
        <v/>
      </c>
      <c r="B9896" s="43" t="n">
        <v>-23.650327</v>
      </c>
      <c r="C9896" s="43" t="n">
        <v>-46.640286</v>
      </c>
      <c r="D9896" s="43" t="n">
        <v>38</v>
      </c>
      <c r="E9896" s="44" t="n">
        <v>810.16956</v>
      </c>
    </row>
    <row r="9897">
      <c r="A9897" s="39">
        <f>_xlfn.XLOOKUP(61848,Trip[shape_id],Trip[shape_id],"Não encontrado")</f>
        <v/>
      </c>
      <c r="B9897" s="40" t="n">
        <v>-23.6502</v>
      </c>
      <c r="C9897" s="40" t="n">
        <v>-46.640332</v>
      </c>
      <c r="D9897" s="40" t="n">
        <v>39</v>
      </c>
      <c r="E9897" s="41" t="n">
        <v>824.99731</v>
      </c>
    </row>
    <row r="9898">
      <c r="A9898" s="42">
        <f>_xlfn.XLOOKUP(61848,Trip[shape_id],Trip[shape_id],"Não encontrado")</f>
        <v/>
      </c>
      <c r="B9898" s="43" t="n">
        <v>-23.650101</v>
      </c>
      <c r="C9898" s="43" t="n">
        <v>-46.640359</v>
      </c>
      <c r="D9898" s="43" t="n">
        <v>40</v>
      </c>
      <c r="E9898" s="44" t="n">
        <v>836.30237</v>
      </c>
    </row>
    <row r="9899">
      <c r="A9899" s="39">
        <f>_xlfn.XLOOKUP(61848,Trip[shape_id],Trip[shape_id],"Não encontrado")</f>
        <v/>
      </c>
      <c r="B9899" s="40" t="n">
        <v>-23.649848</v>
      </c>
      <c r="C9899" s="40" t="n">
        <v>-46.640403</v>
      </c>
      <c r="D9899" s="40" t="n">
        <v>41</v>
      </c>
      <c r="E9899" s="41" t="n">
        <v>864.6803</v>
      </c>
    </row>
    <row r="9900">
      <c r="A9900" s="42">
        <f>_xlfn.XLOOKUP(61848,Trip[shape_id],Trip[shape_id],"Não encontrado")</f>
        <v/>
      </c>
      <c r="B9900" s="43" t="n">
        <v>-23.649573</v>
      </c>
      <c r="C9900" s="43" t="n">
        <v>-46.640407</v>
      </c>
      <c r="D9900" s="43" t="n">
        <v>42</v>
      </c>
      <c r="E9900" s="44" t="n">
        <v>895.14014</v>
      </c>
    </row>
    <row r="9901">
      <c r="A9901" s="39">
        <f>_xlfn.XLOOKUP(61848,Trip[shape_id],Trip[shape_id],"Não encontrado")</f>
        <v/>
      </c>
      <c r="B9901" s="40" t="n">
        <v>-23.649235</v>
      </c>
      <c r="C9901" s="40" t="n">
        <v>-46.640418</v>
      </c>
      <c r="D9901" s="40" t="n">
        <v>43</v>
      </c>
      <c r="E9901" s="41" t="n">
        <v>932.5914299999999</v>
      </c>
    </row>
    <row r="9902">
      <c r="A9902" s="42">
        <f>_xlfn.XLOOKUP(61848,Trip[shape_id],Trip[shape_id],"Não encontrado")</f>
        <v/>
      </c>
      <c r="B9902" s="43" t="n">
        <v>-23.649101</v>
      </c>
      <c r="C9902" s="43" t="n">
        <v>-46.640414</v>
      </c>
      <c r="D9902" s="43" t="n">
        <v>44</v>
      </c>
      <c r="E9902" s="44" t="n">
        <v>947.43805</v>
      </c>
    </row>
    <row r="9903">
      <c r="A9903" s="39">
        <f>_xlfn.XLOOKUP(61848,Trip[shape_id],Trip[shape_id],"Não encontrado")</f>
        <v/>
      </c>
      <c r="B9903" s="40" t="n">
        <v>-23.64899</v>
      </c>
      <c r="C9903" s="40" t="n">
        <v>-46.640396</v>
      </c>
      <c r="D9903" s="40" t="n">
        <v>45</v>
      </c>
      <c r="E9903" s="41" t="n">
        <v>959.86829</v>
      </c>
    </row>
    <row r="9904">
      <c r="A9904" s="42">
        <f>_xlfn.XLOOKUP(61848,Trip[shape_id],Trip[shape_id],"Não encontrado")</f>
        <v/>
      </c>
      <c r="B9904" s="43" t="n">
        <v>-23.648877</v>
      </c>
      <c r="C9904" s="43" t="n">
        <v>-46.640363</v>
      </c>
      <c r="D9904" s="43" t="n">
        <v>46</v>
      </c>
      <c r="E9904" s="44" t="n">
        <v>972.82813</v>
      </c>
    </row>
    <row r="9905">
      <c r="A9905" s="39">
        <f>_xlfn.XLOOKUP(61848,Trip[shape_id],Trip[shape_id],"Não encontrado")</f>
        <v/>
      </c>
      <c r="B9905" s="40" t="n">
        <v>-23.64879</v>
      </c>
      <c r="C9905" s="40" t="n">
        <v>-46.640321</v>
      </c>
      <c r="D9905" s="40" t="n">
        <v>47</v>
      </c>
      <c r="E9905" s="41" t="n">
        <v>983.37384</v>
      </c>
    </row>
    <row r="9906">
      <c r="A9906" s="42">
        <f>_xlfn.XLOOKUP(61848,Trip[shape_id],Trip[shape_id],"Não encontrado")</f>
        <v/>
      </c>
      <c r="B9906" s="43" t="n">
        <v>-23.648509</v>
      </c>
      <c r="C9906" s="43" t="n">
        <v>-46.640197</v>
      </c>
      <c r="D9906" s="43" t="n">
        <v>48</v>
      </c>
      <c r="E9906" s="44" t="n">
        <v>1016.9686</v>
      </c>
    </row>
    <row r="9907">
      <c r="A9907" s="39">
        <f>_xlfn.XLOOKUP(61848,Trip[shape_id],Trip[shape_id],"Não encontrado")</f>
        <v/>
      </c>
      <c r="B9907" s="40" t="n">
        <v>-23.648213</v>
      </c>
      <c r="C9907" s="40" t="n">
        <v>-46.640067</v>
      </c>
      <c r="D9907" s="40" t="n">
        <v>49</v>
      </c>
      <c r="E9907" s="41" t="n">
        <v>1052.3329</v>
      </c>
    </row>
    <row r="9908">
      <c r="A9908" s="42">
        <f>_xlfn.XLOOKUP(61848,Trip[shape_id],Trip[shape_id],"Não encontrado")</f>
        <v/>
      </c>
      <c r="B9908" s="43" t="n">
        <v>-23.647997</v>
      </c>
      <c r="C9908" s="43" t="n">
        <v>-46.640016</v>
      </c>
      <c r="D9908" s="43" t="n">
        <v>50</v>
      </c>
      <c r="E9908" s="44" t="n">
        <v>1076.8148</v>
      </c>
    </row>
    <row r="9909">
      <c r="A9909" s="39">
        <f>_xlfn.XLOOKUP(61848,Trip[shape_id],Trip[shape_id],"Não encontrado")</f>
        <v/>
      </c>
      <c r="B9909" s="40" t="n">
        <v>-23.647827</v>
      </c>
      <c r="C9909" s="40" t="n">
        <v>-46.639999</v>
      </c>
      <c r="D9909" s="40" t="n">
        <v>51</v>
      </c>
      <c r="E9909" s="41" t="n">
        <v>1095.7227</v>
      </c>
    </row>
    <row r="9910">
      <c r="A9910" s="42">
        <f>_xlfn.XLOOKUP(61848,Trip[shape_id],Trip[shape_id],"Não encontrado")</f>
        <v/>
      </c>
      <c r="B9910" s="43" t="n">
        <v>-23.647633</v>
      </c>
      <c r="C9910" s="43" t="n">
        <v>-46.639993</v>
      </c>
      <c r="D9910" s="43" t="n">
        <v>52</v>
      </c>
      <c r="E9910" s="44" t="n">
        <v>1117.2174</v>
      </c>
    </row>
    <row r="9911">
      <c r="A9911" s="39">
        <f>_xlfn.XLOOKUP(61848,Trip[shape_id],Trip[shape_id],"Não encontrado")</f>
        <v/>
      </c>
      <c r="B9911" s="40" t="n">
        <v>-23.647486</v>
      </c>
      <c r="C9911" s="40" t="n">
        <v>-46.64001</v>
      </c>
      <c r="D9911" s="40" t="n">
        <v>53</v>
      </c>
      <c r="E9911" s="41" t="n">
        <v>1133.59</v>
      </c>
    </row>
    <row r="9912">
      <c r="A9912" s="42">
        <f>_xlfn.XLOOKUP(61848,Trip[shape_id],Trip[shape_id],"Não encontrado")</f>
        <v/>
      </c>
      <c r="B9912" s="43" t="n">
        <v>-23.647255</v>
      </c>
      <c r="C9912" s="43" t="n">
        <v>-46.640084</v>
      </c>
      <c r="D9912" s="43" t="n">
        <v>54</v>
      </c>
      <c r="E9912" s="44" t="n">
        <v>1160.2648</v>
      </c>
    </row>
    <row r="9913">
      <c r="A9913" s="39">
        <f>_xlfn.XLOOKUP(61848,Trip[shape_id],Trip[shape_id],"Não encontrado")</f>
        <v/>
      </c>
      <c r="B9913" s="40" t="n">
        <v>-23.647035</v>
      </c>
      <c r="C9913" s="40" t="n">
        <v>-46.64017</v>
      </c>
      <c r="D9913" s="40" t="n">
        <v>55</v>
      </c>
      <c r="E9913" s="41" t="n">
        <v>1186.1622</v>
      </c>
    </row>
    <row r="9914">
      <c r="A9914" s="42">
        <f>_xlfn.XLOOKUP(61848,Trip[shape_id],Trip[shape_id],"Não encontrado")</f>
        <v/>
      </c>
      <c r="B9914" s="43" t="n">
        <v>-23.646701</v>
      </c>
      <c r="C9914" s="43" t="n">
        <v>-46.640349</v>
      </c>
      <c r="D9914" s="43" t="n">
        <v>56</v>
      </c>
      <c r="E9914" s="44" t="n">
        <v>1227.4164</v>
      </c>
    </row>
    <row r="9915">
      <c r="A9915" s="39">
        <f>_xlfn.XLOOKUP(61848,Trip[shape_id],Trip[shape_id],"Não encontrado")</f>
        <v/>
      </c>
      <c r="B9915" s="40" t="n">
        <v>-23.646428</v>
      </c>
      <c r="C9915" s="40" t="n">
        <v>-46.64049</v>
      </c>
      <c r="D9915" s="40" t="n">
        <v>57</v>
      </c>
      <c r="E9915" s="41" t="n">
        <v>1260.8999</v>
      </c>
    </row>
    <row r="9916">
      <c r="A9916" s="42">
        <f>_xlfn.XLOOKUP(61848,Trip[shape_id],Trip[shape_id],"Não encontrado")</f>
        <v/>
      </c>
      <c r="B9916" s="43" t="n">
        <v>-23.646139</v>
      </c>
      <c r="C9916" s="43" t="n">
        <v>-46.640658</v>
      </c>
      <c r="D9916" s="43" t="n">
        <v>58</v>
      </c>
      <c r="E9916" s="44" t="n">
        <v>1297.2081</v>
      </c>
    </row>
    <row r="9917">
      <c r="A9917" s="39">
        <f>_xlfn.XLOOKUP(61848,Trip[shape_id],Trip[shape_id],"Não encontrado")</f>
        <v/>
      </c>
      <c r="B9917" s="40" t="n">
        <v>-23.64579</v>
      </c>
      <c r="C9917" s="40" t="n">
        <v>-46.640838</v>
      </c>
      <c r="D9917" s="40" t="n">
        <v>59</v>
      </c>
      <c r="E9917" s="41" t="n">
        <v>1340.0021</v>
      </c>
    </row>
    <row r="9918">
      <c r="A9918" s="42">
        <f>_xlfn.XLOOKUP(61848,Trip[shape_id],Trip[shape_id],"Não encontrado")</f>
        <v/>
      </c>
      <c r="B9918" s="43" t="n">
        <v>-23.645437</v>
      </c>
      <c r="C9918" s="43" t="n">
        <v>-46.641015</v>
      </c>
      <c r="D9918" s="43" t="n">
        <v>60</v>
      </c>
      <c r="E9918" s="44" t="n">
        <v>1383.0673</v>
      </c>
    </row>
    <row r="9919">
      <c r="A9919" s="39">
        <f>_xlfn.XLOOKUP(61848,Trip[shape_id],Trip[shape_id],"Não encontrado")</f>
        <v/>
      </c>
      <c r="B9919" s="40" t="n">
        <v>-23.64522</v>
      </c>
      <c r="C9919" s="40" t="n">
        <v>-46.641092</v>
      </c>
      <c r="D9919" s="40" t="n">
        <v>61</v>
      </c>
      <c r="E9919" s="41" t="n">
        <v>1408.3519</v>
      </c>
    </row>
    <row r="9920">
      <c r="A9920" s="42">
        <f>_xlfn.XLOOKUP(61848,Trip[shape_id],Trip[shape_id],"Não encontrado")</f>
        <v/>
      </c>
      <c r="B9920" s="43" t="n">
        <v>-23.64508</v>
      </c>
      <c r="C9920" s="43" t="n">
        <v>-46.641125</v>
      </c>
      <c r="D9920" s="43" t="n">
        <v>62</v>
      </c>
      <c r="E9920" s="44" t="n">
        <v>1424.2189</v>
      </c>
    </row>
    <row r="9921">
      <c r="A9921" s="39">
        <f>_xlfn.XLOOKUP(61848,Trip[shape_id],Trip[shape_id],"Não encontrado")</f>
        <v/>
      </c>
      <c r="B9921" s="40" t="n">
        <v>-23.644953</v>
      </c>
      <c r="C9921" s="40" t="n">
        <v>-46.641147</v>
      </c>
      <c r="D9921" s="40" t="n">
        <v>63</v>
      </c>
      <c r="E9921" s="41" t="n">
        <v>1438.4625</v>
      </c>
    </row>
    <row r="9922">
      <c r="A9922" s="42">
        <f>_xlfn.XLOOKUP(61848,Trip[shape_id],Trip[shape_id],"Não encontrado")</f>
        <v/>
      </c>
      <c r="B9922" s="43" t="n">
        <v>-23.644853</v>
      </c>
      <c r="C9922" s="43" t="n">
        <v>-46.641153</v>
      </c>
      <c r="D9922" s="43" t="n">
        <v>64</v>
      </c>
      <c r="E9922" s="44" t="n">
        <v>1449.5548</v>
      </c>
    </row>
    <row r="9923">
      <c r="A9923" s="39">
        <f>_xlfn.XLOOKUP(61848,Trip[shape_id],Trip[shape_id],"Não encontrado")</f>
        <v/>
      </c>
      <c r="B9923" s="40" t="n">
        <v>-23.64449</v>
      </c>
      <c r="C9923" s="40" t="n">
        <v>-46.641183</v>
      </c>
      <c r="D9923" s="40" t="n">
        <v>65</v>
      </c>
      <c r="E9923" s="41" t="n">
        <v>1489.8744</v>
      </c>
    </row>
    <row r="9924">
      <c r="A9924" s="42">
        <f>_xlfn.XLOOKUP(61848,Trip[shape_id],Trip[shape_id],"Não encontrado")</f>
        <v/>
      </c>
      <c r="B9924" s="43" t="n">
        <v>-23.643986</v>
      </c>
      <c r="C9924" s="43" t="n">
        <v>-46.641218</v>
      </c>
      <c r="D9924" s="43" t="n">
        <v>66</v>
      </c>
      <c r="E9924" s="44" t="n">
        <v>1545.8081</v>
      </c>
    </row>
    <row r="9925">
      <c r="A9925" s="39">
        <f>_xlfn.XLOOKUP(61848,Trip[shape_id],Trip[shape_id],"Não encontrado")</f>
        <v/>
      </c>
      <c r="B9925" s="40" t="n">
        <v>-23.643498</v>
      </c>
      <c r="C9925" s="40" t="n">
        <v>-46.641256</v>
      </c>
      <c r="D9925" s="40" t="n">
        <v>67</v>
      </c>
      <c r="E9925" s="41" t="n">
        <v>1599.9944</v>
      </c>
    </row>
    <row r="9926">
      <c r="A9926" s="42">
        <f>_xlfn.XLOOKUP(61848,Trip[shape_id],Trip[shape_id],"Não encontrado")</f>
        <v/>
      </c>
      <c r="B9926" s="43" t="n">
        <v>-23.643241</v>
      </c>
      <c r="C9926" s="43" t="n">
        <v>-46.641278</v>
      </c>
      <c r="D9926" s="43" t="n">
        <v>68</v>
      </c>
      <c r="E9926" s="44" t="n">
        <v>1628.5463</v>
      </c>
    </row>
    <row r="9927">
      <c r="A9927" s="39">
        <f>_xlfn.XLOOKUP(61848,Trip[shape_id],Trip[shape_id],"Não encontrado")</f>
        <v/>
      </c>
      <c r="B9927" s="40" t="n">
        <v>-23.642826</v>
      </c>
      <c r="C9927" s="40" t="n">
        <v>-46.641309</v>
      </c>
      <c r="D9927" s="40" t="n">
        <v>69</v>
      </c>
      <c r="E9927" s="41" t="n">
        <v>1674.6176</v>
      </c>
    </row>
    <row r="9928">
      <c r="A9928" s="42">
        <f>_xlfn.XLOOKUP(61848,Trip[shape_id],Trip[shape_id],"Não encontrado")</f>
        <v/>
      </c>
      <c r="B9928" s="43" t="n">
        <v>-23.642391</v>
      </c>
      <c r="C9928" s="43" t="n">
        <v>-46.641332</v>
      </c>
      <c r="D9928" s="43" t="n">
        <v>70</v>
      </c>
      <c r="E9928" s="44" t="n">
        <v>1722.8524</v>
      </c>
    </row>
    <row r="9929">
      <c r="A9929" s="39">
        <f>_xlfn.XLOOKUP(61848,Trip[shape_id],Trip[shape_id],"Não encontrado")</f>
        <v/>
      </c>
      <c r="B9929" s="40" t="n">
        <v>-23.642293</v>
      </c>
      <c r="C9929" s="40" t="n">
        <v>-46.641339</v>
      </c>
      <c r="D9929" s="40" t="n">
        <v>71</v>
      </c>
      <c r="E9929" s="41" t="n">
        <v>1733.7297</v>
      </c>
    </row>
    <row r="9930">
      <c r="A9930" s="42">
        <f>_xlfn.XLOOKUP(61848,Trip[shape_id],Trip[shape_id],"Não encontrado")</f>
        <v/>
      </c>
      <c r="B9930" s="43" t="n">
        <v>-23.642038</v>
      </c>
      <c r="C9930" s="43" t="n">
        <v>-46.641352</v>
      </c>
      <c r="D9930" s="43" t="n">
        <v>72</v>
      </c>
      <c r="E9930" s="44" t="n">
        <v>1762.0028</v>
      </c>
    </row>
    <row r="9931">
      <c r="A9931" s="39">
        <f>_xlfn.XLOOKUP(61848,Trip[shape_id],Trip[shape_id],"Não encontrado")</f>
        <v/>
      </c>
      <c r="B9931" s="40" t="n">
        <v>-23.641618</v>
      </c>
      <c r="C9931" s="40" t="n">
        <v>-46.641399</v>
      </c>
      <c r="D9931" s="40" t="n">
        <v>73</v>
      </c>
      <c r="E9931" s="41" t="n">
        <v>1808.7655</v>
      </c>
    </row>
    <row r="9932">
      <c r="A9932" s="42">
        <f>_xlfn.XLOOKUP(61848,Trip[shape_id],Trip[shape_id],"Não encontrado")</f>
        <v/>
      </c>
      <c r="B9932" s="43" t="n">
        <v>-23.641322</v>
      </c>
      <c r="C9932" s="43" t="n">
        <v>-46.641417</v>
      </c>
      <c r="D9932" s="43" t="n">
        <v>74</v>
      </c>
      <c r="E9932" s="44" t="n">
        <v>1841.5997</v>
      </c>
    </row>
    <row r="9933">
      <c r="A9933" s="39">
        <f>_xlfn.XLOOKUP(61848,Trip[shape_id],Trip[shape_id],"Não encontrado")</f>
        <v/>
      </c>
      <c r="B9933" s="40" t="n">
        <v>-23.641102</v>
      </c>
      <c r="C9933" s="40" t="n">
        <v>-46.641406</v>
      </c>
      <c r="D9933" s="40" t="n">
        <v>75</v>
      </c>
      <c r="E9933" s="41" t="n">
        <v>1865.9912</v>
      </c>
    </row>
    <row r="9934">
      <c r="A9934" s="42">
        <f>_xlfn.XLOOKUP(61848,Trip[shape_id],Trip[shape_id],"Não encontrado")</f>
        <v/>
      </c>
      <c r="B9934" s="43" t="n">
        <v>-23.64076</v>
      </c>
      <c r="C9934" s="43" t="n">
        <v>-46.641385</v>
      </c>
      <c r="D9934" s="43" t="n">
        <v>76</v>
      </c>
      <c r="E9934" s="44" t="n">
        <v>1903.9293</v>
      </c>
    </row>
    <row r="9935">
      <c r="A9935" s="39">
        <f>_xlfn.XLOOKUP(61848,Trip[shape_id],Trip[shape_id],"Não encontrado")</f>
        <v/>
      </c>
      <c r="B9935" s="40" t="n">
        <v>-23.640506</v>
      </c>
      <c r="C9935" s="40" t="n">
        <v>-46.641359</v>
      </c>
      <c r="D9935" s="40" t="n">
        <v>77</v>
      </c>
      <c r="E9935" s="41" t="n">
        <v>1932.1854</v>
      </c>
    </row>
    <row r="9936">
      <c r="A9936" s="42">
        <f>_xlfn.XLOOKUP(61848,Trip[shape_id],Trip[shape_id],"Não encontrado")</f>
        <v/>
      </c>
      <c r="B9936" s="43" t="n">
        <v>-23.640133</v>
      </c>
      <c r="C9936" s="43" t="n">
        <v>-46.641344</v>
      </c>
      <c r="D9936" s="43" t="n">
        <v>78</v>
      </c>
      <c r="E9936" s="44" t="n">
        <v>1973.5247</v>
      </c>
    </row>
    <row r="9937">
      <c r="A9937" s="39">
        <f>_xlfn.XLOOKUP(61848,Trip[shape_id],Trip[shape_id],"Não encontrado")</f>
        <v/>
      </c>
      <c r="B9937" s="40" t="n">
        <v>-23.63978</v>
      </c>
      <c r="C9937" s="40" t="n">
        <v>-46.641316</v>
      </c>
      <c r="D9937" s="40" t="n">
        <v>79</v>
      </c>
      <c r="E9937" s="41" t="n">
        <v>2012.7249</v>
      </c>
    </row>
    <row r="9938">
      <c r="A9938" s="42">
        <f>_xlfn.XLOOKUP(61848,Trip[shape_id],Trip[shape_id],"Não encontrado")</f>
        <v/>
      </c>
      <c r="B9938" s="43" t="n">
        <v>-23.638847</v>
      </c>
      <c r="C9938" s="43" t="n">
        <v>-46.641253</v>
      </c>
      <c r="D9938" s="43" t="n">
        <v>80</v>
      </c>
      <c r="E9938" s="44" t="n">
        <v>2116.2573</v>
      </c>
    </row>
    <row r="9939">
      <c r="A9939" s="39">
        <f>_xlfn.XLOOKUP(61848,Trip[shape_id],Trip[shape_id],"Não encontrado")</f>
        <v/>
      </c>
      <c r="B9939" s="40" t="n">
        <v>-23.638361</v>
      </c>
      <c r="C9939" s="40" t="n">
        <v>-46.64122</v>
      </c>
      <c r="D9939" s="40" t="n">
        <v>81</v>
      </c>
      <c r="E9939" s="41" t="n">
        <v>2170.1885</v>
      </c>
    </row>
    <row r="9940">
      <c r="A9940" s="42">
        <f>_xlfn.XLOOKUP(61848,Trip[shape_id],Trip[shape_id],"Não encontrado")</f>
        <v/>
      </c>
      <c r="B9940" s="43" t="n">
        <v>-23.638026</v>
      </c>
      <c r="C9940" s="43" t="n">
        <v>-46.641224</v>
      </c>
      <c r="D9940" s="43" t="n">
        <v>82</v>
      </c>
      <c r="E9940" s="44" t="n">
        <v>2207.293</v>
      </c>
    </row>
    <row r="9941">
      <c r="A9941" s="39">
        <f>_xlfn.XLOOKUP(61848,Trip[shape_id],Trip[shape_id],"Não encontrado")</f>
        <v/>
      </c>
      <c r="B9941" s="40" t="n">
        <v>-23.637661</v>
      </c>
      <c r="C9941" s="40" t="n">
        <v>-46.641218</v>
      </c>
      <c r="D9941" s="40" t="n">
        <v>83</v>
      </c>
      <c r="E9941" s="41" t="n">
        <v>2247.7224</v>
      </c>
    </row>
    <row r="9942">
      <c r="A9942" s="42">
        <f>_xlfn.XLOOKUP(61848,Trip[shape_id],Trip[shape_id],"Não encontrado")</f>
        <v/>
      </c>
      <c r="B9942" s="43" t="n">
        <v>-23.637357</v>
      </c>
      <c r="C9942" s="43" t="n">
        <v>-46.641201</v>
      </c>
      <c r="D9942" s="43" t="n">
        <v>84</v>
      </c>
      <c r="E9942" s="44" t="n">
        <v>2281.436</v>
      </c>
    </row>
    <row r="9943">
      <c r="A9943" s="39">
        <f>_xlfn.XLOOKUP(61848,Trip[shape_id],Trip[shape_id],"Não encontrado")</f>
        <v/>
      </c>
      <c r="B9943" s="40" t="n">
        <v>-23.636955</v>
      </c>
      <c r="C9943" s="40" t="n">
        <v>-46.641183</v>
      </c>
      <c r="D9943" s="40" t="n">
        <v>85</v>
      </c>
      <c r="E9943" s="41" t="n">
        <v>2325.9966</v>
      </c>
    </row>
    <row r="9944">
      <c r="A9944" s="42">
        <f>_xlfn.XLOOKUP(61848,Trip[shape_id],Trip[shape_id],"Não encontrado")</f>
        <v/>
      </c>
      <c r="B9944" s="43" t="n">
        <v>-23.636652</v>
      </c>
      <c r="C9944" s="43" t="n">
        <v>-46.641179</v>
      </c>
      <c r="D9944" s="43" t="n">
        <v>86</v>
      </c>
      <c r="E9944" s="44" t="n">
        <v>2359.5574</v>
      </c>
    </row>
    <row r="9945">
      <c r="A9945" s="39">
        <f>_xlfn.XLOOKUP(61848,Trip[shape_id],Trip[shape_id],"Não encontrado")</f>
        <v/>
      </c>
      <c r="B9945" s="40" t="n">
        <v>-23.636583</v>
      </c>
      <c r="C9945" s="40" t="n">
        <v>-46.641163</v>
      </c>
      <c r="D9945" s="40" t="n">
        <v>87</v>
      </c>
      <c r="E9945" s="41" t="n">
        <v>2367.3713</v>
      </c>
    </row>
    <row r="9946">
      <c r="A9946" s="42">
        <f>_xlfn.XLOOKUP(61848,Trip[shape_id],Trip[shape_id],"Não encontrado")</f>
        <v/>
      </c>
      <c r="B9946" s="43" t="n">
        <v>-23.636399</v>
      </c>
      <c r="C9946" s="43" t="n">
        <v>-46.641158</v>
      </c>
      <c r="D9946" s="43" t="n">
        <v>88</v>
      </c>
      <c r="E9946" s="44" t="n">
        <v>2387.7563</v>
      </c>
    </row>
    <row r="9947">
      <c r="A9947" s="39">
        <f>_xlfn.XLOOKUP(61848,Trip[shape_id],Trip[shape_id],"Não encontrado")</f>
        <v/>
      </c>
      <c r="B9947" s="40" t="n">
        <v>-23.636244</v>
      </c>
      <c r="C9947" s="40" t="n">
        <v>-46.64115</v>
      </c>
      <c r="D9947" s="40" t="n">
        <v>89</v>
      </c>
      <c r="E9947" s="41" t="n">
        <v>2404.9421</v>
      </c>
    </row>
    <row r="9948">
      <c r="A9948" s="42">
        <f>_xlfn.XLOOKUP(61848,Trip[shape_id],Trip[shape_id],"Não encontrado")</f>
        <v/>
      </c>
      <c r="B9948" s="43" t="n">
        <v>-23.635917</v>
      </c>
      <c r="C9948" s="43" t="n">
        <v>-46.641142</v>
      </c>
      <c r="D9948" s="43" t="n">
        <v>90</v>
      </c>
      <c r="E9948" s="44" t="n">
        <v>2441.1677</v>
      </c>
    </row>
    <row r="9949">
      <c r="A9949" s="39">
        <f>_xlfn.XLOOKUP(61848,Trip[shape_id],Trip[shape_id],"Não encontrado")</f>
        <v/>
      </c>
      <c r="B9949" s="40" t="n">
        <v>-23.635699</v>
      </c>
      <c r="C9949" s="40" t="n">
        <v>-46.641132</v>
      </c>
      <c r="D9949" s="40" t="n">
        <v>91</v>
      </c>
      <c r="E9949" s="41" t="n">
        <v>2465.3335</v>
      </c>
    </row>
    <row r="9950">
      <c r="A9950" s="42">
        <f>_xlfn.XLOOKUP(61848,Trip[shape_id],Trip[shape_id],"Não encontrado")</f>
        <v/>
      </c>
      <c r="B9950" s="43" t="n">
        <v>-23.635629</v>
      </c>
      <c r="C9950" s="43" t="n">
        <v>-46.641133</v>
      </c>
      <c r="D9950" s="43" t="n">
        <v>92</v>
      </c>
      <c r="E9950" s="44" t="n">
        <v>2473.0864</v>
      </c>
    </row>
    <row r="9951">
      <c r="A9951" s="39">
        <f>_xlfn.XLOOKUP(61848,Trip[shape_id],Trip[shape_id],"Não encontrado")</f>
        <v/>
      </c>
      <c r="B9951" s="40" t="n">
        <v>-23.63546</v>
      </c>
      <c r="C9951" s="40" t="n">
        <v>-46.641135</v>
      </c>
      <c r="D9951" s="40" t="n">
        <v>93</v>
      </c>
      <c r="E9951" s="41" t="n">
        <v>2491.8047</v>
      </c>
    </row>
    <row r="9952">
      <c r="A9952" s="42">
        <f>_xlfn.XLOOKUP(61848,Trip[shape_id],Trip[shape_id],"Não encontrado")</f>
        <v/>
      </c>
      <c r="B9952" s="43" t="n">
        <v>-23.635285</v>
      </c>
      <c r="C9952" s="43" t="n">
        <v>-46.641138</v>
      </c>
      <c r="D9952" s="43" t="n">
        <v>94</v>
      </c>
      <c r="E9952" s="44" t="n">
        <v>2511.1887</v>
      </c>
    </row>
    <row r="9953">
      <c r="A9953" s="39">
        <f>_xlfn.XLOOKUP(61848,Trip[shape_id],Trip[shape_id],"Não encontrado")</f>
        <v/>
      </c>
      <c r="B9953" s="40" t="n">
        <v>-23.635221</v>
      </c>
      <c r="C9953" s="40" t="n">
        <v>-46.64114</v>
      </c>
      <c r="D9953" s="40" t="n">
        <v>95</v>
      </c>
      <c r="E9953" s="41" t="n">
        <v>2518.2798</v>
      </c>
    </row>
    <row r="9954">
      <c r="A9954" s="42">
        <f>_xlfn.XLOOKUP(61848,Trip[shape_id],Trip[shape_id],"Não encontrado")</f>
        <v/>
      </c>
      <c r="B9954" s="43" t="n">
        <v>-23.635041</v>
      </c>
      <c r="C9954" s="43" t="n">
        <v>-46.641143</v>
      </c>
      <c r="D9954" s="43" t="n">
        <v>96</v>
      </c>
      <c r="E9954" s="44" t="n">
        <v>2538.2175</v>
      </c>
    </row>
    <row r="9955">
      <c r="A9955" s="39">
        <f>_xlfn.XLOOKUP(61848,Trip[shape_id],Trip[shape_id],"Não encontrado")</f>
        <v/>
      </c>
      <c r="B9955" s="40" t="n">
        <v>-23.635026</v>
      </c>
      <c r="C9955" s="40" t="n">
        <v>-46.641144</v>
      </c>
      <c r="D9955" s="40" t="n">
        <v>97</v>
      </c>
      <c r="E9955" s="41" t="n">
        <v>2539.8809</v>
      </c>
    </row>
    <row r="9956">
      <c r="A9956" s="42">
        <f>_xlfn.XLOOKUP(61848,Trip[shape_id],Trip[shape_id],"Não encontrado")</f>
        <v/>
      </c>
      <c r="B9956" s="43" t="n">
        <v>-23.634704</v>
      </c>
      <c r="C9956" s="43" t="n">
        <v>-46.64125</v>
      </c>
      <c r="D9956" s="43" t="n">
        <v>98</v>
      </c>
      <c r="E9956" s="44" t="n">
        <v>2619.5964</v>
      </c>
    </row>
    <row r="9957">
      <c r="A9957" s="39">
        <f>_xlfn.XLOOKUP(61848,Trip[shape_id],Trip[shape_id],"Não encontrado")</f>
        <v/>
      </c>
      <c r="B9957" s="40" t="n">
        <v>-23.634329</v>
      </c>
      <c r="C9957" s="40" t="n">
        <v>-46.641336</v>
      </c>
      <c r="D9957" s="40" t="n">
        <v>99</v>
      </c>
      <c r="E9957" s="41" t="n">
        <v>2619.5964</v>
      </c>
    </row>
    <row r="9958">
      <c r="A9958" s="42">
        <f>_xlfn.XLOOKUP(61848,Trip[shape_id],Trip[shape_id],"Não encontrado")</f>
        <v/>
      </c>
      <c r="B9958" s="43" t="n">
        <v>-23.634251</v>
      </c>
      <c r="C9958" s="43" t="n">
        <v>-46.641345</v>
      </c>
      <c r="D9958" s="43" t="n">
        <v>100</v>
      </c>
      <c r="E9958" s="44" t="n">
        <v>2628.2839</v>
      </c>
    </row>
    <row r="9959">
      <c r="A9959" s="39">
        <f>_xlfn.XLOOKUP(61848,Trip[shape_id],Trip[shape_id],"Não encontrado")</f>
        <v/>
      </c>
      <c r="B9959" s="40" t="n">
        <v>-23.63424</v>
      </c>
      <c r="C9959" s="40" t="n">
        <v>-46.641451</v>
      </c>
      <c r="D9959" s="40" t="n">
        <v>101</v>
      </c>
      <c r="E9959" s="41" t="n">
        <v>2639.1682</v>
      </c>
    </row>
    <row r="9960">
      <c r="A9960" s="42">
        <f>_xlfn.XLOOKUP(61848,Trip[shape_id],Trip[shape_id],"Não encontrado")</f>
        <v/>
      </c>
      <c r="B9960" s="43" t="n">
        <v>-23.634198</v>
      </c>
      <c r="C9960" s="43" t="n">
        <v>-46.641731</v>
      </c>
      <c r="D9960" s="43" t="n">
        <v>102</v>
      </c>
      <c r="E9960" s="44" t="n">
        <v>2668.115</v>
      </c>
    </row>
    <row r="9961">
      <c r="A9961" s="39">
        <f>_xlfn.XLOOKUP(61848,Trip[shape_id],Trip[shape_id],"Não encontrado")</f>
        <v/>
      </c>
      <c r="B9961" s="40" t="n">
        <v>-23.63419</v>
      </c>
      <c r="C9961" s="40" t="n">
        <v>-46.642112</v>
      </c>
      <c r="D9961" s="40" t="n">
        <v>103</v>
      </c>
      <c r="E9961" s="41" t="n">
        <v>2707.0012</v>
      </c>
    </row>
    <row r="9962">
      <c r="A9962" s="42">
        <f>_xlfn.XLOOKUP(61848,Trip[shape_id],Trip[shape_id],"Não encontrado")</f>
        <v/>
      </c>
      <c r="B9962" s="43" t="n">
        <v>-23.634178</v>
      </c>
      <c r="C9962" s="43" t="n">
        <v>-46.642315</v>
      </c>
      <c r="D9962" s="43" t="n">
        <v>104</v>
      </c>
      <c r="E9962" s="44" t="n">
        <v>2727.7576</v>
      </c>
    </row>
    <row r="9963">
      <c r="A9963" s="39">
        <f>_xlfn.XLOOKUP(61848,Trip[shape_id],Trip[shape_id],"Não encontrado")</f>
        <v/>
      </c>
      <c r="B9963" s="40" t="n">
        <v>-23.634173</v>
      </c>
      <c r="C9963" s="40" t="n">
        <v>-46.642496</v>
      </c>
      <c r="D9963" s="40" t="n">
        <v>105</v>
      </c>
      <c r="E9963" s="41" t="n">
        <v>2746.2349</v>
      </c>
    </row>
    <row r="9964">
      <c r="A9964" s="42">
        <f>_xlfn.XLOOKUP(61848,Trip[shape_id],Trip[shape_id],"Não encontrado")</f>
        <v/>
      </c>
      <c r="B9964" s="43" t="n">
        <v>-23.634166</v>
      </c>
      <c r="C9964" s="43" t="n">
        <v>-46.642673</v>
      </c>
      <c r="D9964" s="43" t="n">
        <v>106</v>
      </c>
      <c r="E9964" s="44" t="n">
        <v>2764.3123</v>
      </c>
    </row>
    <row r="9965">
      <c r="A9965" s="39">
        <f>_xlfn.XLOOKUP(61848,Trip[shape_id],Trip[shape_id],"Não encontrado")</f>
        <v/>
      </c>
      <c r="B9965" s="40" t="n">
        <v>-23.634157</v>
      </c>
      <c r="C9965" s="40" t="n">
        <v>-46.642818</v>
      </c>
      <c r="D9965" s="40" t="n">
        <v>107</v>
      </c>
      <c r="E9965" s="41" t="n">
        <v>2779.1411</v>
      </c>
    </row>
    <row r="9966">
      <c r="A9966" s="42">
        <f>_xlfn.XLOOKUP(61848,Trip[shape_id],Trip[shape_id],"Não encontrado")</f>
        <v/>
      </c>
      <c r="B9966" s="43" t="n">
        <v>-23.634141</v>
      </c>
      <c r="C9966" s="43" t="n">
        <v>-46.642972</v>
      </c>
      <c r="D9966" s="43" t="n">
        <v>108</v>
      </c>
      <c r="E9966" s="44" t="n">
        <v>2794.9546</v>
      </c>
    </row>
    <row r="9967">
      <c r="A9967" s="39">
        <f>_xlfn.XLOOKUP(61848,Trip[shape_id],Trip[shape_id],"Não encontrado")</f>
        <v/>
      </c>
      <c r="B9967" s="40" t="n">
        <v>-23.634088</v>
      </c>
      <c r="C9967" s="40" t="n">
        <v>-46.64306</v>
      </c>
      <c r="D9967" s="40" t="n">
        <v>109</v>
      </c>
      <c r="E9967" s="41" t="n">
        <v>2805.6824</v>
      </c>
    </row>
    <row r="9968">
      <c r="A9968" s="42">
        <f>_xlfn.XLOOKUP(61848,Trip[shape_id],Trip[shape_id],"Não encontrado")</f>
        <v/>
      </c>
      <c r="B9968" s="43" t="n">
        <v>-23.633934</v>
      </c>
      <c r="C9968" s="43" t="n">
        <v>-46.643319</v>
      </c>
      <c r="D9968" s="43" t="n">
        <v>110</v>
      </c>
      <c r="E9968" s="44" t="n">
        <v>2837.1362</v>
      </c>
    </row>
    <row r="9969">
      <c r="A9969" s="39">
        <f>_xlfn.XLOOKUP(61848,Trip[shape_id],Trip[shape_id],"Não encontrado")</f>
        <v/>
      </c>
      <c r="B9969" s="40" t="n">
        <v>-23.633695</v>
      </c>
      <c r="C9969" s="40" t="n">
        <v>-46.643698</v>
      </c>
      <c r="D9969" s="40" t="n">
        <v>111</v>
      </c>
      <c r="E9969" s="41" t="n">
        <v>2884</v>
      </c>
    </row>
    <row r="9970">
      <c r="A9970" s="42">
        <f>_xlfn.XLOOKUP(61848,Trip[shape_id],Trip[shape_id],"Não encontrado")</f>
        <v/>
      </c>
      <c r="B9970" s="43" t="n">
        <v>-23.633593</v>
      </c>
      <c r="C9970" s="43" t="n">
        <v>-46.643862</v>
      </c>
      <c r="D9970" s="43" t="n">
        <v>112</v>
      </c>
      <c r="E9970" s="44" t="n">
        <v>2904.1904</v>
      </c>
    </row>
    <row r="9971">
      <c r="A9971" s="39">
        <f>_xlfn.XLOOKUP(61848,Trip[shape_id],Trip[shape_id],"Não encontrado")</f>
        <v/>
      </c>
      <c r="B9971" s="40" t="n">
        <v>-23.633043</v>
      </c>
      <c r="C9971" s="40" t="n">
        <v>-46.644757</v>
      </c>
      <c r="D9971" s="40" t="n">
        <v>113</v>
      </c>
      <c r="E9971" s="41" t="n">
        <v>3013.9656</v>
      </c>
    </row>
    <row r="9972">
      <c r="A9972" s="42">
        <f>_xlfn.XLOOKUP(61848,Trip[shape_id],Trip[shape_id],"Não encontrado")</f>
        <v/>
      </c>
      <c r="B9972" s="43" t="n">
        <v>-23.632826</v>
      </c>
      <c r="C9972" s="43" t="n">
        <v>-46.64511</v>
      </c>
      <c r="D9972" s="43" t="n">
        <v>114</v>
      </c>
      <c r="E9972" s="44" t="n">
        <v>3057.2668</v>
      </c>
    </row>
    <row r="9973">
      <c r="A9973" s="39">
        <f>_xlfn.XLOOKUP(61848,Trip[shape_id],Trip[shape_id],"Não encontrado")</f>
        <v/>
      </c>
      <c r="B9973" s="40" t="n">
        <v>-23.632349</v>
      </c>
      <c r="C9973" s="40" t="n">
        <v>-46.64589</v>
      </c>
      <c r="D9973" s="40" t="n">
        <v>115</v>
      </c>
      <c r="E9973" s="41" t="n">
        <v>3152.7944</v>
      </c>
    </row>
    <row r="9974">
      <c r="A9974" s="42">
        <f>_xlfn.XLOOKUP(61848,Trip[shape_id],Trip[shape_id],"Não encontrado")</f>
        <v/>
      </c>
      <c r="B9974" s="43" t="n">
        <v>-23.632154</v>
      </c>
      <c r="C9974" s="43" t="n">
        <v>-46.646213</v>
      </c>
      <c r="D9974" s="43" t="n">
        <v>116</v>
      </c>
      <c r="E9974" s="44" t="n">
        <v>3192.1985</v>
      </c>
    </row>
    <row r="9975">
      <c r="A9975" s="39">
        <f>_xlfn.XLOOKUP(61848,Trip[shape_id],Trip[shape_id],"Não encontrado")</f>
        <v/>
      </c>
      <c r="B9975" s="40" t="n">
        <v>-23.632065</v>
      </c>
      <c r="C9975" s="40" t="n">
        <v>-46.646321</v>
      </c>
      <c r="D9975" s="40" t="n">
        <v>117</v>
      </c>
      <c r="E9975" s="41" t="n">
        <v>3206.9839</v>
      </c>
    </row>
    <row r="9976">
      <c r="A9976" s="42">
        <f>_xlfn.XLOOKUP(61848,Trip[shape_id],Trip[shape_id],"Não encontrado")</f>
        <v/>
      </c>
      <c r="B9976" s="43" t="n">
        <v>-23.631828</v>
      </c>
      <c r="C9976" s="43" t="n">
        <v>-46.646452</v>
      </c>
      <c r="D9976" s="43" t="n">
        <v>118</v>
      </c>
      <c r="E9976" s="44" t="n">
        <v>3236.4399</v>
      </c>
    </row>
    <row r="9977">
      <c r="A9977" s="39">
        <f>_xlfn.XLOOKUP(61848,Trip[shape_id],Trip[shape_id],"Não encontrado")</f>
        <v/>
      </c>
      <c r="B9977" s="40" t="n">
        <v>-23.63179</v>
      </c>
      <c r="C9977" s="40" t="n">
        <v>-46.646474</v>
      </c>
      <c r="D9977" s="40" t="n">
        <v>119</v>
      </c>
      <c r="E9977" s="41" t="n">
        <v>3241.21</v>
      </c>
    </row>
    <row r="9978">
      <c r="A9978" s="42">
        <f>_xlfn.XLOOKUP(61848,Trip[shape_id],Trip[shape_id],"Não encontrado")</f>
        <v/>
      </c>
      <c r="B9978" s="43" t="n">
        <v>-23.631666</v>
      </c>
      <c r="C9978" s="43" t="n">
        <v>-46.646535</v>
      </c>
      <c r="D9978" s="43" t="n">
        <v>120</v>
      </c>
      <c r="E9978" s="44" t="n">
        <v>3256.2878</v>
      </c>
    </row>
    <row r="9979">
      <c r="A9979" s="39">
        <f>_xlfn.XLOOKUP(61848,Trip[shape_id],Trip[shape_id],"Não encontrado")</f>
        <v/>
      </c>
      <c r="B9979" s="40" t="n">
        <v>-23.631589</v>
      </c>
      <c r="C9979" s="40" t="n">
        <v>-46.646631</v>
      </c>
      <c r="D9979" s="40" t="n">
        <v>121</v>
      </c>
      <c r="E9979" s="41" t="n">
        <v>3286.9058</v>
      </c>
    </row>
    <row r="9980">
      <c r="A9980" s="42">
        <f>_xlfn.XLOOKUP(61848,Trip[shape_id],Trip[shape_id],"Não encontrado")</f>
        <v/>
      </c>
      <c r="B9980" s="43" t="n">
        <v>-23.63151</v>
      </c>
      <c r="C9980" s="43" t="n">
        <v>-46.646781</v>
      </c>
      <c r="D9980" s="43" t="n">
        <v>122</v>
      </c>
      <c r="E9980" s="44" t="n">
        <v>3286.9058</v>
      </c>
    </row>
    <row r="9981">
      <c r="A9981" s="39">
        <f>_xlfn.XLOOKUP(61848,Trip[shape_id],Trip[shape_id],"Não encontrado")</f>
        <v/>
      </c>
      <c r="B9981" s="40" t="n">
        <v>-23.632223</v>
      </c>
      <c r="C9981" s="40" t="n">
        <v>-46.647087</v>
      </c>
      <c r="D9981" s="40" t="n">
        <v>123</v>
      </c>
      <c r="E9981" s="41" t="n">
        <v>3371.8215</v>
      </c>
    </row>
    <row r="9982">
      <c r="A9982" s="42">
        <f>_xlfn.XLOOKUP(61848,Trip[shape_id],Trip[shape_id],"Não encontrado")</f>
        <v/>
      </c>
      <c r="B9982" s="43" t="n">
        <v>-23.632434</v>
      </c>
      <c r="C9982" s="43" t="n">
        <v>-46.647153</v>
      </c>
      <c r="D9982" s="43" t="n">
        <v>124</v>
      </c>
      <c r="E9982" s="44" t="n">
        <v>3396.1414</v>
      </c>
    </row>
    <row r="9983">
      <c r="A9983" s="39">
        <f>_xlfn.XLOOKUP(61848,Trip[shape_id],Trip[shape_id],"Não encontrado")</f>
        <v/>
      </c>
      <c r="B9983" s="40" t="n">
        <v>-23.632613</v>
      </c>
      <c r="C9983" s="40" t="n">
        <v>-46.64721</v>
      </c>
      <c r="D9983" s="40" t="n">
        <v>125</v>
      </c>
      <c r="E9983" s="41" t="n">
        <v>3443.7681</v>
      </c>
    </row>
    <row r="9984">
      <c r="A9984" s="42">
        <f>_xlfn.XLOOKUP(61848,Trip[shape_id],Trip[shape_id],"Não encontrado")</f>
        <v/>
      </c>
      <c r="B9984" s="43" t="n">
        <v>-23.632849</v>
      </c>
      <c r="C9984" s="43" t="n">
        <v>-46.647275</v>
      </c>
      <c r="D9984" s="43" t="n">
        <v>126</v>
      </c>
      <c r="E9984" s="44" t="n">
        <v>3468.8623</v>
      </c>
    </row>
    <row r="9985">
      <c r="A9985" s="39">
        <f>_xlfn.XLOOKUP(61848,Trip[shape_id],Trip[shape_id],"Não encontrado")</f>
        <v/>
      </c>
      <c r="B9985" s="40" t="n">
        <v>-23.633073</v>
      </c>
      <c r="C9985" s="40" t="n">
        <v>-46.647312</v>
      </c>
      <c r="D9985" s="40" t="n">
        <v>127</v>
      </c>
      <c r="E9985" s="41" t="n">
        <v>3468.8623</v>
      </c>
    </row>
    <row r="9986">
      <c r="A9986" s="42">
        <f>_xlfn.XLOOKUP(61848,Trip[shape_id],Trip[shape_id],"Não encontrado")</f>
        <v/>
      </c>
      <c r="B9986" s="43" t="n">
        <v>-23.633709</v>
      </c>
      <c r="C9986" s="43" t="n">
        <v>-46.647334</v>
      </c>
      <c r="D9986" s="43" t="n">
        <v>128</v>
      </c>
      <c r="E9986" s="44" t="n">
        <v>3539.3369</v>
      </c>
    </row>
    <row r="9987">
      <c r="A9987" s="39">
        <f>_xlfn.XLOOKUP(61848,Trip[shape_id],Trip[shape_id],"Não encontrado")</f>
        <v/>
      </c>
      <c r="B9987" s="40" t="n">
        <v>-23.633868</v>
      </c>
      <c r="C9987" s="40" t="n">
        <v>-46.647348</v>
      </c>
      <c r="D9987" s="40" t="n">
        <v>129</v>
      </c>
      <c r="E9987" s="41" t="n">
        <v>3557.0044</v>
      </c>
    </row>
    <row r="9988">
      <c r="A9988" s="42">
        <f>_xlfn.XLOOKUP(61848,Trip[shape_id],Trip[shape_id],"Não encontrado")</f>
        <v/>
      </c>
      <c r="B9988" s="43" t="n">
        <v>-23.634461</v>
      </c>
      <c r="C9988" s="43" t="n">
        <v>-46.647371</v>
      </c>
      <c r="D9988" s="43" t="n">
        <v>130</v>
      </c>
      <c r="E9988" s="44" t="n">
        <v>3622.7229</v>
      </c>
    </row>
    <row r="9989">
      <c r="A9989" s="39">
        <f>_xlfn.XLOOKUP(61848,Trip[shape_id],Trip[shape_id],"Não encontrado")</f>
        <v/>
      </c>
      <c r="B9989" s="40" t="n">
        <v>-23.634662</v>
      </c>
      <c r="C9989" s="40" t="n">
        <v>-46.647389</v>
      </c>
      <c r="D9989" s="40" t="n">
        <v>131</v>
      </c>
      <c r="E9989" s="41" t="n">
        <v>3645.0598</v>
      </c>
    </row>
    <row r="9990">
      <c r="A9990" s="42">
        <f>_xlfn.XLOOKUP(61848,Trip[shape_id],Trip[shape_id],"Não encontrado")</f>
        <v/>
      </c>
      <c r="B9990" s="43" t="n">
        <v>-23.634866</v>
      </c>
      <c r="C9990" s="43" t="n">
        <v>-46.647469</v>
      </c>
      <c r="D9990" s="43" t="n">
        <v>132</v>
      </c>
      <c r="E9990" s="44" t="n">
        <v>3669.0828</v>
      </c>
    </row>
    <row r="9991">
      <c r="A9991" s="39">
        <f>_xlfn.XLOOKUP(61848,Trip[shape_id],Trip[shape_id],"Não encontrado")</f>
        <v/>
      </c>
      <c r="B9991" s="40" t="n">
        <v>-23.635002</v>
      </c>
      <c r="C9991" s="40" t="n">
        <v>-46.64755</v>
      </c>
      <c r="D9991" s="40" t="n">
        <v>133</v>
      </c>
      <c r="E9991" s="41" t="n">
        <v>3686.2634</v>
      </c>
    </row>
    <row r="9992">
      <c r="A9992" s="42">
        <f>_xlfn.XLOOKUP(61848,Trip[shape_id],Trip[shape_id],"Não encontrado")</f>
        <v/>
      </c>
      <c r="B9992" s="43" t="n">
        <v>-23.635092</v>
      </c>
      <c r="C9992" s="43" t="n">
        <v>-46.64764</v>
      </c>
      <c r="D9992" s="43" t="n">
        <v>134</v>
      </c>
      <c r="E9992" s="44" t="n">
        <v>3699.8167</v>
      </c>
    </row>
    <row r="9993">
      <c r="A9993" s="39">
        <f>_xlfn.XLOOKUP(61848,Trip[shape_id],Trip[shape_id],"Não encontrado")</f>
        <v/>
      </c>
      <c r="B9993" s="40" t="n">
        <v>-23.635178</v>
      </c>
      <c r="C9993" s="40" t="n">
        <v>-46.647767</v>
      </c>
      <c r="D9993" s="40" t="n">
        <v>135</v>
      </c>
      <c r="E9993" s="41" t="n">
        <v>3715.8989</v>
      </c>
    </row>
    <row r="9994">
      <c r="A9994" s="42">
        <f>_xlfn.XLOOKUP(61848,Trip[shape_id],Trip[shape_id],"Não encontrado")</f>
        <v/>
      </c>
      <c r="B9994" s="43" t="n">
        <v>-23.635246</v>
      </c>
      <c r="C9994" s="43" t="n">
        <v>-46.647897</v>
      </c>
      <c r="D9994" s="43" t="n">
        <v>136</v>
      </c>
      <c r="E9994" s="44" t="n">
        <v>3731.1526</v>
      </c>
    </row>
    <row r="9995">
      <c r="A9995" s="39">
        <f>_xlfn.XLOOKUP(61848,Trip[shape_id],Trip[shape_id],"Não encontrado")</f>
        <v/>
      </c>
      <c r="B9995" s="40" t="n">
        <v>-23.635299</v>
      </c>
      <c r="C9995" s="40" t="n">
        <v>-46.648053</v>
      </c>
      <c r="D9995" s="40" t="n">
        <v>137</v>
      </c>
      <c r="E9995" s="41" t="n">
        <v>3748.1182</v>
      </c>
    </row>
    <row r="9996">
      <c r="A9996" s="42">
        <f>_xlfn.XLOOKUP(61848,Trip[shape_id],Trip[shape_id],"Não encontrado")</f>
        <v/>
      </c>
      <c r="B9996" s="43" t="n">
        <v>-23.635328</v>
      </c>
      <c r="C9996" s="43" t="n">
        <v>-46.648199</v>
      </c>
      <c r="D9996" s="43" t="n">
        <v>138</v>
      </c>
      <c r="E9996" s="44" t="n">
        <v>3763.3579</v>
      </c>
    </row>
    <row r="9997">
      <c r="A9997" s="39">
        <f>_xlfn.XLOOKUP(61848,Trip[shape_id],Trip[shape_id],"Não encontrado")</f>
        <v/>
      </c>
      <c r="B9997" s="40" t="n">
        <v>-23.635513</v>
      </c>
      <c r="C9997" s="40" t="n">
        <v>-46.649143</v>
      </c>
      <c r="D9997" s="40" t="n">
        <v>139</v>
      </c>
      <c r="E9997" s="41" t="n">
        <v>3861.8354</v>
      </c>
    </row>
    <row r="9998">
      <c r="A9998" s="42">
        <f>_xlfn.XLOOKUP(61848,Trip[shape_id],Trip[shape_id],"Não encontrado")</f>
        <v/>
      </c>
      <c r="B9998" s="43" t="n">
        <v>-23.63557</v>
      </c>
      <c r="C9998" s="43" t="n">
        <v>-46.649465</v>
      </c>
      <c r="D9998" s="43" t="n">
        <v>140</v>
      </c>
      <c r="E9998" s="44" t="n">
        <v>3895.2922</v>
      </c>
    </row>
    <row r="9999">
      <c r="A9999" s="39">
        <f>_xlfn.XLOOKUP(61848,Trip[shape_id],Trip[shape_id],"Não encontrado")</f>
        <v/>
      </c>
      <c r="B9999" s="40" t="n">
        <v>-23.635586</v>
      </c>
      <c r="C9999" s="40" t="n">
        <v>-46.649529</v>
      </c>
      <c r="D9999" s="40" t="n">
        <v>141</v>
      </c>
      <c r="E9999" s="41" t="n">
        <v>3902.0583</v>
      </c>
    </row>
    <row r="10000">
      <c r="A10000" s="42">
        <f>_xlfn.XLOOKUP(61848,Trip[shape_id],Trip[shape_id],"Não encontrado")</f>
        <v/>
      </c>
      <c r="B10000" s="43" t="n">
        <v>-23.635741</v>
      </c>
      <c r="C10000" s="43" t="n">
        <v>-46.650179</v>
      </c>
      <c r="D10000" s="43" t="n">
        <v>142</v>
      </c>
      <c r="E10000" s="44" t="n">
        <v>3970.5674</v>
      </c>
    </row>
    <row r="10001">
      <c r="A10001" s="39">
        <f>_xlfn.XLOOKUP(61848,Trip[shape_id],Trip[shape_id],"Não encontrado")</f>
        <v/>
      </c>
      <c r="B10001" s="40" t="n">
        <v>-23.635804</v>
      </c>
      <c r="C10001" s="40" t="n">
        <v>-46.650319</v>
      </c>
      <c r="D10001" s="40" t="n">
        <v>143</v>
      </c>
      <c r="E10001" s="41" t="n">
        <v>3986.4656</v>
      </c>
    </row>
    <row r="10002">
      <c r="A10002" s="42">
        <f>_xlfn.XLOOKUP(61848,Trip[shape_id],Trip[shape_id],"Não encontrado")</f>
        <v/>
      </c>
      <c r="B10002" s="43" t="n">
        <v>-23.635879</v>
      </c>
      <c r="C10002" s="43" t="n">
        <v>-46.65047</v>
      </c>
      <c r="D10002" s="43" t="n">
        <v>144</v>
      </c>
      <c r="E10002" s="44" t="n">
        <v>4003.9695</v>
      </c>
    </row>
    <row r="10003">
      <c r="A10003" s="39">
        <f>_xlfn.XLOOKUP(61848,Trip[shape_id],Trip[shape_id],"Não encontrado")</f>
        <v/>
      </c>
      <c r="B10003" s="40" t="n">
        <v>-23.636007</v>
      </c>
      <c r="C10003" s="40" t="n">
        <v>-46.650676</v>
      </c>
      <c r="D10003" s="40" t="n">
        <v>145</v>
      </c>
      <c r="E10003" s="41" t="n">
        <v>4029.3228</v>
      </c>
    </row>
    <row r="10004">
      <c r="A10004" s="42">
        <f>_xlfn.XLOOKUP(61848,Trip[shape_id],Trip[shape_id],"Não encontrado")</f>
        <v/>
      </c>
      <c r="B10004" s="43" t="n">
        <v>-23.636112</v>
      </c>
      <c r="C10004" s="43" t="n">
        <v>-46.650819</v>
      </c>
      <c r="D10004" s="43" t="n">
        <v>146</v>
      </c>
      <c r="E10004" s="44" t="n">
        <v>4047.9812</v>
      </c>
    </row>
    <row r="10005">
      <c r="A10005" s="39">
        <f>_xlfn.XLOOKUP(61848,Trip[shape_id],Trip[shape_id],"Não encontrado")</f>
        <v/>
      </c>
      <c r="B10005" s="40" t="n">
        <v>-23.636588</v>
      </c>
      <c r="C10005" s="40" t="n">
        <v>-46.651399</v>
      </c>
      <c r="D10005" s="40" t="n">
        <v>147</v>
      </c>
      <c r="E10005" s="41" t="n">
        <v>4127.2378</v>
      </c>
    </row>
    <row r="10006">
      <c r="A10006" s="42">
        <f>_xlfn.XLOOKUP(61848,Trip[shape_id],Trip[shape_id],"Não encontrado")</f>
        <v/>
      </c>
      <c r="B10006" s="43" t="n">
        <v>-23.636951</v>
      </c>
      <c r="C10006" s="43" t="n">
        <v>-46.65181</v>
      </c>
      <c r="D10006" s="43" t="n">
        <v>148</v>
      </c>
      <c r="E10006" s="44" t="n">
        <v>4185.3325</v>
      </c>
    </row>
    <row r="10007">
      <c r="A10007" s="39">
        <f>_xlfn.XLOOKUP(61848,Trip[shape_id],Trip[shape_id],"Não encontrado")</f>
        <v/>
      </c>
      <c r="B10007" s="40" t="n">
        <v>-23.637318</v>
      </c>
      <c r="C10007" s="40" t="n">
        <v>-46.652245</v>
      </c>
      <c r="D10007" s="40" t="n">
        <v>149</v>
      </c>
      <c r="E10007" s="41" t="n">
        <v>4245.5171</v>
      </c>
    </row>
    <row r="10008">
      <c r="A10008" s="42">
        <f>_xlfn.XLOOKUP(61848,Trip[shape_id],Trip[shape_id],"Não encontrado")</f>
        <v/>
      </c>
      <c r="B10008" s="43" t="n">
        <v>-23.637421</v>
      </c>
      <c r="C10008" s="43" t="n">
        <v>-46.652366</v>
      </c>
      <c r="D10008" s="43" t="n">
        <v>150</v>
      </c>
      <c r="E10008" s="44" t="n">
        <v>4262.3267</v>
      </c>
    </row>
    <row r="10009">
      <c r="A10009" s="39">
        <f>_xlfn.XLOOKUP(61848,Trip[shape_id],Trip[shape_id],"Não encontrado")</f>
        <v/>
      </c>
      <c r="B10009" s="40" t="n">
        <v>-23.637587</v>
      </c>
      <c r="C10009" s="40" t="n">
        <v>-46.652553</v>
      </c>
      <c r="D10009" s="40" t="n">
        <v>151</v>
      </c>
      <c r="E10009" s="41" t="n">
        <v>4288.8232</v>
      </c>
    </row>
    <row r="10010">
      <c r="A10010" s="42">
        <f>_xlfn.XLOOKUP(61848,Trip[shape_id],Trip[shape_id],"Não encontrado")</f>
        <v/>
      </c>
      <c r="B10010" s="43" t="n">
        <v>-23.637697</v>
      </c>
      <c r="C10010" s="43" t="n">
        <v>-46.652683</v>
      </c>
      <c r="D10010" s="43" t="n">
        <v>152</v>
      </c>
      <c r="E10010" s="44" t="n">
        <v>4306.8335</v>
      </c>
    </row>
    <row r="10011">
      <c r="A10011" s="39">
        <f>_xlfn.XLOOKUP(61848,Trip[shape_id],Trip[shape_id],"Não encontrado")</f>
        <v/>
      </c>
      <c r="B10011" s="40" t="n">
        <v>-23.637813</v>
      </c>
      <c r="C10011" s="40" t="n">
        <v>-46.65287</v>
      </c>
      <c r="D10011" s="40" t="n">
        <v>153</v>
      </c>
      <c r="E10011" s="41" t="n">
        <v>4329.8359</v>
      </c>
    </row>
    <row r="10012">
      <c r="A10012" s="42">
        <f>_xlfn.XLOOKUP(61848,Trip[shape_id],Trip[shape_id],"Não encontrado")</f>
        <v/>
      </c>
      <c r="B10012" s="43" t="n">
        <v>-23.637866</v>
      </c>
      <c r="C10012" s="43" t="n">
        <v>-46.652994</v>
      </c>
      <c r="D10012" s="43" t="n">
        <v>154</v>
      </c>
      <c r="E10012" s="44" t="n">
        <v>4343.7837</v>
      </c>
    </row>
    <row r="10013">
      <c r="A10013" s="39">
        <f>_xlfn.XLOOKUP(61848,Trip[shape_id],Trip[shape_id],"Não encontrado")</f>
        <v/>
      </c>
      <c r="B10013" s="40" t="n">
        <v>-23.637909</v>
      </c>
      <c r="C10013" s="40" t="n">
        <v>-46.653177</v>
      </c>
      <c r="D10013" s="40" t="n">
        <v>155</v>
      </c>
      <c r="E10013" s="41" t="n">
        <v>4363.0537</v>
      </c>
    </row>
    <row r="10014">
      <c r="A10014" s="42">
        <f>_xlfn.XLOOKUP(61848,Trip[shape_id],Trip[shape_id],"Não encontrado")</f>
        <v/>
      </c>
      <c r="B10014" s="43" t="n">
        <v>-23.637915</v>
      </c>
      <c r="C10014" s="43" t="n">
        <v>-46.653285</v>
      </c>
      <c r="D10014" s="43" t="n">
        <v>156</v>
      </c>
      <c r="E10014" s="44" t="n">
        <v>4374.0933</v>
      </c>
    </row>
    <row r="10015">
      <c r="A10015" s="39">
        <f>_xlfn.XLOOKUP(61848,Trip[shape_id],Trip[shape_id],"Não encontrado")</f>
        <v/>
      </c>
      <c r="B10015" s="40" t="n">
        <v>-23.637905</v>
      </c>
      <c r="C10015" s="40" t="n">
        <v>-46.653542</v>
      </c>
      <c r="D10015" s="40" t="n">
        <v>157</v>
      </c>
      <c r="E10015" s="41" t="n">
        <v>4400.3394</v>
      </c>
    </row>
    <row r="10016">
      <c r="A10016" s="42">
        <f>_xlfn.XLOOKUP(61848,Trip[shape_id],Trip[shape_id],"Não encontrado")</f>
        <v/>
      </c>
      <c r="B10016" s="43" t="n">
        <v>-23.6379</v>
      </c>
      <c r="C10016" s="43" t="n">
        <v>-46.653708</v>
      </c>
      <c r="D10016" s="43" t="n">
        <v>158</v>
      </c>
      <c r="E10016" s="44" t="n">
        <v>4417.2861</v>
      </c>
    </row>
    <row r="10017">
      <c r="A10017" s="39">
        <f>_xlfn.XLOOKUP(61848,Trip[shape_id],Trip[shape_id],"Não encontrado")</f>
        <v/>
      </c>
      <c r="B10017" s="40" t="n">
        <v>-23.637875</v>
      </c>
      <c r="C10017" s="40" t="n">
        <v>-46.654165</v>
      </c>
      <c r="D10017" s="40" t="n">
        <v>159</v>
      </c>
      <c r="E10017" s="41" t="n">
        <v>4463.998</v>
      </c>
    </row>
    <row r="10018">
      <c r="A10018" s="42">
        <f>_xlfn.XLOOKUP(61848,Trip[shape_id],Trip[shape_id],"Não encontrado")</f>
        <v/>
      </c>
      <c r="B10018" s="43" t="n">
        <v>-23.63785</v>
      </c>
      <c r="C10018" s="43" t="n">
        <v>-46.654787</v>
      </c>
      <c r="D10018" s="43" t="n">
        <v>160</v>
      </c>
      <c r="E10018" s="44" t="n">
        <v>4527.5239</v>
      </c>
    </row>
    <row r="10019">
      <c r="A10019" s="39">
        <f>_xlfn.XLOOKUP(61848,Trip[shape_id],Trip[shape_id],"Não encontrado")</f>
        <v/>
      </c>
      <c r="B10019" s="40" t="n">
        <v>-23.637835</v>
      </c>
      <c r="C10019" s="40" t="n">
        <v>-46.655417</v>
      </c>
      <c r="D10019" s="40" t="n">
        <v>161</v>
      </c>
      <c r="E10019" s="41" t="n">
        <v>4591.8271</v>
      </c>
    </row>
    <row r="10020">
      <c r="A10020" s="42">
        <f>_xlfn.XLOOKUP(61848,Trip[shape_id],Trip[shape_id],"Não encontrado")</f>
        <v/>
      </c>
      <c r="B10020" s="43" t="n">
        <v>-23.637866</v>
      </c>
      <c r="C10020" s="43" t="n">
        <v>-46.655627</v>
      </c>
      <c r="D10020" s="43" t="n">
        <v>162</v>
      </c>
      <c r="E10020" s="44" t="n">
        <v>4613.5278</v>
      </c>
    </row>
    <row r="10021">
      <c r="A10021" s="39">
        <f>_xlfn.XLOOKUP(61848,Trip[shape_id],Trip[shape_id],"Não encontrado")</f>
        <v/>
      </c>
      <c r="B10021" s="40" t="n">
        <v>-23.637928</v>
      </c>
      <c r="C10021" s="40" t="n">
        <v>-46.655884</v>
      </c>
      <c r="D10021" s="40" t="n">
        <v>163</v>
      </c>
      <c r="E10021" s="41" t="n">
        <v>4640.6348</v>
      </c>
    </row>
    <row r="10022">
      <c r="A10022" s="42">
        <f>_xlfn.XLOOKUP(61848,Trip[shape_id],Trip[shape_id],"Não encontrado")</f>
        <v/>
      </c>
      <c r="B10022" s="43" t="n">
        <v>-23.638126</v>
      </c>
      <c r="C10022" s="43" t="n">
        <v>-46.65659</v>
      </c>
      <c r="D10022" s="43" t="n">
        <v>164</v>
      </c>
      <c r="E10022" s="44" t="n">
        <v>4715.9351</v>
      </c>
    </row>
    <row r="10023">
      <c r="A10023" s="39">
        <f>_xlfn.XLOOKUP(61848,Trip[shape_id],Trip[shape_id],"Não encontrado")</f>
        <v/>
      </c>
      <c r="B10023" s="40" t="n">
        <v>-23.63823</v>
      </c>
      <c r="C10023" s="40" t="n">
        <v>-46.656936</v>
      </c>
      <c r="D10023" s="40" t="n">
        <v>165</v>
      </c>
      <c r="E10023" s="41" t="n">
        <v>4753.0703</v>
      </c>
    </row>
    <row r="10024">
      <c r="A10024" s="42">
        <f>_xlfn.XLOOKUP(61848,Trip[shape_id],Trip[shape_id],"Não encontrado")</f>
        <v/>
      </c>
      <c r="B10024" s="43" t="n">
        <v>-23.638382</v>
      </c>
      <c r="C10024" s="43" t="n">
        <v>-46.65748</v>
      </c>
      <c r="D10024" s="43" t="n">
        <v>166</v>
      </c>
      <c r="E10024" s="44" t="n">
        <v>4811.0737</v>
      </c>
    </row>
    <row r="10025">
      <c r="A10025" s="39">
        <f>_xlfn.XLOOKUP(61848,Trip[shape_id],Trip[shape_id],"Não encontrado")</f>
        <v/>
      </c>
      <c r="B10025" s="40" t="n">
        <v>-23.638475</v>
      </c>
      <c r="C10025" s="40" t="n">
        <v>-46.657817</v>
      </c>
      <c r="D10025" s="40" t="n">
        <v>167</v>
      </c>
      <c r="E10025" s="41" t="n">
        <v>4846.9688</v>
      </c>
    </row>
    <row r="10026">
      <c r="A10026" s="42">
        <f>_xlfn.XLOOKUP(61848,Trip[shape_id],Trip[shape_id],"Não encontrado")</f>
        <v/>
      </c>
      <c r="B10026" s="43" t="n">
        <v>-23.638442</v>
      </c>
      <c r="C10026" s="43" t="n">
        <v>-46.65785</v>
      </c>
      <c r="D10026" s="43" t="n">
        <v>168</v>
      </c>
      <c r="E10026" s="44" t="n">
        <v>4851.938</v>
      </c>
    </row>
    <row r="10027">
      <c r="A10027" s="39">
        <f>_xlfn.XLOOKUP(61848,Trip[shape_id],Trip[shape_id],"Não encontrado")</f>
        <v/>
      </c>
      <c r="B10027" s="40" t="n">
        <v>-23.638421</v>
      </c>
      <c r="C10027" s="40" t="n">
        <v>-46.65788</v>
      </c>
      <c r="D10027" s="40" t="n">
        <v>169</v>
      </c>
      <c r="E10027" s="41" t="n">
        <v>4855.7827</v>
      </c>
    </row>
    <row r="10028">
      <c r="A10028" s="42">
        <f>_xlfn.XLOOKUP(61848,Trip[shape_id],Trip[shape_id],"Não encontrado")</f>
        <v/>
      </c>
      <c r="B10028" s="43" t="n">
        <v>-23.638404</v>
      </c>
      <c r="C10028" s="43" t="n">
        <v>-46.657923</v>
      </c>
      <c r="D10028" s="43" t="n">
        <v>170</v>
      </c>
      <c r="E10028" s="44" t="n">
        <v>4860.5571</v>
      </c>
    </row>
    <row r="10029">
      <c r="A10029" s="39">
        <f>_xlfn.XLOOKUP(61848,Trip[shape_id],Trip[shape_id],"Não encontrado")</f>
        <v/>
      </c>
      <c r="B10029" s="40" t="n">
        <v>-23.637808</v>
      </c>
      <c r="C10029" s="40" t="n">
        <v>-46.657891</v>
      </c>
      <c r="D10029" s="40" t="n">
        <v>171</v>
      </c>
      <c r="E10029" s="41" t="n">
        <v>4926.6465</v>
      </c>
    </row>
    <row r="10030">
      <c r="A10030" s="42">
        <f>_xlfn.XLOOKUP(61848,Trip[shape_id],Trip[shape_id],"Não encontrado")</f>
        <v/>
      </c>
      <c r="B10030" s="43" t="n">
        <v>-23.637205</v>
      </c>
      <c r="C10030" s="43" t="n">
        <v>-46.657866</v>
      </c>
      <c r="D10030" s="43" t="n">
        <v>172</v>
      </c>
      <c r="E10030" s="44" t="n">
        <v>4993.4795</v>
      </c>
    </row>
    <row r="10031">
      <c r="A10031" s="39">
        <f>_xlfn.XLOOKUP(61848,Trip[shape_id],Trip[shape_id],"Não encontrado")</f>
        <v/>
      </c>
      <c r="B10031" s="40" t="n">
        <v>-23.636876</v>
      </c>
      <c r="C10031" s="40" t="n">
        <v>-46.657852</v>
      </c>
      <c r="D10031" s="40" t="n">
        <v>173</v>
      </c>
      <c r="E10031" s="41" t="n">
        <v>5029.9453</v>
      </c>
    </row>
    <row r="10032">
      <c r="A10032" s="42">
        <f>_xlfn.XLOOKUP(61848,Trip[shape_id],Trip[shape_id],"Não encontrado")</f>
        <v/>
      </c>
      <c r="B10032" s="43" t="n">
        <v>-23.636028</v>
      </c>
      <c r="C10032" s="43" t="n">
        <v>-46.657811</v>
      </c>
      <c r="D10032" s="43" t="n">
        <v>174</v>
      </c>
      <c r="E10032" s="44" t="n">
        <v>5123.957</v>
      </c>
    </row>
    <row r="10033">
      <c r="A10033" s="39">
        <f>_xlfn.XLOOKUP(61848,Trip[shape_id],Trip[shape_id],"Não encontrado")</f>
        <v/>
      </c>
      <c r="B10033" s="40" t="n">
        <v>-23.635606</v>
      </c>
      <c r="C10033" s="40" t="n">
        <v>-46.657793</v>
      </c>
      <c r="D10033" s="40" t="n">
        <v>175</v>
      </c>
      <c r="E10033" s="41" t="n">
        <v>5170.731</v>
      </c>
    </row>
    <row r="10034">
      <c r="A10034" s="42">
        <f>_xlfn.XLOOKUP(61848,Trip[shape_id],Trip[shape_id],"Não encontrado")</f>
        <v/>
      </c>
      <c r="B10034" s="43" t="n">
        <v>-23.63539</v>
      </c>
      <c r="C10034" s="43" t="n">
        <v>-46.657785</v>
      </c>
      <c r="D10034" s="43" t="n">
        <v>176</v>
      </c>
      <c r="E10034" s="44" t="n">
        <v>5194.6675</v>
      </c>
    </row>
    <row r="10035">
      <c r="A10035" s="39">
        <f>_xlfn.XLOOKUP(61848,Trip[shape_id],Trip[shape_id],"Não encontrado")</f>
        <v/>
      </c>
      <c r="B10035" s="40" t="n">
        <v>-23.635314</v>
      </c>
      <c r="C10035" s="40" t="n">
        <v>-46.657793</v>
      </c>
      <c r="D10035" s="40" t="n">
        <v>177</v>
      </c>
      <c r="E10035" s="41" t="n">
        <v>5203.1245</v>
      </c>
    </row>
    <row r="10036">
      <c r="A10036" s="42">
        <f>_xlfn.XLOOKUP(61848,Trip[shape_id],Trip[shape_id],"Não encontrado")</f>
        <v/>
      </c>
      <c r="B10036" s="43" t="n">
        <v>-23.635249</v>
      </c>
      <c r="C10036" s="43" t="n">
        <v>-46.657801</v>
      </c>
      <c r="D10036" s="43" t="n">
        <v>178</v>
      </c>
      <c r="E10036" s="44" t="n">
        <v>5210.3696</v>
      </c>
    </row>
    <row r="10037">
      <c r="A10037" s="39">
        <f>_xlfn.XLOOKUP(61848,Trip[shape_id],Trip[shape_id],"Não encontrado")</f>
        <v/>
      </c>
      <c r="B10037" s="40" t="n">
        <v>-23.635176</v>
      </c>
      <c r="C10037" s="40" t="n">
        <v>-46.657834</v>
      </c>
      <c r="D10037" s="40" t="n">
        <v>179</v>
      </c>
      <c r="E10037" s="41" t="n">
        <v>5219.1274</v>
      </c>
    </row>
    <row r="10038">
      <c r="A10038" s="42">
        <f>_xlfn.XLOOKUP(61848,Trip[shape_id],Trip[shape_id],"Não encontrado")</f>
        <v/>
      </c>
      <c r="B10038" s="43" t="n">
        <v>-23.635122</v>
      </c>
      <c r="C10038" s="43" t="n">
        <v>-46.657859</v>
      </c>
      <c r="D10038" s="43" t="n">
        <v>180</v>
      </c>
      <c r="E10038" s="44" t="n">
        <v>5225.6289</v>
      </c>
    </row>
    <row r="10039">
      <c r="A10039" s="39">
        <f>_xlfn.XLOOKUP(61848,Trip[shape_id],Trip[shape_id],"Não encontrado")</f>
        <v/>
      </c>
      <c r="B10039" s="40" t="n">
        <v>-23.635063</v>
      </c>
      <c r="C10039" s="40" t="n">
        <v>-46.657898</v>
      </c>
      <c r="D10039" s="40" t="n">
        <v>181</v>
      </c>
      <c r="E10039" s="41" t="n">
        <v>5233.2793</v>
      </c>
    </row>
    <row r="10040">
      <c r="A10040" s="42">
        <f>_xlfn.XLOOKUP(61848,Trip[shape_id],Trip[shape_id],"Não encontrado")</f>
        <v/>
      </c>
      <c r="B10040" s="43" t="n">
        <v>-23.635036</v>
      </c>
      <c r="C10040" s="43" t="n">
        <v>-46.657965</v>
      </c>
      <c r="D10040" s="43" t="n">
        <v>182</v>
      </c>
      <c r="E10040" s="44" t="n">
        <v>5240.7412</v>
      </c>
    </row>
    <row r="10041">
      <c r="A10041" s="39">
        <f>_xlfn.XLOOKUP(61848,Trip[shape_id],Trip[shape_id],"Não encontrado")</f>
        <v/>
      </c>
      <c r="B10041" s="40" t="n">
        <v>-23.635005</v>
      </c>
      <c r="C10041" s="40" t="n">
        <v>-46.658047</v>
      </c>
      <c r="D10041" s="40" t="n">
        <v>183</v>
      </c>
      <c r="E10041" s="41" t="n">
        <v>5249.7852</v>
      </c>
    </row>
    <row r="10042">
      <c r="A10042" s="42">
        <f>_xlfn.XLOOKUP(61848,Trip[shape_id],Trip[shape_id],"Não encontrado")</f>
        <v/>
      </c>
      <c r="B10042" s="43" t="n">
        <v>-23.634984</v>
      </c>
      <c r="C10042" s="43" t="n">
        <v>-46.658174</v>
      </c>
      <c r="D10042" s="43" t="n">
        <v>184</v>
      </c>
      <c r="E10042" s="44" t="n">
        <v>5262.9507</v>
      </c>
    </row>
    <row r="10043">
      <c r="A10043" s="39">
        <f>_xlfn.XLOOKUP(61848,Trip[shape_id],Trip[shape_id],"Não encontrado")</f>
        <v/>
      </c>
      <c r="B10043" s="40" t="n">
        <v>-23.634894</v>
      </c>
      <c r="C10043" s="40" t="n">
        <v>-46.658964</v>
      </c>
      <c r="D10043" s="40" t="n">
        <v>185</v>
      </c>
      <c r="E10043" s="41" t="n">
        <v>5344.1738</v>
      </c>
    </row>
    <row r="10044">
      <c r="A10044" s="42">
        <f>_xlfn.XLOOKUP(61848,Trip[shape_id],Trip[shape_id],"Não encontrado")</f>
        <v/>
      </c>
      <c r="B10044" s="43" t="n">
        <v>-23.634808</v>
      </c>
      <c r="C10044" s="43" t="n">
        <v>-46.659709</v>
      </c>
      <c r="D10044" s="43" t="n">
        <v>186</v>
      </c>
      <c r="E10044" s="44" t="n">
        <v>5420.7856</v>
      </c>
    </row>
    <row r="10045">
      <c r="A10045" s="39">
        <f>_xlfn.XLOOKUP(61848,Trip[shape_id],Trip[shape_id],"Não encontrado")</f>
        <v/>
      </c>
      <c r="B10045" s="40" t="n">
        <v>-23.634776</v>
      </c>
      <c r="C10045" s="40" t="n">
        <v>-46.660089</v>
      </c>
      <c r="D10045" s="40" t="n">
        <v>187</v>
      </c>
      <c r="E10045" s="41" t="n">
        <v>5459.7212</v>
      </c>
    </row>
    <row r="10046">
      <c r="A10046" s="42">
        <f>_xlfn.XLOOKUP(61848,Trip[shape_id],Trip[shape_id],"Não encontrado")</f>
        <v/>
      </c>
      <c r="B10046" s="43" t="n">
        <v>-23.634754</v>
      </c>
      <c r="C10046" s="43" t="n">
        <v>-46.660163</v>
      </c>
      <c r="D10046" s="43" t="n">
        <v>188</v>
      </c>
      <c r="E10046" s="44" t="n">
        <v>5467.6548</v>
      </c>
    </row>
    <row r="10047">
      <c r="A10047" s="39">
        <f>_xlfn.XLOOKUP(61848,Trip[shape_id],Trip[shape_id],"Não encontrado")</f>
        <v/>
      </c>
      <c r="B10047" s="40" t="n">
        <v>-23.634723</v>
      </c>
      <c r="C10047" s="40" t="n">
        <v>-46.66029</v>
      </c>
      <c r="D10047" s="40" t="n">
        <v>189</v>
      </c>
      <c r="E10047" s="41" t="n">
        <v>5481.0601</v>
      </c>
    </row>
    <row r="10048">
      <c r="A10048" s="42">
        <f>_xlfn.XLOOKUP(61848,Trip[shape_id],Trip[shape_id],"Não encontrado")</f>
        <v/>
      </c>
      <c r="B10048" s="43" t="n">
        <v>-23.634689</v>
      </c>
      <c r="C10048" s="43" t="n">
        <v>-46.660332</v>
      </c>
      <c r="D10048" s="43" t="n">
        <v>190</v>
      </c>
      <c r="E10048" s="44" t="n">
        <v>5486.7651</v>
      </c>
    </row>
    <row r="10049">
      <c r="A10049" s="39">
        <f>_xlfn.XLOOKUP(61848,Trip[shape_id],Trip[shape_id],"Não encontrado")</f>
        <v/>
      </c>
      <c r="B10049" s="40" t="n">
        <v>-23.634637</v>
      </c>
      <c r="C10049" s="40" t="n">
        <v>-46.660402</v>
      </c>
      <c r="D10049" s="40" t="n">
        <v>191</v>
      </c>
      <c r="E10049" s="41" t="n">
        <v>5495.9399</v>
      </c>
    </row>
    <row r="10050">
      <c r="A10050" s="42">
        <f>_xlfn.XLOOKUP(61848,Trip[shape_id],Trip[shape_id],"Não encontrado")</f>
        <v/>
      </c>
      <c r="B10050" s="43" t="n">
        <v>-23.634594</v>
      </c>
      <c r="C10050" s="43" t="n">
        <v>-46.660418</v>
      </c>
      <c r="D10050" s="43" t="n">
        <v>192</v>
      </c>
      <c r="E10050" s="44" t="n">
        <v>5500.9741</v>
      </c>
    </row>
    <row r="10051">
      <c r="A10051" s="39">
        <f>_xlfn.XLOOKUP(61848,Trip[shape_id],Trip[shape_id],"Não encontrado")</f>
        <v/>
      </c>
      <c r="B10051" s="40" t="n">
        <v>-23.634522</v>
      </c>
      <c r="C10051" s="40" t="n">
        <v>-46.660445</v>
      </c>
      <c r="D10051" s="40" t="n">
        <v>193</v>
      </c>
      <c r="E10051" s="41" t="n">
        <v>5509.4111</v>
      </c>
    </row>
    <row r="10052">
      <c r="A10052" s="42">
        <f>_xlfn.XLOOKUP(61848,Trip[shape_id],Trip[shape_id],"Não encontrado")</f>
        <v/>
      </c>
      <c r="B10052" s="43" t="n">
        <v>-23.634403</v>
      </c>
      <c r="C10052" s="43" t="n">
        <v>-46.66044</v>
      </c>
      <c r="D10052" s="43" t="n">
        <v>194</v>
      </c>
      <c r="E10052" s="44" t="n">
        <v>5522.6006</v>
      </c>
    </row>
    <row r="10053">
      <c r="A10053" s="39">
        <f>_xlfn.XLOOKUP(61848,Trip[shape_id],Trip[shape_id],"Não encontrado")</f>
        <v/>
      </c>
      <c r="B10053" s="40" t="n">
        <v>-23.633791</v>
      </c>
      <c r="C10053" s="40" t="n">
        <v>-46.660247</v>
      </c>
      <c r="D10053" s="40" t="n">
        <v>195</v>
      </c>
      <c r="E10053" s="41" t="n">
        <v>5593.1841</v>
      </c>
    </row>
    <row r="10054">
      <c r="A10054" s="42">
        <f>_xlfn.XLOOKUP(61848,Trip[shape_id],Trip[shape_id],"Não encontrado")</f>
        <v/>
      </c>
      <c r="B10054" s="43" t="n">
        <v>-23.633308</v>
      </c>
      <c r="C10054" s="43" t="n">
        <v>-46.660092</v>
      </c>
      <c r="D10054" s="43" t="n">
        <v>196</v>
      </c>
      <c r="E10054" s="44" t="n">
        <v>5648.9668</v>
      </c>
    </row>
    <row r="10055">
      <c r="A10055" s="39">
        <f>_xlfn.XLOOKUP(61848,Trip[shape_id],Trip[shape_id],"Não encontrado")</f>
        <v/>
      </c>
      <c r="B10055" s="40" t="n">
        <v>-23.633029</v>
      </c>
      <c r="C10055" s="40" t="n">
        <v>-46.660006</v>
      </c>
      <c r="D10055" s="40" t="n">
        <v>197</v>
      </c>
      <c r="E10055" s="41" t="n">
        <v>5681.0889</v>
      </c>
    </row>
    <row r="10056">
      <c r="A10056" s="42">
        <f>_xlfn.XLOOKUP(61848,Trip[shape_id],Trip[shape_id],"Não encontrado")</f>
        <v/>
      </c>
      <c r="B10056" s="43" t="n">
        <v>-23.632955</v>
      </c>
      <c r="C10056" s="43" t="n">
        <v>-46.659988</v>
      </c>
      <c r="D10056" s="43" t="n">
        <v>198</v>
      </c>
      <c r="E10056" s="44" t="n">
        <v>5689.4883</v>
      </c>
    </row>
    <row r="10057">
      <c r="A10057" s="39">
        <f>_xlfn.XLOOKUP(61848,Trip[shape_id],Trip[shape_id],"Não encontrado")</f>
        <v/>
      </c>
      <c r="B10057" s="40" t="n">
        <v>-23.632906</v>
      </c>
      <c r="C10057" s="40" t="n">
        <v>-46.659993</v>
      </c>
      <c r="D10057" s="40" t="n">
        <v>199</v>
      </c>
      <c r="E10057" s="41" t="n">
        <v>5694.9395</v>
      </c>
    </row>
    <row r="10058">
      <c r="A10058" s="42">
        <f>_xlfn.XLOOKUP(61848,Trip[shape_id],Trip[shape_id],"Não encontrado")</f>
        <v/>
      </c>
      <c r="B10058" s="43" t="n">
        <v>-23.632817</v>
      </c>
      <c r="C10058" s="43" t="n">
        <v>-46.660044</v>
      </c>
      <c r="D10058" s="43" t="n">
        <v>200</v>
      </c>
      <c r="E10058" s="44" t="n">
        <v>5706.0859</v>
      </c>
    </row>
    <row r="10059">
      <c r="A10059" s="39">
        <f>_xlfn.XLOOKUP(61848,Trip[shape_id],Trip[shape_id],"Não encontrado")</f>
        <v/>
      </c>
      <c r="B10059" s="40" t="n">
        <v>-23.632788</v>
      </c>
      <c r="C10059" s="40" t="n">
        <v>-46.660063</v>
      </c>
      <c r="D10059" s="40" t="n">
        <v>201</v>
      </c>
      <c r="E10059" s="41" t="n">
        <v>5709.8369</v>
      </c>
    </row>
    <row r="10060">
      <c r="A10060" s="42">
        <f>_xlfn.XLOOKUP(61848,Trip[shape_id],Trip[shape_id],"Não encontrado")</f>
        <v/>
      </c>
      <c r="B10060" s="43" t="n">
        <v>-23.632753</v>
      </c>
      <c r="C10060" s="43" t="n">
        <v>-46.660097</v>
      </c>
      <c r="D10060" s="43" t="n">
        <v>202</v>
      </c>
      <c r="E10060" s="44" t="n">
        <v>5715.0396</v>
      </c>
    </row>
    <row r="10061">
      <c r="A10061" s="39">
        <f>_xlfn.XLOOKUP(61848,Trip[shape_id],Trip[shape_id],"Não encontrado")</f>
        <v/>
      </c>
      <c r="B10061" s="40" t="n">
        <v>-23.632733</v>
      </c>
      <c r="C10061" s="40" t="n">
        <v>-46.66011</v>
      </c>
      <c r="D10061" s="40" t="n">
        <v>203</v>
      </c>
      <c r="E10061" s="41" t="n">
        <v>5717.623</v>
      </c>
    </row>
    <row r="10062">
      <c r="A10062" s="42">
        <f>_xlfn.XLOOKUP(61848,Trip[shape_id],Trip[shape_id],"Não encontrado")</f>
        <v/>
      </c>
      <c r="B10062" s="43" t="n">
        <v>-23.632708</v>
      </c>
      <c r="C10062" s="43" t="n">
        <v>-46.660135</v>
      </c>
      <c r="D10062" s="43" t="n">
        <v>204</v>
      </c>
      <c r="E10062" s="44" t="n">
        <v>5721.3882</v>
      </c>
    </row>
    <row r="10063">
      <c r="A10063" s="39">
        <f>_xlfn.XLOOKUP(61848,Trip[shape_id],Trip[shape_id],"Não encontrado")</f>
        <v/>
      </c>
      <c r="B10063" s="40" t="n">
        <v>-23.632659</v>
      </c>
      <c r="C10063" s="40" t="n">
        <v>-46.660232</v>
      </c>
      <c r="D10063" s="40" t="n">
        <v>205</v>
      </c>
      <c r="E10063" s="41" t="n">
        <v>5732.6758</v>
      </c>
    </row>
    <row r="10064">
      <c r="A10064" s="42">
        <f>_xlfn.XLOOKUP(61848,Trip[shape_id],Trip[shape_id],"Não encontrado")</f>
        <v/>
      </c>
      <c r="B10064" s="43" t="n">
        <v>-23.632488</v>
      </c>
      <c r="C10064" s="43" t="n">
        <v>-46.660593</v>
      </c>
      <c r="D10064" s="43" t="n">
        <v>206</v>
      </c>
      <c r="E10064" s="44" t="n">
        <v>5774.0952</v>
      </c>
    </row>
    <row r="10065">
      <c r="A10065" s="39">
        <f>_xlfn.XLOOKUP(61848,Trip[shape_id],Trip[shape_id],"Não encontrado")</f>
        <v/>
      </c>
      <c r="B10065" s="40" t="n">
        <v>-23.631998</v>
      </c>
      <c r="C10065" s="40" t="n">
        <v>-46.661595</v>
      </c>
      <c r="D10065" s="40" t="n">
        <v>207</v>
      </c>
      <c r="E10065" s="41" t="n">
        <v>5889.8481</v>
      </c>
    </row>
    <row r="10066">
      <c r="A10066" s="42">
        <f>_xlfn.XLOOKUP(61848,Trip[shape_id],Trip[shape_id],"Não encontrado")</f>
        <v/>
      </c>
      <c r="B10066" s="43" t="n">
        <v>-23.631651</v>
      </c>
      <c r="C10066" s="43" t="n">
        <v>-46.662314</v>
      </c>
      <c r="D10066" s="43" t="n">
        <v>208</v>
      </c>
      <c r="E10066" s="44" t="n">
        <v>5972.6704</v>
      </c>
    </row>
    <row r="10067">
      <c r="A10067" s="39">
        <f>_xlfn.XLOOKUP(61848,Trip[shape_id],Trip[shape_id],"Não encontrado")</f>
        <v/>
      </c>
      <c r="B10067" s="40" t="n">
        <v>-23.631515</v>
      </c>
      <c r="C10067" s="40" t="n">
        <v>-46.662599</v>
      </c>
      <c r="D10067" s="40" t="n">
        <v>209</v>
      </c>
      <c r="E10067" s="41" t="n">
        <v>6005.4209</v>
      </c>
    </row>
    <row r="10068">
      <c r="A10068" s="42">
        <f>_xlfn.XLOOKUP(61848,Trip[shape_id],Trip[shape_id],"Não encontrado")</f>
        <v/>
      </c>
      <c r="B10068" s="43" t="n">
        <v>-23.63134</v>
      </c>
      <c r="C10068" s="43" t="n">
        <v>-46.662948</v>
      </c>
      <c r="D10068" s="43" t="n">
        <v>210</v>
      </c>
      <c r="E10068" s="44" t="n">
        <v>6045.9653</v>
      </c>
    </row>
    <row r="10069">
      <c r="A10069" s="39">
        <f>_xlfn.XLOOKUP(61848,Trip[shape_id],Trip[shape_id],"Não encontrado")</f>
        <v/>
      </c>
      <c r="B10069" s="40" t="n">
        <v>-23.63102</v>
      </c>
      <c r="C10069" s="40" t="n">
        <v>-46.66361</v>
      </c>
      <c r="D10069" s="40" t="n">
        <v>211</v>
      </c>
      <c r="E10069" s="41" t="n">
        <v>6122.248</v>
      </c>
    </row>
    <row r="10070">
      <c r="A10070" s="42">
        <f>_xlfn.XLOOKUP(61848,Trip[shape_id],Trip[shape_id],"Não encontrado")</f>
        <v/>
      </c>
      <c r="B10070" s="43" t="n">
        <v>-23.630537</v>
      </c>
      <c r="C10070" s="43" t="n">
        <v>-46.664607</v>
      </c>
      <c r="D10070" s="43" t="n">
        <v>212</v>
      </c>
      <c r="E10070" s="44" t="n">
        <v>6237.1885</v>
      </c>
    </row>
    <row r="10071">
      <c r="A10071" s="39">
        <f>_xlfn.XLOOKUP(61848,Trip[shape_id],Trip[shape_id],"Não encontrado")</f>
        <v/>
      </c>
      <c r="B10071" s="40" t="n">
        <v>-23.630051</v>
      </c>
      <c r="C10071" s="40" t="n">
        <v>-46.665614</v>
      </c>
      <c r="D10071" s="40" t="n">
        <v>213</v>
      </c>
      <c r="E10071" s="41" t="n">
        <v>6353.1875</v>
      </c>
    </row>
    <row r="10072">
      <c r="A10072" s="42">
        <f>_xlfn.XLOOKUP(61848,Trip[shape_id],Trip[shape_id],"Não encontrado")</f>
        <v/>
      </c>
      <c r="B10072" s="43" t="n">
        <v>-23.629673</v>
      </c>
      <c r="C10072" s="43" t="n">
        <v>-46.666403</v>
      </c>
      <c r="D10072" s="43" t="n">
        <v>214</v>
      </c>
      <c r="E10072" s="44" t="n">
        <v>6443.9316</v>
      </c>
    </row>
    <row r="10073">
      <c r="A10073" s="39">
        <f>_xlfn.XLOOKUP(61848,Trip[shape_id],Trip[shape_id],"Não encontrado")</f>
        <v/>
      </c>
      <c r="B10073" s="40" t="n">
        <v>-23.629623</v>
      </c>
      <c r="C10073" s="40" t="n">
        <v>-46.666426</v>
      </c>
      <c r="D10073" s="40" t="n">
        <v>215</v>
      </c>
      <c r="E10073" s="41" t="n">
        <v>6449.9463</v>
      </c>
    </row>
    <row r="10074">
      <c r="A10074" s="42">
        <f>_xlfn.XLOOKUP(61848,Trip[shape_id],Trip[shape_id],"Não encontrado")</f>
        <v/>
      </c>
      <c r="B10074" s="43" t="n">
        <v>-23.62956</v>
      </c>
      <c r="C10074" s="43" t="n">
        <v>-46.666454</v>
      </c>
      <c r="D10074" s="43" t="n">
        <v>216</v>
      </c>
      <c r="E10074" s="44" t="n">
        <v>6457.4863</v>
      </c>
    </row>
    <row r="10075">
      <c r="A10075" s="39">
        <f>_xlfn.XLOOKUP(61848,Trip[shape_id],Trip[shape_id],"Não encontrado")</f>
        <v/>
      </c>
      <c r="B10075" s="40" t="n">
        <v>-23.629507</v>
      </c>
      <c r="C10075" s="40" t="n">
        <v>-46.666458</v>
      </c>
      <c r="D10075" s="40" t="n">
        <v>217</v>
      </c>
      <c r="E10075" s="41" t="n">
        <v>6463.3701</v>
      </c>
    </row>
    <row r="10076">
      <c r="A10076" s="42">
        <f>_xlfn.XLOOKUP(61848,Trip[shape_id],Trip[shape_id],"Não encontrado")</f>
        <v/>
      </c>
      <c r="B10076" s="43" t="n">
        <v>-23.629473</v>
      </c>
      <c r="C10076" s="43" t="n">
        <v>-46.666461</v>
      </c>
      <c r="D10076" s="43" t="n">
        <v>218</v>
      </c>
      <c r="E10076" s="44" t="n">
        <v>6467.1494</v>
      </c>
    </row>
    <row r="10077">
      <c r="A10077" s="39">
        <f>_xlfn.XLOOKUP(61848,Trip[shape_id],Trip[shape_id],"Não encontrado")</f>
        <v/>
      </c>
      <c r="B10077" s="40" t="n">
        <v>-23.629429</v>
      </c>
      <c r="C10077" s="40" t="n">
        <v>-46.666439</v>
      </c>
      <c r="D10077" s="40" t="n">
        <v>219</v>
      </c>
      <c r="E10077" s="41" t="n">
        <v>6472.5151</v>
      </c>
    </row>
    <row r="10078">
      <c r="A10078" s="42">
        <f>_xlfn.XLOOKUP(61848,Trip[shape_id],Trip[shape_id],"Não encontrado")</f>
        <v/>
      </c>
      <c r="B10078" s="43" t="n">
        <v>-23.629373</v>
      </c>
      <c r="C10078" s="43" t="n">
        <v>-46.666393</v>
      </c>
      <c r="D10078" s="43" t="n">
        <v>220</v>
      </c>
      <c r="E10078" s="44" t="n">
        <v>6480.2935</v>
      </c>
    </row>
    <row r="10079">
      <c r="A10079" s="39">
        <f>_xlfn.XLOOKUP(61848,Trip[shape_id],Trip[shape_id],"Não encontrado")</f>
        <v/>
      </c>
      <c r="B10079" s="40" t="n">
        <v>-23.62933</v>
      </c>
      <c r="C10079" s="40" t="n">
        <v>-46.666324</v>
      </c>
      <c r="D10079" s="40" t="n">
        <v>221</v>
      </c>
      <c r="E10079" s="41" t="n">
        <v>6488.7939</v>
      </c>
    </row>
    <row r="10080">
      <c r="A10080" s="42">
        <f>_xlfn.XLOOKUP(61848,Trip[shape_id],Trip[shape_id],"Não encontrado")</f>
        <v/>
      </c>
      <c r="B10080" s="43" t="n">
        <v>-23.629288</v>
      </c>
      <c r="C10080" s="43" t="n">
        <v>-46.666273</v>
      </c>
      <c r="D10080" s="43" t="n">
        <v>222</v>
      </c>
      <c r="E10080" s="44" t="n">
        <v>6495.7744</v>
      </c>
    </row>
    <row r="10081">
      <c r="A10081" s="39">
        <f>_xlfn.XLOOKUP(61848,Trip[shape_id],Trip[shape_id],"Não encontrado")</f>
        <v/>
      </c>
      <c r="B10081" s="40" t="n">
        <v>-23.629263</v>
      </c>
      <c r="C10081" s="40" t="n">
        <v>-46.666241</v>
      </c>
      <c r="D10081" s="40" t="n">
        <v>223</v>
      </c>
      <c r="E10081" s="41" t="n">
        <v>6500.0557</v>
      </c>
    </row>
    <row r="10082">
      <c r="A10082" s="42">
        <f>_xlfn.XLOOKUP(61848,Trip[shape_id],Trip[shape_id],"Não encontrado")</f>
        <v/>
      </c>
      <c r="B10082" s="43" t="n">
        <v>-23.629176</v>
      </c>
      <c r="C10082" s="43" t="n">
        <v>-46.665843</v>
      </c>
      <c r="D10082" s="43" t="n">
        <v>224</v>
      </c>
      <c r="E10082" s="44" t="n">
        <v>6541.7954</v>
      </c>
    </row>
    <row r="10083">
      <c r="A10083" s="39">
        <f>_xlfn.XLOOKUP(61848,Trip[shape_id],Trip[shape_id],"Não encontrado")</f>
        <v/>
      </c>
      <c r="B10083" s="40" t="n">
        <v>-23.629061</v>
      </c>
      <c r="C10083" s="40" t="n">
        <v>-46.665306</v>
      </c>
      <c r="D10083" s="40" t="n">
        <v>225</v>
      </c>
      <c r="E10083" s="41" t="n">
        <v>6598.0522</v>
      </c>
    </row>
    <row r="10084">
      <c r="A10084" s="42">
        <f>_xlfn.XLOOKUP(61848,Trip[shape_id],Trip[shape_id],"Não encontrado")</f>
        <v/>
      </c>
      <c r="B10084" s="43" t="n">
        <v>-23.628906</v>
      </c>
      <c r="C10084" s="43" t="n">
        <v>-46.664705</v>
      </c>
      <c r="D10084" s="43" t="n">
        <v>226</v>
      </c>
      <c r="E10084" s="44" t="n">
        <v>6661.7363</v>
      </c>
    </row>
    <row r="10085">
      <c r="A10085" s="39">
        <f>_xlfn.XLOOKUP(61848,Trip[shape_id],Trip[shape_id],"Não encontrado")</f>
        <v/>
      </c>
      <c r="B10085" s="40" t="n">
        <v>-23.628623</v>
      </c>
      <c r="C10085" s="40" t="n">
        <v>-46.663642</v>
      </c>
      <c r="D10085" s="40" t="n">
        <v>227</v>
      </c>
      <c r="E10085" s="41" t="n">
        <v>6774.644</v>
      </c>
    </row>
    <row r="10086">
      <c r="A10086" s="42">
        <f>_xlfn.XLOOKUP(61848,Trip[shape_id],Trip[shape_id],"Não encontrado")</f>
        <v/>
      </c>
      <c r="B10086" s="43" t="n">
        <v>-23.628384</v>
      </c>
      <c r="C10086" s="43" t="n">
        <v>-46.662766</v>
      </c>
      <c r="D10086" s="43" t="n">
        <v>228</v>
      </c>
      <c r="E10086" s="44" t="n">
        <v>6867.8696</v>
      </c>
    </row>
    <row r="10087">
      <c r="A10087" s="39">
        <f>_xlfn.XLOOKUP(61848,Trip[shape_id],Trip[shape_id],"Não encontrado")</f>
        <v/>
      </c>
      <c r="B10087" s="40" t="n">
        <v>-23.628283</v>
      </c>
      <c r="C10087" s="40" t="n">
        <v>-46.662484</v>
      </c>
      <c r="D10087" s="40" t="n">
        <v>229</v>
      </c>
      <c r="E10087" s="41" t="n">
        <v>6898.7432</v>
      </c>
    </row>
    <row r="10088">
      <c r="A10088" s="42">
        <f>_xlfn.XLOOKUP(61848,Trip[shape_id],Trip[shape_id],"Não encontrado")</f>
        <v/>
      </c>
      <c r="B10088" s="43" t="n">
        <v>-23.628188</v>
      </c>
      <c r="C10088" s="43" t="n">
        <v>-46.662246</v>
      </c>
      <c r="D10088" s="43" t="n">
        <v>230</v>
      </c>
      <c r="E10088" s="44" t="n">
        <v>6925.2104</v>
      </c>
    </row>
    <row r="10089">
      <c r="A10089" s="39">
        <f>_xlfn.XLOOKUP(61848,Trip[shape_id],Trip[shape_id],"Não encontrado")</f>
        <v/>
      </c>
      <c r="B10089" s="40" t="n">
        <v>-23.62807</v>
      </c>
      <c r="C10089" s="40" t="n">
        <v>-46.662066</v>
      </c>
      <c r="D10089" s="40" t="n">
        <v>231</v>
      </c>
      <c r="E10089" s="41" t="n">
        <v>6947.7529</v>
      </c>
    </row>
    <row r="10090">
      <c r="A10090" s="42">
        <f>_xlfn.XLOOKUP(61848,Trip[shape_id],Trip[shape_id],"Não encontrado")</f>
        <v/>
      </c>
      <c r="B10090" s="43" t="n">
        <v>-23.627948</v>
      </c>
      <c r="C10090" s="43" t="n">
        <v>-46.661904</v>
      </c>
      <c r="D10090" s="43" t="n">
        <v>232</v>
      </c>
      <c r="E10090" s="44" t="n">
        <v>6969.103</v>
      </c>
    </row>
    <row r="10091">
      <c r="A10091" s="39">
        <f>_xlfn.XLOOKUP(61848,Trip[shape_id],Trip[shape_id],"Não encontrado")</f>
        <v/>
      </c>
      <c r="B10091" s="40" t="n">
        <v>-23.627819</v>
      </c>
      <c r="C10091" s="40" t="n">
        <v>-46.661767</v>
      </c>
      <c r="D10091" s="40" t="n">
        <v>233</v>
      </c>
      <c r="E10091" s="41" t="n">
        <v>6989.0923</v>
      </c>
    </row>
    <row r="10092">
      <c r="A10092" s="42">
        <f>_xlfn.XLOOKUP(61848,Trip[shape_id],Trip[shape_id],"Não encontrado")</f>
        <v/>
      </c>
      <c r="B10092" s="43" t="n">
        <v>-23.627643</v>
      </c>
      <c r="C10092" s="43" t="n">
        <v>-46.661621</v>
      </c>
      <c r="D10092" s="43" t="n">
        <v>234</v>
      </c>
      <c r="E10092" s="44" t="n">
        <v>7013.6265</v>
      </c>
    </row>
    <row r="10093">
      <c r="A10093" s="39">
        <f>_xlfn.XLOOKUP(61848,Trip[shape_id],Trip[shape_id],"Não encontrado")</f>
        <v/>
      </c>
      <c r="B10093" s="40" t="n">
        <v>-23.62747</v>
      </c>
      <c r="C10093" s="40" t="n">
        <v>-46.661515</v>
      </c>
      <c r="D10093" s="40" t="n">
        <v>235</v>
      </c>
      <c r="E10093" s="41" t="n">
        <v>7035.6289</v>
      </c>
    </row>
    <row r="10094">
      <c r="A10094" s="42">
        <f>_xlfn.XLOOKUP(61848,Trip[shape_id],Trip[shape_id],"Não encontrado")</f>
        <v/>
      </c>
      <c r="B10094" s="43" t="n">
        <v>-23.627274</v>
      </c>
      <c r="C10094" s="43" t="n">
        <v>-46.661453</v>
      </c>
      <c r="D10094" s="43" t="n">
        <v>236</v>
      </c>
      <c r="E10094" s="44" t="n">
        <v>7058.2397</v>
      </c>
    </row>
    <row r="10095">
      <c r="A10095" s="39">
        <f>_xlfn.XLOOKUP(61848,Trip[shape_id],Trip[shape_id],"Não encontrado")</f>
        <v/>
      </c>
      <c r="B10095" s="40" t="n">
        <v>-23.627183</v>
      </c>
      <c r="C10095" s="40" t="n">
        <v>-46.661434</v>
      </c>
      <c r="D10095" s="40" t="n">
        <v>237</v>
      </c>
      <c r="E10095" s="41" t="n">
        <v>7068.5024</v>
      </c>
    </row>
    <row r="10096">
      <c r="A10096" s="42">
        <f>_xlfn.XLOOKUP(61848,Trip[shape_id],Trip[shape_id],"Não encontrado")</f>
        <v/>
      </c>
      <c r="B10096" s="43" t="n">
        <v>-23.627013</v>
      </c>
      <c r="C10096" s="43" t="n">
        <v>-46.661409</v>
      </c>
      <c r="D10096" s="43" t="n">
        <v>238</v>
      </c>
      <c r="E10096" s="44" t="n">
        <v>7087.5029</v>
      </c>
    </row>
    <row r="10097">
      <c r="A10097" s="39">
        <f>_xlfn.XLOOKUP(61848,Trip[shape_id],Trip[shape_id],"Não encontrado")</f>
        <v/>
      </c>
      <c r="B10097" s="40" t="n">
        <v>-23.626903</v>
      </c>
      <c r="C10097" s="40" t="n">
        <v>-46.661399</v>
      </c>
      <c r="D10097" s="40" t="n">
        <v>239</v>
      </c>
      <c r="E10097" s="41" t="n">
        <v>7099.7285</v>
      </c>
    </row>
    <row r="10098">
      <c r="A10098" s="42">
        <f>_xlfn.XLOOKUP(61848,Trip[shape_id],Trip[shape_id],"Não encontrado")</f>
        <v/>
      </c>
      <c r="B10098" s="43" t="n">
        <v>-23.626604</v>
      </c>
      <c r="C10098" s="43" t="n">
        <v>-46.661372</v>
      </c>
      <c r="D10098" s="43" t="n">
        <v>240</v>
      </c>
      <c r="E10098" s="44" t="n">
        <v>7132.958</v>
      </c>
    </row>
    <row r="10099">
      <c r="A10099" s="39">
        <f>_xlfn.XLOOKUP(61848,Trip[shape_id],Trip[shape_id],"Não encontrado")</f>
        <v/>
      </c>
      <c r="B10099" s="40" t="n">
        <v>-23.62629</v>
      </c>
      <c r="C10099" s="40" t="n">
        <v>-46.661409</v>
      </c>
      <c r="D10099" s="40" t="n">
        <v>241</v>
      </c>
      <c r="E10099" s="41" t="n">
        <v>7167.939</v>
      </c>
    </row>
    <row r="10100">
      <c r="A10100" s="42">
        <f>_xlfn.XLOOKUP(61848,Trip[shape_id],Trip[shape_id],"Não encontrado")</f>
        <v/>
      </c>
      <c r="B10100" s="43" t="n">
        <v>-23.626029</v>
      </c>
      <c r="C10100" s="43" t="n">
        <v>-46.661425</v>
      </c>
      <c r="D10100" s="43" t="n">
        <v>242</v>
      </c>
      <c r="E10100" s="44" t="n">
        <v>7196.8916</v>
      </c>
    </row>
    <row r="10101">
      <c r="A10101" s="39">
        <f>_xlfn.XLOOKUP(61848,Trip[shape_id],Trip[shape_id],"Não encontrado")</f>
        <v/>
      </c>
      <c r="B10101" s="40" t="n">
        <v>-23.625391</v>
      </c>
      <c r="C10101" s="40" t="n">
        <v>-46.661459</v>
      </c>
      <c r="D10101" s="40" t="n">
        <v>243</v>
      </c>
      <c r="E10101" s="41" t="n">
        <v>7267.6372</v>
      </c>
    </row>
    <row r="10102">
      <c r="A10102" s="42">
        <f>_xlfn.XLOOKUP(61848,Trip[shape_id],Trip[shape_id],"Não encontrado")</f>
        <v/>
      </c>
      <c r="B10102" s="43" t="n">
        <v>-23.624758</v>
      </c>
      <c r="C10102" s="43" t="n">
        <v>-46.661499</v>
      </c>
      <c r="D10102" s="43" t="n">
        <v>244</v>
      </c>
      <c r="E10102" s="44" t="n">
        <v>7337.8623</v>
      </c>
    </row>
    <row r="10103">
      <c r="A10103" s="39">
        <f>_xlfn.XLOOKUP(61848,Trip[shape_id],Trip[shape_id],"Não encontrado")</f>
        <v/>
      </c>
      <c r="B10103" s="40" t="n">
        <v>-23.624534</v>
      </c>
      <c r="C10103" s="40" t="n">
        <v>-46.661516</v>
      </c>
      <c r="D10103" s="40" t="n">
        <v>245</v>
      </c>
      <c r="E10103" s="41" t="n">
        <v>7362.7314</v>
      </c>
    </row>
    <row r="10104">
      <c r="A10104" s="42">
        <f>_xlfn.XLOOKUP(61848,Trip[shape_id],Trip[shape_id],"Não encontrado")</f>
        <v/>
      </c>
      <c r="B10104" s="43" t="n">
        <v>-23.624337</v>
      </c>
      <c r="C10104" s="43" t="n">
        <v>-46.661525</v>
      </c>
      <c r="D10104" s="43" t="n">
        <v>246</v>
      </c>
      <c r="E10104" s="44" t="n">
        <v>7384.5688</v>
      </c>
    </row>
    <row r="10105">
      <c r="A10105" s="39">
        <f>_xlfn.XLOOKUP(61848,Trip[shape_id],Trip[shape_id],"Não encontrado")</f>
        <v/>
      </c>
      <c r="B10105" s="40" t="n">
        <v>-23.623486</v>
      </c>
      <c r="C10105" s="40" t="n">
        <v>-46.661591</v>
      </c>
      <c r="D10105" s="40" t="n">
        <v>247</v>
      </c>
      <c r="E10105" s="41" t="n">
        <v>7479.0601</v>
      </c>
    </row>
    <row r="10106">
      <c r="A10106" s="42">
        <f>_xlfn.XLOOKUP(61848,Trip[shape_id],Trip[shape_id],"Não encontrado")</f>
        <v/>
      </c>
      <c r="B10106" s="43" t="n">
        <v>-23.62256</v>
      </c>
      <c r="C10106" s="43" t="n">
        <v>-46.66168</v>
      </c>
      <c r="D10106" s="43" t="n">
        <v>248</v>
      </c>
      <c r="E10106" s="44" t="n">
        <v>7582.0186</v>
      </c>
    </row>
    <row r="10107">
      <c r="A10107" s="39">
        <f>_xlfn.XLOOKUP(61848,Trip[shape_id],Trip[shape_id],"Não encontrado")</f>
        <v/>
      </c>
      <c r="B10107" s="40" t="n">
        <v>-23.622191</v>
      </c>
      <c r="C10107" s="40" t="n">
        <v>-46.661711</v>
      </c>
      <c r="D10107" s="40" t="n">
        <v>249</v>
      </c>
      <c r="E10107" s="41" t="n">
        <v>7623.0083</v>
      </c>
    </row>
    <row r="10108">
      <c r="A10108" s="42">
        <f>_xlfn.XLOOKUP(61848,Trip[shape_id],Trip[shape_id],"Não encontrado")</f>
        <v/>
      </c>
      <c r="B10108" s="43" t="n">
        <v>-23.620012</v>
      </c>
      <c r="C10108" s="43" t="n">
        <v>-46.661906</v>
      </c>
      <c r="D10108" s="43" t="n">
        <v>250</v>
      </c>
      <c r="E10108" s="44" t="n">
        <v>7865.1577</v>
      </c>
    </row>
    <row r="10109">
      <c r="A10109" s="39">
        <f>_xlfn.XLOOKUP(61848,Trip[shape_id],Trip[shape_id],"Não encontrado")</f>
        <v/>
      </c>
      <c r="B10109" s="40" t="n">
        <v>-23.619786</v>
      </c>
      <c r="C10109" s="40" t="n">
        <v>-46.661936</v>
      </c>
      <c r="D10109" s="40" t="n">
        <v>251</v>
      </c>
      <c r="E10109" s="41" t="n">
        <v>7890.3745</v>
      </c>
    </row>
    <row r="10110">
      <c r="A10110" s="42">
        <f>_xlfn.XLOOKUP(61848,Trip[shape_id],Trip[shape_id],"Não encontrado")</f>
        <v/>
      </c>
      <c r="B10110" s="43" t="n">
        <v>-23.61905</v>
      </c>
      <c r="C10110" s="43" t="n">
        <v>-46.662033</v>
      </c>
      <c r="D10110" s="43" t="n">
        <v>252</v>
      </c>
      <c r="E10110" s="44" t="n">
        <v>8015.2939</v>
      </c>
    </row>
    <row r="10111">
      <c r="A10111" s="39">
        <f>_xlfn.XLOOKUP(61848,Trip[shape_id],Trip[shape_id],"Não encontrado")</f>
        <v/>
      </c>
      <c r="B10111" s="40" t="n">
        <v>-23.618665</v>
      </c>
      <c r="C10111" s="40" t="n">
        <v>-46.66207</v>
      </c>
      <c r="D10111" s="40" t="n">
        <v>253</v>
      </c>
      <c r="E10111" s="41" t="n">
        <v>8025.875</v>
      </c>
    </row>
    <row r="10112">
      <c r="A10112" s="42">
        <f>_xlfn.XLOOKUP(61848,Trip[shape_id],Trip[shape_id],"Não encontrado")</f>
        <v/>
      </c>
      <c r="B10112" s="43" t="n">
        <v>-23.61857</v>
      </c>
      <c r="C10112" s="43" t="n">
        <v>-46.662059</v>
      </c>
      <c r="D10112" s="43" t="n">
        <v>254</v>
      </c>
      <c r="E10112" s="44" t="n">
        <v>8049.7241</v>
      </c>
    </row>
    <row r="10113">
      <c r="A10113" s="39">
        <f>_xlfn.XLOOKUP(61848,Trip[shape_id],Trip[shape_id],"Não encontrado")</f>
        <v/>
      </c>
      <c r="B10113" s="40" t="n">
        <v>-23.618356</v>
      </c>
      <c r="C10113" s="40" t="n">
        <v>-46.662033</v>
      </c>
      <c r="D10113" s="40" t="n">
        <v>255</v>
      </c>
      <c r="E10113" s="41" t="n">
        <v>8067.1743</v>
      </c>
    </row>
    <row r="10114">
      <c r="A10114" s="42">
        <f>_xlfn.XLOOKUP(61848,Trip[shape_id],Trip[shape_id],"Não encontrado")</f>
        <v/>
      </c>
      <c r="B10114" s="43" t="n">
        <v>-23.6182</v>
      </c>
      <c r="C10114" s="43" t="n">
        <v>-46.662009</v>
      </c>
      <c r="D10114" s="43" t="n">
        <v>256</v>
      </c>
      <c r="E10114" s="44" t="n">
        <v>8086.6147</v>
      </c>
    </row>
    <row r="10115">
      <c r="A10115" s="39">
        <f>_xlfn.XLOOKUP(61848,Trip[shape_id],Trip[shape_id],"Não encontrado")</f>
        <v/>
      </c>
      <c r="B10115" s="40" t="n">
        <v>-23.618028</v>
      </c>
      <c r="C10115" s="40" t="n">
        <v>-46.661971</v>
      </c>
      <c r="D10115" s="40" t="n">
        <v>257</v>
      </c>
      <c r="E10115" s="41" t="n">
        <v>8103.8691</v>
      </c>
    </row>
    <row r="10116">
      <c r="A10116" s="42">
        <f>_xlfn.XLOOKUP(61848,Trip[shape_id],Trip[shape_id],"Não encontrado")</f>
        <v/>
      </c>
      <c r="B10116" s="43" t="n">
        <v>-23.617882</v>
      </c>
      <c r="C10116" s="43" t="n">
        <v>-46.661912</v>
      </c>
      <c r="D10116" s="43" t="n">
        <v>258</v>
      </c>
      <c r="E10116" s="44" t="n">
        <v>8120.5396</v>
      </c>
    </row>
    <row r="10117">
      <c r="A10117" s="39">
        <f>_xlfn.XLOOKUP(61848,Trip[shape_id],Trip[shape_id],"Não encontrado")</f>
        <v/>
      </c>
      <c r="B10117" s="40" t="n">
        <v>-23.617742</v>
      </c>
      <c r="C10117" s="40" t="n">
        <v>-46.661852</v>
      </c>
      <c r="D10117" s="40" t="n">
        <v>259</v>
      </c>
      <c r="E10117" s="41" t="n">
        <v>8120.5396</v>
      </c>
    </row>
    <row r="10118">
      <c r="A10118" s="42">
        <f>_xlfn.XLOOKUP(61848,Trip[shape_id],Trip[shape_id],"Não encontrado")</f>
        <v/>
      </c>
      <c r="B10118" s="43" t="n">
        <v>-23.617689</v>
      </c>
      <c r="C10118" s="43" t="n">
        <v>-46.661827</v>
      </c>
      <c r="D10118" s="43" t="n">
        <v>260</v>
      </c>
      <c r="E10118" s="44" t="n">
        <v>8126.9395</v>
      </c>
    </row>
    <row r="10119">
      <c r="A10119" s="39">
        <f>_xlfn.XLOOKUP(61848,Trip[shape_id],Trip[shape_id],"Não encontrado")</f>
        <v/>
      </c>
      <c r="B10119" s="40" t="n">
        <v>-23.6174</v>
      </c>
      <c r="C10119" s="40" t="n">
        <v>-46.661645</v>
      </c>
      <c r="D10119" s="40" t="n">
        <v>261</v>
      </c>
      <c r="E10119" s="41" t="n">
        <v>8178.9653</v>
      </c>
    </row>
    <row r="10120">
      <c r="A10120" s="42">
        <f>_xlfn.XLOOKUP(61848,Trip[shape_id],Trip[shape_id],"Não encontrado")</f>
        <v/>
      </c>
      <c r="B10120" s="43" t="n">
        <v>-23.617288</v>
      </c>
      <c r="C10120" s="43" t="n">
        <v>-46.661562</v>
      </c>
      <c r="D10120" s="43" t="n">
        <v>262</v>
      </c>
      <c r="E10120" s="44" t="n">
        <v>8178.9653</v>
      </c>
    </row>
    <row r="10121">
      <c r="A10121" s="39">
        <f>_xlfn.XLOOKUP(61848,Trip[shape_id],Trip[shape_id],"Não encontrado")</f>
        <v/>
      </c>
      <c r="B10121" s="40" t="n">
        <v>-23.616088</v>
      </c>
      <c r="C10121" s="40" t="n">
        <v>-46.660445</v>
      </c>
      <c r="D10121" s="40" t="n">
        <v>263</v>
      </c>
      <c r="E10121" s="41" t="n">
        <v>8354.0576</v>
      </c>
    </row>
    <row r="10122">
      <c r="A10122" s="42">
        <f>_xlfn.XLOOKUP(61848,Trip[shape_id],Trip[shape_id],"Não encontrado")</f>
        <v/>
      </c>
      <c r="B10122" s="43" t="n">
        <v>-23.615794</v>
      </c>
      <c r="C10122" s="43" t="n">
        <v>-46.660152</v>
      </c>
      <c r="D10122" s="43" t="n">
        <v>264</v>
      </c>
      <c r="E10122" s="44" t="n">
        <v>8398.265600000001</v>
      </c>
    </row>
    <row r="10123">
      <c r="A10123" s="39">
        <f>_xlfn.XLOOKUP(61848,Trip[shape_id],Trip[shape_id],"Não encontrado")</f>
        <v/>
      </c>
      <c r="B10123" s="40" t="n">
        <v>-23.615018</v>
      </c>
      <c r="C10123" s="40" t="n">
        <v>-46.659406</v>
      </c>
      <c r="D10123" s="40" t="n">
        <v>265</v>
      </c>
      <c r="E10123" s="41" t="n">
        <v>8513.080099999999</v>
      </c>
    </row>
    <row r="10124">
      <c r="A10124" s="42">
        <f>_xlfn.XLOOKUP(61848,Trip[shape_id],Trip[shape_id],"Não encontrado")</f>
        <v/>
      </c>
      <c r="B10124" s="43" t="n">
        <v>-23.614227</v>
      </c>
      <c r="C10124" s="43" t="n">
        <v>-46.658658</v>
      </c>
      <c r="D10124" s="43" t="n">
        <v>266</v>
      </c>
      <c r="E10124" s="44" t="n">
        <v>8629.2773</v>
      </c>
    </row>
    <row r="10125">
      <c r="A10125" s="39">
        <f>_xlfn.XLOOKUP(61848,Trip[shape_id],Trip[shape_id],"Não encontrado")</f>
        <v/>
      </c>
      <c r="B10125" s="40" t="n">
        <v>-23.613435</v>
      </c>
      <c r="C10125" s="40" t="n">
        <v>-46.657914</v>
      </c>
      <c r="D10125" s="40" t="n">
        <v>267</v>
      </c>
      <c r="E10125" s="41" t="n">
        <v>8745.290999999999</v>
      </c>
    </row>
    <row r="10126">
      <c r="A10126" s="42">
        <f>_xlfn.XLOOKUP(61848,Trip[shape_id],Trip[shape_id],"Não encontrado")</f>
        <v/>
      </c>
      <c r="B10126" s="43" t="n">
        <v>-23.613163</v>
      </c>
      <c r="C10126" s="43" t="n">
        <v>-46.657659</v>
      </c>
      <c r="D10126" s="43" t="n">
        <v>268</v>
      </c>
      <c r="E10126" s="44" t="n">
        <v>8785.0996</v>
      </c>
    </row>
    <row r="10127">
      <c r="A10127" s="39">
        <f>_xlfn.XLOOKUP(61848,Trip[shape_id],Trip[shape_id],"Não encontrado")</f>
        <v/>
      </c>
      <c r="B10127" s="40" t="n">
        <v>-23.612687</v>
      </c>
      <c r="C10127" s="40" t="n">
        <v>-46.657208</v>
      </c>
      <c r="D10127" s="40" t="n">
        <v>269</v>
      </c>
      <c r="E10127" s="41" t="n">
        <v>8855.083000000001</v>
      </c>
    </row>
    <row r="10128">
      <c r="A10128" s="42">
        <f>_xlfn.XLOOKUP(61848,Trip[shape_id],Trip[shape_id],"Não encontrado")</f>
        <v/>
      </c>
      <c r="B10128" s="43" t="n">
        <v>-23.611852</v>
      </c>
      <c r="C10128" s="43" t="n">
        <v>-46.656419</v>
      </c>
      <c r="D10128" s="43" t="n">
        <v>270</v>
      </c>
      <c r="E10128" s="44" t="n">
        <v>8977.704100000001</v>
      </c>
    </row>
    <row r="10129">
      <c r="A10129" s="39">
        <f>_xlfn.XLOOKUP(61848,Trip[shape_id],Trip[shape_id],"Não encontrado")</f>
        <v/>
      </c>
      <c r="B10129" s="40" t="n">
        <v>-23.611052</v>
      </c>
      <c r="C10129" s="40" t="n">
        <v>-46.655679</v>
      </c>
      <c r="D10129" s="40" t="n">
        <v>271</v>
      </c>
      <c r="E10129" s="41" t="n">
        <v>9094.125</v>
      </c>
    </row>
    <row r="10130">
      <c r="A10130" s="42">
        <f>_xlfn.XLOOKUP(61848,Trip[shape_id],Trip[shape_id],"Não encontrado")</f>
        <v/>
      </c>
      <c r="B10130" s="43" t="n">
        <v>-23.610977</v>
      </c>
      <c r="C10130" s="43" t="n">
        <v>-46.655517</v>
      </c>
      <c r="D10130" s="43" t="n">
        <v>272</v>
      </c>
      <c r="E10130" s="44" t="n">
        <v>9112.627</v>
      </c>
    </row>
    <row r="10131">
      <c r="A10131" s="39">
        <f>_xlfn.XLOOKUP(61848,Trip[shape_id],Trip[shape_id],"Não encontrado")</f>
        <v/>
      </c>
      <c r="B10131" s="40" t="n">
        <v>-23.610652</v>
      </c>
      <c r="C10131" s="40" t="n">
        <v>-46.655084</v>
      </c>
      <c r="D10131" s="40" t="n">
        <v>273</v>
      </c>
      <c r="E10131" s="41" t="n">
        <v>9169.6211</v>
      </c>
    </row>
    <row r="10132">
      <c r="A10132" s="42">
        <f>_xlfn.XLOOKUP(61848,Trip[shape_id],Trip[shape_id],"Não encontrado")</f>
        <v/>
      </c>
      <c r="B10132" s="43" t="n">
        <v>-23.610576</v>
      </c>
      <c r="C10132" s="43" t="n">
        <v>-46.654992</v>
      </c>
      <c r="D10132" s="43" t="n">
        <v>274</v>
      </c>
      <c r="E10132" s="44" t="n">
        <v>9182.231400000001</v>
      </c>
    </row>
    <row r="10133">
      <c r="A10133" s="39">
        <f>_xlfn.XLOOKUP(61848,Trip[shape_id],Trip[shape_id],"Não encontrado")</f>
        <v/>
      </c>
      <c r="B10133" s="40" t="n">
        <v>-23.610378</v>
      </c>
      <c r="C10133" s="40" t="n">
        <v>-46.65479</v>
      </c>
      <c r="D10133" s="40" t="n">
        <v>275</v>
      </c>
      <c r="E10133" s="41" t="n">
        <v>9212.329100000001</v>
      </c>
    </row>
    <row r="10134">
      <c r="A10134" s="42">
        <f>_xlfn.XLOOKUP(61848,Trip[shape_id],Trip[shape_id],"Não encontrado")</f>
        <v/>
      </c>
      <c r="B10134" s="43" t="n">
        <v>-23.610154</v>
      </c>
      <c r="C10134" s="43" t="n">
        <v>-46.654598</v>
      </c>
      <c r="D10134" s="43" t="n">
        <v>276</v>
      </c>
      <c r="E10134" s="44" t="n">
        <v>9243.9424</v>
      </c>
    </row>
    <row r="10135">
      <c r="A10135" s="39">
        <f>_xlfn.XLOOKUP(61848,Trip[shape_id],Trip[shape_id],"Não encontrado")</f>
        <v/>
      </c>
      <c r="B10135" s="40" t="n">
        <v>-23.609896</v>
      </c>
      <c r="C10135" s="40" t="n">
        <v>-46.654352</v>
      </c>
      <c r="D10135" s="40" t="n">
        <v>277</v>
      </c>
      <c r="E10135" s="41" t="n">
        <v>9281.979499999999</v>
      </c>
    </row>
    <row r="10136">
      <c r="A10136" s="42">
        <f>_xlfn.XLOOKUP(61848,Trip[shape_id],Trip[shape_id],"Não encontrado")</f>
        <v/>
      </c>
      <c r="B10136" s="43" t="n">
        <v>-23.609766</v>
      </c>
      <c r="C10136" s="43" t="n">
        <v>-46.654201</v>
      </c>
      <c r="D10136" s="43" t="n">
        <v>278</v>
      </c>
      <c r="E10136" s="44" t="n">
        <v>9303.069299999999</v>
      </c>
    </row>
    <row r="10137">
      <c r="A10137" s="39">
        <f>_xlfn.XLOOKUP(61848,Trip[shape_id],Trip[shape_id],"Não encontrado")</f>
        <v/>
      </c>
      <c r="B10137" s="40" t="n">
        <v>-23.609397</v>
      </c>
      <c r="C10137" s="40" t="n">
        <v>-46.65386</v>
      </c>
      <c r="D10137" s="40" t="n">
        <v>279</v>
      </c>
      <c r="E10137" s="41" t="n">
        <v>9356.747100000001</v>
      </c>
    </row>
    <row r="10138">
      <c r="A10138" s="42">
        <f>_xlfn.XLOOKUP(61848,Trip[shape_id],Trip[shape_id],"Não encontrado")</f>
        <v/>
      </c>
      <c r="B10138" s="43" t="n">
        <v>-23.608926</v>
      </c>
      <c r="C10138" s="43" t="n">
        <v>-46.653422</v>
      </c>
      <c r="D10138" s="43" t="n">
        <v>280</v>
      </c>
      <c r="E10138" s="44" t="n">
        <v>9425.444299999999</v>
      </c>
    </row>
    <row r="10139">
      <c r="A10139" s="39">
        <f>_xlfn.XLOOKUP(61848,Trip[shape_id],Trip[shape_id],"Não encontrado")</f>
        <v/>
      </c>
      <c r="B10139" s="40" t="n">
        <v>-23.608262</v>
      </c>
      <c r="C10139" s="40" t="n">
        <v>-46.65281</v>
      </c>
      <c r="D10139" s="40" t="n">
        <v>281</v>
      </c>
      <c r="E10139" s="41" t="n">
        <v>9521.9287</v>
      </c>
    </row>
    <row r="10140">
      <c r="A10140" s="42">
        <f>_xlfn.XLOOKUP(61848,Trip[shape_id],Trip[shape_id],"Não encontrado")</f>
        <v/>
      </c>
      <c r="B10140" s="43" t="n">
        <v>-23.608088</v>
      </c>
      <c r="C10140" s="43" t="n">
        <v>-46.652643</v>
      </c>
      <c r="D10140" s="43" t="n">
        <v>282</v>
      </c>
      <c r="E10140" s="44" t="n">
        <v>9547.6553</v>
      </c>
    </row>
    <row r="10141">
      <c r="A10141" s="39">
        <f>_xlfn.XLOOKUP(61848,Trip[shape_id],Trip[shape_id],"Não encontrado")</f>
        <v/>
      </c>
      <c r="B10141" s="40" t="n">
        <v>-23.608042</v>
      </c>
      <c r="C10141" s="40" t="n">
        <v>-46.652599</v>
      </c>
      <c r="D10141" s="40" t="n">
        <v>283</v>
      </c>
      <c r="E10141" s="41" t="n">
        <v>9554.4463</v>
      </c>
    </row>
    <row r="10142">
      <c r="A10142" s="42">
        <f>_xlfn.XLOOKUP(61848,Trip[shape_id],Trip[shape_id],"Não encontrado")</f>
        <v/>
      </c>
      <c r="B10142" s="43" t="n">
        <v>-23.607998</v>
      </c>
      <c r="C10142" s="43" t="n">
        <v>-46.652557</v>
      </c>
      <c r="D10142" s="43" t="n">
        <v>284</v>
      </c>
      <c r="E10142" s="44" t="n">
        <v>9560.9365</v>
      </c>
    </row>
    <row r="10143">
      <c r="A10143" s="39">
        <f>_xlfn.XLOOKUP(61848,Trip[shape_id],Trip[shape_id],"Não encontrado")</f>
        <v/>
      </c>
      <c r="B10143" s="40" t="n">
        <v>-23.607901</v>
      </c>
      <c r="C10143" s="40" t="n">
        <v>-46.652464</v>
      </c>
      <c r="D10143" s="40" t="n">
        <v>285</v>
      </c>
      <c r="E10143" s="41" t="n">
        <v>9575.271500000001</v>
      </c>
    </row>
    <row r="10144">
      <c r="A10144" s="42">
        <f>_xlfn.XLOOKUP(61848,Trip[shape_id],Trip[shape_id],"Não encontrado")</f>
        <v/>
      </c>
      <c r="B10144" s="43" t="n">
        <v>-23.607709</v>
      </c>
      <c r="C10144" s="43" t="n">
        <v>-46.65228</v>
      </c>
      <c r="D10144" s="43" t="n">
        <v>286</v>
      </c>
      <c r="E10144" s="44" t="n">
        <v>9603.640600000001</v>
      </c>
    </row>
    <row r="10145">
      <c r="A10145" s="39">
        <f>_xlfn.XLOOKUP(61848,Trip[shape_id],Trip[shape_id],"Não encontrado")</f>
        <v/>
      </c>
      <c r="B10145" s="40" t="n">
        <v>-23.607558</v>
      </c>
      <c r="C10145" s="40" t="n">
        <v>-46.65214</v>
      </c>
      <c r="D10145" s="40" t="n">
        <v>287</v>
      </c>
      <c r="E10145" s="41" t="n">
        <v>9625.636699999999</v>
      </c>
    </row>
    <row r="10146">
      <c r="A10146" s="42">
        <f>_xlfn.XLOOKUP(61848,Trip[shape_id],Trip[shape_id],"Não encontrado")</f>
        <v/>
      </c>
      <c r="B10146" s="43" t="n">
        <v>-23.607294</v>
      </c>
      <c r="C10146" s="43" t="n">
        <v>-46.651957</v>
      </c>
      <c r="D10146" s="43" t="n">
        <v>288</v>
      </c>
      <c r="E10146" s="44" t="n">
        <v>9660.331099999999</v>
      </c>
    </row>
    <row r="10147">
      <c r="A10147" s="39">
        <f>_xlfn.XLOOKUP(61848,Trip[shape_id],Trip[shape_id],"Não encontrado")</f>
        <v/>
      </c>
      <c r="B10147" s="40" t="n">
        <v>-23.606975</v>
      </c>
      <c r="C10147" s="40" t="n">
        <v>-46.651755</v>
      </c>
      <c r="D10147" s="40" t="n">
        <v>289</v>
      </c>
      <c r="E10147" s="41" t="n">
        <v>9701.2363</v>
      </c>
    </row>
    <row r="10148">
      <c r="A10148" s="42">
        <f>_xlfn.XLOOKUP(61848,Trip[shape_id],Trip[shape_id],"Não encontrado")</f>
        <v/>
      </c>
      <c r="B10148" s="43" t="n">
        <v>-23.606792</v>
      </c>
      <c r="C10148" s="43" t="n">
        <v>-46.651663</v>
      </c>
      <c r="D10148" s="43" t="n">
        <v>290</v>
      </c>
      <c r="E10148" s="44" t="n">
        <v>9723.573200000001</v>
      </c>
    </row>
    <row r="10149">
      <c r="A10149" s="39">
        <f>_xlfn.XLOOKUP(61848,Trip[shape_id],Trip[shape_id],"Não encontrado")</f>
        <v/>
      </c>
      <c r="B10149" s="40" t="n">
        <v>-23.606593</v>
      </c>
      <c r="C10149" s="40" t="n">
        <v>-46.65157</v>
      </c>
      <c r="D10149" s="40" t="n">
        <v>291</v>
      </c>
      <c r="E10149" s="41" t="n">
        <v>9747.570299999999</v>
      </c>
    </row>
    <row r="10150">
      <c r="A10150" s="42">
        <f>_xlfn.XLOOKUP(61848,Trip[shape_id],Trip[shape_id],"Não encontrado")</f>
        <v/>
      </c>
      <c r="B10150" s="43" t="n">
        <v>-23.606208</v>
      </c>
      <c r="C10150" s="43" t="n">
        <v>-46.651444</v>
      </c>
      <c r="D10150" s="43" t="n">
        <v>292</v>
      </c>
      <c r="E10150" s="44" t="n">
        <v>9792.107400000001</v>
      </c>
    </row>
    <row r="10151">
      <c r="A10151" s="39">
        <f>_xlfn.XLOOKUP(61848,Trip[shape_id],Trip[shape_id],"Não encontrado")</f>
        <v/>
      </c>
      <c r="B10151" s="40" t="n">
        <v>-23.606106</v>
      </c>
      <c r="C10151" s="40" t="n">
        <v>-46.651414</v>
      </c>
      <c r="D10151" s="40" t="n">
        <v>293</v>
      </c>
      <c r="E10151" s="41" t="n">
        <v>9816.242200000001</v>
      </c>
    </row>
    <row r="10152">
      <c r="A10152" s="42">
        <f>_xlfn.XLOOKUP(61848,Trip[shape_id],Trip[shape_id],"Não encontrado")</f>
        <v/>
      </c>
      <c r="B10152" s="43" t="n">
        <v>-23.605995</v>
      </c>
      <c r="C10152" s="43" t="n">
        <v>-46.651396</v>
      </c>
      <c r="D10152" s="43" t="n">
        <v>294</v>
      </c>
      <c r="E10152" s="44" t="n">
        <v>9848.622100000001</v>
      </c>
    </row>
    <row r="10153">
      <c r="A10153" s="39">
        <f>_xlfn.XLOOKUP(61848,Trip[shape_id],Trip[shape_id],"Não encontrado")</f>
        <v/>
      </c>
      <c r="B10153" s="40" t="n">
        <v>-23.605706</v>
      </c>
      <c r="C10153" s="40" t="n">
        <v>-46.651348</v>
      </c>
      <c r="D10153" s="40" t="n">
        <v>295</v>
      </c>
      <c r="E10153" s="41" t="n">
        <v>9848.622100000001</v>
      </c>
    </row>
    <row r="10154">
      <c r="A10154" s="42">
        <f>_xlfn.XLOOKUP(61848,Trip[shape_id],Trip[shape_id],"Não encontrado")</f>
        <v/>
      </c>
      <c r="B10154" s="43" t="n">
        <v>-23.605622</v>
      </c>
      <c r="C10154" s="43" t="n">
        <v>-46.651334</v>
      </c>
      <c r="D10154" s="43" t="n">
        <v>296</v>
      </c>
      <c r="E10154" s="44" t="n">
        <v>9914.704100000001</v>
      </c>
    </row>
    <row r="10155">
      <c r="A10155" s="39">
        <f>_xlfn.XLOOKUP(61848,Trip[shape_id],Trip[shape_id],"Não encontrado")</f>
        <v/>
      </c>
      <c r="B10155" s="40" t="n">
        <v>-23.605112</v>
      </c>
      <c r="C10155" s="40" t="n">
        <v>-46.651289</v>
      </c>
      <c r="D10155" s="40" t="n">
        <v>297</v>
      </c>
      <c r="E10155" s="41" t="n">
        <v>9914.704100000001</v>
      </c>
    </row>
    <row r="10156">
      <c r="A10156" s="42">
        <f>_xlfn.XLOOKUP(61848,Trip[shape_id],Trip[shape_id],"Não encontrado")</f>
        <v/>
      </c>
      <c r="B10156" s="43" t="n">
        <v>-23.604835</v>
      </c>
      <c r="C10156" s="43" t="n">
        <v>-46.651256</v>
      </c>
      <c r="D10156" s="43" t="n">
        <v>298</v>
      </c>
      <c r="E10156" s="44" t="n">
        <v>9945.5664</v>
      </c>
    </row>
    <row r="10157">
      <c r="A10157" s="39">
        <f>_xlfn.XLOOKUP(61848,Trip[shape_id],Trip[shape_id],"Não encontrado")</f>
        <v/>
      </c>
      <c r="B10157" s="40" t="n">
        <v>-23.604289</v>
      </c>
      <c r="C10157" s="40" t="n">
        <v>-46.651212</v>
      </c>
      <c r="D10157" s="40" t="n">
        <v>299</v>
      </c>
      <c r="E10157" s="41" t="n">
        <v>10006.204</v>
      </c>
    </row>
    <row r="10158">
      <c r="A10158" s="42">
        <f>_xlfn.XLOOKUP(61848,Trip[shape_id],Trip[shape_id],"Não encontrado")</f>
        <v/>
      </c>
      <c r="B10158" s="43" t="n">
        <v>-23.604171</v>
      </c>
      <c r="C10158" s="43" t="n">
        <v>-46.651206</v>
      </c>
      <c r="D10158" s="43" t="n">
        <v>300</v>
      </c>
      <c r="E10158" s="44" t="n">
        <v>10019.287</v>
      </c>
    </row>
    <row r="10159">
      <c r="A10159" s="39">
        <f>_xlfn.XLOOKUP(61848,Trip[shape_id],Trip[shape_id],"Não encontrado")</f>
        <v/>
      </c>
      <c r="B10159" s="40" t="n">
        <v>-23.603704</v>
      </c>
      <c r="C10159" s="40" t="n">
        <v>-46.651154</v>
      </c>
      <c r="D10159" s="40" t="n">
        <v>301</v>
      </c>
      <c r="E10159" s="41" t="n">
        <v>10071.28</v>
      </c>
    </row>
    <row r="10160">
      <c r="A10160" s="42">
        <f>_xlfn.XLOOKUP(61848,Trip[shape_id],Trip[shape_id],"Não encontrado")</f>
        <v/>
      </c>
      <c r="B10160" s="43" t="n">
        <v>-23.603423</v>
      </c>
      <c r="C10160" s="43" t="n">
        <v>-46.651101</v>
      </c>
      <c r="D10160" s="43" t="n">
        <v>302</v>
      </c>
      <c r="E10160" s="44" t="n">
        <v>10102.868</v>
      </c>
    </row>
    <row r="10161">
      <c r="A10161" s="39">
        <f>_xlfn.XLOOKUP(61848,Trip[shape_id],Trip[shape_id],"Não encontrado")</f>
        <v/>
      </c>
      <c r="B10161" s="40" t="n">
        <v>-23.603326</v>
      </c>
      <c r="C10161" s="40" t="n">
        <v>-46.651081</v>
      </c>
      <c r="D10161" s="40" t="n">
        <v>303</v>
      </c>
      <c r="E10161" s="41" t="n">
        <v>10113.803</v>
      </c>
    </row>
    <row r="10162">
      <c r="A10162" s="42">
        <f>_xlfn.XLOOKUP(61848,Trip[shape_id],Trip[shape_id],"Não encontrado")</f>
        <v/>
      </c>
      <c r="B10162" s="43" t="n">
        <v>-23.603109</v>
      </c>
      <c r="C10162" s="43" t="n">
        <v>-46.651056</v>
      </c>
      <c r="D10162" s="43" t="n">
        <v>304</v>
      </c>
      <c r="E10162" s="44" t="n">
        <v>10137.971</v>
      </c>
    </row>
    <row r="10163">
      <c r="A10163" s="39">
        <f>_xlfn.XLOOKUP(61848,Trip[shape_id],Trip[shape_id],"Não encontrado")</f>
        <v/>
      </c>
      <c r="B10163" s="40" t="n">
        <v>-23.602057</v>
      </c>
      <c r="C10163" s="40" t="n">
        <v>-46.650968</v>
      </c>
      <c r="D10163" s="40" t="n">
        <v>305</v>
      </c>
      <c r="E10163" s="41" t="n">
        <v>10254.828</v>
      </c>
    </row>
    <row r="10164">
      <c r="A10164" s="42">
        <f>_xlfn.XLOOKUP(61848,Trip[shape_id],Trip[shape_id],"Não encontrado")</f>
        <v/>
      </c>
      <c r="B10164" s="43" t="n">
        <v>-23.60177</v>
      </c>
      <c r="C10164" s="43" t="n">
        <v>-46.650956</v>
      </c>
      <c r="D10164" s="43" t="n">
        <v>306</v>
      </c>
      <c r="E10164" s="44" t="n">
        <v>10286.638</v>
      </c>
    </row>
    <row r="10165">
      <c r="A10165" s="39">
        <f>_xlfn.XLOOKUP(61848,Trip[shape_id],Trip[shape_id],"Não encontrado")</f>
        <v/>
      </c>
      <c r="B10165" s="40" t="n">
        <v>-23.601532</v>
      </c>
      <c r="C10165" s="40" t="n">
        <v>-46.650933</v>
      </c>
      <c r="D10165" s="40" t="n">
        <v>307</v>
      </c>
      <c r="E10165" s="41" t="n">
        <v>10313.101</v>
      </c>
    </row>
    <row r="10166">
      <c r="A10166" s="42">
        <f>_xlfn.XLOOKUP(61848,Trip[shape_id],Trip[shape_id],"Não encontrado")</f>
        <v/>
      </c>
      <c r="B10166" s="43" t="n">
        <v>-23.601415</v>
      </c>
      <c r="C10166" s="43" t="n">
        <v>-46.650912</v>
      </c>
      <c r="D10166" s="43" t="n">
        <v>308</v>
      </c>
      <c r="E10166" s="44" t="n">
        <v>10326.234</v>
      </c>
    </row>
    <row r="10167">
      <c r="A10167" s="39">
        <f>_xlfn.XLOOKUP(61848,Trip[shape_id],Trip[shape_id],"Não encontrado")</f>
        <v/>
      </c>
      <c r="B10167" s="40" t="n">
        <v>-23.600741</v>
      </c>
      <c r="C10167" s="40" t="n">
        <v>-46.650838</v>
      </c>
      <c r="D10167" s="40" t="n">
        <v>309</v>
      </c>
      <c r="E10167" s="41" t="n">
        <v>10401.263</v>
      </c>
    </row>
    <row r="10168">
      <c r="A10168" s="42">
        <f>_xlfn.XLOOKUP(61848,Trip[shape_id],Trip[shape_id],"Não encontrado")</f>
        <v/>
      </c>
      <c r="B10168" s="43" t="n">
        <v>-23.600312</v>
      </c>
      <c r="C10168" s="43" t="n">
        <v>-46.650795</v>
      </c>
      <c r="D10168" s="43" t="n">
        <v>310</v>
      </c>
      <c r="E10168" s="44" t="n">
        <v>10448.978</v>
      </c>
    </row>
    <row r="10169">
      <c r="A10169" s="39">
        <f>_xlfn.XLOOKUP(61848,Trip[shape_id],Trip[shape_id],"Não encontrado")</f>
        <v/>
      </c>
      <c r="B10169" s="40" t="n">
        <v>-23.599916</v>
      </c>
      <c r="C10169" s="40" t="n">
        <v>-46.650764</v>
      </c>
      <c r="D10169" s="40" t="n">
        <v>311</v>
      </c>
      <c r="E10169" s="41" t="n">
        <v>10492.949</v>
      </c>
    </row>
    <row r="10170">
      <c r="A10170" s="42">
        <f>_xlfn.XLOOKUP(61848,Trip[shape_id],Trip[shape_id],"Não encontrado")</f>
        <v/>
      </c>
      <c r="B10170" s="43" t="n">
        <v>-23.599801</v>
      </c>
      <c r="C10170" s="43" t="n">
        <v>-46.650755</v>
      </c>
      <c r="D10170" s="43" t="n">
        <v>312</v>
      </c>
      <c r="E10170" s="44" t="n">
        <v>10505.719</v>
      </c>
    </row>
    <row r="10171">
      <c r="A10171" s="39">
        <f>_xlfn.XLOOKUP(61848,Trip[shape_id],Trip[shape_id],"Não encontrado")</f>
        <v/>
      </c>
      <c r="B10171" s="40" t="n">
        <v>-23.599528</v>
      </c>
      <c r="C10171" s="40" t="n">
        <v>-46.650726</v>
      </c>
      <c r="D10171" s="40" t="n">
        <v>313</v>
      </c>
      <c r="E10171" s="41" t="n">
        <v>10536.099</v>
      </c>
    </row>
    <row r="10172">
      <c r="A10172" s="42">
        <f>_xlfn.XLOOKUP(61848,Trip[shape_id],Trip[shape_id],"Não encontrado")</f>
        <v/>
      </c>
      <c r="B10172" s="43" t="n">
        <v>-23.598647</v>
      </c>
      <c r="C10172" s="43" t="n">
        <v>-46.650638</v>
      </c>
      <c r="D10172" s="43" t="n">
        <v>314</v>
      </c>
      <c r="E10172" s="44" t="n">
        <v>10634.084</v>
      </c>
    </row>
    <row r="10173">
      <c r="A10173" s="39">
        <f>_xlfn.XLOOKUP(61848,Trip[shape_id],Trip[shape_id],"Não encontrado")</f>
        <v/>
      </c>
      <c r="B10173" s="40" t="n">
        <v>-23.597848</v>
      </c>
      <c r="C10173" s="40" t="n">
        <v>-46.650578</v>
      </c>
      <c r="D10173" s="40" t="n">
        <v>315</v>
      </c>
      <c r="E10173" s="41" t="n">
        <v>10722.787</v>
      </c>
    </row>
    <row r="10174">
      <c r="A10174" s="42">
        <f>_xlfn.XLOOKUP(61848,Trip[shape_id],Trip[shape_id],"Não encontrado")</f>
        <v/>
      </c>
      <c r="B10174" s="43" t="n">
        <v>-23.597753</v>
      </c>
      <c r="C10174" s="43" t="n">
        <v>-46.650591</v>
      </c>
      <c r="D10174" s="43" t="n">
        <v>316</v>
      </c>
      <c r="E10174" s="44" t="n">
        <v>10733.392</v>
      </c>
    </row>
    <row r="10175">
      <c r="A10175" s="39">
        <f>_xlfn.XLOOKUP(61848,Trip[shape_id],Trip[shape_id],"Não encontrado")</f>
        <v/>
      </c>
      <c r="B10175" s="40" t="n">
        <v>-23.59767</v>
      </c>
      <c r="C10175" s="40" t="n">
        <v>-46.650601</v>
      </c>
      <c r="D10175" s="40" t="n">
        <v>317</v>
      </c>
      <c r="E10175" s="41" t="n">
        <v>10742.641</v>
      </c>
    </row>
    <row r="10176">
      <c r="A10176" s="42">
        <f>_xlfn.XLOOKUP(61848,Trip[shape_id],Trip[shape_id],"Não encontrado")</f>
        <v/>
      </c>
      <c r="B10176" s="43" t="n">
        <v>-23.597216</v>
      </c>
      <c r="C10176" s="43" t="n">
        <v>-46.650553</v>
      </c>
      <c r="D10176" s="43" t="n">
        <v>318</v>
      </c>
      <c r="E10176" s="44" t="n">
        <v>10793.16</v>
      </c>
    </row>
    <row r="10177">
      <c r="A10177" s="39">
        <f>_xlfn.XLOOKUP(61848,Trip[shape_id],Trip[shape_id],"Não encontrado")</f>
        <v/>
      </c>
      <c r="B10177" s="40" t="n">
        <v>-23.596449</v>
      </c>
      <c r="C10177" s="40" t="n">
        <v>-46.650484</v>
      </c>
      <c r="D10177" s="40" t="n">
        <v>319</v>
      </c>
      <c r="E10177" s="41" t="n">
        <v>10878.398</v>
      </c>
    </row>
    <row r="10178">
      <c r="A10178" s="42">
        <f>_xlfn.XLOOKUP(61848,Trip[shape_id],Trip[shape_id],"Não encontrado")</f>
        <v/>
      </c>
      <c r="B10178" s="43" t="n">
        <v>-23.595549</v>
      </c>
      <c r="C10178" s="43" t="n">
        <v>-46.650405</v>
      </c>
      <c r="D10178" s="43" t="n">
        <v>320</v>
      </c>
      <c r="E10178" s="44" t="n">
        <v>10978.401</v>
      </c>
    </row>
    <row r="10179">
      <c r="A10179" s="39">
        <f>_xlfn.XLOOKUP(61848,Trip[shape_id],Trip[shape_id],"Não encontrado")</f>
        <v/>
      </c>
      <c r="B10179" s="40" t="n">
        <v>-23.59515</v>
      </c>
      <c r="C10179" s="40" t="n">
        <v>-46.650373</v>
      </c>
      <c r="D10179" s="40" t="n">
        <v>321</v>
      </c>
      <c r="E10179" s="41" t="n">
        <v>11022.712</v>
      </c>
    </row>
    <row r="10180">
      <c r="A10180" s="42">
        <f>_xlfn.XLOOKUP(61848,Trip[shape_id],Trip[shape_id],"Não encontrado")</f>
        <v/>
      </c>
      <c r="B10180" s="43" t="n">
        <v>-23.594513</v>
      </c>
      <c r="C10180" s="43" t="n">
        <v>-46.650335</v>
      </c>
      <c r="D10180" s="43" t="n">
        <v>322</v>
      </c>
      <c r="E10180" s="44" t="n">
        <v>11093.368</v>
      </c>
    </row>
    <row r="10181">
      <c r="A10181" s="39">
        <f>_xlfn.XLOOKUP(61848,Trip[shape_id],Trip[shape_id],"Não encontrado")</f>
        <v/>
      </c>
      <c r="B10181" s="40" t="n">
        <v>-23.593891</v>
      </c>
      <c r="C10181" s="40" t="n">
        <v>-46.650287</v>
      </c>
      <c r="D10181" s="40" t="n">
        <v>323</v>
      </c>
      <c r="E10181" s="41" t="n">
        <v>11162.431</v>
      </c>
    </row>
    <row r="10182">
      <c r="A10182" s="42">
        <f>_xlfn.XLOOKUP(61848,Trip[shape_id],Trip[shape_id],"Não encontrado")</f>
        <v/>
      </c>
      <c r="B10182" s="43" t="n">
        <v>-23.593783</v>
      </c>
      <c r="C10182" s="43" t="n">
        <v>-46.650275</v>
      </c>
      <c r="D10182" s="43" t="n">
        <v>324</v>
      </c>
      <c r="E10182" s="44" t="n">
        <v>11174.454</v>
      </c>
    </row>
    <row r="10183">
      <c r="A10183" s="39">
        <f>_xlfn.XLOOKUP(61848,Trip[shape_id],Trip[shape_id],"Não encontrado")</f>
        <v/>
      </c>
      <c r="B10183" s="40" t="n">
        <v>-23.593147</v>
      </c>
      <c r="C10183" s="40" t="n">
        <v>-46.650305</v>
      </c>
      <c r="D10183" s="40" t="n">
        <v>325</v>
      </c>
      <c r="E10183" s="41" t="n">
        <v>11244.959</v>
      </c>
    </row>
    <row r="10184">
      <c r="A10184" s="42">
        <f>_xlfn.XLOOKUP(61848,Trip[shape_id],Trip[shape_id],"Não encontrado")</f>
        <v/>
      </c>
      <c r="B10184" s="43" t="n">
        <v>-23.592515</v>
      </c>
      <c r="C10184" s="43" t="n">
        <v>-46.650368</v>
      </c>
      <c r="D10184" s="43" t="n">
        <v>326</v>
      </c>
      <c r="E10184" s="44" t="n">
        <v>11315.249</v>
      </c>
    </row>
    <row r="10185">
      <c r="A10185" s="39">
        <f>_xlfn.XLOOKUP(61848,Trip[shape_id],Trip[shape_id],"Não encontrado")</f>
        <v/>
      </c>
      <c r="B10185" s="40" t="n">
        <v>-23.592344</v>
      </c>
      <c r="C10185" s="40" t="n">
        <v>-46.650389</v>
      </c>
      <c r="D10185" s="40" t="n">
        <v>327</v>
      </c>
      <c r="E10185" s="41" t="n">
        <v>11334.309</v>
      </c>
    </row>
    <row r="10186">
      <c r="A10186" s="42">
        <f>_xlfn.XLOOKUP(61848,Trip[shape_id],Trip[shape_id],"Não encontrado")</f>
        <v/>
      </c>
      <c r="B10186" s="43" t="n">
        <v>-23.592152</v>
      </c>
      <c r="C10186" s="43" t="n">
        <v>-46.650428</v>
      </c>
      <c r="D10186" s="43" t="n">
        <v>328</v>
      </c>
      <c r="E10186" s="44" t="n">
        <v>11355.942</v>
      </c>
    </row>
    <row r="10187">
      <c r="A10187" s="39">
        <f>_xlfn.XLOOKUP(61848,Trip[shape_id],Trip[shape_id],"Não encontrado")</f>
        <v/>
      </c>
      <c r="B10187" s="40" t="n">
        <v>-23.591951</v>
      </c>
      <c r="C10187" s="40" t="n">
        <v>-46.650473</v>
      </c>
      <c r="D10187" s="40" t="n">
        <v>329</v>
      </c>
      <c r="E10187" s="41" t="n">
        <v>11378.673</v>
      </c>
    </row>
    <row r="10188">
      <c r="A10188" s="42">
        <f>_xlfn.XLOOKUP(61848,Trip[shape_id],Trip[shape_id],"Não encontrado")</f>
        <v/>
      </c>
      <c r="B10188" s="43" t="n">
        <v>-23.591581</v>
      </c>
      <c r="C10188" s="43" t="n">
        <v>-46.650586</v>
      </c>
      <c r="D10188" s="43" t="n">
        <v>330</v>
      </c>
      <c r="E10188" s="44" t="n">
        <v>11421.243</v>
      </c>
    </row>
    <row r="10189">
      <c r="A10189" s="39">
        <f>_xlfn.XLOOKUP(61848,Trip[shape_id],Trip[shape_id],"Não encontrado")</f>
        <v/>
      </c>
      <c r="B10189" s="40" t="n">
        <v>-23.591469</v>
      </c>
      <c r="C10189" s="40" t="n">
        <v>-46.650616</v>
      </c>
      <c r="D10189" s="40" t="n">
        <v>331</v>
      </c>
      <c r="E10189" s="41" t="n">
        <v>11434.02</v>
      </c>
    </row>
    <row r="10190">
      <c r="A10190" s="42">
        <f>_xlfn.XLOOKUP(61848,Trip[shape_id],Trip[shape_id],"Não encontrado")</f>
        <v/>
      </c>
      <c r="B10190" s="43" t="n">
        <v>-23.591159</v>
      </c>
      <c r="C10190" s="43" t="n">
        <v>-46.650703</v>
      </c>
      <c r="D10190" s="43" t="n">
        <v>332</v>
      </c>
      <c r="E10190" s="44" t="n">
        <v>11469.482</v>
      </c>
    </row>
    <row r="10191">
      <c r="A10191" s="39">
        <f>_xlfn.XLOOKUP(61848,Trip[shape_id],Trip[shape_id],"Não encontrado")</f>
        <v/>
      </c>
      <c r="B10191" s="40" t="n">
        <v>-23.590867</v>
      </c>
      <c r="C10191" s="40" t="n">
        <v>-46.650802</v>
      </c>
      <c r="D10191" s="40" t="n">
        <v>333</v>
      </c>
      <c r="E10191" s="41" t="n">
        <v>11503.364</v>
      </c>
    </row>
    <row r="10192">
      <c r="A10192" s="42">
        <f>_xlfn.XLOOKUP(61848,Trip[shape_id],Trip[shape_id],"Não encontrado")</f>
        <v/>
      </c>
      <c r="B10192" s="43" t="n">
        <v>-23.590633</v>
      </c>
      <c r="C10192" s="43" t="n">
        <v>-46.650911</v>
      </c>
      <c r="D10192" s="43" t="n">
        <v>334</v>
      </c>
      <c r="E10192" s="44" t="n">
        <v>11531.567</v>
      </c>
    </row>
    <row r="10193">
      <c r="A10193" s="39">
        <f>_xlfn.XLOOKUP(61848,Trip[shape_id],Trip[shape_id],"Não encontrado")</f>
        <v/>
      </c>
      <c r="B10193" s="40" t="n">
        <v>-23.590503</v>
      </c>
      <c r="C10193" s="40" t="n">
        <v>-46.650928</v>
      </c>
      <c r="D10193" s="40" t="n">
        <v>335</v>
      </c>
      <c r="E10193" s="41" t="n">
        <v>11546.069</v>
      </c>
    </row>
    <row r="10194">
      <c r="A10194" s="42">
        <f>_xlfn.XLOOKUP(61848,Trip[shape_id],Trip[shape_id],"Não encontrado")</f>
        <v/>
      </c>
      <c r="B10194" s="43" t="n">
        <v>-23.590297</v>
      </c>
      <c r="C10194" s="43" t="n">
        <v>-46.651031</v>
      </c>
      <c r="D10194" s="43" t="n">
        <v>336</v>
      </c>
      <c r="E10194" s="44" t="n">
        <v>11571.19</v>
      </c>
    </row>
    <row r="10195">
      <c r="A10195" s="39">
        <f>_xlfn.XLOOKUP(61848,Trip[shape_id],Trip[shape_id],"Não encontrado")</f>
        <v/>
      </c>
      <c r="B10195" s="40" t="n">
        <v>-23.589387</v>
      </c>
      <c r="C10195" s="40" t="n">
        <v>-46.651507</v>
      </c>
      <c r="D10195" s="40" t="n">
        <v>337</v>
      </c>
      <c r="E10195" s="41" t="n">
        <v>11683.075</v>
      </c>
    </row>
    <row r="10196">
      <c r="A10196" s="42">
        <f>_xlfn.XLOOKUP(61848,Trip[shape_id],Trip[shape_id],"Não encontrado")</f>
        <v/>
      </c>
      <c r="B10196" s="43" t="n">
        <v>-23.589152</v>
      </c>
      <c r="C10196" s="43" t="n">
        <v>-46.651624</v>
      </c>
      <c r="D10196" s="43" t="n">
        <v>338</v>
      </c>
      <c r="E10196" s="44" t="n">
        <v>11711.711</v>
      </c>
    </row>
    <row r="10197">
      <c r="A10197" s="39">
        <f>_xlfn.XLOOKUP(61848,Trip[shape_id],Trip[shape_id],"Não encontrado")</f>
        <v/>
      </c>
      <c r="B10197" s="40" t="n">
        <v>-23.588952</v>
      </c>
      <c r="C10197" s="40" t="n">
        <v>-46.651702</v>
      </c>
      <c r="D10197" s="40" t="n">
        <v>339</v>
      </c>
      <c r="E10197" s="41" t="n">
        <v>11735.249</v>
      </c>
    </row>
    <row r="10198">
      <c r="A10198" s="42">
        <f>_xlfn.XLOOKUP(61848,Trip[shape_id],Trip[shape_id],"Não encontrado")</f>
        <v/>
      </c>
      <c r="B10198" s="43" t="n">
        <v>-23.588818</v>
      </c>
      <c r="C10198" s="43" t="n">
        <v>-46.651766</v>
      </c>
      <c r="D10198" s="43" t="n">
        <v>340</v>
      </c>
      <c r="E10198" s="44" t="n">
        <v>11751.464</v>
      </c>
    </row>
    <row r="10199">
      <c r="A10199" s="39">
        <f>_xlfn.XLOOKUP(61848,Trip[shape_id],Trip[shape_id],"Não encontrado")</f>
        <v/>
      </c>
      <c r="B10199" s="40" t="n">
        <v>-23.588722</v>
      </c>
      <c r="C10199" s="40" t="n">
        <v>-46.651815</v>
      </c>
      <c r="D10199" s="40" t="n">
        <v>341</v>
      </c>
      <c r="E10199" s="41" t="n">
        <v>11763.214</v>
      </c>
    </row>
    <row r="10200">
      <c r="A10200" s="42">
        <f>_xlfn.XLOOKUP(61848,Trip[shape_id],Trip[shape_id],"Não encontrado")</f>
        <v/>
      </c>
      <c r="B10200" s="43" t="n">
        <v>-23.588122</v>
      </c>
      <c r="C10200" s="43" t="n">
        <v>-46.652072</v>
      </c>
      <c r="D10200" s="43" t="n">
        <v>342</v>
      </c>
      <c r="E10200" s="44" t="n">
        <v>11834.656</v>
      </c>
    </row>
    <row r="10201">
      <c r="A10201" s="39">
        <f>_xlfn.XLOOKUP(61848,Trip[shape_id],Trip[shape_id],"Não encontrado")</f>
        <v/>
      </c>
      <c r="B10201" s="40" t="n">
        <v>-23.587814</v>
      </c>
      <c r="C10201" s="40" t="n">
        <v>-46.65219</v>
      </c>
      <c r="D10201" s="40" t="n">
        <v>343</v>
      </c>
      <c r="E10201" s="41" t="n">
        <v>11870.832</v>
      </c>
    </row>
    <row r="10202">
      <c r="A10202" s="42">
        <f>_xlfn.XLOOKUP(61848,Trip[shape_id],Trip[shape_id],"Não encontrado")</f>
        <v/>
      </c>
      <c r="B10202" s="43" t="n">
        <v>-23.587391</v>
      </c>
      <c r="C10202" s="43" t="n">
        <v>-46.652427</v>
      </c>
      <c r="D10202" s="43" t="n">
        <v>344</v>
      </c>
      <c r="E10202" s="44" t="n">
        <v>11923.558</v>
      </c>
    </row>
    <row r="10203">
      <c r="A10203" s="39">
        <f>_xlfn.XLOOKUP(61848,Trip[shape_id],Trip[shape_id],"Não encontrado")</f>
        <v/>
      </c>
      <c r="B10203" s="40" t="n">
        <v>-23.587259</v>
      </c>
      <c r="C10203" s="40" t="n">
        <v>-46.652481</v>
      </c>
      <c r="D10203" s="40" t="n">
        <v>345</v>
      </c>
      <c r="E10203" s="41" t="n">
        <v>11939.182</v>
      </c>
    </row>
    <row r="10204">
      <c r="A10204" s="42">
        <f>_xlfn.XLOOKUP(61848,Trip[shape_id],Trip[shape_id],"Não encontrado")</f>
        <v/>
      </c>
      <c r="B10204" s="43" t="n">
        <v>-23.587051</v>
      </c>
      <c r="C10204" s="43" t="n">
        <v>-46.65254</v>
      </c>
      <c r="D10204" s="43" t="n">
        <v>346</v>
      </c>
      <c r="E10204" s="44" t="n">
        <v>11962.992</v>
      </c>
    </row>
    <row r="10205">
      <c r="A10205" s="39">
        <f>_xlfn.XLOOKUP(61848,Trip[shape_id],Trip[shape_id],"Não encontrado")</f>
        <v/>
      </c>
      <c r="B10205" s="40" t="n">
        <v>-23.586746</v>
      </c>
      <c r="C10205" s="40" t="n">
        <v>-46.652635</v>
      </c>
      <c r="D10205" s="40" t="n">
        <v>347</v>
      </c>
      <c r="E10205" s="41" t="n">
        <v>11998.136</v>
      </c>
    </row>
    <row r="10206">
      <c r="A10206" s="42">
        <f>_xlfn.XLOOKUP(61848,Trip[shape_id],Trip[shape_id],"Não encontrado")</f>
        <v/>
      </c>
      <c r="B10206" s="43" t="n">
        <v>-23.586269</v>
      </c>
      <c r="C10206" s="43" t="n">
        <v>-46.652785</v>
      </c>
      <c r="D10206" s="43" t="n">
        <v>348</v>
      </c>
      <c r="E10206" s="44" t="n">
        <v>12053.139</v>
      </c>
    </row>
    <row r="10207">
      <c r="A10207" s="39">
        <f>_xlfn.XLOOKUP(61848,Trip[shape_id],Trip[shape_id],"Não encontrado")</f>
        <v/>
      </c>
      <c r="B10207" s="40" t="n">
        <v>-23.586123</v>
      </c>
      <c r="C10207" s="40" t="n">
        <v>-46.652827</v>
      </c>
      <c r="D10207" s="40" t="n">
        <v>349</v>
      </c>
      <c r="E10207" s="41" t="n">
        <v>12069.867</v>
      </c>
    </row>
    <row r="10208">
      <c r="A10208" s="42">
        <f>_xlfn.XLOOKUP(61848,Trip[shape_id],Trip[shape_id],"Não encontrado")</f>
        <v/>
      </c>
      <c r="B10208" s="43" t="n">
        <v>-23.585515</v>
      </c>
      <c r="C10208" s="43" t="n">
        <v>-46.653017</v>
      </c>
      <c r="D10208" s="43" t="n">
        <v>350</v>
      </c>
      <c r="E10208" s="44" t="n">
        <v>12139.941</v>
      </c>
    </row>
    <row r="10209">
      <c r="A10209" s="39">
        <f>_xlfn.XLOOKUP(61848,Trip[shape_id],Trip[shape_id],"Não encontrado")</f>
        <v/>
      </c>
      <c r="B10209" s="40" t="n">
        <v>-23.585281</v>
      </c>
      <c r="C10209" s="40" t="n">
        <v>-46.653089</v>
      </c>
      <c r="D10209" s="40" t="n">
        <v>351</v>
      </c>
      <c r="E10209" s="41" t="n">
        <v>12166.88</v>
      </c>
    </row>
    <row r="10210">
      <c r="A10210" s="42">
        <f>_xlfn.XLOOKUP(61848,Trip[shape_id],Trip[shape_id],"Não encontrado")</f>
        <v/>
      </c>
      <c r="B10210" s="43" t="n">
        <v>-23.584799</v>
      </c>
      <c r="C10210" s="43" t="n">
        <v>-46.653101</v>
      </c>
      <c r="D10210" s="43" t="n">
        <v>352</v>
      </c>
      <c r="E10210" s="44" t="n">
        <v>12220.276</v>
      </c>
    </row>
    <row r="10211">
      <c r="A10211" s="39">
        <f>_xlfn.XLOOKUP(61848,Trip[shape_id],Trip[shape_id],"Não encontrado")</f>
        <v/>
      </c>
      <c r="B10211" s="40" t="n">
        <v>-23.584676</v>
      </c>
      <c r="C10211" s="40" t="n">
        <v>-46.65309</v>
      </c>
      <c r="D10211" s="40" t="n">
        <v>353</v>
      </c>
      <c r="E10211" s="41" t="n">
        <v>12253.557</v>
      </c>
    </row>
    <row r="10212">
      <c r="A10212" s="42">
        <f>_xlfn.XLOOKUP(61848,Trip[shape_id],Trip[shape_id],"Não encontrado")</f>
        <v/>
      </c>
      <c r="B10212" s="43" t="n">
        <v>-23.584503</v>
      </c>
      <c r="C10212" s="43" t="n">
        <v>-46.653049</v>
      </c>
      <c r="D10212" s="43" t="n">
        <v>354</v>
      </c>
      <c r="E10212" s="44" t="n">
        <v>12281.244</v>
      </c>
    </row>
    <row r="10213">
      <c r="A10213" s="39">
        <f>_xlfn.XLOOKUP(61848,Trip[shape_id],Trip[shape_id],"Não encontrado")</f>
        <v/>
      </c>
      <c r="B10213" s="40" t="n">
        <v>-23.584265</v>
      </c>
      <c r="C10213" s="40" t="n">
        <v>-46.652966</v>
      </c>
      <c r="D10213" s="40" t="n">
        <v>355</v>
      </c>
      <c r="E10213" s="41" t="n">
        <v>12294.157</v>
      </c>
    </row>
    <row r="10214">
      <c r="A10214" s="42">
        <f>_xlfn.XLOOKUP(61848,Trip[shape_id],Trip[shape_id],"Não encontrado")</f>
        <v/>
      </c>
      <c r="B10214" s="43" t="n">
        <v>-23.58416</v>
      </c>
      <c r="C10214" s="43" t="n">
        <v>-46.652911</v>
      </c>
      <c r="D10214" s="43" t="n">
        <v>356</v>
      </c>
      <c r="E10214" s="44" t="n">
        <v>12314.017</v>
      </c>
    </row>
    <row r="10215">
      <c r="A10215" s="39">
        <f>_xlfn.XLOOKUP(61848,Trip[shape_id],Trip[shape_id],"Não encontrado")</f>
        <v/>
      </c>
      <c r="B10215" s="40" t="n">
        <v>-23.584002</v>
      </c>
      <c r="C10215" s="40" t="n">
        <v>-46.652819</v>
      </c>
      <c r="D10215" s="40" t="n">
        <v>357</v>
      </c>
      <c r="E10215" s="41" t="n">
        <v>12327.424</v>
      </c>
    </row>
    <row r="10216">
      <c r="A10216" s="42">
        <f>_xlfn.XLOOKUP(61848,Trip[shape_id],Trip[shape_id],"Não encontrado")</f>
        <v/>
      </c>
      <c r="B10216" s="43" t="n">
        <v>-23.583899</v>
      </c>
      <c r="C10216" s="43" t="n">
        <v>-46.65275</v>
      </c>
      <c r="D10216" s="43" t="n">
        <v>358</v>
      </c>
      <c r="E10216" s="44" t="n">
        <v>12344.331</v>
      </c>
    </row>
    <row r="10217">
      <c r="A10217" s="39">
        <f>_xlfn.XLOOKUP(61848,Trip[shape_id],Trip[shape_id],"Não encontrado")</f>
        <v/>
      </c>
      <c r="B10217" s="40" t="n">
        <v>-23.583778</v>
      </c>
      <c r="C10217" s="40" t="n">
        <v>-46.652649</v>
      </c>
      <c r="D10217" s="40" t="n">
        <v>359</v>
      </c>
      <c r="E10217" s="41" t="n">
        <v>12380.458</v>
      </c>
    </row>
    <row r="10218">
      <c r="A10218" s="42">
        <f>_xlfn.XLOOKUP(61848,Trip[shape_id],Trip[shape_id],"Não encontrado")</f>
        <v/>
      </c>
      <c r="B10218" s="43" t="n">
        <v>-23.583495</v>
      </c>
      <c r="C10218" s="43" t="n">
        <v>-46.652473</v>
      </c>
      <c r="D10218" s="43" t="n">
        <v>360</v>
      </c>
      <c r="E10218" s="44" t="n">
        <v>12380.458</v>
      </c>
    </row>
    <row r="10219">
      <c r="A10219" s="39">
        <f>_xlfn.XLOOKUP(61848,Trip[shape_id],Trip[shape_id],"Não encontrado")</f>
        <v/>
      </c>
      <c r="B10219" s="40" t="n">
        <v>-23.58312</v>
      </c>
      <c r="C10219" s="40" t="n">
        <v>-46.652271</v>
      </c>
      <c r="D10219" s="40" t="n">
        <v>361</v>
      </c>
      <c r="E10219" s="41" t="n">
        <v>12445.131</v>
      </c>
    </row>
    <row r="10220">
      <c r="A10220" s="42">
        <f>_xlfn.XLOOKUP(61848,Trip[shape_id],Trip[shape_id],"Não encontrado")</f>
        <v/>
      </c>
      <c r="B10220" s="43" t="n">
        <v>-23.582981</v>
      </c>
      <c r="C10220" s="43" t="n">
        <v>-46.652174</v>
      </c>
      <c r="D10220" s="43" t="n">
        <v>362</v>
      </c>
      <c r="E10220" s="44" t="n">
        <v>12445.131</v>
      </c>
    </row>
    <row r="10221">
      <c r="A10221" s="39">
        <f>_xlfn.XLOOKUP(61848,Trip[shape_id],Trip[shape_id],"Não encontrado")</f>
        <v/>
      </c>
      <c r="B10221" s="40" t="n">
        <v>-23.582847</v>
      </c>
      <c r="C10221" s="40" t="n">
        <v>-46.651977</v>
      </c>
      <c r="D10221" s="40" t="n">
        <v>363</v>
      </c>
      <c r="E10221" s="41" t="n">
        <v>12470.123</v>
      </c>
    </row>
    <row r="10222">
      <c r="A10222" s="42">
        <f>_xlfn.XLOOKUP(61848,Trip[shape_id],Trip[shape_id],"Não encontrado")</f>
        <v/>
      </c>
      <c r="B10222" s="43" t="n">
        <v>-23.582686</v>
      </c>
      <c r="C10222" s="43" t="n">
        <v>-46.65175</v>
      </c>
      <c r="D10222" s="43" t="n">
        <v>364</v>
      </c>
      <c r="E10222" s="44" t="n">
        <v>12499.361</v>
      </c>
    </row>
    <row r="10223">
      <c r="A10223" s="39">
        <f>_xlfn.XLOOKUP(61848,Trip[shape_id],Trip[shape_id],"Não encontrado")</f>
        <v/>
      </c>
      <c r="B10223" s="40" t="n">
        <v>-23.5822</v>
      </c>
      <c r="C10223" s="40" t="n">
        <v>-46.651053</v>
      </c>
      <c r="D10223" s="40" t="n">
        <v>365</v>
      </c>
      <c r="E10223" s="41" t="n">
        <v>12588.576</v>
      </c>
    </row>
    <row r="10224">
      <c r="A10224" s="42">
        <f>_xlfn.XLOOKUP(61848,Trip[shape_id],Trip[shape_id],"Não encontrado")</f>
        <v/>
      </c>
      <c r="B10224" s="43" t="n">
        <v>-23.581674</v>
      </c>
      <c r="C10224" s="43" t="n">
        <v>-46.650264</v>
      </c>
      <c r="D10224" s="43" t="n">
        <v>366</v>
      </c>
      <c r="E10224" s="44" t="n">
        <v>12687.976</v>
      </c>
    </row>
    <row r="10225">
      <c r="A10225" s="39">
        <f>_xlfn.XLOOKUP(61848,Trip[shape_id],Trip[shape_id],"Não encontrado")</f>
        <v/>
      </c>
      <c r="B10225" s="40" t="n">
        <v>-23.581433</v>
      </c>
      <c r="C10225" s="40" t="n">
        <v>-46.649933</v>
      </c>
      <c r="D10225" s="40" t="n">
        <v>367</v>
      </c>
      <c r="E10225" s="41" t="n">
        <v>12731.034</v>
      </c>
    </row>
    <row r="10226">
      <c r="A10226" s="42">
        <f>_xlfn.XLOOKUP(61848,Trip[shape_id],Trip[shape_id],"Não encontrado")</f>
        <v/>
      </c>
      <c r="B10226" s="43" t="n">
        <v>-23.581109</v>
      </c>
      <c r="C10226" s="43" t="n">
        <v>-46.649497</v>
      </c>
      <c r="D10226" s="43" t="n">
        <v>368</v>
      </c>
      <c r="E10226" s="44" t="n">
        <v>12788.204</v>
      </c>
    </row>
    <row r="10227">
      <c r="A10227" s="39">
        <f>_xlfn.XLOOKUP(61848,Trip[shape_id],Trip[shape_id],"Não encontrado")</f>
        <v/>
      </c>
      <c r="B10227" s="40" t="n">
        <v>-23.580603</v>
      </c>
      <c r="C10227" s="40" t="n">
        <v>-46.648812</v>
      </c>
      <c r="D10227" s="40" t="n">
        <v>369</v>
      </c>
      <c r="E10227" s="41" t="n">
        <v>12877.813</v>
      </c>
    </row>
    <row r="10228">
      <c r="A10228" s="42">
        <f>_xlfn.XLOOKUP(61848,Trip[shape_id],Trip[shape_id],"Não encontrado")</f>
        <v/>
      </c>
      <c r="B10228" s="43" t="n">
        <v>-23.578932</v>
      </c>
      <c r="C10228" s="43" t="n">
        <v>-46.646558</v>
      </c>
      <c r="D10228" s="43" t="n">
        <v>370</v>
      </c>
      <c r="E10228" s="44" t="n">
        <v>13173.093</v>
      </c>
    </row>
    <row r="10229">
      <c r="A10229" s="39">
        <f>_xlfn.XLOOKUP(61848,Trip[shape_id],Trip[shape_id],"Não encontrado")</f>
        <v/>
      </c>
      <c r="B10229" s="40" t="n">
        <v>-23.578721</v>
      </c>
      <c r="C10229" s="40" t="n">
        <v>-46.646265</v>
      </c>
      <c r="D10229" s="40" t="n">
        <v>371</v>
      </c>
      <c r="E10229" s="41" t="n">
        <v>13211.049</v>
      </c>
    </row>
    <row r="10230">
      <c r="A10230" s="42">
        <f>_xlfn.XLOOKUP(61848,Trip[shape_id],Trip[shape_id],"Não encontrado")</f>
        <v/>
      </c>
      <c r="B10230" s="43" t="n">
        <v>-23.578416</v>
      </c>
      <c r="C10230" s="43" t="n">
        <v>-46.645841</v>
      </c>
      <c r="D10230" s="43" t="n">
        <v>372</v>
      </c>
      <c r="E10230" s="44" t="n">
        <v>13265.952</v>
      </c>
    </row>
    <row r="10231">
      <c r="A10231" s="39">
        <f>_xlfn.XLOOKUP(61848,Trip[shape_id],Trip[shape_id],"Não encontrado")</f>
        <v/>
      </c>
      <c r="B10231" s="40" t="n">
        <v>-23.578001</v>
      </c>
      <c r="C10231" s="40" t="n">
        <v>-46.645257</v>
      </c>
      <c r="D10231" s="40" t="n">
        <v>373</v>
      </c>
      <c r="E10231" s="41" t="n">
        <v>13341.229</v>
      </c>
    </row>
    <row r="10232">
      <c r="A10232" s="42">
        <f>_xlfn.XLOOKUP(61848,Trip[shape_id],Trip[shape_id],"Não encontrado")</f>
        <v/>
      </c>
      <c r="B10232" s="43" t="n">
        <v>-23.577616</v>
      </c>
      <c r="C10232" s="43" t="n">
        <v>-46.644715</v>
      </c>
      <c r="D10232" s="43" t="n">
        <v>374</v>
      </c>
      <c r="E10232" s="44" t="n">
        <v>13411.081</v>
      </c>
    </row>
    <row r="10233">
      <c r="A10233" s="39">
        <f>_xlfn.XLOOKUP(61848,Trip[shape_id],Trip[shape_id],"Não encontrado")</f>
        <v/>
      </c>
      <c r="B10233" s="40" t="n">
        <v>-23.577353</v>
      </c>
      <c r="C10233" s="40" t="n">
        <v>-46.644343</v>
      </c>
      <c r="D10233" s="40" t="n">
        <v>375</v>
      </c>
      <c r="E10233" s="41" t="n">
        <v>13458.94</v>
      </c>
    </row>
    <row r="10234">
      <c r="A10234" s="42">
        <f>_xlfn.XLOOKUP(61848,Trip[shape_id],Trip[shape_id],"Não encontrado")</f>
        <v/>
      </c>
      <c r="B10234" s="43" t="n">
        <v>-23.577022</v>
      </c>
      <c r="C10234" s="43" t="n">
        <v>-46.64387</v>
      </c>
      <c r="D10234" s="43" t="n">
        <v>376</v>
      </c>
      <c r="E10234" s="44" t="n">
        <v>13519.564</v>
      </c>
    </row>
    <row r="10235">
      <c r="A10235" s="39">
        <f>_xlfn.XLOOKUP(61848,Trip[shape_id],Trip[shape_id],"Não encontrado")</f>
        <v/>
      </c>
      <c r="B10235" s="40" t="n">
        <v>-23.576712</v>
      </c>
      <c r="C10235" s="40" t="n">
        <v>-46.64342</v>
      </c>
      <c r="D10235" s="40" t="n">
        <v>377</v>
      </c>
      <c r="E10235" s="41" t="n">
        <v>13576.914</v>
      </c>
    </row>
    <row r="10236">
      <c r="A10236" s="42">
        <f>_xlfn.XLOOKUP(61848,Trip[shape_id],Trip[shape_id],"Não encontrado")</f>
        <v/>
      </c>
      <c r="B10236" s="43" t="n">
        <v>-23.57658</v>
      </c>
      <c r="C10236" s="43" t="n">
        <v>-46.643227</v>
      </c>
      <c r="D10236" s="43" t="n">
        <v>378</v>
      </c>
      <c r="E10236" s="44" t="n">
        <v>13601.447</v>
      </c>
    </row>
    <row r="10237">
      <c r="A10237" s="39">
        <f>_xlfn.XLOOKUP(61848,Trip[shape_id],Trip[shape_id],"Não encontrado")</f>
        <v/>
      </c>
      <c r="B10237" s="40" t="n">
        <v>-23.576387</v>
      </c>
      <c r="C10237" s="40" t="n">
        <v>-46.642951</v>
      </c>
      <c r="D10237" s="40" t="n">
        <v>379</v>
      </c>
      <c r="E10237" s="41" t="n">
        <v>13636.813</v>
      </c>
    </row>
    <row r="10238">
      <c r="A10238" s="42">
        <f>_xlfn.XLOOKUP(61848,Trip[shape_id],Trip[shape_id],"Não encontrado")</f>
        <v/>
      </c>
      <c r="B10238" s="43" t="n">
        <v>-23.57604</v>
      </c>
      <c r="C10238" s="43" t="n">
        <v>-46.642478</v>
      </c>
      <c r="D10238" s="43" t="n">
        <v>380</v>
      </c>
      <c r="E10238" s="44" t="n">
        <v>13698.524</v>
      </c>
    </row>
    <row r="10239">
      <c r="A10239" s="39">
        <f>_xlfn.XLOOKUP(61848,Trip[shape_id],Trip[shape_id],"Não encontrado")</f>
        <v/>
      </c>
      <c r="B10239" s="40" t="n">
        <v>-23.57566</v>
      </c>
      <c r="C10239" s="40" t="n">
        <v>-46.641907</v>
      </c>
      <c r="D10239" s="40" t="n">
        <v>381</v>
      </c>
      <c r="E10239" s="41" t="n">
        <v>13770.419</v>
      </c>
    </row>
    <row r="10240">
      <c r="A10240" s="42">
        <f>_xlfn.XLOOKUP(61848,Trip[shape_id],Trip[shape_id],"Não encontrado")</f>
        <v/>
      </c>
      <c r="B10240" s="43" t="n">
        <v>-23.575582</v>
      </c>
      <c r="C10240" s="43" t="n">
        <v>-46.641795</v>
      </c>
      <c r="D10240" s="43" t="n">
        <v>382</v>
      </c>
      <c r="E10240" s="44" t="n">
        <v>13784.749</v>
      </c>
    </row>
    <row r="10241">
      <c r="A10241" s="39">
        <f>_xlfn.XLOOKUP(61848,Trip[shape_id],Trip[shape_id],"Não encontrado")</f>
        <v/>
      </c>
      <c r="B10241" s="40" t="n">
        <v>-23.575467</v>
      </c>
      <c r="C10241" s="40" t="n">
        <v>-46.641636</v>
      </c>
      <c r="D10241" s="40" t="n">
        <v>383</v>
      </c>
      <c r="E10241" s="41" t="n">
        <v>13805.381</v>
      </c>
    </row>
    <row r="10242">
      <c r="A10242" s="42">
        <f>_xlfn.XLOOKUP(61848,Trip[shape_id],Trip[shape_id],"Não encontrado")</f>
        <v/>
      </c>
      <c r="B10242" s="43" t="n">
        <v>-23.575366</v>
      </c>
      <c r="C10242" s="43" t="n">
        <v>-46.64154</v>
      </c>
      <c r="D10242" s="43" t="n">
        <v>384</v>
      </c>
      <c r="E10242" s="44" t="n">
        <v>13820.252</v>
      </c>
    </row>
    <row r="10243">
      <c r="A10243" s="39">
        <f>_xlfn.XLOOKUP(61848,Trip[shape_id],Trip[shape_id],"Não encontrado")</f>
        <v/>
      </c>
      <c r="B10243" s="40" t="n">
        <v>-23.575285</v>
      </c>
      <c r="C10243" s="40" t="n">
        <v>-46.641477</v>
      </c>
      <c r="D10243" s="40" t="n">
        <v>385</v>
      </c>
      <c r="E10243" s="41" t="n">
        <v>13831.29</v>
      </c>
    </row>
    <row r="10244">
      <c r="A10244" s="42">
        <f>_xlfn.XLOOKUP(61848,Trip[shape_id],Trip[shape_id],"Não encontrado")</f>
        <v/>
      </c>
      <c r="B10244" s="43" t="n">
        <v>-23.575114</v>
      </c>
      <c r="C10244" s="43" t="n">
        <v>-46.641363</v>
      </c>
      <c r="D10244" s="43" t="n">
        <v>386</v>
      </c>
      <c r="E10244" s="44" t="n">
        <v>13853.519</v>
      </c>
    </row>
    <row r="10245">
      <c r="A10245" s="39">
        <f>_xlfn.XLOOKUP(61848,Trip[shape_id],Trip[shape_id],"Não encontrado")</f>
        <v/>
      </c>
      <c r="B10245" s="40" t="n">
        <v>-23.574937</v>
      </c>
      <c r="C10245" s="40" t="n">
        <v>-46.641259</v>
      </c>
      <c r="D10245" s="40" t="n">
        <v>387</v>
      </c>
      <c r="E10245" s="41" t="n">
        <v>13875.813</v>
      </c>
    </row>
    <row r="10246">
      <c r="A10246" s="42">
        <f>_xlfn.XLOOKUP(61848,Trip[shape_id],Trip[shape_id],"Não encontrado")</f>
        <v/>
      </c>
      <c r="B10246" s="43" t="n">
        <v>-23.574753</v>
      </c>
      <c r="C10246" s="43" t="n">
        <v>-46.6412</v>
      </c>
      <c r="D10246" s="43" t="n">
        <v>388</v>
      </c>
      <c r="E10246" s="44" t="n">
        <v>13897.063</v>
      </c>
    </row>
    <row r="10247">
      <c r="A10247" s="39">
        <f>_xlfn.XLOOKUP(61848,Trip[shape_id],Trip[shape_id],"Não encontrado")</f>
        <v/>
      </c>
      <c r="B10247" s="40" t="n">
        <v>-23.574665</v>
      </c>
      <c r="C10247" s="40" t="n">
        <v>-46.641186</v>
      </c>
      <c r="D10247" s="40" t="n">
        <v>389</v>
      </c>
      <c r="E10247" s="41" t="n">
        <v>13906.913</v>
      </c>
    </row>
    <row r="10248">
      <c r="A10248" s="42">
        <f>_xlfn.XLOOKUP(61848,Trip[shape_id],Trip[shape_id],"Não encontrado")</f>
        <v/>
      </c>
      <c r="B10248" s="43" t="n">
        <v>-23.574545</v>
      </c>
      <c r="C10248" s="43" t="n">
        <v>-46.641157</v>
      </c>
      <c r="D10248" s="43" t="n">
        <v>390</v>
      </c>
      <c r="E10248" s="44" t="n">
        <v>13920.529</v>
      </c>
    </row>
    <row r="10249">
      <c r="A10249" s="39">
        <f>_xlfn.XLOOKUP(61848,Trip[shape_id],Trip[shape_id],"Não encontrado")</f>
        <v/>
      </c>
      <c r="B10249" s="40" t="n">
        <v>-23.57444</v>
      </c>
      <c r="C10249" s="40" t="n">
        <v>-46.641141</v>
      </c>
      <c r="D10249" s="40" t="n">
        <v>391</v>
      </c>
      <c r="E10249" s="41" t="n">
        <v>13932.272</v>
      </c>
    </row>
    <row r="10250">
      <c r="A10250" s="42">
        <f>_xlfn.XLOOKUP(61848,Trip[shape_id],Trip[shape_id],"Não encontrado")</f>
        <v/>
      </c>
      <c r="B10250" s="43" t="n">
        <v>-23.574029</v>
      </c>
      <c r="C10250" s="43" t="n">
        <v>-46.641102</v>
      </c>
      <c r="D10250" s="43" t="n">
        <v>392</v>
      </c>
      <c r="E10250" s="44" t="n">
        <v>13977.966</v>
      </c>
    </row>
    <row r="10251">
      <c r="A10251" s="39">
        <f>_xlfn.XLOOKUP(61848,Trip[shape_id],Trip[shape_id],"Não encontrado")</f>
        <v/>
      </c>
      <c r="B10251" s="40" t="n">
        <v>-23.573468</v>
      </c>
      <c r="C10251" s="40" t="n">
        <v>-46.641043</v>
      </c>
      <c r="D10251" s="40" t="n">
        <v>393</v>
      </c>
      <c r="E10251" s="41" t="n">
        <v>14040.389</v>
      </c>
    </row>
    <row r="10252">
      <c r="A10252" s="42">
        <f>_xlfn.XLOOKUP(61848,Trip[shape_id],Trip[shape_id],"Não encontrado")</f>
        <v/>
      </c>
      <c r="B10252" s="43" t="n">
        <v>-23.573088</v>
      </c>
      <c r="C10252" s="43" t="n">
        <v>-46.641013</v>
      </c>
      <c r="D10252" s="43" t="n">
        <v>394</v>
      </c>
      <c r="E10252" s="44" t="n">
        <v>14082.586</v>
      </c>
    </row>
    <row r="10253">
      <c r="A10253" s="39">
        <f>_xlfn.XLOOKUP(61848,Trip[shape_id],Trip[shape_id],"Não encontrado")</f>
        <v/>
      </c>
      <c r="B10253" s="40" t="n">
        <v>-23.572819</v>
      </c>
      <c r="C10253" s="40" t="n">
        <v>-46.640993</v>
      </c>
      <c r="D10253" s="40" t="n">
        <v>395</v>
      </c>
      <c r="E10253" s="41" t="n">
        <v>14112.448</v>
      </c>
    </row>
    <row r="10254">
      <c r="A10254" s="42">
        <f>_xlfn.XLOOKUP(61848,Trip[shape_id],Trip[shape_id],"Não encontrado")</f>
        <v/>
      </c>
      <c r="B10254" s="43" t="n">
        <v>-23.572515</v>
      </c>
      <c r="C10254" s="43" t="n">
        <v>-46.640964</v>
      </c>
      <c r="D10254" s="43" t="n">
        <v>396</v>
      </c>
      <c r="E10254" s="44" t="n">
        <v>14146.247</v>
      </c>
    </row>
    <row r="10255">
      <c r="A10255" s="39">
        <f>_xlfn.XLOOKUP(61848,Trip[shape_id],Trip[shape_id],"Não encontrado")</f>
        <v/>
      </c>
      <c r="B10255" s="40" t="n">
        <v>-23.572115</v>
      </c>
      <c r="C10255" s="40" t="n">
        <v>-46.640905</v>
      </c>
      <c r="D10255" s="40" t="n">
        <v>397</v>
      </c>
      <c r="E10255" s="41" t="n">
        <v>14190.955</v>
      </c>
    </row>
    <row r="10256">
      <c r="A10256" s="42">
        <f>_xlfn.XLOOKUP(61848,Trip[shape_id],Trip[shape_id],"Não encontrado")</f>
        <v/>
      </c>
      <c r="B10256" s="43" t="n">
        <v>-23.571539</v>
      </c>
      <c r="C10256" s="43" t="n">
        <v>-46.64083</v>
      </c>
      <c r="D10256" s="43" t="n">
        <v>398</v>
      </c>
      <c r="E10256" s="44" t="n">
        <v>14255.206</v>
      </c>
    </row>
    <row r="10257">
      <c r="A10257" s="39">
        <f>_xlfn.XLOOKUP(61848,Trip[shape_id],Trip[shape_id],"Não encontrado")</f>
        <v/>
      </c>
      <c r="B10257" s="40" t="n">
        <v>-23.571139</v>
      </c>
      <c r="C10257" s="40" t="n">
        <v>-46.640783</v>
      </c>
      <c r="D10257" s="40" t="n">
        <v>399</v>
      </c>
      <c r="E10257" s="41" t="n">
        <v>14299.766</v>
      </c>
    </row>
    <row r="10258">
      <c r="A10258" s="42">
        <f>_xlfn.XLOOKUP(61848,Trip[shape_id],Trip[shape_id],"Não encontrado")</f>
        <v/>
      </c>
      <c r="B10258" s="43" t="n">
        <v>-23.570459</v>
      </c>
      <c r="C10258" s="43" t="n">
        <v>-46.640711</v>
      </c>
      <c r="D10258" s="43" t="n">
        <v>400</v>
      </c>
      <c r="E10258" s="44" t="n">
        <v>14375.435</v>
      </c>
    </row>
    <row r="10259">
      <c r="A10259" s="39">
        <f>_xlfn.XLOOKUP(61848,Trip[shape_id],Trip[shape_id],"Não encontrado")</f>
        <v/>
      </c>
      <c r="B10259" s="40" t="n">
        <v>-23.569852</v>
      </c>
      <c r="C10259" s="40" t="n">
        <v>-46.640664</v>
      </c>
      <c r="D10259" s="40" t="n">
        <v>401</v>
      </c>
      <c r="E10259" s="41" t="n">
        <v>14442.832</v>
      </c>
    </row>
    <row r="10260">
      <c r="A10260" s="42">
        <f>_xlfn.XLOOKUP(61848,Trip[shape_id],Trip[shape_id],"Não encontrado")</f>
        <v/>
      </c>
      <c r="B10260" s="43" t="n">
        <v>-23.569667</v>
      </c>
      <c r="C10260" s="43" t="n">
        <v>-46.64065</v>
      </c>
      <c r="D10260" s="43" t="n">
        <v>402</v>
      </c>
      <c r="E10260" s="44" t="n">
        <v>14463.371</v>
      </c>
    </row>
    <row r="10261">
      <c r="A10261" s="39">
        <f>_xlfn.XLOOKUP(61848,Trip[shape_id],Trip[shape_id],"Não encontrado")</f>
        <v/>
      </c>
      <c r="B10261" s="40" t="n">
        <v>-23.568372</v>
      </c>
      <c r="C10261" s="40" t="n">
        <v>-46.640558</v>
      </c>
      <c r="D10261" s="40" t="n">
        <v>403</v>
      </c>
      <c r="E10261" s="41" t="n">
        <v>14607.103</v>
      </c>
    </row>
    <row r="10262">
      <c r="A10262" s="42">
        <f>_xlfn.XLOOKUP(61848,Trip[shape_id],Trip[shape_id],"Não encontrado")</f>
        <v/>
      </c>
      <c r="B10262" s="43" t="n">
        <v>-23.567654</v>
      </c>
      <c r="C10262" s="43" t="n">
        <v>-46.640499</v>
      </c>
      <c r="D10262" s="43" t="n">
        <v>404</v>
      </c>
      <c r="E10262" s="44" t="n">
        <v>14686.851</v>
      </c>
    </row>
    <row r="10263">
      <c r="A10263" s="39">
        <f>_xlfn.XLOOKUP(61848,Trip[shape_id],Trip[shape_id],"Não encontrado")</f>
        <v/>
      </c>
      <c r="B10263" s="40" t="n">
        <v>-23.567216</v>
      </c>
      <c r="C10263" s="40" t="n">
        <v>-46.640502</v>
      </c>
      <c r="D10263" s="40" t="n">
        <v>405</v>
      </c>
      <c r="E10263" s="41" t="n">
        <v>14735.361</v>
      </c>
    </row>
    <row r="10264">
      <c r="A10264" s="42">
        <f>_xlfn.XLOOKUP(61848,Trip[shape_id],Trip[shape_id],"Não encontrado")</f>
        <v/>
      </c>
      <c r="B10264" s="43" t="n">
        <v>-23.566996</v>
      </c>
      <c r="C10264" s="43" t="n">
        <v>-46.640512</v>
      </c>
      <c r="D10264" s="43" t="n">
        <v>406</v>
      </c>
      <c r="E10264" s="44" t="n">
        <v>14759.748</v>
      </c>
    </row>
    <row r="10265">
      <c r="A10265" s="39">
        <f>_xlfn.XLOOKUP(61848,Trip[shape_id],Trip[shape_id],"Não encontrado")</f>
        <v/>
      </c>
      <c r="B10265" s="40" t="n">
        <v>-23.566213</v>
      </c>
      <c r="C10265" s="40" t="n">
        <v>-46.640562</v>
      </c>
      <c r="D10265" s="40" t="n">
        <v>407</v>
      </c>
      <c r="E10265" s="41" t="n">
        <v>14846.617</v>
      </c>
    </row>
    <row r="10266">
      <c r="A10266" s="42">
        <f>_xlfn.XLOOKUP(61848,Trip[shape_id],Trip[shape_id],"Não encontrado")</f>
        <v/>
      </c>
      <c r="B10266" s="43" t="n">
        <v>-23.565966</v>
      </c>
      <c r="C10266" s="43" t="n">
        <v>-46.640575</v>
      </c>
      <c r="D10266" s="43" t="n">
        <v>408</v>
      </c>
      <c r="E10266" s="44" t="n">
        <v>14874.005</v>
      </c>
    </row>
    <row r="10267">
      <c r="A10267" s="39">
        <f>_xlfn.XLOOKUP(61848,Trip[shape_id],Trip[shape_id],"Não encontrado")</f>
        <v/>
      </c>
      <c r="B10267" s="40" t="n">
        <v>-23.565516</v>
      </c>
      <c r="C10267" s="40" t="n">
        <v>-46.640568</v>
      </c>
      <c r="D10267" s="40" t="n">
        <v>409</v>
      </c>
      <c r="E10267" s="41" t="n">
        <v>14923.849</v>
      </c>
    </row>
    <row r="10268">
      <c r="A10268" s="42">
        <f>_xlfn.XLOOKUP(61848,Trip[shape_id],Trip[shape_id],"Não encontrado")</f>
        <v/>
      </c>
      <c r="B10268" s="43" t="n">
        <v>-23.565197</v>
      </c>
      <c r="C10268" s="43" t="n">
        <v>-46.640527</v>
      </c>
      <c r="D10268" s="43" t="n">
        <v>410</v>
      </c>
      <c r="E10268" s="44" t="n">
        <v>14959.426</v>
      </c>
    </row>
    <row r="10269">
      <c r="A10269" s="39">
        <f>_xlfn.XLOOKUP(61848,Trip[shape_id],Trip[shape_id],"Não encontrado")</f>
        <v/>
      </c>
      <c r="B10269" s="40" t="n">
        <v>-23.564814</v>
      </c>
      <c r="C10269" s="40" t="n">
        <v>-46.640458</v>
      </c>
      <c r="D10269" s="40" t="n">
        <v>411</v>
      </c>
      <c r="E10269" s="41" t="n">
        <v>15002.425</v>
      </c>
    </row>
    <row r="10270">
      <c r="A10270" s="42">
        <f>_xlfn.XLOOKUP(61848,Trip[shape_id],Trip[shape_id],"Não encontrado")</f>
        <v/>
      </c>
      <c r="B10270" s="43" t="n">
        <v>-23.564298</v>
      </c>
      <c r="C10270" s="43" t="n">
        <v>-46.640311</v>
      </c>
      <c r="D10270" s="43" t="n">
        <v>412</v>
      </c>
      <c r="E10270" s="44" t="n">
        <v>15061.511</v>
      </c>
    </row>
    <row r="10271">
      <c r="A10271" s="39">
        <f>_xlfn.XLOOKUP(61848,Trip[shape_id],Trip[shape_id],"Não encontrado")</f>
        <v/>
      </c>
      <c r="B10271" s="40" t="n">
        <v>-23.563455</v>
      </c>
      <c r="C10271" s="40" t="n">
        <v>-46.640123</v>
      </c>
      <c r="D10271" s="40" t="n">
        <v>413</v>
      </c>
      <c r="E10271" s="41" t="n">
        <v>15156.827</v>
      </c>
    </row>
    <row r="10272">
      <c r="A10272" s="42">
        <f>_xlfn.XLOOKUP(61848,Trip[shape_id],Trip[shape_id],"Não encontrado")</f>
        <v/>
      </c>
      <c r="B10272" s="43" t="n">
        <v>-23.563072</v>
      </c>
      <c r="C10272" s="43" t="n">
        <v>-46.640061</v>
      </c>
      <c r="D10272" s="43" t="n">
        <v>414</v>
      </c>
      <c r="E10272" s="44" t="n">
        <v>15199.715</v>
      </c>
    </row>
    <row r="10273">
      <c r="A10273" s="39">
        <f>_xlfn.XLOOKUP(61848,Trip[shape_id],Trip[shape_id],"Não encontrado")</f>
        <v/>
      </c>
      <c r="B10273" s="40" t="n">
        <v>-23.562373</v>
      </c>
      <c r="C10273" s="40" t="n">
        <v>-46.63995</v>
      </c>
      <c r="D10273" s="40" t="n">
        <v>415</v>
      </c>
      <c r="E10273" s="41" t="n">
        <v>15277.955</v>
      </c>
    </row>
    <row r="10274">
      <c r="A10274" s="42">
        <f>_xlfn.XLOOKUP(61848,Trip[shape_id],Trip[shape_id],"Não encontrado")</f>
        <v/>
      </c>
      <c r="B10274" s="43" t="n">
        <v>-23.561812</v>
      </c>
      <c r="C10274" s="43" t="n">
        <v>-46.639888</v>
      </c>
      <c r="D10274" s="43" t="n">
        <v>416</v>
      </c>
      <c r="E10274" s="44" t="n">
        <v>15340.408</v>
      </c>
    </row>
    <row r="10275">
      <c r="A10275" s="39">
        <f>_xlfn.XLOOKUP(61848,Trip[shape_id],Trip[shape_id],"Não encontrado")</f>
        <v/>
      </c>
      <c r="B10275" s="40" t="n">
        <v>-23.561524</v>
      </c>
      <c r="C10275" s="40" t="n">
        <v>-46.639845</v>
      </c>
      <c r="D10275" s="40" t="n">
        <v>417</v>
      </c>
      <c r="E10275" s="41" t="n">
        <v>15372.605</v>
      </c>
    </row>
    <row r="10276">
      <c r="A10276" s="42">
        <f>_xlfn.XLOOKUP(61848,Trip[shape_id],Trip[shape_id],"Não encontrado")</f>
        <v/>
      </c>
      <c r="B10276" s="43" t="n">
        <v>-23.561042</v>
      </c>
      <c r="C10276" s="43" t="n">
        <v>-46.639714</v>
      </c>
      <c r="D10276" s="43" t="n">
        <v>418</v>
      </c>
      <c r="E10276" s="44" t="n">
        <v>15427.638</v>
      </c>
    </row>
    <row r="10277">
      <c r="A10277" s="39">
        <f>_xlfn.XLOOKUP(61848,Trip[shape_id],Trip[shape_id],"Não encontrado")</f>
        <v/>
      </c>
      <c r="B10277" s="40" t="n">
        <v>-23.560666</v>
      </c>
      <c r="C10277" s="40" t="n">
        <v>-46.639585</v>
      </c>
      <c r="D10277" s="40" t="n">
        <v>419</v>
      </c>
      <c r="E10277" s="41" t="n">
        <v>15471.313</v>
      </c>
    </row>
    <row r="10278">
      <c r="A10278" s="42">
        <f>_xlfn.XLOOKUP(61848,Trip[shape_id],Trip[shape_id],"Não encontrado")</f>
        <v/>
      </c>
      <c r="B10278" s="43" t="n">
        <v>-23.560315</v>
      </c>
      <c r="C10278" s="43" t="n">
        <v>-46.63942</v>
      </c>
      <c r="D10278" s="43" t="n">
        <v>420</v>
      </c>
      <c r="E10278" s="44" t="n">
        <v>15513.681</v>
      </c>
    </row>
    <row r="10279">
      <c r="A10279" s="39">
        <f>_xlfn.XLOOKUP(61848,Trip[shape_id],Trip[shape_id],"Não encontrado")</f>
        <v/>
      </c>
      <c r="B10279" s="40" t="n">
        <v>-23.560115</v>
      </c>
      <c r="C10279" s="40" t="n">
        <v>-46.639308</v>
      </c>
      <c r="D10279" s="40" t="n">
        <v>421</v>
      </c>
      <c r="E10279" s="41" t="n">
        <v>15538.608</v>
      </c>
    </row>
    <row r="10280">
      <c r="A10280" s="42">
        <f>_xlfn.XLOOKUP(61848,Trip[shape_id],Trip[shape_id],"Não encontrado")</f>
        <v/>
      </c>
      <c r="B10280" s="43" t="n">
        <v>-23.559666</v>
      </c>
      <c r="C10280" s="43" t="n">
        <v>-46.638984</v>
      </c>
      <c r="D10280" s="43" t="n">
        <v>422</v>
      </c>
      <c r="E10280" s="44" t="n">
        <v>15598.333</v>
      </c>
    </row>
    <row r="10281">
      <c r="A10281" s="39">
        <f>_xlfn.XLOOKUP(61848,Trip[shape_id],Trip[shape_id],"Não encontrado")</f>
        <v/>
      </c>
      <c r="B10281" s="40" t="n">
        <v>-23.559282</v>
      </c>
      <c r="C10281" s="40" t="n">
        <v>-46.638725</v>
      </c>
      <c r="D10281" s="40" t="n">
        <v>423</v>
      </c>
      <c r="E10281" s="41" t="n">
        <v>15648.412</v>
      </c>
    </row>
    <row r="10282">
      <c r="A10282" s="42">
        <f>_xlfn.XLOOKUP(61848,Trip[shape_id],Trip[shape_id],"Não encontrado")</f>
        <v/>
      </c>
      <c r="B10282" s="43" t="n">
        <v>-23.559074</v>
      </c>
      <c r="C10282" s="43" t="n">
        <v>-46.638602</v>
      </c>
      <c r="D10282" s="43" t="n">
        <v>424</v>
      </c>
      <c r="E10282" s="44" t="n">
        <v>15674.649</v>
      </c>
    </row>
    <row r="10283">
      <c r="A10283" s="39">
        <f>_xlfn.XLOOKUP(61848,Trip[shape_id],Trip[shape_id],"Não encontrado")</f>
        <v/>
      </c>
      <c r="B10283" s="40" t="n">
        <v>-23.558697</v>
      </c>
      <c r="C10283" s="40" t="n">
        <v>-46.63844</v>
      </c>
      <c r="D10283" s="40" t="n">
        <v>425</v>
      </c>
      <c r="E10283" s="41" t="n">
        <v>15719.56</v>
      </c>
    </row>
    <row r="10284">
      <c r="A10284" s="42">
        <f>_xlfn.XLOOKUP(61848,Trip[shape_id],Trip[shape_id],"Não encontrado")</f>
        <v/>
      </c>
      <c r="B10284" s="43" t="n">
        <v>-23.55835</v>
      </c>
      <c r="C10284" s="43" t="n">
        <v>-46.638303</v>
      </c>
      <c r="D10284" s="43" t="n">
        <v>426</v>
      </c>
      <c r="E10284" s="44" t="n">
        <v>15760.457</v>
      </c>
    </row>
    <row r="10285">
      <c r="A10285" s="39">
        <f>_xlfn.XLOOKUP(61848,Trip[shape_id],Trip[shape_id],"Não encontrado")</f>
        <v/>
      </c>
      <c r="B10285" s="40" t="n">
        <v>-23.55818</v>
      </c>
      <c r="C10285" s="40" t="n">
        <v>-46.638234</v>
      </c>
      <c r="D10285" s="40" t="n">
        <v>427</v>
      </c>
      <c r="E10285" s="41" t="n">
        <v>15780.56</v>
      </c>
    </row>
    <row r="10286">
      <c r="A10286" s="42">
        <f>_xlfn.XLOOKUP(61848,Trip[shape_id],Trip[shape_id],"Não encontrado")</f>
        <v/>
      </c>
      <c r="B10286" s="43" t="n">
        <v>-23.557052</v>
      </c>
      <c r="C10286" s="43" t="n">
        <v>-46.637778</v>
      </c>
      <c r="D10286" s="43" t="n">
        <v>428</v>
      </c>
      <c r="E10286" s="44" t="n">
        <v>15913.881</v>
      </c>
    </row>
    <row r="10287">
      <c r="A10287" s="39">
        <f>_xlfn.XLOOKUP(61848,Trip[shape_id],Trip[shape_id],"Não encontrado")</f>
        <v/>
      </c>
      <c r="B10287" s="40" t="n">
        <v>-23.556789</v>
      </c>
      <c r="C10287" s="40" t="n">
        <v>-46.637683</v>
      </c>
      <c r="D10287" s="40" t="n">
        <v>429</v>
      </c>
      <c r="E10287" s="41" t="n">
        <v>15944.581</v>
      </c>
    </row>
    <row r="10288">
      <c r="A10288" s="42">
        <f>_xlfn.XLOOKUP(61848,Trip[shape_id],Trip[shape_id],"Não encontrado")</f>
        <v/>
      </c>
      <c r="B10288" s="43" t="n">
        <v>-23.556173</v>
      </c>
      <c r="C10288" s="43" t="n">
        <v>-46.637434</v>
      </c>
      <c r="D10288" s="43" t="n">
        <v>430</v>
      </c>
      <c r="E10288" s="44" t="n">
        <v>16017.387</v>
      </c>
    </row>
    <row r="10289">
      <c r="A10289" s="39">
        <f>_xlfn.XLOOKUP(61848,Trip[shape_id],Trip[shape_id],"Não encontrado")</f>
        <v/>
      </c>
      <c r="B10289" s="40" t="n">
        <v>-23.555632</v>
      </c>
      <c r="C10289" s="40" t="n">
        <v>-46.637207</v>
      </c>
      <c r="D10289" s="40" t="n">
        <v>431</v>
      </c>
      <c r="E10289" s="41" t="n">
        <v>16081.63</v>
      </c>
    </row>
    <row r="10290">
      <c r="A10290" s="42">
        <f>_xlfn.XLOOKUP(61848,Trip[shape_id],Trip[shape_id],"Não encontrado")</f>
        <v/>
      </c>
      <c r="B10290" s="43" t="n">
        <v>-23.555439</v>
      </c>
      <c r="C10290" s="43" t="n">
        <v>-46.637142</v>
      </c>
      <c r="D10290" s="43" t="n">
        <v>432</v>
      </c>
      <c r="E10290" s="44" t="n">
        <v>16104.012</v>
      </c>
    </row>
    <row r="10291">
      <c r="A10291" s="39">
        <f>_xlfn.XLOOKUP(61848,Trip[shape_id],Trip[shape_id],"Não encontrado")</f>
        <v/>
      </c>
      <c r="B10291" s="40" t="n">
        <v>-23.555068</v>
      </c>
      <c r="C10291" s="40" t="n">
        <v>-46.636987</v>
      </c>
      <c r="D10291" s="40" t="n">
        <v>433</v>
      </c>
      <c r="E10291" s="41" t="n">
        <v>16148.043</v>
      </c>
    </row>
    <row r="10292">
      <c r="A10292" s="42">
        <f>_xlfn.XLOOKUP(61848,Trip[shape_id],Trip[shape_id],"Não encontrado")</f>
        <v/>
      </c>
      <c r="B10292" s="43" t="n">
        <v>-23.554387</v>
      </c>
      <c r="C10292" s="43" t="n">
        <v>-46.636742</v>
      </c>
      <c r="D10292" s="43" t="n">
        <v>434</v>
      </c>
      <c r="E10292" s="44" t="n">
        <v>16227.505</v>
      </c>
    </row>
    <row r="10293">
      <c r="A10293" s="39">
        <f>_xlfn.XLOOKUP(61848,Trip[shape_id],Trip[shape_id],"Não encontrado")</f>
        <v/>
      </c>
      <c r="B10293" s="40" t="n">
        <v>-23.554172</v>
      </c>
      <c r="C10293" s="40" t="n">
        <v>-46.636678</v>
      </c>
      <c r="D10293" s="40" t="n">
        <v>435</v>
      </c>
      <c r="E10293" s="41" t="n">
        <v>16252.197</v>
      </c>
    </row>
    <row r="10294">
      <c r="A10294" s="42">
        <f>_xlfn.XLOOKUP(61848,Trip[shape_id],Trip[shape_id],"Não encontrado")</f>
        <v/>
      </c>
      <c r="B10294" s="43" t="n">
        <v>-23.553897</v>
      </c>
      <c r="C10294" s="43" t="n">
        <v>-46.636598</v>
      </c>
      <c r="D10294" s="43" t="n">
        <v>436</v>
      </c>
      <c r="E10294" s="44" t="n">
        <v>16283.73</v>
      </c>
    </row>
    <row r="10295">
      <c r="A10295" s="39">
        <f>_xlfn.XLOOKUP(61848,Trip[shape_id],Trip[shape_id],"Não encontrado")</f>
        <v/>
      </c>
      <c r="B10295" s="40" t="n">
        <v>-23.553652</v>
      </c>
      <c r="C10295" s="40" t="n">
        <v>-46.636563</v>
      </c>
      <c r="D10295" s="40" t="n">
        <v>437</v>
      </c>
      <c r="E10295" s="41" t="n">
        <v>16311.099</v>
      </c>
    </row>
    <row r="10296">
      <c r="A10296" s="42">
        <f>_xlfn.XLOOKUP(61848,Trip[shape_id],Trip[shape_id],"Não encontrado")</f>
        <v/>
      </c>
      <c r="B10296" s="43" t="n">
        <v>-23.553405</v>
      </c>
      <c r="C10296" s="43" t="n">
        <v>-46.636548</v>
      </c>
      <c r="D10296" s="43" t="n">
        <v>438</v>
      </c>
      <c r="E10296" s="44" t="n">
        <v>16338.497</v>
      </c>
    </row>
    <row r="10297">
      <c r="A10297" s="39">
        <f>_xlfn.XLOOKUP(61848,Trip[shape_id],Trip[shape_id],"Não encontrado")</f>
        <v/>
      </c>
      <c r="B10297" s="40" t="n">
        <v>-23.553234</v>
      </c>
      <c r="C10297" s="40" t="n">
        <v>-46.636545</v>
      </c>
      <c r="D10297" s="40" t="n">
        <v>439</v>
      </c>
      <c r="E10297" s="41" t="n">
        <v>16357.438</v>
      </c>
    </row>
    <row r="10298">
      <c r="A10298" s="42">
        <f>_xlfn.XLOOKUP(61848,Trip[shape_id],Trip[shape_id],"Não encontrado")</f>
        <v/>
      </c>
      <c r="B10298" s="43" t="n">
        <v>-23.553058</v>
      </c>
      <c r="C10298" s="43" t="n">
        <v>-46.63655</v>
      </c>
      <c r="D10298" s="43" t="n">
        <v>440</v>
      </c>
      <c r="E10298" s="44" t="n">
        <v>16376.938</v>
      </c>
    </row>
    <row r="10299">
      <c r="A10299" s="39">
        <f>_xlfn.XLOOKUP(61848,Trip[shape_id],Trip[shape_id],"Não encontrado")</f>
        <v/>
      </c>
      <c r="B10299" s="40" t="n">
        <v>-23.5529</v>
      </c>
      <c r="C10299" s="40" t="n">
        <v>-46.636564</v>
      </c>
      <c r="D10299" s="40" t="n">
        <v>441</v>
      </c>
      <c r="E10299" s="41" t="n">
        <v>16394.494</v>
      </c>
    </row>
    <row r="10300">
      <c r="A10300" s="42">
        <f>_xlfn.XLOOKUP(61848,Trip[shape_id],Trip[shape_id],"Não encontrado")</f>
        <v/>
      </c>
      <c r="B10300" s="43" t="n">
        <v>-23.552731</v>
      </c>
      <c r="C10300" s="43" t="n">
        <v>-46.636604</v>
      </c>
      <c r="D10300" s="43" t="n">
        <v>442</v>
      </c>
      <c r="E10300" s="44" t="n">
        <v>16413.652</v>
      </c>
    </row>
    <row r="10301">
      <c r="A10301" s="39">
        <f>_xlfn.XLOOKUP(61848,Trip[shape_id],Trip[shape_id],"Não encontrado")</f>
        <v/>
      </c>
      <c r="B10301" s="40" t="n">
        <v>-23.552628</v>
      </c>
      <c r="C10301" s="40" t="n">
        <v>-46.636637</v>
      </c>
      <c r="D10301" s="40" t="n">
        <v>443</v>
      </c>
      <c r="E10301" s="41" t="n">
        <v>16425.547</v>
      </c>
    </row>
    <row r="10302">
      <c r="A10302" s="42">
        <f>_xlfn.XLOOKUP(61848,Trip[shape_id],Trip[shape_id],"Não encontrado")</f>
        <v/>
      </c>
      <c r="B10302" s="43" t="n">
        <v>-23.552505</v>
      </c>
      <c r="C10302" s="43" t="n">
        <v>-46.636678</v>
      </c>
      <c r="D10302" s="43" t="n">
        <v>444</v>
      </c>
      <c r="E10302" s="44" t="n">
        <v>16439.799</v>
      </c>
    </row>
    <row r="10303">
      <c r="A10303" s="39">
        <f>_xlfn.XLOOKUP(61848,Trip[shape_id],Trip[shape_id],"Não encontrado")</f>
        <v/>
      </c>
      <c r="B10303" s="40" t="n">
        <v>-23.552221</v>
      </c>
      <c r="C10303" s="40" t="n">
        <v>-46.636792</v>
      </c>
      <c r="D10303" s="40" t="n">
        <v>445</v>
      </c>
      <c r="E10303" s="41" t="n">
        <v>16473.336</v>
      </c>
    </row>
    <row r="10304">
      <c r="A10304" s="42">
        <f>_xlfn.XLOOKUP(61848,Trip[shape_id],Trip[shape_id],"Não encontrado")</f>
        <v/>
      </c>
      <c r="B10304" s="43" t="n">
        <v>-23.552093</v>
      </c>
      <c r="C10304" s="43" t="n">
        <v>-46.636847</v>
      </c>
      <c r="D10304" s="43" t="n">
        <v>446</v>
      </c>
      <c r="E10304" s="44" t="n">
        <v>16488.584</v>
      </c>
    </row>
    <row r="10305">
      <c r="A10305" s="39">
        <f>_xlfn.XLOOKUP(61848,Trip[shape_id],Trip[shape_id],"Não encontrado")</f>
        <v/>
      </c>
      <c r="B10305" s="40" t="n">
        <v>-23.551964</v>
      </c>
      <c r="C10305" s="40" t="n">
        <v>-46.636906</v>
      </c>
      <c r="D10305" s="40" t="n">
        <v>447</v>
      </c>
      <c r="E10305" s="41" t="n">
        <v>16504.09</v>
      </c>
    </row>
    <row r="10306">
      <c r="A10306" s="42">
        <f>_xlfn.XLOOKUP(61848,Trip[shape_id],Trip[shape_id],"Não encontrado")</f>
        <v/>
      </c>
      <c r="B10306" s="43" t="n">
        <v>-23.551809</v>
      </c>
      <c r="C10306" s="43" t="n">
        <v>-46.636995</v>
      </c>
      <c r="D10306" s="43" t="n">
        <v>448</v>
      </c>
      <c r="E10306" s="44" t="n">
        <v>16523.514</v>
      </c>
    </row>
    <row r="10307">
      <c r="A10307" s="39">
        <f>_xlfn.XLOOKUP(61848,Trip[shape_id],Trip[shape_id],"Não encontrado")</f>
        <v/>
      </c>
      <c r="B10307" s="40" t="n">
        <v>-23.551762</v>
      </c>
      <c r="C10307" s="40" t="n">
        <v>-46.637025</v>
      </c>
      <c r="D10307" s="40" t="n">
        <v>449</v>
      </c>
      <c r="E10307" s="41" t="n">
        <v>16529.555</v>
      </c>
    </row>
    <row r="10308">
      <c r="A10308" s="42">
        <f>_xlfn.XLOOKUP(61848,Trip[shape_id],Trip[shape_id],"Não encontrado")</f>
        <v/>
      </c>
      <c r="B10308" s="43" t="n">
        <v>-23.551722</v>
      </c>
      <c r="C10308" s="43" t="n">
        <v>-46.637056</v>
      </c>
      <c r="D10308" s="43" t="n">
        <v>450</v>
      </c>
      <c r="E10308" s="44" t="n">
        <v>16535</v>
      </c>
    </row>
    <row r="10309">
      <c r="A10309" s="39">
        <f>_xlfn.XLOOKUP(61848,Trip[shape_id],Trip[shape_id],"Não encontrado")</f>
        <v/>
      </c>
      <c r="B10309" s="40" t="n">
        <v>-23.55159</v>
      </c>
      <c r="C10309" s="40" t="n">
        <v>-46.637154</v>
      </c>
      <c r="D10309" s="40" t="n">
        <v>451</v>
      </c>
      <c r="E10309" s="41" t="n">
        <v>16552.715</v>
      </c>
    </row>
    <row r="10310">
      <c r="A10310" s="42">
        <f>_xlfn.XLOOKUP(61848,Trip[shape_id],Trip[shape_id],"Não encontrado")</f>
        <v/>
      </c>
      <c r="B10310" s="43" t="n">
        <v>-23.551467</v>
      </c>
      <c r="C10310" s="43" t="n">
        <v>-46.637243</v>
      </c>
      <c r="D10310" s="43" t="n">
        <v>452</v>
      </c>
      <c r="E10310" s="44" t="n">
        <v>16569.09</v>
      </c>
    </row>
    <row r="10311">
      <c r="A10311" s="39">
        <f>_xlfn.XLOOKUP(61848,Trip[shape_id],Trip[shape_id],"Não encontrado")</f>
        <v/>
      </c>
      <c r="B10311" s="40" t="n">
        <v>-23.551167</v>
      </c>
      <c r="C10311" s="40" t="n">
        <v>-46.637456</v>
      </c>
      <c r="D10311" s="40" t="n">
        <v>453</v>
      </c>
      <c r="E10311" s="41" t="n">
        <v>16663.369</v>
      </c>
    </row>
    <row r="10312">
      <c r="A10312" s="42">
        <f>_xlfn.XLOOKUP(61848,Trip[shape_id],Trip[shape_id],"Não encontrado")</f>
        <v/>
      </c>
      <c r="B10312" s="43" t="n">
        <v>-23.550765</v>
      </c>
      <c r="C10312" s="43" t="n">
        <v>-46.637765</v>
      </c>
      <c r="D10312" s="43" t="n">
        <v>454</v>
      </c>
      <c r="E10312" s="44" t="n">
        <v>16711.867</v>
      </c>
    </row>
    <row r="10313">
      <c r="A10313" s="39">
        <f>_xlfn.XLOOKUP(61848,Trip[shape_id],Trip[shape_id],"Não encontrado")</f>
        <v/>
      </c>
      <c r="B10313" s="40" t="n">
        <v>-23.550406</v>
      </c>
      <c r="C10313" s="40" t="n">
        <v>-46.638037</v>
      </c>
      <c r="D10313" s="40" t="n">
        <v>455</v>
      </c>
      <c r="E10313" s="41" t="n">
        <v>16742.223</v>
      </c>
    </row>
    <row r="10314">
      <c r="A10314" s="42">
        <f>_xlfn.XLOOKUP(61848,Trip[shape_id],Trip[shape_id],"Não encontrado")</f>
        <v/>
      </c>
      <c r="B10314" s="43" t="n">
        <v>-23.550171</v>
      </c>
      <c r="C10314" s="43" t="n">
        <v>-46.63819</v>
      </c>
      <c r="D10314" s="43" t="n">
        <v>456</v>
      </c>
      <c r="E10314" s="44" t="n">
        <v>16761.846</v>
      </c>
    </row>
    <row r="10315">
      <c r="A10315" s="39">
        <f>_xlfn.XLOOKUP(61848,Trip[shape_id],Trip[shape_id],"Não encontrado")</f>
        <v/>
      </c>
      <c r="B10315" s="40" t="n">
        <v>-23.550022</v>
      </c>
      <c r="C10315" s="40" t="n">
        <v>-46.638294</v>
      </c>
      <c r="D10315" s="40" t="n">
        <v>457</v>
      </c>
      <c r="E10315" s="41" t="n">
        <v>16785.434</v>
      </c>
    </row>
    <row r="10316">
      <c r="A10316" s="42">
        <f>_xlfn.XLOOKUP(61848,Trip[shape_id],Trip[shape_id],"Não encontrado")</f>
        <v/>
      </c>
      <c r="B10316" s="43" t="n">
        <v>-23.54984</v>
      </c>
      <c r="C10316" s="43" t="n">
        <v>-46.638414</v>
      </c>
      <c r="D10316" s="43" t="n">
        <v>458</v>
      </c>
      <c r="E10316" s="44" t="n">
        <v>16807.047</v>
      </c>
    </row>
    <row r="10317">
      <c r="A10317" s="39">
        <f>_xlfn.XLOOKUP(61848,Trip[shape_id],Trip[shape_id],"Não encontrado")</f>
        <v/>
      </c>
      <c r="B10317" s="40" t="n">
        <v>-23.549668</v>
      </c>
      <c r="C10317" s="40" t="n">
        <v>-46.638514</v>
      </c>
      <c r="D10317" s="40" t="n">
        <v>459</v>
      </c>
      <c r="E10317" s="41" t="n">
        <v>16856.672</v>
      </c>
    </row>
    <row r="10318">
      <c r="A10318" s="42">
        <f>_xlfn.XLOOKUP(61848,Trip[shape_id],Trip[shape_id],"Não encontrado")</f>
        <v/>
      </c>
      <c r="B10318" s="43" t="n">
        <v>-23.549268</v>
      </c>
      <c r="C10318" s="43" t="n">
        <v>-46.638733</v>
      </c>
      <c r="D10318" s="43" t="n">
        <v>460</v>
      </c>
      <c r="E10318" s="44" t="n">
        <v>16856.672</v>
      </c>
    </row>
    <row r="10319">
      <c r="A10319" s="39">
        <f>_xlfn.XLOOKUP(61848,Trip[shape_id],Trip[shape_id],"Não encontrado")</f>
        <v/>
      </c>
      <c r="B10319" s="40" t="n">
        <v>-23.549099</v>
      </c>
      <c r="C10319" s="40" t="n">
        <v>-46.638802</v>
      </c>
      <c r="D10319" s="40" t="n">
        <v>461</v>
      </c>
      <c r="E10319" s="41" t="n">
        <v>16899.574</v>
      </c>
    </row>
    <row r="10320">
      <c r="A10320" s="42">
        <f>_xlfn.XLOOKUP(61848,Trip[shape_id],Trip[shape_id],"Não encontrado")</f>
        <v/>
      </c>
      <c r="B10320" s="43" t="n">
        <v>-23.548897</v>
      </c>
      <c r="C10320" s="43" t="n">
        <v>-46.63885</v>
      </c>
      <c r="D10320" s="43" t="n">
        <v>462</v>
      </c>
      <c r="E10320" s="44" t="n">
        <v>16899.574</v>
      </c>
    </row>
    <row r="10321">
      <c r="A10321" s="39">
        <f>_xlfn.XLOOKUP(61848,Trip[shape_id],Trip[shape_id],"Não encontrado")</f>
        <v/>
      </c>
      <c r="B10321" s="40" t="n">
        <v>-23.548744</v>
      </c>
      <c r="C10321" s="40" t="n">
        <v>-46.638864</v>
      </c>
      <c r="D10321" s="40" t="n">
        <v>463</v>
      </c>
      <c r="E10321" s="41" t="n">
        <v>16916.58</v>
      </c>
    </row>
    <row r="10322">
      <c r="A10322" s="42">
        <f>_xlfn.XLOOKUP(61848,Trip[shape_id],Trip[shape_id],"Não encontrado")</f>
        <v/>
      </c>
      <c r="B10322" s="43" t="n">
        <v>-23.548637</v>
      </c>
      <c r="C10322" s="43" t="n">
        <v>-46.638869</v>
      </c>
      <c r="D10322" s="43" t="n">
        <v>464</v>
      </c>
      <c r="E10322" s="44" t="n">
        <v>16928.441</v>
      </c>
    </row>
    <row r="10323">
      <c r="A10323" s="39">
        <f>_xlfn.XLOOKUP(61848,Trip[shape_id],Trip[shape_id],"Não encontrado")</f>
        <v/>
      </c>
      <c r="B10323" s="40" t="n">
        <v>-23.548552</v>
      </c>
      <c r="C10323" s="40" t="n">
        <v>-46.638835</v>
      </c>
      <c r="D10323" s="40" t="n">
        <v>465</v>
      </c>
      <c r="E10323" s="41" t="n">
        <v>16938.475</v>
      </c>
    </row>
    <row r="10324">
      <c r="A10324" s="42">
        <f>_xlfn.XLOOKUP(61848,Trip[shape_id],Trip[shape_id],"Não encontrado")</f>
        <v/>
      </c>
      <c r="B10324" s="43" t="n">
        <v>-23.548476</v>
      </c>
      <c r="C10324" s="43" t="n">
        <v>-46.638801</v>
      </c>
      <c r="D10324" s="43" t="n">
        <v>466</v>
      </c>
      <c r="E10324" s="44" t="n">
        <v>16947.58</v>
      </c>
    </row>
    <row r="10325">
      <c r="A10325" s="39">
        <f>_xlfn.XLOOKUP(61848,Trip[shape_id],Trip[shape_id],"Não encontrado")</f>
        <v/>
      </c>
      <c r="B10325" s="40" t="n">
        <v>-23.548384</v>
      </c>
      <c r="C10325" s="40" t="n">
        <v>-46.638747</v>
      </c>
      <c r="D10325" s="40" t="n">
        <v>467</v>
      </c>
      <c r="E10325" s="41" t="n">
        <v>16959.166</v>
      </c>
    </row>
    <row r="10326">
      <c r="A10326" s="42">
        <f>_xlfn.XLOOKUP(61848,Trip[shape_id],Trip[shape_id],"Não encontrado")</f>
        <v/>
      </c>
      <c r="B10326" s="43" t="n">
        <v>-23.54826</v>
      </c>
      <c r="C10326" s="43" t="n">
        <v>-46.638654</v>
      </c>
      <c r="D10326" s="43" t="n">
        <v>468</v>
      </c>
      <c r="E10326" s="44" t="n">
        <v>16975.863</v>
      </c>
    </row>
    <row r="10327">
      <c r="A10327" s="39">
        <f>_xlfn.XLOOKUP(61848,Trip[shape_id],Trip[shape_id],"Não encontrado")</f>
        <v/>
      </c>
      <c r="B10327" s="40" t="n">
        <v>-23.547926</v>
      </c>
      <c r="C10327" s="40" t="n">
        <v>-46.63843</v>
      </c>
      <c r="D10327" s="40" t="n">
        <v>469</v>
      </c>
      <c r="E10327" s="41" t="n">
        <v>17019.354</v>
      </c>
    </row>
    <row r="10328">
      <c r="A10328" s="42">
        <f>_xlfn.XLOOKUP(61848,Trip[shape_id],Trip[shape_id],"Não encontrado")</f>
        <v/>
      </c>
      <c r="B10328" s="43" t="n">
        <v>-23.547216</v>
      </c>
      <c r="C10328" s="43" t="n">
        <v>-46.637955</v>
      </c>
      <c r="D10328" s="43" t="n">
        <v>470</v>
      </c>
      <c r="E10328" s="44" t="n">
        <v>17111.74</v>
      </c>
    </row>
    <row r="10329">
      <c r="A10329" s="39">
        <f>_xlfn.XLOOKUP(61848,Trip[shape_id],Trip[shape_id],"Não encontrado")</f>
        <v/>
      </c>
      <c r="B10329" s="40" t="n">
        <v>-23.546981</v>
      </c>
      <c r="C10329" s="40" t="n">
        <v>-46.63778</v>
      </c>
      <c r="D10329" s="40" t="n">
        <v>471</v>
      </c>
      <c r="E10329" s="41" t="n">
        <v>17143.311</v>
      </c>
    </row>
    <row r="10330">
      <c r="A10330" s="42">
        <f>_xlfn.XLOOKUP(61848,Trip[shape_id],Trip[shape_id],"Não encontrado")</f>
        <v/>
      </c>
      <c r="B10330" s="43" t="n">
        <v>-23.546863</v>
      </c>
      <c r="C10330" s="43" t="n">
        <v>-46.637675</v>
      </c>
      <c r="D10330" s="43" t="n">
        <v>472</v>
      </c>
      <c r="E10330" s="44" t="n">
        <v>17160.215</v>
      </c>
    </row>
    <row r="10331">
      <c r="A10331" s="39">
        <f>_xlfn.XLOOKUP(61848,Trip[shape_id],Trip[shape_id],"Não encontrado")</f>
        <v/>
      </c>
      <c r="B10331" s="40" t="n">
        <v>-23.546482</v>
      </c>
      <c r="C10331" s="40" t="n">
        <v>-46.637394</v>
      </c>
      <c r="D10331" s="40" t="n">
        <v>473</v>
      </c>
      <c r="E10331" s="41" t="n">
        <v>17211.242</v>
      </c>
    </row>
    <row r="10332">
      <c r="A10332" s="42">
        <f>_xlfn.XLOOKUP(61848,Trip[shape_id],Trip[shape_id],"Não encontrado")</f>
        <v/>
      </c>
      <c r="B10332" s="43" t="n">
        <v>-23.545939</v>
      </c>
      <c r="C10332" s="43" t="n">
        <v>-46.636995</v>
      </c>
      <c r="D10332" s="43" t="n">
        <v>474</v>
      </c>
      <c r="E10332" s="44" t="n">
        <v>17476.471</v>
      </c>
    </row>
    <row r="10333">
      <c r="A10333" s="39">
        <f>_xlfn.XLOOKUP(61848,Trip[shape_id],Trip[shape_id],"Não encontrado")</f>
        <v/>
      </c>
      <c r="B10333" s="40" t="n">
        <v>-23.54446</v>
      </c>
      <c r="C10333" s="40" t="n">
        <v>-46.636003</v>
      </c>
      <c r="D10333" s="40" t="n">
        <v>475</v>
      </c>
      <c r="E10333" s="41" t="n">
        <v>17550.877</v>
      </c>
    </row>
    <row r="10334">
      <c r="A10334" s="42">
        <f>_xlfn.XLOOKUP(61848,Trip[shape_id],Trip[shape_id],"Não encontrado")</f>
        <v/>
      </c>
      <c r="B10334" s="43" t="n">
        <v>-23.543878</v>
      </c>
      <c r="C10334" s="43" t="n">
        <v>-46.635639</v>
      </c>
      <c r="D10334" s="43" t="n">
        <v>476</v>
      </c>
      <c r="E10334" s="44" t="n">
        <v>17587.678</v>
      </c>
    </row>
    <row r="10335">
      <c r="A10335" s="39">
        <f>_xlfn.XLOOKUP(61848,Trip[shape_id],Trip[shape_id],"Não encontrado")</f>
        <v/>
      </c>
      <c r="B10335" s="40" t="n">
        <v>-23.543587</v>
      </c>
      <c r="C10335" s="40" t="n">
        <v>-46.635465</v>
      </c>
      <c r="D10335" s="40" t="n">
        <v>477</v>
      </c>
      <c r="E10335" s="41" t="n">
        <v>17677.418</v>
      </c>
    </row>
    <row r="10336">
      <c r="A10336" s="42">
        <f>_xlfn.XLOOKUP(61848,Trip[shape_id],Trip[shape_id],"Não encontrado")</f>
        <v/>
      </c>
      <c r="B10336" s="43" t="n">
        <v>-23.542896</v>
      </c>
      <c r="C10336" s="43" t="n">
        <v>-46.635006</v>
      </c>
      <c r="D10336" s="43" t="n">
        <v>478</v>
      </c>
      <c r="E10336" s="44" t="n">
        <v>17755.984</v>
      </c>
    </row>
    <row r="10337">
      <c r="A10337" s="39">
        <f>_xlfn.XLOOKUP(61848,Trip[shape_id],Trip[shape_id],"Não encontrado")</f>
        <v/>
      </c>
      <c r="B10337" s="40" t="n">
        <v>-23.542271</v>
      </c>
      <c r="C10337" s="40" t="n">
        <v>-46.634642</v>
      </c>
      <c r="D10337" s="40" t="n">
        <v>479</v>
      </c>
      <c r="E10337" s="41" t="n">
        <v>17761.438</v>
      </c>
    </row>
    <row r="10338">
      <c r="A10338" s="42">
        <f>_xlfn.XLOOKUP(61848,Trip[shape_id],Trip[shape_id],"Não encontrado")</f>
        <v/>
      </c>
      <c r="B10338" s="43" t="n">
        <v>-23.542227</v>
      </c>
      <c r="C10338" s="43" t="n">
        <v>-46.634618</v>
      </c>
      <c r="D10338" s="43" t="n">
        <v>480</v>
      </c>
      <c r="E10338" s="44" t="n">
        <v>17790.305</v>
      </c>
    </row>
    <row r="10339">
      <c r="A10339" s="39">
        <f>_xlfn.XLOOKUP(61848,Trip[shape_id],Trip[shape_id],"Não encontrado")</f>
        <v/>
      </c>
      <c r="B10339" s="40" t="n">
        <v>-23.541999</v>
      </c>
      <c r="C10339" s="40" t="n">
        <v>-46.634481</v>
      </c>
      <c r="D10339" s="40" t="n">
        <v>481</v>
      </c>
      <c r="E10339" s="41" t="n">
        <v>17790.305</v>
      </c>
    </row>
    <row r="10340">
      <c r="A10340" s="42">
        <f>_xlfn.XLOOKUP(61848,Trip[shape_id],Trip[shape_id],"Não encontrado")</f>
        <v/>
      </c>
      <c r="B10340" s="43" t="n">
        <v>-23.541507</v>
      </c>
      <c r="C10340" s="43" t="n">
        <v>-46.634195</v>
      </c>
      <c r="D10340" s="43" t="n">
        <v>482</v>
      </c>
      <c r="E10340" s="44" t="n">
        <v>17852.127</v>
      </c>
    </row>
    <row r="10341">
      <c r="A10341" s="39">
        <f>_xlfn.XLOOKUP(61848,Trip[shape_id],Trip[shape_id],"Não encontrado")</f>
        <v/>
      </c>
      <c r="B10341" s="40" t="n">
        <v>-23.541179</v>
      </c>
      <c r="C10341" s="40" t="n">
        <v>-46.634071</v>
      </c>
      <c r="D10341" s="40" t="n">
        <v>483</v>
      </c>
      <c r="E10341" s="41" t="n">
        <v>17915.027</v>
      </c>
    </row>
    <row r="10342">
      <c r="A10342" s="42">
        <f>_xlfn.XLOOKUP(61848,Trip[shape_id],Trip[shape_id],"Não encontrado")</f>
        <v/>
      </c>
      <c r="B10342" s="43" t="n">
        <v>-23.540965</v>
      </c>
      <c r="C10342" s="43" t="n">
        <v>-46.634013</v>
      </c>
      <c r="D10342" s="43" t="n">
        <v>484</v>
      </c>
      <c r="E10342" s="44" t="n">
        <v>17960.037</v>
      </c>
    </row>
    <row r="10343">
      <c r="A10343" s="39">
        <f>_xlfn.XLOOKUP(61848,Trip[shape_id],Trip[shape_id],"Não encontrado")</f>
        <v/>
      </c>
      <c r="B10343" s="40" t="n">
        <v>-23.540562</v>
      </c>
      <c r="C10343" s="40" t="n">
        <v>-46.633956</v>
      </c>
      <c r="D10343" s="40" t="n">
        <v>485</v>
      </c>
      <c r="E10343" s="41" t="n">
        <v>17980.518</v>
      </c>
    </row>
    <row r="10344">
      <c r="A10344" s="42">
        <f>_xlfn.XLOOKUP(61848,Trip[shape_id],Trip[shape_id],"Não encontrado")</f>
        <v/>
      </c>
      <c r="B10344" s="43" t="n">
        <v>-23.540378</v>
      </c>
      <c r="C10344" s="43" t="n">
        <v>-46.633936</v>
      </c>
      <c r="D10344" s="43" t="n">
        <v>486</v>
      </c>
      <c r="E10344" s="44" t="n">
        <v>18081.197</v>
      </c>
    </row>
    <row r="10345">
      <c r="A10345" s="39">
        <f>_xlfn.XLOOKUP(61848,Trip[shape_id],Trip[shape_id],"Não encontrado")</f>
        <v/>
      </c>
      <c r="B10345" s="40" t="n">
        <v>-23.539473</v>
      </c>
      <c r="C10345" s="40" t="n">
        <v>-46.633843</v>
      </c>
      <c r="D10345" s="40" t="n">
        <v>487</v>
      </c>
      <c r="E10345" s="41" t="n">
        <v>18081.197</v>
      </c>
    </row>
    <row r="10346">
      <c r="A10346" s="42">
        <f>_xlfn.XLOOKUP(61848,Trip[shape_id],Trip[shape_id],"Não encontrado")</f>
        <v/>
      </c>
      <c r="B10346" s="43" t="n">
        <v>-23.539331</v>
      </c>
      <c r="C10346" s="43" t="n">
        <v>-46.633828</v>
      </c>
      <c r="D10346" s="43" t="n">
        <v>488</v>
      </c>
      <c r="E10346" s="44" t="n">
        <v>18096.998</v>
      </c>
    </row>
    <row r="10347">
      <c r="A10347" s="39">
        <f>_xlfn.XLOOKUP(61848,Trip[shape_id],Trip[shape_id],"Não encontrado")</f>
        <v/>
      </c>
      <c r="B10347" s="40" t="n">
        <v>-23.539229</v>
      </c>
      <c r="C10347" s="40" t="n">
        <v>-46.633817</v>
      </c>
      <c r="D10347" s="40" t="n">
        <v>489</v>
      </c>
      <c r="E10347" s="41" t="n">
        <v>18108.352</v>
      </c>
    </row>
    <row r="10348">
      <c r="A10348" s="42">
        <f>_xlfn.XLOOKUP(61848,Trip[shape_id],Trip[shape_id],"Não encontrado")</f>
        <v/>
      </c>
      <c r="B10348" s="43" t="n">
        <v>-23.539156</v>
      </c>
      <c r="C10348" s="43" t="n">
        <v>-46.633808</v>
      </c>
      <c r="D10348" s="43" t="n">
        <v>490</v>
      </c>
      <c r="E10348" s="44" t="n">
        <v>18187.129</v>
      </c>
    </row>
    <row r="10349">
      <c r="A10349" s="39">
        <f>_xlfn.XLOOKUP(61848,Trip[shape_id],Trip[shape_id],"Não encontrado")</f>
        <v/>
      </c>
      <c r="B10349" s="40" t="n">
        <v>-23.538521</v>
      </c>
      <c r="C10349" s="40" t="n">
        <v>-46.633743</v>
      </c>
      <c r="D10349" s="40" t="n">
        <v>491</v>
      </c>
      <c r="E10349" s="41" t="n">
        <v>18261.596</v>
      </c>
    </row>
    <row r="10350">
      <c r="A10350" s="42">
        <f>_xlfn.XLOOKUP(61848,Trip[shape_id],Trip[shape_id],"Não encontrado")</f>
        <v/>
      </c>
      <c r="B10350" s="43" t="n">
        <v>-23.537852</v>
      </c>
      <c r="C10350" s="43" t="n">
        <v>-46.63367</v>
      </c>
      <c r="D10350" s="43" t="n">
        <v>492</v>
      </c>
      <c r="E10350" s="44" t="n">
        <v>18269.801</v>
      </c>
    </row>
    <row r="10351">
      <c r="A10351" s="39">
        <f>_xlfn.XLOOKUP(61848,Trip[shape_id],Trip[shape_id],"Não encontrado")</f>
        <v/>
      </c>
      <c r="B10351" s="40" t="n">
        <v>-23.537778</v>
      </c>
      <c r="C10351" s="40" t="n">
        <v>-46.633666</v>
      </c>
      <c r="D10351" s="40" t="n">
        <v>493</v>
      </c>
      <c r="E10351" s="41" t="n">
        <v>18355.021</v>
      </c>
    </row>
    <row r="10352">
      <c r="A10352" s="42">
        <f>_xlfn.XLOOKUP(61848,Trip[shape_id],Trip[shape_id],"Não encontrado")</f>
        <v/>
      </c>
      <c r="B10352" s="43" t="n">
        <v>-23.537015</v>
      </c>
      <c r="C10352" s="43" t="n">
        <v>-46.633558</v>
      </c>
      <c r="D10352" s="43" t="n">
        <v>494</v>
      </c>
      <c r="E10352" s="44" t="n">
        <v>18355.021</v>
      </c>
    </row>
    <row r="10353">
      <c r="A10353" s="39">
        <f>_xlfn.XLOOKUP(61848,Trip[shape_id],Trip[shape_id],"Não encontrado")</f>
        <v/>
      </c>
      <c r="B10353" s="40" t="n">
        <v>-23.536412</v>
      </c>
      <c r="C10353" s="40" t="n">
        <v>-46.6335</v>
      </c>
      <c r="D10353" s="40" t="n">
        <v>495</v>
      </c>
      <c r="E10353" s="41" t="n">
        <v>18422.066</v>
      </c>
    </row>
    <row r="10354">
      <c r="A10354" s="42">
        <f>_xlfn.XLOOKUP(61848,Trip[shape_id],Trip[shape_id],"Não encontrado")</f>
        <v/>
      </c>
      <c r="B10354" s="43" t="n">
        <v>-23.536236</v>
      </c>
      <c r="C10354" s="43" t="n">
        <v>-46.633446</v>
      </c>
      <c r="D10354" s="43" t="n">
        <v>496</v>
      </c>
      <c r="E10354" s="44" t="n">
        <v>18456.549</v>
      </c>
    </row>
    <row r="10355">
      <c r="A10355" s="39">
        <f>_xlfn.XLOOKUP(61848,Trip[shape_id],Trip[shape_id],"Não encontrado")</f>
        <v/>
      </c>
      <c r="B10355" s="40" t="n">
        <v>-23.536111</v>
      </c>
      <c r="C10355" s="40" t="n">
        <v>-46.633414</v>
      </c>
      <c r="D10355" s="40" t="n">
        <v>497</v>
      </c>
      <c r="E10355" s="41" t="n">
        <v>18481.836</v>
      </c>
    </row>
    <row r="10356">
      <c r="A10356" s="42">
        <f>_xlfn.XLOOKUP(61848,Trip[shape_id],Trip[shape_id],"Não encontrado")</f>
        <v/>
      </c>
      <c r="B10356" s="43" t="n">
        <v>-23.535919</v>
      </c>
      <c r="C10356" s="43" t="n">
        <v>-46.63328</v>
      </c>
      <c r="D10356" s="43" t="n">
        <v>498</v>
      </c>
      <c r="E10356" s="44" t="n">
        <v>18481.836</v>
      </c>
    </row>
    <row r="10357">
      <c r="A10357" s="39">
        <f>_xlfn.XLOOKUP(61848,Trip[shape_id],Trip[shape_id],"Não encontrado")</f>
        <v/>
      </c>
      <c r="B10357" s="40" t="n">
        <v>-23.53581</v>
      </c>
      <c r="C10357" s="40" t="n">
        <v>-46.633227</v>
      </c>
      <c r="D10357" s="40" t="n">
        <v>499</v>
      </c>
      <c r="E10357" s="41" t="n">
        <v>18532.729</v>
      </c>
    </row>
    <row r="10358">
      <c r="A10358" s="42">
        <f>_xlfn.XLOOKUP(61848,Trip[shape_id],Trip[shape_id],"Não encontrado")</f>
        <v/>
      </c>
      <c r="B10358" s="43" t="n">
        <v>-23.535486</v>
      </c>
      <c r="C10358" s="43" t="n">
        <v>-46.633115</v>
      </c>
      <c r="D10358" s="43" t="n">
        <v>500</v>
      </c>
      <c r="E10358" s="44" t="n">
        <v>18532.729</v>
      </c>
    </row>
    <row r="10359">
      <c r="A10359" s="39">
        <f>_xlfn.XLOOKUP(61848,Trip[shape_id],Trip[shape_id],"Não encontrado")</f>
        <v/>
      </c>
      <c r="B10359" s="40" t="n">
        <v>-23.535278</v>
      </c>
      <c r="C10359" s="40" t="n">
        <v>-46.633114</v>
      </c>
      <c r="D10359" s="40" t="n">
        <v>501</v>
      </c>
      <c r="E10359" s="41" t="n">
        <v>18555.766</v>
      </c>
    </row>
    <row r="10360">
      <c r="A10360" s="42">
        <f>_xlfn.XLOOKUP(61848,Trip[shape_id],Trip[shape_id],"Não encontrado")</f>
        <v/>
      </c>
      <c r="B10360" s="43" t="n">
        <v>-23.534987</v>
      </c>
      <c r="C10360" s="43" t="n">
        <v>-46.633103</v>
      </c>
      <c r="D10360" s="43" t="n">
        <v>502</v>
      </c>
      <c r="E10360" s="44" t="n">
        <v>18628.063</v>
      </c>
    </row>
    <row r="10361">
      <c r="A10361" s="39">
        <f>_xlfn.XLOOKUP(61848,Trip[shape_id],Trip[shape_id],"Não encontrado")</f>
        <v/>
      </c>
      <c r="B10361" s="40" t="n">
        <v>-23.534627</v>
      </c>
      <c r="C10361" s="40" t="n">
        <v>-46.633066</v>
      </c>
      <c r="D10361" s="40" t="n">
        <v>503</v>
      </c>
      <c r="E10361" s="41" t="n">
        <v>18640.059</v>
      </c>
    </row>
    <row r="10362">
      <c r="A10362" s="42">
        <f>_xlfn.XLOOKUP(61848,Trip[shape_id],Trip[shape_id],"Não encontrado")</f>
        <v/>
      </c>
      <c r="B10362" s="43" t="n">
        <v>-23.534519</v>
      </c>
      <c r="C10362" s="43" t="n">
        <v>-46.633057</v>
      </c>
      <c r="D10362" s="43" t="n">
        <v>504</v>
      </c>
      <c r="E10362" s="44" t="n">
        <v>18640.059</v>
      </c>
    </row>
    <row r="10363">
      <c r="A10363" s="39">
        <f>_xlfn.XLOOKUP(61848,Trip[shape_id],Trip[shape_id],"Não encontrado")</f>
        <v/>
      </c>
      <c r="B10363" s="40" t="n">
        <v>-23.534416</v>
      </c>
      <c r="C10363" s="40" t="n">
        <v>-46.633034</v>
      </c>
      <c r="D10363" s="40" t="n">
        <v>505</v>
      </c>
      <c r="E10363" s="41" t="n">
        <v>18725.916</v>
      </c>
    </row>
    <row r="10364">
      <c r="A10364" s="42">
        <f>_xlfn.XLOOKUP(61848,Trip[shape_id],Trip[shape_id],"Não encontrado")</f>
        <v/>
      </c>
      <c r="B10364" s="43" t="n">
        <v>-23.53377</v>
      </c>
      <c r="C10364" s="43" t="n">
        <v>-46.632841</v>
      </c>
      <c r="D10364" s="43" t="n">
        <v>506</v>
      </c>
      <c r="E10364" s="44" t="n">
        <v>18832.471</v>
      </c>
    </row>
    <row r="10365">
      <c r="A10365" s="39">
        <f>_xlfn.XLOOKUP(61848,Trip[shape_id],Trip[shape_id],"Não encontrado")</f>
        <v/>
      </c>
      <c r="B10365" s="40" t="n">
        <v>-23.532845</v>
      </c>
      <c r="C10365" s="40" t="n">
        <v>-46.632554</v>
      </c>
      <c r="D10365" s="40" t="n">
        <v>507</v>
      </c>
      <c r="E10365" s="41" t="n">
        <v>18838.189</v>
      </c>
    </row>
    <row r="10366">
      <c r="A10366" s="42">
        <f>_xlfn.XLOOKUP(61848,Trip[shape_id],Trip[shape_id],"Não encontrado")</f>
        <v/>
      </c>
      <c r="B10366" s="43" t="n">
        <v>-23.532795</v>
      </c>
      <c r="C10366" s="43" t="n">
        <v>-46.63254</v>
      </c>
      <c r="D10366" s="43" t="n">
        <v>508</v>
      </c>
      <c r="E10366" s="44" t="n">
        <v>18860.33</v>
      </c>
    </row>
    <row r="10367">
      <c r="A10367" s="39">
        <f>_xlfn.XLOOKUP(61848,Trip[shape_id],Trip[shape_id],"Não encontrado")</f>
        <v/>
      </c>
      <c r="B10367" s="40" t="n">
        <v>-23.532604</v>
      </c>
      <c r="C10367" s="40" t="n">
        <v>-46.632476</v>
      </c>
      <c r="D10367" s="40" t="n">
        <v>509</v>
      </c>
      <c r="E10367" s="41" t="n">
        <v>18871.877</v>
      </c>
    </row>
    <row r="10368">
      <c r="A10368" s="42">
        <f>_xlfn.XLOOKUP(61848,Trip[shape_id],Trip[shape_id],"Não encontrado")</f>
        <v/>
      </c>
      <c r="B10368" s="43" t="n">
        <v>-23.532504</v>
      </c>
      <c r="C10368" s="43" t="n">
        <v>-46.632444</v>
      </c>
      <c r="D10368" s="43" t="n">
        <v>510</v>
      </c>
      <c r="E10368" s="44" t="n">
        <v>18871.877</v>
      </c>
    </row>
    <row r="10369">
      <c r="A10369" s="39">
        <f>_xlfn.XLOOKUP(61848,Trip[shape_id],Trip[shape_id],"Não encontrado")</f>
        <v/>
      </c>
      <c r="B10369" s="40" t="n">
        <v>-23.532359</v>
      </c>
      <c r="C10369" s="40" t="n">
        <v>-46.632381</v>
      </c>
      <c r="D10369" s="40" t="n">
        <v>511</v>
      </c>
      <c r="E10369" s="41" t="n">
        <v>18889.176</v>
      </c>
    </row>
    <row r="10370">
      <c r="A10370" s="42">
        <f>_xlfn.XLOOKUP(61848,Trip[shape_id],Trip[shape_id],"Não encontrado")</f>
        <v/>
      </c>
      <c r="B10370" s="43" t="n">
        <v>-23.531455</v>
      </c>
      <c r="C10370" s="43" t="n">
        <v>-46.632109</v>
      </c>
      <c r="D10370" s="43" t="n">
        <v>512</v>
      </c>
      <c r="E10370" s="44" t="n">
        <v>19036.35</v>
      </c>
    </row>
    <row r="10371">
      <c r="A10371" s="39">
        <f>_xlfn.XLOOKUP(61848,Trip[shape_id],Trip[shape_id],"Não encontrado")</f>
        <v/>
      </c>
      <c r="B10371" s="40" t="n">
        <v>-23.53108</v>
      </c>
      <c r="C10371" s="40" t="n">
        <v>-46.63199</v>
      </c>
      <c r="D10371" s="40" t="n">
        <v>513</v>
      </c>
      <c r="E10371" s="41" t="n">
        <v>19036.35</v>
      </c>
    </row>
    <row r="10372">
      <c r="A10372" s="42">
        <f>_xlfn.XLOOKUP(61848,Trip[shape_id],Trip[shape_id],"Não encontrado")</f>
        <v/>
      </c>
      <c r="B10372" s="43" t="n">
        <v>-23.530152</v>
      </c>
      <c r="C10372" s="43" t="n">
        <v>-46.631712</v>
      </c>
      <c r="D10372" s="43" t="n">
        <v>514</v>
      </c>
      <c r="E10372" s="44" t="n">
        <v>19245.783</v>
      </c>
    </row>
    <row r="10373">
      <c r="A10373" s="39">
        <f>_xlfn.XLOOKUP(61848,Trip[shape_id],Trip[shape_id],"Não encontrado")</f>
        <v/>
      </c>
      <c r="B10373" s="40" t="n">
        <v>-23.529258</v>
      </c>
      <c r="C10373" s="40" t="n">
        <v>-46.631441</v>
      </c>
      <c r="D10373" s="40" t="n">
        <v>515</v>
      </c>
      <c r="E10373" s="41" t="n">
        <v>19245.783</v>
      </c>
    </row>
    <row r="10374">
      <c r="A10374" s="42">
        <f>_xlfn.XLOOKUP(61848,Trip[shape_id],Trip[shape_id],"Não encontrado")</f>
        <v/>
      </c>
      <c r="B10374" s="43" t="n">
        <v>-23.528885</v>
      </c>
      <c r="C10374" s="43" t="n">
        <v>-46.631327</v>
      </c>
      <c r="D10374" s="43" t="n">
        <v>516</v>
      </c>
      <c r="E10374" s="44" t="n">
        <v>19288.703</v>
      </c>
    </row>
    <row r="10375">
      <c r="A10375" s="39">
        <f>_xlfn.XLOOKUP(61848,Trip[shape_id],Trip[shape_id],"Não encontrado")</f>
        <v/>
      </c>
      <c r="B10375" s="40" t="n">
        <v>-23.528667</v>
      </c>
      <c r="C10375" s="40" t="n">
        <v>-46.631236</v>
      </c>
      <c r="D10375" s="40" t="n">
        <v>517</v>
      </c>
      <c r="E10375" s="41" t="n">
        <v>19314.574</v>
      </c>
    </row>
    <row r="10376">
      <c r="A10376" s="42">
        <f>_xlfn.XLOOKUP(61848,Trip[shape_id],Trip[shape_id],"Não encontrado")</f>
        <v/>
      </c>
      <c r="B10376" s="43" t="n">
        <v>-23.52801</v>
      </c>
      <c r="C10376" s="43" t="n">
        <v>-46.631119</v>
      </c>
      <c r="D10376" s="43" t="n">
        <v>518</v>
      </c>
      <c r="E10376" s="44" t="n">
        <v>19388.313</v>
      </c>
    </row>
    <row r="10377">
      <c r="A10377" s="39">
        <f>_xlfn.XLOOKUP(61848,Trip[shape_id],Trip[shape_id],"Não encontrado")</f>
        <v/>
      </c>
      <c r="B10377" s="40" t="n">
        <v>-23.527471</v>
      </c>
      <c r="C10377" s="40" t="n">
        <v>-46.631025</v>
      </c>
      <c r="D10377" s="40" t="n">
        <v>519</v>
      </c>
      <c r="E10377" s="41" t="n">
        <v>19448.775</v>
      </c>
    </row>
    <row r="10378">
      <c r="A10378" s="42">
        <f>_xlfn.XLOOKUP(61848,Trip[shape_id],Trip[shape_id],"Não encontrado")</f>
        <v/>
      </c>
      <c r="B10378" s="43" t="n">
        <v>-23.52654</v>
      </c>
      <c r="C10378" s="43" t="n">
        <v>-46.630903</v>
      </c>
      <c r="D10378" s="43" t="n">
        <v>520</v>
      </c>
      <c r="E10378" s="44" t="n">
        <v>19589.775</v>
      </c>
    </row>
    <row r="10379">
      <c r="A10379" s="39">
        <f>_xlfn.XLOOKUP(61848,Trip[shape_id],Trip[shape_id],"Não encontrado")</f>
        <v/>
      </c>
      <c r="B10379" s="40" t="n">
        <v>-23.526207</v>
      </c>
      <c r="C10379" s="40" t="n">
        <v>-46.63086</v>
      </c>
      <c r="D10379" s="40" t="n">
        <v>521</v>
      </c>
      <c r="E10379" s="41" t="n">
        <v>19589.775</v>
      </c>
    </row>
    <row r="10380">
      <c r="A10380" s="42">
        <f>_xlfn.XLOOKUP(61848,Trip[shape_id],Trip[shape_id],"Não encontrado")</f>
        <v/>
      </c>
      <c r="B10380" s="43" t="n">
        <v>-23.526085</v>
      </c>
      <c r="C10380" s="43" t="n">
        <v>-46.630827</v>
      </c>
      <c r="D10380" s="43" t="n">
        <v>522</v>
      </c>
      <c r="E10380" s="44" t="n">
        <v>19611.646</v>
      </c>
    </row>
    <row r="10381">
      <c r="A10381" s="39">
        <f>_xlfn.XLOOKUP(61848,Trip[shape_id],Trip[shape_id],"Não encontrado")</f>
        <v/>
      </c>
      <c r="B10381" s="40" t="n">
        <v>-23.526015</v>
      </c>
      <c r="C10381" s="40" t="n">
        <v>-46.63081</v>
      </c>
      <c r="D10381" s="40" t="n">
        <v>523</v>
      </c>
      <c r="E10381" s="41" t="n">
        <v>19655.879</v>
      </c>
    </row>
    <row r="10382">
      <c r="A10382" s="42">
        <f>_xlfn.XLOOKUP(61848,Trip[shape_id],Trip[shape_id],"Não encontrado")</f>
        <v/>
      </c>
      <c r="B10382" s="43" t="n">
        <v>-23.52562</v>
      </c>
      <c r="C10382" s="43" t="n">
        <v>-46.630746</v>
      </c>
      <c r="D10382" s="43" t="n">
        <v>524</v>
      </c>
      <c r="E10382" s="44" t="n">
        <v>19691.262</v>
      </c>
    </row>
    <row r="10383">
      <c r="A10383" s="39">
        <f>_xlfn.XLOOKUP(61848,Trip[shape_id],Trip[shape_id],"Não encontrado")</f>
        <v/>
      </c>
      <c r="B10383" s="40" t="n">
        <v>-23.525304</v>
      </c>
      <c r="C10383" s="40" t="n">
        <v>-46.630695</v>
      </c>
      <c r="D10383" s="40" t="n">
        <v>525</v>
      </c>
      <c r="E10383" s="41" t="n">
        <v>19691.262</v>
      </c>
    </row>
    <row r="10384">
      <c r="A10384" s="42">
        <f>_xlfn.XLOOKUP(61848,Trip[shape_id],Trip[shape_id],"Não encontrado")</f>
        <v/>
      </c>
      <c r="B10384" s="43" t="n">
        <v>-23.525088</v>
      </c>
      <c r="C10384" s="43" t="n">
        <v>-46.630681</v>
      </c>
      <c r="D10384" s="43" t="n">
        <v>526</v>
      </c>
      <c r="E10384" s="44" t="n">
        <v>19715.227</v>
      </c>
    </row>
    <row r="10385">
      <c r="A10385" s="39">
        <f>_xlfn.XLOOKUP(61848,Trip[shape_id],Trip[shape_id],"Não encontrado")</f>
        <v/>
      </c>
      <c r="B10385" s="40" t="n">
        <v>-23.52487</v>
      </c>
      <c r="C10385" s="40" t="n">
        <v>-46.630653</v>
      </c>
      <c r="D10385" s="40" t="n">
        <v>527</v>
      </c>
      <c r="E10385" s="41" t="n">
        <v>19739.539</v>
      </c>
    </row>
    <row r="10386">
      <c r="A10386" s="42">
        <f>_xlfn.XLOOKUP(61848,Trip[shape_id],Trip[shape_id],"Não encontrado")</f>
        <v/>
      </c>
      <c r="B10386" s="43" t="n">
        <v>-23.524821</v>
      </c>
      <c r="C10386" s="43" t="n">
        <v>-46.630651</v>
      </c>
      <c r="D10386" s="43" t="n">
        <v>528</v>
      </c>
      <c r="E10386" s="44" t="n">
        <v>19794.068</v>
      </c>
    </row>
    <row r="10387">
      <c r="A10387" s="39">
        <f>_xlfn.XLOOKUP(61848,Trip[shape_id],Trip[shape_id],"Não encontrado")</f>
        <v/>
      </c>
      <c r="B10387" s="40" t="n">
        <v>-23.524385</v>
      </c>
      <c r="C10387" s="40" t="n">
        <v>-46.630564</v>
      </c>
      <c r="D10387" s="40" t="n">
        <v>529</v>
      </c>
      <c r="E10387" s="41" t="n">
        <v>19794.068</v>
      </c>
    </row>
    <row r="10388">
      <c r="A10388" s="42">
        <f>_xlfn.XLOOKUP(61848,Trip[shape_id],Trip[shape_id],"Não encontrado")</f>
        <v/>
      </c>
      <c r="B10388" s="43" t="n">
        <v>-23.522908</v>
      </c>
      <c r="C10388" s="43" t="n">
        <v>-46.630293</v>
      </c>
      <c r="D10388" s="43" t="n">
        <v>530</v>
      </c>
      <c r="E10388" s="44" t="n">
        <v>19959.973</v>
      </c>
    </row>
    <row r="10389">
      <c r="A10389" s="39">
        <f>_xlfn.XLOOKUP(61848,Trip[shape_id],Trip[shape_id],"Não encontrado")</f>
        <v/>
      </c>
      <c r="B10389" s="40" t="n">
        <v>-23.522551</v>
      </c>
      <c r="C10389" s="40" t="n">
        <v>-46.630264</v>
      </c>
      <c r="D10389" s="40" t="n">
        <v>531</v>
      </c>
      <c r="E10389" s="41" t="n">
        <v>19999.621</v>
      </c>
    </row>
    <row r="10390">
      <c r="A10390" s="42">
        <f>_xlfn.XLOOKUP(61848,Trip[shape_id],Trip[shape_id],"Não encontrado")</f>
        <v/>
      </c>
      <c r="B10390" s="43" t="n">
        <v>-23.521899</v>
      </c>
      <c r="C10390" s="43" t="n">
        <v>-46.63038</v>
      </c>
      <c r="D10390" s="43" t="n">
        <v>532</v>
      </c>
      <c r="E10390" s="44" t="n">
        <v>20072.797</v>
      </c>
    </row>
    <row r="10391">
      <c r="A10391" s="39">
        <f>_xlfn.XLOOKUP(61848,Trip[shape_id],Trip[shape_id],"Não encontrado")</f>
        <v/>
      </c>
      <c r="B10391" s="40" t="n">
        <v>-23.521532</v>
      </c>
      <c r="C10391" s="40" t="n">
        <v>-46.630332</v>
      </c>
      <c r="D10391" s="40" t="n">
        <v>533</v>
      </c>
      <c r="E10391" s="41" t="n">
        <v>20205.664</v>
      </c>
    </row>
    <row r="10392">
      <c r="A10392" s="42">
        <f>_xlfn.XLOOKUP(61848,Trip[shape_id],Trip[shape_id],"Não encontrado")</f>
        <v/>
      </c>
      <c r="B10392" s="43" t="n">
        <v>-23.52071</v>
      </c>
      <c r="C10392" s="43" t="n">
        <v>-46.630207</v>
      </c>
      <c r="D10392" s="43" t="n">
        <v>534</v>
      </c>
      <c r="E10392" s="44" t="n">
        <v>20217.432</v>
      </c>
    </row>
    <row r="10393">
      <c r="A10393" s="39">
        <f>_xlfn.XLOOKUP(61848,Trip[shape_id],Trip[shape_id],"Não encontrado")</f>
        <v/>
      </c>
      <c r="B10393" s="40" t="n">
        <v>-23.520604</v>
      </c>
      <c r="C10393" s="40" t="n">
        <v>-46.630199</v>
      </c>
      <c r="D10393" s="40" t="n">
        <v>535</v>
      </c>
      <c r="E10393" s="41" t="n">
        <v>20246.969</v>
      </c>
    </row>
    <row r="10394">
      <c r="A10394" s="42">
        <f>_xlfn.XLOOKUP(61848,Trip[shape_id],Trip[shape_id],"Não encontrado")</f>
        <v/>
      </c>
      <c r="B10394" s="43" t="n">
        <v>-23.520338</v>
      </c>
      <c r="C10394" s="43" t="n">
        <v>-46.630178</v>
      </c>
      <c r="D10394" s="43" t="n">
        <v>536</v>
      </c>
      <c r="E10394" s="44" t="n">
        <v>20284.105</v>
      </c>
    </row>
    <row r="10395">
      <c r="A10395" s="39">
        <f>_xlfn.XLOOKUP(61848,Trip[shape_id],Trip[shape_id],"Não encontrado")</f>
        <v/>
      </c>
      <c r="B10395" s="40" t="n">
        <v>-23.520003</v>
      </c>
      <c r="C10395" s="40" t="n">
        <v>-46.630162</v>
      </c>
      <c r="D10395" s="40" t="n">
        <v>537</v>
      </c>
      <c r="E10395" s="41" t="n">
        <v>20284.105</v>
      </c>
    </row>
    <row r="10396">
      <c r="A10396" s="42">
        <f>_xlfn.XLOOKUP(61848,Trip[shape_id],Trip[shape_id],"Não encontrado")</f>
        <v/>
      </c>
      <c r="B10396" s="43" t="n">
        <v>-23.519887</v>
      </c>
      <c r="C10396" s="43" t="n">
        <v>-46.630153</v>
      </c>
      <c r="D10396" s="43" t="n">
        <v>538</v>
      </c>
      <c r="E10396" s="44" t="n">
        <v>20325.361</v>
      </c>
    </row>
    <row r="10397">
      <c r="A10397" s="39">
        <f>_xlfn.XLOOKUP(61848,Trip[shape_id],Trip[shape_id],"Não encontrado")</f>
        <v/>
      </c>
      <c r="B10397" s="40" t="n">
        <v>-23.519631</v>
      </c>
      <c r="C10397" s="40" t="n">
        <v>-46.630142</v>
      </c>
      <c r="D10397" s="40" t="n">
        <v>539</v>
      </c>
      <c r="E10397" s="41" t="n">
        <v>20339.168</v>
      </c>
    </row>
    <row r="10398">
      <c r="A10398" s="42">
        <f>_xlfn.XLOOKUP(61848,Trip[shape_id],Trip[shape_id],"Não encontrado")</f>
        <v/>
      </c>
      <c r="B10398" s="43" t="n">
        <v>-23.519507</v>
      </c>
      <c r="C10398" s="43" t="n">
        <v>-46.630128</v>
      </c>
      <c r="D10398" s="43" t="n">
        <v>540</v>
      </c>
      <c r="E10398" s="44" t="n">
        <v>20364.959</v>
      </c>
    </row>
    <row r="10399">
      <c r="A10399" s="39">
        <f>_xlfn.XLOOKUP(61848,Trip[shape_id],Trip[shape_id],"Não encontrado")</f>
        <v/>
      </c>
      <c r="B10399" s="40" t="n">
        <v>-23.519276</v>
      </c>
      <c r="C10399" s="40" t="n">
        <v>-46.630096</v>
      </c>
      <c r="D10399" s="40" t="n">
        <v>541</v>
      </c>
      <c r="E10399" s="41" t="n">
        <v>20430.412</v>
      </c>
    </row>
    <row r="10400">
      <c r="A10400" s="42">
        <f>_xlfn.XLOOKUP(61848,Trip[shape_id],Trip[shape_id],"Não encontrado")</f>
        <v/>
      </c>
      <c r="B10400" s="43" t="n">
        <v>-23.518691</v>
      </c>
      <c r="C10400" s="43" t="n">
        <v>-46.630005</v>
      </c>
      <c r="D10400" s="43" t="n">
        <v>542</v>
      </c>
      <c r="E10400" s="44" t="n">
        <v>20460.615</v>
      </c>
    </row>
    <row r="10401">
      <c r="A10401" s="39">
        <f>_xlfn.XLOOKUP(61848,Trip[shape_id],Trip[shape_id],"Não encontrado")</f>
        <v/>
      </c>
      <c r="B10401" s="40" t="n">
        <v>-23.51842</v>
      </c>
      <c r="C10401" s="40" t="n">
        <v>-46.629972</v>
      </c>
      <c r="D10401" s="40" t="n">
        <v>543</v>
      </c>
      <c r="E10401" s="41" t="n">
        <v>20469.385</v>
      </c>
    </row>
    <row r="10402">
      <c r="A10402" s="42">
        <f>_xlfn.XLOOKUP(61848,Trip[shape_id],Trip[shape_id],"Não encontrado")</f>
        <v/>
      </c>
      <c r="B10402" s="43" t="n">
        <v>-23.518349</v>
      </c>
      <c r="C10402" s="43" t="n">
        <v>-46.629934</v>
      </c>
      <c r="D10402" s="43" t="n">
        <v>544</v>
      </c>
      <c r="E10402" s="44" t="n">
        <v>20486.412</v>
      </c>
    </row>
    <row r="10403">
      <c r="A10403" s="39">
        <f>_xlfn.XLOOKUP(61848,Trip[shape_id],Trip[shape_id],"Não encontrado")</f>
        <v/>
      </c>
      <c r="B10403" s="40" t="n">
        <v>-23.518197</v>
      </c>
      <c r="C10403" s="40" t="n">
        <v>-46.629909</v>
      </c>
      <c r="D10403" s="40" t="n">
        <v>545</v>
      </c>
      <c r="E10403" s="41" t="n">
        <v>20507.691</v>
      </c>
    </row>
    <row r="10404">
      <c r="A10404" s="42">
        <f>_xlfn.XLOOKUP(61848,Trip[shape_id],Trip[shape_id],"Não encontrado")</f>
        <v/>
      </c>
      <c r="B10404" s="43" t="n">
        <v>-23.518007</v>
      </c>
      <c r="C10404" s="43" t="n">
        <v>-46.629878</v>
      </c>
      <c r="D10404" s="43" t="n">
        <v>546</v>
      </c>
      <c r="E10404" s="44" t="n">
        <v>20533.225</v>
      </c>
    </row>
    <row r="10405">
      <c r="A10405" s="39">
        <f>_xlfn.XLOOKUP(61848,Trip[shape_id],Trip[shape_id],"Não encontrado")</f>
        <v/>
      </c>
      <c r="B10405" s="40" t="n">
        <v>-23.517779</v>
      </c>
      <c r="C10405" s="40" t="n">
        <v>-46.629841</v>
      </c>
      <c r="D10405" s="40" t="n">
        <v>547</v>
      </c>
      <c r="E10405" s="41" t="n">
        <v>20533.225</v>
      </c>
    </row>
    <row r="10406">
      <c r="A10406" s="42">
        <f>_xlfn.XLOOKUP(61848,Trip[shape_id],Trip[shape_id],"Não encontrado")</f>
        <v/>
      </c>
      <c r="B10406" s="43" t="n">
        <v>-23.516803</v>
      </c>
      <c r="C10406" s="43" t="n">
        <v>-46.629672</v>
      </c>
      <c r="D10406" s="43" t="n">
        <v>548</v>
      </c>
      <c r="E10406" s="44" t="n">
        <v>20725.025</v>
      </c>
    </row>
    <row r="10407">
      <c r="A10407" s="39">
        <f>_xlfn.XLOOKUP(61848,Trip[shape_id],Trip[shape_id],"Não encontrado")</f>
        <v/>
      </c>
      <c r="B10407" s="40" t="n">
        <v>-23.516066</v>
      </c>
      <c r="C10407" s="40" t="n">
        <v>-46.629566</v>
      </c>
      <c r="D10407" s="40" t="n">
        <v>549</v>
      </c>
      <c r="E10407" s="41" t="n">
        <v>20764.975</v>
      </c>
    </row>
    <row r="10408">
      <c r="A10408" s="42">
        <f>_xlfn.XLOOKUP(61848,Trip[shape_id],Trip[shape_id],"Não encontrado")</f>
        <v/>
      </c>
      <c r="B10408" s="43" t="n">
        <v>-23.51571</v>
      </c>
      <c r="C10408" s="43" t="n">
        <v>-46.629503</v>
      </c>
      <c r="D10408" s="43" t="n">
        <v>550</v>
      </c>
      <c r="E10408" s="44" t="n">
        <v>20773.605</v>
      </c>
    </row>
    <row r="10409">
      <c r="A10409" s="39">
        <f>_xlfn.XLOOKUP(61848,Trip[shape_id],Trip[shape_id],"Não encontrado")</f>
        <v/>
      </c>
      <c r="B10409" s="40" t="n">
        <v>-23.515633</v>
      </c>
      <c r="C10409" s="40" t="n">
        <v>-46.62949</v>
      </c>
      <c r="D10409" s="40" t="n">
        <v>551</v>
      </c>
      <c r="E10409" s="41" t="n">
        <v>20779.473</v>
      </c>
    </row>
    <row r="10410">
      <c r="A10410" s="42">
        <f>_xlfn.XLOOKUP(61848,Trip[shape_id],Trip[shape_id],"Não encontrado")</f>
        <v/>
      </c>
      <c r="B10410" s="43" t="n">
        <v>-23.515583</v>
      </c>
      <c r="C10410" s="43" t="n">
        <v>-46.629471</v>
      </c>
      <c r="D10410" s="43" t="n">
        <v>552</v>
      </c>
      <c r="E10410" s="44" t="n">
        <v>20786.582</v>
      </c>
    </row>
    <row r="10411">
      <c r="A10411" s="39">
        <f>_xlfn.XLOOKUP(61848,Trip[shape_id],Trip[shape_id],"Não encontrado")</f>
        <v/>
      </c>
      <c r="B10411" s="40" t="n">
        <v>-23.515526</v>
      </c>
      <c r="C10411" s="40" t="n">
        <v>-46.629439</v>
      </c>
      <c r="D10411" s="40" t="n">
        <v>553</v>
      </c>
      <c r="E10411" s="41" t="n">
        <v>20796.578</v>
      </c>
    </row>
    <row r="10412">
      <c r="A10412" s="42">
        <f>_xlfn.XLOOKUP(61848,Trip[shape_id],Trip[shape_id],"Não encontrado")</f>
        <v/>
      </c>
      <c r="B10412" s="43" t="n">
        <v>-23.515462</v>
      </c>
      <c r="C10412" s="43" t="n">
        <v>-46.62937</v>
      </c>
      <c r="D10412" s="43" t="n">
        <v>554</v>
      </c>
      <c r="E10412" s="44" t="n">
        <v>20802.6</v>
      </c>
    </row>
    <row r="10413">
      <c r="A10413" s="39">
        <f>_xlfn.XLOOKUP(61848,Trip[shape_id],Trip[shape_id],"Não encontrado")</f>
        <v/>
      </c>
      <c r="B10413" s="40" t="n">
        <v>-23.515428</v>
      </c>
      <c r="C10413" s="40" t="n">
        <v>-46.629324</v>
      </c>
      <c r="D10413" s="40" t="n">
        <v>555</v>
      </c>
      <c r="E10413" s="41" t="n">
        <v>20807.377</v>
      </c>
    </row>
    <row r="10414">
      <c r="A10414" s="42">
        <f>_xlfn.XLOOKUP(61848,Trip[shape_id],Trip[shape_id],"Não encontrado")</f>
        <v/>
      </c>
      <c r="B10414" s="43" t="n">
        <v>-23.515409</v>
      </c>
      <c r="C10414" s="43" t="n">
        <v>-46.629282</v>
      </c>
      <c r="D10414" s="43" t="n">
        <v>556</v>
      </c>
      <c r="E10414" s="44" t="n">
        <v>20807.377</v>
      </c>
    </row>
    <row r="10415">
      <c r="A10415" s="39">
        <f>_xlfn.XLOOKUP(61848,Trip[shape_id],Trip[shape_id],"Não encontrado")</f>
        <v/>
      </c>
      <c r="B10415" s="40" t="n">
        <v>-23.515401</v>
      </c>
      <c r="C10415" s="40" t="n">
        <v>-46.629239</v>
      </c>
      <c r="D10415" s="40" t="n">
        <v>557</v>
      </c>
      <c r="E10415" s="41" t="n">
        <v>20811.857</v>
      </c>
    </row>
    <row r="10416">
      <c r="A10416" s="42">
        <f>_xlfn.XLOOKUP(61848,Trip[shape_id],Trip[shape_id],"Não encontrado")</f>
        <v/>
      </c>
      <c r="B10416" s="43" t="n">
        <v>-23.515388</v>
      </c>
      <c r="C10416" s="43" t="n">
        <v>-46.629181</v>
      </c>
      <c r="D10416" s="43" t="n">
        <v>558</v>
      </c>
      <c r="E10416" s="44" t="n">
        <v>20817.953</v>
      </c>
    </row>
    <row r="10417">
      <c r="A10417" s="39">
        <f>_xlfn.XLOOKUP(61848,Trip[shape_id],Trip[shape_id],"Não encontrado")</f>
        <v/>
      </c>
      <c r="B10417" s="40" t="n">
        <v>-23.515365</v>
      </c>
      <c r="C10417" s="40" t="n">
        <v>-46.629094</v>
      </c>
      <c r="D10417" s="40" t="n">
        <v>559</v>
      </c>
      <c r="E10417" s="41" t="n">
        <v>20827.195</v>
      </c>
    </row>
    <row r="10418">
      <c r="A10418" s="42">
        <f>_xlfn.XLOOKUP(61848,Trip[shape_id],Trip[shape_id],"Não encontrado")</f>
        <v/>
      </c>
      <c r="B10418" s="43" t="n">
        <v>-23.515308</v>
      </c>
      <c r="C10418" s="43" t="n">
        <v>-46.62895</v>
      </c>
      <c r="D10418" s="43" t="n">
        <v>560</v>
      </c>
      <c r="E10418" s="44" t="n">
        <v>20843.199</v>
      </c>
    </row>
    <row r="10419">
      <c r="A10419" s="39">
        <f>_xlfn.XLOOKUP(61848,Trip[shape_id],Trip[shape_id],"Não encontrado")</f>
        <v/>
      </c>
      <c r="B10419" s="40" t="n">
        <v>-23.51526</v>
      </c>
      <c r="C10419" s="40" t="n">
        <v>-46.628864</v>
      </c>
      <c r="D10419" s="40" t="n">
        <v>561</v>
      </c>
      <c r="E10419" s="41" t="n">
        <v>20853.465</v>
      </c>
    </row>
    <row r="10420">
      <c r="A10420" s="42">
        <f>_xlfn.XLOOKUP(61848,Trip[shape_id],Trip[shape_id],"Não encontrado")</f>
        <v/>
      </c>
      <c r="B10420" s="43" t="n">
        <v>-23.51521</v>
      </c>
      <c r="C10420" s="43" t="n">
        <v>-46.62879</v>
      </c>
      <c r="D10420" s="43" t="n">
        <v>562</v>
      </c>
      <c r="E10420" s="44" t="n">
        <v>20862.834</v>
      </c>
    </row>
    <row r="10421">
      <c r="A10421" s="39">
        <f>_xlfn.XLOOKUP(61848,Trip[shape_id],Trip[shape_id],"Não encontrado")</f>
        <v/>
      </c>
      <c r="B10421" s="40" t="n">
        <v>-23.515169</v>
      </c>
      <c r="C10421" s="40" t="n">
        <v>-46.628736</v>
      </c>
      <c r="D10421" s="40" t="n">
        <v>563</v>
      </c>
      <c r="E10421" s="41" t="n">
        <v>20869.977</v>
      </c>
    </row>
    <row r="10422">
      <c r="A10422" s="42">
        <f>_xlfn.XLOOKUP(61848,Trip[shape_id],Trip[shape_id],"Não encontrado")</f>
        <v/>
      </c>
      <c r="B10422" s="43" t="n">
        <v>-23.5151</v>
      </c>
      <c r="C10422" s="43" t="n">
        <v>-46.628659</v>
      </c>
      <c r="D10422" s="43" t="n">
        <v>564</v>
      </c>
      <c r="E10422" s="44" t="n">
        <v>20880.941</v>
      </c>
    </row>
    <row r="10423">
      <c r="A10423" s="39">
        <f>_xlfn.XLOOKUP(61848,Trip[shape_id],Trip[shape_id],"Não encontrado")</f>
        <v/>
      </c>
      <c r="B10423" s="40" t="n">
        <v>-23.515025</v>
      </c>
      <c r="C10423" s="40" t="n">
        <v>-46.628595</v>
      </c>
      <c r="D10423" s="40" t="n">
        <v>565</v>
      </c>
      <c r="E10423" s="41" t="n">
        <v>20891.512</v>
      </c>
    </row>
    <row r="10424">
      <c r="A10424" s="42">
        <f>_xlfn.XLOOKUP(61848,Trip[shape_id],Trip[shape_id],"Não encontrado")</f>
        <v/>
      </c>
      <c r="B10424" s="43" t="n">
        <v>-23.514927</v>
      </c>
      <c r="C10424" s="43" t="n">
        <v>-46.628525</v>
      </c>
      <c r="D10424" s="43" t="n">
        <v>566</v>
      </c>
      <c r="E10424" s="44" t="n">
        <v>20904.508</v>
      </c>
    </row>
    <row r="10425">
      <c r="A10425" s="39">
        <f>_xlfn.XLOOKUP(61848,Trip[shape_id],Trip[shape_id],"Não encontrado")</f>
        <v/>
      </c>
      <c r="B10425" s="40" t="n">
        <v>-23.51484</v>
      </c>
      <c r="C10425" s="40" t="n">
        <v>-46.628482</v>
      </c>
      <c r="D10425" s="40" t="n">
        <v>567</v>
      </c>
      <c r="E10425" s="41" t="n">
        <v>20915.098</v>
      </c>
    </row>
    <row r="10426">
      <c r="A10426" s="42">
        <f>_xlfn.XLOOKUP(61848,Trip[shape_id],Trip[shape_id],"Não encontrado")</f>
        <v/>
      </c>
      <c r="B10426" s="43" t="n">
        <v>-23.514748</v>
      </c>
      <c r="C10426" s="43" t="n">
        <v>-46.628442</v>
      </c>
      <c r="D10426" s="43" t="n">
        <v>568</v>
      </c>
      <c r="E10426" s="44" t="n">
        <v>20926.076</v>
      </c>
    </row>
    <row r="10427">
      <c r="A10427" s="39">
        <f>_xlfn.XLOOKUP(61848,Trip[shape_id],Trip[shape_id],"Não encontrado")</f>
        <v/>
      </c>
      <c r="B10427" s="40" t="n">
        <v>-23.514647</v>
      </c>
      <c r="C10427" s="40" t="n">
        <v>-46.628411</v>
      </c>
      <c r="D10427" s="40" t="n">
        <v>569</v>
      </c>
      <c r="E10427" s="41" t="n">
        <v>20937.701</v>
      </c>
    </row>
    <row r="10428">
      <c r="A10428" s="42">
        <f>_xlfn.XLOOKUP(61848,Trip[shape_id],Trip[shape_id],"Não encontrado")</f>
        <v/>
      </c>
      <c r="B10428" s="43" t="n">
        <v>-23.514495</v>
      </c>
      <c r="C10428" s="43" t="n">
        <v>-46.628398</v>
      </c>
      <c r="D10428" s="43" t="n">
        <v>570</v>
      </c>
      <c r="E10428" s="44" t="n">
        <v>20954.588</v>
      </c>
    </row>
    <row r="10429">
      <c r="A10429" s="39">
        <f>_xlfn.XLOOKUP(61848,Trip[shape_id],Trip[shape_id],"Não encontrado")</f>
        <v/>
      </c>
      <c r="B10429" s="40" t="n">
        <v>-23.514298</v>
      </c>
      <c r="C10429" s="40" t="n">
        <v>-46.628285</v>
      </c>
      <c r="D10429" s="40" t="n">
        <v>571</v>
      </c>
      <c r="E10429" s="41" t="n">
        <v>20993.846</v>
      </c>
    </row>
    <row r="10430">
      <c r="A10430" s="42">
        <f>_xlfn.XLOOKUP(61848,Trip[shape_id],Trip[shape_id],"Não encontrado")</f>
        <v/>
      </c>
      <c r="B10430" s="43" t="n">
        <v>-23.514189</v>
      </c>
      <c r="C10430" s="43" t="n">
        <v>-46.628205</v>
      </c>
      <c r="D10430" s="43" t="n">
        <v>572</v>
      </c>
      <c r="E10430" s="44" t="n">
        <v>21021.232</v>
      </c>
    </row>
    <row r="10431">
      <c r="A10431" s="39">
        <f>_xlfn.XLOOKUP(61848,Trip[shape_id],Trip[shape_id],"Não encontrado")</f>
        <v/>
      </c>
      <c r="B10431" s="40" t="n">
        <v>-23.513997</v>
      </c>
      <c r="C10431" s="40" t="n">
        <v>-46.628036</v>
      </c>
      <c r="D10431" s="40" t="n">
        <v>573</v>
      </c>
      <c r="E10431" s="41" t="n">
        <v>21021.232</v>
      </c>
    </row>
    <row r="10432">
      <c r="A10432" s="42">
        <f>_xlfn.XLOOKUP(61848,Trip[shape_id],Trip[shape_id],"Não encontrado")</f>
        <v/>
      </c>
      <c r="B10432" s="43" t="n">
        <v>-23.513714</v>
      </c>
      <c r="C10432" s="43" t="n">
        <v>-46.627784</v>
      </c>
      <c r="D10432" s="43" t="n">
        <v>574</v>
      </c>
      <c r="E10432" s="44" t="n">
        <v>21081.836</v>
      </c>
    </row>
    <row r="10433">
      <c r="A10433" s="39">
        <f>_xlfn.XLOOKUP(61848,Trip[shape_id],Trip[shape_id],"Não encontrado")</f>
        <v/>
      </c>
      <c r="B10433" s="40" t="n">
        <v>-23.513589</v>
      </c>
      <c r="C10433" s="40" t="n">
        <v>-46.627642</v>
      </c>
      <c r="D10433" s="40" t="n">
        <v>575</v>
      </c>
      <c r="E10433" s="41" t="n">
        <v>21099.332</v>
      </c>
    </row>
    <row r="10434">
      <c r="A10434" s="42">
        <f>_xlfn.XLOOKUP(61848,Trip[shape_id],Trip[shape_id],"Não encontrado")</f>
        <v/>
      </c>
      <c r="B10434" s="43" t="n">
        <v>-23.51348</v>
      </c>
      <c r="C10434" s="43" t="n">
        <v>-46.627518</v>
      </c>
      <c r="D10434" s="43" t="n">
        <v>576</v>
      </c>
      <c r="E10434" s="44" t="n">
        <v>21121.129</v>
      </c>
    </row>
    <row r="10435">
      <c r="A10435" s="39">
        <f>_xlfn.XLOOKUP(61848,Trip[shape_id],Trip[shape_id],"Não encontrado")</f>
        <v/>
      </c>
      <c r="B10435" s="40" t="n">
        <v>-23.513361</v>
      </c>
      <c r="C10435" s="40" t="n">
        <v>-46.627348</v>
      </c>
      <c r="D10435" s="40" t="n">
        <v>577</v>
      </c>
      <c r="E10435" s="41" t="n">
        <v>21138.16</v>
      </c>
    </row>
    <row r="10436">
      <c r="A10436" s="42">
        <f>_xlfn.XLOOKUP(61848,Trip[shape_id],Trip[shape_id],"Não encontrado")</f>
        <v/>
      </c>
      <c r="B10436" s="43" t="n">
        <v>-23.513272</v>
      </c>
      <c r="C10436" s="43" t="n">
        <v>-46.627212</v>
      </c>
      <c r="D10436" s="43" t="n">
        <v>578</v>
      </c>
      <c r="E10436" s="44" t="n">
        <v>21216.582</v>
      </c>
    </row>
    <row r="10437">
      <c r="A10437" s="39">
        <f>_xlfn.XLOOKUP(61848,Trip[shape_id],Trip[shape_id],"Não encontrado")</f>
        <v/>
      </c>
      <c r="B10437" s="40" t="n">
        <v>-23.512969</v>
      </c>
      <c r="C10437" s="40" t="n">
        <v>-46.626518</v>
      </c>
      <c r="D10437" s="40" t="n">
        <v>579</v>
      </c>
      <c r="E10437" s="41" t="n">
        <v>21216.582</v>
      </c>
    </row>
    <row r="10438">
      <c r="A10438" s="42">
        <f>_xlfn.XLOOKUP(61848,Trip[shape_id],Trip[shape_id],"Não encontrado")</f>
        <v/>
      </c>
      <c r="B10438" s="43" t="n">
        <v>-23.512859</v>
      </c>
      <c r="C10438" s="43" t="n">
        <v>-46.626249</v>
      </c>
      <c r="D10438" s="43" t="n">
        <v>580</v>
      </c>
      <c r="E10438" s="44" t="n">
        <v>21246.635</v>
      </c>
    </row>
    <row r="10439">
      <c r="A10439" s="39">
        <f>_xlfn.XLOOKUP(61848,Trip[shape_id],Trip[shape_id],"Não encontrado")</f>
        <v/>
      </c>
      <c r="B10439" s="40" t="n">
        <v>-23.512788</v>
      </c>
      <c r="C10439" s="40" t="n">
        <v>-46.626236</v>
      </c>
      <c r="D10439" s="40" t="n">
        <v>581</v>
      </c>
      <c r="E10439" s="41" t="n">
        <v>21254.609</v>
      </c>
    </row>
    <row r="10440">
      <c r="A10440" s="42">
        <f>_xlfn.XLOOKUP(61848,Trip[shape_id],Trip[shape_id],"Não encontrado")</f>
        <v/>
      </c>
      <c r="B10440" s="43" t="n">
        <v>-23.512515</v>
      </c>
      <c r="C10440" s="43" t="n">
        <v>-46.626194</v>
      </c>
      <c r="D10440" s="43" t="n">
        <v>582</v>
      </c>
      <c r="E10440" s="44" t="n">
        <v>21295.045</v>
      </c>
    </row>
    <row r="10441">
      <c r="A10441" s="39">
        <f>_xlfn.XLOOKUP(61848,Trip[shape_id],Trip[shape_id],"Não encontrado")</f>
        <v/>
      </c>
      <c r="B10441" s="40" t="n">
        <v>-23.512427</v>
      </c>
      <c r="C10441" s="40" t="n">
        <v>-46.626177</v>
      </c>
      <c r="D10441" s="40" t="n">
        <v>583</v>
      </c>
      <c r="E10441" s="41" t="n">
        <v>21295.045</v>
      </c>
    </row>
    <row r="10442">
      <c r="A10442" s="42">
        <f>_xlfn.XLOOKUP(61848,Trip[shape_id],Trip[shape_id],"Não encontrado")</f>
        <v/>
      </c>
      <c r="B10442" s="43" t="n">
        <v>-23.51227</v>
      </c>
      <c r="C10442" s="43" t="n">
        <v>-46.626163</v>
      </c>
      <c r="D10442" s="43" t="n">
        <v>584</v>
      </c>
      <c r="E10442" s="44" t="n">
        <v>21333.326</v>
      </c>
    </row>
    <row r="10443">
      <c r="A10443" s="39">
        <f>_xlfn.XLOOKUP(61848,Trip[shape_id],Trip[shape_id],"Não encontrado")</f>
        <v/>
      </c>
      <c r="B10443" s="40" t="n">
        <v>-23.512082</v>
      </c>
      <c r="C10443" s="40" t="n">
        <v>-46.626156</v>
      </c>
      <c r="D10443" s="40" t="n">
        <v>585</v>
      </c>
      <c r="E10443" s="41" t="n">
        <v>21379.842</v>
      </c>
    </row>
    <row r="10444">
      <c r="A10444" s="42">
        <f>_xlfn.XLOOKUP(61848,Trip[shape_id],Trip[shape_id],"Não encontrado")</f>
        <v/>
      </c>
      <c r="B10444" s="43" t="n">
        <v>-23.511662</v>
      </c>
      <c r="C10444" s="43" t="n">
        <v>-46.626156</v>
      </c>
      <c r="D10444" s="43" t="n">
        <v>586</v>
      </c>
      <c r="E10444" s="44" t="n">
        <v>21385.719</v>
      </c>
    </row>
    <row r="10445">
      <c r="A10445" s="39">
        <f>_xlfn.XLOOKUP(61848,Trip[shape_id],Trip[shape_id],"Não encontrado")</f>
        <v/>
      </c>
      <c r="B10445" s="40" t="n">
        <v>-23.511609</v>
      </c>
      <c r="C10445" s="40" t="n">
        <v>-46.626159</v>
      </c>
      <c r="D10445" s="40" t="n">
        <v>587</v>
      </c>
      <c r="E10445" s="41" t="n">
        <v>21385.719</v>
      </c>
    </row>
    <row r="10446">
      <c r="A10446" s="42">
        <f>_xlfn.XLOOKUP(61848,Trip[shape_id],Trip[shape_id],"Não encontrado")</f>
        <v/>
      </c>
      <c r="B10446" s="43" t="n">
        <v>-23.511467</v>
      </c>
      <c r="C10446" s="43" t="n">
        <v>-46.626168</v>
      </c>
      <c r="D10446" s="43" t="n">
        <v>588</v>
      </c>
      <c r="E10446" s="44" t="n">
        <v>21401.473</v>
      </c>
    </row>
    <row r="10447">
      <c r="A10447" s="39">
        <f>_xlfn.XLOOKUP(61848,Trip[shape_id],Trip[shape_id],"Não encontrado")</f>
        <v/>
      </c>
      <c r="B10447" s="40" t="n">
        <v>-23.511107</v>
      </c>
      <c r="C10447" s="40" t="n">
        <v>-46.626183</v>
      </c>
      <c r="D10447" s="40" t="n">
        <v>589</v>
      </c>
      <c r="E10447" s="41" t="n">
        <v>21441.373</v>
      </c>
    </row>
    <row r="10448">
      <c r="A10448" s="42">
        <f>_xlfn.XLOOKUP(61848,Trip[shape_id],Trip[shape_id],"Não encontrado")</f>
        <v/>
      </c>
      <c r="B10448" s="43" t="n">
        <v>-23.510706</v>
      </c>
      <c r="C10448" s="43" t="n">
        <v>-46.626193</v>
      </c>
      <c r="D10448" s="43" t="n">
        <v>590</v>
      </c>
      <c r="E10448" s="44" t="n">
        <v>21485.797</v>
      </c>
    </row>
    <row r="10449">
      <c r="A10449" s="39">
        <f>_xlfn.XLOOKUP(61848,Trip[shape_id],Trip[shape_id],"Não encontrado")</f>
        <v/>
      </c>
      <c r="B10449" s="40" t="n">
        <v>-23.510592</v>
      </c>
      <c r="C10449" s="40" t="n">
        <v>-46.626222</v>
      </c>
      <c r="D10449" s="40" t="n">
        <v>591</v>
      </c>
      <c r="E10449" s="41" t="n">
        <v>21498.766</v>
      </c>
    </row>
    <row r="10450">
      <c r="A10450" s="42">
        <f>_xlfn.XLOOKUP(61848,Trip[shape_id],Trip[shape_id],"Não encontrado")</f>
        <v/>
      </c>
      <c r="B10450" s="43" t="n">
        <v>-23.509975</v>
      </c>
      <c r="C10450" s="43" t="n">
        <v>-46.626219</v>
      </c>
      <c r="D10450" s="43" t="n">
        <v>592</v>
      </c>
      <c r="E10450" s="44" t="n">
        <v>21567.1</v>
      </c>
    </row>
    <row r="10451">
      <c r="A10451" s="39">
        <f>_xlfn.XLOOKUP(61848,Trip[shape_id],Trip[shape_id],"Não encontrado")</f>
        <v/>
      </c>
      <c r="B10451" s="40" t="n">
        <v>-23.509368</v>
      </c>
      <c r="C10451" s="40" t="n">
        <v>-46.626204</v>
      </c>
      <c r="D10451" s="40" t="n">
        <v>593</v>
      </c>
      <c r="E10451" s="41" t="n">
        <v>21640.768</v>
      </c>
    </row>
    <row r="10452">
      <c r="A10452" s="42">
        <f>_xlfn.XLOOKUP(61848,Trip[shape_id],Trip[shape_id],"Não encontrado")</f>
        <v/>
      </c>
      <c r="B10452" s="43" t="n">
        <v>-23.50931</v>
      </c>
      <c r="C10452" s="43" t="n">
        <v>-46.626204</v>
      </c>
      <c r="D10452" s="43" t="n">
        <v>594</v>
      </c>
      <c r="E10452" s="44" t="n">
        <v>21640.768</v>
      </c>
    </row>
    <row r="10453">
      <c r="A10453" s="39">
        <f>_xlfn.XLOOKUP(61848,Trip[shape_id],Trip[shape_id],"Não encontrado")</f>
        <v/>
      </c>
      <c r="B10453" s="40" t="n">
        <v>-23.508833</v>
      </c>
      <c r="C10453" s="40" t="n">
        <v>-46.626195</v>
      </c>
      <c r="D10453" s="40" t="n">
        <v>595</v>
      </c>
      <c r="E10453" s="41" t="n">
        <v>21742.334</v>
      </c>
    </row>
    <row r="10454">
      <c r="A10454" s="42">
        <f>_xlfn.XLOOKUP(61848,Trip[shape_id],Trip[shape_id],"Não encontrado")</f>
        <v/>
      </c>
      <c r="B10454" s="43" t="n">
        <v>-23.508393</v>
      </c>
      <c r="C10454" s="43" t="n">
        <v>-46.626193</v>
      </c>
      <c r="D10454" s="43" t="n">
        <v>596</v>
      </c>
      <c r="E10454" s="44" t="n">
        <v>21765.707</v>
      </c>
    </row>
    <row r="10455">
      <c r="A10455" s="39">
        <f>_xlfn.XLOOKUP(61848,Trip[shape_id],Trip[shape_id],"Não encontrado")</f>
        <v/>
      </c>
      <c r="B10455" s="40" t="n">
        <v>-23.508182</v>
      </c>
      <c r="C10455" s="40" t="n">
        <v>-46.626198</v>
      </c>
      <c r="D10455" s="40" t="n">
        <v>597</v>
      </c>
      <c r="E10455" s="41" t="n">
        <v>21765.707</v>
      </c>
    </row>
    <row r="10456">
      <c r="A10456" s="42">
        <f>_xlfn.XLOOKUP(61848,Trip[shape_id],Trip[shape_id],"Não encontrado")</f>
        <v/>
      </c>
      <c r="B10456" s="43" t="n">
        <v>-23.508086</v>
      </c>
      <c r="C10456" s="43" t="n">
        <v>-46.626204</v>
      </c>
      <c r="D10456" s="43" t="n">
        <v>598</v>
      </c>
      <c r="E10456" s="44" t="n">
        <v>21776.355</v>
      </c>
    </row>
    <row r="10457">
      <c r="A10457" s="39">
        <f>_xlfn.XLOOKUP(61848,Trip[shape_id],Trip[shape_id],"Não encontrado")</f>
        <v/>
      </c>
      <c r="B10457" s="40" t="n">
        <v>-23.507602</v>
      </c>
      <c r="C10457" s="40" t="n">
        <v>-46.626212</v>
      </c>
      <c r="D10457" s="40" t="n">
        <v>599</v>
      </c>
      <c r="E10457" s="41" t="n">
        <v>21829.965</v>
      </c>
    </row>
    <row r="10458">
      <c r="A10458" s="42">
        <f>_xlfn.XLOOKUP(61848,Trip[shape_id],Trip[shape_id],"Não encontrado")</f>
        <v/>
      </c>
      <c r="B10458" s="43" t="n">
        <v>-23.507515</v>
      </c>
      <c r="C10458" s="43" t="n">
        <v>-46.62622</v>
      </c>
      <c r="D10458" s="43" t="n">
        <v>600</v>
      </c>
      <c r="E10458" s="44" t="n">
        <v>21839.635</v>
      </c>
    </row>
    <row r="10459">
      <c r="A10459" s="39">
        <f>_xlfn.XLOOKUP(61848,Trip[shape_id],Trip[shape_id],"Não encontrado")</f>
        <v/>
      </c>
      <c r="B10459" s="40" t="n">
        <v>-23.506897</v>
      </c>
      <c r="C10459" s="40" t="n">
        <v>-46.626244</v>
      </c>
      <c r="D10459" s="40" t="n">
        <v>601</v>
      </c>
      <c r="E10459" s="41" t="n">
        <v>21908.123</v>
      </c>
    </row>
    <row r="10460">
      <c r="A10460" s="42">
        <f>_xlfn.XLOOKUP(61848,Trip[shape_id],Trip[shape_id],"Não encontrado")</f>
        <v/>
      </c>
      <c r="B10460" s="43" t="n">
        <v>-23.506393</v>
      </c>
      <c r="C10460" s="43" t="n">
        <v>-46.626279</v>
      </c>
      <c r="D10460" s="43" t="n">
        <v>602</v>
      </c>
      <c r="E10460" s="44" t="n">
        <v>21964.057</v>
      </c>
    </row>
    <row r="10461">
      <c r="A10461" s="39">
        <f>_xlfn.XLOOKUP(61848,Trip[shape_id],Trip[shape_id],"Não encontrado")</f>
        <v/>
      </c>
      <c r="B10461" s="40" t="n">
        <v>-23.506332</v>
      </c>
      <c r="C10461" s="40" t="n">
        <v>-46.626275</v>
      </c>
      <c r="D10461" s="40" t="n">
        <v>603</v>
      </c>
      <c r="E10461" s="41" t="n">
        <v>21970.824</v>
      </c>
    </row>
    <row r="10462">
      <c r="A10462" s="42">
        <f>_xlfn.XLOOKUP(61848,Trip[shape_id],Trip[shape_id],"Não encontrado")</f>
        <v/>
      </c>
      <c r="B10462" s="43" t="n">
        <v>-23.506061</v>
      </c>
      <c r="C10462" s="43" t="n">
        <v>-46.626286</v>
      </c>
      <c r="D10462" s="43" t="n">
        <v>604</v>
      </c>
      <c r="E10462" s="44" t="n">
        <v>22094.1</v>
      </c>
    </row>
    <row r="10463">
      <c r="A10463" s="39">
        <f>_xlfn.XLOOKUP(61848,Trip[shape_id],Trip[shape_id],"Não encontrado")</f>
        <v/>
      </c>
      <c r="B10463" s="40" t="n">
        <v>-23.50522</v>
      </c>
      <c r="C10463" s="40" t="n">
        <v>-46.626328</v>
      </c>
      <c r="D10463" s="40" t="n">
        <v>605</v>
      </c>
      <c r="E10463" s="41" t="n">
        <v>22094.1</v>
      </c>
    </row>
    <row r="10464">
      <c r="A10464" s="42">
        <f>_xlfn.XLOOKUP(61848,Trip[shape_id],Trip[shape_id],"Não encontrado")</f>
        <v/>
      </c>
      <c r="B10464" s="43" t="n">
        <v>-23.505228</v>
      </c>
      <c r="C10464" s="43" t="n">
        <v>-46.62496</v>
      </c>
      <c r="D10464" s="43" t="n">
        <v>606</v>
      </c>
      <c r="E10464" s="44" t="n">
        <v>22233.826</v>
      </c>
    </row>
    <row r="10465">
      <c r="A10465" s="39">
        <f>_xlfn.XLOOKUP(61848,Trip[shape_id],Trip[shape_id],"Não encontrado")</f>
        <v/>
      </c>
      <c r="B10465" s="40" t="n">
        <v>-23.505266</v>
      </c>
      <c r="C10465" s="40" t="n">
        <v>-46.624707</v>
      </c>
      <c r="D10465" s="40" t="n">
        <v>607</v>
      </c>
      <c r="E10465" s="41" t="n">
        <v>22260.008</v>
      </c>
    </row>
    <row r="10466">
      <c r="A10466" s="42">
        <f>_xlfn.XLOOKUP(61848,Trip[shape_id],Trip[shape_id],"Não encontrado")</f>
        <v/>
      </c>
      <c r="B10466" s="43" t="n">
        <v>-23.504187</v>
      </c>
      <c r="C10466" s="43" t="n">
        <v>-46.624674</v>
      </c>
      <c r="D10466" s="43" t="n">
        <v>608</v>
      </c>
      <c r="E10466" s="44" t="n">
        <v>22379.557</v>
      </c>
    </row>
    <row r="10467">
      <c r="A10467" s="39">
        <f>_xlfn.XLOOKUP(61848,Trip[shape_id],Trip[shape_id],"Não encontrado")</f>
        <v/>
      </c>
      <c r="B10467" s="40" t="n">
        <v>-23.503124</v>
      </c>
      <c r="C10467" s="40" t="n">
        <v>-46.624638</v>
      </c>
      <c r="D10467" s="40" t="n">
        <v>609</v>
      </c>
      <c r="E10467" s="41" t="n">
        <v>22497.342</v>
      </c>
    </row>
    <row r="10468">
      <c r="A10468" s="42">
        <f>_xlfn.XLOOKUP(61848,Trip[shape_id],Trip[shape_id],"Não encontrado")</f>
        <v/>
      </c>
      <c r="B10468" s="43" t="n">
        <v>-23.503126</v>
      </c>
      <c r="C10468" s="43" t="n">
        <v>-46.624515</v>
      </c>
      <c r="D10468" s="43" t="n">
        <v>610</v>
      </c>
      <c r="E10468" s="44" t="n">
        <v>22509.906</v>
      </c>
    </row>
    <row r="10469">
      <c r="A10469" s="39">
        <f>_xlfn.XLOOKUP(61848,Trip[shape_id],Trip[shape_id],"Não encontrado")</f>
        <v/>
      </c>
      <c r="B10469" s="40" t="n">
        <v>-23.503127</v>
      </c>
      <c r="C10469" s="40" t="n">
        <v>-46.624409</v>
      </c>
      <c r="D10469" s="40" t="n">
        <v>611</v>
      </c>
      <c r="E10469" s="41" t="n">
        <v>22520.734</v>
      </c>
    </row>
    <row r="10470">
      <c r="A10470" s="42">
        <f>_xlfn.XLOOKUP(61848,Trip[shape_id],Trip[shape_id],"Não encontrado")</f>
        <v/>
      </c>
      <c r="B10470" s="43" t="n">
        <v>-23.503131</v>
      </c>
      <c r="C10470" s="43" t="n">
        <v>-46.624332</v>
      </c>
      <c r="D10470" s="43" t="n">
        <v>612</v>
      </c>
      <c r="E10470" s="44" t="n">
        <v>22528.611</v>
      </c>
    </row>
    <row r="10471">
      <c r="A10471" s="39">
        <f>_xlfn.XLOOKUP(61848,Trip[shape_id],Trip[shape_id],"Não encontrado")</f>
        <v/>
      </c>
      <c r="B10471" s="40" t="n">
        <v>-23.503131</v>
      </c>
      <c r="C10471" s="40" t="n">
        <v>-46.624239</v>
      </c>
      <c r="D10471" s="40" t="n">
        <v>613</v>
      </c>
      <c r="E10471" s="41" t="n">
        <v>22538.109</v>
      </c>
    </row>
    <row r="10472">
      <c r="A10472" s="42">
        <f>_xlfn.XLOOKUP(61848,Trip[shape_id],Trip[shape_id],"Não encontrado")</f>
        <v/>
      </c>
      <c r="B10472" s="43" t="n">
        <v>-23.503135</v>
      </c>
      <c r="C10472" s="43" t="n">
        <v>-46.624047</v>
      </c>
      <c r="D10472" s="43" t="n">
        <v>614</v>
      </c>
      <c r="E10472" s="44" t="n">
        <v>22557.725</v>
      </c>
    </row>
    <row r="10473">
      <c r="A10473" s="39">
        <f>_xlfn.XLOOKUP(61848,Trip[shape_id],Trip[shape_id],"Não encontrado")</f>
        <v/>
      </c>
      <c r="B10473" s="40" t="n">
        <v>-23.503139</v>
      </c>
      <c r="C10473" s="40" t="n">
        <v>-46.623874</v>
      </c>
      <c r="D10473" s="40" t="n">
        <v>615</v>
      </c>
      <c r="E10473" s="41" t="n">
        <v>22575.4</v>
      </c>
    </row>
    <row r="10474">
      <c r="A10474" s="42">
        <f>_xlfn.XLOOKUP(61848,Trip[shape_id],Trip[shape_id],"Não encontrado")</f>
        <v/>
      </c>
      <c r="B10474" s="43" t="n">
        <v>-23.503144</v>
      </c>
      <c r="C10474" s="43" t="n">
        <v>-46.623714</v>
      </c>
      <c r="D10474" s="43" t="n">
        <v>616</v>
      </c>
      <c r="E10474" s="44" t="n">
        <v>22591.752</v>
      </c>
    </row>
    <row r="10475">
      <c r="A10475" s="39">
        <f>_xlfn.XLOOKUP(61848,Trip[shape_id],Trip[shape_id],"Não encontrado")</f>
        <v/>
      </c>
      <c r="B10475" s="40" t="n">
        <v>-23.503147</v>
      </c>
      <c r="C10475" s="40" t="n">
        <v>-46.623613</v>
      </c>
      <c r="D10475" s="40" t="n">
        <v>617</v>
      </c>
      <c r="E10475" s="41" t="n">
        <v>22602.074</v>
      </c>
    </row>
    <row r="10476">
      <c r="A10476" s="39">
        <f>_xlfn.XLOOKUP(67944,Trip[shape_id],Trip[shape_id],"Não encontrado")</f>
        <v/>
      </c>
      <c r="B10476" s="40" t="n">
        <v>-23.5409</v>
      </c>
      <c r="C10476" s="40" t="n">
        <v>-46.57616</v>
      </c>
      <c r="D10476" s="40" t="n">
        <v>1</v>
      </c>
      <c r="E10476" s="41" t="n">
        <v>12.737556</v>
      </c>
    </row>
    <row r="10477">
      <c r="A10477" s="42">
        <f>_xlfn.XLOOKUP(67944,Trip[shape_id],Trip[shape_id],"Não encontrado")</f>
        <v/>
      </c>
      <c r="B10477" s="43" t="n">
        <v>-23.540876</v>
      </c>
      <c r="C10477" s="43" t="n">
        <v>-46.576038</v>
      </c>
      <c r="D10477" s="43" t="n">
        <v>2</v>
      </c>
      <c r="E10477" s="44" t="n">
        <v>12.737556</v>
      </c>
    </row>
    <row r="10478">
      <c r="A10478" s="39">
        <f>_xlfn.XLOOKUP(67944,Trip[shape_id],Trip[shape_id],"Não encontrado")</f>
        <v/>
      </c>
      <c r="B10478" s="40" t="n">
        <v>-23.540855</v>
      </c>
      <c r="C10478" s="40" t="n">
        <v>-46.575941</v>
      </c>
      <c r="D10478" s="40" t="n">
        <v>3</v>
      </c>
      <c r="E10478" s="41" t="n">
        <v>22.91128</v>
      </c>
    </row>
    <row r="10479">
      <c r="A10479" s="42">
        <f>_xlfn.XLOOKUP(67944,Trip[shape_id],Trip[shape_id],"Não encontrado")</f>
        <v/>
      </c>
      <c r="B10479" s="43" t="n">
        <v>-23.540827</v>
      </c>
      <c r="C10479" s="43" t="n">
        <v>-46.575811</v>
      </c>
      <c r="D10479" s="43" t="n">
        <v>4</v>
      </c>
      <c r="E10479" s="44" t="n">
        <v>36.543037</v>
      </c>
    </row>
    <row r="10480">
      <c r="A10480" s="39">
        <f>_xlfn.XLOOKUP(67944,Trip[shape_id],Trip[shape_id],"Não encontrado")</f>
        <v/>
      </c>
      <c r="B10480" s="40" t="n">
        <v>-23.540807</v>
      </c>
      <c r="C10480" s="40" t="n">
        <v>-46.575694</v>
      </c>
      <c r="D10480" s="40" t="n">
        <v>5</v>
      </c>
      <c r="E10480" s="41" t="n">
        <v>48.693108</v>
      </c>
    </row>
    <row r="10481">
      <c r="A10481" s="42">
        <f>_xlfn.XLOOKUP(67944,Trip[shape_id],Trip[shape_id],"Não encontrado")</f>
        <v/>
      </c>
      <c r="B10481" s="43" t="n">
        <v>-23.540799</v>
      </c>
      <c r="C10481" s="43" t="n">
        <v>-46.575646</v>
      </c>
      <c r="D10481" s="43" t="n">
        <v>6</v>
      </c>
      <c r="E10481" s="44" t="n">
        <v>57.309223</v>
      </c>
    </row>
    <row r="10482">
      <c r="A10482" s="39">
        <f>_xlfn.XLOOKUP(67944,Trip[shape_id],Trip[shape_id],"Não encontrado")</f>
        <v/>
      </c>
      <c r="B10482" s="40" t="n">
        <v>-23.540793</v>
      </c>
      <c r="C10482" s="40" t="n">
        <v>-46.575611</v>
      </c>
      <c r="D10482" s="40" t="n">
        <v>7</v>
      </c>
      <c r="E10482" s="41" t="n">
        <v>61.610245</v>
      </c>
    </row>
    <row r="10483">
      <c r="A10483" s="42">
        <f>_xlfn.XLOOKUP(67944,Trip[shape_id],Trip[shape_id],"Não encontrado")</f>
        <v/>
      </c>
      <c r="B10483" s="43" t="n">
        <v>-23.54079</v>
      </c>
      <c r="C10483" s="43" t="n">
        <v>-46.575569</v>
      </c>
      <c r="D10483" s="43" t="n">
        <v>8</v>
      </c>
      <c r="E10483" s="44" t="n">
        <v>65.28872699999999</v>
      </c>
    </row>
    <row r="10484">
      <c r="A10484" s="39">
        <f>_xlfn.XLOOKUP(67944,Trip[shape_id],Trip[shape_id],"Não encontrado")</f>
        <v/>
      </c>
      <c r="B10484" s="40" t="n">
        <v>-23.540791</v>
      </c>
      <c r="C10484" s="40" t="n">
        <v>-46.575533</v>
      </c>
      <c r="D10484" s="40" t="n">
        <v>9</v>
      </c>
      <c r="E10484" s="41" t="n">
        <v>65.28872699999999</v>
      </c>
    </row>
    <row r="10485">
      <c r="A10485" s="42">
        <f>_xlfn.XLOOKUP(67944,Trip[shape_id],Trip[shape_id],"Não encontrado")</f>
        <v/>
      </c>
      <c r="B10485" s="43" t="n">
        <v>-23.540827</v>
      </c>
      <c r="C10485" s="43" t="n">
        <v>-46.575412</v>
      </c>
      <c r="D10485" s="43" t="n">
        <v>10</v>
      </c>
      <c r="E10485" s="44" t="n">
        <v>78.271576</v>
      </c>
    </row>
    <row r="10486">
      <c r="A10486" s="39">
        <f>_xlfn.XLOOKUP(67944,Trip[shape_id],Trip[shape_id],"Não encontrado")</f>
        <v/>
      </c>
      <c r="B10486" s="40" t="n">
        <v>-23.541763</v>
      </c>
      <c r="C10486" s="40" t="n">
        <v>-46.575226</v>
      </c>
      <c r="D10486" s="40" t="n">
        <v>11</v>
      </c>
      <c r="E10486" s="41" t="n">
        <v>183.66052</v>
      </c>
    </row>
    <row r="10487">
      <c r="A10487" s="42">
        <f>_xlfn.XLOOKUP(67944,Trip[shape_id],Trip[shape_id],"Não encontrado")</f>
        <v/>
      </c>
      <c r="B10487" s="43" t="n">
        <v>-23.541905</v>
      </c>
      <c r="C10487" s="43" t="n">
        <v>-46.575184</v>
      </c>
      <c r="D10487" s="43" t="n">
        <v>12</v>
      </c>
      <c r="E10487" s="44" t="n">
        <v>199.96146</v>
      </c>
    </row>
    <row r="10488">
      <c r="A10488" s="39">
        <f>_xlfn.XLOOKUP(67944,Trip[shape_id],Trip[shape_id],"Não encontrado")</f>
        <v/>
      </c>
      <c r="B10488" s="40" t="n">
        <v>-23.542412</v>
      </c>
      <c r="C10488" s="40" t="n">
        <v>-46.575056</v>
      </c>
      <c r="D10488" s="40" t="n">
        <v>13</v>
      </c>
      <c r="E10488" s="41" t="n">
        <v>257.61353</v>
      </c>
    </row>
    <row r="10489">
      <c r="A10489" s="42">
        <f>_xlfn.XLOOKUP(67944,Trip[shape_id],Trip[shape_id],"Não encontrado")</f>
        <v/>
      </c>
      <c r="B10489" s="43" t="n">
        <v>-23.542827</v>
      </c>
      <c r="C10489" s="43" t="n">
        <v>-46.574961</v>
      </c>
      <c r="D10489" s="43" t="n">
        <v>14</v>
      </c>
      <c r="E10489" s="44" t="n">
        <v>304.58789</v>
      </c>
    </row>
    <row r="10490">
      <c r="A10490" s="39">
        <f>_xlfn.XLOOKUP(67944,Trip[shape_id],Trip[shape_id],"Não encontrado")</f>
        <v/>
      </c>
      <c r="B10490" s="40" t="n">
        <v>-23.543459</v>
      </c>
      <c r="C10490" s="40" t="n">
        <v>-46.574811</v>
      </c>
      <c r="D10490" s="40" t="n">
        <v>15</v>
      </c>
      <c r="E10490" s="41" t="n">
        <v>376.23907</v>
      </c>
    </row>
    <row r="10491">
      <c r="A10491" s="42">
        <f>_xlfn.XLOOKUP(67944,Trip[shape_id],Trip[shape_id],"Não encontrado")</f>
        <v/>
      </c>
      <c r="B10491" s="43" t="n">
        <v>-23.543703</v>
      </c>
      <c r="C10491" s="43" t="n">
        <v>-46.574755</v>
      </c>
      <c r="D10491" s="43" t="n">
        <v>16</v>
      </c>
      <c r="E10491" s="44" t="n">
        <v>403.86075</v>
      </c>
    </row>
    <row r="10492">
      <c r="A10492" s="39">
        <f>_xlfn.XLOOKUP(67944,Trip[shape_id],Trip[shape_id],"Não encontrado")</f>
        <v/>
      </c>
      <c r="B10492" s="40" t="n">
        <v>-23.544425</v>
      </c>
      <c r="C10492" s="40" t="n">
        <v>-46.574584</v>
      </c>
      <c r="D10492" s="40" t="n">
        <v>17</v>
      </c>
      <c r="E10492" s="41" t="n">
        <v>485.70758</v>
      </c>
    </row>
    <row r="10493">
      <c r="A10493" s="42">
        <f>_xlfn.XLOOKUP(67944,Trip[shape_id],Trip[shape_id],"Não encontrado")</f>
        <v/>
      </c>
      <c r="B10493" s="43" t="n">
        <v>-23.544554</v>
      </c>
      <c r="C10493" s="43" t="n">
        <v>-46.574554</v>
      </c>
      <c r="D10493" s="43" t="n">
        <v>18</v>
      </c>
      <c r="E10493" s="44" t="n">
        <v>500.31927</v>
      </c>
    </row>
    <row r="10494">
      <c r="A10494" s="39">
        <f>_xlfn.XLOOKUP(67944,Trip[shape_id],Trip[shape_id],"Não encontrado")</f>
        <v/>
      </c>
      <c r="B10494" s="40" t="n">
        <v>-23.545237</v>
      </c>
      <c r="C10494" s="40" t="n">
        <v>-46.574395</v>
      </c>
      <c r="D10494" s="40" t="n">
        <v>19</v>
      </c>
      <c r="E10494" s="41" t="n">
        <v>577.6853</v>
      </c>
    </row>
    <row r="10495">
      <c r="A10495" s="42">
        <f>_xlfn.XLOOKUP(67944,Trip[shape_id],Trip[shape_id],"Não encontrado")</f>
        <v/>
      </c>
      <c r="B10495" s="43" t="n">
        <v>-23.546124</v>
      </c>
      <c r="C10495" s="43" t="n">
        <v>-46.574184</v>
      </c>
      <c r="D10495" s="43" t="n">
        <v>20</v>
      </c>
      <c r="E10495" s="44" t="n">
        <v>678.25671</v>
      </c>
    </row>
    <row r="10496">
      <c r="A10496" s="39">
        <f>_xlfn.XLOOKUP(67944,Trip[shape_id],Trip[shape_id],"Não encontrado")</f>
        <v/>
      </c>
      <c r="B10496" s="40" t="n">
        <v>-23.546605</v>
      </c>
      <c r="C10496" s="40" t="n">
        <v>-46.574071</v>
      </c>
      <c r="D10496" s="40" t="n">
        <v>21</v>
      </c>
      <c r="E10496" s="41" t="n">
        <v>732.76343</v>
      </c>
    </row>
    <row r="10497">
      <c r="A10497" s="42">
        <f>_xlfn.XLOOKUP(67944,Trip[shape_id],Trip[shape_id],"Não encontrado")</f>
        <v/>
      </c>
      <c r="B10497" s="43" t="n">
        <v>-23.546744</v>
      </c>
      <c r="C10497" s="43" t="n">
        <v>-46.574041</v>
      </c>
      <c r="D10497" s="43" t="n">
        <v>22</v>
      </c>
      <c r="E10497" s="44" t="n">
        <v>748.45978</v>
      </c>
    </row>
    <row r="10498">
      <c r="A10498" s="39">
        <f>_xlfn.XLOOKUP(67944,Trip[shape_id],Trip[shape_id],"Não encontrado")</f>
        <v/>
      </c>
      <c r="B10498" s="40" t="n">
        <v>-23.546829</v>
      </c>
      <c r="C10498" s="40" t="n">
        <v>-46.574021</v>
      </c>
      <c r="D10498" s="40" t="n">
        <v>23</v>
      </c>
      <c r="E10498" s="41" t="n">
        <v>764.94476</v>
      </c>
    </row>
    <row r="10499">
      <c r="A10499" s="42">
        <f>_xlfn.XLOOKUP(67944,Trip[shape_id],Trip[shape_id],"Não encontrado")</f>
        <v/>
      </c>
      <c r="B10499" s="43" t="n">
        <v>-23.54688</v>
      </c>
      <c r="C10499" s="43" t="n">
        <v>-46.573983</v>
      </c>
      <c r="D10499" s="43" t="n">
        <v>24</v>
      </c>
      <c r="E10499" s="44" t="n">
        <v>771.55902</v>
      </c>
    </row>
    <row r="10500">
      <c r="A10500" s="39">
        <f>_xlfn.XLOOKUP(67944,Trip[shape_id],Trip[shape_id],"Não encontrado")</f>
        <v/>
      </c>
      <c r="B10500" s="40" t="n">
        <v>-23.546939</v>
      </c>
      <c r="C10500" s="40" t="n">
        <v>-46.573993</v>
      </c>
      <c r="D10500" s="40" t="n">
        <v>25</v>
      </c>
      <c r="E10500" s="41" t="n">
        <v>795.95813</v>
      </c>
    </row>
    <row r="10501">
      <c r="A10501" s="42">
        <f>_xlfn.XLOOKUP(67944,Trip[shape_id],Trip[shape_id],"Não encontrado")</f>
        <v/>
      </c>
      <c r="B10501" s="43" t="n">
        <v>-23.547155</v>
      </c>
      <c r="C10501" s="43" t="n">
        <v>-46.573946</v>
      </c>
      <c r="D10501" s="43" t="n">
        <v>26</v>
      </c>
      <c r="E10501" s="44" t="n">
        <v>795.95813</v>
      </c>
    </row>
    <row r="10502">
      <c r="A10502" s="39">
        <f>_xlfn.XLOOKUP(67944,Trip[shape_id],Trip[shape_id],"Não encontrado")</f>
        <v/>
      </c>
      <c r="B10502" s="40" t="n">
        <v>-23.547301</v>
      </c>
      <c r="C10502" s="40" t="n">
        <v>-46.57391</v>
      </c>
      <c r="D10502" s="40" t="n">
        <v>27</v>
      </c>
      <c r="E10502" s="41" t="n">
        <v>812.54065</v>
      </c>
    </row>
    <row r="10503">
      <c r="A10503" s="42">
        <f>_xlfn.XLOOKUP(67944,Trip[shape_id],Trip[shape_id],"Não encontrado")</f>
        <v/>
      </c>
      <c r="B10503" s="43" t="n">
        <v>-23.548182</v>
      </c>
      <c r="C10503" s="43" t="n">
        <v>-46.573702</v>
      </c>
      <c r="D10503" s="43" t="n">
        <v>28</v>
      </c>
      <c r="E10503" s="44" t="n">
        <v>912.39746</v>
      </c>
    </row>
    <row r="10504">
      <c r="A10504" s="39">
        <f>_xlfn.XLOOKUP(67944,Trip[shape_id],Trip[shape_id],"Não encontrado")</f>
        <v/>
      </c>
      <c r="B10504" s="40" t="n">
        <v>-23.548313</v>
      </c>
      <c r="C10504" s="40" t="n">
        <v>-46.573674</v>
      </c>
      <c r="D10504" s="40" t="n">
        <v>29</v>
      </c>
      <c r="E10504" s="41" t="n">
        <v>927.18494</v>
      </c>
    </row>
    <row r="10505">
      <c r="A10505" s="42">
        <f>_xlfn.XLOOKUP(67944,Trip[shape_id],Trip[shape_id],"Não encontrado")</f>
        <v/>
      </c>
      <c r="B10505" s="43" t="n">
        <v>-23.548727</v>
      </c>
      <c r="C10505" s="43" t="n">
        <v>-46.573577</v>
      </c>
      <c r="D10505" s="43" t="n">
        <v>30</v>
      </c>
      <c r="E10505" s="44" t="n">
        <v>974.09351</v>
      </c>
    </row>
    <row r="10506">
      <c r="A10506" s="39">
        <f>_xlfn.XLOOKUP(67944,Trip[shape_id],Trip[shape_id],"Não encontrado")</f>
        <v/>
      </c>
      <c r="B10506" s="40" t="n">
        <v>-23.549213</v>
      </c>
      <c r="C10506" s="40" t="n">
        <v>-46.573458</v>
      </c>
      <c r="D10506" s="40" t="n">
        <v>31</v>
      </c>
      <c r="E10506" s="41" t="n">
        <v>1029.2732</v>
      </c>
    </row>
    <row r="10507">
      <c r="A10507" s="42">
        <f>_xlfn.XLOOKUP(67944,Trip[shape_id],Trip[shape_id],"Não encontrado")</f>
        <v/>
      </c>
      <c r="B10507" s="43" t="n">
        <v>-23.549677</v>
      </c>
      <c r="C10507" s="43" t="n">
        <v>-46.57335</v>
      </c>
      <c r="D10507" s="43" t="n">
        <v>32</v>
      </c>
      <c r="E10507" s="44" t="n">
        <v>1086.7006</v>
      </c>
    </row>
    <row r="10508">
      <c r="A10508" s="39">
        <f>_xlfn.XLOOKUP(67944,Trip[shape_id],Trip[shape_id],"Não encontrado")</f>
        <v/>
      </c>
      <c r="B10508" s="40" t="n">
        <v>-23.549716</v>
      </c>
      <c r="C10508" s="40" t="n">
        <v>-46.573328</v>
      </c>
      <c r="D10508" s="40" t="n">
        <v>33</v>
      </c>
      <c r="E10508" s="41" t="n">
        <v>1092.7957</v>
      </c>
    </row>
    <row r="10509">
      <c r="A10509" s="42">
        <f>_xlfn.XLOOKUP(67944,Trip[shape_id],Trip[shape_id],"Não encontrado")</f>
        <v/>
      </c>
      <c r="B10509" s="43" t="n">
        <v>-23.549771</v>
      </c>
      <c r="C10509" s="43" t="n">
        <v>-46.57333</v>
      </c>
      <c r="D10509" s="43" t="n">
        <v>34</v>
      </c>
      <c r="E10509" s="44" t="n">
        <v>1145.246</v>
      </c>
    </row>
    <row r="10510">
      <c r="A10510" s="39">
        <f>_xlfn.XLOOKUP(67944,Trip[shape_id],Trip[shape_id],"Não encontrado")</f>
        <v/>
      </c>
      <c r="B10510" s="40" t="n">
        <v>-23.550234</v>
      </c>
      <c r="C10510" s="40" t="n">
        <v>-46.573222</v>
      </c>
      <c r="D10510" s="40" t="n">
        <v>35</v>
      </c>
      <c r="E10510" s="41" t="n">
        <v>1145.246</v>
      </c>
    </row>
    <row r="10511">
      <c r="A10511" s="42">
        <f>_xlfn.XLOOKUP(67944,Trip[shape_id],Trip[shape_id],"Não encontrado")</f>
        <v/>
      </c>
      <c r="B10511" s="43" t="n">
        <v>-23.55002</v>
      </c>
      <c r="C10511" s="43" t="n">
        <v>-46.572162</v>
      </c>
      <c r="D10511" s="43" t="n">
        <v>36</v>
      </c>
      <c r="E10511" s="44" t="n">
        <v>1256.0392</v>
      </c>
    </row>
    <row r="10512">
      <c r="A10512" s="39">
        <f>_xlfn.XLOOKUP(67944,Trip[shape_id],Trip[shape_id],"Não encontrado")</f>
        <v/>
      </c>
      <c r="B10512" s="40" t="n">
        <v>-23.549926</v>
      </c>
      <c r="C10512" s="40" t="n">
        <v>-46.571693</v>
      </c>
      <c r="D10512" s="40" t="n">
        <v>37</v>
      </c>
      <c r="E10512" s="41" t="n">
        <v>1305.0438</v>
      </c>
    </row>
    <row r="10513">
      <c r="A10513" s="42">
        <f>_xlfn.XLOOKUP(67944,Trip[shape_id],Trip[shape_id],"Não encontrado")</f>
        <v/>
      </c>
      <c r="B10513" s="43" t="n">
        <v>-23.549823</v>
      </c>
      <c r="C10513" s="43" t="n">
        <v>-46.571185</v>
      </c>
      <c r="D10513" s="43" t="n">
        <v>38</v>
      </c>
      <c r="E10513" s="44" t="n">
        <v>1358.1515</v>
      </c>
    </row>
    <row r="10514">
      <c r="A10514" s="39">
        <f>_xlfn.XLOOKUP(67944,Trip[shape_id],Trip[shape_id],"Não encontrado")</f>
        <v/>
      </c>
      <c r="B10514" s="40" t="n">
        <v>-23.549724</v>
      </c>
      <c r="C10514" s="40" t="n">
        <v>-46.570673</v>
      </c>
      <c r="D10514" s="40" t="n">
        <v>39</v>
      </c>
      <c r="E10514" s="41" t="n">
        <v>1411.5654</v>
      </c>
    </row>
    <row r="10515">
      <c r="A10515" s="42">
        <f>_xlfn.XLOOKUP(67944,Trip[shape_id],Trip[shape_id],"Não encontrado")</f>
        <v/>
      </c>
      <c r="B10515" s="43" t="n">
        <v>-23.549512</v>
      </c>
      <c r="C10515" s="43" t="n">
        <v>-46.569616</v>
      </c>
      <c r="D10515" s="43" t="n">
        <v>40</v>
      </c>
      <c r="E10515" s="44" t="n">
        <v>1607.546</v>
      </c>
    </row>
    <row r="10516">
      <c r="A10516" s="39">
        <f>_xlfn.XLOOKUP(67944,Trip[shape_id],Trip[shape_id],"Não encontrado")</f>
        <v/>
      </c>
      <c r="B10516" s="40" t="n">
        <v>-23.549354</v>
      </c>
      <c r="C10516" s="40" t="n">
        <v>-46.568796</v>
      </c>
      <c r="D10516" s="40" t="n">
        <v>41</v>
      </c>
      <c r="E10516" s="41" t="n">
        <v>1607.546</v>
      </c>
    </row>
    <row r="10517">
      <c r="A10517" s="42">
        <f>_xlfn.XLOOKUP(67944,Trip[shape_id],Trip[shape_id],"Não encontrado")</f>
        <v/>
      </c>
      <c r="B10517" s="43" t="n">
        <v>-23.549316</v>
      </c>
      <c r="C10517" s="43" t="n">
        <v>-46.568604</v>
      </c>
      <c r="D10517" s="43" t="n">
        <v>42</v>
      </c>
      <c r="E10517" s="44" t="n">
        <v>1627.5967</v>
      </c>
    </row>
    <row r="10518">
      <c r="A10518" s="39">
        <f>_xlfn.XLOOKUP(67944,Trip[shape_id],Trip[shape_id],"Não encontrado")</f>
        <v/>
      </c>
      <c r="B10518" s="40" t="n">
        <v>-23.549211</v>
      </c>
      <c r="C10518" s="40" t="n">
        <v>-46.56812</v>
      </c>
      <c r="D10518" s="40" t="n">
        <v>43</v>
      </c>
      <c r="E10518" s="41" t="n">
        <v>1678.3644</v>
      </c>
    </row>
    <row r="10519">
      <c r="A10519" s="42">
        <f>_xlfn.XLOOKUP(67944,Trip[shape_id],Trip[shape_id],"Não encontrado")</f>
        <v/>
      </c>
      <c r="B10519" s="43" t="n">
        <v>-23.548999</v>
      </c>
      <c r="C10519" s="43" t="n">
        <v>-46.566999</v>
      </c>
      <c r="D10519" s="43" t="n">
        <v>44</v>
      </c>
      <c r="E10519" s="44" t="n">
        <v>1795.2054</v>
      </c>
    </row>
    <row r="10520">
      <c r="A10520" s="39">
        <f>_xlfn.XLOOKUP(67944,Trip[shape_id],Trip[shape_id],"Não encontrado")</f>
        <v/>
      </c>
      <c r="B10520" s="40" t="n">
        <v>-23.548852</v>
      </c>
      <c r="C10520" s="40" t="n">
        <v>-46.566237</v>
      </c>
      <c r="D10520" s="40" t="n">
        <v>45</v>
      </c>
      <c r="E10520" s="41" t="n">
        <v>1874.6934</v>
      </c>
    </row>
    <row r="10521">
      <c r="A10521" s="42">
        <f>_xlfn.XLOOKUP(67944,Trip[shape_id],Trip[shape_id],"Não encontrado")</f>
        <v/>
      </c>
      <c r="B10521" s="43" t="n">
        <v>-23.548715</v>
      </c>
      <c r="C10521" s="43" t="n">
        <v>-46.565562</v>
      </c>
      <c r="D10521" s="43" t="n">
        <v>46</v>
      </c>
      <c r="E10521" s="44" t="n">
        <v>1945.2635</v>
      </c>
    </row>
    <row r="10522">
      <c r="A10522" s="39">
        <f>_xlfn.XLOOKUP(67944,Trip[shape_id],Trip[shape_id],"Não encontrado")</f>
        <v/>
      </c>
      <c r="B10522" s="40" t="n">
        <v>-23.548609</v>
      </c>
      <c r="C10522" s="40" t="n">
        <v>-46.56501</v>
      </c>
      <c r="D10522" s="40" t="n">
        <v>47</v>
      </c>
      <c r="E10522" s="41" t="n">
        <v>2002.8342</v>
      </c>
    </row>
    <row r="10523">
      <c r="A10523" s="42">
        <f>_xlfn.XLOOKUP(67944,Trip[shape_id],Trip[shape_id],"Não encontrado")</f>
        <v/>
      </c>
      <c r="B10523" s="43" t="n">
        <v>-23.548516</v>
      </c>
      <c r="C10523" s="43" t="n">
        <v>-46.56453</v>
      </c>
      <c r="D10523" s="43" t="n">
        <v>48</v>
      </c>
      <c r="E10523" s="44" t="n">
        <v>2052.9146</v>
      </c>
    </row>
    <row r="10524">
      <c r="A10524" s="39">
        <f>_xlfn.XLOOKUP(67944,Trip[shape_id],Trip[shape_id],"Não encontrado")</f>
        <v/>
      </c>
      <c r="B10524" s="40" t="n">
        <v>-23.548423</v>
      </c>
      <c r="C10524" s="40" t="n">
        <v>-46.564053</v>
      </c>
      <c r="D10524" s="40" t="n">
        <v>49</v>
      </c>
      <c r="E10524" s="41" t="n">
        <v>2102.6953</v>
      </c>
    </row>
    <row r="10525">
      <c r="A10525" s="42">
        <f>_xlfn.XLOOKUP(67944,Trip[shape_id],Trip[shape_id],"Não encontrado")</f>
        <v/>
      </c>
      <c r="B10525" s="43" t="n">
        <v>-23.548382</v>
      </c>
      <c r="C10525" s="43" t="n">
        <v>-46.563842</v>
      </c>
      <c r="D10525" s="43" t="n">
        <v>50</v>
      </c>
      <c r="E10525" s="44" t="n">
        <v>2152.7754</v>
      </c>
    </row>
    <row r="10526">
      <c r="A10526" s="39">
        <f>_xlfn.XLOOKUP(67944,Trip[shape_id],Trip[shape_id],"Não encontrado")</f>
        <v/>
      </c>
      <c r="B10526" s="40" t="n">
        <v>-23.54833</v>
      </c>
      <c r="C10526" s="40" t="n">
        <v>-46.563573</v>
      </c>
      <c r="D10526" s="40" t="n">
        <v>51</v>
      </c>
      <c r="E10526" s="41" t="n">
        <v>2152.7754</v>
      </c>
    </row>
    <row r="10527">
      <c r="A10527" s="42">
        <f>_xlfn.XLOOKUP(67944,Trip[shape_id],Trip[shape_id],"Não encontrado")</f>
        <v/>
      </c>
      <c r="B10527" s="43" t="n">
        <v>-23.548219</v>
      </c>
      <c r="C10527" s="43" t="n">
        <v>-46.563011</v>
      </c>
      <c r="D10527" s="43" t="n">
        <v>52</v>
      </c>
      <c r="E10527" s="44" t="n">
        <v>2211.4597</v>
      </c>
    </row>
    <row r="10528">
      <c r="A10528" s="39">
        <f>_xlfn.XLOOKUP(67944,Trip[shape_id],Trip[shape_id],"Não encontrado")</f>
        <v/>
      </c>
      <c r="B10528" s="40" t="n">
        <v>-23.548131</v>
      </c>
      <c r="C10528" s="40" t="n">
        <v>-46.562553</v>
      </c>
      <c r="D10528" s="40" t="n">
        <v>53</v>
      </c>
      <c r="E10528" s="41" t="n">
        <v>2270.123</v>
      </c>
    </row>
    <row r="10529">
      <c r="A10529" s="42">
        <f>_xlfn.XLOOKUP(67944,Trip[shape_id],Trip[shape_id],"Não encontrado")</f>
        <v/>
      </c>
      <c r="B10529" s="43" t="n">
        <v>-23.548109</v>
      </c>
      <c r="C10529" s="43" t="n">
        <v>-46.562449</v>
      </c>
      <c r="D10529" s="43" t="n">
        <v>54</v>
      </c>
      <c r="E10529" s="44" t="n">
        <v>2270.123</v>
      </c>
    </row>
    <row r="10530">
      <c r="A10530" s="39">
        <f>_xlfn.XLOOKUP(67944,Trip[shape_id],Trip[shape_id],"Não encontrado")</f>
        <v/>
      </c>
      <c r="B10530" s="40" t="n">
        <v>-23.548</v>
      </c>
      <c r="C10530" s="40" t="n">
        <v>-46.561927</v>
      </c>
      <c r="D10530" s="40" t="n">
        <v>55</v>
      </c>
      <c r="E10530" s="41" t="n">
        <v>2324.7712</v>
      </c>
    </row>
    <row r="10531">
      <c r="A10531" s="42">
        <f>_xlfn.XLOOKUP(67944,Trip[shape_id],Trip[shape_id],"Não encontrado")</f>
        <v/>
      </c>
      <c r="B10531" s="43" t="n">
        <v>-23.547828</v>
      </c>
      <c r="C10531" s="43" t="n">
        <v>-46.560999</v>
      </c>
      <c r="D10531" s="43" t="n">
        <v>56</v>
      </c>
      <c r="E10531" s="44" t="n">
        <v>2421.4197</v>
      </c>
    </row>
    <row r="10532">
      <c r="A10532" s="39">
        <f>_xlfn.XLOOKUP(67944,Trip[shape_id],Trip[shape_id],"Não encontrado")</f>
        <v/>
      </c>
      <c r="B10532" s="40" t="n">
        <v>-23.547734</v>
      </c>
      <c r="C10532" s="40" t="n">
        <v>-46.560517</v>
      </c>
      <c r="D10532" s="40" t="n">
        <v>57</v>
      </c>
      <c r="E10532" s="41" t="n">
        <v>2478.1155</v>
      </c>
    </row>
    <row r="10533">
      <c r="A10533" s="42">
        <f>_xlfn.XLOOKUP(67944,Trip[shape_id],Trip[shape_id],"Não encontrado")</f>
        <v/>
      </c>
      <c r="B10533" s="43" t="n">
        <v>-23.547726</v>
      </c>
      <c r="C10533" s="43" t="n">
        <v>-46.560455</v>
      </c>
      <c r="D10533" s="43" t="n">
        <v>58</v>
      </c>
      <c r="E10533" s="44" t="n">
        <v>2478.1155</v>
      </c>
    </row>
    <row r="10534">
      <c r="A10534" s="39">
        <f>_xlfn.XLOOKUP(67944,Trip[shape_id],Trip[shape_id],"Não encontrado")</f>
        <v/>
      </c>
      <c r="B10534" s="40" t="n">
        <v>-23.547712</v>
      </c>
      <c r="C10534" s="40" t="n">
        <v>-46.560332</v>
      </c>
      <c r="D10534" s="40" t="n">
        <v>59</v>
      </c>
      <c r="E10534" s="41" t="n">
        <v>2565.3169</v>
      </c>
    </row>
    <row r="10535">
      <c r="A10535" s="42">
        <f>_xlfn.XLOOKUP(67944,Trip[shape_id],Trip[shape_id],"Não encontrado")</f>
        <v/>
      </c>
      <c r="B10535" s="43" t="n">
        <v>-23.547563</v>
      </c>
      <c r="C10535" s="43" t="n">
        <v>-46.55962</v>
      </c>
      <c r="D10535" s="43" t="n">
        <v>60</v>
      </c>
      <c r="E10535" s="44" t="n">
        <v>2565.3169</v>
      </c>
    </row>
    <row r="10536">
      <c r="A10536" s="39">
        <f>_xlfn.XLOOKUP(67944,Trip[shape_id],Trip[shape_id],"Não encontrado")</f>
        <v/>
      </c>
      <c r="B10536" s="40" t="n">
        <v>-23.547241</v>
      </c>
      <c r="C10536" s="40" t="n">
        <v>-46.557977</v>
      </c>
      <c r="D10536" s="40" t="n">
        <v>61</v>
      </c>
      <c r="E10536" s="41" t="n">
        <v>2742.8113</v>
      </c>
    </row>
    <row r="10537">
      <c r="A10537" s="42">
        <f>_xlfn.XLOOKUP(67944,Trip[shape_id],Trip[shape_id],"Não encontrado")</f>
        <v/>
      </c>
      <c r="B10537" s="43" t="n">
        <v>-23.547233</v>
      </c>
      <c r="C10537" s="43" t="n">
        <v>-46.557919</v>
      </c>
      <c r="D10537" s="43" t="n">
        <v>62</v>
      </c>
      <c r="E10537" s="44" t="n">
        <v>2742.8113</v>
      </c>
    </row>
    <row r="10538">
      <c r="A10538" s="39">
        <f>_xlfn.XLOOKUP(67944,Trip[shape_id],Trip[shape_id],"Não encontrado")</f>
        <v/>
      </c>
      <c r="B10538" s="40" t="n">
        <v>-23.547216</v>
      </c>
      <c r="C10538" s="40" t="n">
        <v>-46.557854</v>
      </c>
      <c r="D10538" s="40" t="n">
        <v>63</v>
      </c>
      <c r="E10538" s="41" t="n">
        <v>2762.4639</v>
      </c>
    </row>
    <row r="10539">
      <c r="A10539" s="42">
        <f>_xlfn.XLOOKUP(67944,Trip[shape_id],Trip[shape_id],"Não encontrado")</f>
        <v/>
      </c>
      <c r="B10539" s="43" t="n">
        <v>-23.547184</v>
      </c>
      <c r="C10539" s="43" t="n">
        <v>-46.557734</v>
      </c>
      <c r="D10539" s="43" t="n">
        <v>64</v>
      </c>
      <c r="E10539" s="44" t="n">
        <v>2880.0962</v>
      </c>
    </row>
    <row r="10540">
      <c r="A10540" s="39">
        <f>_xlfn.XLOOKUP(67944,Trip[shape_id],Trip[shape_id],"Não encontrado")</f>
        <v/>
      </c>
      <c r="B10540" s="40" t="n">
        <v>-23.546968</v>
      </c>
      <c r="C10540" s="40" t="n">
        <v>-46.556606</v>
      </c>
      <c r="D10540" s="40" t="n">
        <v>65</v>
      </c>
      <c r="E10540" s="41" t="n">
        <v>2880.0962</v>
      </c>
    </row>
    <row r="10541">
      <c r="A10541" s="42">
        <f>_xlfn.XLOOKUP(67944,Trip[shape_id],Trip[shape_id],"Não encontrado")</f>
        <v/>
      </c>
      <c r="B10541" s="43" t="n">
        <v>-23.546755</v>
      </c>
      <c r="C10541" s="43" t="n">
        <v>-46.555464</v>
      </c>
      <c r="D10541" s="43" t="n">
        <v>66</v>
      </c>
      <c r="E10541" s="44" t="n">
        <v>2999.0623</v>
      </c>
    </row>
    <row r="10542">
      <c r="A10542" s="39">
        <f>_xlfn.XLOOKUP(67944,Trip[shape_id],Trip[shape_id],"Não encontrado")</f>
        <v/>
      </c>
      <c r="B10542" s="40" t="n">
        <v>-23.547276</v>
      </c>
      <c r="C10542" s="40" t="n">
        <v>-46.55532</v>
      </c>
      <c r="D10542" s="40" t="n">
        <v>67</v>
      </c>
      <c r="E10542" s="41" t="n">
        <v>3058.6077</v>
      </c>
    </row>
    <row r="10543">
      <c r="A10543" s="42">
        <f>_xlfn.XLOOKUP(67944,Trip[shape_id],Trip[shape_id],"Não encontrado")</f>
        <v/>
      </c>
      <c r="B10543" s="43" t="n">
        <v>-23.547767</v>
      </c>
      <c r="C10543" s="43" t="n">
        <v>-46.555185</v>
      </c>
      <c r="D10543" s="43" t="n">
        <v>68</v>
      </c>
      <c r="E10543" s="44" t="n">
        <v>3114.7065</v>
      </c>
    </row>
    <row r="10544">
      <c r="A10544" s="39">
        <f>_xlfn.XLOOKUP(67944,Trip[shape_id],Trip[shape_id],"Não encontrado")</f>
        <v/>
      </c>
      <c r="B10544" s="40" t="n">
        <v>-23.547821</v>
      </c>
      <c r="C10544" s="40" t="n">
        <v>-46.55518</v>
      </c>
      <c r="D10544" s="40" t="n">
        <v>69</v>
      </c>
      <c r="E10544" s="41" t="n">
        <v>3234.291</v>
      </c>
    </row>
    <row r="10545">
      <c r="A10545" s="42">
        <f>_xlfn.XLOOKUP(67944,Trip[shape_id],Trip[shape_id],"Não encontrado")</f>
        <v/>
      </c>
      <c r="B10545" s="43" t="n">
        <v>-23.548822</v>
      </c>
      <c r="C10545" s="43" t="n">
        <v>-46.554938</v>
      </c>
      <c r="D10545" s="43" t="n">
        <v>70</v>
      </c>
      <c r="E10545" s="44" t="n">
        <v>3234.291</v>
      </c>
    </row>
    <row r="10546">
      <c r="A10546" s="39">
        <f>_xlfn.XLOOKUP(67944,Trip[shape_id],Trip[shape_id],"Não encontrado")</f>
        <v/>
      </c>
      <c r="B10546" s="40" t="n">
        <v>-23.549217</v>
      </c>
      <c r="C10546" s="40" t="n">
        <v>-46.554835</v>
      </c>
      <c r="D10546" s="40" t="n">
        <v>71</v>
      </c>
      <c r="E10546" s="41" t="n">
        <v>3279.2844</v>
      </c>
    </row>
    <row r="10547">
      <c r="A10547" s="42">
        <f>_xlfn.XLOOKUP(67944,Trip[shape_id],Trip[shape_id],"Não encontrado")</f>
        <v/>
      </c>
      <c r="B10547" s="43" t="n">
        <v>-23.549867</v>
      </c>
      <c r="C10547" s="43" t="n">
        <v>-46.554661</v>
      </c>
      <c r="D10547" s="43" t="n">
        <v>72</v>
      </c>
      <c r="E10547" s="44" t="n">
        <v>3353.4329</v>
      </c>
    </row>
    <row r="10548">
      <c r="A10548" s="39">
        <f>_xlfn.XLOOKUP(67944,Trip[shape_id],Trip[shape_id],"Não encontrado")</f>
        <v/>
      </c>
      <c r="B10548" s="40" t="n">
        <v>-23.55089</v>
      </c>
      <c r="C10548" s="40" t="n">
        <v>-46.55439</v>
      </c>
      <c r="D10548" s="40" t="n">
        <v>73</v>
      </c>
      <c r="E10548" s="41" t="n">
        <v>3470.0618</v>
      </c>
    </row>
    <row r="10549">
      <c r="A10549" s="42">
        <f>_xlfn.XLOOKUP(67944,Trip[shape_id],Trip[shape_id],"Não encontrado")</f>
        <v/>
      </c>
      <c r="B10549" s="43" t="n">
        <v>-23.551438</v>
      </c>
      <c r="C10549" s="43" t="n">
        <v>-46.554244</v>
      </c>
      <c r="D10549" s="43" t="n">
        <v>74</v>
      </c>
      <c r="E10549" s="44" t="n">
        <v>3532.5576</v>
      </c>
    </row>
    <row r="10550">
      <c r="A10550" s="39">
        <f>_xlfn.XLOOKUP(67944,Trip[shape_id],Trip[shape_id],"Não encontrado")</f>
        <v/>
      </c>
      <c r="B10550" s="40" t="n">
        <v>-23.551972</v>
      </c>
      <c r="C10550" s="40" t="n">
        <v>-46.554099</v>
      </c>
      <c r="D10550" s="40" t="n">
        <v>75</v>
      </c>
      <c r="E10550" s="41" t="n">
        <v>3593.5239</v>
      </c>
    </row>
    <row r="10551">
      <c r="A10551" s="42">
        <f>_xlfn.XLOOKUP(67944,Trip[shape_id],Trip[shape_id],"Não encontrado")</f>
        <v/>
      </c>
      <c r="B10551" s="43" t="n">
        <v>-23.552777</v>
      </c>
      <c r="C10551" s="43" t="n">
        <v>-46.553884</v>
      </c>
      <c r="D10551" s="43" t="n">
        <v>76</v>
      </c>
      <c r="E10551" s="44" t="n">
        <v>3685.3418</v>
      </c>
    </row>
    <row r="10552">
      <c r="A10552" s="39">
        <f>_xlfn.XLOOKUP(67944,Trip[shape_id],Trip[shape_id],"Não encontrado")</f>
        <v/>
      </c>
      <c r="B10552" s="40" t="n">
        <v>-23.552893</v>
      </c>
      <c r="C10552" s="40" t="n">
        <v>-46.553868</v>
      </c>
      <c r="D10552" s="40" t="n">
        <v>77</v>
      </c>
      <c r="E10552" s="41" t="n">
        <v>3803.4922</v>
      </c>
    </row>
    <row r="10553">
      <c r="A10553" s="42">
        <f>_xlfn.XLOOKUP(67944,Trip[shape_id],Trip[shape_id],"Não encontrado")</f>
        <v/>
      </c>
      <c r="B10553" s="43" t="n">
        <v>-23.55384</v>
      </c>
      <c r="C10553" s="43" t="n">
        <v>-46.553948</v>
      </c>
      <c r="D10553" s="43" t="n">
        <v>78</v>
      </c>
      <c r="E10553" s="44" t="n">
        <v>3808.6987</v>
      </c>
    </row>
    <row r="10554">
      <c r="A10554" s="39">
        <f>_xlfn.XLOOKUP(67944,Trip[shape_id],Trip[shape_id],"Não encontrado")</f>
        <v/>
      </c>
      <c r="B10554" s="40" t="n">
        <v>-23.553887</v>
      </c>
      <c r="C10554" s="40" t="n">
        <v>-46.553949</v>
      </c>
      <c r="D10554" s="40" t="n">
        <v>79</v>
      </c>
      <c r="E10554" s="41" t="n">
        <v>3808.6987</v>
      </c>
    </row>
    <row r="10555">
      <c r="A10555" s="42">
        <f>_xlfn.XLOOKUP(67944,Trip[shape_id],Trip[shape_id],"Não encontrado")</f>
        <v/>
      </c>
      <c r="B10555" s="43" t="n">
        <v>-23.554148</v>
      </c>
      <c r="C10555" s="43" t="n">
        <v>-46.553973</v>
      </c>
      <c r="D10555" s="43" t="n">
        <v>80</v>
      </c>
      <c r="E10555" s="44" t="n">
        <v>3837.7087</v>
      </c>
    </row>
    <row r="10556">
      <c r="A10556" s="39">
        <f>_xlfn.XLOOKUP(67944,Trip[shape_id],Trip[shape_id],"Não encontrado")</f>
        <v/>
      </c>
      <c r="B10556" s="40" t="n">
        <v>-23.555412</v>
      </c>
      <c r="C10556" s="40" t="n">
        <v>-46.554079</v>
      </c>
      <c r="D10556" s="40" t="n">
        <v>81</v>
      </c>
      <c r="E10556" s="41" t="n">
        <v>3978.1167</v>
      </c>
    </row>
    <row r="10557">
      <c r="A10557" s="42">
        <f>_xlfn.XLOOKUP(67944,Trip[shape_id],Trip[shape_id],"Não encontrado")</f>
        <v/>
      </c>
      <c r="B10557" s="43" t="n">
        <v>-23.556096</v>
      </c>
      <c r="C10557" s="43" t="n">
        <v>-46.554129</v>
      </c>
      <c r="D10557" s="43" t="n">
        <v>82</v>
      </c>
      <c r="E10557" s="44" t="n">
        <v>4054.0427</v>
      </c>
    </row>
    <row r="10558">
      <c r="A10558" s="39">
        <f>_xlfn.XLOOKUP(67944,Trip[shape_id],Trip[shape_id],"Não encontrado")</f>
        <v/>
      </c>
      <c r="B10558" s="40" t="n">
        <v>-23.556251</v>
      </c>
      <c r="C10558" s="40" t="n">
        <v>-46.553992</v>
      </c>
      <c r="D10558" s="40" t="n">
        <v>83</v>
      </c>
      <c r="E10558" s="41" t="n">
        <v>4150.1694</v>
      </c>
    </row>
    <row r="10559">
      <c r="A10559" s="42">
        <f>_xlfn.XLOOKUP(67944,Trip[shape_id],Trip[shape_id],"Não encontrado")</f>
        <v/>
      </c>
      <c r="B10559" s="43" t="n">
        <v>-23.556788</v>
      </c>
      <c r="C10559" s="43" t="n">
        <v>-46.553561</v>
      </c>
      <c r="D10559" s="43" t="n">
        <v>84</v>
      </c>
      <c r="E10559" s="44" t="n">
        <v>4177.6719</v>
      </c>
    </row>
    <row r="10560">
      <c r="A10560" s="39">
        <f>_xlfn.XLOOKUP(67944,Trip[shape_id],Trip[shape_id],"Não encontrado")</f>
        <v/>
      </c>
      <c r="B10560" s="40" t="n">
        <v>-23.556985</v>
      </c>
      <c r="C10560" s="40" t="n">
        <v>-46.553397</v>
      </c>
      <c r="D10560" s="40" t="n">
        <v>85</v>
      </c>
      <c r="E10560" s="41" t="n">
        <v>4185.0908</v>
      </c>
    </row>
    <row r="10561">
      <c r="A10561" s="42">
        <f>_xlfn.XLOOKUP(67944,Trip[shape_id],Trip[shape_id],"Não encontrado")</f>
        <v/>
      </c>
      <c r="B10561" s="43" t="n">
        <v>-23.557039</v>
      </c>
      <c r="C10561" s="43" t="n">
        <v>-46.553354</v>
      </c>
      <c r="D10561" s="43" t="n">
        <v>86</v>
      </c>
      <c r="E10561" s="44" t="n">
        <v>4185.0908</v>
      </c>
    </row>
    <row r="10562">
      <c r="A10562" s="39">
        <f>_xlfn.XLOOKUP(67944,Trip[shape_id],Trip[shape_id],"Não encontrado")</f>
        <v/>
      </c>
      <c r="B10562" s="40" t="n">
        <v>-23.557062</v>
      </c>
      <c r="C10562" s="40" t="n">
        <v>-46.553334</v>
      </c>
      <c r="D10562" s="40" t="n">
        <v>87</v>
      </c>
      <c r="E10562" s="41" t="n">
        <v>4196.9219</v>
      </c>
    </row>
    <row r="10563">
      <c r="A10563" s="42">
        <f>_xlfn.XLOOKUP(67944,Trip[shape_id],Trip[shape_id],"Não encontrado")</f>
        <v/>
      </c>
      <c r="B10563" s="43" t="n">
        <v>-23.55713</v>
      </c>
      <c r="C10563" s="43" t="n">
        <v>-46.553294</v>
      </c>
      <c r="D10563" s="43" t="n">
        <v>88</v>
      </c>
      <c r="E10563" s="44" t="n">
        <v>4200.7227</v>
      </c>
    </row>
    <row r="10564">
      <c r="A10564" s="39">
        <f>_xlfn.XLOOKUP(67944,Trip[shape_id],Trip[shape_id],"Não encontrado")</f>
        <v/>
      </c>
      <c r="B10564" s="40" t="n">
        <v>-23.557164</v>
      </c>
      <c r="C10564" s="40" t="n">
        <v>-46.553299</v>
      </c>
      <c r="D10564" s="40" t="n">
        <v>89</v>
      </c>
      <c r="E10564" s="41" t="n">
        <v>4206.6729</v>
      </c>
    </row>
    <row r="10565">
      <c r="A10565" s="42">
        <f>_xlfn.XLOOKUP(67944,Trip[shape_id],Trip[shape_id],"Não encontrado")</f>
        <v/>
      </c>
      <c r="B10565" s="43" t="n">
        <v>-23.557197</v>
      </c>
      <c r="C10565" s="43" t="n">
        <v>-46.553253</v>
      </c>
      <c r="D10565" s="43" t="n">
        <v>90</v>
      </c>
      <c r="E10565" s="44" t="n">
        <v>4212.1602</v>
      </c>
    </row>
    <row r="10566">
      <c r="A10566" s="39">
        <f>_xlfn.XLOOKUP(67944,Trip[shape_id],Trip[shape_id],"Não encontrado")</f>
        <v/>
      </c>
      <c r="B10566" s="40" t="n">
        <v>-23.557246</v>
      </c>
      <c r="C10566" s="40" t="n">
        <v>-46.553245</v>
      </c>
      <c r="D10566" s="40" t="n">
        <v>91</v>
      </c>
      <c r="E10566" s="41" t="n">
        <v>4224.2944</v>
      </c>
    </row>
    <row r="10567">
      <c r="A10567" s="42">
        <f>_xlfn.XLOOKUP(67944,Trip[shape_id],Trip[shape_id],"Não encontrado")</f>
        <v/>
      </c>
      <c r="B10567" s="43" t="n">
        <v>-23.557354</v>
      </c>
      <c r="C10567" s="43" t="n">
        <v>-46.553225</v>
      </c>
      <c r="D10567" s="43" t="n">
        <v>92</v>
      </c>
      <c r="E10567" s="44" t="n">
        <v>4224.2944</v>
      </c>
    </row>
    <row r="10568">
      <c r="A10568" s="39">
        <f>_xlfn.XLOOKUP(67944,Trip[shape_id],Trip[shape_id],"Não encontrado")</f>
        <v/>
      </c>
      <c r="B10568" s="40" t="n">
        <v>-23.557415</v>
      </c>
      <c r="C10568" s="40" t="n">
        <v>-46.553214</v>
      </c>
      <c r="D10568" s="40" t="n">
        <v>93</v>
      </c>
      <c r="E10568" s="41" t="n">
        <v>4315.3135</v>
      </c>
    </row>
    <row r="10569">
      <c r="A10569" s="42">
        <f>_xlfn.XLOOKUP(67944,Trip[shape_id],Trip[shape_id],"Não encontrado")</f>
        <v/>
      </c>
      <c r="B10569" s="43" t="n">
        <v>-23.558172</v>
      </c>
      <c r="C10569" s="43" t="n">
        <v>-46.553141</v>
      </c>
      <c r="D10569" s="43" t="n">
        <v>94</v>
      </c>
      <c r="E10569" s="44" t="n">
        <v>4315.3135</v>
      </c>
    </row>
    <row r="10570">
      <c r="A10570" s="39">
        <f>_xlfn.XLOOKUP(67944,Trip[shape_id],Trip[shape_id],"Não encontrado")</f>
        <v/>
      </c>
      <c r="B10570" s="40" t="n">
        <v>-23.558447</v>
      </c>
      <c r="C10570" s="40" t="n">
        <v>-46.553113</v>
      </c>
      <c r="D10570" s="40" t="n">
        <v>95</v>
      </c>
      <c r="E10570" s="41" t="n">
        <v>4345.9038</v>
      </c>
    </row>
    <row r="10571">
      <c r="A10571" s="42">
        <f>_xlfn.XLOOKUP(67944,Trip[shape_id],Trip[shape_id],"Não encontrado")</f>
        <v/>
      </c>
      <c r="B10571" s="43" t="n">
        <v>-23.559265</v>
      </c>
      <c r="C10571" s="43" t="n">
        <v>-46.553025</v>
      </c>
      <c r="D10571" s="43" t="n">
        <v>96</v>
      </c>
      <c r="E10571" s="44" t="n">
        <v>4436.9434</v>
      </c>
    </row>
    <row r="10572">
      <c r="A10572" s="39">
        <f>_xlfn.XLOOKUP(67944,Trip[shape_id],Trip[shape_id],"Não encontrado")</f>
        <v/>
      </c>
      <c r="B10572" s="40" t="n">
        <v>-23.559604</v>
      </c>
      <c r="C10572" s="40" t="n">
        <v>-46.552992</v>
      </c>
      <c r="D10572" s="40" t="n">
        <v>97</v>
      </c>
      <c r="E10572" s="41" t="n">
        <v>4474.6392</v>
      </c>
    </row>
    <row r="10573">
      <c r="A10573" s="42">
        <f>_xlfn.XLOOKUP(67944,Trip[shape_id],Trip[shape_id],"Não encontrado")</f>
        <v/>
      </c>
      <c r="B10573" s="43" t="n">
        <v>-23.560001</v>
      </c>
      <c r="C10573" s="43" t="n">
        <v>-46.552947</v>
      </c>
      <c r="D10573" s="43" t="n">
        <v>98</v>
      </c>
      <c r="E10573" s="44" t="n">
        <v>4518.8472</v>
      </c>
    </row>
    <row r="10574">
      <c r="A10574" s="39">
        <f>_xlfn.XLOOKUP(67944,Trip[shape_id],Trip[shape_id],"Não encontrado")</f>
        <v/>
      </c>
      <c r="B10574" s="40" t="n">
        <v>-23.560564</v>
      </c>
      <c r="C10574" s="40" t="n">
        <v>-46.552889</v>
      </c>
      <c r="D10574" s="40" t="n">
        <v>99</v>
      </c>
      <c r="E10574" s="41" t="n">
        <v>4683.8828</v>
      </c>
    </row>
    <row r="10575">
      <c r="A10575" s="42">
        <f>_xlfn.XLOOKUP(67944,Trip[shape_id],Trip[shape_id],"Não encontrado")</f>
        <v/>
      </c>
      <c r="B10575" s="43" t="n">
        <v>-23.561484</v>
      </c>
      <c r="C10575" s="43" t="n">
        <v>-46.552789</v>
      </c>
      <c r="D10575" s="43" t="n">
        <v>100</v>
      </c>
      <c r="E10575" s="44" t="n">
        <v>4683.8828</v>
      </c>
    </row>
    <row r="10576">
      <c r="A10576" s="39">
        <f>_xlfn.XLOOKUP(67944,Trip[shape_id],Trip[shape_id],"Não encontrado")</f>
        <v/>
      </c>
      <c r="B10576" s="40" t="n">
        <v>-23.561602</v>
      </c>
      <c r="C10576" s="40" t="n">
        <v>-46.552743</v>
      </c>
      <c r="D10576" s="40" t="n">
        <v>101</v>
      </c>
      <c r="E10576" s="41" t="n">
        <v>4711.6504</v>
      </c>
    </row>
    <row r="10577">
      <c r="A10577" s="42">
        <f>_xlfn.XLOOKUP(67944,Trip[shape_id],Trip[shape_id],"Não encontrado")</f>
        <v/>
      </c>
      <c r="B10577" s="43" t="n">
        <v>-23.561704</v>
      </c>
      <c r="C10577" s="43" t="n">
        <v>-46.552664</v>
      </c>
      <c r="D10577" s="43" t="n">
        <v>102</v>
      </c>
      <c r="E10577" s="44" t="n">
        <v>4725.3223</v>
      </c>
    </row>
    <row r="10578">
      <c r="A10578" s="39">
        <f>_xlfn.XLOOKUP(67944,Trip[shape_id],Trip[shape_id],"Não encontrado")</f>
        <v/>
      </c>
      <c r="B10578" s="40" t="n">
        <v>-23.561805</v>
      </c>
      <c r="C10578" s="40" t="n">
        <v>-46.552587</v>
      </c>
      <c r="D10578" s="40" t="n">
        <v>103</v>
      </c>
      <c r="E10578" s="41" t="n">
        <v>4731.9502</v>
      </c>
    </row>
    <row r="10579">
      <c r="A10579" s="42">
        <f>_xlfn.XLOOKUP(67944,Trip[shape_id],Trip[shape_id],"Não encontrado")</f>
        <v/>
      </c>
      <c r="B10579" s="43" t="n">
        <v>-23.561849</v>
      </c>
      <c r="C10579" s="43" t="n">
        <v>-46.552543</v>
      </c>
      <c r="D10579" s="43" t="n">
        <v>104</v>
      </c>
      <c r="E10579" s="44" t="n">
        <v>4751.9966</v>
      </c>
    </row>
    <row r="10580">
      <c r="A10580" s="39">
        <f>_xlfn.XLOOKUP(67944,Trip[shape_id],Trip[shape_id],"Não encontrado")</f>
        <v/>
      </c>
      <c r="B10580" s="40" t="n">
        <v>-23.561983</v>
      </c>
      <c r="C10580" s="40" t="n">
        <v>-46.552411</v>
      </c>
      <c r="D10580" s="40" t="n">
        <v>105</v>
      </c>
      <c r="E10580" s="41" t="n">
        <v>4751.9966</v>
      </c>
    </row>
    <row r="10581">
      <c r="A10581" s="42">
        <f>_xlfn.XLOOKUP(67944,Trip[shape_id],Trip[shape_id],"Não encontrado")</f>
        <v/>
      </c>
      <c r="B10581" s="43" t="n">
        <v>-23.562132</v>
      </c>
      <c r="C10581" s="43" t="n">
        <v>-46.552176</v>
      </c>
      <c r="D10581" s="43" t="n">
        <v>106</v>
      </c>
      <c r="E10581" s="44" t="n">
        <v>4794.5601</v>
      </c>
    </row>
    <row r="10582">
      <c r="A10582" s="39">
        <f>_xlfn.XLOOKUP(67944,Trip[shape_id],Trip[shape_id],"Não encontrado")</f>
        <v/>
      </c>
      <c r="B10582" s="40" t="n">
        <v>-23.562182</v>
      </c>
      <c r="C10582" s="40" t="n">
        <v>-46.552056</v>
      </c>
      <c r="D10582" s="40" t="n">
        <v>107</v>
      </c>
      <c r="E10582" s="41" t="n">
        <v>4813.6235</v>
      </c>
    </row>
    <row r="10583">
      <c r="A10583" s="42">
        <f>_xlfn.XLOOKUP(67944,Trip[shape_id],Trip[shape_id],"Não encontrado")</f>
        <v/>
      </c>
      <c r="B10583" s="43" t="n">
        <v>-23.562249</v>
      </c>
      <c r="C10583" s="43" t="n">
        <v>-46.551884</v>
      </c>
      <c r="D10583" s="43" t="n">
        <v>108</v>
      </c>
      <c r="E10583" s="44" t="n">
        <v>4813.6235</v>
      </c>
    </row>
    <row r="10584">
      <c r="A10584" s="39">
        <f>_xlfn.XLOOKUP(67944,Trip[shape_id],Trip[shape_id],"Não encontrado")</f>
        <v/>
      </c>
      <c r="B10584" s="40" t="n">
        <v>-23.562289</v>
      </c>
      <c r="C10584" s="40" t="n">
        <v>-46.551805</v>
      </c>
      <c r="D10584" s="40" t="n">
        <v>109</v>
      </c>
      <c r="E10584" s="41" t="n">
        <v>4832.9932</v>
      </c>
    </row>
    <row r="10585">
      <c r="A10585" s="42">
        <f>_xlfn.XLOOKUP(67944,Trip[shape_id],Trip[shape_id],"Não encontrado")</f>
        <v/>
      </c>
      <c r="B10585" s="43" t="n">
        <v>-23.562332</v>
      </c>
      <c r="C10585" s="43" t="n">
        <v>-46.551717</v>
      </c>
      <c r="D10585" s="43" t="n">
        <v>110</v>
      </c>
      <c r="E10585" s="44" t="n">
        <v>4839.4019</v>
      </c>
    </row>
    <row r="10586">
      <c r="A10586" s="39">
        <f>_xlfn.XLOOKUP(67944,Trip[shape_id],Trip[shape_id],"Não encontrado")</f>
        <v/>
      </c>
      <c r="B10586" s="40" t="n">
        <v>-23.562363</v>
      </c>
      <c r="C10586" s="40" t="n">
        <v>-46.551664</v>
      </c>
      <c r="D10586" s="40" t="n">
        <v>111</v>
      </c>
      <c r="E10586" s="41" t="n">
        <v>4839.4019</v>
      </c>
    </row>
    <row r="10587">
      <c r="A10587" s="42">
        <f>_xlfn.XLOOKUP(67944,Trip[shape_id],Trip[shape_id],"Não encontrado")</f>
        <v/>
      </c>
      <c r="B10587" s="43" t="n">
        <v>-23.562325</v>
      </c>
      <c r="C10587" s="43" t="n">
        <v>-46.551401</v>
      </c>
      <c r="D10587" s="43" t="n">
        <v>112</v>
      </c>
      <c r="E10587" s="44" t="n">
        <v>4903.0947</v>
      </c>
    </row>
    <row r="10588">
      <c r="A10588" s="39">
        <f>_xlfn.XLOOKUP(67944,Trip[shape_id],Trip[shape_id],"Não encontrado")</f>
        <v/>
      </c>
      <c r="B10588" s="40" t="n">
        <v>-23.562305</v>
      </c>
      <c r="C10588" s="40" t="n">
        <v>-46.551044</v>
      </c>
      <c r="D10588" s="40" t="n">
        <v>113</v>
      </c>
      <c r="E10588" s="41" t="n">
        <v>4903.0947</v>
      </c>
    </row>
    <row r="10589">
      <c r="A10589" s="42">
        <f>_xlfn.XLOOKUP(67944,Trip[shape_id],Trip[shape_id],"Não encontrado")</f>
        <v/>
      </c>
      <c r="B10589" s="43" t="n">
        <v>-23.562367</v>
      </c>
      <c r="C10589" s="43" t="n">
        <v>-46.550756</v>
      </c>
      <c r="D10589" s="43" t="n">
        <v>114</v>
      </c>
      <c r="E10589" s="44" t="n">
        <v>4933.2886</v>
      </c>
    </row>
    <row r="10590">
      <c r="A10590" s="39">
        <f>_xlfn.XLOOKUP(67944,Trip[shape_id],Trip[shape_id],"Não encontrado")</f>
        <v/>
      </c>
      <c r="B10590" s="40" t="n">
        <v>-23.562414</v>
      </c>
      <c r="C10590" s="40" t="n">
        <v>-46.550573</v>
      </c>
      <c r="D10590" s="40" t="n">
        <v>115</v>
      </c>
      <c r="E10590" s="41" t="n">
        <v>4974.5659</v>
      </c>
    </row>
    <row r="10591">
      <c r="A10591" s="42">
        <f>_xlfn.XLOOKUP(67944,Trip[shape_id],Trip[shape_id],"Não encontrado")</f>
        <v/>
      </c>
      <c r="B10591" s="43" t="n">
        <v>-23.562498</v>
      </c>
      <c r="C10591" s="43" t="n">
        <v>-46.550379</v>
      </c>
      <c r="D10591" s="43" t="n">
        <v>116</v>
      </c>
      <c r="E10591" s="44" t="n">
        <v>4992.8525</v>
      </c>
    </row>
    <row r="10592">
      <c r="A10592" s="39">
        <f>_xlfn.XLOOKUP(67944,Trip[shape_id],Trip[shape_id],"Não encontrado")</f>
        <v/>
      </c>
      <c r="B10592" s="40" t="n">
        <v>-23.562591</v>
      </c>
      <c r="C10592" s="40" t="n">
        <v>-46.550231</v>
      </c>
      <c r="D10592" s="40" t="n">
        <v>117</v>
      </c>
      <c r="E10592" s="41" t="n">
        <v>5011.9961</v>
      </c>
    </row>
    <row r="10593">
      <c r="A10593" s="42">
        <f>_xlfn.XLOOKUP(67944,Trip[shape_id],Trip[shape_id],"Não encontrado")</f>
        <v/>
      </c>
      <c r="B10593" s="43" t="n">
        <v>-23.56271</v>
      </c>
      <c r="C10593" s="43" t="n">
        <v>-46.550095</v>
      </c>
      <c r="D10593" s="43" t="n">
        <v>118</v>
      </c>
      <c r="E10593" s="44" t="n">
        <v>5083.6504</v>
      </c>
    </row>
    <row r="10594">
      <c r="A10594" s="39">
        <f>_xlfn.XLOOKUP(67944,Trip[shape_id],Trip[shape_id],"Não encontrado")</f>
        <v/>
      </c>
      <c r="B10594" s="40" t="n">
        <v>-23.563175</v>
      </c>
      <c r="C10594" s="40" t="n">
        <v>-46.549607</v>
      </c>
      <c r="D10594" s="40" t="n">
        <v>119</v>
      </c>
      <c r="E10594" s="41" t="n">
        <v>5083.6504</v>
      </c>
    </row>
    <row r="10595">
      <c r="A10595" s="42">
        <f>_xlfn.XLOOKUP(67944,Trip[shape_id],Trip[shape_id],"Não encontrado")</f>
        <v/>
      </c>
      <c r="B10595" s="43" t="n">
        <v>-23.563277</v>
      </c>
      <c r="C10595" s="43" t="n">
        <v>-46.549644</v>
      </c>
      <c r="D10595" s="43" t="n">
        <v>120</v>
      </c>
      <c r="E10595" s="44" t="n">
        <v>5095.562</v>
      </c>
    </row>
    <row r="10596">
      <c r="A10596" s="39">
        <f>_xlfn.XLOOKUP(67944,Trip[shape_id],Trip[shape_id],"Não encontrado")</f>
        <v/>
      </c>
      <c r="B10596" s="40" t="n">
        <v>-23.563484</v>
      </c>
      <c r="C10596" s="40" t="n">
        <v>-46.549687</v>
      </c>
      <c r="D10596" s="40" t="n">
        <v>121</v>
      </c>
      <c r="E10596" s="41" t="n">
        <v>5118.9043</v>
      </c>
    </row>
    <row r="10597">
      <c r="A10597" s="42">
        <f>_xlfn.XLOOKUP(67944,Trip[shape_id],Trip[shape_id],"Não encontrado")</f>
        <v/>
      </c>
      <c r="B10597" s="43" t="n">
        <v>-23.563829</v>
      </c>
      <c r="C10597" s="43" t="n">
        <v>-46.549737</v>
      </c>
      <c r="D10597" s="43" t="n">
        <v>122</v>
      </c>
      <c r="E10597" s="44" t="n">
        <v>5157.4531</v>
      </c>
    </row>
    <row r="10598">
      <c r="A10598" s="39">
        <f>_xlfn.XLOOKUP(67944,Trip[shape_id],Trip[shape_id],"Não encontrado")</f>
        <v/>
      </c>
      <c r="B10598" s="40" t="n">
        <v>-23.564166</v>
      </c>
      <c r="C10598" s="40" t="n">
        <v>-46.549805</v>
      </c>
      <c r="D10598" s="40" t="n">
        <v>123</v>
      </c>
      <c r="E10598" s="41" t="n">
        <v>5195.4165</v>
      </c>
    </row>
    <row r="10599">
      <c r="A10599" s="42">
        <f>_xlfn.XLOOKUP(67944,Trip[shape_id],Trip[shape_id],"Não encontrado")</f>
        <v/>
      </c>
      <c r="B10599" s="43" t="n">
        <v>-23.564326</v>
      </c>
      <c r="C10599" s="43" t="n">
        <v>-46.549807</v>
      </c>
      <c r="D10599" s="43" t="n">
        <v>124</v>
      </c>
      <c r="E10599" s="44" t="n">
        <v>5213.1377</v>
      </c>
    </row>
    <row r="10600">
      <c r="A10600" s="39">
        <f>_xlfn.XLOOKUP(67944,Trip[shape_id],Trip[shape_id],"Não encontrado")</f>
        <v/>
      </c>
      <c r="B10600" s="40" t="n">
        <v>-23.564555</v>
      </c>
      <c r="C10600" s="40" t="n">
        <v>-46.549881</v>
      </c>
      <c r="D10600" s="40" t="n">
        <v>125</v>
      </c>
      <c r="E10600" s="41" t="n">
        <v>5239.6011</v>
      </c>
    </row>
    <row r="10601">
      <c r="A10601" s="42">
        <f>_xlfn.XLOOKUP(67944,Trip[shape_id],Trip[shape_id],"Não encontrado")</f>
        <v/>
      </c>
      <c r="B10601" s="43" t="n">
        <v>-23.564725</v>
      </c>
      <c r="C10601" s="43" t="n">
        <v>-46.549894</v>
      </c>
      <c r="D10601" s="43" t="n">
        <v>126</v>
      </c>
      <c r="E10601" s="44" t="n">
        <v>5258.4756</v>
      </c>
    </row>
    <row r="10602">
      <c r="A10602" s="39">
        <f>_xlfn.XLOOKUP(67944,Trip[shape_id],Trip[shape_id],"Não encontrado")</f>
        <v/>
      </c>
      <c r="B10602" s="40" t="n">
        <v>-23.565022</v>
      </c>
      <c r="C10602" s="40" t="n">
        <v>-46.549972</v>
      </c>
      <c r="D10602" s="40" t="n">
        <v>127</v>
      </c>
      <c r="E10602" s="41" t="n">
        <v>5292.3193</v>
      </c>
    </row>
    <row r="10603">
      <c r="A10603" s="42">
        <f>_xlfn.XLOOKUP(67944,Trip[shape_id],Trip[shape_id],"Não encontrado")</f>
        <v/>
      </c>
      <c r="B10603" s="43" t="n">
        <v>-23.565165</v>
      </c>
      <c r="C10603" s="43" t="n">
        <v>-46.550059</v>
      </c>
      <c r="D10603" s="43" t="n">
        <v>128</v>
      </c>
      <c r="E10603" s="44" t="n">
        <v>5310.4771</v>
      </c>
    </row>
    <row r="10604">
      <c r="A10604" s="39">
        <f>_xlfn.XLOOKUP(67944,Trip[shape_id],Trip[shape_id],"Não encontrado")</f>
        <v/>
      </c>
      <c r="B10604" s="40" t="n">
        <v>-23.565337</v>
      </c>
      <c r="C10604" s="40" t="n">
        <v>-46.550167</v>
      </c>
      <c r="D10604" s="40" t="n">
        <v>129</v>
      </c>
      <c r="E10604" s="41" t="n">
        <v>5332.4868</v>
      </c>
    </row>
    <row r="10605">
      <c r="A10605" s="42">
        <f>_xlfn.XLOOKUP(67944,Trip[shape_id],Trip[shape_id],"Não encontrado")</f>
        <v/>
      </c>
      <c r="B10605" s="43" t="n">
        <v>-23.565494</v>
      </c>
      <c r="C10605" s="43" t="n">
        <v>-46.550313</v>
      </c>
      <c r="D10605" s="43" t="n">
        <v>130</v>
      </c>
      <c r="E10605" s="44" t="n">
        <v>5355.3892</v>
      </c>
    </row>
    <row r="10606">
      <c r="A10606" s="39">
        <f>_xlfn.XLOOKUP(67944,Trip[shape_id],Trip[shape_id],"Não encontrado")</f>
        <v/>
      </c>
      <c r="B10606" s="40" t="n">
        <v>-23.565638</v>
      </c>
      <c r="C10606" s="40" t="n">
        <v>-46.550468</v>
      </c>
      <c r="D10606" s="40" t="n">
        <v>131</v>
      </c>
      <c r="E10606" s="41" t="n">
        <v>5377.856</v>
      </c>
    </row>
    <row r="10607">
      <c r="A10607" s="42">
        <f>_xlfn.XLOOKUP(67944,Trip[shape_id],Trip[shape_id],"Não encontrado")</f>
        <v/>
      </c>
      <c r="B10607" s="43" t="n">
        <v>-23.565836</v>
      </c>
      <c r="C10607" s="43" t="n">
        <v>-46.550742</v>
      </c>
      <c r="D10607" s="43" t="n">
        <v>132</v>
      </c>
      <c r="E10607" s="44" t="n">
        <v>5413.3994</v>
      </c>
    </row>
    <row r="10608">
      <c r="A10608" s="39">
        <f>_xlfn.XLOOKUP(67944,Trip[shape_id],Trip[shape_id],"Não encontrado")</f>
        <v/>
      </c>
      <c r="B10608" s="40" t="n">
        <v>-23.566019</v>
      </c>
      <c r="C10608" s="40" t="n">
        <v>-46.55102</v>
      </c>
      <c r="D10608" s="40" t="n">
        <v>133</v>
      </c>
      <c r="E10608" s="41" t="n">
        <v>5448.2744</v>
      </c>
    </row>
    <row r="10609">
      <c r="A10609" s="42">
        <f>_xlfn.XLOOKUP(67944,Trip[shape_id],Trip[shape_id],"Não encontrado")</f>
        <v/>
      </c>
      <c r="B10609" s="43" t="n">
        <v>-23.566225</v>
      </c>
      <c r="C10609" s="43" t="n">
        <v>-46.551271</v>
      </c>
      <c r="D10609" s="43" t="n">
        <v>134</v>
      </c>
      <c r="E10609" s="44" t="n">
        <v>5482.584</v>
      </c>
    </row>
    <row r="10610">
      <c r="A10610" s="39">
        <f>_xlfn.XLOOKUP(67944,Trip[shape_id],Trip[shape_id],"Não encontrado")</f>
        <v/>
      </c>
      <c r="B10610" s="40" t="n">
        <v>-23.566304</v>
      </c>
      <c r="C10610" s="40" t="n">
        <v>-46.551398</v>
      </c>
      <c r="D10610" s="40" t="n">
        <v>135</v>
      </c>
      <c r="E10610" s="41" t="n">
        <v>5498.2251</v>
      </c>
    </row>
    <row r="10611">
      <c r="A10611" s="42">
        <f>_xlfn.XLOOKUP(67944,Trip[shape_id],Trip[shape_id],"Não encontrado")</f>
        <v/>
      </c>
      <c r="B10611" s="43" t="n">
        <v>-23.566371</v>
      </c>
      <c r="C10611" s="43" t="n">
        <v>-46.551515</v>
      </c>
      <c r="D10611" s="43" t="n">
        <v>136</v>
      </c>
      <c r="E10611" s="44" t="n">
        <v>5512.2866</v>
      </c>
    </row>
    <row r="10612">
      <c r="A10612" s="39">
        <f>_xlfn.XLOOKUP(67944,Trip[shape_id],Trip[shape_id],"Não encontrado")</f>
        <v/>
      </c>
      <c r="B10612" s="40" t="n">
        <v>-23.566429</v>
      </c>
      <c r="C10612" s="40" t="n">
        <v>-46.551643</v>
      </c>
      <c r="D10612" s="40" t="n">
        <v>137</v>
      </c>
      <c r="E10612" s="41" t="n">
        <v>5526.8477</v>
      </c>
    </row>
    <row r="10613">
      <c r="A10613" s="42">
        <f>_xlfn.XLOOKUP(67944,Trip[shape_id],Trip[shape_id],"Não encontrado")</f>
        <v/>
      </c>
      <c r="B10613" s="43" t="n">
        <v>-23.566462</v>
      </c>
      <c r="C10613" s="43" t="n">
        <v>-46.551798</v>
      </c>
      <c r="D10613" s="43" t="n">
        <v>138</v>
      </c>
      <c r="E10613" s="44" t="n">
        <v>5543.0884</v>
      </c>
    </row>
    <row r="10614">
      <c r="A10614" s="39">
        <f>_xlfn.XLOOKUP(67944,Trip[shape_id],Trip[shape_id],"Não encontrado")</f>
        <v/>
      </c>
      <c r="B10614" s="40" t="n">
        <v>-23.566482</v>
      </c>
      <c r="C10614" s="40" t="n">
        <v>-46.551877</v>
      </c>
      <c r="D10614" s="40" t="n">
        <v>139</v>
      </c>
      <c r="E10614" s="41" t="n">
        <v>5551.4526</v>
      </c>
    </row>
    <row r="10615">
      <c r="A10615" s="42">
        <f>_xlfn.XLOOKUP(67944,Trip[shape_id],Trip[shape_id],"Não encontrado")</f>
        <v/>
      </c>
      <c r="B10615" s="43" t="n">
        <v>-23.566493</v>
      </c>
      <c r="C10615" s="43" t="n">
        <v>-46.551938</v>
      </c>
      <c r="D10615" s="43" t="n">
        <v>140</v>
      </c>
      <c r="E10615" s="44" t="n">
        <v>5557.7979</v>
      </c>
    </row>
    <row r="10616">
      <c r="A10616" s="39">
        <f>_xlfn.XLOOKUP(67944,Trip[shape_id],Trip[shape_id],"Não encontrado")</f>
        <v/>
      </c>
      <c r="B10616" s="40" t="n">
        <v>-23.566535</v>
      </c>
      <c r="C10616" s="40" t="n">
        <v>-46.552221</v>
      </c>
      <c r="D10616" s="40" t="n">
        <v>141</v>
      </c>
      <c r="E10616" s="41" t="n">
        <v>5587.061</v>
      </c>
    </row>
    <row r="10617">
      <c r="A10617" s="42">
        <f>_xlfn.XLOOKUP(67944,Trip[shape_id],Trip[shape_id],"Não encontrado")</f>
        <v/>
      </c>
      <c r="B10617" s="43" t="n">
        <v>-23.566556</v>
      </c>
      <c r="C10617" s="43" t="n">
        <v>-46.552357</v>
      </c>
      <c r="D10617" s="43" t="n">
        <v>142</v>
      </c>
      <c r="E10617" s="44" t="n">
        <v>5601.1392</v>
      </c>
    </row>
    <row r="10618">
      <c r="A10618" s="39">
        <f>_xlfn.XLOOKUP(67944,Trip[shape_id],Trip[shape_id],"Não encontrado")</f>
        <v/>
      </c>
      <c r="B10618" s="40" t="n">
        <v>-23.566611</v>
      </c>
      <c r="C10618" s="40" t="n">
        <v>-46.552679</v>
      </c>
      <c r="D10618" s="40" t="n">
        <v>143</v>
      </c>
      <c r="E10618" s="41" t="n">
        <v>5650.2964</v>
      </c>
    </row>
    <row r="10619">
      <c r="A10619" s="42">
        <f>_xlfn.XLOOKUP(67944,Trip[shape_id],Trip[shape_id],"Não encontrado")</f>
        <v/>
      </c>
      <c r="B10619" s="43" t="n">
        <v>-23.566647</v>
      </c>
      <c r="C10619" s="43" t="n">
        <v>-46.552828</v>
      </c>
      <c r="D10619" s="43" t="n">
        <v>144</v>
      </c>
      <c r="E10619" s="44" t="n">
        <v>5665.5293</v>
      </c>
    </row>
    <row r="10620">
      <c r="A10620" s="39">
        <f>_xlfn.XLOOKUP(67944,Trip[shape_id],Trip[shape_id],"Não encontrado")</f>
        <v/>
      </c>
      <c r="B10620" s="40" t="n">
        <v>-23.566692</v>
      </c>
      <c r="C10620" s="40" t="n">
        <v>-46.552969</v>
      </c>
      <c r="D10620" s="40" t="n">
        <v>145</v>
      </c>
      <c r="E10620" s="41" t="n">
        <v>5695.0049</v>
      </c>
    </row>
    <row r="10621">
      <c r="A10621" s="42">
        <f>_xlfn.XLOOKUP(67944,Trip[shape_id],Trip[shape_id],"Não encontrado")</f>
        <v/>
      </c>
      <c r="B10621" s="43" t="n">
        <v>-23.566844</v>
      </c>
      <c r="C10621" s="43" t="n">
        <v>-46.553206</v>
      </c>
      <c r="D10621" s="43" t="n">
        <v>146</v>
      </c>
      <c r="E10621" s="44" t="n">
        <v>5706.0313</v>
      </c>
    </row>
    <row r="10622">
      <c r="A10622" s="39">
        <f>_xlfn.XLOOKUP(67944,Trip[shape_id],Trip[shape_id],"Não encontrado")</f>
        <v/>
      </c>
      <c r="B10622" s="40" t="n">
        <v>-23.566903</v>
      </c>
      <c r="C10622" s="40" t="n">
        <v>-46.553293</v>
      </c>
      <c r="D10622" s="40" t="n">
        <v>147</v>
      </c>
      <c r="E10622" s="41" t="n">
        <v>5722.3682</v>
      </c>
    </row>
    <row r="10623">
      <c r="A10623" s="42">
        <f>_xlfn.XLOOKUP(67944,Trip[shape_id],Trip[shape_id],"Não encontrado")</f>
        <v/>
      </c>
      <c r="B10623" s="43" t="n">
        <v>-23.567011</v>
      </c>
      <c r="C10623" s="43" t="n">
        <v>-46.553402</v>
      </c>
      <c r="D10623" s="43" t="n">
        <v>148</v>
      </c>
      <c r="E10623" s="44" t="n">
        <v>5722.3682</v>
      </c>
    </row>
    <row r="10624">
      <c r="A10624" s="39">
        <f>_xlfn.XLOOKUP(67944,Trip[shape_id],Trip[shape_id],"Não encontrado")</f>
        <v/>
      </c>
      <c r="B10624" s="40" t="n">
        <v>-23.567089</v>
      </c>
      <c r="C10624" s="40" t="n">
        <v>-46.553468</v>
      </c>
      <c r="D10624" s="40" t="n">
        <v>149</v>
      </c>
      <c r="E10624" s="41" t="n">
        <v>5745.3081</v>
      </c>
    </row>
    <row r="10625">
      <c r="A10625" s="42">
        <f>_xlfn.XLOOKUP(67944,Trip[shape_id],Trip[shape_id],"Não encontrado")</f>
        <v/>
      </c>
      <c r="B10625" s="43" t="n">
        <v>-23.567173</v>
      </c>
      <c r="C10625" s="43" t="n">
        <v>-46.553542</v>
      </c>
      <c r="D10625" s="43" t="n">
        <v>150</v>
      </c>
      <c r="E10625" s="44" t="n">
        <v>5757.4824</v>
      </c>
    </row>
    <row r="10626">
      <c r="A10626" s="39">
        <f>_xlfn.XLOOKUP(67944,Trip[shape_id],Trip[shape_id],"Não encontrado")</f>
        <v/>
      </c>
      <c r="B10626" s="40" t="n">
        <v>-23.567268</v>
      </c>
      <c r="C10626" s="40" t="n">
        <v>-46.553602</v>
      </c>
      <c r="D10626" s="40" t="n">
        <v>151</v>
      </c>
      <c r="E10626" s="41" t="n">
        <v>5771.5112</v>
      </c>
    </row>
    <row r="10627">
      <c r="A10627" s="42">
        <f>_xlfn.XLOOKUP(67944,Trip[shape_id],Trip[shape_id],"Não encontrado")</f>
        <v/>
      </c>
      <c r="B10627" s="43" t="n">
        <v>-23.567388</v>
      </c>
      <c r="C10627" s="43" t="n">
        <v>-46.553646</v>
      </c>
      <c r="D10627" s="43" t="n">
        <v>152</v>
      </c>
      <c r="E10627" s="44" t="n">
        <v>5783.3789</v>
      </c>
    </row>
    <row r="10628">
      <c r="A10628" s="39">
        <f>_xlfn.XLOOKUP(67944,Trip[shape_id],Trip[shape_id],"Não encontrado")</f>
        <v/>
      </c>
      <c r="B10628" s="40" t="n">
        <v>-23.567494</v>
      </c>
      <c r="C10628" s="40" t="n">
        <v>-46.553663</v>
      </c>
      <c r="D10628" s="40" t="n">
        <v>153</v>
      </c>
      <c r="E10628" s="41" t="n">
        <v>5795.4551</v>
      </c>
    </row>
    <row r="10629">
      <c r="A10629" s="42">
        <f>_xlfn.XLOOKUP(67944,Trip[shape_id],Trip[shape_id],"Não encontrado")</f>
        <v/>
      </c>
      <c r="B10629" s="43" t="n">
        <v>-23.567603</v>
      </c>
      <c r="C10629" s="43" t="n">
        <v>-46.553666</v>
      </c>
      <c r="D10629" s="43" t="n">
        <v>154</v>
      </c>
      <c r="E10629" s="44" t="n">
        <v>5808.3608</v>
      </c>
    </row>
    <row r="10630">
      <c r="A10630" s="39">
        <f>_xlfn.XLOOKUP(67944,Trip[shape_id],Trip[shape_id],"Não encontrado")</f>
        <v/>
      </c>
      <c r="B10630" s="40" t="n">
        <v>-23.567719</v>
      </c>
      <c r="C10630" s="40" t="n">
        <v>-46.553654</v>
      </c>
      <c r="D10630" s="40" t="n">
        <v>155</v>
      </c>
      <c r="E10630" s="41" t="n">
        <v>5862.1943</v>
      </c>
    </row>
    <row r="10631">
      <c r="A10631" s="42">
        <f>_xlfn.XLOOKUP(67944,Trip[shape_id],Trip[shape_id],"Não encontrado")</f>
        <v/>
      </c>
      <c r="B10631" s="43" t="n">
        <v>-23.568204</v>
      </c>
      <c r="C10631" s="43" t="n">
        <v>-46.553619</v>
      </c>
      <c r="D10631" s="43" t="n">
        <v>156</v>
      </c>
      <c r="E10631" s="44" t="n">
        <v>5862.1943</v>
      </c>
    </row>
    <row r="10632">
      <c r="A10632" s="39">
        <f>_xlfn.XLOOKUP(67944,Trip[shape_id],Trip[shape_id],"Não encontrado")</f>
        <v/>
      </c>
      <c r="B10632" s="40" t="n">
        <v>-23.568589</v>
      </c>
      <c r="C10632" s="40" t="n">
        <v>-46.553294</v>
      </c>
      <c r="D10632" s="40" t="n">
        <v>157</v>
      </c>
      <c r="E10632" s="41" t="n">
        <v>5965.0225</v>
      </c>
    </row>
    <row r="10633">
      <c r="A10633" s="42">
        <f>_xlfn.XLOOKUP(67944,Trip[shape_id],Trip[shape_id],"Não encontrado")</f>
        <v/>
      </c>
      <c r="B10633" s="43" t="n">
        <v>-23.568894</v>
      </c>
      <c r="C10633" s="43" t="n">
        <v>-46.552949</v>
      </c>
      <c r="D10633" s="43" t="n">
        <v>158</v>
      </c>
      <c r="E10633" s="44" t="n">
        <v>5965.0225</v>
      </c>
    </row>
    <row r="10634">
      <c r="A10634" s="39">
        <f>_xlfn.XLOOKUP(67944,Trip[shape_id],Trip[shape_id],"Não encontrado")</f>
        <v/>
      </c>
      <c r="B10634" s="40" t="n">
        <v>-23.569248</v>
      </c>
      <c r="C10634" s="40" t="n">
        <v>-46.552447</v>
      </c>
      <c r="D10634" s="40" t="n">
        <v>159</v>
      </c>
      <c r="E10634" s="41" t="n">
        <v>6029.5474</v>
      </c>
    </row>
    <row r="10635">
      <c r="A10635" s="42">
        <f>_xlfn.XLOOKUP(67944,Trip[shape_id],Trip[shape_id],"Não encontrado")</f>
        <v/>
      </c>
      <c r="B10635" s="43" t="n">
        <v>-23.569349</v>
      </c>
      <c r="C10635" s="43" t="n">
        <v>-46.552288</v>
      </c>
      <c r="D10635" s="43" t="n">
        <v>160</v>
      </c>
      <c r="E10635" s="44" t="n">
        <v>6077.9106</v>
      </c>
    </row>
    <row r="10636">
      <c r="A10636" s="39">
        <f>_xlfn.XLOOKUP(67944,Trip[shape_id],Trip[shape_id],"Não encontrado")</f>
        <v/>
      </c>
      <c r="B10636" s="40" t="n">
        <v>-23.56948</v>
      </c>
      <c r="C10636" s="40" t="n">
        <v>-46.552046</v>
      </c>
      <c r="D10636" s="40" t="n">
        <v>161</v>
      </c>
      <c r="E10636" s="41" t="n">
        <v>6120.4023</v>
      </c>
    </row>
    <row r="10637">
      <c r="A10637" s="42">
        <f>_xlfn.XLOOKUP(67944,Trip[shape_id],Trip[shape_id],"Não encontrado")</f>
        <v/>
      </c>
      <c r="B10637" s="43" t="n">
        <v>-23.569661</v>
      </c>
      <c r="C10637" s="43" t="n">
        <v>-46.551679</v>
      </c>
      <c r="D10637" s="43" t="n">
        <v>162</v>
      </c>
      <c r="E10637" s="44" t="n">
        <v>6120.4023</v>
      </c>
    </row>
    <row r="10638">
      <c r="A10638" s="39">
        <f>_xlfn.XLOOKUP(67944,Trip[shape_id],Trip[shape_id],"Não encontrado")</f>
        <v/>
      </c>
      <c r="B10638" s="40" t="n">
        <v>-23.569721</v>
      </c>
      <c r="C10638" s="40" t="n">
        <v>-46.551551</v>
      </c>
      <c r="D10638" s="40" t="n">
        <v>163</v>
      </c>
      <c r="E10638" s="41" t="n">
        <v>6186.3369</v>
      </c>
    </row>
    <row r="10639">
      <c r="A10639" s="42">
        <f>_xlfn.XLOOKUP(67944,Trip[shape_id],Trip[shape_id],"Não encontrado")</f>
        <v/>
      </c>
      <c r="B10639" s="43" t="n">
        <v>-23.569896</v>
      </c>
      <c r="C10639" s="43" t="n">
        <v>-46.551086</v>
      </c>
      <c r="D10639" s="43" t="n">
        <v>164</v>
      </c>
      <c r="E10639" s="44" t="n">
        <v>6186.3369</v>
      </c>
    </row>
    <row r="10640">
      <c r="A10640" s="39">
        <f>_xlfn.XLOOKUP(67944,Trip[shape_id],Trip[shape_id],"Não encontrado")</f>
        <v/>
      </c>
      <c r="B10640" s="40" t="n">
        <v>-23.570005</v>
      </c>
      <c r="C10640" s="40" t="n">
        <v>-46.550788</v>
      </c>
      <c r="D10640" s="40" t="n">
        <v>165</v>
      </c>
      <c r="E10640" s="41" t="n">
        <v>6219.0664</v>
      </c>
    </row>
    <row r="10641">
      <c r="A10641" s="42">
        <f>_xlfn.XLOOKUP(67944,Trip[shape_id],Trip[shape_id],"Não encontrado")</f>
        <v/>
      </c>
      <c r="B10641" s="43" t="n">
        <v>-23.57011</v>
      </c>
      <c r="C10641" s="43" t="n">
        <v>-46.550483</v>
      </c>
      <c r="D10641" s="43" t="n">
        <v>166</v>
      </c>
      <c r="E10641" s="44" t="n">
        <v>6265.1519</v>
      </c>
    </row>
    <row r="10642">
      <c r="A10642" s="39">
        <f>_xlfn.XLOOKUP(67944,Trip[shape_id],Trip[shape_id],"Não encontrado")</f>
        <v/>
      </c>
      <c r="B10642" s="40" t="n">
        <v>-23.570155</v>
      </c>
      <c r="C10642" s="40" t="n">
        <v>-46.550367</v>
      </c>
      <c r="D10642" s="40" t="n">
        <v>167</v>
      </c>
      <c r="E10642" s="41" t="n">
        <v>6278.6758</v>
      </c>
    </row>
    <row r="10643">
      <c r="A10643" s="42">
        <f>_xlfn.XLOOKUP(67944,Trip[shape_id],Trip[shape_id],"Não encontrado")</f>
        <v/>
      </c>
      <c r="B10643" s="43" t="n">
        <v>-23.570227</v>
      </c>
      <c r="C10643" s="43" t="n">
        <v>-46.55026</v>
      </c>
      <c r="D10643" s="43" t="n">
        <v>168</v>
      </c>
      <c r="E10643" s="44" t="n">
        <v>6278.6758</v>
      </c>
    </row>
    <row r="10644">
      <c r="A10644" s="39">
        <f>_xlfn.XLOOKUP(67944,Trip[shape_id],Trip[shape_id],"Não encontrado")</f>
        <v/>
      </c>
      <c r="B10644" s="40" t="n">
        <v>-23.570448</v>
      </c>
      <c r="C10644" s="40" t="n">
        <v>-46.54998</v>
      </c>
      <c r="D10644" s="40" t="n">
        <v>169</v>
      </c>
      <c r="E10644" s="41" t="n">
        <v>6360.8228</v>
      </c>
    </row>
    <row r="10645">
      <c r="A10645" s="42">
        <f>_xlfn.XLOOKUP(67944,Trip[shape_id],Trip[shape_id],"Não encontrado")</f>
        <v/>
      </c>
      <c r="B10645" s="43" t="n">
        <v>-23.570753</v>
      </c>
      <c r="C10645" s="43" t="n">
        <v>-46.549696</v>
      </c>
      <c r="D10645" s="43" t="n">
        <v>170</v>
      </c>
      <c r="E10645" s="44" t="n">
        <v>6360.8228</v>
      </c>
    </row>
    <row r="10646">
      <c r="A10646" s="39">
        <f>_xlfn.XLOOKUP(67944,Trip[shape_id],Trip[shape_id],"Não encontrado")</f>
        <v/>
      </c>
      <c r="B10646" s="40" t="n">
        <v>-23.570644</v>
      </c>
      <c r="C10646" s="40" t="n">
        <v>-46.549424</v>
      </c>
      <c r="D10646" s="40" t="n">
        <v>171</v>
      </c>
      <c r="E10646" s="41" t="n">
        <v>6421.8413</v>
      </c>
    </row>
    <row r="10647">
      <c r="A10647" s="42">
        <f>_xlfn.XLOOKUP(67944,Trip[shape_id],Trip[shape_id],"Não encontrado")</f>
        <v/>
      </c>
      <c r="B10647" s="43" t="n">
        <v>-23.57056</v>
      </c>
      <c r="C10647" s="43" t="n">
        <v>-46.549137</v>
      </c>
      <c r="D10647" s="43" t="n">
        <v>172</v>
      </c>
      <c r="E10647" s="44" t="n">
        <v>6456.1636</v>
      </c>
    </row>
    <row r="10648">
      <c r="A10648" s="39">
        <f>_xlfn.XLOOKUP(67944,Trip[shape_id],Trip[shape_id],"Não encontrado")</f>
        <v/>
      </c>
      <c r="B10648" s="40" t="n">
        <v>-23.570474</v>
      </c>
      <c r="C10648" s="40" t="n">
        <v>-46.548814</v>
      </c>
      <c r="D10648" s="40" t="n">
        <v>173</v>
      </c>
      <c r="E10648" s="41" t="n">
        <v>6456.1636</v>
      </c>
    </row>
    <row r="10649">
      <c r="A10649" s="42">
        <f>_xlfn.XLOOKUP(67944,Trip[shape_id],Trip[shape_id],"Não encontrado")</f>
        <v/>
      </c>
      <c r="B10649" s="43" t="n">
        <v>-23.570443</v>
      </c>
      <c r="C10649" s="43" t="n">
        <v>-46.548718</v>
      </c>
      <c r="D10649" s="43" t="n">
        <v>174</v>
      </c>
      <c r="E10649" s="44" t="n">
        <v>6466.5483</v>
      </c>
    </row>
    <row r="10650">
      <c r="A10650" s="39">
        <f>_xlfn.XLOOKUP(67944,Trip[shape_id],Trip[shape_id],"Não encontrado")</f>
        <v/>
      </c>
      <c r="B10650" s="40" t="n">
        <v>-23.570426</v>
      </c>
      <c r="C10650" s="40" t="n">
        <v>-46.548653</v>
      </c>
      <c r="D10650" s="40" t="n">
        <v>175</v>
      </c>
      <c r="E10650" s="41" t="n">
        <v>6477.5249</v>
      </c>
    </row>
    <row r="10651">
      <c r="A10651" s="42">
        <f>_xlfn.XLOOKUP(67944,Trip[shape_id],Trip[shape_id],"Não encontrado")</f>
        <v/>
      </c>
      <c r="B10651" s="43" t="n">
        <v>-23.570418</v>
      </c>
      <c r="C10651" s="43" t="n">
        <v>-46.548614</v>
      </c>
      <c r="D10651" s="43" t="n">
        <v>176</v>
      </c>
      <c r="E10651" s="44" t="n">
        <v>6477.5249</v>
      </c>
    </row>
    <row r="10652">
      <c r="A10652" s="39">
        <f>_xlfn.XLOOKUP(67944,Trip[shape_id],Trip[shape_id],"Não encontrado")</f>
        <v/>
      </c>
      <c r="B10652" s="40" t="n">
        <v>-23.57036</v>
      </c>
      <c r="C10652" s="40" t="n">
        <v>-46.548532</v>
      </c>
      <c r="D10652" s="40" t="n">
        <v>177</v>
      </c>
      <c r="E10652" s="41" t="n">
        <v>6488.0767</v>
      </c>
    </row>
    <row r="10653">
      <c r="A10653" s="42">
        <f>_xlfn.XLOOKUP(67944,Trip[shape_id],Trip[shape_id],"Não encontrado")</f>
        <v/>
      </c>
      <c r="B10653" s="43" t="n">
        <v>-23.570246</v>
      </c>
      <c r="C10653" s="43" t="n">
        <v>-46.548386</v>
      </c>
      <c r="D10653" s="43" t="n">
        <v>178</v>
      </c>
      <c r="E10653" s="44" t="n">
        <v>6507.6099</v>
      </c>
    </row>
    <row r="10654">
      <c r="A10654" s="39">
        <f>_xlfn.XLOOKUP(67944,Trip[shape_id],Trip[shape_id],"Não encontrado")</f>
        <v/>
      </c>
      <c r="B10654" s="40" t="n">
        <v>-23.570144</v>
      </c>
      <c r="C10654" s="40" t="n">
        <v>-46.548305</v>
      </c>
      <c r="D10654" s="40" t="n">
        <v>179</v>
      </c>
      <c r="E10654" s="41" t="n">
        <v>6521.6099</v>
      </c>
    </row>
    <row r="10655">
      <c r="A10655" s="42">
        <f>_xlfn.XLOOKUP(67944,Trip[shape_id],Trip[shape_id],"Não encontrado")</f>
        <v/>
      </c>
      <c r="B10655" s="43" t="n">
        <v>-23.570008</v>
      </c>
      <c r="C10655" s="43" t="n">
        <v>-46.548157</v>
      </c>
      <c r="D10655" s="43" t="n">
        <v>180</v>
      </c>
      <c r="E10655" s="44" t="n">
        <v>6542.9438</v>
      </c>
    </row>
    <row r="10656">
      <c r="A10656" s="39">
        <f>_xlfn.XLOOKUP(67944,Trip[shape_id],Trip[shape_id],"Não encontrado")</f>
        <v/>
      </c>
      <c r="B10656" s="40" t="n">
        <v>-23.569857</v>
      </c>
      <c r="C10656" s="40" t="n">
        <v>-46.548027</v>
      </c>
      <c r="D10656" s="40" t="n">
        <v>181</v>
      </c>
      <c r="E10656" s="41" t="n">
        <v>6609.3462</v>
      </c>
    </row>
    <row r="10657">
      <c r="A10657" s="42">
        <f>_xlfn.XLOOKUP(67944,Trip[shape_id],Trip[shape_id],"Não encontrado")</f>
        <v/>
      </c>
      <c r="B10657" s="43" t="n">
        <v>-23.569589</v>
      </c>
      <c r="C10657" s="43" t="n">
        <v>-46.547695</v>
      </c>
      <c r="D10657" s="43" t="n">
        <v>182</v>
      </c>
      <c r="E10657" s="44" t="n">
        <v>6632.3013</v>
      </c>
    </row>
    <row r="10658">
      <c r="A10658" s="39">
        <f>_xlfn.XLOOKUP(67944,Trip[shape_id],Trip[shape_id],"Não encontrado")</f>
        <v/>
      </c>
      <c r="B10658" s="40" t="n">
        <v>-23.56946</v>
      </c>
      <c r="C10658" s="40" t="n">
        <v>-46.547519</v>
      </c>
      <c r="D10658" s="40" t="n">
        <v>183</v>
      </c>
      <c r="E10658" s="41" t="n">
        <v>6632.3013</v>
      </c>
    </row>
    <row r="10659">
      <c r="A10659" s="42">
        <f>_xlfn.XLOOKUP(67944,Trip[shape_id],Trip[shape_id],"Não encontrado")</f>
        <v/>
      </c>
      <c r="B10659" s="43" t="n">
        <v>-23.569397</v>
      </c>
      <c r="C10659" s="43" t="n">
        <v>-46.547424</v>
      </c>
      <c r="D10659" s="43" t="n">
        <v>184</v>
      </c>
      <c r="E10659" s="44" t="n">
        <v>6662.52</v>
      </c>
    </row>
    <row r="10660">
      <c r="A10660" s="39">
        <f>_xlfn.XLOOKUP(67944,Trip[shape_id],Trip[shape_id],"Não encontrado")</f>
        <v/>
      </c>
      <c r="B10660" s="40" t="n">
        <v>-23.569307</v>
      </c>
      <c r="C10660" s="40" t="n">
        <v>-46.547274</v>
      </c>
      <c r="D10660" s="40" t="n">
        <v>185</v>
      </c>
      <c r="E10660" s="41" t="n">
        <v>6676.6401</v>
      </c>
    </row>
    <row r="10661">
      <c r="A10661" s="42">
        <f>_xlfn.XLOOKUP(67944,Trip[shape_id],Trip[shape_id],"Não encontrado")</f>
        <v/>
      </c>
      <c r="B10661" s="43" t="n">
        <v>-23.569239</v>
      </c>
      <c r="C10661" s="43" t="n">
        <v>-46.547157</v>
      </c>
      <c r="D10661" s="43" t="n">
        <v>186</v>
      </c>
      <c r="E10661" s="44" t="n">
        <v>6707.895</v>
      </c>
    </row>
    <row r="10662">
      <c r="A10662" s="39">
        <f>_xlfn.XLOOKUP(67944,Trip[shape_id],Trip[shape_id],"Não encontrado")</f>
        <v/>
      </c>
      <c r="B10662" s="40" t="n">
        <v>-23.569093</v>
      </c>
      <c r="C10662" s="40" t="n">
        <v>-46.546895</v>
      </c>
      <c r="D10662" s="40" t="n">
        <v>187</v>
      </c>
      <c r="E10662" s="41" t="n">
        <v>6737.1802</v>
      </c>
    </row>
    <row r="10663">
      <c r="A10663" s="42">
        <f>_xlfn.XLOOKUP(67944,Trip[shape_id],Trip[shape_id],"Não encontrado")</f>
        <v/>
      </c>
      <c r="B10663" s="43" t="n">
        <v>-23.568994</v>
      </c>
      <c r="C10663" s="43" t="n">
        <v>-46.546629</v>
      </c>
      <c r="D10663" s="43" t="n">
        <v>188</v>
      </c>
      <c r="E10663" s="44" t="n">
        <v>6756.0229</v>
      </c>
    </row>
    <row r="10664">
      <c r="A10664" s="39">
        <f>_xlfn.XLOOKUP(67944,Trip[shape_id],Trip[shape_id],"Não encontrado")</f>
        <v/>
      </c>
      <c r="B10664" s="40" t="n">
        <v>-23.568949</v>
      </c>
      <c r="C10664" s="40" t="n">
        <v>-46.546451</v>
      </c>
      <c r="D10664" s="40" t="n">
        <v>189</v>
      </c>
      <c r="E10664" s="41" t="n">
        <v>6781.4478</v>
      </c>
    </row>
    <row r="10665">
      <c r="A10665" s="42">
        <f>_xlfn.XLOOKUP(67944,Trip[shape_id],Trip[shape_id],"Não encontrado")</f>
        <v/>
      </c>
      <c r="B10665" s="43" t="n">
        <v>-23.568903</v>
      </c>
      <c r="C10665" s="43" t="n">
        <v>-46.546207</v>
      </c>
      <c r="D10665" s="43" t="n">
        <v>190</v>
      </c>
      <c r="E10665" s="44" t="n">
        <v>6813.2158</v>
      </c>
    </row>
    <row r="10666">
      <c r="A10666" s="39">
        <f>_xlfn.XLOOKUP(67944,Trip[shape_id],Trip[shape_id],"Não encontrado")</f>
        <v/>
      </c>
      <c r="B10666" s="40" t="n">
        <v>-23.568878</v>
      </c>
      <c r="C10666" s="40" t="n">
        <v>-46.545897</v>
      </c>
      <c r="D10666" s="40" t="n">
        <v>191</v>
      </c>
      <c r="E10666" s="41" t="n">
        <v>6813.2158</v>
      </c>
    </row>
    <row r="10667">
      <c r="A10667" s="42">
        <f>_xlfn.XLOOKUP(67944,Trip[shape_id],Trip[shape_id],"Não encontrado")</f>
        <v/>
      </c>
      <c r="B10667" s="43" t="n">
        <v>-23.56885</v>
      </c>
      <c r="C10667" s="43" t="n">
        <v>-46.545713</v>
      </c>
      <c r="D10667" s="43" t="n">
        <v>192</v>
      </c>
      <c r="E10667" s="44" t="n">
        <v>6832.2539</v>
      </c>
    </row>
    <row r="10668">
      <c r="A10668" s="39">
        <f>_xlfn.XLOOKUP(67944,Trip[shape_id],Trip[shape_id],"Não encontrado")</f>
        <v/>
      </c>
      <c r="B10668" s="40" t="n">
        <v>-23.568813</v>
      </c>
      <c r="C10668" s="40" t="n">
        <v>-46.545472</v>
      </c>
      <c r="D10668" s="40" t="n">
        <v>193</v>
      </c>
      <c r="E10668" s="41" t="n">
        <v>6857.1958</v>
      </c>
    </row>
    <row r="10669">
      <c r="A10669" s="42">
        <f>_xlfn.XLOOKUP(67944,Trip[shape_id],Trip[shape_id],"Não encontrado")</f>
        <v/>
      </c>
      <c r="B10669" s="43" t="n">
        <v>-23.568785</v>
      </c>
      <c r="C10669" s="43" t="n">
        <v>-46.54539</v>
      </c>
      <c r="D10669" s="43" t="n">
        <v>194</v>
      </c>
      <c r="E10669" s="44" t="n">
        <v>6898.0479</v>
      </c>
    </row>
    <row r="10670">
      <c r="A10670" s="39">
        <f>_xlfn.XLOOKUP(67944,Trip[shape_id],Trip[shape_id],"Não encontrado")</f>
        <v/>
      </c>
      <c r="B10670" s="40" t="n">
        <v>-23.568692</v>
      </c>
      <c r="C10670" s="40" t="n">
        <v>-46.545094</v>
      </c>
      <c r="D10670" s="40" t="n">
        <v>195</v>
      </c>
      <c r="E10670" s="41" t="n">
        <v>6898.0479</v>
      </c>
    </row>
    <row r="10671">
      <c r="A10671" s="42">
        <f>_xlfn.XLOOKUP(67944,Trip[shape_id],Trip[shape_id],"Não encontrado")</f>
        <v/>
      </c>
      <c r="B10671" s="43" t="n">
        <v>-23.568586</v>
      </c>
      <c r="C10671" s="43" t="n">
        <v>-46.54489</v>
      </c>
      <c r="D10671" s="43" t="n">
        <v>196</v>
      </c>
      <c r="E10671" s="44" t="n">
        <v>6948.8286</v>
      </c>
    </row>
    <row r="10672">
      <c r="A10672" s="39">
        <f>_xlfn.XLOOKUP(67944,Trip[shape_id],Trip[shape_id],"Não encontrado")</f>
        <v/>
      </c>
      <c r="B10672" s="40" t="n">
        <v>-23.568446</v>
      </c>
      <c r="C10672" s="40" t="n">
        <v>-46.544675</v>
      </c>
      <c r="D10672" s="40" t="n">
        <v>197</v>
      </c>
      <c r="E10672" s="41" t="n">
        <v>6948.8286</v>
      </c>
    </row>
    <row r="10673">
      <c r="A10673" s="42">
        <f>_xlfn.XLOOKUP(67944,Trip[shape_id],Trip[shape_id],"Não encontrado")</f>
        <v/>
      </c>
      <c r="B10673" s="43" t="n">
        <v>-23.568303</v>
      </c>
      <c r="C10673" s="43" t="n">
        <v>-46.544459</v>
      </c>
      <c r="D10673" s="43" t="n">
        <v>198</v>
      </c>
      <c r="E10673" s="44" t="n">
        <v>7004.9971</v>
      </c>
    </row>
    <row r="10674">
      <c r="A10674" s="39">
        <f>_xlfn.XLOOKUP(67944,Trip[shape_id],Trip[shape_id],"Não encontrado")</f>
        <v/>
      </c>
      <c r="B10674" s="40" t="n">
        <v>-23.568115</v>
      </c>
      <c r="C10674" s="40" t="n">
        <v>-46.544261</v>
      </c>
      <c r="D10674" s="40" t="n">
        <v>199</v>
      </c>
      <c r="E10674" s="41" t="n">
        <v>7023.0381</v>
      </c>
    </row>
    <row r="10675">
      <c r="A10675" s="42">
        <f>_xlfn.XLOOKUP(67944,Trip[shape_id],Trip[shape_id],"Não encontrado")</f>
        <v/>
      </c>
      <c r="B10675" s="43" t="n">
        <v>-23.567989</v>
      </c>
      <c r="C10675" s="43" t="n">
        <v>-46.544149</v>
      </c>
      <c r="D10675" s="43" t="n">
        <v>200</v>
      </c>
      <c r="E10675" s="44" t="n">
        <v>7034.6431</v>
      </c>
    </row>
    <row r="10676">
      <c r="A10676" s="39">
        <f>_xlfn.XLOOKUP(67944,Trip[shape_id],Trip[shape_id],"Não encontrado")</f>
        <v/>
      </c>
      <c r="B10676" s="40" t="n">
        <v>-23.5679</v>
      </c>
      <c r="C10676" s="40" t="n">
        <v>-46.544089</v>
      </c>
      <c r="D10676" s="40" t="n">
        <v>201</v>
      </c>
      <c r="E10676" s="41" t="n">
        <v>7045.8188</v>
      </c>
    </row>
    <row r="10677">
      <c r="A10677" s="42">
        <f>_xlfn.XLOOKUP(67944,Trip[shape_id],Trip[shape_id],"Não encontrado")</f>
        <v/>
      </c>
      <c r="B10677" s="43" t="n">
        <v>-23.567815</v>
      </c>
      <c r="C10677" s="43" t="n">
        <v>-46.54403</v>
      </c>
      <c r="D10677" s="43" t="n">
        <v>202</v>
      </c>
      <c r="E10677" s="44" t="n">
        <v>7067.584</v>
      </c>
    </row>
    <row r="10678">
      <c r="A10678" s="39">
        <f>_xlfn.XLOOKUP(67944,Trip[shape_id],Trip[shape_id],"Não encontrado")</f>
        <v/>
      </c>
      <c r="B10678" s="40" t="n">
        <v>-23.567636</v>
      </c>
      <c r="C10678" s="40" t="n">
        <v>-46.543942</v>
      </c>
      <c r="D10678" s="40" t="n">
        <v>203</v>
      </c>
      <c r="E10678" s="41" t="n">
        <v>7067.584</v>
      </c>
    </row>
    <row r="10679">
      <c r="A10679" s="42">
        <f>_xlfn.XLOOKUP(67944,Trip[shape_id],Trip[shape_id],"Não encontrado")</f>
        <v/>
      </c>
      <c r="B10679" s="43" t="n">
        <v>-23.567613</v>
      </c>
      <c r="C10679" s="43" t="n">
        <v>-46.54388</v>
      </c>
      <c r="D10679" s="43" t="n">
        <v>204</v>
      </c>
      <c r="E10679" s="44" t="n">
        <v>7081.8408</v>
      </c>
    </row>
    <row r="10680">
      <c r="A10680" s="39">
        <f>_xlfn.XLOOKUP(67944,Trip[shape_id],Trip[shape_id],"Não encontrado")</f>
        <v/>
      </c>
      <c r="B10680" s="40" t="n">
        <v>-23.567589</v>
      </c>
      <c r="C10680" s="40" t="n">
        <v>-46.543812</v>
      </c>
      <c r="D10680" s="40" t="n">
        <v>205</v>
      </c>
      <c r="E10680" s="41" t="n">
        <v>7097.4736</v>
      </c>
    </row>
    <row r="10681">
      <c r="A10681" s="42">
        <f>_xlfn.XLOOKUP(67944,Trip[shape_id],Trip[shape_id],"Não encontrado")</f>
        <v/>
      </c>
      <c r="B10681" s="43" t="n">
        <v>-23.567541</v>
      </c>
      <c r="C10681" s="43" t="n">
        <v>-46.543668</v>
      </c>
      <c r="D10681" s="43" t="n">
        <v>206</v>
      </c>
      <c r="E10681" s="44" t="n">
        <v>7108.6421</v>
      </c>
    </row>
    <row r="10682">
      <c r="A10682" s="39">
        <f>_xlfn.XLOOKUP(67944,Trip[shape_id],Trip[shape_id],"Não encontrado")</f>
        <v/>
      </c>
      <c r="B10682" s="40" t="n">
        <v>-23.56752</v>
      </c>
      <c r="C10682" s="40" t="n">
        <v>-46.543561</v>
      </c>
      <c r="D10682" s="40" t="n">
        <v>207</v>
      </c>
      <c r="E10682" s="41" t="n">
        <v>7116.6973</v>
      </c>
    </row>
    <row r="10683">
      <c r="A10683" s="42">
        <f>_xlfn.XLOOKUP(67944,Trip[shape_id],Trip[shape_id],"Não encontrado")</f>
        <v/>
      </c>
      <c r="B10683" s="43" t="n">
        <v>-23.567509</v>
      </c>
      <c r="C10683" s="43" t="n">
        <v>-46.543483</v>
      </c>
      <c r="D10683" s="43" t="n">
        <v>208</v>
      </c>
      <c r="E10683" s="44" t="n">
        <v>7116.6973</v>
      </c>
    </row>
    <row r="10684">
      <c r="A10684" s="39">
        <f>_xlfn.XLOOKUP(67944,Trip[shape_id],Trip[shape_id],"Não encontrado")</f>
        <v/>
      </c>
      <c r="B10684" s="40" t="n">
        <v>-23.567463</v>
      </c>
      <c r="C10684" s="40" t="n">
        <v>-46.543379</v>
      </c>
      <c r="D10684" s="40" t="n">
        <v>209</v>
      </c>
      <c r="E10684" s="41" t="n">
        <v>7128.4741</v>
      </c>
    </row>
    <row r="10685">
      <c r="A10685" s="42">
        <f>_xlfn.XLOOKUP(67944,Trip[shape_id],Trip[shape_id],"Não encontrado")</f>
        <v/>
      </c>
      <c r="B10685" s="43" t="n">
        <v>-23.567376</v>
      </c>
      <c r="C10685" s="43" t="n">
        <v>-46.543241</v>
      </c>
      <c r="D10685" s="43" t="n">
        <v>210</v>
      </c>
      <c r="E10685" s="44" t="n">
        <v>7152.2734</v>
      </c>
    </row>
    <row r="10686">
      <c r="A10686" s="39">
        <f>_xlfn.XLOOKUP(67944,Trip[shape_id],Trip[shape_id],"Não encontrado")</f>
        <v/>
      </c>
      <c r="B10686" s="40" t="n">
        <v>-23.567327</v>
      </c>
      <c r="C10686" s="40" t="n">
        <v>-46.543202</v>
      </c>
      <c r="D10686" s="40" t="n">
        <v>211</v>
      </c>
      <c r="E10686" s="41" t="n">
        <v>7152.2734</v>
      </c>
    </row>
    <row r="10687">
      <c r="A10687" s="42">
        <f>_xlfn.XLOOKUP(67944,Trip[shape_id],Trip[shape_id],"Não encontrado")</f>
        <v/>
      </c>
      <c r="B10687" s="43" t="n">
        <v>-23.567319</v>
      </c>
      <c r="C10687" s="43" t="n">
        <v>-46.54314</v>
      </c>
      <c r="D10687" s="43" t="n">
        <v>212</v>
      </c>
      <c r="E10687" s="44" t="n">
        <v>7169.3408</v>
      </c>
    </row>
    <row r="10688">
      <c r="A10688" s="39">
        <f>_xlfn.XLOOKUP(67944,Trip[shape_id],Trip[shape_id],"Não encontrado")</f>
        <v/>
      </c>
      <c r="B10688" s="40" t="n">
        <v>-23.567294</v>
      </c>
      <c r="C10688" s="40" t="n">
        <v>-46.543039</v>
      </c>
      <c r="D10688" s="40" t="n">
        <v>213</v>
      </c>
      <c r="E10688" s="41" t="n">
        <v>7169.3408</v>
      </c>
    </row>
    <row r="10689">
      <c r="A10689" s="42">
        <f>_xlfn.XLOOKUP(67944,Trip[shape_id],Trip[shape_id],"Não encontrado")</f>
        <v/>
      </c>
      <c r="B10689" s="43" t="n">
        <v>-23.567359</v>
      </c>
      <c r="C10689" s="43" t="n">
        <v>-46.542193</v>
      </c>
      <c r="D10689" s="43" t="n">
        <v>214</v>
      </c>
      <c r="E10689" s="44" t="n">
        <v>7256.0078</v>
      </c>
    </row>
    <row r="10690">
      <c r="A10690" s="39">
        <f>_xlfn.XLOOKUP(67944,Trip[shape_id],Trip[shape_id],"Não encontrado")</f>
        <v/>
      </c>
      <c r="B10690" s="40" t="n">
        <v>-23.567362</v>
      </c>
      <c r="C10690" s="40" t="n">
        <v>-46.542027</v>
      </c>
      <c r="D10690" s="40" t="n">
        <v>215</v>
      </c>
      <c r="E10690" s="41" t="n">
        <v>7272.9575</v>
      </c>
    </row>
    <row r="10691">
      <c r="A10691" s="42">
        <f>_xlfn.XLOOKUP(67944,Trip[shape_id],Trip[shape_id],"Não encontrado")</f>
        <v/>
      </c>
      <c r="B10691" s="43" t="n">
        <v>-23.567344</v>
      </c>
      <c r="C10691" s="43" t="n">
        <v>-46.541975</v>
      </c>
      <c r="D10691" s="43" t="n">
        <v>216</v>
      </c>
      <c r="E10691" s="44" t="n">
        <v>7283.6274</v>
      </c>
    </row>
    <row r="10692">
      <c r="A10692" s="39">
        <f>_xlfn.XLOOKUP(67944,Trip[shape_id],Trip[shape_id],"Não encontrado")</f>
        <v/>
      </c>
      <c r="B10692" s="40" t="n">
        <v>-23.567335</v>
      </c>
      <c r="C10692" s="40" t="n">
        <v>-46.541927</v>
      </c>
      <c r="D10692" s="40" t="n">
        <v>217</v>
      </c>
      <c r="E10692" s="41" t="n">
        <v>7299.3506</v>
      </c>
    </row>
    <row r="10693">
      <c r="A10693" s="42">
        <f>_xlfn.XLOOKUP(67944,Trip[shape_id],Trip[shape_id],"Não encontrado")</f>
        <v/>
      </c>
      <c r="B10693" s="43" t="n">
        <v>-23.567333</v>
      </c>
      <c r="C10693" s="43" t="n">
        <v>-46.541773</v>
      </c>
      <c r="D10693" s="43" t="n">
        <v>218</v>
      </c>
      <c r="E10693" s="44" t="n">
        <v>7299.3506</v>
      </c>
    </row>
    <row r="10694">
      <c r="A10694" s="39">
        <f>_xlfn.XLOOKUP(67944,Trip[shape_id],Trip[shape_id],"Não encontrado")</f>
        <v/>
      </c>
      <c r="B10694" s="40" t="n">
        <v>-23.567351</v>
      </c>
      <c r="C10694" s="40" t="n">
        <v>-46.541517</v>
      </c>
      <c r="D10694" s="40" t="n">
        <v>219</v>
      </c>
      <c r="E10694" s="41" t="n">
        <v>7325.5615</v>
      </c>
    </row>
    <row r="10695">
      <c r="A10695" s="42">
        <f>_xlfn.XLOOKUP(67944,Trip[shape_id],Trip[shape_id],"Não encontrado")</f>
        <v/>
      </c>
      <c r="B10695" s="43" t="n">
        <v>-23.567397</v>
      </c>
      <c r="C10695" s="43" t="n">
        <v>-46.541544</v>
      </c>
      <c r="D10695" s="43" t="n">
        <v>220</v>
      </c>
      <c r="E10695" s="44" t="n">
        <v>7331.3535</v>
      </c>
    </row>
    <row r="10696">
      <c r="A10696" s="39">
        <f>_xlfn.XLOOKUP(67944,Trip[shape_id],Trip[shape_id],"Não encontrado")</f>
        <v/>
      </c>
      <c r="B10696" s="40" t="n">
        <v>-23.567433</v>
      </c>
      <c r="C10696" s="40" t="n">
        <v>-46.541553</v>
      </c>
      <c r="D10696" s="40" t="n">
        <v>221</v>
      </c>
      <c r="E10696" s="41" t="n">
        <v>7335.4458</v>
      </c>
    </row>
    <row r="10697">
      <c r="A10697" s="42">
        <f>_xlfn.XLOOKUP(67944,Trip[shape_id],Trip[shape_id],"Não encontrado")</f>
        <v/>
      </c>
      <c r="B10697" s="43" t="n">
        <v>-23.567458</v>
      </c>
      <c r="C10697" s="43" t="n">
        <v>-46.541558</v>
      </c>
      <c r="D10697" s="43" t="n">
        <v>222</v>
      </c>
      <c r="E10697" s="44" t="n">
        <v>7338.2607</v>
      </c>
    </row>
    <row r="10698">
      <c r="A10698" s="39">
        <f>_xlfn.XLOOKUP(67944,Trip[shape_id],Trip[shape_id],"Não encontrado")</f>
        <v/>
      </c>
      <c r="B10698" s="40" t="n">
        <v>-23.567476</v>
      </c>
      <c r="C10698" s="40" t="n">
        <v>-46.541562</v>
      </c>
      <c r="D10698" s="40" t="n">
        <v>223</v>
      </c>
      <c r="E10698" s="41" t="n">
        <v>7340.2935</v>
      </c>
    </row>
    <row r="10699">
      <c r="A10699" s="42">
        <f>_xlfn.XLOOKUP(67944,Trip[shape_id],Trip[shape_id],"Não encontrado")</f>
        <v/>
      </c>
      <c r="B10699" s="43" t="n">
        <v>-23.567548</v>
      </c>
      <c r="C10699" s="43" t="n">
        <v>-46.541551</v>
      </c>
      <c r="D10699" s="43" t="n">
        <v>224</v>
      </c>
      <c r="E10699" s="44" t="n">
        <v>7348.3457</v>
      </c>
    </row>
    <row r="10700">
      <c r="A10700" s="39">
        <f>_xlfn.XLOOKUP(67944,Trip[shape_id],Trip[shape_id],"Não encontrado")</f>
        <v/>
      </c>
      <c r="B10700" s="40" t="n">
        <v>-23.567591</v>
      </c>
      <c r="C10700" s="40" t="n">
        <v>-46.541475</v>
      </c>
      <c r="D10700" s="40" t="n">
        <v>225</v>
      </c>
      <c r="E10700" s="41" t="n">
        <v>7376.5986</v>
      </c>
    </row>
    <row r="10701">
      <c r="A10701" s="42">
        <f>_xlfn.XLOOKUP(67944,Trip[shape_id],Trip[shape_id],"Não encontrado")</f>
        <v/>
      </c>
      <c r="B10701" s="43" t="n">
        <v>-23.567687</v>
      </c>
      <c r="C10701" s="43" t="n">
        <v>-46.541319</v>
      </c>
      <c r="D10701" s="43" t="n">
        <v>226</v>
      </c>
      <c r="E10701" s="44" t="n">
        <v>7384.6318</v>
      </c>
    </row>
    <row r="10702">
      <c r="A10702" s="39">
        <f>_xlfn.XLOOKUP(67944,Trip[shape_id],Trip[shape_id],"Não encontrado")</f>
        <v/>
      </c>
      <c r="B10702" s="40" t="n">
        <v>-23.567735</v>
      </c>
      <c r="C10702" s="40" t="n">
        <v>-46.54126</v>
      </c>
      <c r="D10702" s="40" t="n">
        <v>227</v>
      </c>
      <c r="E10702" s="41" t="n">
        <v>7403.8125</v>
      </c>
    </row>
    <row r="10703">
      <c r="A10703" s="42">
        <f>_xlfn.XLOOKUP(67944,Trip[shape_id],Trip[shape_id],"Não encontrado")</f>
        <v/>
      </c>
      <c r="B10703" s="43" t="n">
        <v>-23.567844</v>
      </c>
      <c r="C10703" s="43" t="n">
        <v>-46.541114</v>
      </c>
      <c r="D10703" s="43" t="n">
        <v>228</v>
      </c>
      <c r="E10703" s="44" t="n">
        <v>7426.9653</v>
      </c>
    </row>
    <row r="10704">
      <c r="A10704" s="39">
        <f>_xlfn.XLOOKUP(67944,Trip[shape_id],Trip[shape_id],"Não encontrado")</f>
        <v/>
      </c>
      <c r="B10704" s="40" t="n">
        <v>-23.568007</v>
      </c>
      <c r="C10704" s="40" t="n">
        <v>-46.540972</v>
      </c>
      <c r="D10704" s="40" t="n">
        <v>229</v>
      </c>
      <c r="E10704" s="41" t="n">
        <v>7437.3242</v>
      </c>
    </row>
    <row r="10705">
      <c r="A10705" s="42">
        <f>_xlfn.XLOOKUP(67944,Trip[shape_id],Trip[shape_id],"Não encontrado")</f>
        <v/>
      </c>
      <c r="B10705" s="43" t="n">
        <v>-23.568085</v>
      </c>
      <c r="C10705" s="43" t="n">
        <v>-46.540916</v>
      </c>
      <c r="D10705" s="43" t="n">
        <v>230</v>
      </c>
      <c r="E10705" s="44" t="n">
        <v>7448.1826</v>
      </c>
    </row>
    <row r="10706">
      <c r="A10706" s="39">
        <f>_xlfn.XLOOKUP(67944,Trip[shape_id],Trip[shape_id],"Não encontrado")</f>
        <v/>
      </c>
      <c r="B10706" s="40" t="n">
        <v>-23.56817</v>
      </c>
      <c r="C10706" s="40" t="n">
        <v>-46.540863</v>
      </c>
      <c r="D10706" s="40" t="n">
        <v>231</v>
      </c>
      <c r="E10706" s="41" t="n">
        <v>7486.6069</v>
      </c>
    </row>
    <row r="10707">
      <c r="A10707" s="42">
        <f>_xlfn.XLOOKUP(67944,Trip[shape_id],Trip[shape_id],"Não encontrado")</f>
        <v/>
      </c>
      <c r="B10707" s="43" t="n">
        <v>-23.56848</v>
      </c>
      <c r="C10707" s="43" t="n">
        <v>-46.540694</v>
      </c>
      <c r="D10707" s="43" t="n">
        <v>232</v>
      </c>
      <c r="E10707" s="44" t="n">
        <v>7546.3867</v>
      </c>
    </row>
    <row r="10708">
      <c r="A10708" s="39">
        <f>_xlfn.XLOOKUP(67944,Trip[shape_id],Trip[shape_id],"Não encontrado")</f>
        <v/>
      </c>
      <c r="B10708" s="40" t="n">
        <v>-23.568965</v>
      </c>
      <c r="C10708" s="40" t="n">
        <v>-46.540437</v>
      </c>
      <c r="D10708" s="40" t="n">
        <v>233</v>
      </c>
      <c r="E10708" s="41" t="n">
        <v>7546.3867</v>
      </c>
    </row>
    <row r="10709">
      <c r="A10709" s="42">
        <f>_xlfn.XLOOKUP(67944,Trip[shape_id],Trip[shape_id],"Não encontrado")</f>
        <v/>
      </c>
      <c r="B10709" s="43" t="n">
        <v>-23.568771</v>
      </c>
      <c r="C10709" s="43" t="n">
        <v>-46.540466</v>
      </c>
      <c r="D10709" s="43" t="n">
        <v>234</v>
      </c>
      <c r="E10709" s="44" t="n">
        <v>7568.0757</v>
      </c>
    </row>
    <row r="10710">
      <c r="A10710" s="39">
        <f>_xlfn.XLOOKUP(67944,Trip[shape_id],Trip[shape_id],"Não encontrado")</f>
        <v/>
      </c>
      <c r="B10710" s="40" t="n">
        <v>-23.568666</v>
      </c>
      <c r="C10710" s="40" t="n">
        <v>-46.540466</v>
      </c>
      <c r="D10710" s="40" t="n">
        <v>235</v>
      </c>
      <c r="E10710" s="41" t="n">
        <v>7579.7046</v>
      </c>
    </row>
    <row r="10711">
      <c r="A10711" s="42">
        <f>_xlfn.XLOOKUP(67944,Trip[shape_id],Trip[shape_id],"Não encontrado")</f>
        <v/>
      </c>
      <c r="B10711" s="43" t="n">
        <v>-23.568505</v>
      </c>
      <c r="C10711" s="43" t="n">
        <v>-46.540462</v>
      </c>
      <c r="D10711" s="43" t="n">
        <v>236</v>
      </c>
      <c r="E10711" s="44" t="n">
        <v>7597.54</v>
      </c>
    </row>
    <row r="10712">
      <c r="A10712" s="39">
        <f>_xlfn.XLOOKUP(67944,Trip[shape_id],Trip[shape_id],"Não encontrado")</f>
        <v/>
      </c>
      <c r="B10712" s="40" t="n">
        <v>-23.56801</v>
      </c>
      <c r="C10712" s="40" t="n">
        <v>-46.540378</v>
      </c>
      <c r="D10712" s="40" t="n">
        <v>237</v>
      </c>
      <c r="E10712" s="41" t="n">
        <v>7653.0288</v>
      </c>
    </row>
    <row r="10713">
      <c r="A10713" s="42">
        <f>_xlfn.XLOOKUP(67944,Trip[shape_id],Trip[shape_id],"Não encontrado")</f>
        <v/>
      </c>
      <c r="B10713" s="43" t="n">
        <v>-23.567356</v>
      </c>
      <c r="C10713" s="43" t="n">
        <v>-46.540199</v>
      </c>
      <c r="D10713" s="43" t="n">
        <v>238</v>
      </c>
      <c r="E10713" s="44" t="n">
        <v>7727.7305</v>
      </c>
    </row>
    <row r="10714">
      <c r="A10714" s="39">
        <f>_xlfn.XLOOKUP(67944,Trip[shape_id],Trip[shape_id],"Não encontrado")</f>
        <v/>
      </c>
      <c r="B10714" s="40" t="n">
        <v>-23.567155</v>
      </c>
      <c r="C10714" s="40" t="n">
        <v>-46.540123</v>
      </c>
      <c r="D10714" s="40" t="n">
        <v>239</v>
      </c>
      <c r="E10714" s="41" t="n">
        <v>7751.3047</v>
      </c>
    </row>
    <row r="10715">
      <c r="A10715" s="42">
        <f>_xlfn.XLOOKUP(67944,Trip[shape_id],Trip[shape_id],"Não encontrado")</f>
        <v/>
      </c>
      <c r="B10715" s="43" t="n">
        <v>-23.567014</v>
      </c>
      <c r="C10715" s="43" t="n">
        <v>-46.540047</v>
      </c>
      <c r="D10715" s="43" t="n">
        <v>240</v>
      </c>
      <c r="E10715" s="44" t="n">
        <v>7768.7422</v>
      </c>
    </row>
    <row r="10716">
      <c r="A10716" s="39">
        <f>_xlfn.XLOOKUP(67944,Trip[shape_id],Trip[shape_id],"Não encontrado")</f>
        <v/>
      </c>
      <c r="B10716" s="40" t="n">
        <v>-23.566855</v>
      </c>
      <c r="C10716" s="40" t="n">
        <v>-46.539945</v>
      </c>
      <c r="D10716" s="40" t="n">
        <v>241</v>
      </c>
      <c r="E10716" s="41" t="n">
        <v>7789.2002</v>
      </c>
    </row>
    <row r="10717">
      <c r="A10717" s="42">
        <f>_xlfn.XLOOKUP(67944,Trip[shape_id],Trip[shape_id],"Não encontrado")</f>
        <v/>
      </c>
      <c r="B10717" s="43" t="n">
        <v>-23.566794</v>
      </c>
      <c r="C10717" s="43" t="n">
        <v>-46.539869</v>
      </c>
      <c r="D10717" s="43" t="n">
        <v>242</v>
      </c>
      <c r="E10717" s="44" t="n">
        <v>7799.4883</v>
      </c>
    </row>
    <row r="10718">
      <c r="A10718" s="39">
        <f>_xlfn.XLOOKUP(67944,Trip[shape_id],Trip[shape_id],"Não encontrado")</f>
        <v/>
      </c>
      <c r="B10718" s="40" t="n">
        <v>-23.566453</v>
      </c>
      <c r="C10718" s="40" t="n">
        <v>-46.539493</v>
      </c>
      <c r="D10718" s="40" t="n">
        <v>243</v>
      </c>
      <c r="E10718" s="41" t="n">
        <v>7890.8091</v>
      </c>
    </row>
    <row r="10719">
      <c r="A10719" s="42">
        <f>_xlfn.XLOOKUP(67944,Trip[shape_id],Trip[shape_id],"Não encontrado")</f>
        <v/>
      </c>
      <c r="B10719" s="43" t="n">
        <v>-23.566217</v>
      </c>
      <c r="C10719" s="43" t="n">
        <v>-46.53923</v>
      </c>
      <c r="D10719" s="43" t="n">
        <v>244</v>
      </c>
      <c r="E10719" s="44" t="n">
        <v>7919.4121</v>
      </c>
    </row>
    <row r="10720">
      <c r="A10720" s="39">
        <f>_xlfn.XLOOKUP(67944,Trip[shape_id],Trip[shape_id],"Não encontrado")</f>
        <v/>
      </c>
      <c r="B10720" s="40" t="n">
        <v>-23.566039</v>
      </c>
      <c r="C10720" s="40" t="n">
        <v>-46.539027</v>
      </c>
      <c r="D10720" s="40" t="n">
        <v>245</v>
      </c>
      <c r="E10720" s="41" t="n">
        <v>7919.4121</v>
      </c>
    </row>
    <row r="10721">
      <c r="A10721" s="42">
        <f>_xlfn.XLOOKUP(67944,Trip[shape_id],Trip[shape_id],"Não encontrado")</f>
        <v/>
      </c>
      <c r="B10721" s="43" t="n">
        <v>-23.565988</v>
      </c>
      <c r="C10721" s="43" t="n">
        <v>-46.538953</v>
      </c>
      <c r="D10721" s="43" t="n">
        <v>246</v>
      </c>
      <c r="E10721" s="44" t="n">
        <v>7928.8447</v>
      </c>
    </row>
    <row r="10722">
      <c r="A10722" s="39">
        <f>_xlfn.XLOOKUP(67944,Trip[shape_id],Trip[shape_id],"Não encontrado")</f>
        <v/>
      </c>
      <c r="B10722" s="40" t="n">
        <v>-23.565806</v>
      </c>
      <c r="C10722" s="40" t="n">
        <v>-46.53874</v>
      </c>
      <c r="D10722" s="40" t="n">
        <v>247</v>
      </c>
      <c r="E10722" s="41" t="n">
        <v>7967.8223</v>
      </c>
    </row>
    <row r="10723">
      <c r="A10723" s="42">
        <f>_xlfn.XLOOKUP(67944,Trip[shape_id],Trip[shape_id],"Não encontrado")</f>
        <v/>
      </c>
      <c r="B10723" s="43" t="n">
        <v>-23.565745</v>
      </c>
      <c r="C10723" s="43" t="n">
        <v>-46.538677</v>
      </c>
      <c r="D10723" s="43" t="n">
        <v>248</v>
      </c>
      <c r="E10723" s="44" t="n">
        <v>7981.3384</v>
      </c>
    </row>
    <row r="10724">
      <c r="A10724" s="39">
        <f>_xlfn.XLOOKUP(67944,Trip[shape_id],Trip[shape_id],"Não encontrado")</f>
        <v/>
      </c>
      <c r="B10724" s="40" t="n">
        <v>-23.56566</v>
      </c>
      <c r="C10724" s="40" t="n">
        <v>-46.538582</v>
      </c>
      <c r="D10724" s="40" t="n">
        <v>249</v>
      </c>
      <c r="E10724" s="41" t="n">
        <v>7989.1563</v>
      </c>
    </row>
    <row r="10725">
      <c r="A10725" s="42">
        <f>_xlfn.XLOOKUP(67944,Trip[shape_id],Trip[shape_id],"Não encontrado")</f>
        <v/>
      </c>
      <c r="B10725" s="43" t="n">
        <v>-23.565615</v>
      </c>
      <c r="C10725" s="43" t="n">
        <v>-46.538523</v>
      </c>
      <c r="D10725" s="43" t="n">
        <v>250</v>
      </c>
      <c r="E10725" s="44" t="n">
        <v>7998.1655</v>
      </c>
    </row>
    <row r="10726">
      <c r="A10726" s="39">
        <f>_xlfn.XLOOKUP(67944,Trip[shape_id],Trip[shape_id],"Não encontrado")</f>
        <v/>
      </c>
      <c r="B10726" s="40" t="n">
        <v>-23.565561</v>
      </c>
      <c r="C10726" s="40" t="n">
        <v>-46.538457</v>
      </c>
      <c r="D10726" s="40" t="n">
        <v>251</v>
      </c>
      <c r="E10726" s="41" t="n">
        <v>8005.5308</v>
      </c>
    </row>
    <row r="10727">
      <c r="A10727" s="42">
        <f>_xlfn.XLOOKUP(67944,Trip[shape_id],Trip[shape_id],"Não encontrado")</f>
        <v/>
      </c>
      <c r="B10727" s="43" t="n">
        <v>-23.565527</v>
      </c>
      <c r="C10727" s="43" t="n">
        <v>-46.538395</v>
      </c>
      <c r="D10727" s="43" t="n">
        <v>252</v>
      </c>
      <c r="E10727" s="44" t="n">
        <v>8017.9844</v>
      </c>
    </row>
    <row r="10728">
      <c r="A10728" s="39">
        <f>_xlfn.XLOOKUP(67944,Trip[shape_id],Trip[shape_id],"Não encontrado")</f>
        <v/>
      </c>
      <c r="B10728" s="40" t="n">
        <v>-23.565473</v>
      </c>
      <c r="C10728" s="40" t="n">
        <v>-46.538288</v>
      </c>
      <c r="D10728" s="40" t="n">
        <v>253</v>
      </c>
      <c r="E10728" s="41" t="n">
        <v>8025.5464</v>
      </c>
    </row>
    <row r="10729">
      <c r="A10729" s="42">
        <f>_xlfn.XLOOKUP(67944,Trip[shape_id],Trip[shape_id],"Não encontrado")</f>
        <v/>
      </c>
      <c r="B10729" s="43" t="n">
        <v>-23.565442</v>
      </c>
      <c r="C10729" s="43" t="n">
        <v>-46.538222</v>
      </c>
      <c r="D10729" s="43" t="n">
        <v>254</v>
      </c>
      <c r="E10729" s="44" t="n">
        <v>8034.5</v>
      </c>
    </row>
    <row r="10730">
      <c r="A10730" s="39">
        <f>_xlfn.XLOOKUP(67944,Trip[shape_id],Trip[shape_id],"Não encontrado")</f>
        <v/>
      </c>
      <c r="B10730" s="40" t="n">
        <v>-23.565411</v>
      </c>
      <c r="C10730" s="40" t="n">
        <v>-46.538141</v>
      </c>
      <c r="D10730" s="40" t="n">
        <v>255</v>
      </c>
      <c r="E10730" s="41" t="n">
        <v>8046.6484</v>
      </c>
    </row>
    <row r="10731">
      <c r="A10731" s="42">
        <f>_xlfn.XLOOKUP(67944,Trip[shape_id],Trip[shape_id],"Não encontrado")</f>
        <v/>
      </c>
      <c r="B10731" s="43" t="n">
        <v>-23.565363</v>
      </c>
      <c r="C10731" s="43" t="n">
        <v>-46.538034</v>
      </c>
      <c r="D10731" s="43" t="n">
        <v>256</v>
      </c>
      <c r="E10731" s="44" t="n">
        <v>8054.5459</v>
      </c>
    </row>
    <row r="10732">
      <c r="A10732" s="39">
        <f>_xlfn.XLOOKUP(67944,Trip[shape_id],Trip[shape_id],"Não encontrado")</f>
        <v/>
      </c>
      <c r="B10732" s="40" t="n">
        <v>-23.565329</v>
      </c>
      <c r="C10732" s="40" t="n">
        <v>-46.537966</v>
      </c>
      <c r="D10732" s="40" t="n">
        <v>257</v>
      </c>
      <c r="E10732" s="41" t="n">
        <v>8064.4448</v>
      </c>
    </row>
    <row r="10733">
      <c r="A10733" s="42">
        <f>_xlfn.XLOOKUP(67944,Trip[shape_id],Trip[shape_id],"Não encontrado")</f>
        <v/>
      </c>
      <c r="B10733" s="43" t="n">
        <v>-23.565286</v>
      </c>
      <c r="C10733" s="43" t="n">
        <v>-46.537881</v>
      </c>
      <c r="D10733" s="43" t="n">
        <v>258</v>
      </c>
      <c r="E10733" s="44" t="n">
        <v>8064.4448</v>
      </c>
    </row>
    <row r="10734">
      <c r="A10734" s="39">
        <f>_xlfn.XLOOKUP(67944,Trip[shape_id],Trip[shape_id],"Não encontrado")</f>
        <v/>
      </c>
      <c r="B10734" s="40" t="n">
        <v>-23.565177</v>
      </c>
      <c r="C10734" s="40" t="n">
        <v>-46.537762</v>
      </c>
      <c r="D10734" s="40" t="n">
        <v>259</v>
      </c>
      <c r="E10734" s="41" t="n">
        <v>8118.9014</v>
      </c>
    </row>
    <row r="10735">
      <c r="A10735" s="42">
        <f>_xlfn.XLOOKUP(67944,Trip[shape_id],Trip[shape_id],"Não encontrado")</f>
        <v/>
      </c>
      <c r="B10735" s="43" t="n">
        <v>-23.56494</v>
      </c>
      <c r="C10735" s="43" t="n">
        <v>-46.537502</v>
      </c>
      <c r="D10735" s="43" t="n">
        <v>260</v>
      </c>
      <c r="E10735" s="44" t="n">
        <v>8118.9014</v>
      </c>
    </row>
    <row r="10736">
      <c r="A10736" s="39">
        <f>_xlfn.XLOOKUP(67944,Trip[shape_id],Trip[shape_id],"Não encontrado")</f>
        <v/>
      </c>
      <c r="B10736" s="40" t="n">
        <v>-23.564279</v>
      </c>
      <c r="C10736" s="40" t="n">
        <v>-46.536803</v>
      </c>
      <c r="D10736" s="40" t="n">
        <v>261</v>
      </c>
      <c r="E10736" s="41" t="n">
        <v>8262.7793</v>
      </c>
    </row>
    <row r="10737">
      <c r="A10737" s="42">
        <f>_xlfn.XLOOKUP(67944,Trip[shape_id],Trip[shape_id],"Não encontrado")</f>
        <v/>
      </c>
      <c r="B10737" s="43" t="n">
        <v>-23.56401</v>
      </c>
      <c r="C10737" s="43" t="n">
        <v>-46.536518</v>
      </c>
      <c r="D10737" s="43" t="n">
        <v>262</v>
      </c>
      <c r="E10737" s="44" t="n">
        <v>8262.7793</v>
      </c>
    </row>
    <row r="10738">
      <c r="A10738" s="39">
        <f>_xlfn.XLOOKUP(67944,Trip[shape_id],Trip[shape_id],"Não encontrado")</f>
        <v/>
      </c>
      <c r="B10738" s="40" t="n">
        <v>-23.564055</v>
      </c>
      <c r="C10738" s="40" t="n">
        <v>-46.536489</v>
      </c>
      <c r="D10738" s="40" t="n">
        <v>263</v>
      </c>
      <c r="E10738" s="41" t="n">
        <v>8278.5146</v>
      </c>
    </row>
    <row r="10739">
      <c r="A10739" s="42">
        <f>_xlfn.XLOOKUP(67944,Trip[shape_id],Trip[shape_id],"Não encontrado")</f>
        <v/>
      </c>
      <c r="B10739" s="43" t="n">
        <v>-23.564138</v>
      </c>
      <c r="C10739" s="43" t="n">
        <v>-46.536452</v>
      </c>
      <c r="D10739" s="43" t="n">
        <v>264</v>
      </c>
      <c r="E10739" s="44" t="n">
        <v>8289.833000000001</v>
      </c>
    </row>
    <row r="10740">
      <c r="A10740" s="39">
        <f>_xlfn.XLOOKUP(67944,Trip[shape_id],Trip[shape_id],"Não encontrado")</f>
        <v/>
      </c>
      <c r="B10740" s="40" t="n">
        <v>-23.564234</v>
      </c>
      <c r="C10740" s="40" t="n">
        <v>-46.536414</v>
      </c>
      <c r="D10740" s="40" t="n">
        <v>265</v>
      </c>
      <c r="E10740" s="41" t="n">
        <v>8297.231400000001</v>
      </c>
    </row>
    <row r="10741">
      <c r="A10741" s="42">
        <f>_xlfn.XLOOKUP(67944,Trip[shape_id],Trip[shape_id],"Não encontrado")</f>
        <v/>
      </c>
      <c r="B10741" s="43" t="n">
        <v>-23.564296</v>
      </c>
      <c r="C10741" s="43" t="n">
        <v>-46.536387</v>
      </c>
      <c r="D10741" s="43" t="n">
        <v>266</v>
      </c>
      <c r="E10741" s="44" t="n">
        <v>8304.831099999999</v>
      </c>
    </row>
    <row r="10742">
      <c r="A10742" s="39">
        <f>_xlfn.XLOOKUP(67944,Trip[shape_id],Trip[shape_id],"Não encontrado")</f>
        <v/>
      </c>
      <c r="B10742" s="40" t="n">
        <v>-23.564364</v>
      </c>
      <c r="C10742" s="40" t="n">
        <v>-46.536397</v>
      </c>
      <c r="D10742" s="40" t="n">
        <v>267</v>
      </c>
      <c r="E10742" s="41" t="n">
        <v>8348.6641</v>
      </c>
    </row>
    <row r="10743">
      <c r="A10743" s="42">
        <f>_xlfn.XLOOKUP(67944,Trip[shape_id],Trip[shape_id],"Não encontrado")</f>
        <v/>
      </c>
      <c r="B10743" s="43" t="n">
        <v>-23.564744</v>
      </c>
      <c r="C10743" s="43" t="n">
        <v>-46.536517</v>
      </c>
      <c r="D10743" s="43" t="n">
        <v>268</v>
      </c>
      <c r="E10743" s="44" t="n">
        <v>8348.6641</v>
      </c>
    </row>
    <row r="10744">
      <c r="A10744" s="39">
        <f>_xlfn.XLOOKUP(67944,Trip[shape_id],Trip[shape_id],"Não encontrado")</f>
        <v/>
      </c>
      <c r="B10744" s="40" t="n">
        <v>-23.565304</v>
      </c>
      <c r="C10744" s="40" t="n">
        <v>-46.536669</v>
      </c>
      <c r="D10744" s="40" t="n">
        <v>269</v>
      </c>
      <c r="E10744" s="41" t="n">
        <v>8432.5635</v>
      </c>
    </row>
    <row r="10745">
      <c r="A10745" s="42">
        <f>_xlfn.XLOOKUP(67944,Trip[shape_id],Trip[shape_id],"Não encontrado")</f>
        <v/>
      </c>
      <c r="B10745" s="43" t="n">
        <v>-23.565479</v>
      </c>
      <c r="C10745" s="43" t="n">
        <v>-46.536716</v>
      </c>
      <c r="D10745" s="43" t="n">
        <v>270</v>
      </c>
      <c r="E10745" s="44" t="n">
        <v>8462.8652</v>
      </c>
    </row>
    <row r="10746">
      <c r="A10746" s="39">
        <f>_xlfn.XLOOKUP(67944,Trip[shape_id],Trip[shape_id],"Não encontrado")</f>
        <v/>
      </c>
      <c r="B10746" s="40" t="n">
        <v>-23.565749</v>
      </c>
      <c r="C10746" s="40" t="n">
        <v>-46.536764</v>
      </c>
      <c r="D10746" s="40" t="n">
        <v>271</v>
      </c>
      <c r="E10746" s="41" t="n">
        <v>8476.604499999999</v>
      </c>
    </row>
    <row r="10747">
      <c r="A10747" s="42">
        <f>_xlfn.XLOOKUP(67944,Trip[shape_id],Trip[shape_id],"Não encontrado")</f>
        <v/>
      </c>
      <c r="B10747" s="43" t="n">
        <v>-23.565873</v>
      </c>
      <c r="C10747" s="43" t="n">
        <v>-46.536768</v>
      </c>
      <c r="D10747" s="43" t="n">
        <v>272</v>
      </c>
      <c r="E10747" s="44" t="n">
        <v>8496.234399999999</v>
      </c>
    </row>
    <row r="10748">
      <c r="A10748" s="39">
        <f>_xlfn.XLOOKUP(67944,Trip[shape_id],Trip[shape_id],"Não encontrado")</f>
        <v/>
      </c>
      <c r="B10748" s="40" t="n">
        <v>-23.56605</v>
      </c>
      <c r="C10748" s="40" t="n">
        <v>-46.536758</v>
      </c>
      <c r="D10748" s="40" t="n">
        <v>273</v>
      </c>
      <c r="E10748" s="41" t="n">
        <v>8514.8789</v>
      </c>
    </row>
    <row r="10749">
      <c r="A10749" s="42">
        <f>_xlfn.XLOOKUP(67944,Trip[shape_id],Trip[shape_id],"Não encontrado")</f>
        <v/>
      </c>
      <c r="B10749" s="43" t="n">
        <v>-23.566217</v>
      </c>
      <c r="C10749" s="43" t="n">
        <v>-46.536735</v>
      </c>
      <c r="D10749" s="43" t="n">
        <v>274</v>
      </c>
      <c r="E10749" s="44" t="n">
        <v>8537.832</v>
      </c>
    </row>
    <row r="10750">
      <c r="A10750" s="39">
        <f>_xlfn.XLOOKUP(67944,Trip[shape_id],Trip[shape_id],"Não encontrado")</f>
        <v/>
      </c>
      <c r="B10750" s="40" t="n">
        <v>-23.566422</v>
      </c>
      <c r="C10750" s="40" t="n">
        <v>-46.536702</v>
      </c>
      <c r="D10750" s="40" t="n">
        <v>275</v>
      </c>
      <c r="E10750" s="41" t="n">
        <v>8551.582</v>
      </c>
    </row>
    <row r="10751">
      <c r="A10751" s="42">
        <f>_xlfn.XLOOKUP(67944,Trip[shape_id],Trip[shape_id],"Não encontrado")</f>
        <v/>
      </c>
      <c r="B10751" s="43" t="n">
        <v>-23.566544</v>
      </c>
      <c r="C10751" s="43" t="n">
        <v>-46.536677</v>
      </c>
      <c r="D10751" s="43" t="n">
        <v>276</v>
      </c>
      <c r="E10751" s="44" t="n">
        <v>8564.794900000001</v>
      </c>
    </row>
    <row r="10752">
      <c r="A10752" s="39">
        <f>_xlfn.XLOOKUP(67944,Trip[shape_id],Trip[shape_id],"Não encontrado")</f>
        <v/>
      </c>
      <c r="B10752" s="40" t="n">
        <v>-23.566652</v>
      </c>
      <c r="C10752" s="40" t="n">
        <v>-46.536622</v>
      </c>
      <c r="D10752" s="40" t="n">
        <v>277</v>
      </c>
      <c r="E10752" s="41" t="n">
        <v>8582.7734</v>
      </c>
    </row>
    <row r="10753">
      <c r="A10753" s="42">
        <f>_xlfn.XLOOKUP(67944,Trip[shape_id],Trip[shape_id],"Não encontrado")</f>
        <v/>
      </c>
      <c r="B10753" s="43" t="n">
        <v>-23.566783</v>
      </c>
      <c r="C10753" s="43" t="n">
        <v>-46.536518</v>
      </c>
      <c r="D10753" s="43" t="n">
        <v>278</v>
      </c>
      <c r="E10753" s="44" t="n">
        <v>8585.5537</v>
      </c>
    </row>
    <row r="10754">
      <c r="A10754" s="39">
        <f>_xlfn.XLOOKUP(67944,Trip[shape_id],Trip[shape_id],"Não encontrado")</f>
        <v/>
      </c>
      <c r="B10754" s="40" t="n">
        <v>-23.566799</v>
      </c>
      <c r="C10754" s="40" t="n">
        <v>-46.536497</v>
      </c>
      <c r="D10754" s="40" t="n">
        <v>279</v>
      </c>
      <c r="E10754" s="41" t="n">
        <v>8585.5537</v>
      </c>
    </row>
    <row r="10755">
      <c r="A10755" s="42">
        <f>_xlfn.XLOOKUP(67944,Trip[shape_id],Trip[shape_id],"Não encontrado")</f>
        <v/>
      </c>
      <c r="B10755" s="43" t="n">
        <v>-23.566842</v>
      </c>
      <c r="C10755" s="43" t="n">
        <v>-46.536454</v>
      </c>
      <c r="D10755" s="43" t="n">
        <v>280</v>
      </c>
      <c r="E10755" s="44" t="n">
        <v>8606.6631</v>
      </c>
    </row>
    <row r="10756">
      <c r="A10756" s="39">
        <f>_xlfn.XLOOKUP(67944,Trip[shape_id],Trip[shape_id],"Não encontrado")</f>
        <v/>
      </c>
      <c r="B10756" s="40" t="n">
        <v>-23.566917</v>
      </c>
      <c r="C10756" s="40" t="n">
        <v>-46.536336</v>
      </c>
      <c r="D10756" s="40" t="n">
        <v>281</v>
      </c>
      <c r="E10756" s="41" t="n">
        <v>8617.444299999999</v>
      </c>
    </row>
    <row r="10757">
      <c r="A10757" s="42">
        <f>_xlfn.XLOOKUP(67944,Trip[shape_id],Trip[shape_id],"Não encontrado")</f>
        <v/>
      </c>
      <c r="B10757" s="43" t="n">
        <v>-23.566976</v>
      </c>
      <c r="C10757" s="43" t="n">
        <v>-46.536252</v>
      </c>
      <c r="D10757" s="43" t="n">
        <v>282</v>
      </c>
      <c r="E10757" s="44" t="n">
        <v>8623.761699999999</v>
      </c>
    </row>
    <row r="10758">
      <c r="A10758" s="39">
        <f>_xlfn.XLOOKUP(67944,Trip[shape_id],Trip[shape_id],"Não encontrado")</f>
        <v/>
      </c>
      <c r="B10758" s="40" t="n">
        <v>-23.567012</v>
      </c>
      <c r="C10758" s="40" t="n">
        <v>-46.536204</v>
      </c>
      <c r="D10758" s="40" t="n">
        <v>283</v>
      </c>
      <c r="E10758" s="41" t="n">
        <v>8635.1826</v>
      </c>
    </row>
    <row r="10759">
      <c r="A10759" s="42">
        <f>_xlfn.XLOOKUP(67944,Trip[shape_id],Trip[shape_id],"Não encontrado")</f>
        <v/>
      </c>
      <c r="B10759" s="43" t="n">
        <v>-23.567106</v>
      </c>
      <c r="C10759" s="43" t="n">
        <v>-46.536158</v>
      </c>
      <c r="D10759" s="43" t="n">
        <v>284</v>
      </c>
      <c r="E10759" s="44" t="n">
        <v>8635.1826</v>
      </c>
    </row>
    <row r="10760">
      <c r="A10760" s="39">
        <f>_xlfn.XLOOKUP(67944,Trip[shape_id],Trip[shape_id],"Não encontrado")</f>
        <v/>
      </c>
      <c r="B10760" s="40" t="n">
        <v>-23.567172</v>
      </c>
      <c r="C10760" s="40" t="n">
        <v>-46.536148</v>
      </c>
      <c r="D10760" s="40" t="n">
        <v>285</v>
      </c>
      <c r="E10760" s="41" t="n">
        <v>8642.5635</v>
      </c>
    </row>
    <row r="10761">
      <c r="A10761" s="42">
        <f>_xlfn.XLOOKUP(67944,Trip[shape_id],Trip[shape_id],"Não encontrado")</f>
        <v/>
      </c>
      <c r="B10761" s="43" t="n">
        <v>-23.567162</v>
      </c>
      <c r="C10761" s="43" t="n">
        <v>-46.535988</v>
      </c>
      <c r="D10761" s="43" t="n">
        <v>286</v>
      </c>
      <c r="E10761" s="44" t="n">
        <v>8658.9355</v>
      </c>
    </row>
    <row r="10762">
      <c r="A10762" s="39">
        <f>_xlfn.XLOOKUP(67944,Trip[shape_id],Trip[shape_id],"Não encontrado")</f>
        <v/>
      </c>
      <c r="B10762" s="40" t="n">
        <v>-23.567146</v>
      </c>
      <c r="C10762" s="40" t="n">
        <v>-46.535988</v>
      </c>
      <c r="D10762" s="40" t="n">
        <v>287</v>
      </c>
      <c r="E10762" s="41" t="n">
        <v>8660.709000000001</v>
      </c>
    </row>
    <row r="10763">
      <c r="A10763" s="42">
        <f>_xlfn.XLOOKUP(67944,Trip[shape_id],Trip[shape_id],"Não encontrado")</f>
        <v/>
      </c>
      <c r="B10763" s="43" t="n">
        <v>-23.567002</v>
      </c>
      <c r="C10763" s="43" t="n">
        <v>-46.536017</v>
      </c>
      <c r="D10763" s="43" t="n">
        <v>288</v>
      </c>
      <c r="E10763" s="44" t="n">
        <v>8676.929700000001</v>
      </c>
    </row>
    <row r="10764">
      <c r="A10764" s="39">
        <f>_xlfn.XLOOKUP(67944,Trip[shape_id],Trip[shape_id],"Não encontrado")</f>
        <v/>
      </c>
      <c r="B10764" s="40" t="n">
        <v>-23.566834</v>
      </c>
      <c r="C10764" s="40" t="n">
        <v>-46.536051</v>
      </c>
      <c r="D10764" s="40" t="n">
        <v>289</v>
      </c>
      <c r="E10764" s="41" t="n">
        <v>8695.856400000001</v>
      </c>
    </row>
    <row r="10765">
      <c r="A10765" s="42">
        <f>_xlfn.XLOOKUP(67944,Trip[shape_id],Trip[shape_id],"Não encontrado")</f>
        <v/>
      </c>
      <c r="B10765" s="43" t="n">
        <v>-23.566608</v>
      </c>
      <c r="C10765" s="43" t="n">
        <v>-46.536087</v>
      </c>
      <c r="D10765" s="43" t="n">
        <v>290</v>
      </c>
      <c r="E10765" s="44" t="n">
        <v>8721.1553</v>
      </c>
    </row>
    <row r="10766">
      <c r="A10766" s="39">
        <f>_xlfn.XLOOKUP(67944,Trip[shape_id],Trip[shape_id],"Não encontrado")</f>
        <v/>
      </c>
      <c r="B10766" s="40" t="n">
        <v>-23.566403</v>
      </c>
      <c r="C10766" s="40" t="n">
        <v>-46.536121</v>
      </c>
      <c r="D10766" s="40" t="n">
        <v>291</v>
      </c>
      <c r="E10766" s="41" t="n">
        <v>8744.123</v>
      </c>
    </row>
    <row r="10767">
      <c r="A10767" s="42">
        <f>_xlfn.XLOOKUP(67944,Trip[shape_id],Trip[shape_id],"Não encontrado")</f>
        <v/>
      </c>
      <c r="B10767" s="43" t="n">
        <v>-23.56638</v>
      </c>
      <c r="C10767" s="43" t="n">
        <v>-46.536123</v>
      </c>
      <c r="D10767" s="43" t="n">
        <v>292</v>
      </c>
      <c r="E10767" s="44" t="n">
        <v>8746.680700000001</v>
      </c>
    </row>
    <row r="10768">
      <c r="A10768" s="39">
        <f>_xlfn.XLOOKUP(67944,Trip[shape_id],Trip[shape_id],"Não encontrado")</f>
        <v/>
      </c>
      <c r="B10768" s="40" t="n">
        <v>-23.566339</v>
      </c>
      <c r="C10768" s="40" t="n">
        <v>-46.536024</v>
      </c>
      <c r="D10768" s="40" t="n">
        <v>293</v>
      </c>
      <c r="E10768" s="41" t="n">
        <v>8775.2773</v>
      </c>
    </row>
    <row r="10769">
      <c r="A10769" s="42">
        <f>_xlfn.XLOOKUP(67944,Trip[shape_id],Trip[shape_id],"Não encontrado")</f>
        <v/>
      </c>
      <c r="B10769" s="43" t="n">
        <v>-23.566253</v>
      </c>
      <c r="C10769" s="43" t="n">
        <v>-46.53588</v>
      </c>
      <c r="D10769" s="43" t="n">
        <v>294</v>
      </c>
      <c r="E10769" s="44" t="n">
        <v>8775.2773</v>
      </c>
    </row>
    <row r="10770">
      <c r="A10770" s="39">
        <f>_xlfn.XLOOKUP(67944,Trip[shape_id],Trip[shape_id],"Não encontrado")</f>
        <v/>
      </c>
      <c r="B10770" s="40" t="n">
        <v>-23.56621</v>
      </c>
      <c r="C10770" s="40" t="n">
        <v>-46.535811</v>
      </c>
      <c r="D10770" s="40" t="n">
        <v>295</v>
      </c>
      <c r="E10770" s="41" t="n">
        <v>8793.169900000001</v>
      </c>
    </row>
    <row r="10771">
      <c r="A10771" s="42">
        <f>_xlfn.XLOOKUP(67944,Trip[shape_id],Trip[shape_id],"Não encontrado")</f>
        <v/>
      </c>
      <c r="B10771" s="43" t="n">
        <v>-23.566155</v>
      </c>
      <c r="C10771" s="43" t="n">
        <v>-46.535741</v>
      </c>
      <c r="D10771" s="43" t="n">
        <v>296</v>
      </c>
      <c r="E10771" s="44" t="n">
        <v>8814.5322</v>
      </c>
    </row>
    <row r="10772">
      <c r="A10772" s="39">
        <f>_xlfn.XLOOKUP(67944,Trip[shape_id],Trip[shape_id],"Não encontrado")</f>
        <v/>
      </c>
      <c r="B10772" s="40" t="n">
        <v>-23.566001</v>
      </c>
      <c r="C10772" s="40" t="n">
        <v>-46.535615</v>
      </c>
      <c r="D10772" s="40" t="n">
        <v>297</v>
      </c>
      <c r="E10772" s="41" t="n">
        <v>8831.207</v>
      </c>
    </row>
    <row r="10773">
      <c r="A10773" s="42">
        <f>_xlfn.XLOOKUP(67944,Trip[shape_id],Trip[shape_id],"Não encontrado")</f>
        <v/>
      </c>
      <c r="B10773" s="43" t="n">
        <v>-23.565873</v>
      </c>
      <c r="C10773" s="43" t="n">
        <v>-46.535529</v>
      </c>
      <c r="D10773" s="43" t="n">
        <v>298</v>
      </c>
      <c r="E10773" s="44" t="n">
        <v>8850.0537</v>
      </c>
    </row>
    <row r="10774">
      <c r="A10774" s="39">
        <f>_xlfn.XLOOKUP(67944,Trip[shape_id],Trip[shape_id],"Não encontrado")</f>
        <v/>
      </c>
      <c r="B10774" s="40" t="n">
        <v>-23.565726</v>
      </c>
      <c r="C10774" s="40" t="n">
        <v>-46.535436</v>
      </c>
      <c r="D10774" s="40" t="n">
        <v>299</v>
      </c>
      <c r="E10774" s="41" t="n">
        <v>8850.0537</v>
      </c>
    </row>
    <row r="10775">
      <c r="A10775" s="42">
        <f>_xlfn.XLOOKUP(67944,Trip[shape_id],Trip[shape_id],"Não encontrado")</f>
        <v/>
      </c>
      <c r="B10775" s="43" t="n">
        <v>-23.565531</v>
      </c>
      <c r="C10775" s="43" t="n">
        <v>-46.535375</v>
      </c>
      <c r="D10775" s="43" t="n">
        <v>300</v>
      </c>
      <c r="E10775" s="44" t="n">
        <v>8888.368200000001</v>
      </c>
    </row>
    <row r="10776">
      <c r="A10776" s="39">
        <f>_xlfn.XLOOKUP(67944,Trip[shape_id],Trip[shape_id],"Não encontrado")</f>
        <v/>
      </c>
      <c r="B10776" s="40" t="n">
        <v>-23.565398</v>
      </c>
      <c r="C10776" s="40" t="n">
        <v>-46.535318</v>
      </c>
      <c r="D10776" s="40" t="n">
        <v>301</v>
      </c>
      <c r="E10776" s="41" t="n">
        <v>8902.5723</v>
      </c>
    </row>
    <row r="10777">
      <c r="A10777" s="42">
        <f>_xlfn.XLOOKUP(67944,Trip[shape_id],Trip[shape_id],"Não encontrado")</f>
        <v/>
      </c>
      <c r="B10777" s="43" t="n">
        <v>-23.565281</v>
      </c>
      <c r="C10777" s="43" t="n">
        <v>-46.535261</v>
      </c>
      <c r="D10777" s="43" t="n">
        <v>302</v>
      </c>
      <c r="E10777" s="44" t="n">
        <v>8916.006799999999</v>
      </c>
    </row>
    <row r="10778">
      <c r="A10778" s="39">
        <f>_xlfn.XLOOKUP(67944,Trip[shape_id],Trip[shape_id],"Não encontrado")</f>
        <v/>
      </c>
      <c r="B10778" s="40" t="n">
        <v>-23.565174</v>
      </c>
      <c r="C10778" s="40" t="n">
        <v>-46.535199</v>
      </c>
      <c r="D10778" s="40" t="n">
        <v>303</v>
      </c>
      <c r="E10778" s="41" t="n">
        <v>8927.950199999999</v>
      </c>
    </row>
    <row r="10779">
      <c r="A10779" s="42">
        <f>_xlfn.XLOOKUP(67944,Trip[shape_id],Trip[shape_id],"Não encontrado")</f>
        <v/>
      </c>
      <c r="B10779" s="43" t="n">
        <v>-23.565089</v>
      </c>
      <c r="C10779" s="43" t="n">
        <v>-46.535127</v>
      </c>
      <c r="D10779" s="43" t="n">
        <v>304</v>
      </c>
      <c r="E10779" s="44" t="n">
        <v>8939.531300000001</v>
      </c>
    </row>
    <row r="10780">
      <c r="A10780" s="39">
        <f>_xlfn.XLOOKUP(67944,Trip[shape_id],Trip[shape_id],"Não encontrado")</f>
        <v/>
      </c>
      <c r="B10780" s="40" t="n">
        <v>-23.565006</v>
      </c>
      <c r="C10780" s="40" t="n">
        <v>-46.535058</v>
      </c>
      <c r="D10780" s="40" t="n">
        <v>305</v>
      </c>
      <c r="E10780" s="41" t="n">
        <v>8949.5918</v>
      </c>
    </row>
    <row r="10781">
      <c r="A10781" s="42">
        <f>_xlfn.XLOOKUP(67944,Trip[shape_id],Trip[shape_id],"Não encontrado")</f>
        <v/>
      </c>
      <c r="B10781" s="43" t="n">
        <v>-23.564943</v>
      </c>
      <c r="C10781" s="43" t="n">
        <v>-46.534987</v>
      </c>
      <c r="D10781" s="43" t="n">
        <v>306</v>
      </c>
      <c r="E10781" s="44" t="n">
        <v>8949.5918</v>
      </c>
    </row>
    <row r="10782">
      <c r="A10782" s="39">
        <f>_xlfn.XLOOKUP(67944,Trip[shape_id],Trip[shape_id],"Não encontrado")</f>
        <v/>
      </c>
      <c r="B10782" s="40" t="n">
        <v>-23.56489</v>
      </c>
      <c r="C10782" s="40" t="n">
        <v>-46.534915</v>
      </c>
      <c r="D10782" s="40" t="n">
        <v>307</v>
      </c>
      <c r="E10782" s="41" t="n">
        <v>8972.0996</v>
      </c>
    </row>
    <row r="10783">
      <c r="A10783" s="42">
        <f>_xlfn.XLOOKUP(67944,Trip[shape_id],Trip[shape_id],"Não encontrado")</f>
        <v/>
      </c>
      <c r="B10783" s="43" t="n">
        <v>-23.564822</v>
      </c>
      <c r="C10783" s="43" t="n">
        <v>-46.53481</v>
      </c>
      <c r="D10783" s="43" t="n">
        <v>308</v>
      </c>
      <c r="E10783" s="44" t="n">
        <v>8984.823200000001</v>
      </c>
    </row>
    <row r="10784">
      <c r="A10784" s="39">
        <f>_xlfn.XLOOKUP(67944,Trip[shape_id],Trip[shape_id],"Não encontrado")</f>
        <v/>
      </c>
      <c r="B10784" s="40" t="n">
        <v>-23.564768</v>
      </c>
      <c r="C10784" s="40" t="n">
        <v>-46.5347</v>
      </c>
      <c r="D10784" s="40" t="n">
        <v>309</v>
      </c>
      <c r="E10784" s="41" t="n">
        <v>9003.6387</v>
      </c>
    </row>
    <row r="10785">
      <c r="A10785" s="42">
        <f>_xlfn.XLOOKUP(67944,Trip[shape_id],Trip[shape_id],"Não encontrado")</f>
        <v/>
      </c>
      <c r="B10785" s="43" t="n">
        <v>-23.564712</v>
      </c>
      <c r="C10785" s="43" t="n">
        <v>-46.534526</v>
      </c>
      <c r="D10785" s="43" t="n">
        <v>310</v>
      </c>
      <c r="E10785" s="44" t="n">
        <v>9017.238300000001</v>
      </c>
    </row>
    <row r="10786">
      <c r="A10786" s="39">
        <f>_xlfn.XLOOKUP(67944,Trip[shape_id],Trip[shape_id],"Não encontrado")</f>
        <v/>
      </c>
      <c r="B10786" s="40" t="n">
        <v>-23.564678</v>
      </c>
      <c r="C10786" s="40" t="n">
        <v>-46.534398</v>
      </c>
      <c r="D10786" s="40" t="n">
        <v>311</v>
      </c>
      <c r="E10786" s="41" t="n">
        <v>9042.194299999999</v>
      </c>
    </row>
    <row r="10787">
      <c r="A10787" s="42">
        <f>_xlfn.XLOOKUP(67944,Trip[shape_id],Trip[shape_id],"Não encontrado")</f>
        <v/>
      </c>
      <c r="B10787" s="43" t="n">
        <v>-23.564607</v>
      </c>
      <c r="C10787" s="43" t="n">
        <v>-46.534166</v>
      </c>
      <c r="D10787" s="43" t="n">
        <v>312</v>
      </c>
      <c r="E10787" s="44" t="n">
        <v>9042.194299999999</v>
      </c>
    </row>
    <row r="10788">
      <c r="A10788" s="39">
        <f>_xlfn.XLOOKUP(67944,Trip[shape_id],Trip[shape_id],"Não encontrado")</f>
        <v/>
      </c>
      <c r="B10788" s="40" t="n">
        <v>-23.564518</v>
      </c>
      <c r="C10788" s="40" t="n">
        <v>-46.534034</v>
      </c>
      <c r="D10788" s="40" t="n">
        <v>313</v>
      </c>
      <c r="E10788" s="41" t="n">
        <v>9058.890600000001</v>
      </c>
    </row>
    <row r="10789">
      <c r="A10789" s="42">
        <f>_xlfn.XLOOKUP(67944,Trip[shape_id],Trip[shape_id],"Não encontrado")</f>
        <v/>
      </c>
      <c r="B10789" s="43" t="n">
        <v>-23.564426</v>
      </c>
      <c r="C10789" s="43" t="n">
        <v>-46.533967</v>
      </c>
      <c r="D10789" s="43" t="n">
        <v>314</v>
      </c>
      <c r="E10789" s="44" t="n">
        <v>9086.209000000001</v>
      </c>
    </row>
    <row r="10790">
      <c r="A10790" s="39">
        <f>_xlfn.XLOOKUP(67944,Trip[shape_id],Trip[shape_id],"Não encontrado")</f>
        <v/>
      </c>
      <c r="B10790" s="40" t="n">
        <v>-23.564305</v>
      </c>
      <c r="C10790" s="40" t="n">
        <v>-46.5339</v>
      </c>
      <c r="D10790" s="40" t="n">
        <v>315</v>
      </c>
      <c r="E10790" s="41" t="n">
        <v>9106.9004</v>
      </c>
    </row>
    <row r="10791">
      <c r="A10791" s="42">
        <f>_xlfn.XLOOKUP(67944,Trip[shape_id],Trip[shape_id],"Não encontrado")</f>
        <v/>
      </c>
      <c r="B10791" s="43" t="n">
        <v>-23.564129</v>
      </c>
      <c r="C10791" s="43" t="n">
        <v>-46.533832</v>
      </c>
      <c r="D10791" s="43" t="n">
        <v>316</v>
      </c>
      <c r="E10791" s="44" t="n">
        <v>9106.9004</v>
      </c>
    </row>
    <row r="10792">
      <c r="A10792" s="39">
        <f>_xlfn.XLOOKUP(67944,Trip[shape_id],Trip[shape_id],"Não encontrado")</f>
        <v/>
      </c>
      <c r="B10792" s="40" t="n">
        <v>-23.563947</v>
      </c>
      <c r="C10792" s="40" t="n">
        <v>-46.533713</v>
      </c>
      <c r="D10792" s="40" t="n">
        <v>317</v>
      </c>
      <c r="E10792" s="41" t="n">
        <v>9130.4355</v>
      </c>
    </row>
    <row r="10793">
      <c r="A10793" s="42">
        <f>_xlfn.XLOOKUP(67944,Trip[shape_id],Trip[shape_id],"Não encontrado")</f>
        <v/>
      </c>
      <c r="B10793" s="43" t="n">
        <v>-23.563845</v>
      </c>
      <c r="C10793" s="43" t="n">
        <v>-46.533639</v>
      </c>
      <c r="D10793" s="43" t="n">
        <v>318</v>
      </c>
      <c r="E10793" s="44" t="n">
        <v>9159.9707</v>
      </c>
    </row>
    <row r="10794">
      <c r="A10794" s="39">
        <f>_xlfn.XLOOKUP(67944,Trip[shape_id],Trip[shape_id],"Não encontrado")</f>
        <v/>
      </c>
      <c r="B10794" s="40" t="n">
        <v>-23.563741</v>
      </c>
      <c r="C10794" s="40" t="n">
        <v>-46.533531</v>
      </c>
      <c r="D10794" s="40" t="n">
        <v>319</v>
      </c>
      <c r="E10794" s="41" t="n">
        <v>9176.3408</v>
      </c>
    </row>
    <row r="10795">
      <c r="A10795" s="42">
        <f>_xlfn.XLOOKUP(67944,Trip[shape_id],Trip[shape_id],"Não encontrado")</f>
        <v/>
      </c>
      <c r="B10795" s="43" t="n">
        <v>-23.563638</v>
      </c>
      <c r="C10795" s="43" t="n">
        <v>-46.533416</v>
      </c>
      <c r="D10795" s="43" t="n">
        <v>320</v>
      </c>
      <c r="E10795" s="44" t="n">
        <v>9187.7158</v>
      </c>
    </row>
    <row r="10796">
      <c r="A10796" s="39">
        <f>_xlfn.XLOOKUP(67944,Trip[shape_id],Trip[shape_id],"Não encontrado")</f>
        <v/>
      </c>
      <c r="B10796" s="40" t="n">
        <v>-23.563575</v>
      </c>
      <c r="C10796" s="40" t="n">
        <v>-46.533328</v>
      </c>
      <c r="D10796" s="40" t="n">
        <v>321</v>
      </c>
      <c r="E10796" s="41" t="n">
        <v>9198.1553</v>
      </c>
    </row>
    <row r="10797">
      <c r="A10797" s="42">
        <f>_xlfn.XLOOKUP(67944,Trip[shape_id],Trip[shape_id],"Não encontrado")</f>
        <v/>
      </c>
      <c r="B10797" s="43" t="n">
        <v>-23.563524</v>
      </c>
      <c r="C10797" s="43" t="n">
        <v>-46.533242</v>
      </c>
      <c r="D10797" s="43" t="n">
        <v>322</v>
      </c>
      <c r="E10797" s="44" t="n">
        <v>9211.0996</v>
      </c>
    </row>
    <row r="10798">
      <c r="A10798" s="39">
        <f>_xlfn.XLOOKUP(67944,Trip[shape_id],Trip[shape_id],"Não encontrado")</f>
        <v/>
      </c>
      <c r="B10798" s="40" t="n">
        <v>-23.563471</v>
      </c>
      <c r="C10798" s="40" t="n">
        <v>-46.533129</v>
      </c>
      <c r="D10798" s="40" t="n">
        <v>323</v>
      </c>
      <c r="E10798" s="41" t="n">
        <v>9229.1445</v>
      </c>
    </row>
    <row r="10799">
      <c r="A10799" s="42">
        <f>_xlfn.XLOOKUP(67944,Trip[shape_id],Trip[shape_id],"Não encontrado")</f>
        <v/>
      </c>
      <c r="B10799" s="43" t="n">
        <v>-23.563408</v>
      </c>
      <c r="C10799" s="43" t="n">
        <v>-46.532966</v>
      </c>
      <c r="D10799" s="43" t="n">
        <v>324</v>
      </c>
      <c r="E10799" s="44" t="n">
        <v>9243.647499999999</v>
      </c>
    </row>
    <row r="10800">
      <c r="A10800" s="39">
        <f>_xlfn.XLOOKUP(67944,Trip[shape_id],Trip[shape_id],"Não encontrado")</f>
        <v/>
      </c>
      <c r="B10800" s="40" t="n">
        <v>-23.563381</v>
      </c>
      <c r="C10800" s="40" t="n">
        <v>-46.532827</v>
      </c>
      <c r="D10800" s="40" t="n">
        <v>325</v>
      </c>
      <c r="E10800" s="41" t="n">
        <v>9259.796899999999</v>
      </c>
    </row>
    <row r="10801">
      <c r="A10801" s="42">
        <f>_xlfn.XLOOKUP(67944,Trip[shape_id],Trip[shape_id],"Não encontrado")</f>
        <v/>
      </c>
      <c r="B10801" s="43" t="n">
        <v>-23.563374</v>
      </c>
      <c r="C10801" s="43" t="n">
        <v>-46.532669</v>
      </c>
      <c r="D10801" s="43" t="n">
        <v>326</v>
      </c>
      <c r="E10801" s="44" t="n">
        <v>9271.0322</v>
      </c>
    </row>
    <row r="10802">
      <c r="A10802" s="39">
        <f>_xlfn.XLOOKUP(67944,Trip[shape_id],Trip[shape_id],"Não encontrado")</f>
        <v/>
      </c>
      <c r="B10802" s="40" t="n">
        <v>-23.563388</v>
      </c>
      <c r="C10802" s="40" t="n">
        <v>-46.53256</v>
      </c>
      <c r="D10802" s="40" t="n">
        <v>327</v>
      </c>
      <c r="E10802" s="41" t="n">
        <v>9271.0322</v>
      </c>
    </row>
    <row r="10803">
      <c r="A10803" s="42">
        <f>_xlfn.XLOOKUP(67944,Trip[shape_id],Trip[shape_id],"Não encontrado")</f>
        <v/>
      </c>
      <c r="B10803" s="43" t="n">
        <v>-23.563393</v>
      </c>
      <c r="C10803" s="43" t="n">
        <v>-46.532481</v>
      </c>
      <c r="D10803" s="43" t="n">
        <v>328</v>
      </c>
      <c r="E10803" s="44" t="n">
        <v>9291.007799999999</v>
      </c>
    </row>
    <row r="10804">
      <c r="A10804" s="39">
        <f>_xlfn.XLOOKUP(67944,Trip[shape_id],Trip[shape_id],"Não encontrado")</f>
        <v/>
      </c>
      <c r="B10804" s="40" t="n">
        <v>-23.563415</v>
      </c>
      <c r="C10804" s="40" t="n">
        <v>-46.532367</v>
      </c>
      <c r="D10804" s="40" t="n">
        <v>329</v>
      </c>
      <c r="E10804" s="41" t="n">
        <v>9291.007799999999</v>
      </c>
    </row>
    <row r="10805">
      <c r="A10805" s="42">
        <f>_xlfn.XLOOKUP(67944,Trip[shape_id],Trip[shape_id],"Não encontrado")</f>
        <v/>
      </c>
      <c r="B10805" s="43" t="n">
        <v>-23.563004</v>
      </c>
      <c r="C10805" s="43" t="n">
        <v>-46.532109</v>
      </c>
      <c r="D10805" s="43" t="n">
        <v>330</v>
      </c>
      <c r="E10805" s="44" t="n">
        <v>9343.598599999999</v>
      </c>
    </row>
    <row r="10806">
      <c r="A10806" s="39">
        <f>_xlfn.XLOOKUP(67944,Trip[shape_id],Trip[shape_id],"Não encontrado")</f>
        <v/>
      </c>
      <c r="B10806" s="40" t="n">
        <v>-23.562516</v>
      </c>
      <c r="C10806" s="40" t="n">
        <v>-46.533099</v>
      </c>
      <c r="D10806" s="40" t="n">
        <v>331</v>
      </c>
      <c r="E10806" s="41" t="n">
        <v>9458.213900000001</v>
      </c>
    </row>
    <row r="10807">
      <c r="A10807" s="42">
        <f>_xlfn.XLOOKUP(67944,Trip[shape_id],Trip[shape_id],"Não encontrado")</f>
        <v/>
      </c>
      <c r="B10807" s="43" t="n">
        <v>-23.562143</v>
      </c>
      <c r="C10807" s="43" t="n">
        <v>-46.532849</v>
      </c>
      <c r="D10807" s="43" t="n">
        <v>332</v>
      </c>
      <c r="E10807" s="44" t="n">
        <v>9506.7734</v>
      </c>
    </row>
    <row r="10808">
      <c r="A10808" s="39">
        <f>_xlfn.XLOOKUP(67944,Trip[shape_id],Trip[shape_id],"Não encontrado")</f>
        <v/>
      </c>
      <c r="B10808" s="40" t="n">
        <v>-23.56172</v>
      </c>
      <c r="C10808" s="40" t="n">
        <v>-46.532579</v>
      </c>
      <c r="D10808" s="40" t="n">
        <v>333</v>
      </c>
      <c r="E10808" s="41" t="n">
        <v>9561.1299</v>
      </c>
    </row>
    <row r="10809">
      <c r="A10809" s="42">
        <f>_xlfn.XLOOKUP(67944,Trip[shape_id],Trip[shape_id],"Não encontrado")</f>
        <v/>
      </c>
      <c r="B10809" s="43" t="n">
        <v>-23.561306</v>
      </c>
      <c r="C10809" s="43" t="n">
        <v>-46.53231</v>
      </c>
      <c r="D10809" s="43" t="n">
        <v>334</v>
      </c>
      <c r="E10809" s="44" t="n">
        <v>9614.5771</v>
      </c>
    </row>
    <row r="10810">
      <c r="A10810" s="39">
        <f>_xlfn.XLOOKUP(67944,Trip[shape_id],Trip[shape_id],"Não encontrado")</f>
        <v/>
      </c>
      <c r="B10810" s="40" t="n">
        <v>-23.56126</v>
      </c>
      <c r="C10810" s="40" t="n">
        <v>-46.532283</v>
      </c>
      <c r="D10810" s="40" t="n">
        <v>335</v>
      </c>
      <c r="E10810" s="41" t="n">
        <v>9628.9395</v>
      </c>
    </row>
    <row r="10811">
      <c r="A10811" s="42">
        <f>_xlfn.XLOOKUP(67944,Trip[shape_id],Trip[shape_id],"Não encontrado")</f>
        <v/>
      </c>
      <c r="B10811" s="43" t="n">
        <v>-23.561193</v>
      </c>
      <c r="C10811" s="43" t="n">
        <v>-46.532241</v>
      </c>
      <c r="D10811" s="43" t="n">
        <v>336</v>
      </c>
      <c r="E10811" s="44" t="n">
        <v>9669.295899999999</v>
      </c>
    </row>
    <row r="10812">
      <c r="A10812" s="39">
        <f>_xlfn.XLOOKUP(67944,Trip[shape_id],Trip[shape_id],"Não encontrado")</f>
        <v/>
      </c>
      <c r="B10812" s="40" t="n">
        <v>-23.560875</v>
      </c>
      <c r="C10812" s="40" t="n">
        <v>-46.532048</v>
      </c>
      <c r="D10812" s="40" t="n">
        <v>337</v>
      </c>
      <c r="E10812" s="41" t="n">
        <v>9669.295899999999</v>
      </c>
    </row>
    <row r="10813">
      <c r="A10813" s="42">
        <f>_xlfn.XLOOKUP(67944,Trip[shape_id],Trip[shape_id],"Não encontrado")</f>
        <v/>
      </c>
      <c r="B10813" s="43" t="n">
        <v>-23.560433</v>
      </c>
      <c r="C10813" s="43" t="n">
        <v>-46.531791</v>
      </c>
      <c r="D10813" s="43" t="n">
        <v>338</v>
      </c>
      <c r="E10813" s="44" t="n">
        <v>9724.8369</v>
      </c>
    </row>
    <row r="10814">
      <c r="A10814" s="39">
        <f>_xlfn.XLOOKUP(67944,Trip[shape_id],Trip[shape_id],"Não encontrado")</f>
        <v/>
      </c>
      <c r="B10814" s="40" t="n">
        <v>-23.559984</v>
      </c>
      <c r="C10814" s="40" t="n">
        <v>-46.531506</v>
      </c>
      <c r="D10814" s="40" t="n">
        <v>339</v>
      </c>
      <c r="E10814" s="41" t="n">
        <v>9782.4521</v>
      </c>
    </row>
    <row r="10815">
      <c r="A10815" s="42">
        <f>_xlfn.XLOOKUP(67944,Trip[shape_id],Trip[shape_id],"Não encontrado")</f>
        <v/>
      </c>
      <c r="B10815" s="43" t="n">
        <v>-23.559578</v>
      </c>
      <c r="C10815" s="43" t="n">
        <v>-46.53125</v>
      </c>
      <c r="D10815" s="43" t="n">
        <v>340</v>
      </c>
      <c r="E10815" s="44" t="n">
        <v>9834.4619</v>
      </c>
    </row>
    <row r="10816">
      <c r="A10816" s="39">
        <f>_xlfn.XLOOKUP(67944,Trip[shape_id],Trip[shape_id],"Não encontrado")</f>
        <v/>
      </c>
      <c r="B10816" s="40" t="n">
        <v>-23.559285</v>
      </c>
      <c r="C10816" s="40" t="n">
        <v>-46.531071</v>
      </c>
      <c r="D10816" s="40" t="n">
        <v>341</v>
      </c>
      <c r="E10816" s="41" t="n">
        <v>9871.704100000001</v>
      </c>
    </row>
    <row r="10817">
      <c r="A10817" s="42">
        <f>_xlfn.XLOOKUP(67944,Trip[shape_id],Trip[shape_id],"Não encontrado")</f>
        <v/>
      </c>
      <c r="B10817" s="43" t="n">
        <v>-23.55914</v>
      </c>
      <c r="C10817" s="43" t="n">
        <v>-46.530982</v>
      </c>
      <c r="D10817" s="43" t="n">
        <v>342</v>
      </c>
      <c r="E10817" s="44" t="n">
        <v>9890.1553</v>
      </c>
    </row>
    <row r="10818">
      <c r="A10818" s="39">
        <f>_xlfn.XLOOKUP(67944,Trip[shape_id],Trip[shape_id],"Não encontrado")</f>
        <v/>
      </c>
      <c r="B10818" s="40" t="n">
        <v>-23.55871</v>
      </c>
      <c r="C10818" s="40" t="n">
        <v>-46.53072</v>
      </c>
      <c r="D10818" s="40" t="n">
        <v>343</v>
      </c>
      <c r="E10818" s="41" t="n">
        <v>9944.776400000001</v>
      </c>
    </row>
    <row r="10819">
      <c r="A10819" s="42">
        <f>_xlfn.XLOOKUP(67944,Trip[shape_id],Trip[shape_id],"Não encontrado")</f>
        <v/>
      </c>
      <c r="B10819" s="43" t="n">
        <v>-23.558671</v>
      </c>
      <c r="C10819" s="43" t="n">
        <v>-46.53069</v>
      </c>
      <c r="D10819" s="43" t="n">
        <v>344</v>
      </c>
      <c r="E10819" s="44" t="n">
        <v>9950.0713</v>
      </c>
    </row>
    <row r="10820">
      <c r="A10820" s="39">
        <f>_xlfn.XLOOKUP(67944,Trip[shape_id],Trip[shape_id],"Não encontrado")</f>
        <v/>
      </c>
      <c r="B10820" s="40" t="n">
        <v>-23.558455</v>
      </c>
      <c r="C10820" s="40" t="n">
        <v>-46.530552</v>
      </c>
      <c r="D10820" s="40" t="n">
        <v>345</v>
      </c>
      <c r="E10820" s="41" t="n">
        <v>9996.732400000001</v>
      </c>
    </row>
    <row r="10821">
      <c r="A10821" s="42">
        <f>_xlfn.XLOOKUP(67944,Trip[shape_id],Trip[shape_id],"Não encontrado")</f>
        <v/>
      </c>
      <c r="B10821" s="43" t="n">
        <v>-23.558308</v>
      </c>
      <c r="C10821" s="43" t="n">
        <v>-46.530458</v>
      </c>
      <c r="D10821" s="43" t="n">
        <v>346</v>
      </c>
      <c r="E10821" s="44" t="n">
        <v>10005.207</v>
      </c>
    </row>
    <row r="10822">
      <c r="A10822" s="39">
        <f>_xlfn.XLOOKUP(67944,Trip[shape_id],Trip[shape_id],"Não encontrado")</f>
        <v/>
      </c>
      <c r="B10822" s="40" t="n">
        <v>-23.558242</v>
      </c>
      <c r="C10822" s="40" t="n">
        <v>-46.530416</v>
      </c>
      <c r="D10822" s="40" t="n">
        <v>347</v>
      </c>
      <c r="E10822" s="41" t="n">
        <v>10005.207</v>
      </c>
    </row>
    <row r="10823">
      <c r="A10823" s="42">
        <f>_xlfn.XLOOKUP(67944,Trip[shape_id],Trip[shape_id],"Não encontrado")</f>
        <v/>
      </c>
      <c r="B10823" s="43" t="n">
        <v>-23.558224</v>
      </c>
      <c r="C10823" s="43" t="n">
        <v>-46.530396</v>
      </c>
      <c r="D10823" s="43" t="n">
        <v>348</v>
      </c>
      <c r="E10823" s="44" t="n">
        <v>10008.061</v>
      </c>
    </row>
    <row r="10824">
      <c r="A10824" s="39">
        <f>_xlfn.XLOOKUP(67944,Trip[shape_id],Trip[shape_id],"Não encontrado")</f>
        <v/>
      </c>
      <c r="B10824" s="40" t="n">
        <v>-23.557826</v>
      </c>
      <c r="C10824" s="40" t="n">
        <v>-46.530172</v>
      </c>
      <c r="D10824" s="40" t="n">
        <v>349</v>
      </c>
      <c r="E10824" s="41" t="n">
        <v>10066.056</v>
      </c>
    </row>
    <row r="10825">
      <c r="A10825" s="42">
        <f>_xlfn.XLOOKUP(67944,Trip[shape_id],Trip[shape_id],"Não encontrado")</f>
        <v/>
      </c>
      <c r="B10825" s="43" t="n">
        <v>-23.557758</v>
      </c>
      <c r="C10825" s="43" t="n">
        <v>-46.530137</v>
      </c>
      <c r="D10825" s="43" t="n">
        <v>350</v>
      </c>
      <c r="E10825" s="44" t="n">
        <v>10066.056</v>
      </c>
    </row>
    <row r="10826">
      <c r="A10826" s="39">
        <f>_xlfn.XLOOKUP(67944,Trip[shape_id],Trip[shape_id],"Não encontrado")</f>
        <v/>
      </c>
      <c r="B10826" s="40" t="n">
        <v>-23.557343</v>
      </c>
      <c r="C10826" s="40" t="n">
        <v>-46.52988</v>
      </c>
      <c r="D10826" s="40" t="n">
        <v>351</v>
      </c>
      <c r="E10826" s="41" t="n">
        <v>10175.22</v>
      </c>
    </row>
    <row r="10827">
      <c r="A10827" s="42">
        <f>_xlfn.XLOOKUP(67944,Trip[shape_id],Trip[shape_id],"Não encontrado")</f>
        <v/>
      </c>
      <c r="B10827" s="43" t="n">
        <v>-23.556903</v>
      </c>
      <c r="C10827" s="43" t="n">
        <v>-46.529605</v>
      </c>
      <c r="D10827" s="43" t="n">
        <v>352</v>
      </c>
      <c r="E10827" s="44" t="n">
        <v>10175.22</v>
      </c>
    </row>
    <row r="10828">
      <c r="A10828" s="39">
        <f>_xlfn.XLOOKUP(67944,Trip[shape_id],Trip[shape_id],"Não encontrado")</f>
        <v/>
      </c>
      <c r="B10828" s="40" t="n">
        <v>-23.556797</v>
      </c>
      <c r="C10828" s="40" t="n">
        <v>-46.52953</v>
      </c>
      <c r="D10828" s="40" t="n">
        <v>353</v>
      </c>
      <c r="E10828" s="41" t="n">
        <v>10194.014</v>
      </c>
    </row>
    <row r="10829">
      <c r="A10829" s="42">
        <f>_xlfn.XLOOKUP(67944,Trip[shape_id],Trip[shape_id],"Não encontrado")</f>
        <v/>
      </c>
      <c r="B10829" s="43" t="n">
        <v>-23.556758</v>
      </c>
      <c r="C10829" s="43" t="n">
        <v>-46.52951</v>
      </c>
      <c r="D10829" s="43" t="n">
        <v>354</v>
      </c>
      <c r="E10829" s="44" t="n">
        <v>10199.222</v>
      </c>
    </row>
    <row r="10830">
      <c r="A10830" s="39">
        <f>_xlfn.XLOOKUP(67944,Trip[shape_id],Trip[shape_id],"Não encontrado")</f>
        <v/>
      </c>
      <c r="B10830" s="40" t="n">
        <v>-23.556717</v>
      </c>
      <c r="C10830" s="40" t="n">
        <v>-46.529485</v>
      </c>
      <c r="D10830" s="40" t="n">
        <v>355</v>
      </c>
      <c r="E10830" s="41" t="n">
        <v>10234.176</v>
      </c>
    </row>
    <row r="10831">
      <c r="A10831" s="42">
        <f>_xlfn.XLOOKUP(67944,Trip[shape_id],Trip[shape_id],"Não encontrado")</f>
        <v/>
      </c>
      <c r="B10831" s="43" t="n">
        <v>-23.556442</v>
      </c>
      <c r="C10831" s="43" t="n">
        <v>-46.529317</v>
      </c>
      <c r="D10831" s="43" t="n">
        <v>356</v>
      </c>
      <c r="E10831" s="44" t="n">
        <v>10287.51</v>
      </c>
    </row>
    <row r="10832">
      <c r="A10832" s="39">
        <f>_xlfn.XLOOKUP(67944,Trip[shape_id],Trip[shape_id],"Não encontrado")</f>
        <v/>
      </c>
      <c r="B10832" s="40" t="n">
        <v>-23.556027</v>
      </c>
      <c r="C10832" s="40" t="n">
        <v>-46.529052</v>
      </c>
      <c r="D10832" s="40" t="n">
        <v>357</v>
      </c>
      <c r="E10832" s="41" t="n">
        <v>10287.51</v>
      </c>
    </row>
    <row r="10833">
      <c r="A10833" s="42">
        <f>_xlfn.XLOOKUP(67944,Trip[shape_id],Trip[shape_id],"Não encontrado")</f>
        <v/>
      </c>
      <c r="B10833" s="43" t="n">
        <v>-23.55582</v>
      </c>
      <c r="C10833" s="43" t="n">
        <v>-46.528926</v>
      </c>
      <c r="D10833" s="43" t="n">
        <v>358</v>
      </c>
      <c r="E10833" s="44" t="n">
        <v>10341.885</v>
      </c>
    </row>
    <row r="10834">
      <c r="A10834" s="39">
        <f>_xlfn.XLOOKUP(67944,Trip[shape_id],Trip[shape_id],"Não encontrado")</f>
        <v/>
      </c>
      <c r="B10834" s="40" t="n">
        <v>-23.555597</v>
      </c>
      <c r="C10834" s="40" t="n">
        <v>-46.528795</v>
      </c>
      <c r="D10834" s="40" t="n">
        <v>359</v>
      </c>
      <c r="E10834" s="41" t="n">
        <v>10341.885</v>
      </c>
    </row>
    <row r="10835">
      <c r="A10835" s="42">
        <f>_xlfn.XLOOKUP(67944,Trip[shape_id],Trip[shape_id],"Não encontrado")</f>
        <v/>
      </c>
      <c r="B10835" s="43" t="n">
        <v>-23.555159</v>
      </c>
      <c r="C10835" s="43" t="n">
        <v>-46.52853</v>
      </c>
      <c r="D10835" s="43" t="n">
        <v>360</v>
      </c>
      <c r="E10835" s="44" t="n">
        <v>10397.429</v>
      </c>
    </row>
    <row r="10836">
      <c r="A10836" s="39">
        <f>_xlfn.XLOOKUP(67944,Trip[shape_id],Trip[shape_id],"Não encontrado")</f>
        <v/>
      </c>
      <c r="B10836" s="40" t="n">
        <v>-23.554941</v>
      </c>
      <c r="C10836" s="40" t="n">
        <v>-46.528383</v>
      </c>
      <c r="D10836" s="40" t="n">
        <v>361</v>
      </c>
      <c r="E10836" s="41" t="n">
        <v>10466.601</v>
      </c>
    </row>
    <row r="10837">
      <c r="A10837" s="42">
        <f>_xlfn.XLOOKUP(67944,Trip[shape_id],Trip[shape_id],"Não encontrado")</f>
        <v/>
      </c>
      <c r="B10837" s="43" t="n">
        <v>-23.554618</v>
      </c>
      <c r="C10837" s="43" t="n">
        <v>-46.528192</v>
      </c>
      <c r="D10837" s="43" t="n">
        <v>362</v>
      </c>
      <c r="E10837" s="44" t="n">
        <v>10515.197</v>
      </c>
    </row>
    <row r="10838">
      <c r="A10838" s="39">
        <f>_xlfn.XLOOKUP(67944,Trip[shape_id],Trip[shape_id],"Não encontrado")</f>
        <v/>
      </c>
      <c r="B10838" s="40" t="n">
        <v>-23.554238</v>
      </c>
      <c r="C10838" s="40" t="n">
        <v>-46.527954</v>
      </c>
      <c r="D10838" s="40" t="n">
        <v>363</v>
      </c>
      <c r="E10838" s="41" t="n">
        <v>10515.197</v>
      </c>
    </row>
    <row r="10839">
      <c r="A10839" s="42">
        <f>_xlfn.XLOOKUP(67944,Trip[shape_id],Trip[shape_id],"Não encontrado")</f>
        <v/>
      </c>
      <c r="B10839" s="43" t="n">
        <v>-23.553717</v>
      </c>
      <c r="C10839" s="43" t="n">
        <v>-46.527631</v>
      </c>
      <c r="D10839" s="43" t="n">
        <v>364</v>
      </c>
      <c r="E10839" s="44" t="n">
        <v>10581.658</v>
      </c>
    </row>
    <row r="10840">
      <c r="A10840" s="39">
        <f>_xlfn.XLOOKUP(67944,Trip[shape_id],Trip[shape_id],"Não encontrado")</f>
        <v/>
      </c>
      <c r="B10840" s="40" t="n">
        <v>-23.553955</v>
      </c>
      <c r="C10840" s="40" t="n">
        <v>-46.527427</v>
      </c>
      <c r="D10840" s="40" t="n">
        <v>365</v>
      </c>
      <c r="E10840" s="41" t="n">
        <v>10615.253</v>
      </c>
    </row>
    <row r="10841">
      <c r="A10841" s="42">
        <f>_xlfn.XLOOKUP(67944,Trip[shape_id],Trip[shape_id],"Não encontrado")</f>
        <v/>
      </c>
      <c r="B10841" s="43" t="n">
        <v>-23.554465</v>
      </c>
      <c r="C10841" s="43" t="n">
        <v>-46.52698</v>
      </c>
      <c r="D10841" s="43" t="n">
        <v>366</v>
      </c>
      <c r="E10841" s="44" t="n">
        <v>10687.87</v>
      </c>
    </row>
    <row r="10842">
      <c r="A10842" s="39">
        <f>_xlfn.XLOOKUP(67944,Trip[shape_id],Trip[shape_id],"Não encontrado")</f>
        <v/>
      </c>
      <c r="B10842" s="40" t="n">
        <v>-23.554604</v>
      </c>
      <c r="C10842" s="40" t="n">
        <v>-46.526858</v>
      </c>
      <c r="D10842" s="40" t="n">
        <v>367</v>
      </c>
      <c r="E10842" s="41" t="n">
        <v>10707.673</v>
      </c>
    </row>
    <row r="10843">
      <c r="A10843" s="42">
        <f>_xlfn.XLOOKUP(67944,Trip[shape_id],Trip[shape_id],"Não encontrado")</f>
        <v/>
      </c>
      <c r="B10843" s="43" t="n">
        <v>-23.555003</v>
      </c>
      <c r="C10843" s="43" t="n">
        <v>-46.526515</v>
      </c>
      <c r="D10843" s="43" t="n">
        <v>368</v>
      </c>
      <c r="E10843" s="44" t="n">
        <v>10827.278</v>
      </c>
    </row>
    <row r="10844">
      <c r="A10844" s="39">
        <f>_xlfn.XLOOKUP(67944,Trip[shape_id],Trip[shape_id],"Não encontrado")</f>
        <v/>
      </c>
      <c r="B10844" s="40" t="n">
        <v>-23.555453</v>
      </c>
      <c r="C10844" s="40" t="n">
        <v>-46.526134</v>
      </c>
      <c r="D10844" s="40" t="n">
        <v>369</v>
      </c>
      <c r="E10844" s="41" t="n">
        <v>10833.082</v>
      </c>
    </row>
    <row r="10845">
      <c r="A10845" s="42">
        <f>_xlfn.XLOOKUP(67944,Trip[shape_id],Trip[shape_id],"Não encontrado")</f>
        <v/>
      </c>
      <c r="B10845" s="43" t="n">
        <v>-23.555495</v>
      </c>
      <c r="C10845" s="43" t="n">
        <v>-46.5261</v>
      </c>
      <c r="D10845" s="43" t="n">
        <v>370</v>
      </c>
      <c r="E10845" s="44" t="n">
        <v>10833.082</v>
      </c>
    </row>
    <row r="10846">
      <c r="A10846" s="39">
        <f>_xlfn.XLOOKUP(67944,Trip[shape_id],Trip[shape_id],"Não encontrado")</f>
        <v/>
      </c>
      <c r="B10846" s="40" t="n">
        <v>-23.55559</v>
      </c>
      <c r="C10846" s="40" t="n">
        <v>-46.52602</v>
      </c>
      <c r="D10846" s="40" t="n">
        <v>371</v>
      </c>
      <c r="E10846" s="41" t="n">
        <v>10846.401</v>
      </c>
    </row>
    <row r="10847">
      <c r="A10847" s="42">
        <f>_xlfn.XLOOKUP(67944,Trip[shape_id],Trip[shape_id],"Não encontrado")</f>
        <v/>
      </c>
      <c r="B10847" s="43" t="n">
        <v>-23.556287</v>
      </c>
      <c r="C10847" s="43" t="n">
        <v>-46.525427</v>
      </c>
      <c r="D10847" s="43" t="n">
        <v>372</v>
      </c>
      <c r="E10847" s="44" t="n">
        <v>10944.506</v>
      </c>
    </row>
    <row r="10848">
      <c r="A10848" s="39">
        <f>_xlfn.XLOOKUP(67944,Trip[shape_id],Trip[shape_id],"Não encontrado")</f>
        <v/>
      </c>
      <c r="B10848" s="40" t="n">
        <v>-23.556492</v>
      </c>
      <c r="C10848" s="40" t="n">
        <v>-46.525251</v>
      </c>
      <c r="D10848" s="40" t="n">
        <v>373</v>
      </c>
      <c r="E10848" s="41" t="n">
        <v>10973.461</v>
      </c>
    </row>
    <row r="10849">
      <c r="A10849" s="42">
        <f>_xlfn.XLOOKUP(67944,Trip[shape_id],Trip[shape_id],"Não encontrado")</f>
        <v/>
      </c>
      <c r="B10849" s="43" t="n">
        <v>-23.556731</v>
      </c>
      <c r="C10849" s="43" t="n">
        <v>-46.525045</v>
      </c>
      <c r="D10849" s="43" t="n">
        <v>374</v>
      </c>
      <c r="E10849" s="44" t="n">
        <v>11007.27</v>
      </c>
    </row>
    <row r="10850">
      <c r="A10850" s="39">
        <f>_xlfn.XLOOKUP(67944,Trip[shape_id],Trip[shape_id],"Não encontrado")</f>
        <v/>
      </c>
      <c r="B10850" s="40" t="n">
        <v>-23.556956</v>
      </c>
      <c r="C10850" s="40" t="n">
        <v>-46.524812</v>
      </c>
      <c r="D10850" s="40" t="n">
        <v>375</v>
      </c>
      <c r="E10850" s="41" t="n">
        <v>11041.721</v>
      </c>
    </row>
    <row r="10851">
      <c r="A10851" s="42">
        <f>_xlfn.XLOOKUP(67944,Trip[shape_id],Trip[shape_id],"Não encontrado")</f>
        <v/>
      </c>
      <c r="B10851" s="43" t="n">
        <v>-23.557159</v>
      </c>
      <c r="C10851" s="43" t="n">
        <v>-46.524576</v>
      </c>
      <c r="D10851" s="43" t="n">
        <v>376</v>
      </c>
      <c r="E10851" s="44" t="n">
        <v>11081.68</v>
      </c>
    </row>
    <row r="10852">
      <c r="A10852" s="39">
        <f>_xlfn.XLOOKUP(67944,Trip[shape_id],Trip[shape_id],"Não encontrado")</f>
        <v/>
      </c>
      <c r="B10852" s="40" t="n">
        <v>-23.557198</v>
      </c>
      <c r="C10852" s="40" t="n">
        <v>-46.524522</v>
      </c>
      <c r="D10852" s="40" t="n">
        <v>377</v>
      </c>
      <c r="E10852" s="41" t="n">
        <v>11112.328</v>
      </c>
    </row>
    <row r="10853">
      <c r="A10853" s="42">
        <f>_xlfn.XLOOKUP(67944,Trip[shape_id],Trip[shape_id],"Não encontrado")</f>
        <v/>
      </c>
      <c r="B10853" s="43" t="n">
        <v>-23.557363</v>
      </c>
      <c r="C10853" s="43" t="n">
        <v>-46.524281</v>
      </c>
      <c r="D10853" s="43" t="n">
        <v>378</v>
      </c>
      <c r="E10853" s="44" t="n">
        <v>11112.328</v>
      </c>
    </row>
    <row r="10854">
      <c r="A10854" s="39">
        <f>_xlfn.XLOOKUP(67944,Trip[shape_id],Trip[shape_id],"Não encontrado")</f>
        <v/>
      </c>
      <c r="B10854" s="40" t="n">
        <v>-23.557392</v>
      </c>
      <c r="C10854" s="40" t="n">
        <v>-46.524234</v>
      </c>
      <c r="D10854" s="40" t="n">
        <v>379</v>
      </c>
      <c r="E10854" s="41" t="n">
        <v>11183.079</v>
      </c>
    </row>
    <row r="10855">
      <c r="A10855" s="42">
        <f>_xlfn.XLOOKUP(67944,Trip[shape_id],Trip[shape_id],"Não encontrado")</f>
        <v/>
      </c>
      <c r="B10855" s="43" t="n">
        <v>-23.557585</v>
      </c>
      <c r="C10855" s="43" t="n">
        <v>-46.523633</v>
      </c>
      <c r="D10855" s="43" t="n">
        <v>380</v>
      </c>
      <c r="E10855" s="44" t="n">
        <v>11191.088</v>
      </c>
    </row>
    <row r="10856">
      <c r="A10856" s="39">
        <f>_xlfn.XLOOKUP(67944,Trip[shape_id],Trip[shape_id],"Não encontrado")</f>
        <v/>
      </c>
      <c r="B10856" s="40" t="n">
        <v>-23.557609</v>
      </c>
      <c r="C10856" s="40" t="n">
        <v>-46.523559</v>
      </c>
      <c r="D10856" s="40" t="n">
        <v>381</v>
      </c>
      <c r="E10856" s="41" t="n">
        <v>11215.52</v>
      </c>
    </row>
    <row r="10857">
      <c r="A10857" s="42">
        <f>_xlfn.XLOOKUP(67944,Trip[shape_id],Trip[shape_id],"Não encontrado")</f>
        <v/>
      </c>
      <c r="B10857" s="43" t="n">
        <v>-23.557702</v>
      </c>
      <c r="C10857" s="43" t="n">
        <v>-46.523342</v>
      </c>
      <c r="D10857" s="43" t="n">
        <v>382</v>
      </c>
      <c r="E10857" s="44" t="n">
        <v>11215.52</v>
      </c>
    </row>
    <row r="10858">
      <c r="A10858" s="39">
        <f>_xlfn.XLOOKUP(67944,Trip[shape_id],Trip[shape_id],"Não encontrado")</f>
        <v/>
      </c>
      <c r="B10858" s="40" t="n">
        <v>-23.557789</v>
      </c>
      <c r="C10858" s="40" t="n">
        <v>-46.523234</v>
      </c>
      <c r="D10858" s="40" t="n">
        <v>383</v>
      </c>
      <c r="E10858" s="41" t="n">
        <v>11230.163</v>
      </c>
    </row>
    <row r="10859">
      <c r="A10859" s="42">
        <f>_xlfn.XLOOKUP(67944,Trip[shape_id],Trip[shape_id],"Não encontrado")</f>
        <v/>
      </c>
      <c r="B10859" s="43" t="n">
        <v>-23.557806</v>
      </c>
      <c r="C10859" s="43" t="n">
        <v>-46.523214</v>
      </c>
      <c r="D10859" s="43" t="n">
        <v>384</v>
      </c>
      <c r="E10859" s="44" t="n">
        <v>11232.94</v>
      </c>
    </row>
    <row r="10860">
      <c r="A10860" s="39">
        <f>_xlfn.XLOOKUP(67944,Trip[shape_id],Trip[shape_id],"Não encontrado")</f>
        <v/>
      </c>
      <c r="B10860" s="40" t="n">
        <v>-23.557845</v>
      </c>
      <c r="C10860" s="40" t="n">
        <v>-46.52318</v>
      </c>
      <c r="D10860" s="40" t="n">
        <v>385</v>
      </c>
      <c r="E10860" s="41" t="n">
        <v>11238.482</v>
      </c>
    </row>
    <row r="10861">
      <c r="A10861" s="42">
        <f>_xlfn.XLOOKUP(67944,Trip[shape_id],Trip[shape_id],"Não encontrado")</f>
        <v/>
      </c>
      <c r="B10861" s="43" t="n">
        <v>-23.557921</v>
      </c>
      <c r="C10861" s="43" t="n">
        <v>-46.523112</v>
      </c>
      <c r="D10861" s="43" t="n">
        <v>386</v>
      </c>
      <c r="E10861" s="44" t="n">
        <v>11257.165</v>
      </c>
    </row>
    <row r="10862">
      <c r="A10862" s="39">
        <f>_xlfn.XLOOKUP(67944,Trip[shape_id],Trip[shape_id],"Não encontrado")</f>
        <v/>
      </c>
      <c r="B10862" s="40" t="n">
        <v>-23.557959</v>
      </c>
      <c r="C10862" s="40" t="n">
        <v>-46.523048</v>
      </c>
      <c r="D10862" s="40" t="n">
        <v>387</v>
      </c>
      <c r="E10862" s="41" t="n">
        <v>11257.165</v>
      </c>
    </row>
    <row r="10863">
      <c r="A10863" s="42">
        <f>_xlfn.XLOOKUP(67944,Trip[shape_id],Trip[shape_id],"Não encontrado")</f>
        <v/>
      </c>
      <c r="B10863" s="43" t="n">
        <v>-23.557981</v>
      </c>
      <c r="C10863" s="43" t="n">
        <v>-46.52301</v>
      </c>
      <c r="D10863" s="43" t="n">
        <v>388</v>
      </c>
      <c r="E10863" s="44" t="n">
        <v>11261.747</v>
      </c>
    </row>
    <row r="10864">
      <c r="A10864" s="39">
        <f>_xlfn.XLOOKUP(67944,Trip[shape_id],Trip[shape_id],"Não encontrado")</f>
        <v/>
      </c>
      <c r="B10864" s="40" t="n">
        <v>-23.558057</v>
      </c>
      <c r="C10864" s="40" t="n">
        <v>-46.52288</v>
      </c>
      <c r="D10864" s="40" t="n">
        <v>389</v>
      </c>
      <c r="E10864" s="41" t="n">
        <v>11277.464</v>
      </c>
    </row>
    <row r="10865">
      <c r="A10865" s="42">
        <f>_xlfn.XLOOKUP(67944,Trip[shape_id],Trip[shape_id],"Não encontrado")</f>
        <v/>
      </c>
      <c r="B10865" s="43" t="n">
        <v>-23.55808</v>
      </c>
      <c r="C10865" s="43" t="n">
        <v>-46.522841</v>
      </c>
      <c r="D10865" s="43" t="n">
        <v>390</v>
      </c>
      <c r="E10865" s="44" t="n">
        <v>11282.191</v>
      </c>
    </row>
    <row r="10866">
      <c r="A10866" s="39">
        <f>_xlfn.XLOOKUP(67944,Trip[shape_id],Trip[shape_id],"Não encontrado")</f>
        <v/>
      </c>
      <c r="B10866" s="40" t="n">
        <v>-23.558145</v>
      </c>
      <c r="C10866" s="40" t="n">
        <v>-46.52273</v>
      </c>
      <c r="D10866" s="40" t="n">
        <v>391</v>
      </c>
      <c r="E10866" s="41" t="n">
        <v>11295.617</v>
      </c>
    </row>
    <row r="10867">
      <c r="A10867" s="42">
        <f>_xlfn.XLOOKUP(67944,Trip[shape_id],Trip[shape_id],"Não encontrado")</f>
        <v/>
      </c>
      <c r="B10867" s="43" t="n">
        <v>-23.558167</v>
      </c>
      <c r="C10867" s="43" t="n">
        <v>-46.522692</v>
      </c>
      <c r="D10867" s="43" t="n">
        <v>392</v>
      </c>
      <c r="E10867" s="44" t="n">
        <v>11300.199</v>
      </c>
    </row>
    <row r="10868">
      <c r="A10868" s="39">
        <f>_xlfn.XLOOKUP(67944,Trip[shape_id],Trip[shape_id],"Não encontrado")</f>
        <v/>
      </c>
      <c r="B10868" s="40" t="n">
        <v>-23.55825</v>
      </c>
      <c r="C10868" s="40" t="n">
        <v>-46.52255</v>
      </c>
      <c r="D10868" s="40" t="n">
        <v>393</v>
      </c>
      <c r="E10868" s="41" t="n">
        <v>11317.365</v>
      </c>
    </row>
    <row r="10869">
      <c r="A10869" s="42">
        <f>_xlfn.XLOOKUP(67944,Trip[shape_id],Trip[shape_id],"Não encontrado")</f>
        <v/>
      </c>
      <c r="B10869" s="43" t="n">
        <v>-23.558274</v>
      </c>
      <c r="C10869" s="43" t="n">
        <v>-46.522508</v>
      </c>
      <c r="D10869" s="43" t="n">
        <v>394</v>
      </c>
      <c r="E10869" s="44" t="n">
        <v>11322.41</v>
      </c>
    </row>
    <row r="10870">
      <c r="A10870" s="39">
        <f>_xlfn.XLOOKUP(68752,Trip[shape_id],Trip[shape_id],"Não encontrado")</f>
        <v/>
      </c>
      <c r="B10870" s="40" t="n">
        <v>-23.498264</v>
      </c>
      <c r="C10870" s="40" t="n">
        <v>-46.52005</v>
      </c>
      <c r="D10870" s="40" t="n">
        <v>1</v>
      </c>
      <c r="E10870" s="41" t="n">
        <v>29.961666</v>
      </c>
    </row>
    <row r="10871">
      <c r="A10871" s="42">
        <f>_xlfn.XLOOKUP(68752,Trip[shape_id],Trip[shape_id],"Não encontrado")</f>
        <v/>
      </c>
      <c r="B10871" s="43" t="n">
        <v>-23.498124</v>
      </c>
      <c r="C10871" s="43" t="n">
        <v>-46.519799</v>
      </c>
      <c r="D10871" s="43" t="n">
        <v>2</v>
      </c>
      <c r="E10871" s="44" t="n">
        <v>57.961945</v>
      </c>
    </row>
    <row r="10872">
      <c r="A10872" s="39">
        <f>_xlfn.XLOOKUP(68752,Trip[shape_id],Trip[shape_id],"Não encontrado")</f>
        <v/>
      </c>
      <c r="B10872" s="40" t="n">
        <v>-23.49794</v>
      </c>
      <c r="C10872" s="40" t="n">
        <v>-46.519611</v>
      </c>
      <c r="D10872" s="40" t="n">
        <v>3</v>
      </c>
      <c r="E10872" s="41" t="n">
        <v>118.14621</v>
      </c>
    </row>
    <row r="10873">
      <c r="A10873" s="42">
        <f>_xlfn.XLOOKUP(68752,Trip[shape_id],Trip[shape_id],"Não encontrado")</f>
        <v/>
      </c>
      <c r="B10873" s="43" t="n">
        <v>-23.497771</v>
      </c>
      <c r="C10873" s="43" t="n">
        <v>-46.519051</v>
      </c>
      <c r="D10873" s="43" t="n">
        <v>4</v>
      </c>
      <c r="E10873" s="44" t="n">
        <v>298.19101</v>
      </c>
    </row>
    <row r="10874">
      <c r="A10874" s="39">
        <f>_xlfn.XLOOKUP(68752,Trip[shape_id],Trip[shape_id],"Não encontrado")</f>
        <v/>
      </c>
      <c r="B10874" s="40" t="n">
        <v>-23.49715</v>
      </c>
      <c r="C10874" s="40" t="n">
        <v>-46.517422</v>
      </c>
      <c r="D10874" s="40" t="n">
        <v>5</v>
      </c>
      <c r="E10874" s="41" t="n">
        <v>600.56891</v>
      </c>
    </row>
    <row r="10875">
      <c r="A10875" s="42">
        <f>_xlfn.XLOOKUP(68752,Trip[shape_id],Trip[shape_id],"Não encontrado")</f>
        <v/>
      </c>
      <c r="B10875" s="43" t="n">
        <v>-23.496103</v>
      </c>
      <c r="C10875" s="43" t="n">
        <v>-46.514688</v>
      </c>
      <c r="D10875" s="43" t="n">
        <v>6</v>
      </c>
      <c r="E10875" s="44" t="n">
        <v>832.10211</v>
      </c>
    </row>
    <row r="10876">
      <c r="A10876" s="39">
        <f>_xlfn.XLOOKUP(68752,Trip[shape_id],Trip[shape_id],"Não encontrado")</f>
        <v/>
      </c>
      <c r="B10876" s="40" t="n">
        <v>-23.495968</v>
      </c>
      <c r="C10876" s="40" t="n">
        <v>-46.512426</v>
      </c>
      <c r="D10876" s="40" t="n">
        <v>7</v>
      </c>
      <c r="E10876" s="41" t="n">
        <v>844.9005100000001</v>
      </c>
    </row>
    <row r="10877">
      <c r="A10877" s="42">
        <f>_xlfn.XLOOKUP(68752,Trip[shape_id],Trip[shape_id],"Não encontrado")</f>
        <v/>
      </c>
      <c r="B10877" s="43" t="n">
        <v>-23.49596</v>
      </c>
      <c r="C10877" s="43" t="n">
        <v>-46.512301</v>
      </c>
      <c r="D10877" s="43" t="n">
        <v>8</v>
      </c>
      <c r="E10877" s="44" t="n">
        <v>920.57953</v>
      </c>
    </row>
    <row r="10878">
      <c r="A10878" s="39">
        <f>_xlfn.XLOOKUP(68752,Trip[shape_id],Trip[shape_id],"Não encontrado")</f>
        <v/>
      </c>
      <c r="B10878" s="40" t="n">
        <v>-23.495838</v>
      </c>
      <c r="C10878" s="40" t="n">
        <v>-46.511572</v>
      </c>
      <c r="D10878" s="40" t="n">
        <v>9</v>
      </c>
      <c r="E10878" s="41" t="n">
        <v>1007.0497</v>
      </c>
    </row>
    <row r="10879">
      <c r="A10879" s="42">
        <f>_xlfn.XLOOKUP(68752,Trip[shape_id],Trip[shape_id],"Não encontrado")</f>
        <v/>
      </c>
      <c r="B10879" s="43" t="n">
        <v>-23.495644</v>
      </c>
      <c r="C10879" s="43" t="n">
        <v>-46.510752</v>
      </c>
      <c r="D10879" s="43" t="n">
        <v>10</v>
      </c>
      <c r="E10879" s="44" t="n">
        <v>1071.149</v>
      </c>
    </row>
    <row r="10880">
      <c r="A10880" s="39">
        <f>_xlfn.XLOOKUP(68752,Trip[shape_id],Trip[shape_id],"Não encontrado")</f>
        <v/>
      </c>
      <c r="B10880" s="40" t="n">
        <v>-23.49534</v>
      </c>
      <c r="C10880" s="40" t="n">
        <v>-46.510218</v>
      </c>
      <c r="D10880" s="40" t="n">
        <v>11</v>
      </c>
      <c r="E10880" s="41" t="n">
        <v>1118.2174</v>
      </c>
    </row>
    <row r="10881">
      <c r="A10881" s="42">
        <f>_xlfn.XLOOKUP(68752,Trip[shape_id],Trip[shape_id],"Não encontrado")</f>
        <v/>
      </c>
      <c r="B10881" s="43" t="n">
        <v>-23.495083</v>
      </c>
      <c r="C10881" s="43" t="n">
        <v>-46.509851</v>
      </c>
      <c r="D10881" s="43" t="n">
        <v>12</v>
      </c>
      <c r="E10881" s="44" t="n">
        <v>1222.5919</v>
      </c>
    </row>
    <row r="10882">
      <c r="A10882" s="39">
        <f>_xlfn.XLOOKUP(68752,Trip[shape_id],Trip[shape_id],"Não encontrado")</f>
        <v/>
      </c>
      <c r="B10882" s="40" t="n">
        <v>-23.494451</v>
      </c>
      <c r="C10882" s="40" t="n">
        <v>-46.509093</v>
      </c>
      <c r="D10882" s="40" t="n">
        <v>13</v>
      </c>
      <c r="E10882" s="41" t="n">
        <v>1414.2129</v>
      </c>
    </row>
    <row r="10883">
      <c r="A10883" s="42">
        <f>_xlfn.XLOOKUP(68752,Trip[shape_id],Trip[shape_id],"Não encontrado")</f>
        <v/>
      </c>
      <c r="B10883" s="43" t="n">
        <v>-23.49317</v>
      </c>
      <c r="C10883" s="43" t="n">
        <v>-46.507832</v>
      </c>
      <c r="D10883" s="43" t="n">
        <v>14</v>
      </c>
      <c r="E10883" s="44" t="n">
        <v>1504.8673</v>
      </c>
    </row>
    <row r="10884">
      <c r="A10884" s="39">
        <f>_xlfn.XLOOKUP(68752,Trip[shape_id],Trip[shape_id],"Não encontrado")</f>
        <v/>
      </c>
      <c r="B10884" s="40" t="n">
        <v>-23.492538</v>
      </c>
      <c r="C10884" s="40" t="n">
        <v>-46.507268</v>
      </c>
      <c r="D10884" s="40" t="n">
        <v>15</v>
      </c>
      <c r="E10884" s="41" t="n">
        <v>1570.0754</v>
      </c>
    </row>
    <row r="10885">
      <c r="A10885" s="42">
        <f>_xlfn.XLOOKUP(68752,Trip[shape_id],Trip[shape_id],"Não encontrado")</f>
        <v/>
      </c>
      <c r="B10885" s="43" t="n">
        <v>-23.492028</v>
      </c>
      <c r="C10885" s="43" t="n">
        <v>-46.506949</v>
      </c>
      <c r="D10885" s="43" t="n">
        <v>16</v>
      </c>
      <c r="E10885" s="44" t="n">
        <v>1736.1493</v>
      </c>
    </row>
    <row r="10886">
      <c r="A10886" s="39">
        <f>_xlfn.XLOOKUP(68752,Trip[shape_id],Trip[shape_id],"Não encontrado")</f>
        <v/>
      </c>
      <c r="B10886" s="40" t="n">
        <v>-23.490586</v>
      </c>
      <c r="C10886" s="40" t="n">
        <v>-46.506503</v>
      </c>
      <c r="D10886" s="40" t="n">
        <v>17</v>
      </c>
      <c r="E10886" s="41" t="n">
        <v>1812.8361</v>
      </c>
    </row>
    <row r="10887">
      <c r="A10887" s="42">
        <f>_xlfn.XLOOKUP(68752,Trip[shape_id],Trip[shape_id],"Não encontrado")</f>
        <v/>
      </c>
      <c r="B10887" s="43" t="n">
        <v>-23.489914</v>
      </c>
      <c r="C10887" s="43" t="n">
        <v>-46.506322</v>
      </c>
      <c r="D10887" s="43" t="n">
        <v>18</v>
      </c>
      <c r="E10887" s="44" t="n">
        <v>2129.4338</v>
      </c>
    </row>
    <row r="10888">
      <c r="A10888" s="39">
        <f>_xlfn.XLOOKUP(68752,Trip[shape_id],Trip[shape_id],"Não encontrado")</f>
        <v/>
      </c>
      <c r="B10888" s="40" t="n">
        <v>-23.487136</v>
      </c>
      <c r="C10888" s="40" t="n">
        <v>-46.505591</v>
      </c>
      <c r="D10888" s="40" t="n">
        <v>19</v>
      </c>
      <c r="E10888" s="41" t="n">
        <v>2207.0544</v>
      </c>
    </row>
    <row r="10889">
      <c r="A10889" s="42">
        <f>_xlfn.XLOOKUP(68752,Trip[shape_id],Trip[shape_id],"Não encontrado")</f>
        <v/>
      </c>
      <c r="B10889" s="43" t="n">
        <v>-23.486456</v>
      </c>
      <c r="C10889" s="43" t="n">
        <v>-46.505407</v>
      </c>
      <c r="D10889" s="43" t="n">
        <v>20</v>
      </c>
      <c r="E10889" s="44" t="n">
        <v>2336.8132</v>
      </c>
    </row>
    <row r="10890">
      <c r="A10890" s="39">
        <f>_xlfn.XLOOKUP(68752,Trip[shape_id],Trip[shape_id],"Não encontrado")</f>
        <v/>
      </c>
      <c r="B10890" s="40" t="n">
        <v>-23.485369</v>
      </c>
      <c r="C10890" s="40" t="n">
        <v>-46.504933</v>
      </c>
      <c r="D10890" s="40" t="n">
        <v>21</v>
      </c>
      <c r="E10890" s="41" t="n">
        <v>2508.3408</v>
      </c>
    </row>
    <row r="10891">
      <c r="A10891" s="42">
        <f>_xlfn.XLOOKUP(68752,Trip[shape_id],Trip[shape_id],"Não encontrado")</f>
        <v/>
      </c>
      <c r="B10891" s="43" t="n">
        <v>-23.483933</v>
      </c>
      <c r="C10891" s="43" t="n">
        <v>-46.504304</v>
      </c>
      <c r="D10891" s="43" t="n">
        <v>22</v>
      </c>
      <c r="E10891" s="44" t="n">
        <v>2698.7583</v>
      </c>
    </row>
    <row r="10892">
      <c r="A10892" s="39">
        <f>_xlfn.XLOOKUP(68752,Trip[shape_id],Trip[shape_id],"Não encontrado")</f>
        <v/>
      </c>
      <c r="B10892" s="40" t="n">
        <v>-23.482462</v>
      </c>
      <c r="C10892" s="40" t="n">
        <v>-46.503339</v>
      </c>
      <c r="D10892" s="40" t="n">
        <v>23</v>
      </c>
      <c r="E10892" s="41" t="n">
        <v>2780.8857</v>
      </c>
    </row>
    <row r="10893">
      <c r="A10893" s="42">
        <f>_xlfn.XLOOKUP(68752,Trip[shape_id],Trip[shape_id],"Não encontrado")</f>
        <v/>
      </c>
      <c r="B10893" s="43" t="n">
        <v>-23.481828</v>
      </c>
      <c r="C10893" s="43" t="n">
        <v>-46.502922</v>
      </c>
      <c r="D10893" s="43" t="n">
        <v>24</v>
      </c>
      <c r="E10893" s="44" t="n">
        <v>3077.4343</v>
      </c>
    </row>
    <row r="10894">
      <c r="A10894" s="39">
        <f>_xlfn.XLOOKUP(68752,Trip[shape_id],Trip[shape_id],"Não encontrado")</f>
        <v/>
      </c>
      <c r="B10894" s="40" t="n">
        <v>-23.479618</v>
      </c>
      <c r="C10894" s="40" t="n">
        <v>-46.501283</v>
      </c>
      <c r="D10894" s="40" t="n">
        <v>25</v>
      </c>
      <c r="E10894" s="41" t="n">
        <v>3169.334</v>
      </c>
    </row>
    <row r="10895">
      <c r="A10895" s="42">
        <f>_xlfn.XLOOKUP(68752,Trip[shape_id],Trip[shape_id],"Não encontrado")</f>
        <v/>
      </c>
      <c r="B10895" s="43" t="n">
        <v>-23.478937</v>
      </c>
      <c r="C10895" s="43" t="n">
        <v>-46.500769</v>
      </c>
      <c r="D10895" s="43" t="n">
        <v>26</v>
      </c>
      <c r="E10895" s="44" t="n">
        <v>3393.5784</v>
      </c>
    </row>
    <row r="10896">
      <c r="A10896" s="39">
        <f>_xlfn.XLOOKUP(68752,Trip[shape_id],Trip[shape_id],"Não encontrado")</f>
        <v/>
      </c>
      <c r="B10896" s="40" t="n">
        <v>-23.477339</v>
      </c>
      <c r="C10896" s="40" t="n">
        <v>-46.499421</v>
      </c>
      <c r="D10896" s="40" t="n">
        <v>27</v>
      </c>
      <c r="E10896" s="41" t="n">
        <v>3596.1958</v>
      </c>
    </row>
    <row r="10897">
      <c r="A10897" s="42">
        <f>_xlfn.XLOOKUP(68752,Trip[shape_id],Trip[shape_id],"Não encontrado")</f>
        <v/>
      </c>
      <c r="B10897" s="43" t="n">
        <v>-23.475888</v>
      </c>
      <c r="C10897" s="43" t="n">
        <v>-46.498213</v>
      </c>
      <c r="D10897" s="43" t="n">
        <v>28</v>
      </c>
      <c r="E10897" s="44" t="n">
        <v>3735.7239</v>
      </c>
    </row>
    <row r="10898">
      <c r="A10898" s="39">
        <f>_xlfn.XLOOKUP(68752,Trip[shape_id],Trip[shape_id],"Não encontrado")</f>
        <v/>
      </c>
      <c r="B10898" s="40" t="n">
        <v>-23.475024</v>
      </c>
      <c r="C10898" s="40" t="n">
        <v>-46.497219</v>
      </c>
      <c r="D10898" s="40" t="n">
        <v>29</v>
      </c>
      <c r="E10898" s="41" t="n">
        <v>4232.3633</v>
      </c>
    </row>
    <row r="10899">
      <c r="A10899" s="42">
        <f>_xlfn.XLOOKUP(68752,Trip[shape_id],Trip[shape_id],"Não encontrado")</f>
        <v/>
      </c>
      <c r="B10899" s="43" t="n">
        <v>-23.472593</v>
      </c>
      <c r="C10899" s="43" t="n">
        <v>-46.493134</v>
      </c>
      <c r="D10899" s="43" t="n">
        <v>30</v>
      </c>
      <c r="E10899" s="44" t="n">
        <v>4454.2593</v>
      </c>
    </row>
    <row r="10900">
      <c r="A10900" s="39">
        <f>_xlfn.XLOOKUP(68752,Trip[shape_id],Trip[shape_id],"Não encontrado")</f>
        <v/>
      </c>
      <c r="B10900" s="40" t="n">
        <v>-23.471022</v>
      </c>
      <c r="C10900" s="40" t="n">
        <v>-46.491786</v>
      </c>
      <c r="D10900" s="40" t="n">
        <v>31</v>
      </c>
      <c r="E10900" s="41" t="n">
        <v>4668.6953</v>
      </c>
    </row>
    <row r="10901">
      <c r="A10901" s="42">
        <f>_xlfn.XLOOKUP(68752,Trip[shape_id],Trip[shape_id],"Não encontrado")</f>
        <v/>
      </c>
      <c r="B10901" s="43" t="n">
        <v>-23.469246</v>
      </c>
      <c r="C10901" s="43" t="n">
        <v>-46.49095</v>
      </c>
      <c r="D10901" s="43" t="n">
        <v>32</v>
      </c>
      <c r="E10901" s="44" t="n">
        <v>5278.0835</v>
      </c>
    </row>
    <row r="10902">
      <c r="A10902" s="39">
        <f>_xlfn.XLOOKUP(68752,Trip[shape_id],Trip[shape_id],"Não encontrado")</f>
        <v/>
      </c>
      <c r="B10902" s="40" t="n">
        <v>-23.463813</v>
      </c>
      <c r="C10902" s="40" t="n">
        <v>-46.490006</v>
      </c>
      <c r="D10902" s="40" t="n">
        <v>33</v>
      </c>
      <c r="E10902" s="41" t="n">
        <v>5812.5713</v>
      </c>
    </row>
    <row r="10903">
      <c r="A10903" s="42">
        <f>_xlfn.XLOOKUP(68752,Trip[shape_id],Trip[shape_id],"Não encontrado")</f>
        <v/>
      </c>
      <c r="B10903" s="43" t="n">
        <v>-23.459054</v>
      </c>
      <c r="C10903" s="43" t="n">
        <v>-46.489137</v>
      </c>
      <c r="D10903" s="43" t="n">
        <v>34</v>
      </c>
      <c r="E10903" s="44" t="n">
        <v>5945.2363</v>
      </c>
    </row>
    <row r="10904">
      <c r="A10904" s="39">
        <f>_xlfn.XLOOKUP(68752,Trip[shape_id],Trip[shape_id],"Não encontrado")</f>
        <v/>
      </c>
      <c r="B10904" s="40" t="n">
        <v>-23.457878</v>
      </c>
      <c r="C10904" s="40" t="n">
        <v>-46.489384</v>
      </c>
      <c r="D10904" s="40" t="n">
        <v>35</v>
      </c>
      <c r="E10904" s="41" t="n">
        <v>6182.2813</v>
      </c>
    </row>
    <row r="10905">
      <c r="A10905" s="42">
        <f>_xlfn.XLOOKUP(68752,Trip[shape_id],Trip[shape_id],"Não encontrado")</f>
        <v/>
      </c>
      <c r="B10905" s="43" t="n">
        <v>-23.455858</v>
      </c>
      <c r="C10905" s="43" t="n">
        <v>-46.490151</v>
      </c>
      <c r="D10905" s="43" t="n">
        <v>36</v>
      </c>
      <c r="E10905" s="44" t="n">
        <v>6633.0195</v>
      </c>
    </row>
    <row r="10906">
      <c r="A10906" s="39">
        <f>_xlfn.XLOOKUP(68752,Trip[shape_id],Trip[shape_id],"Não encontrado")</f>
        <v/>
      </c>
      <c r="B10906" s="40" t="n">
        <v>-23.452078</v>
      </c>
      <c r="C10906" s="40" t="n">
        <v>-46.491786</v>
      </c>
      <c r="D10906" s="40" t="n">
        <v>37</v>
      </c>
      <c r="E10906" s="41" t="n">
        <v>7128.877</v>
      </c>
    </row>
    <row r="10907">
      <c r="A10907" s="42">
        <f>_xlfn.XLOOKUP(68752,Trip[shape_id],Trip[shape_id],"Não encontrado")</f>
        <v/>
      </c>
      <c r="B10907" s="43" t="n">
        <v>-23.447902</v>
      </c>
      <c r="C10907" s="43" t="n">
        <v>-46.493536</v>
      </c>
      <c r="D10907" s="43" t="n">
        <v>38</v>
      </c>
      <c r="E10907" s="44" t="n">
        <v>7128.877</v>
      </c>
    </row>
    <row r="10908">
      <c r="A10908" s="39">
        <f>_xlfn.XLOOKUP(68752,Trip[shape_id],Trip[shape_id],"Não encontrado")</f>
        <v/>
      </c>
      <c r="B10908" s="40" t="n">
        <v>-23.443731</v>
      </c>
      <c r="C10908" s="40" t="n">
        <v>-46.495208</v>
      </c>
      <c r="D10908" s="40" t="n">
        <v>39</v>
      </c>
      <c r="E10908" s="41" t="n">
        <v>7861.6523</v>
      </c>
    </row>
    <row r="10909">
      <c r="A10909" s="42">
        <f>_xlfn.XLOOKUP(68752,Trip[shape_id],Trip[shape_id],"Não encontrado")</f>
        <v/>
      </c>
      <c r="B10909" s="43" t="n">
        <v>-23.441564</v>
      </c>
      <c r="C10909" s="43" t="n">
        <v>-46.495099</v>
      </c>
      <c r="D10909" s="43" t="n">
        <v>40</v>
      </c>
      <c r="E10909" s="44" t="n">
        <v>8170.7979</v>
      </c>
    </row>
    <row r="10910">
      <c r="A10910" s="39">
        <f>_xlfn.XLOOKUP(68752,Trip[shape_id],Trip[shape_id],"Não encontrado")</f>
        <v/>
      </c>
      <c r="B10910" s="40" t="n">
        <v>-23.438798</v>
      </c>
      <c r="C10910" s="40" t="n">
        <v>-46.494692</v>
      </c>
      <c r="D10910" s="40" t="n">
        <v>41</v>
      </c>
      <c r="E10910" s="41" t="n">
        <v>8797.294900000001</v>
      </c>
    </row>
    <row r="10911">
      <c r="A10911" s="42">
        <f>_xlfn.XLOOKUP(68752,Trip[shape_id],Trip[shape_id],"Não encontrado")</f>
        <v/>
      </c>
      <c r="B10911" s="43" t="n">
        <v>-23.433198</v>
      </c>
      <c r="C10911" s="43" t="n">
        <v>-46.493825</v>
      </c>
      <c r="D10911" s="43" t="n">
        <v>42</v>
      </c>
      <c r="E10911" s="44" t="n">
        <v>8797.294900000001</v>
      </c>
    </row>
    <row r="10912">
      <c r="A10912" s="39">
        <f>_xlfn.XLOOKUP(68753,Trip[shape_id],Trip[shape_id],"Não encontrado")</f>
        <v/>
      </c>
      <c r="B10912" s="40" t="n">
        <v>-23.433198</v>
      </c>
      <c r="C10912" s="40" t="n">
        <v>-46.493825</v>
      </c>
      <c r="D10912" s="40" t="n">
        <v>1</v>
      </c>
      <c r="E10912" s="41" t="n">
        <v>0</v>
      </c>
    </row>
    <row r="10913">
      <c r="A10913" s="42">
        <f>_xlfn.XLOOKUP(68753,Trip[shape_id],Trip[shape_id],"Não encontrado")</f>
        <v/>
      </c>
      <c r="B10913" s="43" t="n">
        <v>-23.438798</v>
      </c>
      <c r="C10913" s="43" t="n">
        <v>-46.494692</v>
      </c>
      <c r="D10913" s="43" t="n">
        <v>2</v>
      </c>
      <c r="E10913" s="44" t="n">
        <v>626.49731</v>
      </c>
    </row>
    <row r="10914">
      <c r="A10914" s="39">
        <f>_xlfn.XLOOKUP(68753,Trip[shape_id],Trip[shape_id],"Não encontrado")</f>
        <v/>
      </c>
      <c r="B10914" s="40" t="n">
        <v>-23.441564</v>
      </c>
      <c r="C10914" s="40" t="n">
        <v>-46.495099</v>
      </c>
      <c r="D10914" s="40" t="n">
        <v>3</v>
      </c>
      <c r="E10914" s="41" t="n">
        <v>935.64276</v>
      </c>
    </row>
    <row r="10915">
      <c r="A10915" s="42">
        <f>_xlfn.XLOOKUP(68753,Trip[shape_id],Trip[shape_id],"Não encontrado")</f>
        <v/>
      </c>
      <c r="B10915" s="43" t="n">
        <v>-23.443731</v>
      </c>
      <c r="C10915" s="43" t="n">
        <v>-46.495208</v>
      </c>
      <c r="D10915" s="43" t="n">
        <v>4</v>
      </c>
      <c r="E10915" s="44" t="n">
        <v>1175.8969</v>
      </c>
    </row>
    <row r="10916">
      <c r="A10916" s="39">
        <f>_xlfn.XLOOKUP(68753,Trip[shape_id],Trip[shape_id],"Não encontrado")</f>
        <v/>
      </c>
      <c r="B10916" s="40" t="n">
        <v>-23.447902</v>
      </c>
      <c r="C10916" s="40" t="n">
        <v>-46.493536</v>
      </c>
      <c r="D10916" s="40" t="n">
        <v>5</v>
      </c>
      <c r="E10916" s="41" t="n">
        <v>1668.4186</v>
      </c>
    </row>
    <row r="10917">
      <c r="A10917" s="42">
        <f>_xlfn.XLOOKUP(68753,Trip[shape_id],Trip[shape_id],"Não encontrado")</f>
        <v/>
      </c>
      <c r="B10917" s="43" t="n">
        <v>-23.452078</v>
      </c>
      <c r="C10917" s="43" t="n">
        <v>-46.491786</v>
      </c>
      <c r="D10917" s="43" t="n">
        <v>6</v>
      </c>
      <c r="E10917" s="44" t="n">
        <v>2164.2761</v>
      </c>
    </row>
    <row r="10918">
      <c r="A10918" s="39">
        <f>_xlfn.XLOOKUP(68753,Trip[shape_id],Trip[shape_id],"Não encontrado")</f>
        <v/>
      </c>
      <c r="B10918" s="40" t="n">
        <v>-23.455858</v>
      </c>
      <c r="C10918" s="40" t="n">
        <v>-46.490151</v>
      </c>
      <c r="D10918" s="40" t="n">
        <v>7</v>
      </c>
      <c r="E10918" s="41" t="n">
        <v>2615.0144</v>
      </c>
    </row>
    <row r="10919">
      <c r="A10919" s="42">
        <f>_xlfn.XLOOKUP(68753,Trip[shape_id],Trip[shape_id],"Não encontrado")</f>
        <v/>
      </c>
      <c r="B10919" s="43" t="n">
        <v>-23.457878</v>
      </c>
      <c r="C10919" s="43" t="n">
        <v>-46.489384</v>
      </c>
      <c r="D10919" s="43" t="n">
        <v>8</v>
      </c>
      <c r="E10919" s="44" t="n">
        <v>2852.0593</v>
      </c>
    </row>
    <row r="10920">
      <c r="A10920" s="39">
        <f>_xlfn.XLOOKUP(68753,Trip[shape_id],Trip[shape_id],"Não encontrado")</f>
        <v/>
      </c>
      <c r="B10920" s="40" t="n">
        <v>-23.459054</v>
      </c>
      <c r="C10920" s="40" t="n">
        <v>-46.489137</v>
      </c>
      <c r="D10920" s="40" t="n">
        <v>9</v>
      </c>
      <c r="E10920" s="41" t="n">
        <v>2984.7244</v>
      </c>
    </row>
    <row r="10921">
      <c r="A10921" s="42">
        <f>_xlfn.XLOOKUP(68753,Trip[shape_id],Trip[shape_id],"Não encontrado")</f>
        <v/>
      </c>
      <c r="B10921" s="43" t="n">
        <v>-23.463813</v>
      </c>
      <c r="C10921" s="43" t="n">
        <v>-46.490006</v>
      </c>
      <c r="D10921" s="43" t="n">
        <v>10</v>
      </c>
      <c r="E10921" s="44" t="n">
        <v>3519.2119</v>
      </c>
    </row>
    <row r="10922">
      <c r="A10922" s="39">
        <f>_xlfn.XLOOKUP(68753,Trip[shape_id],Trip[shape_id],"Não encontrado")</f>
        <v/>
      </c>
      <c r="B10922" s="40" t="n">
        <v>-23.469246</v>
      </c>
      <c r="C10922" s="40" t="n">
        <v>-46.49095</v>
      </c>
      <c r="D10922" s="40" t="n">
        <v>11</v>
      </c>
      <c r="E10922" s="41" t="n">
        <v>4128.6001</v>
      </c>
    </row>
    <row r="10923">
      <c r="A10923" s="42">
        <f>_xlfn.XLOOKUP(68753,Trip[shape_id],Trip[shape_id],"Não encontrado")</f>
        <v/>
      </c>
      <c r="B10923" s="43" t="n">
        <v>-23.471022</v>
      </c>
      <c r="C10923" s="43" t="n">
        <v>-46.491786</v>
      </c>
      <c r="D10923" s="43" t="n">
        <v>12</v>
      </c>
      <c r="E10923" s="44" t="n">
        <v>4343.0361</v>
      </c>
    </row>
    <row r="10924">
      <c r="A10924" s="39">
        <f>_xlfn.XLOOKUP(68753,Trip[shape_id],Trip[shape_id],"Não encontrado")</f>
        <v/>
      </c>
      <c r="B10924" s="40" t="n">
        <v>-23.472593</v>
      </c>
      <c r="C10924" s="40" t="n">
        <v>-46.493134</v>
      </c>
      <c r="D10924" s="40" t="n">
        <v>13</v>
      </c>
      <c r="E10924" s="41" t="n">
        <v>4564.9321</v>
      </c>
    </row>
    <row r="10925">
      <c r="A10925" s="42">
        <f>_xlfn.XLOOKUP(68753,Trip[shape_id],Trip[shape_id],"Não encontrado")</f>
        <v/>
      </c>
      <c r="B10925" s="43" t="n">
        <v>-23.475024</v>
      </c>
      <c r="C10925" s="43" t="n">
        <v>-46.497219</v>
      </c>
      <c r="D10925" s="43" t="n">
        <v>14</v>
      </c>
      <c r="E10925" s="44" t="n">
        <v>5061.5713</v>
      </c>
    </row>
    <row r="10926">
      <c r="A10926" s="39">
        <f>_xlfn.XLOOKUP(68753,Trip[shape_id],Trip[shape_id],"Não encontrado")</f>
        <v/>
      </c>
      <c r="B10926" s="40" t="n">
        <v>-23.475888</v>
      </c>
      <c r="C10926" s="40" t="n">
        <v>-46.498213</v>
      </c>
      <c r="D10926" s="40" t="n">
        <v>15</v>
      </c>
      <c r="E10926" s="41" t="n">
        <v>5201.0996</v>
      </c>
    </row>
    <row r="10927">
      <c r="A10927" s="42">
        <f>_xlfn.XLOOKUP(68753,Trip[shape_id],Trip[shape_id],"Não encontrado")</f>
        <v/>
      </c>
      <c r="B10927" s="43" t="n">
        <v>-23.477339</v>
      </c>
      <c r="C10927" s="43" t="n">
        <v>-46.499421</v>
      </c>
      <c r="D10927" s="43" t="n">
        <v>16</v>
      </c>
      <c r="E10927" s="44" t="n">
        <v>5403.7173</v>
      </c>
    </row>
    <row r="10928">
      <c r="A10928" s="39">
        <f>_xlfn.XLOOKUP(68753,Trip[shape_id],Trip[shape_id],"Não encontrado")</f>
        <v/>
      </c>
      <c r="B10928" s="40" t="n">
        <v>-23.478937</v>
      </c>
      <c r="C10928" s="40" t="n">
        <v>-46.500769</v>
      </c>
      <c r="D10928" s="40" t="n">
        <v>17</v>
      </c>
      <c r="E10928" s="41" t="n">
        <v>5627.9614</v>
      </c>
    </row>
    <row r="10929">
      <c r="A10929" s="42">
        <f>_xlfn.XLOOKUP(68753,Trip[shape_id],Trip[shape_id],"Não encontrado")</f>
        <v/>
      </c>
      <c r="B10929" s="43" t="n">
        <v>-23.479618</v>
      </c>
      <c r="C10929" s="43" t="n">
        <v>-46.501283</v>
      </c>
      <c r="D10929" s="43" t="n">
        <v>18</v>
      </c>
      <c r="E10929" s="44" t="n">
        <v>5719.8608</v>
      </c>
    </row>
    <row r="10930">
      <c r="A10930" s="39">
        <f>_xlfn.XLOOKUP(68753,Trip[shape_id],Trip[shape_id],"Não encontrado")</f>
        <v/>
      </c>
      <c r="B10930" s="40" t="n">
        <v>-23.481828</v>
      </c>
      <c r="C10930" s="40" t="n">
        <v>-46.502922</v>
      </c>
      <c r="D10930" s="40" t="n">
        <v>19</v>
      </c>
      <c r="E10930" s="41" t="n">
        <v>6016.4092</v>
      </c>
    </row>
    <row r="10931">
      <c r="A10931" s="42">
        <f>_xlfn.XLOOKUP(68753,Trip[shape_id],Trip[shape_id],"Não encontrado")</f>
        <v/>
      </c>
      <c r="B10931" s="43" t="n">
        <v>-23.482462</v>
      </c>
      <c r="C10931" s="43" t="n">
        <v>-46.503339</v>
      </c>
      <c r="D10931" s="43" t="n">
        <v>20</v>
      </c>
      <c r="E10931" s="44" t="n">
        <v>6098.5366</v>
      </c>
    </row>
    <row r="10932">
      <c r="A10932" s="39">
        <f>_xlfn.XLOOKUP(68753,Trip[shape_id],Trip[shape_id],"Não encontrado")</f>
        <v/>
      </c>
      <c r="B10932" s="40" t="n">
        <v>-23.483933</v>
      </c>
      <c r="C10932" s="40" t="n">
        <v>-46.504304</v>
      </c>
      <c r="D10932" s="40" t="n">
        <v>21</v>
      </c>
      <c r="E10932" s="41" t="n">
        <v>6288.9541</v>
      </c>
    </row>
    <row r="10933">
      <c r="A10933" s="42">
        <f>_xlfn.XLOOKUP(68753,Trip[shape_id],Trip[shape_id],"Não encontrado")</f>
        <v/>
      </c>
      <c r="B10933" s="43" t="n">
        <v>-23.485369</v>
      </c>
      <c r="C10933" s="43" t="n">
        <v>-46.504933</v>
      </c>
      <c r="D10933" s="43" t="n">
        <v>22</v>
      </c>
      <c r="E10933" s="44" t="n">
        <v>6460.4819</v>
      </c>
    </row>
    <row r="10934">
      <c r="A10934" s="39">
        <f>_xlfn.XLOOKUP(68753,Trip[shape_id],Trip[shape_id],"Não encontrado")</f>
        <v/>
      </c>
      <c r="B10934" s="40" t="n">
        <v>-23.486456</v>
      </c>
      <c r="C10934" s="40" t="n">
        <v>-46.505407</v>
      </c>
      <c r="D10934" s="40" t="n">
        <v>23</v>
      </c>
      <c r="E10934" s="41" t="n">
        <v>6590.2407</v>
      </c>
    </row>
    <row r="10935">
      <c r="A10935" s="42">
        <f>_xlfn.XLOOKUP(68753,Trip[shape_id],Trip[shape_id],"Não encontrado")</f>
        <v/>
      </c>
      <c r="B10935" s="43" t="n">
        <v>-23.487136</v>
      </c>
      <c r="C10935" s="43" t="n">
        <v>-46.505591</v>
      </c>
      <c r="D10935" s="43" t="n">
        <v>24</v>
      </c>
      <c r="E10935" s="44" t="n">
        <v>6667.8613</v>
      </c>
    </row>
    <row r="10936">
      <c r="A10936" s="39">
        <f>_xlfn.XLOOKUP(68753,Trip[shape_id],Trip[shape_id],"Não encontrado")</f>
        <v/>
      </c>
      <c r="B10936" s="40" t="n">
        <v>-23.489914</v>
      </c>
      <c r="C10936" s="40" t="n">
        <v>-46.506322</v>
      </c>
      <c r="D10936" s="40" t="n">
        <v>25</v>
      </c>
      <c r="E10936" s="41" t="n">
        <v>6984.459</v>
      </c>
    </row>
    <row r="10937">
      <c r="A10937" s="42">
        <f>_xlfn.XLOOKUP(68753,Trip[shape_id],Trip[shape_id],"Não encontrado")</f>
        <v/>
      </c>
      <c r="B10937" s="43" t="n">
        <v>-23.490586</v>
      </c>
      <c r="C10937" s="43" t="n">
        <v>-46.506503</v>
      </c>
      <c r="D10937" s="43" t="n">
        <v>26</v>
      </c>
      <c r="E10937" s="44" t="n">
        <v>7061.1455</v>
      </c>
    </row>
    <row r="10938">
      <c r="A10938" s="39">
        <f>_xlfn.XLOOKUP(68753,Trip[shape_id],Trip[shape_id],"Não encontrado")</f>
        <v/>
      </c>
      <c r="B10938" s="40" t="n">
        <v>-23.492028</v>
      </c>
      <c r="C10938" s="40" t="n">
        <v>-46.506949</v>
      </c>
      <c r="D10938" s="40" t="n">
        <v>27</v>
      </c>
      <c r="E10938" s="41" t="n">
        <v>7227.2192</v>
      </c>
    </row>
    <row r="10939">
      <c r="A10939" s="42">
        <f>_xlfn.XLOOKUP(68753,Trip[shape_id],Trip[shape_id],"Não encontrado")</f>
        <v/>
      </c>
      <c r="B10939" s="43" t="n">
        <v>-23.492538</v>
      </c>
      <c r="C10939" s="43" t="n">
        <v>-46.507268</v>
      </c>
      <c r="D10939" s="43" t="n">
        <v>28</v>
      </c>
      <c r="E10939" s="44" t="n">
        <v>7292.4272</v>
      </c>
    </row>
    <row r="10940">
      <c r="A10940" s="39">
        <f>_xlfn.XLOOKUP(68753,Trip[shape_id],Trip[shape_id],"Não encontrado")</f>
        <v/>
      </c>
      <c r="B10940" s="40" t="n">
        <v>-23.49317</v>
      </c>
      <c r="C10940" s="40" t="n">
        <v>-46.507832</v>
      </c>
      <c r="D10940" s="40" t="n">
        <v>29</v>
      </c>
      <c r="E10940" s="41" t="n">
        <v>7383.0815</v>
      </c>
    </row>
    <row r="10941">
      <c r="A10941" s="42">
        <f>_xlfn.XLOOKUP(68753,Trip[shape_id],Trip[shape_id],"Não encontrado")</f>
        <v/>
      </c>
      <c r="B10941" s="43" t="n">
        <v>-23.494451</v>
      </c>
      <c r="C10941" s="43" t="n">
        <v>-46.509093</v>
      </c>
      <c r="D10941" s="43" t="n">
        <v>30</v>
      </c>
      <c r="E10941" s="44" t="n">
        <v>7574.7026</v>
      </c>
    </row>
    <row r="10942">
      <c r="A10942" s="39">
        <f>_xlfn.XLOOKUP(68753,Trip[shape_id],Trip[shape_id],"Não encontrado")</f>
        <v/>
      </c>
      <c r="B10942" s="40" t="n">
        <v>-23.495083</v>
      </c>
      <c r="C10942" s="40" t="n">
        <v>-46.509851</v>
      </c>
      <c r="D10942" s="40" t="n">
        <v>31</v>
      </c>
      <c r="E10942" s="41" t="n">
        <v>7679.0771</v>
      </c>
    </row>
    <row r="10943">
      <c r="A10943" s="42">
        <f>_xlfn.XLOOKUP(68753,Trip[shape_id],Trip[shape_id],"Não encontrado")</f>
        <v/>
      </c>
      <c r="B10943" s="43" t="n">
        <v>-23.49534</v>
      </c>
      <c r="C10943" s="43" t="n">
        <v>-46.510218</v>
      </c>
      <c r="D10943" s="43" t="n">
        <v>32</v>
      </c>
      <c r="E10943" s="44" t="n">
        <v>7726.1455</v>
      </c>
    </row>
    <row r="10944">
      <c r="A10944" s="39">
        <f>_xlfn.XLOOKUP(68753,Trip[shape_id],Trip[shape_id],"Não encontrado")</f>
        <v/>
      </c>
      <c r="B10944" s="40" t="n">
        <v>-23.495644</v>
      </c>
      <c r="C10944" s="40" t="n">
        <v>-46.510752</v>
      </c>
      <c r="D10944" s="40" t="n">
        <v>33</v>
      </c>
      <c r="E10944" s="41" t="n">
        <v>7790.2451</v>
      </c>
    </row>
    <row r="10945">
      <c r="A10945" s="42">
        <f>_xlfn.XLOOKUP(68753,Trip[shape_id],Trip[shape_id],"Não encontrado")</f>
        <v/>
      </c>
      <c r="B10945" s="43" t="n">
        <v>-23.495838</v>
      </c>
      <c r="C10945" s="43" t="n">
        <v>-46.511572</v>
      </c>
      <c r="D10945" s="43" t="n">
        <v>34</v>
      </c>
      <c r="E10945" s="44" t="n">
        <v>7876.7153</v>
      </c>
    </row>
    <row r="10946">
      <c r="A10946" s="39">
        <f>_xlfn.XLOOKUP(68753,Trip[shape_id],Trip[shape_id],"Não encontrado")</f>
        <v/>
      </c>
      <c r="B10946" s="40" t="n">
        <v>-23.49596</v>
      </c>
      <c r="C10946" s="40" t="n">
        <v>-46.512301</v>
      </c>
      <c r="D10946" s="40" t="n">
        <v>35</v>
      </c>
      <c r="E10946" s="41" t="n">
        <v>7952.3945</v>
      </c>
    </row>
    <row r="10947">
      <c r="A10947" s="42">
        <f>_xlfn.XLOOKUP(68753,Trip[shape_id],Trip[shape_id],"Não encontrado")</f>
        <v/>
      </c>
      <c r="B10947" s="43" t="n">
        <v>-23.495968</v>
      </c>
      <c r="C10947" s="43" t="n">
        <v>-46.512426</v>
      </c>
      <c r="D10947" s="43" t="n">
        <v>36</v>
      </c>
      <c r="E10947" s="44" t="n">
        <v>7965.1929</v>
      </c>
    </row>
    <row r="10948">
      <c r="A10948" s="39">
        <f>_xlfn.XLOOKUP(68753,Trip[shape_id],Trip[shape_id],"Não encontrado")</f>
        <v/>
      </c>
      <c r="B10948" s="40" t="n">
        <v>-23.496103</v>
      </c>
      <c r="C10948" s="40" t="n">
        <v>-46.514688</v>
      </c>
      <c r="D10948" s="40" t="n">
        <v>37</v>
      </c>
      <c r="E10948" s="41" t="n">
        <v>8196.7256</v>
      </c>
    </row>
    <row r="10949">
      <c r="A10949" s="42">
        <f>_xlfn.XLOOKUP(68753,Trip[shape_id],Trip[shape_id],"Não encontrado")</f>
        <v/>
      </c>
      <c r="B10949" s="43" t="n">
        <v>-23.49715</v>
      </c>
      <c r="C10949" s="43" t="n">
        <v>-46.517422</v>
      </c>
      <c r="D10949" s="43" t="n">
        <v>38</v>
      </c>
      <c r="E10949" s="44" t="n">
        <v>8499.103499999999</v>
      </c>
    </row>
    <row r="10950">
      <c r="A10950" s="39">
        <f>_xlfn.XLOOKUP(68753,Trip[shape_id],Trip[shape_id],"Não encontrado")</f>
        <v/>
      </c>
      <c r="B10950" s="40" t="n">
        <v>-23.497771</v>
      </c>
      <c r="C10950" s="40" t="n">
        <v>-46.519051</v>
      </c>
      <c r="D10950" s="40" t="n">
        <v>39</v>
      </c>
      <c r="E10950" s="41" t="n">
        <v>8679.1484</v>
      </c>
    </row>
    <row r="10951">
      <c r="A10951" s="42">
        <f>_xlfn.XLOOKUP(68753,Trip[shape_id],Trip[shape_id],"Não encontrado")</f>
        <v/>
      </c>
      <c r="B10951" s="43" t="n">
        <v>-23.49794</v>
      </c>
      <c r="C10951" s="43" t="n">
        <v>-46.519611</v>
      </c>
      <c r="D10951" s="43" t="n">
        <v>40</v>
      </c>
      <c r="E10951" s="44" t="n">
        <v>8739.333000000001</v>
      </c>
    </row>
    <row r="10952">
      <c r="A10952" s="39">
        <f>_xlfn.XLOOKUP(68753,Trip[shape_id],Trip[shape_id],"Não encontrado")</f>
        <v/>
      </c>
      <c r="B10952" s="40" t="n">
        <v>-23.498124</v>
      </c>
      <c r="C10952" s="40" t="n">
        <v>-46.519799</v>
      </c>
      <c r="D10952" s="40" t="n">
        <v>41</v>
      </c>
      <c r="E10952" s="41" t="n">
        <v>8767.333000000001</v>
      </c>
    </row>
    <row r="10953">
      <c r="A10953" s="42">
        <f>_xlfn.XLOOKUP(68753,Trip[shape_id],Trip[shape_id],"Não encontrado")</f>
        <v/>
      </c>
      <c r="B10953" s="43" t="n">
        <v>-23.498264</v>
      </c>
      <c r="C10953" s="43" t="n">
        <v>-46.52005</v>
      </c>
      <c r="D10953" s="43" t="n">
        <v>42</v>
      </c>
      <c r="E10953" s="44" t="n">
        <v>8797.294900000001</v>
      </c>
    </row>
    <row r="10954">
      <c r="A10954" s="39">
        <f>_xlfn.XLOOKUP(80167,Trip[shape_id],Trip[shape_id],"Não encontrado")</f>
        <v/>
      </c>
      <c r="B10954" s="40" t="n">
        <v>-23.519133</v>
      </c>
      <c r="C10954" s="40" t="n">
        <v>-46.647867</v>
      </c>
      <c r="D10954" s="40" t="n">
        <v>1</v>
      </c>
      <c r="E10954" s="41" t="n">
        <v>0</v>
      </c>
    </row>
    <row r="10955">
      <c r="A10955" s="42">
        <f>_xlfn.XLOOKUP(80167,Trip[shape_id],Trip[shape_id],"Não encontrado")</f>
        <v/>
      </c>
      <c r="B10955" s="43" t="n">
        <v>-23.519221</v>
      </c>
      <c r="C10955" s="43" t="n">
        <v>-46.647817</v>
      </c>
      <c r="D10955" s="43" t="n">
        <v>2</v>
      </c>
      <c r="E10955" s="44" t="n">
        <v>11.002857</v>
      </c>
    </row>
    <row r="10956">
      <c r="A10956" s="39">
        <f>_xlfn.XLOOKUP(80167,Trip[shape_id],Trip[shape_id],"Não encontrado")</f>
        <v/>
      </c>
      <c r="B10956" s="40" t="n">
        <v>-23.519733</v>
      </c>
      <c r="C10956" s="40" t="n">
        <v>-46.647527</v>
      </c>
      <c r="D10956" s="40" t="n">
        <v>3</v>
      </c>
      <c r="E10956" s="41" t="n">
        <v>74.975914</v>
      </c>
    </row>
    <row r="10957">
      <c r="A10957" s="42">
        <f>_xlfn.XLOOKUP(80167,Trip[shape_id],Trip[shape_id],"Não encontrado")</f>
        <v/>
      </c>
      <c r="B10957" s="43" t="n">
        <v>-23.521247</v>
      </c>
      <c r="C10957" s="43" t="n">
        <v>-46.646702</v>
      </c>
      <c r="D10957" s="43" t="n">
        <v>4</v>
      </c>
      <c r="E10957" s="44" t="n">
        <v>262.63086</v>
      </c>
    </row>
    <row r="10958">
      <c r="A10958" s="39">
        <f>_xlfn.XLOOKUP(80167,Trip[shape_id],Trip[shape_id],"Não encontrado")</f>
        <v/>
      </c>
      <c r="B10958" s="40" t="n">
        <v>-23.521378</v>
      </c>
      <c r="C10958" s="40" t="n">
        <v>-46.646637</v>
      </c>
      <c r="D10958" s="40" t="n">
        <v>5</v>
      </c>
      <c r="E10958" s="41" t="n">
        <v>278.58597</v>
      </c>
    </row>
    <row r="10959">
      <c r="A10959" s="42">
        <f>_xlfn.XLOOKUP(80167,Trip[shape_id],Trip[shape_id],"Não encontrado")</f>
        <v/>
      </c>
      <c r="B10959" s="43" t="n">
        <v>-23.522301</v>
      </c>
      <c r="C10959" s="43" t="n">
        <v>-46.646129</v>
      </c>
      <c r="D10959" s="43" t="n">
        <v>6</v>
      </c>
      <c r="E10959" s="44" t="n">
        <v>393.22052</v>
      </c>
    </row>
    <row r="10960">
      <c r="A10960" s="39">
        <f>_xlfn.XLOOKUP(80167,Trip[shape_id],Trip[shape_id],"Não encontrado")</f>
        <v/>
      </c>
      <c r="B10960" s="40" t="n">
        <v>-23.522396</v>
      </c>
      <c r="C10960" s="40" t="n">
        <v>-46.646092</v>
      </c>
      <c r="D10960" s="40" t="n">
        <v>7</v>
      </c>
      <c r="E10960" s="41" t="n">
        <v>404.40018</v>
      </c>
    </row>
    <row r="10961">
      <c r="A10961" s="42">
        <f>_xlfn.XLOOKUP(80167,Trip[shape_id],Trip[shape_id],"Não encontrado")</f>
        <v/>
      </c>
      <c r="B10961" s="43" t="n">
        <v>-23.523495</v>
      </c>
      <c r="C10961" s="43" t="n">
        <v>-46.645483</v>
      </c>
      <c r="D10961" s="43" t="n">
        <v>8</v>
      </c>
      <c r="E10961" s="44" t="n">
        <v>541.0848999999999</v>
      </c>
    </row>
    <row r="10962">
      <c r="A10962" s="39">
        <f>_xlfn.XLOOKUP(80167,Trip[shape_id],Trip[shape_id],"Não encontrado")</f>
        <v/>
      </c>
      <c r="B10962" s="40" t="n">
        <v>-23.524504</v>
      </c>
      <c r="C10962" s="40" t="n">
        <v>-46.644935</v>
      </c>
      <c r="D10962" s="40" t="n">
        <v>9</v>
      </c>
      <c r="E10962" s="41" t="n">
        <v>666.06299</v>
      </c>
    </row>
    <row r="10963">
      <c r="A10963" s="42">
        <f>_xlfn.XLOOKUP(80167,Trip[shape_id],Trip[shape_id],"Não encontrado")</f>
        <v/>
      </c>
      <c r="B10963" s="43" t="n">
        <v>-23.525057</v>
      </c>
      <c r="C10963" s="43" t="n">
        <v>-46.644619</v>
      </c>
      <c r="D10963" s="43" t="n">
        <v>10</v>
      </c>
      <c r="E10963" s="44" t="n">
        <v>735.29016</v>
      </c>
    </row>
    <row r="10964">
      <c r="A10964" s="39">
        <f>_xlfn.XLOOKUP(80167,Trip[shape_id],Trip[shape_id],"Não encontrado")</f>
        <v/>
      </c>
      <c r="B10964" s="40" t="n">
        <v>-23.525613</v>
      </c>
      <c r="C10964" s="40" t="n">
        <v>-46.644346</v>
      </c>
      <c r="D10964" s="40" t="n">
        <v>11</v>
      </c>
      <c r="E10964" s="41" t="n">
        <v>802.88513</v>
      </c>
    </row>
    <row r="10965">
      <c r="A10965" s="42">
        <f>_xlfn.XLOOKUP(80167,Trip[shape_id],Trip[shape_id],"Não encontrado")</f>
        <v/>
      </c>
      <c r="B10965" s="43" t="n">
        <v>-23.525717</v>
      </c>
      <c r="C10965" s="43" t="n">
        <v>-46.644282</v>
      </c>
      <c r="D10965" s="43" t="n">
        <v>12</v>
      </c>
      <c r="E10965" s="44" t="n">
        <v>816.1286</v>
      </c>
    </row>
    <row r="10966">
      <c r="A10966" s="39">
        <f>_xlfn.XLOOKUP(80167,Trip[shape_id],Trip[shape_id],"Não encontrado")</f>
        <v/>
      </c>
      <c r="B10966" s="40" t="n">
        <v>-23.525907</v>
      </c>
      <c r="C10966" s="40" t="n">
        <v>-46.644177</v>
      </c>
      <c r="D10966" s="40" t="n">
        <v>13</v>
      </c>
      <c r="E10966" s="41" t="n">
        <v>839.74567</v>
      </c>
    </row>
    <row r="10967">
      <c r="A10967" s="42">
        <f>_xlfn.XLOOKUP(80167,Trip[shape_id],Trip[shape_id],"Não encontrado")</f>
        <v/>
      </c>
      <c r="B10967" s="43" t="n">
        <v>-23.526196</v>
      </c>
      <c r="C10967" s="43" t="n">
        <v>-46.644025</v>
      </c>
      <c r="D10967" s="43" t="n">
        <v>14</v>
      </c>
      <c r="E10967" s="44" t="n">
        <v>875.31812</v>
      </c>
    </row>
    <row r="10968">
      <c r="A10968" s="39">
        <f>_xlfn.XLOOKUP(80167,Trip[shape_id],Trip[shape_id],"Não encontrado")</f>
        <v/>
      </c>
      <c r="B10968" s="40" t="n">
        <v>-23.526821</v>
      </c>
      <c r="C10968" s="40" t="n">
        <v>-46.643689</v>
      </c>
      <c r="D10968" s="40" t="n">
        <v>15</v>
      </c>
      <c r="E10968" s="41" t="n">
        <v>952.5755</v>
      </c>
    </row>
    <row r="10969">
      <c r="A10969" s="42">
        <f>_xlfn.XLOOKUP(80167,Trip[shape_id],Trip[shape_id],"Não encontrado")</f>
        <v/>
      </c>
      <c r="B10969" s="43" t="n">
        <v>-23.526862</v>
      </c>
      <c r="C10969" s="43" t="n">
        <v>-46.643633</v>
      </c>
      <c r="D10969" s="43" t="n">
        <v>16</v>
      </c>
      <c r="E10969" s="44" t="n">
        <v>959.87769</v>
      </c>
    </row>
    <row r="10970">
      <c r="A10970" s="39">
        <f>_xlfn.XLOOKUP(80167,Trip[shape_id],Trip[shape_id],"Não encontrado")</f>
        <v/>
      </c>
      <c r="B10970" s="40" t="n">
        <v>-23.526922</v>
      </c>
      <c r="C10970" s="40" t="n">
        <v>-46.643635</v>
      </c>
      <c r="D10970" s="40" t="n">
        <v>17</v>
      </c>
      <c r="E10970" s="41" t="n">
        <v>966.52539</v>
      </c>
    </row>
    <row r="10971">
      <c r="A10971" s="42">
        <f>_xlfn.XLOOKUP(80167,Trip[shape_id],Trip[shape_id],"Não encontrado")</f>
        <v/>
      </c>
      <c r="B10971" s="43" t="n">
        <v>-23.527116</v>
      </c>
      <c r="C10971" s="43" t="n">
        <v>-46.643527</v>
      </c>
      <c r="D10971" s="43" t="n">
        <v>18</v>
      </c>
      <c r="E10971" s="44" t="n">
        <v>990.67651</v>
      </c>
    </row>
    <row r="10972">
      <c r="A10972" s="39">
        <f>_xlfn.XLOOKUP(80167,Trip[shape_id],Trip[shape_id],"Não encontrado")</f>
        <v/>
      </c>
      <c r="B10972" s="40" t="n">
        <v>-23.52836</v>
      </c>
      <c r="C10972" s="40" t="n">
        <v>-46.642848</v>
      </c>
      <c r="D10972" s="40" t="n">
        <v>19</v>
      </c>
      <c r="E10972" s="41" t="n">
        <v>1144.916</v>
      </c>
    </row>
    <row r="10973">
      <c r="A10973" s="42">
        <f>_xlfn.XLOOKUP(80167,Trip[shape_id],Trip[shape_id],"Não encontrado")</f>
        <v/>
      </c>
      <c r="B10973" s="43" t="n">
        <v>-23.529324</v>
      </c>
      <c r="C10973" s="43" t="n">
        <v>-46.642324</v>
      </c>
      <c r="D10973" s="43" t="n">
        <v>20</v>
      </c>
      <c r="E10973" s="44" t="n">
        <v>1264.3396</v>
      </c>
    </row>
    <row r="10974">
      <c r="A10974" s="39">
        <f>_xlfn.XLOOKUP(80167,Trip[shape_id],Trip[shape_id],"Não encontrado")</f>
        <v/>
      </c>
      <c r="B10974" s="40" t="n">
        <v>-23.529706</v>
      </c>
      <c r="C10974" s="40" t="n">
        <v>-46.642119</v>
      </c>
      <c r="D10974" s="40" t="n">
        <v>21</v>
      </c>
      <c r="E10974" s="41" t="n">
        <v>1311.5426</v>
      </c>
    </row>
    <row r="10975">
      <c r="A10975" s="42">
        <f>_xlfn.XLOOKUP(80167,Trip[shape_id],Trip[shape_id],"Não encontrado")</f>
        <v/>
      </c>
      <c r="B10975" s="43" t="n">
        <v>-23.529757</v>
      </c>
      <c r="C10975" s="43" t="n">
        <v>-46.642092</v>
      </c>
      <c r="D10975" s="43" t="n">
        <v>22</v>
      </c>
      <c r="E10975" s="44" t="n">
        <v>1317.8282</v>
      </c>
    </row>
    <row r="10976">
      <c r="A10976" s="39">
        <f>_xlfn.XLOOKUP(80167,Trip[shape_id],Trip[shape_id],"Não encontrado")</f>
        <v/>
      </c>
      <c r="B10976" s="40" t="n">
        <v>-23.529886</v>
      </c>
      <c r="C10976" s="40" t="n">
        <v>-46.642021</v>
      </c>
      <c r="D10976" s="40" t="n">
        <v>23</v>
      </c>
      <c r="E10976" s="41" t="n">
        <v>1333.8495</v>
      </c>
    </row>
    <row r="10977">
      <c r="A10977" s="42">
        <f>_xlfn.XLOOKUP(80167,Trip[shape_id],Trip[shape_id],"Não encontrado")</f>
        <v/>
      </c>
      <c r="B10977" s="43" t="n">
        <v>-23.529927</v>
      </c>
      <c r="C10977" s="43" t="n">
        <v>-46.641997</v>
      </c>
      <c r="D10977" s="43" t="n">
        <v>24</v>
      </c>
      <c r="E10977" s="44" t="n">
        <v>1339.009</v>
      </c>
    </row>
    <row r="10978">
      <c r="A10978" s="39">
        <f>_xlfn.XLOOKUP(80167,Trip[shape_id],Trip[shape_id],"Não encontrado")</f>
        <v/>
      </c>
      <c r="B10978" s="40" t="n">
        <v>-23.529961</v>
      </c>
      <c r="C10978" s="40" t="n">
        <v>-46.642066</v>
      </c>
      <c r="D10978" s="40" t="n">
        <v>25</v>
      </c>
      <c r="E10978" s="41" t="n">
        <v>1346.9977</v>
      </c>
    </row>
    <row r="10979">
      <c r="A10979" s="42">
        <f>_xlfn.XLOOKUP(80167,Trip[shape_id],Trip[shape_id],"Não encontrado")</f>
        <v/>
      </c>
      <c r="B10979" s="43" t="n">
        <v>-23.530224</v>
      </c>
      <c r="C10979" s="43" t="n">
        <v>-46.642449</v>
      </c>
      <c r="D10979" s="43" t="n">
        <v>26</v>
      </c>
      <c r="E10979" s="44" t="n">
        <v>1395.7634</v>
      </c>
    </row>
    <row r="10980">
      <c r="A10980" s="39">
        <f>_xlfn.XLOOKUP(80167,Trip[shape_id],Trip[shape_id],"Não encontrado")</f>
        <v/>
      </c>
      <c r="B10980" s="40" t="n">
        <v>-23.530335</v>
      </c>
      <c r="C10980" s="40" t="n">
        <v>-46.642625</v>
      </c>
      <c r="D10980" s="40" t="n">
        <v>27</v>
      </c>
      <c r="E10980" s="41" t="n">
        <v>1417.5383</v>
      </c>
    </row>
    <row r="10981">
      <c r="A10981" s="42">
        <f>_xlfn.XLOOKUP(80167,Trip[shape_id],Trip[shape_id],"Não encontrado")</f>
        <v/>
      </c>
      <c r="B10981" s="43" t="n">
        <v>-23.530574</v>
      </c>
      <c r="C10981" s="43" t="n">
        <v>-46.643001</v>
      </c>
      <c r="D10981" s="43" t="n">
        <v>28</v>
      </c>
      <c r="E10981" s="44" t="n">
        <v>1464.1743</v>
      </c>
    </row>
    <row r="10982">
      <c r="A10982" s="39">
        <f>_xlfn.XLOOKUP(80167,Trip[shape_id],Trip[shape_id],"Não encontrado")</f>
        <v/>
      </c>
      <c r="B10982" s="40" t="n">
        <v>-23.531116</v>
      </c>
      <c r="C10982" s="40" t="n">
        <v>-46.643854</v>
      </c>
      <c r="D10982" s="40" t="n">
        <v>29</v>
      </c>
      <c r="E10982" s="41" t="n">
        <v>1569.9606</v>
      </c>
    </row>
    <row r="10983">
      <c r="A10983" s="42">
        <f>_xlfn.XLOOKUP(80167,Trip[shape_id],Trip[shape_id],"Não encontrado")</f>
        <v/>
      </c>
      <c r="B10983" s="43" t="n">
        <v>-23.53164</v>
      </c>
      <c r="C10983" s="43" t="n">
        <v>-46.644694</v>
      </c>
      <c r="D10983" s="43" t="n">
        <v>30</v>
      </c>
      <c r="E10983" s="44" t="n">
        <v>1673.526</v>
      </c>
    </row>
    <row r="10984">
      <c r="A10984" s="39">
        <f>_xlfn.XLOOKUP(80167,Trip[shape_id],Trip[shape_id],"Não encontrado")</f>
        <v/>
      </c>
      <c r="B10984" s="40" t="n">
        <v>-23.533069</v>
      </c>
      <c r="C10984" s="40" t="n">
        <v>-46.643628</v>
      </c>
      <c r="D10984" s="40" t="n">
        <v>31</v>
      </c>
      <c r="E10984" s="41" t="n">
        <v>1865.6121</v>
      </c>
    </row>
    <row r="10985">
      <c r="A10985" s="42">
        <f>_xlfn.XLOOKUP(80167,Trip[shape_id],Trip[shape_id],"Não encontrado")</f>
        <v/>
      </c>
      <c r="B10985" s="43" t="n">
        <v>-23.533541</v>
      </c>
      <c r="C10985" s="43" t="n">
        <v>-46.643273</v>
      </c>
      <c r="D10985" s="43" t="n">
        <v>32</v>
      </c>
      <c r="E10985" s="44" t="n">
        <v>1929.2264</v>
      </c>
    </row>
    <row r="10986">
      <c r="A10986" s="39">
        <f>_xlfn.XLOOKUP(80167,Trip[shape_id],Trip[shape_id],"Não encontrado")</f>
        <v/>
      </c>
      <c r="B10986" s="40" t="n">
        <v>-23.534112</v>
      </c>
      <c r="C10986" s="40" t="n">
        <v>-46.642841</v>
      </c>
      <c r="D10986" s="40" t="n">
        <v>33</v>
      </c>
      <c r="E10986" s="41" t="n">
        <v>2006.3317</v>
      </c>
    </row>
    <row r="10987">
      <c r="A10987" s="42">
        <f>_xlfn.XLOOKUP(80167,Trip[shape_id],Trip[shape_id],"Não encontrado")</f>
        <v/>
      </c>
      <c r="B10987" s="43" t="n">
        <v>-23.535671</v>
      </c>
      <c r="C10987" s="43" t="n">
        <v>-46.641673</v>
      </c>
      <c r="D10987" s="43" t="n">
        <v>34</v>
      </c>
      <c r="E10987" s="44" t="n">
        <v>2216.1821</v>
      </c>
    </row>
    <row r="10988">
      <c r="A10988" s="39">
        <f>_xlfn.XLOOKUP(80167,Trip[shape_id],Trip[shape_id],"Não encontrado")</f>
        <v/>
      </c>
      <c r="B10988" s="40" t="n">
        <v>-23.535791</v>
      </c>
      <c r="C10988" s="40" t="n">
        <v>-46.641565</v>
      </c>
      <c r="D10988" s="40" t="n">
        <v>35</v>
      </c>
      <c r="E10988" s="41" t="n">
        <v>2233.4524</v>
      </c>
    </row>
    <row r="10989">
      <c r="A10989" s="42">
        <f>_xlfn.XLOOKUP(80167,Trip[shape_id],Trip[shape_id],"Não encontrado")</f>
        <v/>
      </c>
      <c r="B10989" s="43" t="n">
        <v>-23.535879</v>
      </c>
      <c r="C10989" s="43" t="n">
        <v>-46.641481</v>
      </c>
      <c r="D10989" s="43" t="n">
        <v>36</v>
      </c>
      <c r="E10989" s="44" t="n">
        <v>2246.4353</v>
      </c>
    </row>
    <row r="10990">
      <c r="A10990" s="39">
        <f>_xlfn.XLOOKUP(80167,Trip[shape_id],Trip[shape_id],"Não encontrado")</f>
        <v/>
      </c>
      <c r="B10990" s="40" t="n">
        <v>-23.535675</v>
      </c>
      <c r="C10990" s="40" t="n">
        <v>-46.641185</v>
      </c>
      <c r="D10990" s="40" t="n">
        <v>37</v>
      </c>
      <c r="E10990" s="41" t="n">
        <v>2284.1716</v>
      </c>
    </row>
    <row r="10991">
      <c r="A10991" s="42">
        <f>_xlfn.XLOOKUP(80167,Trip[shape_id],Trip[shape_id],"Não encontrado")</f>
        <v/>
      </c>
      <c r="B10991" s="43" t="n">
        <v>-23.535317</v>
      </c>
      <c r="C10991" s="43" t="n">
        <v>-46.640648</v>
      </c>
      <c r="D10991" s="43" t="n">
        <v>38</v>
      </c>
      <c r="E10991" s="44" t="n">
        <v>2351.8394</v>
      </c>
    </row>
    <row r="10992">
      <c r="A10992" s="39">
        <f>_xlfn.XLOOKUP(80167,Trip[shape_id],Trip[shape_id],"Não encontrado")</f>
        <v/>
      </c>
      <c r="B10992" s="40" t="n">
        <v>-23.535197</v>
      </c>
      <c r="C10992" s="40" t="n">
        <v>-46.640494</v>
      </c>
      <c r="D10992" s="40" t="n">
        <v>39</v>
      </c>
      <c r="E10992" s="41" t="n">
        <v>2372.4287</v>
      </c>
    </row>
    <row r="10993">
      <c r="A10993" s="42">
        <f>_xlfn.XLOOKUP(80167,Trip[shape_id],Trip[shape_id],"Não encontrado")</f>
        <v/>
      </c>
      <c r="B10993" s="43" t="n">
        <v>-23.535086</v>
      </c>
      <c r="C10993" s="43" t="n">
        <v>-46.64034</v>
      </c>
      <c r="D10993" s="43" t="n">
        <v>40</v>
      </c>
      <c r="E10993" s="44" t="n">
        <v>2409.1343</v>
      </c>
    </row>
    <row r="10994">
      <c r="A10994" s="39">
        <f>_xlfn.XLOOKUP(80167,Trip[shape_id],Trip[shape_id],"Não encontrado")</f>
        <v/>
      </c>
      <c r="B10994" s="40" t="n">
        <v>-23.535049</v>
      </c>
      <c r="C10994" s="40" t="n">
        <v>-46.640181</v>
      </c>
      <c r="D10994" s="40" t="n">
        <v>41</v>
      </c>
      <c r="E10994" s="41" t="n">
        <v>2422.2065</v>
      </c>
    </row>
    <row r="10995">
      <c r="A10995" s="42">
        <f>_xlfn.XLOOKUP(80167,Trip[shape_id],Trip[shape_id],"Não encontrado")</f>
        <v/>
      </c>
      <c r="B10995" s="43" t="n">
        <v>-23.535051</v>
      </c>
      <c r="C10995" s="43" t="n">
        <v>-46.640053</v>
      </c>
      <c r="D10995" s="43" t="n">
        <v>42</v>
      </c>
      <c r="E10995" s="44" t="n">
        <v>2422.2065</v>
      </c>
    </row>
    <row r="10996">
      <c r="A10996" s="39">
        <f>_xlfn.XLOOKUP(80167,Trip[shape_id],Trip[shape_id],"Não encontrado")</f>
        <v/>
      </c>
      <c r="B10996" s="40" t="n">
        <v>-23.535054</v>
      </c>
      <c r="C10996" s="40" t="n">
        <v>-46.639828</v>
      </c>
      <c r="D10996" s="40" t="n">
        <v>43</v>
      </c>
      <c r="E10996" s="41" t="n">
        <v>2445.1846</v>
      </c>
    </row>
    <row r="10997">
      <c r="A10997" s="42">
        <f>_xlfn.XLOOKUP(80167,Trip[shape_id],Trip[shape_id],"Não encontrado")</f>
        <v/>
      </c>
      <c r="B10997" s="43" t="n">
        <v>-23.535072</v>
      </c>
      <c r="C10997" s="43" t="n">
        <v>-46.63936</v>
      </c>
      <c r="D10997" s="43" t="n">
        <v>44</v>
      </c>
      <c r="E10997" s="44" t="n">
        <v>2493.0156</v>
      </c>
    </row>
    <row r="10998">
      <c r="A10998" s="39">
        <f>_xlfn.XLOOKUP(80167,Trip[shape_id],Trip[shape_id],"Não encontrado")</f>
        <v/>
      </c>
      <c r="B10998" s="40" t="n">
        <v>-23.535084</v>
      </c>
      <c r="C10998" s="40" t="n">
        <v>-46.639185</v>
      </c>
      <c r="D10998" s="40" t="n">
        <v>45</v>
      </c>
      <c r="E10998" s="41" t="n">
        <v>2510.9351</v>
      </c>
    </row>
    <row r="10999">
      <c r="A10999" s="42">
        <f>_xlfn.XLOOKUP(80167,Trip[shape_id],Trip[shape_id],"Não encontrado")</f>
        <v/>
      </c>
      <c r="B10999" s="43" t="n">
        <v>-23.535528</v>
      </c>
      <c r="C10999" s="43" t="n">
        <v>-46.638839</v>
      </c>
      <c r="D10999" s="43" t="n">
        <v>46</v>
      </c>
      <c r="E10999" s="44" t="n">
        <v>2571.4856</v>
      </c>
    </row>
    <row r="11000">
      <c r="A11000" s="39">
        <f>_xlfn.XLOOKUP(80167,Trip[shape_id],Trip[shape_id],"Não encontrado")</f>
        <v/>
      </c>
      <c r="B11000" s="40" t="n">
        <v>-23.536308</v>
      </c>
      <c r="C11000" s="40" t="n">
        <v>-46.638224</v>
      </c>
      <c r="D11000" s="40" t="n">
        <v>47</v>
      </c>
      <c r="E11000" s="41" t="n">
        <v>2678.2864</v>
      </c>
    </row>
    <row r="11001">
      <c r="A11001" s="42">
        <f>_xlfn.XLOOKUP(80167,Trip[shape_id],Trip[shape_id],"Não encontrado")</f>
        <v/>
      </c>
      <c r="B11001" s="43" t="n">
        <v>-23.537075</v>
      </c>
      <c r="C11001" s="43" t="n">
        <v>-46.637622</v>
      </c>
      <c r="D11001" s="43" t="n">
        <v>48</v>
      </c>
      <c r="E11001" s="44" t="n">
        <v>2783.1418</v>
      </c>
    </row>
    <row r="11002">
      <c r="A11002" s="39">
        <f>_xlfn.XLOOKUP(80167,Trip[shape_id],Trip[shape_id],"Não encontrado")</f>
        <v/>
      </c>
      <c r="B11002" s="40" t="n">
        <v>-23.537566</v>
      </c>
      <c r="C11002" s="40" t="n">
        <v>-46.637228</v>
      </c>
      <c r="D11002" s="40" t="n">
        <v>49</v>
      </c>
      <c r="E11002" s="41" t="n">
        <v>2850.7859</v>
      </c>
    </row>
    <row r="11003">
      <c r="A11003" s="42">
        <f>_xlfn.XLOOKUP(80167,Trip[shape_id],Trip[shape_id],"Não encontrado")</f>
        <v/>
      </c>
      <c r="B11003" s="43" t="n">
        <v>-23.53767</v>
      </c>
      <c r="C11003" s="43" t="n">
        <v>-46.637147</v>
      </c>
      <c r="D11003" s="43" t="n">
        <v>50</v>
      </c>
      <c r="E11003" s="44" t="n">
        <v>2864.9661</v>
      </c>
    </row>
    <row r="11004">
      <c r="A11004" s="39">
        <f>_xlfn.XLOOKUP(80167,Trip[shape_id],Trip[shape_id],"Não encontrado")</f>
        <v/>
      </c>
      <c r="B11004" s="40" t="n">
        <v>-23.537893</v>
      </c>
      <c r="C11004" s="40" t="n">
        <v>-46.636996</v>
      </c>
      <c r="D11004" s="40" t="n">
        <v>51</v>
      </c>
      <c r="E11004" s="41" t="n">
        <v>2894.0815</v>
      </c>
    </row>
    <row r="11005">
      <c r="A11005" s="42">
        <f>_xlfn.XLOOKUP(80167,Trip[shape_id],Trip[shape_id],"Não encontrado")</f>
        <v/>
      </c>
      <c r="B11005" s="43" t="n">
        <v>-23.537881</v>
      </c>
      <c r="C11005" s="43" t="n">
        <v>-46.635978</v>
      </c>
      <c r="D11005" s="43" t="n">
        <v>52</v>
      </c>
      <c r="E11005" s="44" t="n">
        <v>2998.0398</v>
      </c>
    </row>
    <row r="11006">
      <c r="A11006" s="39">
        <f>_xlfn.XLOOKUP(80167,Trip[shape_id],Trip[shape_id],"Não encontrado")</f>
        <v/>
      </c>
      <c r="B11006" s="40" t="n">
        <v>-23.537879</v>
      </c>
      <c r="C11006" s="40" t="n">
        <v>-46.635862</v>
      </c>
      <c r="D11006" s="40" t="n">
        <v>53</v>
      </c>
      <c r="E11006" s="41" t="n">
        <v>3009.887</v>
      </c>
    </row>
    <row r="11007">
      <c r="A11007" s="42">
        <f>_xlfn.XLOOKUP(80167,Trip[shape_id],Trip[shape_id],"Não encontrado")</f>
        <v/>
      </c>
      <c r="B11007" s="43" t="n">
        <v>-23.53786</v>
      </c>
      <c r="C11007" s="43" t="n">
        <v>-46.634587</v>
      </c>
      <c r="D11007" s="43" t="n">
        <v>54</v>
      </c>
      <c r="E11007" s="44" t="n">
        <v>3140.0967</v>
      </c>
    </row>
    <row r="11008">
      <c r="A11008" s="39">
        <f>_xlfn.XLOOKUP(80167,Trip[shape_id],Trip[shape_id],"Não encontrado")</f>
        <v/>
      </c>
      <c r="B11008" s="40" t="n">
        <v>-23.537856</v>
      </c>
      <c r="C11008" s="40" t="n">
        <v>-46.634033</v>
      </c>
      <c r="D11008" s="40" t="n">
        <v>55</v>
      </c>
      <c r="E11008" s="41" t="n">
        <v>3211.2297</v>
      </c>
    </row>
    <row r="11009">
      <c r="A11009" s="42">
        <f>_xlfn.XLOOKUP(80167,Trip[shape_id],Trip[shape_id],"Não encontrado")</f>
        <v/>
      </c>
      <c r="B11009" s="43" t="n">
        <v>-23.537881</v>
      </c>
      <c r="C11009" s="43" t="n">
        <v>-46.633893</v>
      </c>
      <c r="D11009" s="43" t="n">
        <v>56</v>
      </c>
      <c r="E11009" s="44" t="n">
        <v>3211.2297</v>
      </c>
    </row>
    <row r="11010">
      <c r="A11010" s="39">
        <f>_xlfn.XLOOKUP(80167,Trip[shape_id],Trip[shape_id],"Não encontrado")</f>
        <v/>
      </c>
      <c r="B11010" s="40" t="n">
        <v>-23.53829</v>
      </c>
      <c r="C11010" s="40" t="n">
        <v>-46.633934</v>
      </c>
      <c r="D11010" s="40" t="n">
        <v>57</v>
      </c>
      <c r="E11010" s="41" t="n">
        <v>3256.7202</v>
      </c>
    </row>
    <row r="11011">
      <c r="A11011" s="42">
        <f>_xlfn.XLOOKUP(80167,Trip[shape_id],Trip[shape_id],"Não encontrado")</f>
        <v/>
      </c>
      <c r="B11011" s="43" t="n">
        <v>-23.538573</v>
      </c>
      <c r="C11011" s="43" t="n">
        <v>-46.63396</v>
      </c>
      <c r="D11011" s="43" t="n">
        <v>58</v>
      </c>
      <c r="E11011" s="44" t="n">
        <v>3288.175</v>
      </c>
    </row>
    <row r="11012">
      <c r="A11012" s="39">
        <f>_xlfn.XLOOKUP(80167,Trip[shape_id],Trip[shape_id],"Não encontrado")</f>
        <v/>
      </c>
      <c r="B11012" s="40" t="n">
        <v>-23.53859</v>
      </c>
      <c r="C11012" s="40" t="n">
        <v>-46.633961</v>
      </c>
      <c r="D11012" s="40" t="n">
        <v>59</v>
      </c>
      <c r="E11012" s="41" t="n">
        <v>3290.061</v>
      </c>
    </row>
    <row r="11013">
      <c r="A11013" s="42">
        <f>_xlfn.XLOOKUP(80167,Trip[shape_id],Trip[shape_id],"Não encontrado")</f>
        <v/>
      </c>
      <c r="B11013" s="43" t="n">
        <v>-23.538949</v>
      </c>
      <c r="C11013" s="43" t="n">
        <v>-46.633995</v>
      </c>
      <c r="D11013" s="43" t="n">
        <v>60</v>
      </c>
      <c r="E11013" s="44" t="n">
        <v>3329.9719</v>
      </c>
    </row>
    <row r="11014">
      <c r="A11014" s="39">
        <f>_xlfn.XLOOKUP(80167,Trip[shape_id],Trip[shape_id],"Não encontrado")</f>
        <v/>
      </c>
      <c r="B11014" s="40" t="n">
        <v>-23.53903</v>
      </c>
      <c r="C11014" s="40" t="n">
        <v>-46.634007</v>
      </c>
      <c r="D11014" s="40" t="n">
        <v>61</v>
      </c>
      <c r="E11014" s="41" t="n">
        <v>3339.0261</v>
      </c>
    </row>
    <row r="11015">
      <c r="A11015" s="42">
        <f>_xlfn.XLOOKUP(80167,Trip[shape_id],Trip[shape_id],"Não encontrado")</f>
        <v/>
      </c>
      <c r="B11015" s="43" t="n">
        <v>-23.539069</v>
      </c>
      <c r="C11015" s="43" t="n">
        <v>-46.633986</v>
      </c>
      <c r="D11015" s="43" t="n">
        <v>62</v>
      </c>
      <c r="E11015" s="44" t="n">
        <v>3349.6338</v>
      </c>
    </row>
    <row r="11016">
      <c r="A11016" s="39">
        <f>_xlfn.XLOOKUP(80167,Trip[shape_id],Trip[shape_id],"Não encontrado")</f>
        <v/>
      </c>
      <c r="B11016" s="40" t="n">
        <v>-23.539106</v>
      </c>
      <c r="C11016" s="40" t="n">
        <v>-46.633946</v>
      </c>
      <c r="D11016" s="40" t="n">
        <v>63</v>
      </c>
      <c r="E11016" s="41" t="n">
        <v>3349.6338</v>
      </c>
    </row>
    <row r="11017">
      <c r="A11017" s="42">
        <f>_xlfn.XLOOKUP(80167,Trip[shape_id],Trip[shape_id],"Não encontrado")</f>
        <v/>
      </c>
      <c r="B11017" s="43" t="n">
        <v>-23.539129</v>
      </c>
      <c r="C11017" s="43" t="n">
        <v>-46.633858</v>
      </c>
      <c r="D11017" s="43" t="n">
        <v>64</v>
      </c>
      <c r="E11017" s="44" t="n">
        <v>3367.6782</v>
      </c>
    </row>
    <row r="11018">
      <c r="A11018" s="39">
        <f>_xlfn.XLOOKUP(80167,Trip[shape_id],Trip[shape_id],"Não encontrado")</f>
        <v/>
      </c>
      <c r="B11018" s="40" t="n">
        <v>-23.539123</v>
      </c>
      <c r="C11018" s="40" t="n">
        <v>-46.633773</v>
      </c>
      <c r="D11018" s="40" t="n">
        <v>65</v>
      </c>
      <c r="E11018" s="41" t="n">
        <v>3371.3613</v>
      </c>
    </row>
    <row r="11019">
      <c r="A11019" s="42">
        <f>_xlfn.XLOOKUP(80167,Trip[shape_id],Trip[shape_id],"Não encontrado")</f>
        <v/>
      </c>
      <c r="B11019" s="43" t="n">
        <v>-23.539106</v>
      </c>
      <c r="C11019" s="43" t="n">
        <v>-46.633742</v>
      </c>
      <c r="D11019" s="43" t="n">
        <v>66</v>
      </c>
      <c r="E11019" s="44" t="n">
        <v>3374.8425</v>
      </c>
    </row>
    <row r="11020">
      <c r="A11020" s="39">
        <f>_xlfn.XLOOKUP(80167,Trip[shape_id],Trip[shape_id],"Não encontrado")</f>
        <v/>
      </c>
      <c r="B11020" s="40" t="n">
        <v>-23.539082</v>
      </c>
      <c r="C11020" s="40" t="n">
        <v>-46.63372</v>
      </c>
      <c r="D11020" s="40" t="n">
        <v>67</v>
      </c>
      <c r="E11020" s="41" t="n">
        <v>3384.3984</v>
      </c>
    </row>
    <row r="11021">
      <c r="A11021" s="42">
        <f>_xlfn.XLOOKUP(80167,Trip[shape_id],Trip[shape_id],"Não encontrado")</f>
        <v/>
      </c>
      <c r="B11021" s="43" t="n">
        <v>-23.539004</v>
      </c>
      <c r="C11021" s="43" t="n">
        <v>-46.63368</v>
      </c>
      <c r="D11021" s="43" t="n">
        <v>68</v>
      </c>
      <c r="E11021" s="44" t="n">
        <v>3384.3984</v>
      </c>
    </row>
    <row r="11022">
      <c r="A11022" s="39">
        <f>_xlfn.XLOOKUP(80167,Trip[shape_id],Trip[shape_id],"Não encontrado")</f>
        <v/>
      </c>
      <c r="B11022" s="40" t="n">
        <v>-23.538885</v>
      </c>
      <c r="C11022" s="40" t="n">
        <v>-46.633667</v>
      </c>
      <c r="D11022" s="40" t="n">
        <v>69</v>
      </c>
      <c r="E11022" s="41" t="n">
        <v>3512.3259</v>
      </c>
    </row>
    <row r="11023">
      <c r="A11023" s="42">
        <f>_xlfn.XLOOKUP(80167,Trip[shape_id],Trip[shape_id],"Não encontrado")</f>
        <v/>
      </c>
      <c r="B11023" s="43" t="n">
        <v>-23.537853</v>
      </c>
      <c r="C11023" s="43" t="n">
        <v>-46.633575</v>
      </c>
      <c r="D11023" s="43" t="n">
        <v>70</v>
      </c>
      <c r="E11023" s="44" t="n">
        <v>3512.3259</v>
      </c>
    </row>
    <row r="11024">
      <c r="A11024" s="39">
        <f>_xlfn.XLOOKUP(80167,Trip[shape_id],Trip[shape_id],"Não encontrado")</f>
        <v/>
      </c>
      <c r="B11024" s="40" t="n">
        <v>-23.537752</v>
      </c>
      <c r="C11024" s="40" t="n">
        <v>-46.633568</v>
      </c>
      <c r="D11024" s="40" t="n">
        <v>71</v>
      </c>
      <c r="E11024" s="41" t="n">
        <v>3605.1653</v>
      </c>
    </row>
    <row r="11025">
      <c r="A11025" s="42">
        <f>_xlfn.XLOOKUP(80167,Trip[shape_id],Trip[shape_id],"Não encontrado")</f>
        <v/>
      </c>
      <c r="B11025" s="43" t="n">
        <v>-23.537015</v>
      </c>
      <c r="C11025" s="43" t="n">
        <v>-46.633558</v>
      </c>
      <c r="D11025" s="43" t="n">
        <v>72</v>
      </c>
      <c r="E11025" s="44" t="n">
        <v>3605.1653</v>
      </c>
    </row>
    <row r="11026">
      <c r="A11026" s="39">
        <f>_xlfn.XLOOKUP(80167,Trip[shape_id],Trip[shape_id],"Não encontrado")</f>
        <v/>
      </c>
      <c r="B11026" s="40" t="n">
        <v>-23.536412</v>
      </c>
      <c r="C11026" s="40" t="n">
        <v>-46.6335</v>
      </c>
      <c r="D11026" s="40" t="n">
        <v>73</v>
      </c>
      <c r="E11026" s="41" t="n">
        <v>3672.2107</v>
      </c>
    </row>
    <row r="11027">
      <c r="A11027" s="42">
        <f>_xlfn.XLOOKUP(80167,Trip[shape_id],Trip[shape_id],"Não encontrado")</f>
        <v/>
      </c>
      <c r="B11027" s="43" t="n">
        <v>-23.536236</v>
      </c>
      <c r="C11027" s="43" t="n">
        <v>-46.633446</v>
      </c>
      <c r="D11027" s="43" t="n">
        <v>74</v>
      </c>
      <c r="E11027" s="44" t="n">
        <v>3706.6924</v>
      </c>
    </row>
    <row r="11028">
      <c r="A11028" s="39">
        <f>_xlfn.XLOOKUP(80167,Trip[shape_id],Trip[shape_id],"Não encontrado")</f>
        <v/>
      </c>
      <c r="B11028" s="40" t="n">
        <v>-23.536111</v>
      </c>
      <c r="C11028" s="40" t="n">
        <v>-46.633414</v>
      </c>
      <c r="D11028" s="40" t="n">
        <v>75</v>
      </c>
      <c r="E11028" s="41" t="n">
        <v>3731.979</v>
      </c>
    </row>
    <row r="11029">
      <c r="A11029" s="42">
        <f>_xlfn.XLOOKUP(80167,Trip[shape_id],Trip[shape_id],"Não encontrado")</f>
        <v/>
      </c>
      <c r="B11029" s="43" t="n">
        <v>-23.535919</v>
      </c>
      <c r="C11029" s="43" t="n">
        <v>-46.63328</v>
      </c>
      <c r="D11029" s="43" t="n">
        <v>76</v>
      </c>
      <c r="E11029" s="44" t="n">
        <v>3731.979</v>
      </c>
    </row>
    <row r="11030">
      <c r="A11030" s="39">
        <f>_xlfn.XLOOKUP(80167,Trip[shape_id],Trip[shape_id],"Não encontrado")</f>
        <v/>
      </c>
      <c r="B11030" s="40" t="n">
        <v>-23.53581</v>
      </c>
      <c r="C11030" s="40" t="n">
        <v>-46.633227</v>
      </c>
      <c r="D11030" s="40" t="n">
        <v>77</v>
      </c>
      <c r="E11030" s="41" t="n">
        <v>3782.8706</v>
      </c>
    </row>
    <row r="11031">
      <c r="A11031" s="42">
        <f>_xlfn.XLOOKUP(80167,Trip[shape_id],Trip[shape_id],"Não encontrado")</f>
        <v/>
      </c>
      <c r="B11031" s="43" t="n">
        <v>-23.535486</v>
      </c>
      <c r="C11031" s="43" t="n">
        <v>-46.633115</v>
      </c>
      <c r="D11031" s="43" t="n">
        <v>78</v>
      </c>
      <c r="E11031" s="44" t="n">
        <v>3782.8706</v>
      </c>
    </row>
    <row r="11032">
      <c r="A11032" s="39">
        <f>_xlfn.XLOOKUP(80167,Trip[shape_id],Trip[shape_id],"Não encontrado")</f>
        <v/>
      </c>
      <c r="B11032" s="40" t="n">
        <v>-23.535278</v>
      </c>
      <c r="C11032" s="40" t="n">
        <v>-46.633114</v>
      </c>
      <c r="D11032" s="40" t="n">
        <v>79</v>
      </c>
      <c r="E11032" s="41" t="n">
        <v>3805.907</v>
      </c>
    </row>
    <row r="11033">
      <c r="A11033" s="42">
        <f>_xlfn.XLOOKUP(80167,Trip[shape_id],Trip[shape_id],"Não encontrado")</f>
        <v/>
      </c>
      <c r="B11033" s="43" t="n">
        <v>-23.534987</v>
      </c>
      <c r="C11033" s="43" t="n">
        <v>-46.633103</v>
      </c>
      <c r="D11033" s="43" t="n">
        <v>80</v>
      </c>
      <c r="E11033" s="44" t="n">
        <v>3878.2043</v>
      </c>
    </row>
    <row r="11034">
      <c r="A11034" s="39">
        <f>_xlfn.XLOOKUP(80167,Trip[shape_id],Trip[shape_id],"Não encontrado")</f>
        <v/>
      </c>
      <c r="B11034" s="40" t="n">
        <v>-23.534627</v>
      </c>
      <c r="C11034" s="40" t="n">
        <v>-46.633066</v>
      </c>
      <c r="D11034" s="40" t="n">
        <v>81</v>
      </c>
      <c r="E11034" s="41" t="n">
        <v>3890.2007</v>
      </c>
    </row>
    <row r="11035">
      <c r="A11035" s="42">
        <f>_xlfn.XLOOKUP(80167,Trip[shape_id],Trip[shape_id],"Não encontrado")</f>
        <v/>
      </c>
      <c r="B11035" s="43" t="n">
        <v>-23.534519</v>
      </c>
      <c r="C11035" s="43" t="n">
        <v>-46.633057</v>
      </c>
      <c r="D11035" s="43" t="n">
        <v>82</v>
      </c>
      <c r="E11035" s="44" t="n">
        <v>3890.2007</v>
      </c>
    </row>
    <row r="11036">
      <c r="A11036" s="39">
        <f>_xlfn.XLOOKUP(80167,Trip[shape_id],Trip[shape_id],"Não encontrado")</f>
        <v/>
      </c>
      <c r="B11036" s="40" t="n">
        <v>-23.534501</v>
      </c>
      <c r="C11036" s="40" t="n">
        <v>-46.63284</v>
      </c>
      <c r="D11036" s="40" t="n">
        <v>83</v>
      </c>
      <c r="E11036" s="41" t="n">
        <v>3965.252</v>
      </c>
    </row>
    <row r="11037">
      <c r="A11037" s="42">
        <f>_xlfn.XLOOKUP(80167,Trip[shape_id],Trip[shape_id],"Não encontrado")</f>
        <v/>
      </c>
      <c r="B11037" s="43" t="n">
        <v>-23.534574</v>
      </c>
      <c r="C11037" s="43" t="n">
        <v>-46.632329</v>
      </c>
      <c r="D11037" s="43" t="n">
        <v>84</v>
      </c>
      <c r="E11037" s="44" t="n">
        <v>4019.3997</v>
      </c>
    </row>
    <row r="11038">
      <c r="A11038" s="39">
        <f>_xlfn.XLOOKUP(80167,Trip[shape_id],Trip[shape_id],"Não encontrado")</f>
        <v/>
      </c>
      <c r="B11038" s="40" t="n">
        <v>-23.534665</v>
      </c>
      <c r="C11038" s="40" t="n">
        <v>-46.631808</v>
      </c>
      <c r="D11038" s="40" t="n">
        <v>85</v>
      </c>
      <c r="E11038" s="41" t="n">
        <v>4019.3997</v>
      </c>
    </row>
    <row r="11039">
      <c r="A11039" s="42">
        <f>_xlfn.XLOOKUP(80167,Trip[shape_id],Trip[shape_id],"Não encontrado")</f>
        <v/>
      </c>
      <c r="B11039" s="43" t="n">
        <v>-23.534816</v>
      </c>
      <c r="C11039" s="43" t="n">
        <v>-46.630963</v>
      </c>
      <c r="D11039" s="43" t="n">
        <v>86</v>
      </c>
      <c r="E11039" s="44" t="n">
        <v>4107.292</v>
      </c>
    </row>
    <row r="11040">
      <c r="A11040" s="39">
        <f>_xlfn.XLOOKUP(80167,Trip[shape_id],Trip[shape_id],"Não encontrado")</f>
        <v/>
      </c>
      <c r="B11040" s="40" t="n">
        <v>-23.534917</v>
      </c>
      <c r="C11040" s="40" t="n">
        <v>-46.630371</v>
      </c>
      <c r="D11040" s="40" t="n">
        <v>87</v>
      </c>
      <c r="E11040" s="41" t="n">
        <v>4168.7695</v>
      </c>
    </row>
    <row r="11041">
      <c r="A11041" s="42">
        <f>_xlfn.XLOOKUP(80167,Trip[shape_id],Trip[shape_id],"Não encontrado")</f>
        <v/>
      </c>
      <c r="B11041" s="43" t="n">
        <v>-23.534969</v>
      </c>
      <c r="C11041" s="43" t="n">
        <v>-46.630058</v>
      </c>
      <c r="D11041" s="43" t="n">
        <v>88</v>
      </c>
      <c r="E11041" s="44" t="n">
        <v>4201.2461</v>
      </c>
    </row>
    <row r="11042">
      <c r="A11042" s="39">
        <f>_xlfn.XLOOKUP(80167,Trip[shape_id],Trip[shape_id],"Não encontrado")</f>
        <v/>
      </c>
      <c r="B11042" s="40" t="n">
        <v>-23.534992</v>
      </c>
      <c r="C11042" s="40" t="n">
        <v>-46.629923</v>
      </c>
      <c r="D11042" s="40" t="n">
        <v>89</v>
      </c>
      <c r="E11042" s="41" t="n">
        <v>4221.9331</v>
      </c>
    </row>
    <row r="11043">
      <c r="A11043" s="42">
        <f>_xlfn.XLOOKUP(80167,Trip[shape_id],Trip[shape_id],"Não encontrado")</f>
        <v/>
      </c>
      <c r="B11043" s="43" t="n">
        <v>-23.53498</v>
      </c>
      <c r="C11043" s="43" t="n">
        <v>-46.629859</v>
      </c>
      <c r="D11043" s="43" t="n">
        <v>90</v>
      </c>
      <c r="E11043" s="44" t="n">
        <v>4227.5015</v>
      </c>
    </row>
    <row r="11044">
      <c r="A11044" s="39">
        <f>_xlfn.XLOOKUP(80167,Trip[shape_id],Trip[shape_id],"Não encontrado")</f>
        <v/>
      </c>
      <c r="B11044" s="40" t="n">
        <v>-23.535007</v>
      </c>
      <c r="C11044" s="40" t="n">
        <v>-46.629813</v>
      </c>
      <c r="D11044" s="40" t="n">
        <v>91</v>
      </c>
      <c r="E11044" s="41" t="n">
        <v>4300.7886</v>
      </c>
    </row>
    <row r="11045">
      <c r="A11045" s="42">
        <f>_xlfn.XLOOKUP(80167,Trip[shape_id],Trip[shape_id],"Não encontrado")</f>
        <v/>
      </c>
      <c r="B11045" s="43" t="n">
        <v>-23.535126</v>
      </c>
      <c r="C11045" s="43" t="n">
        <v>-46.629107</v>
      </c>
      <c r="D11045" s="43" t="n">
        <v>92</v>
      </c>
      <c r="E11045" s="44" t="n">
        <v>4300.7886</v>
      </c>
    </row>
    <row r="11046">
      <c r="A11046" s="39">
        <f>_xlfn.XLOOKUP(80167,Trip[shape_id],Trip[shape_id],"Não encontrado")</f>
        <v/>
      </c>
      <c r="B11046" s="40" t="n">
        <v>-23.53525</v>
      </c>
      <c r="C11046" s="40" t="n">
        <v>-46.628344</v>
      </c>
      <c r="D11046" s="40" t="n">
        <v>93</v>
      </c>
      <c r="E11046" s="41" t="n">
        <v>4379.9023</v>
      </c>
    </row>
    <row r="11047">
      <c r="A11047" s="42">
        <f>_xlfn.XLOOKUP(80167,Trip[shape_id],Trip[shape_id],"Não encontrado")</f>
        <v/>
      </c>
      <c r="B11047" s="43" t="n">
        <v>-23.535351</v>
      </c>
      <c r="C11047" s="43" t="n">
        <v>-46.627724</v>
      </c>
      <c r="D11047" s="43" t="n">
        <v>94</v>
      </c>
      <c r="E11047" s="44" t="n">
        <v>4444.1934</v>
      </c>
    </row>
    <row r="11048">
      <c r="A11048" s="39">
        <f>_xlfn.XLOOKUP(80167,Trip[shape_id],Trip[shape_id],"Não encontrado")</f>
        <v/>
      </c>
      <c r="B11048" s="40" t="n">
        <v>-23.535404</v>
      </c>
      <c r="C11048" s="40" t="n">
        <v>-46.627392</v>
      </c>
      <c r="D11048" s="40" t="n">
        <v>95</v>
      </c>
      <c r="E11048" s="41" t="n">
        <v>4478.5996</v>
      </c>
    </row>
    <row r="11049">
      <c r="A11049" s="42">
        <f>_xlfn.XLOOKUP(80167,Trip[shape_id],Trip[shape_id],"Não encontrado")</f>
        <v/>
      </c>
      <c r="B11049" s="43" t="n">
        <v>-23.535512</v>
      </c>
      <c r="C11049" s="43" t="n">
        <v>-46.626725</v>
      </c>
      <c r="D11049" s="43" t="n">
        <v>96</v>
      </c>
      <c r="E11049" s="44" t="n">
        <v>4547.7515</v>
      </c>
    </row>
    <row r="11050">
      <c r="A11050" s="39">
        <f>_xlfn.XLOOKUP(80167,Trip[shape_id],Trip[shape_id],"Não encontrado")</f>
        <v/>
      </c>
      <c r="B11050" s="40" t="n">
        <v>-23.535526</v>
      </c>
      <c r="C11050" s="40" t="n">
        <v>-46.626634</v>
      </c>
      <c r="D11050" s="40" t="n">
        <v>97</v>
      </c>
      <c r="E11050" s="41" t="n">
        <v>4564.0146</v>
      </c>
    </row>
    <row r="11051">
      <c r="A11051" s="42">
        <f>_xlfn.XLOOKUP(80167,Trip[shape_id],Trip[shape_id],"Não encontrado")</f>
        <v/>
      </c>
      <c r="B11051" s="43" t="n">
        <v>-23.535525</v>
      </c>
      <c r="C11051" s="43" t="n">
        <v>-46.626567</v>
      </c>
      <c r="D11051" s="43" t="n">
        <v>98</v>
      </c>
      <c r="E11051" s="44" t="n">
        <v>4572.0249</v>
      </c>
    </row>
    <row r="11052">
      <c r="A11052" s="39">
        <f>_xlfn.XLOOKUP(80167,Trip[shape_id],Trip[shape_id],"Não encontrado")</f>
        <v/>
      </c>
      <c r="B11052" s="40" t="n">
        <v>-23.535549</v>
      </c>
      <c r="C11052" s="40" t="n">
        <v>-46.626493</v>
      </c>
      <c r="D11052" s="40" t="n">
        <v>99</v>
      </c>
      <c r="E11052" s="41" t="n">
        <v>4586.5269</v>
      </c>
    </row>
    <row r="11053">
      <c r="A11053" s="42">
        <f>_xlfn.XLOOKUP(80167,Trip[shape_id],Trip[shape_id],"Não encontrado")</f>
        <v/>
      </c>
      <c r="B11053" s="43" t="n">
        <v>-23.535571</v>
      </c>
      <c r="C11053" s="43" t="n">
        <v>-46.626353</v>
      </c>
      <c r="D11053" s="43" t="n">
        <v>100</v>
      </c>
      <c r="E11053" s="44" t="n">
        <v>4586.5269</v>
      </c>
    </row>
    <row r="11054">
      <c r="A11054" s="39">
        <f>_xlfn.XLOOKUP(80167,Trip[shape_id],Trip[shape_id],"Não encontrado")</f>
        <v/>
      </c>
      <c r="B11054" s="40" t="n">
        <v>-23.535641</v>
      </c>
      <c r="C11054" s="40" t="n">
        <v>-46.625925</v>
      </c>
      <c r="D11054" s="40" t="n">
        <v>101</v>
      </c>
      <c r="E11054" s="41" t="n">
        <v>4630.9136</v>
      </c>
    </row>
    <row r="11055">
      <c r="A11055" s="42">
        <f>_xlfn.XLOOKUP(80167,Trip[shape_id],Trip[shape_id],"Não encontrado")</f>
        <v/>
      </c>
      <c r="B11055" s="43" t="n">
        <v>-23.535713</v>
      </c>
      <c r="C11055" s="43" t="n">
        <v>-46.625499</v>
      </c>
      <c r="D11055" s="43" t="n">
        <v>102</v>
      </c>
      <c r="E11055" s="44" t="n">
        <v>4675.1387</v>
      </c>
    </row>
    <row r="11056">
      <c r="A11056" s="39">
        <f>_xlfn.XLOOKUP(80167,Trip[shape_id],Trip[shape_id],"Não encontrado")</f>
        <v/>
      </c>
      <c r="B11056" s="40" t="n">
        <v>-23.535838</v>
      </c>
      <c r="C11056" s="40" t="n">
        <v>-46.624716</v>
      </c>
      <c r="D11056" s="40" t="n">
        <v>103</v>
      </c>
      <c r="E11056" s="41" t="n">
        <v>4756.2832</v>
      </c>
    </row>
    <row r="11057">
      <c r="A11057" s="42">
        <f>_xlfn.XLOOKUP(80167,Trip[shape_id],Trip[shape_id],"Não encontrado")</f>
        <v/>
      </c>
      <c r="B11057" s="43" t="n">
        <v>-23.535922</v>
      </c>
      <c r="C11057" s="43" t="n">
        <v>-46.624144</v>
      </c>
      <c r="D11057" s="43" t="n">
        <v>104</v>
      </c>
      <c r="E11057" s="44" t="n">
        <v>4920.9097</v>
      </c>
    </row>
    <row r="11058">
      <c r="A11058" s="39">
        <f>_xlfn.XLOOKUP(80167,Trip[shape_id],Trip[shape_id],"Não encontrado")</f>
        <v/>
      </c>
      <c r="B11058" s="40" t="n">
        <v>-23.536094</v>
      </c>
      <c r="C11058" s="40" t="n">
        <v>-46.623128</v>
      </c>
      <c r="D11058" s="40" t="n">
        <v>105</v>
      </c>
      <c r="E11058" s="41" t="n">
        <v>5007.5137</v>
      </c>
    </row>
    <row r="11059">
      <c r="A11059" s="42">
        <f>_xlfn.XLOOKUP(80167,Trip[shape_id],Trip[shape_id],"Não encontrado")</f>
        <v/>
      </c>
      <c r="B11059" s="43" t="n">
        <v>-23.536231</v>
      </c>
      <c r="C11059" s="43" t="n">
        <v>-46.622293</v>
      </c>
      <c r="D11059" s="43" t="n">
        <v>106</v>
      </c>
      <c r="E11059" s="44" t="n">
        <v>5007.5137</v>
      </c>
    </row>
    <row r="11060">
      <c r="A11060" s="39">
        <f>_xlfn.XLOOKUP(80167,Trip[shape_id],Trip[shape_id],"Não encontrado")</f>
        <v/>
      </c>
      <c r="B11060" s="40" t="n">
        <v>-23.536561</v>
      </c>
      <c r="C11060" s="40" t="n">
        <v>-46.622275</v>
      </c>
      <c r="D11060" s="40" t="n">
        <v>107</v>
      </c>
      <c r="E11060" s="41" t="n">
        <v>5044.1079</v>
      </c>
    </row>
    <row r="11061">
      <c r="A11061" s="42">
        <f>_xlfn.XLOOKUP(80167,Trip[shape_id],Trip[shape_id],"Não encontrado")</f>
        <v/>
      </c>
      <c r="B11061" s="43" t="n">
        <v>-23.536725</v>
      </c>
      <c r="C11061" s="43" t="n">
        <v>-46.622263</v>
      </c>
      <c r="D11061" s="43" t="n">
        <v>108</v>
      </c>
      <c r="E11061" s="44" t="n">
        <v>5062.3125</v>
      </c>
    </row>
    <row r="11062">
      <c r="A11062" s="39">
        <f>_xlfn.XLOOKUP(80167,Trip[shape_id],Trip[shape_id],"Não encontrado")</f>
        <v/>
      </c>
      <c r="B11062" s="40" t="n">
        <v>-23.536841</v>
      </c>
      <c r="C11062" s="40" t="n">
        <v>-46.622257</v>
      </c>
      <c r="D11062" s="40" t="n">
        <v>109</v>
      </c>
      <c r="E11062" s="41" t="n">
        <v>5075.1748</v>
      </c>
    </row>
    <row r="11063">
      <c r="A11063" s="42">
        <f>_xlfn.XLOOKUP(80167,Trip[shape_id],Trip[shape_id],"Não encontrado")</f>
        <v/>
      </c>
      <c r="B11063" s="43" t="n">
        <v>-23.536935</v>
      </c>
      <c r="C11063" s="43" t="n">
        <v>-46.622254</v>
      </c>
      <c r="D11063" s="43" t="n">
        <v>110</v>
      </c>
      <c r="E11063" s="44" t="n">
        <v>5085.5894</v>
      </c>
    </row>
    <row r="11064">
      <c r="A11064" s="39">
        <f>_xlfn.XLOOKUP(80167,Trip[shape_id],Trip[shape_id],"Não encontrado")</f>
        <v/>
      </c>
      <c r="B11064" s="40" t="n">
        <v>-23.537692</v>
      </c>
      <c r="C11064" s="40" t="n">
        <v>-46.622211</v>
      </c>
      <c r="D11064" s="40" t="n">
        <v>111</v>
      </c>
      <c r="E11064" s="41" t="n">
        <v>5169.5435</v>
      </c>
    </row>
    <row r="11065">
      <c r="A11065" s="42">
        <f>_xlfn.XLOOKUP(80167,Trip[shape_id],Trip[shape_id],"Não encontrado")</f>
        <v/>
      </c>
      <c r="B11065" s="43" t="n">
        <v>-23.537815</v>
      </c>
      <c r="C11065" s="43" t="n">
        <v>-46.622204</v>
      </c>
      <c r="D11065" s="43" t="n">
        <v>112</v>
      </c>
      <c r="E11065" s="44" t="n">
        <v>5183.1846</v>
      </c>
    </row>
    <row r="11066">
      <c r="A11066" s="39">
        <f>_xlfn.XLOOKUP(80167,Trip[shape_id],Trip[shape_id],"Não encontrado")</f>
        <v/>
      </c>
      <c r="B11066" s="40" t="n">
        <v>-23.538071</v>
      </c>
      <c r="C11066" s="40" t="n">
        <v>-46.622191</v>
      </c>
      <c r="D11066" s="40" t="n">
        <v>113</v>
      </c>
      <c r="E11066" s="41" t="n">
        <v>5211.5684</v>
      </c>
    </row>
    <row r="11067">
      <c r="A11067" s="42">
        <f>_xlfn.XLOOKUP(80167,Trip[shape_id],Trip[shape_id],"Não encontrado")</f>
        <v/>
      </c>
      <c r="B11067" s="43" t="n">
        <v>-23.538004</v>
      </c>
      <c r="C11067" s="43" t="n">
        <v>-46.620473</v>
      </c>
      <c r="D11067" s="43" t="n">
        <v>114</v>
      </c>
      <c r="E11067" s="44" t="n">
        <v>5387.1533</v>
      </c>
    </row>
    <row r="11068">
      <c r="A11068" s="39">
        <f>_xlfn.XLOOKUP(80167,Trip[shape_id],Trip[shape_id],"Não encontrado")</f>
        <v/>
      </c>
      <c r="B11068" s="40" t="n">
        <v>-23.537972</v>
      </c>
      <c r="C11068" s="40" t="n">
        <v>-46.619722</v>
      </c>
      <c r="D11068" s="40" t="n">
        <v>115</v>
      </c>
      <c r="E11068" s="41" t="n">
        <v>5463.9209</v>
      </c>
    </row>
    <row r="11069">
      <c r="A11069" s="42">
        <f>_xlfn.XLOOKUP(80167,Trip[shape_id],Trip[shape_id],"Não encontrado")</f>
        <v/>
      </c>
      <c r="B11069" s="43" t="n">
        <v>-23.537943</v>
      </c>
      <c r="C11069" s="43" t="n">
        <v>-46.619048</v>
      </c>
      <c r="D11069" s="43" t="n">
        <v>116</v>
      </c>
      <c r="E11069" s="44" t="n">
        <v>5532.8193</v>
      </c>
    </row>
    <row r="11070">
      <c r="A11070" s="39">
        <f>_xlfn.XLOOKUP(80167,Trip[shape_id],Trip[shape_id],"Não encontrado")</f>
        <v/>
      </c>
      <c r="B11070" s="40" t="n">
        <v>-23.5379</v>
      </c>
      <c r="C11070" s="40" t="n">
        <v>-46.617667</v>
      </c>
      <c r="D11070" s="40" t="n">
        <v>117</v>
      </c>
      <c r="E11070" s="41" t="n">
        <v>5673.916</v>
      </c>
    </row>
    <row r="11071">
      <c r="A11071" s="42">
        <f>_xlfn.XLOOKUP(80167,Trip[shape_id],Trip[shape_id],"Não encontrado")</f>
        <v/>
      </c>
      <c r="B11071" s="43" t="n">
        <v>-23.537832</v>
      </c>
      <c r="C11071" s="43" t="n">
        <v>-46.616214</v>
      </c>
      <c r="D11071" s="43" t="n">
        <v>118</v>
      </c>
      <c r="E11071" s="44" t="n">
        <v>5822.4756</v>
      </c>
    </row>
    <row r="11072">
      <c r="A11072" s="39">
        <f>_xlfn.XLOOKUP(80167,Trip[shape_id],Trip[shape_id],"Não encontrado")</f>
        <v/>
      </c>
      <c r="B11072" s="40" t="n">
        <v>-23.537798</v>
      </c>
      <c r="C11072" s="40" t="n">
        <v>-46.615385</v>
      </c>
      <c r="D11072" s="40" t="n">
        <v>119</v>
      </c>
      <c r="E11072" s="41" t="n">
        <v>5907.21</v>
      </c>
    </row>
    <row r="11073">
      <c r="A11073" s="42">
        <f>_xlfn.XLOOKUP(80167,Trip[shape_id],Trip[shape_id],"Não encontrado")</f>
        <v/>
      </c>
      <c r="B11073" s="43" t="n">
        <v>-23.53777</v>
      </c>
      <c r="C11073" s="43" t="n">
        <v>-46.614668</v>
      </c>
      <c r="D11073" s="43" t="n">
        <v>120</v>
      </c>
      <c r="E11073" s="44" t="n">
        <v>5987.1177</v>
      </c>
    </row>
    <row r="11074">
      <c r="A11074" s="39">
        <f>_xlfn.XLOOKUP(80167,Trip[shape_id],Trip[shape_id],"Não encontrado")</f>
        <v/>
      </c>
      <c r="B11074" s="40" t="n">
        <v>-23.53776</v>
      </c>
      <c r="C11074" s="40" t="n">
        <v>-46.614604</v>
      </c>
      <c r="D11074" s="40" t="n">
        <v>121</v>
      </c>
      <c r="E11074" s="41" t="n">
        <v>5992.9546</v>
      </c>
    </row>
    <row r="11075">
      <c r="A11075" s="42">
        <f>_xlfn.XLOOKUP(80167,Trip[shape_id],Trip[shape_id],"Não encontrado")</f>
        <v/>
      </c>
      <c r="B11075" s="43" t="n">
        <v>-23.537764</v>
      </c>
      <c r="C11075" s="43" t="n">
        <v>-46.614547</v>
      </c>
      <c r="D11075" s="43" t="n">
        <v>122</v>
      </c>
      <c r="E11075" s="44" t="n">
        <v>6052.5449</v>
      </c>
    </row>
    <row r="11076">
      <c r="A11076" s="39">
        <f>_xlfn.XLOOKUP(80167,Trip[shape_id],Trip[shape_id],"Não encontrado")</f>
        <v/>
      </c>
      <c r="B11076" s="40" t="n">
        <v>-23.53774</v>
      </c>
      <c r="C11076" s="40" t="n">
        <v>-46.613964</v>
      </c>
      <c r="D11076" s="40" t="n">
        <v>123</v>
      </c>
      <c r="E11076" s="41" t="n">
        <v>6052.5449</v>
      </c>
    </row>
    <row r="11077">
      <c r="A11077" s="42">
        <f>_xlfn.XLOOKUP(80167,Trip[shape_id],Trip[shape_id],"Não encontrado")</f>
        <v/>
      </c>
      <c r="B11077" s="43" t="n">
        <v>-23.537613</v>
      </c>
      <c r="C11077" s="43" t="n">
        <v>-46.613957</v>
      </c>
      <c r="D11077" s="43" t="n">
        <v>124</v>
      </c>
      <c r="E11077" s="44" t="n">
        <v>6066.6284</v>
      </c>
    </row>
    <row r="11078">
      <c r="A11078" s="39">
        <f>_xlfn.XLOOKUP(80167,Trip[shape_id],Trip[shape_id],"Não encontrado")</f>
        <v/>
      </c>
      <c r="B11078" s="40" t="n">
        <v>-23.537344</v>
      </c>
      <c r="C11078" s="40" t="n">
        <v>-46.613761</v>
      </c>
      <c r="D11078" s="40" t="n">
        <v>125</v>
      </c>
      <c r="E11078" s="41" t="n">
        <v>6202.6514</v>
      </c>
    </row>
    <row r="11079">
      <c r="A11079" s="42">
        <f>_xlfn.XLOOKUP(80167,Trip[shape_id],Trip[shape_id],"Não encontrado")</f>
        <v/>
      </c>
      <c r="B11079" s="43" t="n">
        <v>-23.536593</v>
      </c>
      <c r="C11079" s="43" t="n">
        <v>-46.613215</v>
      </c>
      <c r="D11079" s="43" t="n">
        <v>126</v>
      </c>
      <c r="E11079" s="44" t="n">
        <v>6202.6514</v>
      </c>
    </row>
    <row r="11080">
      <c r="A11080" s="39">
        <f>_xlfn.XLOOKUP(80167,Trip[shape_id],Trip[shape_id],"Não encontrado")</f>
        <v/>
      </c>
      <c r="B11080" s="40" t="n">
        <v>-23.535828</v>
      </c>
      <c r="C11080" s="40" t="n">
        <v>-46.612641</v>
      </c>
      <c r="D11080" s="40" t="n">
        <v>127</v>
      </c>
      <c r="E11080" s="41" t="n">
        <v>6305.6748</v>
      </c>
    </row>
    <row r="11081">
      <c r="A11081" s="42">
        <f>_xlfn.XLOOKUP(80167,Trip[shape_id],Trip[shape_id],"Não encontrado")</f>
        <v/>
      </c>
      <c r="B11081" s="43" t="n">
        <v>-23.535233</v>
      </c>
      <c r="C11081" s="43" t="n">
        <v>-46.612195</v>
      </c>
      <c r="D11081" s="43" t="n">
        <v>128</v>
      </c>
      <c r="E11081" s="44" t="n">
        <v>6488.3545</v>
      </c>
    </row>
    <row r="11082">
      <c r="A11082" s="39">
        <f>_xlfn.XLOOKUP(80167,Trip[shape_id],Trip[shape_id],"Não encontrado")</f>
        <v/>
      </c>
      <c r="B11082" s="40" t="n">
        <v>-23.534471</v>
      </c>
      <c r="C11082" s="40" t="n">
        <v>-46.611624</v>
      </c>
      <c r="D11082" s="40" t="n">
        <v>129</v>
      </c>
      <c r="E11082" s="41" t="n">
        <v>6488.3545</v>
      </c>
    </row>
    <row r="11083">
      <c r="A11083" s="42">
        <f>_xlfn.XLOOKUP(80167,Trip[shape_id],Trip[shape_id],"Não encontrado")</f>
        <v/>
      </c>
      <c r="B11083" s="43" t="n">
        <v>-23.535117</v>
      </c>
      <c r="C11083" s="43" t="n">
        <v>-46.610885</v>
      </c>
      <c r="D11083" s="43" t="n">
        <v>130</v>
      </c>
      <c r="E11083" s="44" t="n">
        <v>6592.3418</v>
      </c>
    </row>
    <row r="11084">
      <c r="A11084" s="39">
        <f>_xlfn.XLOOKUP(80167,Trip[shape_id],Trip[shape_id],"Não encontrado")</f>
        <v/>
      </c>
      <c r="B11084" s="40" t="n">
        <v>-23.535647</v>
      </c>
      <c r="C11084" s="40" t="n">
        <v>-46.610267</v>
      </c>
      <c r="D11084" s="40" t="n">
        <v>131</v>
      </c>
      <c r="E11084" s="41" t="n">
        <v>6678.5269</v>
      </c>
    </row>
    <row r="11085">
      <c r="A11085" s="42">
        <f>_xlfn.XLOOKUP(80167,Trip[shape_id],Trip[shape_id],"Não encontrado")</f>
        <v/>
      </c>
      <c r="B11085" s="43" t="n">
        <v>-23.535738</v>
      </c>
      <c r="C11085" s="43" t="n">
        <v>-46.610162</v>
      </c>
      <c r="D11085" s="43" t="n">
        <v>132</v>
      </c>
      <c r="E11085" s="44" t="n">
        <v>6693.2422</v>
      </c>
    </row>
    <row r="11086">
      <c r="A11086" s="39">
        <f>_xlfn.XLOOKUP(80167,Trip[shape_id],Trip[shape_id],"Não encontrado")</f>
        <v/>
      </c>
      <c r="B11086" s="40" t="n">
        <v>-23.536219</v>
      </c>
      <c r="C11086" s="40" t="n">
        <v>-46.6096</v>
      </c>
      <c r="D11086" s="40" t="n">
        <v>133</v>
      </c>
      <c r="E11086" s="41" t="n">
        <v>6771.5439</v>
      </c>
    </row>
    <row r="11087">
      <c r="A11087" s="42">
        <f>_xlfn.XLOOKUP(80167,Trip[shape_id],Trip[shape_id],"Não encontrado")</f>
        <v/>
      </c>
      <c r="B11087" s="43" t="n">
        <v>-23.536799</v>
      </c>
      <c r="C11087" s="43" t="n">
        <v>-46.608961</v>
      </c>
      <c r="D11087" s="43" t="n">
        <v>134</v>
      </c>
      <c r="E11087" s="44" t="n">
        <v>6863.1074</v>
      </c>
    </row>
    <row r="11088">
      <c r="A11088" s="39">
        <f>_xlfn.XLOOKUP(80167,Trip[shape_id],Trip[shape_id],"Não encontrado")</f>
        <v/>
      </c>
      <c r="B11088" s="40" t="n">
        <v>-23.537051</v>
      </c>
      <c r="C11088" s="40" t="n">
        <v>-46.608675</v>
      </c>
      <c r="D11088" s="40" t="n">
        <v>135</v>
      </c>
      <c r="E11088" s="41" t="n">
        <v>6938.1909</v>
      </c>
    </row>
    <row r="11089">
      <c r="A11089" s="42">
        <f>_xlfn.XLOOKUP(80167,Trip[shape_id],Trip[shape_id],"Não encontrado")</f>
        <v/>
      </c>
      <c r="B11089" s="43" t="n">
        <v>-23.537354</v>
      </c>
      <c r="C11089" s="43" t="n">
        <v>-46.608589</v>
      </c>
      <c r="D11089" s="43" t="n">
        <v>136</v>
      </c>
      <c r="E11089" s="44" t="n">
        <v>6938.1909</v>
      </c>
    </row>
    <row r="11090">
      <c r="A11090" s="39">
        <f>_xlfn.XLOOKUP(80167,Trip[shape_id],Trip[shape_id],"Não encontrado")</f>
        <v/>
      </c>
      <c r="B11090" s="40" t="n">
        <v>-23.538186</v>
      </c>
      <c r="C11090" s="40" t="n">
        <v>-46.608342</v>
      </c>
      <c r="D11090" s="40" t="n">
        <v>137</v>
      </c>
      <c r="E11090" s="41" t="n">
        <v>7033.7256</v>
      </c>
    </row>
    <row r="11091">
      <c r="A11091" s="42">
        <f>_xlfn.XLOOKUP(80167,Trip[shape_id],Trip[shape_id],"Não encontrado")</f>
        <v/>
      </c>
      <c r="B11091" s="43" t="n">
        <v>-23.539201</v>
      </c>
      <c r="C11091" s="43" t="n">
        <v>-46.60803</v>
      </c>
      <c r="D11091" s="43" t="n">
        <v>138</v>
      </c>
      <c r="E11091" s="44" t="n">
        <v>7150.5659</v>
      </c>
    </row>
    <row r="11092">
      <c r="A11092" s="39">
        <f>_xlfn.XLOOKUP(80167,Trip[shape_id],Trip[shape_id],"Não encontrado")</f>
        <v/>
      </c>
      <c r="B11092" s="40" t="n">
        <v>-23.540753</v>
      </c>
      <c r="C11092" s="40" t="n">
        <v>-46.607614</v>
      </c>
      <c r="D11092" s="40" t="n">
        <v>139</v>
      </c>
      <c r="E11092" s="41" t="n">
        <v>7327.6235</v>
      </c>
    </row>
    <row r="11093">
      <c r="A11093" s="42">
        <f>_xlfn.XLOOKUP(80167,Trip[shape_id],Trip[shape_id],"Não encontrado")</f>
        <v/>
      </c>
      <c r="B11093" s="43" t="n">
        <v>-23.541484</v>
      </c>
      <c r="C11093" s="43" t="n">
        <v>-46.607405</v>
      </c>
      <c r="D11093" s="43" t="n">
        <v>140</v>
      </c>
      <c r="E11093" s="44" t="n">
        <v>7411.3486</v>
      </c>
    </row>
    <row r="11094">
      <c r="A11094" s="39">
        <f>_xlfn.XLOOKUP(80167,Trip[shape_id],Trip[shape_id],"Não encontrado")</f>
        <v/>
      </c>
      <c r="B11094" s="40" t="n">
        <v>-23.541841</v>
      </c>
      <c r="C11094" s="40" t="n">
        <v>-46.607308</v>
      </c>
      <c r="D11094" s="40" t="n">
        <v>141</v>
      </c>
      <c r="E11094" s="41" t="n">
        <v>7460.8223</v>
      </c>
    </row>
    <row r="11095">
      <c r="A11095" s="42">
        <f>_xlfn.XLOOKUP(80167,Trip[shape_id],Trip[shape_id],"Não encontrado")</f>
        <v/>
      </c>
      <c r="B11095" s="43" t="n">
        <v>-23.54191</v>
      </c>
      <c r="C11095" s="43" t="n">
        <v>-46.607267</v>
      </c>
      <c r="D11095" s="43" t="n">
        <v>142</v>
      </c>
      <c r="E11095" s="44" t="n">
        <v>7468.9097</v>
      </c>
    </row>
    <row r="11096">
      <c r="A11096" s="39">
        <f>_xlfn.XLOOKUP(80167,Trip[shape_id],Trip[shape_id],"Não encontrado")</f>
        <v/>
      </c>
      <c r="B11096" s="40" t="n">
        <v>-23.541983</v>
      </c>
      <c r="C11096" s="40" t="n">
        <v>-46.607269</v>
      </c>
      <c r="D11096" s="40" t="n">
        <v>143</v>
      </c>
      <c r="E11096" s="41" t="n">
        <v>7537.8862</v>
      </c>
    </row>
    <row r="11097">
      <c r="A11097" s="42">
        <f>_xlfn.XLOOKUP(80167,Trip[shape_id],Trip[shape_id],"Não encontrado")</f>
        <v/>
      </c>
      <c r="B11097" s="43" t="n">
        <v>-23.542586</v>
      </c>
      <c r="C11097" s="43" t="n">
        <v>-46.6071</v>
      </c>
      <c r="D11097" s="43" t="n">
        <v>144</v>
      </c>
      <c r="E11097" s="44" t="n">
        <v>7537.8862</v>
      </c>
    </row>
    <row r="11098">
      <c r="A11098" s="39">
        <f>_xlfn.XLOOKUP(80167,Trip[shape_id],Trip[shape_id],"Não encontrado")</f>
        <v/>
      </c>
      <c r="B11098" s="40" t="n">
        <v>-23.542868</v>
      </c>
      <c r="C11098" s="40" t="n">
        <v>-46.606913</v>
      </c>
      <c r="D11098" s="40" t="n">
        <v>145</v>
      </c>
      <c r="E11098" s="41" t="n">
        <v>7574.4927</v>
      </c>
    </row>
    <row r="11099">
      <c r="A11099" s="42">
        <f>_xlfn.XLOOKUP(80167,Trip[shape_id],Trip[shape_id],"Não encontrado")</f>
        <v/>
      </c>
      <c r="B11099" s="43" t="n">
        <v>-23.543056</v>
      </c>
      <c r="C11099" s="43" t="n">
        <v>-46.606639</v>
      </c>
      <c r="D11099" s="43" t="n">
        <v>146</v>
      </c>
      <c r="E11099" s="44" t="n">
        <v>7643.1514</v>
      </c>
    </row>
    <row r="11100">
      <c r="A11100" s="39">
        <f>_xlfn.XLOOKUP(80167,Trip[shape_id],Trip[shape_id],"Não encontrado")</f>
        <v/>
      </c>
      <c r="B11100" s="40" t="n">
        <v>-23.543265</v>
      </c>
      <c r="C11100" s="40" t="n">
        <v>-46.606398</v>
      </c>
      <c r="D11100" s="40" t="n">
        <v>147</v>
      </c>
      <c r="E11100" s="41" t="n">
        <v>7673.1172</v>
      </c>
    </row>
    <row r="11101">
      <c r="A11101" s="42">
        <f>_xlfn.XLOOKUP(80167,Trip[shape_id],Trip[shape_id],"Não encontrado")</f>
        <v/>
      </c>
      <c r="B11101" s="43" t="n">
        <v>-23.543454</v>
      </c>
      <c r="C11101" s="43" t="n">
        <v>-46.606188</v>
      </c>
      <c r="D11101" s="43" t="n">
        <v>148</v>
      </c>
      <c r="E11101" s="44" t="n">
        <v>7673.1172</v>
      </c>
    </row>
    <row r="11102">
      <c r="A11102" s="39">
        <f>_xlfn.XLOOKUP(80167,Trip[shape_id],Trip[shape_id],"Não encontrado")</f>
        <v/>
      </c>
      <c r="B11102" s="40" t="n">
        <v>-23.54472</v>
      </c>
      <c r="C11102" s="40" t="n">
        <v>-46.605286</v>
      </c>
      <c r="D11102" s="40" t="n">
        <v>149</v>
      </c>
      <c r="E11102" s="41" t="n">
        <v>7840.8726</v>
      </c>
    </row>
    <row r="11103">
      <c r="A11103" s="42">
        <f>_xlfn.XLOOKUP(80167,Trip[shape_id],Trip[shape_id],"Não encontrado")</f>
        <v/>
      </c>
      <c r="B11103" s="43" t="n">
        <v>-23.545528</v>
      </c>
      <c r="C11103" s="43" t="n">
        <v>-46.604746</v>
      </c>
      <c r="D11103" s="43" t="n">
        <v>150</v>
      </c>
      <c r="E11103" s="44" t="n">
        <v>8179.3755</v>
      </c>
    </row>
    <row r="11104">
      <c r="A11104" s="39">
        <f>_xlfn.XLOOKUP(80167,Trip[shape_id],Trip[shape_id],"Não encontrado")</f>
        <v/>
      </c>
      <c r="B11104" s="40" t="n">
        <v>-23.547282</v>
      </c>
      <c r="C11104" s="40" t="n">
        <v>-46.603479</v>
      </c>
      <c r="D11104" s="40" t="n">
        <v>151</v>
      </c>
      <c r="E11104" s="41" t="n">
        <v>8179.3755</v>
      </c>
    </row>
    <row r="11105">
      <c r="A11105" s="42">
        <f>_xlfn.XLOOKUP(80167,Trip[shape_id],Trip[shape_id],"Não encontrado")</f>
        <v/>
      </c>
      <c r="B11105" s="43" t="n">
        <v>-23.547864</v>
      </c>
      <c r="C11105" s="43" t="n">
        <v>-46.603018</v>
      </c>
      <c r="D11105" s="43" t="n">
        <v>152</v>
      </c>
      <c r="E11105" s="44" t="n">
        <v>8259.190399999999</v>
      </c>
    </row>
    <row r="11106">
      <c r="A11106" s="39">
        <f>_xlfn.XLOOKUP(80167,Trip[shape_id],Trip[shape_id],"Não encontrado")</f>
        <v/>
      </c>
      <c r="B11106" s="40" t="n">
        <v>-23.548164</v>
      </c>
      <c r="C11106" s="40" t="n">
        <v>-46.602786</v>
      </c>
      <c r="D11106" s="40" t="n">
        <v>153</v>
      </c>
      <c r="E11106" s="41" t="n">
        <v>8299.9951</v>
      </c>
    </row>
    <row r="11107">
      <c r="A11107" s="42">
        <f>_xlfn.XLOOKUP(80167,Trip[shape_id],Trip[shape_id],"Não encontrado")</f>
        <v/>
      </c>
      <c r="B11107" s="43" t="n">
        <v>-23.548338</v>
      </c>
      <c r="C11107" s="43" t="n">
        <v>-46.602651</v>
      </c>
      <c r="D11107" s="43" t="n">
        <v>154</v>
      </c>
      <c r="E11107" s="44" t="n">
        <v>8362.757799999999</v>
      </c>
    </row>
    <row r="11108">
      <c r="A11108" s="39">
        <f>_xlfn.XLOOKUP(80167,Trip[shape_id],Trip[shape_id],"Não encontrado")</f>
        <v/>
      </c>
      <c r="B11108" s="40" t="n">
        <v>-23.548624</v>
      </c>
      <c r="C11108" s="40" t="n">
        <v>-46.602427</v>
      </c>
      <c r="D11108" s="40" t="n">
        <v>155</v>
      </c>
      <c r="E11108" s="41" t="n">
        <v>8362.757799999999</v>
      </c>
    </row>
    <row r="11109">
      <c r="A11109" s="42">
        <f>_xlfn.XLOOKUP(80167,Trip[shape_id],Trip[shape_id],"Não encontrado")</f>
        <v/>
      </c>
      <c r="B11109" s="43" t="n">
        <v>-23.548794</v>
      </c>
      <c r="C11109" s="43" t="n">
        <v>-46.602275</v>
      </c>
      <c r="D11109" s="43" t="n">
        <v>156</v>
      </c>
      <c r="E11109" s="44" t="n">
        <v>8547.8994</v>
      </c>
    </row>
    <row r="11110">
      <c r="A11110" s="39">
        <f>_xlfn.XLOOKUP(80167,Trip[shape_id],Trip[shape_id],"Não encontrado")</f>
        <v/>
      </c>
      <c r="B11110" s="40" t="n">
        <v>-23.549961</v>
      </c>
      <c r="C11110" s="40" t="n">
        <v>-46.601339</v>
      </c>
      <c r="D11110" s="40" t="n">
        <v>157</v>
      </c>
      <c r="E11110" s="41" t="n">
        <v>8577.515600000001</v>
      </c>
    </row>
    <row r="11111">
      <c r="A11111" s="42">
        <f>_xlfn.XLOOKUP(80167,Trip[shape_id],Trip[shape_id],"Não encontrado")</f>
        <v/>
      </c>
      <c r="B11111" s="43" t="n">
        <v>-23.550177</v>
      </c>
      <c r="C11111" s="43" t="n">
        <v>-46.601168</v>
      </c>
      <c r="D11111" s="43" t="n">
        <v>158</v>
      </c>
      <c r="E11111" s="44" t="n">
        <v>8588.5537</v>
      </c>
    </row>
    <row r="11112">
      <c r="A11112" s="39">
        <f>_xlfn.XLOOKUP(80167,Trip[shape_id],Trip[shape_id],"Não encontrado")</f>
        <v/>
      </c>
      <c r="B11112" s="40" t="n">
        <v>-23.550258</v>
      </c>
      <c r="C11112" s="40" t="n">
        <v>-46.601105</v>
      </c>
      <c r="D11112" s="40" t="n">
        <v>159</v>
      </c>
      <c r="E11112" s="41" t="n">
        <v>8588.5537</v>
      </c>
    </row>
    <row r="11113">
      <c r="A11113" s="42">
        <f>_xlfn.XLOOKUP(80167,Trip[shape_id],Trip[shape_id],"Não encontrado")</f>
        <v/>
      </c>
      <c r="B11113" s="43" t="n">
        <v>-23.550545</v>
      </c>
      <c r="C11113" s="43" t="n">
        <v>-46.600939</v>
      </c>
      <c r="D11113" s="43" t="n">
        <v>160</v>
      </c>
      <c r="E11113" s="44" t="n">
        <v>8624.5762</v>
      </c>
    </row>
    <row r="11114">
      <c r="A11114" s="39">
        <f>_xlfn.XLOOKUP(80167,Trip[shape_id],Trip[shape_id],"Não encontrado")</f>
        <v/>
      </c>
      <c r="B11114" s="40" t="n">
        <v>-23.550716</v>
      </c>
      <c r="C11114" s="40" t="n">
        <v>-46.600844</v>
      </c>
      <c r="D11114" s="40" t="n">
        <v>161</v>
      </c>
      <c r="E11114" s="41" t="n">
        <v>8645.854499999999</v>
      </c>
    </row>
    <row r="11115">
      <c r="A11115" s="42">
        <f>_xlfn.XLOOKUP(80167,Trip[shape_id],Trip[shape_id],"Não encontrado")</f>
        <v/>
      </c>
      <c r="B11115" s="43" t="n">
        <v>-23.550921</v>
      </c>
      <c r="C11115" s="43" t="n">
        <v>-46.600676</v>
      </c>
      <c r="D11115" s="43" t="n">
        <v>162</v>
      </c>
      <c r="E11115" s="44" t="n">
        <v>8727.5303</v>
      </c>
    </row>
    <row r="11116">
      <c r="A11116" s="39">
        <f>_xlfn.XLOOKUP(80167,Trip[shape_id],Trip[shape_id],"Não encontrado")</f>
        <v/>
      </c>
      <c r="B11116" s="40" t="n">
        <v>-23.551308</v>
      </c>
      <c r="C11116" s="40" t="n">
        <v>-46.600367</v>
      </c>
      <c r="D11116" s="40" t="n">
        <v>163</v>
      </c>
      <c r="E11116" s="41" t="n">
        <v>8727.5303</v>
      </c>
    </row>
    <row r="11117">
      <c r="A11117" s="42">
        <f>_xlfn.XLOOKUP(80167,Trip[shape_id],Trip[shape_id],"Não encontrado")</f>
        <v/>
      </c>
      <c r="B11117" s="43" t="n">
        <v>-23.55178</v>
      </c>
      <c r="C11117" s="43" t="n">
        <v>-46.600104</v>
      </c>
      <c r="D11117" s="43" t="n">
        <v>164</v>
      </c>
      <c r="E11117" s="44" t="n">
        <v>8816.75</v>
      </c>
    </row>
    <row r="11118">
      <c r="A11118" s="39">
        <f>_xlfn.XLOOKUP(80167,Trip[shape_id],Trip[shape_id],"Não encontrado")</f>
        <v/>
      </c>
      <c r="B11118" s="40" t="n">
        <v>-23.552037</v>
      </c>
      <c r="C11118" s="40" t="n">
        <v>-46.599998</v>
      </c>
      <c r="D11118" s="40" t="n">
        <v>165</v>
      </c>
      <c r="E11118" s="41" t="n">
        <v>8839.1211</v>
      </c>
    </row>
    <row r="11119">
      <c r="A11119" s="42">
        <f>_xlfn.XLOOKUP(80167,Trip[shape_id],Trip[shape_id],"Não encontrado")</f>
        <v/>
      </c>
      <c r="B11119" s="43" t="n">
        <v>-23.552233</v>
      </c>
      <c r="C11119" s="43" t="n">
        <v>-46.599945</v>
      </c>
      <c r="D11119" s="43" t="n">
        <v>166</v>
      </c>
      <c r="E11119" s="44" t="n">
        <v>8855.4072</v>
      </c>
    </row>
    <row r="11120">
      <c r="A11120" s="39">
        <f>_xlfn.XLOOKUP(80167,Trip[shape_id],Trip[shape_id],"Não encontrado")</f>
        <v/>
      </c>
      <c r="B11120" s="40" t="n">
        <v>-23.552379</v>
      </c>
      <c r="C11120" s="40" t="n">
        <v>-46.599926</v>
      </c>
      <c r="D11120" s="40" t="n">
        <v>167</v>
      </c>
      <c r="E11120" s="41" t="n">
        <v>8877.440399999999</v>
      </c>
    </row>
    <row r="11121">
      <c r="A11121" s="42">
        <f>_xlfn.XLOOKUP(80167,Trip[shape_id],Trip[shape_id],"Não encontrado")</f>
        <v/>
      </c>
      <c r="B11121" s="43" t="n">
        <v>-23.552577</v>
      </c>
      <c r="C11121" s="43" t="n">
        <v>-46.599905</v>
      </c>
      <c r="D11121" s="43" t="n">
        <v>168</v>
      </c>
      <c r="E11121" s="44" t="n">
        <v>8901.916999999999</v>
      </c>
    </row>
    <row r="11122">
      <c r="A11122" s="39">
        <f>_xlfn.XLOOKUP(80167,Trip[shape_id],Trip[shape_id],"Não encontrado")</f>
        <v/>
      </c>
      <c r="B11122" s="40" t="n">
        <v>-23.552798</v>
      </c>
      <c r="C11122" s="40" t="n">
        <v>-46.599903</v>
      </c>
      <c r="D11122" s="40" t="n">
        <v>169</v>
      </c>
      <c r="E11122" s="41" t="n">
        <v>8940.0537</v>
      </c>
    </row>
    <row r="11123">
      <c r="A11123" s="42">
        <f>_xlfn.XLOOKUP(80167,Trip[shape_id],Trip[shape_id],"Não encontrado")</f>
        <v/>
      </c>
      <c r="B11123" s="43" t="n">
        <v>-23.553141</v>
      </c>
      <c r="C11123" s="43" t="n">
        <v>-46.599936</v>
      </c>
      <c r="D11123" s="43" t="n">
        <v>170</v>
      </c>
      <c r="E11123" s="44" t="n">
        <v>8940.0537</v>
      </c>
    </row>
    <row r="11124">
      <c r="A11124" s="39">
        <f>_xlfn.XLOOKUP(80167,Trip[shape_id],Trip[shape_id],"Não encontrado")</f>
        <v/>
      </c>
      <c r="B11124" s="40" t="n">
        <v>-23.553294</v>
      </c>
      <c r="C11124" s="40" t="n">
        <v>-46.599946</v>
      </c>
      <c r="D11124" s="40" t="n">
        <v>171</v>
      </c>
      <c r="E11124" s="41" t="n">
        <v>8957.0293</v>
      </c>
    </row>
    <row r="11125">
      <c r="A11125" s="42">
        <f>_xlfn.XLOOKUP(80167,Trip[shape_id],Trip[shape_id],"Não encontrado")</f>
        <v/>
      </c>
      <c r="B11125" s="43" t="n">
        <v>-23.553877</v>
      </c>
      <c r="C11125" s="43" t="n">
        <v>-46.6</v>
      </c>
      <c r="D11125" s="43" t="n">
        <v>172</v>
      </c>
      <c r="E11125" s="44" t="n">
        <v>9021.832</v>
      </c>
    </row>
    <row r="11126">
      <c r="A11126" s="39">
        <f>_xlfn.XLOOKUP(80167,Trip[shape_id],Trip[shape_id],"Não encontrado")</f>
        <v/>
      </c>
      <c r="B11126" s="40" t="n">
        <v>-23.554503</v>
      </c>
      <c r="C11126" s="40" t="n">
        <v>-46.60007</v>
      </c>
      <c r="D11126" s="40" t="n">
        <v>173</v>
      </c>
      <c r="E11126" s="41" t="n">
        <v>9091.5303</v>
      </c>
    </row>
    <row r="11127">
      <c r="A11127" s="42">
        <f>_xlfn.XLOOKUP(80167,Trip[shape_id],Trip[shape_id],"Não encontrado")</f>
        <v/>
      </c>
      <c r="B11127" s="43" t="n">
        <v>-23.555017</v>
      </c>
      <c r="C11127" s="43" t="n">
        <v>-46.600124</v>
      </c>
      <c r="D11127" s="43" t="n">
        <v>174</v>
      </c>
      <c r="E11127" s="44" t="n">
        <v>9148.7227</v>
      </c>
    </row>
    <row r="11128">
      <c r="A11128" s="39">
        <f>_xlfn.XLOOKUP(80167,Trip[shape_id],Trip[shape_id],"Não encontrado")</f>
        <v/>
      </c>
      <c r="B11128" s="40" t="n">
        <v>-23.555513</v>
      </c>
      <c r="C11128" s="40" t="n">
        <v>-46.600176</v>
      </c>
      <c r="D11128" s="40" t="n">
        <v>175</v>
      </c>
      <c r="E11128" s="41" t="n">
        <v>9203.911099999999</v>
      </c>
    </row>
    <row r="11129">
      <c r="A11129" s="42">
        <f>_xlfn.XLOOKUP(80167,Trip[shape_id],Trip[shape_id],"Não encontrado")</f>
        <v/>
      </c>
      <c r="B11129" s="43" t="n">
        <v>-23.55644</v>
      </c>
      <c r="C11129" s="43" t="n">
        <v>-46.600275</v>
      </c>
      <c r="D11129" s="43" t="n">
        <v>176</v>
      </c>
      <c r="E11129" s="44" t="n">
        <v>9307.074199999999</v>
      </c>
    </row>
    <row r="11130">
      <c r="A11130" s="39">
        <f>_xlfn.XLOOKUP(80167,Trip[shape_id],Trip[shape_id],"Não encontrado")</f>
        <v/>
      </c>
      <c r="B11130" s="40" t="n">
        <v>-23.556476</v>
      </c>
      <c r="C11130" s="40" t="n">
        <v>-46.600281</v>
      </c>
      <c r="D11130" s="40" t="n">
        <v>177</v>
      </c>
      <c r="E11130" s="41" t="n">
        <v>9311.108399999999</v>
      </c>
    </row>
    <row r="11131">
      <c r="A11131" s="42">
        <f>_xlfn.XLOOKUP(80167,Trip[shape_id],Trip[shape_id],"Não encontrado")</f>
        <v/>
      </c>
      <c r="B11131" s="43" t="n">
        <v>-23.556628</v>
      </c>
      <c r="C11131" s="43" t="n">
        <v>-46.600253</v>
      </c>
      <c r="D11131" s="43" t="n">
        <v>178</v>
      </c>
      <c r="E11131" s="44" t="n">
        <v>9328.1836</v>
      </c>
    </row>
    <row r="11132">
      <c r="A11132" s="39">
        <f>_xlfn.XLOOKUP(80167,Trip[shape_id],Trip[shape_id],"Não encontrado")</f>
        <v/>
      </c>
      <c r="B11132" s="40" t="n">
        <v>-23.556747</v>
      </c>
      <c r="C11132" s="40" t="n">
        <v>-46.600241</v>
      </c>
      <c r="D11132" s="40" t="n">
        <v>179</v>
      </c>
      <c r="E11132" s="41" t="n">
        <v>9341.419900000001</v>
      </c>
    </row>
    <row r="11133">
      <c r="A11133" s="42">
        <f>_xlfn.XLOOKUP(80167,Trip[shape_id],Trip[shape_id],"Não encontrado")</f>
        <v/>
      </c>
      <c r="B11133" s="43" t="n">
        <v>-23.556807</v>
      </c>
      <c r="C11133" s="43" t="n">
        <v>-46.600242</v>
      </c>
      <c r="D11133" s="43" t="n">
        <v>180</v>
      </c>
      <c r="E11133" s="44" t="n">
        <v>9348.0664</v>
      </c>
    </row>
    <row r="11134">
      <c r="A11134" s="39">
        <f>_xlfn.XLOOKUP(80167,Trip[shape_id],Trip[shape_id],"Não encontrado")</f>
        <v/>
      </c>
      <c r="B11134" s="40" t="n">
        <v>-23.556845</v>
      </c>
      <c r="C11134" s="40" t="n">
        <v>-46.600194</v>
      </c>
      <c r="D11134" s="40" t="n">
        <v>181</v>
      </c>
      <c r="E11134" s="41" t="n">
        <v>9354.5254</v>
      </c>
    </row>
    <row r="11135">
      <c r="A11135" s="42">
        <f>_xlfn.XLOOKUP(80167,Trip[shape_id],Trip[shape_id],"Não encontrado")</f>
        <v/>
      </c>
      <c r="B11135" s="43" t="n">
        <v>-23.556884</v>
      </c>
      <c r="C11135" s="43" t="n">
        <v>-46.600248</v>
      </c>
      <c r="D11135" s="43" t="n">
        <v>182</v>
      </c>
      <c r="E11135" s="44" t="n">
        <v>9361.5293</v>
      </c>
    </row>
    <row r="11136">
      <c r="A11136" s="39">
        <f>_xlfn.XLOOKUP(80167,Trip[shape_id],Trip[shape_id],"Não encontrado")</f>
        <v/>
      </c>
      <c r="B11136" s="40" t="n">
        <v>-23.556963</v>
      </c>
      <c r="C11136" s="40" t="n">
        <v>-46.600256</v>
      </c>
      <c r="D11136" s="40" t="n">
        <v>183</v>
      </c>
      <c r="E11136" s="41" t="n">
        <v>9370.3164</v>
      </c>
    </row>
    <row r="11137">
      <c r="A11137" s="42">
        <f>_xlfn.XLOOKUP(80167,Trip[shape_id],Trip[shape_id],"Não encontrado")</f>
        <v/>
      </c>
      <c r="B11137" s="43" t="n">
        <v>-23.557047</v>
      </c>
      <c r="C11137" s="43" t="n">
        <v>-46.600276</v>
      </c>
      <c r="D11137" s="43" t="n">
        <v>184</v>
      </c>
      <c r="E11137" s="44" t="n">
        <v>9379.8418</v>
      </c>
    </row>
    <row r="11138">
      <c r="A11138" s="39">
        <f>_xlfn.XLOOKUP(80167,Trip[shape_id],Trip[shape_id],"Não encontrado")</f>
        <v/>
      </c>
      <c r="B11138" s="40" t="n">
        <v>-23.557184</v>
      </c>
      <c r="C11138" s="40" t="n">
        <v>-46.600316</v>
      </c>
      <c r="D11138" s="40" t="n">
        <v>185</v>
      </c>
      <c r="E11138" s="41" t="n">
        <v>9395.554700000001</v>
      </c>
    </row>
    <row r="11139">
      <c r="A11139" s="42">
        <f>_xlfn.XLOOKUP(80167,Trip[shape_id],Trip[shape_id],"Não encontrado")</f>
        <v/>
      </c>
      <c r="B11139" s="43" t="n">
        <v>-23.557248</v>
      </c>
      <c r="C11139" s="43" t="n">
        <v>-46.600359</v>
      </c>
      <c r="D11139" s="43" t="n">
        <v>186</v>
      </c>
      <c r="E11139" s="44" t="n">
        <v>9403.892599999999</v>
      </c>
    </row>
    <row r="11140">
      <c r="A11140" s="39">
        <f>_xlfn.XLOOKUP(80167,Trip[shape_id],Trip[shape_id],"Não encontrado")</f>
        <v/>
      </c>
      <c r="B11140" s="40" t="n">
        <v>-23.55728</v>
      </c>
      <c r="C11140" s="40" t="n">
        <v>-46.600356</v>
      </c>
      <c r="D11140" s="40" t="n">
        <v>187</v>
      </c>
      <c r="E11140" s="41" t="n">
        <v>9407.449199999999</v>
      </c>
    </row>
    <row r="11141">
      <c r="A11141" s="42">
        <f>_xlfn.XLOOKUP(80167,Trip[shape_id],Trip[shape_id],"Não encontrado")</f>
        <v/>
      </c>
      <c r="B11141" s="43" t="n">
        <v>-23.557731</v>
      </c>
      <c r="C11141" s="43" t="n">
        <v>-46.600401</v>
      </c>
      <c r="D11141" s="43" t="n">
        <v>188</v>
      </c>
      <c r="E11141" s="44" t="n">
        <v>9480.3145</v>
      </c>
    </row>
    <row r="11142">
      <c r="A11142" s="39">
        <f>_xlfn.XLOOKUP(80167,Trip[shape_id],Trip[shape_id],"Não encontrado")</f>
        <v/>
      </c>
      <c r="B11142" s="40" t="n">
        <v>-23.557935</v>
      </c>
      <c r="C11142" s="40" t="n">
        <v>-46.600423</v>
      </c>
      <c r="D11142" s="40" t="n">
        <v>189</v>
      </c>
      <c r="E11142" s="41" t="n">
        <v>9498.8174</v>
      </c>
    </row>
    <row r="11143">
      <c r="A11143" s="42">
        <f>_xlfn.XLOOKUP(80167,Trip[shape_id],Trip[shape_id],"Não encontrado")</f>
        <v/>
      </c>
      <c r="B11143" s="43" t="n">
        <v>-23.558102</v>
      </c>
      <c r="C11143" s="43" t="n">
        <v>-46.600428</v>
      </c>
      <c r="D11143" s="43" t="n">
        <v>190</v>
      </c>
      <c r="E11143" s="44" t="n">
        <v>9531.9336</v>
      </c>
    </row>
    <row r="11144">
      <c r="A11144" s="39">
        <f>_xlfn.XLOOKUP(80167,Trip[shape_id],Trip[shape_id],"Não encontrado")</f>
        <v/>
      </c>
      <c r="B11144" s="40" t="n">
        <v>-23.558401</v>
      </c>
      <c r="C11144" s="40" t="n">
        <v>-46.600431</v>
      </c>
      <c r="D11144" s="40" t="n">
        <v>191</v>
      </c>
      <c r="E11144" s="41" t="n">
        <v>9570.088900000001</v>
      </c>
    </row>
    <row r="11145">
      <c r="A11145" s="42">
        <f>_xlfn.XLOOKUP(80167,Trip[shape_id],Trip[shape_id],"Não encontrado")</f>
        <v/>
      </c>
      <c r="B11145" s="43" t="n">
        <v>-23.558744</v>
      </c>
      <c r="C11145" s="43" t="n">
        <v>-46.600396</v>
      </c>
      <c r="D11145" s="43" t="n">
        <v>192</v>
      </c>
      <c r="E11145" s="44" t="n">
        <v>9586.873</v>
      </c>
    </row>
    <row r="11146">
      <c r="A11146" s="39">
        <f>_xlfn.XLOOKUP(80167,Trip[shape_id],Trip[shape_id],"Não encontrado")</f>
        <v/>
      </c>
      <c r="B11146" s="40" t="n">
        <v>-23.558893</v>
      </c>
      <c r="C11146" s="40" t="n">
        <v>-46.600366</v>
      </c>
      <c r="D11146" s="40" t="n">
        <v>193</v>
      </c>
      <c r="E11146" s="41" t="n">
        <v>9603.0088</v>
      </c>
    </row>
    <row r="11147">
      <c r="A11147" s="42">
        <f>_xlfn.XLOOKUP(80167,Trip[shape_id],Trip[shape_id],"Não encontrado")</f>
        <v/>
      </c>
      <c r="B11147" s="43" t="n">
        <v>-23.559037</v>
      </c>
      <c r="C11147" s="43" t="n">
        <v>-46.600342</v>
      </c>
      <c r="D11147" s="43" t="n">
        <v>194</v>
      </c>
      <c r="E11147" s="44" t="n">
        <v>9603.0088</v>
      </c>
    </row>
    <row r="11148">
      <c r="A11148" s="39">
        <f>_xlfn.XLOOKUP(80167,Trip[shape_id],Trip[shape_id],"Não encontrado")</f>
        <v/>
      </c>
      <c r="B11148" s="40" t="n">
        <v>-23.55927</v>
      </c>
      <c r="C11148" s="40" t="n">
        <v>-46.600261</v>
      </c>
      <c r="D11148" s="40" t="n">
        <v>195</v>
      </c>
      <c r="E11148" s="41" t="n">
        <v>9630.106400000001</v>
      </c>
    </row>
    <row r="11149">
      <c r="A11149" s="42">
        <f>_xlfn.XLOOKUP(80167,Trip[shape_id],Trip[shape_id],"Não encontrado")</f>
        <v/>
      </c>
      <c r="B11149" s="43" t="n">
        <v>-23.559393</v>
      </c>
      <c r="C11149" s="43" t="n">
        <v>-46.600209</v>
      </c>
      <c r="D11149" s="43" t="n">
        <v>196</v>
      </c>
      <c r="E11149" s="44" t="n">
        <v>9684.309600000001</v>
      </c>
    </row>
    <row r="11150">
      <c r="A11150" s="39">
        <f>_xlfn.XLOOKUP(80167,Trip[shape_id],Trip[shape_id],"Não encontrado")</f>
        <v/>
      </c>
      <c r="B11150" s="40" t="n">
        <v>-23.559731</v>
      </c>
      <c r="C11150" s="40" t="n">
        <v>-46.600083</v>
      </c>
      <c r="D11150" s="40" t="n">
        <v>197</v>
      </c>
      <c r="E11150" s="41" t="n">
        <v>9730.8164</v>
      </c>
    </row>
    <row r="11151">
      <c r="A11151" s="42">
        <f>_xlfn.XLOOKUP(80167,Trip[shape_id],Trip[shape_id],"Não encontrado")</f>
        <v/>
      </c>
      <c r="B11151" s="43" t="n">
        <v>-23.560094</v>
      </c>
      <c r="C11151" s="43" t="n">
        <v>-46.599854</v>
      </c>
      <c r="D11151" s="43" t="n">
        <v>198</v>
      </c>
      <c r="E11151" s="44" t="n">
        <v>9735.489299999999</v>
      </c>
    </row>
    <row r="11152">
      <c r="A11152" s="39">
        <f>_xlfn.XLOOKUP(80167,Trip[shape_id],Trip[shape_id],"Não encontrado")</f>
        <v/>
      </c>
      <c r="B11152" s="40" t="n">
        <v>-23.560131</v>
      </c>
      <c r="C11152" s="40" t="n">
        <v>-46.599832</v>
      </c>
      <c r="D11152" s="40" t="n">
        <v>199</v>
      </c>
      <c r="E11152" s="41" t="n">
        <v>9764.0674</v>
      </c>
    </row>
    <row r="11153">
      <c r="A11153" s="42">
        <f>_xlfn.XLOOKUP(80167,Trip[shape_id],Trip[shape_id],"Não encontrado")</f>
        <v/>
      </c>
      <c r="B11153" s="43" t="n">
        <v>-23.560344</v>
      </c>
      <c r="C11153" s="43" t="n">
        <v>-46.599674</v>
      </c>
      <c r="D11153" s="43" t="n">
        <v>200</v>
      </c>
      <c r="E11153" s="44" t="n">
        <v>9764.0674</v>
      </c>
    </row>
    <row r="11154">
      <c r="A11154" s="39">
        <f>_xlfn.XLOOKUP(80167,Trip[shape_id],Trip[shape_id],"Não encontrado")</f>
        <v/>
      </c>
      <c r="B11154" s="40" t="n">
        <v>-23.561218</v>
      </c>
      <c r="C11154" s="40" t="n">
        <v>-46.599013</v>
      </c>
      <c r="D11154" s="40" t="n">
        <v>201</v>
      </c>
      <c r="E11154" s="41" t="n">
        <v>10009.509</v>
      </c>
    </row>
    <row r="11155">
      <c r="A11155" s="42">
        <f>_xlfn.XLOOKUP(80167,Trip[shape_id],Trip[shape_id],"Não encontrado")</f>
        <v/>
      </c>
      <c r="B11155" s="43" t="n">
        <v>-23.562158</v>
      </c>
      <c r="C11155" s="43" t="n">
        <v>-46.598293</v>
      </c>
      <c r="D11155" s="43" t="n">
        <v>202</v>
      </c>
      <c r="E11155" s="44" t="n">
        <v>10009.509</v>
      </c>
    </row>
    <row r="11156">
      <c r="A11156" s="39">
        <f>_xlfn.XLOOKUP(80167,Trip[shape_id],Trip[shape_id],"Não encontrado")</f>
        <v/>
      </c>
      <c r="B11156" s="40" t="n">
        <v>-23.562219</v>
      </c>
      <c r="C11156" s="40" t="n">
        <v>-46.598254</v>
      </c>
      <c r="D11156" s="40" t="n">
        <v>203</v>
      </c>
      <c r="E11156" s="41" t="n">
        <v>10017.351</v>
      </c>
    </row>
    <row r="11157">
      <c r="A11157" s="42">
        <f>_xlfn.XLOOKUP(80167,Trip[shape_id],Trip[shape_id],"Não encontrado")</f>
        <v/>
      </c>
      <c r="B11157" s="43" t="n">
        <v>-23.562317</v>
      </c>
      <c r="C11157" s="43" t="n">
        <v>-46.598139</v>
      </c>
      <c r="D11157" s="43" t="n">
        <v>204</v>
      </c>
      <c r="E11157" s="44" t="n">
        <v>10033.34</v>
      </c>
    </row>
    <row r="11158">
      <c r="A11158" s="39">
        <f>_xlfn.XLOOKUP(80167,Trip[shape_id],Trip[shape_id],"Não encontrado")</f>
        <v/>
      </c>
      <c r="B11158" s="40" t="n">
        <v>-23.562414</v>
      </c>
      <c r="C11158" s="40" t="n">
        <v>-46.598018</v>
      </c>
      <c r="D11158" s="40" t="n">
        <v>205</v>
      </c>
      <c r="E11158" s="41" t="n">
        <v>10049.711</v>
      </c>
    </row>
    <row r="11159">
      <c r="A11159" s="42">
        <f>_xlfn.XLOOKUP(80167,Trip[shape_id],Trip[shape_id],"Não encontrado")</f>
        <v/>
      </c>
      <c r="B11159" s="43" t="n">
        <v>-23.562476</v>
      </c>
      <c r="C11159" s="43" t="n">
        <v>-46.597939</v>
      </c>
      <c r="D11159" s="43" t="n">
        <v>206</v>
      </c>
      <c r="E11159" s="44" t="n">
        <v>10060.303</v>
      </c>
    </row>
    <row r="11160">
      <c r="A11160" s="39">
        <f>_xlfn.XLOOKUP(80167,Trip[shape_id],Trip[shape_id],"Não encontrado")</f>
        <v/>
      </c>
      <c r="B11160" s="40" t="n">
        <v>-23.562622</v>
      </c>
      <c r="C11160" s="40" t="n">
        <v>-46.597859</v>
      </c>
      <c r="D11160" s="40" t="n">
        <v>207</v>
      </c>
      <c r="E11160" s="41" t="n">
        <v>10078.418</v>
      </c>
    </row>
    <row r="11161">
      <c r="A11161" s="42">
        <f>_xlfn.XLOOKUP(80167,Trip[shape_id],Trip[shape_id],"Não encontrado")</f>
        <v/>
      </c>
      <c r="B11161" s="43" t="n">
        <v>-23.562909</v>
      </c>
      <c r="C11161" s="43" t="n">
        <v>-46.597734</v>
      </c>
      <c r="D11161" s="43" t="n">
        <v>208</v>
      </c>
      <c r="E11161" s="44" t="n">
        <v>10112.67</v>
      </c>
    </row>
    <row r="11162">
      <c r="A11162" s="39">
        <f>_xlfn.XLOOKUP(80167,Trip[shape_id],Trip[shape_id],"Não encontrado")</f>
        <v/>
      </c>
      <c r="B11162" s="40" t="n">
        <v>-23.563073</v>
      </c>
      <c r="C11162" s="40" t="n">
        <v>-46.597601</v>
      </c>
      <c r="D11162" s="40" t="n">
        <v>209</v>
      </c>
      <c r="E11162" s="41" t="n">
        <v>10155.436</v>
      </c>
    </row>
    <row r="11163">
      <c r="A11163" s="42">
        <f>_xlfn.XLOOKUP(80167,Trip[shape_id],Trip[shape_id],"Não encontrado")</f>
        <v/>
      </c>
      <c r="B11163" s="43" t="n">
        <v>-23.563224</v>
      </c>
      <c r="C11163" s="43" t="n">
        <v>-46.597492</v>
      </c>
      <c r="D11163" s="43" t="n">
        <v>210</v>
      </c>
      <c r="E11163" s="44" t="n">
        <v>10155.436</v>
      </c>
    </row>
    <row r="11164">
      <c r="A11164" s="39">
        <f>_xlfn.XLOOKUP(80167,Trip[shape_id],Trip[shape_id],"Não encontrado")</f>
        <v/>
      </c>
      <c r="B11164" s="40" t="n">
        <v>-23.563407</v>
      </c>
      <c r="C11164" s="40" t="n">
        <v>-46.597355</v>
      </c>
      <c r="D11164" s="40" t="n">
        <v>211</v>
      </c>
      <c r="E11164" s="41" t="n">
        <v>10195.437</v>
      </c>
    </row>
    <row r="11165">
      <c r="A11165" s="42">
        <f>_xlfn.XLOOKUP(80167,Trip[shape_id],Trip[shape_id],"Não encontrado")</f>
        <v/>
      </c>
      <c r="B11165" s="43" t="n">
        <v>-23.563519</v>
      </c>
      <c r="C11165" s="43" t="n">
        <v>-46.597266</v>
      </c>
      <c r="D11165" s="43" t="n">
        <v>212</v>
      </c>
      <c r="E11165" s="44" t="n">
        <v>10223.564</v>
      </c>
    </row>
    <row r="11166">
      <c r="A11166" s="39">
        <f>_xlfn.XLOOKUP(80167,Trip[shape_id],Trip[shape_id],"Não encontrado")</f>
        <v/>
      </c>
      <c r="B11166" s="40" t="n">
        <v>-23.563721</v>
      </c>
      <c r="C11166" s="40" t="n">
        <v>-46.597099</v>
      </c>
      <c r="D11166" s="40" t="n">
        <v>213</v>
      </c>
      <c r="E11166" s="41" t="n">
        <v>10254.213</v>
      </c>
    </row>
    <row r="11167">
      <c r="A11167" s="42">
        <f>_xlfn.XLOOKUP(80167,Trip[shape_id],Trip[shape_id],"Não encontrado")</f>
        <v/>
      </c>
      <c r="B11167" s="43" t="n">
        <v>-23.563936</v>
      </c>
      <c r="C11167" s="43" t="n">
        <v>-46.59691</v>
      </c>
      <c r="D11167" s="43" t="n">
        <v>214</v>
      </c>
      <c r="E11167" s="44" t="n">
        <v>10307.781</v>
      </c>
    </row>
    <row r="11168">
      <c r="A11168" s="39">
        <f>_xlfn.XLOOKUP(80167,Trip[shape_id],Trip[shape_id],"Não encontrado")</f>
        <v/>
      </c>
      <c r="B11168" s="40" t="n">
        <v>-23.564298</v>
      </c>
      <c r="C11168" s="40" t="n">
        <v>-46.596562</v>
      </c>
      <c r="D11168" s="40" t="n">
        <v>215</v>
      </c>
      <c r="E11168" s="41" t="n">
        <v>10307.781</v>
      </c>
    </row>
    <row r="11169">
      <c r="A11169" s="42">
        <f>_xlfn.XLOOKUP(80167,Trip[shape_id],Trip[shape_id],"Não encontrado")</f>
        <v/>
      </c>
      <c r="B11169" s="43" t="n">
        <v>-23.564338</v>
      </c>
      <c r="C11169" s="43" t="n">
        <v>-46.59652</v>
      </c>
      <c r="D11169" s="43" t="n">
        <v>216</v>
      </c>
      <c r="E11169" s="44" t="n">
        <v>10380.833</v>
      </c>
    </row>
    <row r="11170">
      <c r="A11170" s="39">
        <f>_xlfn.XLOOKUP(80167,Trip[shape_id],Trip[shape_id],"Não encontrado")</f>
        <v/>
      </c>
      <c r="B11170" s="40" t="n">
        <v>-23.564752</v>
      </c>
      <c r="C11170" s="40" t="n">
        <v>-46.596043</v>
      </c>
      <c r="D11170" s="40" t="n">
        <v>217</v>
      </c>
      <c r="E11170" s="41" t="n">
        <v>10390.141</v>
      </c>
    </row>
    <row r="11171">
      <c r="A11171" s="42">
        <f>_xlfn.XLOOKUP(80167,Trip[shape_id],Trip[shape_id],"Não encontrado")</f>
        <v/>
      </c>
      <c r="B11171" s="43" t="n">
        <v>-23.564809</v>
      </c>
      <c r="C11171" s="43" t="n">
        <v>-46.595976</v>
      </c>
      <c r="D11171" s="43" t="n">
        <v>218</v>
      </c>
      <c r="E11171" s="44" t="n">
        <v>10434.047</v>
      </c>
    </row>
    <row r="11172">
      <c r="A11172" s="39">
        <f>_xlfn.XLOOKUP(80167,Trip[shape_id],Trip[shape_id],"Não encontrado")</f>
        <v/>
      </c>
      <c r="B11172" s="40" t="n">
        <v>-23.565061</v>
      </c>
      <c r="C11172" s="40" t="n">
        <v>-46.595644</v>
      </c>
      <c r="D11172" s="40" t="n">
        <v>219</v>
      </c>
      <c r="E11172" s="41" t="n">
        <v>10499.418</v>
      </c>
    </row>
    <row r="11173">
      <c r="A11173" s="42">
        <f>_xlfn.XLOOKUP(80167,Trip[shape_id],Trip[shape_id],"Não encontrado")</f>
        <v/>
      </c>
      <c r="B11173" s="43" t="n">
        <v>-23.565413</v>
      </c>
      <c r="C11173" s="43" t="n">
        <v>-46.59513</v>
      </c>
      <c r="D11173" s="43" t="n">
        <v>220</v>
      </c>
      <c r="E11173" s="44" t="n">
        <v>10499.418</v>
      </c>
    </row>
    <row r="11174">
      <c r="A11174" s="39">
        <f>_xlfn.XLOOKUP(80167,Trip[shape_id],Trip[shape_id],"Não encontrado")</f>
        <v/>
      </c>
      <c r="B11174" s="40" t="n">
        <v>-23.565459</v>
      </c>
      <c r="C11174" s="40" t="n">
        <v>-46.594957</v>
      </c>
      <c r="D11174" s="40" t="n">
        <v>221</v>
      </c>
      <c r="E11174" s="41" t="n">
        <v>10517.8</v>
      </c>
    </row>
    <row r="11175">
      <c r="A11175" s="42">
        <f>_xlfn.XLOOKUP(80167,Trip[shape_id],Trip[shape_id],"Não encontrado")</f>
        <v/>
      </c>
      <c r="B11175" s="43" t="n">
        <v>-23.565521</v>
      </c>
      <c r="C11175" s="43" t="n">
        <v>-46.594783</v>
      </c>
      <c r="D11175" s="43" t="n">
        <v>222</v>
      </c>
      <c r="E11175" s="44" t="n">
        <v>10536.845</v>
      </c>
    </row>
    <row r="11176">
      <c r="A11176" s="39">
        <f>_xlfn.XLOOKUP(80167,Trip[shape_id],Trip[shape_id],"Não encontrado")</f>
        <v/>
      </c>
      <c r="B11176" s="40" t="n">
        <v>-23.565518</v>
      </c>
      <c r="C11176" s="40" t="n">
        <v>-46.594734</v>
      </c>
      <c r="D11176" s="40" t="n">
        <v>223</v>
      </c>
      <c r="E11176" s="41" t="n">
        <v>10541.857</v>
      </c>
    </row>
    <row r="11177">
      <c r="A11177" s="42">
        <f>_xlfn.XLOOKUP(80167,Trip[shape_id],Trip[shape_id],"Não encontrado")</f>
        <v/>
      </c>
      <c r="B11177" s="43" t="n">
        <v>-23.565566</v>
      </c>
      <c r="C11177" s="43" t="n">
        <v>-46.594708</v>
      </c>
      <c r="D11177" s="43" t="n">
        <v>224</v>
      </c>
      <c r="E11177" s="44" t="n">
        <v>10547.799</v>
      </c>
    </row>
    <row r="11178">
      <c r="A11178" s="39">
        <f>_xlfn.XLOOKUP(80167,Trip[shape_id],Trip[shape_id],"Não encontrado")</f>
        <v/>
      </c>
      <c r="B11178" s="40" t="n">
        <v>-23.565611</v>
      </c>
      <c r="C11178" s="40" t="n">
        <v>-46.594629</v>
      </c>
      <c r="D11178" s="40" t="n">
        <v>225</v>
      </c>
      <c r="E11178" s="41" t="n">
        <v>10557.279</v>
      </c>
    </row>
    <row r="11179">
      <c r="A11179" s="42">
        <f>_xlfn.XLOOKUP(80167,Trip[shape_id],Trip[shape_id],"Não encontrado")</f>
        <v/>
      </c>
      <c r="B11179" s="43" t="n">
        <v>-23.565658</v>
      </c>
      <c r="C11179" s="43" t="n">
        <v>-46.594571</v>
      </c>
      <c r="D11179" s="43" t="n">
        <v>226</v>
      </c>
      <c r="E11179" s="44" t="n">
        <v>10565.163</v>
      </c>
    </row>
    <row r="11180">
      <c r="A11180" s="39">
        <f>_xlfn.XLOOKUP(80167,Trip[shape_id],Trip[shape_id],"Não encontrado")</f>
        <v/>
      </c>
      <c r="B11180" s="40" t="n">
        <v>-23.565756</v>
      </c>
      <c r="C11180" s="40" t="n">
        <v>-46.59443</v>
      </c>
      <c r="D11180" s="40" t="n">
        <v>227</v>
      </c>
      <c r="E11180" s="41" t="n">
        <v>10583.191</v>
      </c>
    </row>
    <row r="11181">
      <c r="A11181" s="42">
        <f>_xlfn.XLOOKUP(80167,Trip[shape_id],Trip[shape_id],"Não encontrado")</f>
        <v/>
      </c>
      <c r="B11181" s="43" t="n">
        <v>-23.56588</v>
      </c>
      <c r="C11181" s="43" t="n">
        <v>-46.59427</v>
      </c>
      <c r="D11181" s="43" t="n">
        <v>228</v>
      </c>
      <c r="E11181" s="44" t="n">
        <v>10604.532</v>
      </c>
    </row>
    <row r="11182">
      <c r="A11182" s="39">
        <f>_xlfn.XLOOKUP(80167,Trip[shape_id],Trip[shape_id],"Não encontrado")</f>
        <v/>
      </c>
      <c r="B11182" s="40" t="n">
        <v>-23.566181</v>
      </c>
      <c r="C11182" s="40" t="n">
        <v>-46.593694</v>
      </c>
      <c r="D11182" s="40" t="n">
        <v>229</v>
      </c>
      <c r="E11182" s="41" t="n">
        <v>10719.321</v>
      </c>
    </row>
    <row r="11183">
      <c r="A11183" s="42">
        <f>_xlfn.XLOOKUP(80167,Trip[shape_id],Trip[shape_id],"Não encontrado")</f>
        <v/>
      </c>
      <c r="B11183" s="43" t="n">
        <v>-23.566393</v>
      </c>
      <c r="C11183" s="43" t="n">
        <v>-46.593293</v>
      </c>
      <c r="D11183" s="43" t="n">
        <v>230</v>
      </c>
      <c r="E11183" s="44" t="n">
        <v>10719.321</v>
      </c>
    </row>
    <row r="11184">
      <c r="A11184" s="39">
        <f>_xlfn.XLOOKUP(80167,Trip[shape_id],Trip[shape_id],"Não encontrado")</f>
        <v/>
      </c>
      <c r="B11184" s="40" t="n">
        <v>-23.566468</v>
      </c>
      <c r="C11184" s="40" t="n">
        <v>-46.59316</v>
      </c>
      <c r="D11184" s="40" t="n">
        <v>231</v>
      </c>
      <c r="E11184" s="41" t="n">
        <v>10735.238</v>
      </c>
    </row>
    <row r="11185">
      <c r="A11185" s="42">
        <f>_xlfn.XLOOKUP(80167,Trip[shape_id],Trip[shape_id],"Não encontrado")</f>
        <v/>
      </c>
      <c r="B11185" s="43" t="n">
        <v>-23.567001</v>
      </c>
      <c r="C11185" s="43" t="n">
        <v>-46.592122</v>
      </c>
      <c r="D11185" s="43" t="n">
        <v>232</v>
      </c>
      <c r="E11185" s="44" t="n">
        <v>10975.197</v>
      </c>
    </row>
    <row r="11186">
      <c r="A11186" s="39">
        <f>_xlfn.XLOOKUP(80167,Trip[shape_id],Trip[shape_id],"Não encontrado")</f>
        <v/>
      </c>
      <c r="B11186" s="40" t="n">
        <v>-23.567536</v>
      </c>
      <c r="C11186" s="40" t="n">
        <v>-46.591115</v>
      </c>
      <c r="D11186" s="40" t="n">
        <v>233</v>
      </c>
      <c r="E11186" s="41" t="n">
        <v>10975.197</v>
      </c>
    </row>
    <row r="11187">
      <c r="A11187" s="42">
        <f>_xlfn.XLOOKUP(80167,Trip[shape_id],Trip[shape_id],"Não encontrado")</f>
        <v/>
      </c>
      <c r="B11187" s="43" t="n">
        <v>-23.567543</v>
      </c>
      <c r="C11187" s="43" t="n">
        <v>-46.591105</v>
      </c>
      <c r="D11187" s="43" t="n">
        <v>234</v>
      </c>
      <c r="E11187" s="44" t="n">
        <v>10976.479</v>
      </c>
    </row>
    <row r="11188">
      <c r="A11188" s="39">
        <f>_xlfn.XLOOKUP(80167,Trip[shape_id],Trip[shape_id],"Não encontrado")</f>
        <v/>
      </c>
      <c r="B11188" s="40" t="n">
        <v>-23.567547</v>
      </c>
      <c r="C11188" s="40" t="n">
        <v>-46.591006</v>
      </c>
      <c r="D11188" s="40" t="n">
        <v>235</v>
      </c>
      <c r="E11188" s="41" t="n">
        <v>10986.595</v>
      </c>
    </row>
    <row r="11189">
      <c r="A11189" s="42">
        <f>_xlfn.XLOOKUP(80167,Trip[shape_id],Trip[shape_id],"Não encontrado")</f>
        <v/>
      </c>
      <c r="B11189" s="43" t="n">
        <v>-23.567618</v>
      </c>
      <c r="C11189" s="43" t="n">
        <v>-46.590798</v>
      </c>
      <c r="D11189" s="43" t="n">
        <v>236</v>
      </c>
      <c r="E11189" s="44" t="n">
        <v>11009.238</v>
      </c>
    </row>
    <row r="11190">
      <c r="A11190" s="39">
        <f>_xlfn.XLOOKUP(80167,Trip[shape_id],Trip[shape_id],"Não encontrado")</f>
        <v/>
      </c>
      <c r="B11190" s="40" t="n">
        <v>-23.567637</v>
      </c>
      <c r="C11190" s="40" t="n">
        <v>-46.590753</v>
      </c>
      <c r="D11190" s="40" t="n">
        <v>237</v>
      </c>
      <c r="E11190" s="41" t="n">
        <v>11014.292</v>
      </c>
    </row>
    <row r="11191">
      <c r="A11191" s="42">
        <f>_xlfn.XLOOKUP(80167,Trip[shape_id],Trip[shape_id],"Não encontrado")</f>
        <v/>
      </c>
      <c r="B11191" s="43" t="n">
        <v>-23.567643</v>
      </c>
      <c r="C11191" s="43" t="n">
        <v>-46.590687</v>
      </c>
      <c r="D11191" s="43" t="n">
        <v>238</v>
      </c>
      <c r="E11191" s="44" t="n">
        <v>11021.063</v>
      </c>
    </row>
    <row r="11192">
      <c r="A11192" s="39">
        <f>_xlfn.XLOOKUP(80167,Trip[shape_id],Trip[shape_id],"Não encontrado")</f>
        <v/>
      </c>
      <c r="B11192" s="40" t="n">
        <v>-23.567651</v>
      </c>
      <c r="C11192" s="40" t="n">
        <v>-46.590674</v>
      </c>
      <c r="D11192" s="40" t="n">
        <v>239</v>
      </c>
      <c r="E11192" s="41" t="n">
        <v>11022.658</v>
      </c>
    </row>
    <row r="11193">
      <c r="A11193" s="42">
        <f>_xlfn.XLOOKUP(80167,Trip[shape_id],Trip[shape_id],"Não encontrado")</f>
        <v/>
      </c>
      <c r="B11193" s="43" t="n">
        <v>-23.567689</v>
      </c>
      <c r="C11193" s="43" t="n">
        <v>-46.590646</v>
      </c>
      <c r="D11193" s="43" t="n">
        <v>240</v>
      </c>
      <c r="E11193" s="44" t="n">
        <v>11027.745</v>
      </c>
    </row>
    <row r="11194">
      <c r="A11194" s="39">
        <f>_xlfn.XLOOKUP(80167,Trip[shape_id],Trip[shape_id],"Não encontrado")</f>
        <v/>
      </c>
      <c r="B11194" s="40" t="n">
        <v>-23.56771</v>
      </c>
      <c r="C11194" s="40" t="n">
        <v>-46.590611</v>
      </c>
      <c r="D11194" s="40" t="n">
        <v>241</v>
      </c>
      <c r="E11194" s="41" t="n">
        <v>11032.009</v>
      </c>
    </row>
    <row r="11195">
      <c r="A11195" s="42">
        <f>_xlfn.XLOOKUP(80167,Trip[shape_id],Trip[shape_id],"Não encontrado")</f>
        <v/>
      </c>
      <c r="B11195" s="43" t="n">
        <v>-23.567738</v>
      </c>
      <c r="C11195" s="43" t="n">
        <v>-46.590562</v>
      </c>
      <c r="D11195" s="43" t="n">
        <v>242</v>
      </c>
      <c r="E11195" s="44" t="n">
        <v>11037.894</v>
      </c>
    </row>
    <row r="11196">
      <c r="A11196" s="39">
        <f>_xlfn.XLOOKUP(80167,Trip[shape_id],Trip[shape_id],"Não encontrado")</f>
        <v/>
      </c>
      <c r="B11196" s="40" t="n">
        <v>-23.567874</v>
      </c>
      <c r="C11196" s="40" t="n">
        <v>-46.590373</v>
      </c>
      <c r="D11196" s="40" t="n">
        <v>243</v>
      </c>
      <c r="E11196" s="41" t="n">
        <v>11062.371</v>
      </c>
    </row>
    <row r="11197">
      <c r="A11197" s="42">
        <f>_xlfn.XLOOKUP(80167,Trip[shape_id],Trip[shape_id],"Não encontrado")</f>
        <v/>
      </c>
      <c r="B11197" s="43" t="n">
        <v>-23.568032</v>
      </c>
      <c r="C11197" s="43" t="n">
        <v>-46.590149</v>
      </c>
      <c r="D11197" s="43" t="n">
        <v>244</v>
      </c>
      <c r="E11197" s="44" t="n">
        <v>11091.166</v>
      </c>
    </row>
    <row r="11198">
      <c r="A11198" s="39">
        <f>_xlfn.XLOOKUP(80167,Trip[shape_id],Trip[shape_id],"Não encontrado")</f>
        <v/>
      </c>
      <c r="B11198" s="40" t="n">
        <v>-23.568508</v>
      </c>
      <c r="C11198" s="40" t="n">
        <v>-46.589206</v>
      </c>
      <c r="D11198" s="40" t="n">
        <v>245</v>
      </c>
      <c r="E11198" s="41" t="n">
        <v>11200.925</v>
      </c>
    </row>
    <row r="11199">
      <c r="A11199" s="42">
        <f>_xlfn.XLOOKUP(80167,Trip[shape_id],Trip[shape_id],"Não encontrado")</f>
        <v/>
      </c>
      <c r="B11199" s="43" t="n">
        <v>-23.568735</v>
      </c>
      <c r="C11199" s="43" t="n">
        <v>-46.58878</v>
      </c>
      <c r="D11199" s="43" t="n">
        <v>246</v>
      </c>
      <c r="E11199" s="44" t="n">
        <v>11267.219</v>
      </c>
    </row>
    <row r="11200">
      <c r="A11200" s="39">
        <f>_xlfn.XLOOKUP(80167,Trip[shape_id],Trip[shape_id],"Não encontrado")</f>
        <v/>
      </c>
      <c r="B11200" s="40" t="n">
        <v>-23.568818</v>
      </c>
      <c r="C11200" s="40" t="n">
        <v>-46.588651</v>
      </c>
      <c r="D11200" s="40" t="n">
        <v>247</v>
      </c>
      <c r="E11200" s="41" t="n">
        <v>11287.499</v>
      </c>
    </row>
    <row r="11201">
      <c r="A11201" s="42">
        <f>_xlfn.XLOOKUP(80167,Trip[shape_id],Trip[shape_id],"Não encontrado")</f>
        <v/>
      </c>
      <c r="B11201" s="43" t="n">
        <v>-23.568929</v>
      </c>
      <c r="C11201" s="43" t="n">
        <v>-46.588493</v>
      </c>
      <c r="D11201" s="43" t="n">
        <v>248</v>
      </c>
      <c r="E11201" s="44" t="n">
        <v>11305.975</v>
      </c>
    </row>
    <row r="11202">
      <c r="A11202" s="39">
        <f>_xlfn.XLOOKUP(80167,Trip[shape_id],Trip[shape_id],"Não encontrado")</f>
        <v/>
      </c>
      <c r="B11202" s="40" t="n">
        <v>-23.569038</v>
      </c>
      <c r="C11202" s="40" t="n">
        <v>-46.588356</v>
      </c>
      <c r="D11202" s="40" t="n">
        <v>249</v>
      </c>
      <c r="E11202" s="41" t="n">
        <v>11320.706</v>
      </c>
    </row>
    <row r="11203">
      <c r="A11203" s="42">
        <f>_xlfn.XLOOKUP(80167,Trip[shape_id],Trip[shape_id],"Não encontrado")</f>
        <v/>
      </c>
      <c r="B11203" s="43" t="n">
        <v>-23.569133</v>
      </c>
      <c r="C11203" s="43" t="n">
        <v>-46.588255</v>
      </c>
      <c r="D11203" s="43" t="n">
        <v>250</v>
      </c>
      <c r="E11203" s="44" t="n">
        <v>11344.503</v>
      </c>
    </row>
    <row r="11204">
      <c r="A11204" s="39">
        <f>_xlfn.XLOOKUP(80167,Trip[shape_id],Trip[shape_id],"Não encontrado")</f>
        <v/>
      </c>
      <c r="B11204" s="40" t="n">
        <v>-23.569299</v>
      </c>
      <c r="C11204" s="40" t="n">
        <v>-46.588107</v>
      </c>
      <c r="D11204" s="40" t="n">
        <v>251</v>
      </c>
      <c r="E11204" s="41" t="n">
        <v>11352.82</v>
      </c>
    </row>
    <row r="11205">
      <c r="A11205" s="42">
        <f>_xlfn.XLOOKUP(80167,Trip[shape_id],Trip[shape_id],"Não encontrado")</f>
        <v/>
      </c>
      <c r="B11205" s="43" t="n">
        <v>-23.569359</v>
      </c>
      <c r="C11205" s="43" t="n">
        <v>-46.588058</v>
      </c>
      <c r="D11205" s="43" t="n">
        <v>252</v>
      </c>
      <c r="E11205" s="44" t="n">
        <v>11369.458</v>
      </c>
    </row>
    <row r="11206">
      <c r="A11206" s="39">
        <f>_xlfn.XLOOKUP(80167,Trip[shape_id],Trip[shape_id],"Não encontrado")</f>
        <v/>
      </c>
      <c r="B11206" s="40" t="n">
        <v>-23.569483</v>
      </c>
      <c r="C11206" s="40" t="n">
        <v>-46.587966</v>
      </c>
      <c r="D11206" s="40" t="n">
        <v>253</v>
      </c>
      <c r="E11206" s="41" t="n">
        <v>11390.35</v>
      </c>
    </row>
    <row r="11207">
      <c r="A11207" s="42">
        <f>_xlfn.XLOOKUP(80167,Trip[shape_id],Trip[shape_id],"Não encontrado")</f>
        <v/>
      </c>
      <c r="B11207" s="43" t="n">
        <v>-23.569646</v>
      </c>
      <c r="C11207" s="43" t="n">
        <v>-46.587863</v>
      </c>
      <c r="D11207" s="43" t="n">
        <v>254</v>
      </c>
      <c r="E11207" s="44" t="n">
        <v>11396.97</v>
      </c>
    </row>
    <row r="11208">
      <c r="A11208" s="39">
        <f>_xlfn.XLOOKUP(80167,Trip[shape_id],Trip[shape_id],"Não encontrado")</f>
        <v/>
      </c>
      <c r="B11208" s="40" t="n">
        <v>-23.569699</v>
      </c>
      <c r="C11208" s="40" t="n">
        <v>-46.587833</v>
      </c>
      <c r="D11208" s="40" t="n">
        <v>255</v>
      </c>
      <c r="E11208" s="41" t="n">
        <v>11396.97</v>
      </c>
    </row>
    <row r="11209">
      <c r="A11209" s="42">
        <f>_xlfn.XLOOKUP(80167,Trip[shape_id],Trip[shape_id],"Não encontrado")</f>
        <v/>
      </c>
      <c r="B11209" s="43" t="n">
        <v>-23.569809</v>
      </c>
      <c r="C11209" s="43" t="n">
        <v>-46.587754</v>
      </c>
      <c r="D11209" s="43" t="n">
        <v>256</v>
      </c>
      <c r="E11209" s="44" t="n">
        <v>11411.58</v>
      </c>
    </row>
    <row r="11210">
      <c r="A11210" s="39">
        <f>_xlfn.XLOOKUP(80167,Trip[shape_id],Trip[shape_id],"Não encontrado")</f>
        <v/>
      </c>
      <c r="B11210" s="40" t="n">
        <v>-23.569899</v>
      </c>
      <c r="C11210" s="40" t="n">
        <v>-46.587689</v>
      </c>
      <c r="D11210" s="40" t="n">
        <v>257</v>
      </c>
      <c r="E11210" s="41" t="n">
        <v>11423.555</v>
      </c>
    </row>
    <row r="11211">
      <c r="A11211" s="42">
        <f>_xlfn.XLOOKUP(80167,Trip[shape_id],Trip[shape_id],"Não encontrado")</f>
        <v/>
      </c>
      <c r="B11211" s="43" t="n">
        <v>-23.569956</v>
      </c>
      <c r="C11211" s="43" t="n">
        <v>-46.587653</v>
      </c>
      <c r="D11211" s="43" t="n">
        <v>258</v>
      </c>
      <c r="E11211" s="44" t="n">
        <v>11430.859</v>
      </c>
    </row>
    <row r="11212">
      <c r="A11212" s="39">
        <f>_xlfn.XLOOKUP(80167,Trip[shape_id],Trip[shape_id],"Não encontrado")</f>
        <v/>
      </c>
      <c r="B11212" s="40" t="n">
        <v>-23.570062</v>
      </c>
      <c r="C11212" s="40" t="n">
        <v>-46.587575</v>
      </c>
      <c r="D11212" s="40" t="n">
        <v>259</v>
      </c>
      <c r="E11212" s="41" t="n">
        <v>11445.045</v>
      </c>
    </row>
    <row r="11213">
      <c r="A11213" s="42">
        <f>_xlfn.XLOOKUP(80167,Trip[shape_id],Trip[shape_id],"Não encontrado")</f>
        <v/>
      </c>
      <c r="B11213" s="43" t="n">
        <v>-23.570115</v>
      </c>
      <c r="C11213" s="43" t="n">
        <v>-46.58756</v>
      </c>
      <c r="D11213" s="43" t="n">
        <v>260</v>
      </c>
      <c r="E11213" s="44" t="n">
        <v>11451.111</v>
      </c>
    </row>
    <row r="11214">
      <c r="A11214" s="39">
        <f>_xlfn.XLOOKUP(80167,Trip[shape_id],Trip[shape_id],"Não encontrado")</f>
        <v/>
      </c>
      <c r="B11214" s="40" t="n">
        <v>-23.570214</v>
      </c>
      <c r="C11214" s="40" t="n">
        <v>-46.587557</v>
      </c>
      <c r="D11214" s="40" t="n">
        <v>261</v>
      </c>
      <c r="E11214" s="41" t="n">
        <v>11462.08</v>
      </c>
    </row>
    <row r="11215">
      <c r="A11215" s="42">
        <f>_xlfn.XLOOKUP(80167,Trip[shape_id],Trip[shape_id],"Não encontrado")</f>
        <v/>
      </c>
      <c r="B11215" s="43" t="n">
        <v>-23.570263</v>
      </c>
      <c r="C11215" s="43" t="n">
        <v>-46.587556</v>
      </c>
      <c r="D11215" s="43" t="n">
        <v>262</v>
      </c>
      <c r="E11215" s="44" t="n">
        <v>11467.508</v>
      </c>
    </row>
    <row r="11216">
      <c r="A11216" s="39">
        <f>_xlfn.XLOOKUP(80167,Trip[shape_id],Trip[shape_id],"Não encontrado")</f>
        <v/>
      </c>
      <c r="B11216" s="40" t="n">
        <v>-23.570327</v>
      </c>
      <c r="C11216" s="40" t="n">
        <v>-46.587571</v>
      </c>
      <c r="D11216" s="40" t="n">
        <v>263</v>
      </c>
      <c r="E11216" s="41" t="n">
        <v>11474.76</v>
      </c>
    </row>
    <row r="11217">
      <c r="A11217" s="42">
        <f>_xlfn.XLOOKUP(80167,Trip[shape_id],Trip[shape_id],"Não encontrado")</f>
        <v/>
      </c>
      <c r="B11217" s="43" t="n">
        <v>-23.570448</v>
      </c>
      <c r="C11217" s="43" t="n">
        <v>-46.587586</v>
      </c>
      <c r="D11217" s="43" t="n">
        <v>264</v>
      </c>
      <c r="E11217" s="44" t="n">
        <v>11488.248</v>
      </c>
    </row>
    <row r="11218">
      <c r="A11218" s="39">
        <f>_xlfn.XLOOKUP(80167,Trip[shape_id],Trip[shape_id],"Não encontrado")</f>
        <v/>
      </c>
      <c r="B11218" s="40" t="n">
        <v>-23.570555</v>
      </c>
      <c r="C11218" s="40" t="n">
        <v>-46.587571</v>
      </c>
      <c r="D11218" s="40" t="n">
        <v>265</v>
      </c>
      <c r="E11218" s="41" t="n">
        <v>11500.197</v>
      </c>
    </row>
    <row r="11219">
      <c r="A11219" s="42">
        <f>_xlfn.XLOOKUP(80167,Trip[shape_id],Trip[shape_id],"Não encontrado")</f>
        <v/>
      </c>
      <c r="B11219" s="43" t="n">
        <v>-23.570663</v>
      </c>
      <c r="C11219" s="43" t="n">
        <v>-46.587555</v>
      </c>
      <c r="D11219" s="43" t="n">
        <v>266</v>
      </c>
      <c r="E11219" s="44" t="n">
        <v>11529.665</v>
      </c>
    </row>
    <row r="11220">
      <c r="A11220" s="39">
        <f>_xlfn.XLOOKUP(80167,Trip[shape_id],Trip[shape_id],"Não encontrado")</f>
        <v/>
      </c>
      <c r="B11220" s="40" t="n">
        <v>-23.57082</v>
      </c>
      <c r="C11220" s="40" t="n">
        <v>-46.58755</v>
      </c>
      <c r="D11220" s="40" t="n">
        <v>267</v>
      </c>
      <c r="E11220" s="41" t="n">
        <v>11573.309</v>
      </c>
    </row>
    <row r="11221">
      <c r="A11221" s="42">
        <f>_xlfn.XLOOKUP(80167,Trip[shape_id],Trip[shape_id],"Não encontrado")</f>
        <v/>
      </c>
      <c r="B11221" s="43" t="n">
        <v>-23.571214</v>
      </c>
      <c r="C11221" s="43" t="n">
        <v>-46.587558</v>
      </c>
      <c r="D11221" s="43" t="n">
        <v>268</v>
      </c>
      <c r="E11221" s="44" t="n">
        <v>11644.47</v>
      </c>
    </row>
    <row r="11222">
      <c r="A11222" s="39">
        <f>_xlfn.XLOOKUP(80167,Trip[shape_id],Trip[shape_id],"Não encontrado")</f>
        <v/>
      </c>
      <c r="B11222" s="40" t="n">
        <v>-23.571855</v>
      </c>
      <c r="C11222" s="40" t="n">
        <v>-46.587606</v>
      </c>
      <c r="D11222" s="40" t="n">
        <v>269</v>
      </c>
      <c r="E11222" s="41" t="n">
        <v>11670.061</v>
      </c>
    </row>
    <row r="11223">
      <c r="A11223" s="42">
        <f>_xlfn.XLOOKUP(80167,Trip[shape_id],Trip[shape_id],"Não encontrado")</f>
        <v/>
      </c>
      <c r="B11223" s="43" t="n">
        <v>-23.572086</v>
      </c>
      <c r="C11223" s="43" t="n">
        <v>-46.587612</v>
      </c>
      <c r="D11223" s="43" t="n">
        <v>270</v>
      </c>
      <c r="E11223" s="44" t="n">
        <v>11722.886</v>
      </c>
    </row>
    <row r="11224">
      <c r="A11224" s="39">
        <f>_xlfn.XLOOKUP(80167,Trip[shape_id],Trip[shape_id],"Não encontrado")</f>
        <v/>
      </c>
      <c r="B11224" s="40" t="n">
        <v>-23.572562</v>
      </c>
      <c r="C11224" s="40" t="n">
        <v>-46.587645</v>
      </c>
      <c r="D11224" s="40" t="n">
        <v>271</v>
      </c>
      <c r="E11224" s="41" t="n">
        <v>11738.502</v>
      </c>
    </row>
    <row r="11225">
      <c r="A11225" s="42">
        <f>_xlfn.XLOOKUP(80167,Trip[shape_id],Trip[shape_id],"Não encontrado")</f>
        <v/>
      </c>
      <c r="B11225" s="43" t="n">
        <v>-23.572703</v>
      </c>
      <c r="C11225" s="43" t="n">
        <v>-46.587645</v>
      </c>
      <c r="D11225" s="43" t="n">
        <v>272</v>
      </c>
      <c r="E11225" s="44" t="n">
        <v>11759.354</v>
      </c>
    </row>
    <row r="11226">
      <c r="A11226" s="39">
        <f>_xlfn.XLOOKUP(80167,Trip[shape_id],Trip[shape_id],"Não encontrado")</f>
        <v/>
      </c>
      <c r="B11226" s="40" t="n">
        <v>-23.572891</v>
      </c>
      <c r="C11226" s="40" t="n">
        <v>-46.587656</v>
      </c>
      <c r="D11226" s="40" t="n">
        <v>273</v>
      </c>
      <c r="E11226" s="41" t="n">
        <v>11771.315</v>
      </c>
    </row>
    <row r="11227">
      <c r="A11227" s="42">
        <f>_xlfn.XLOOKUP(80167,Trip[shape_id],Trip[shape_id],"Não encontrado")</f>
        <v/>
      </c>
      <c r="B11227" s="43" t="n">
        <v>-23.572999</v>
      </c>
      <c r="C11227" s="43" t="n">
        <v>-46.587655</v>
      </c>
      <c r="D11227" s="43" t="n">
        <v>274</v>
      </c>
      <c r="E11227" s="44" t="n">
        <v>11771.315</v>
      </c>
    </row>
    <row r="11228">
      <c r="A11228" s="39">
        <f>_xlfn.XLOOKUP(80167,Trip[shape_id],Trip[shape_id],"Não encontrado")</f>
        <v/>
      </c>
      <c r="B11228" s="40" t="n">
        <v>-23.573107</v>
      </c>
      <c r="C11228" s="40" t="n">
        <v>-46.587606</v>
      </c>
      <c r="D11228" s="40" t="n">
        <v>275</v>
      </c>
      <c r="E11228" s="41" t="n">
        <v>11784.28</v>
      </c>
    </row>
    <row r="11229">
      <c r="A11229" s="42">
        <f>_xlfn.XLOOKUP(80167,Trip[shape_id],Trip[shape_id],"Não encontrado")</f>
        <v/>
      </c>
      <c r="B11229" s="43" t="n">
        <v>-23.573193</v>
      </c>
      <c r="C11229" s="43" t="n">
        <v>-46.58757</v>
      </c>
      <c r="D11229" s="43" t="n">
        <v>276</v>
      </c>
      <c r="E11229" s="44" t="n">
        <v>11794.489</v>
      </c>
    </row>
    <row r="11230">
      <c r="A11230" s="39">
        <f>_xlfn.XLOOKUP(80167,Trip[shape_id],Trip[shape_id],"Não encontrado")</f>
        <v/>
      </c>
      <c r="B11230" s="40" t="n">
        <v>-23.573274</v>
      </c>
      <c r="C11230" s="40" t="n">
        <v>-46.587547</v>
      </c>
      <c r="D11230" s="40" t="n">
        <v>277</v>
      </c>
      <c r="E11230" s="41" t="n">
        <v>11803.763</v>
      </c>
    </row>
    <row r="11231">
      <c r="A11231" s="42">
        <f>_xlfn.XLOOKUP(80167,Trip[shape_id],Trip[shape_id],"Não encontrado")</f>
        <v/>
      </c>
      <c r="B11231" s="43" t="n">
        <v>-23.57335</v>
      </c>
      <c r="C11231" s="43" t="n">
        <v>-46.587539</v>
      </c>
      <c r="D11231" s="43" t="n">
        <v>278</v>
      </c>
      <c r="E11231" s="44" t="n">
        <v>11812.22</v>
      </c>
    </row>
    <row r="11232">
      <c r="A11232" s="39">
        <f>_xlfn.XLOOKUP(80167,Trip[shape_id],Trip[shape_id],"Não encontrado")</f>
        <v/>
      </c>
      <c r="B11232" s="40" t="n">
        <v>-23.573405</v>
      </c>
      <c r="C11232" s="40" t="n">
        <v>-46.587483</v>
      </c>
      <c r="D11232" s="40" t="n">
        <v>279</v>
      </c>
      <c r="E11232" s="41" t="n">
        <v>11820.573</v>
      </c>
    </row>
    <row r="11233">
      <c r="A11233" s="42">
        <f>_xlfn.XLOOKUP(80167,Trip[shape_id],Trip[shape_id],"Não encontrado")</f>
        <v/>
      </c>
      <c r="B11233" s="43" t="n">
        <v>-23.573452</v>
      </c>
      <c r="C11233" s="43" t="n">
        <v>-46.587522</v>
      </c>
      <c r="D11233" s="43" t="n">
        <v>280</v>
      </c>
      <c r="E11233" s="44" t="n">
        <v>11827.127</v>
      </c>
    </row>
    <row r="11234">
      <c r="A11234" s="39">
        <f>_xlfn.XLOOKUP(80167,Trip[shape_id],Trip[shape_id],"Não encontrado")</f>
        <v/>
      </c>
      <c r="B11234" s="40" t="n">
        <v>-23.573541</v>
      </c>
      <c r="C11234" s="40" t="n">
        <v>-46.587518</v>
      </c>
      <c r="D11234" s="40" t="n">
        <v>281</v>
      </c>
      <c r="E11234" s="41" t="n">
        <v>11836.992</v>
      </c>
    </row>
    <row r="11235">
      <c r="A11235" s="42">
        <f>_xlfn.XLOOKUP(80167,Trip[shape_id],Trip[shape_id],"Não encontrado")</f>
        <v/>
      </c>
      <c r="B11235" s="43" t="n">
        <v>-23.57362</v>
      </c>
      <c r="C11235" s="43" t="n">
        <v>-46.587522</v>
      </c>
      <c r="D11235" s="43" t="n">
        <v>282</v>
      </c>
      <c r="E11235" s="44" t="n">
        <v>11845.752</v>
      </c>
    </row>
    <row r="11236">
      <c r="A11236" s="39">
        <f>_xlfn.XLOOKUP(80167,Trip[shape_id],Trip[shape_id],"Não encontrado")</f>
        <v/>
      </c>
      <c r="B11236" s="40" t="n">
        <v>-23.57381</v>
      </c>
      <c r="C11236" s="40" t="n">
        <v>-46.587573</v>
      </c>
      <c r="D11236" s="40" t="n">
        <v>283</v>
      </c>
      <c r="E11236" s="41" t="n">
        <v>11867.43</v>
      </c>
    </row>
    <row r="11237">
      <c r="A11237" s="42">
        <f>_xlfn.XLOOKUP(80167,Trip[shape_id],Trip[shape_id],"Não encontrado")</f>
        <v/>
      </c>
      <c r="B11237" s="43" t="n">
        <v>-23.573873</v>
      </c>
      <c r="C11237" s="43" t="n">
        <v>-46.587562</v>
      </c>
      <c r="D11237" s="43" t="n">
        <v>284</v>
      </c>
      <c r="E11237" s="44" t="n">
        <v>11874.497</v>
      </c>
    </row>
    <row r="11238">
      <c r="A11238" s="39">
        <f>_xlfn.XLOOKUP(80167,Trip[shape_id],Trip[shape_id],"Não encontrado")</f>
        <v/>
      </c>
      <c r="B11238" s="40" t="n">
        <v>-23.574042</v>
      </c>
      <c r="C11238" s="40" t="n">
        <v>-46.587537</v>
      </c>
      <c r="D11238" s="40" t="n">
        <v>285</v>
      </c>
      <c r="E11238" s="41" t="n">
        <v>11893.388</v>
      </c>
    </row>
    <row r="11239">
      <c r="A11239" s="42">
        <f>_xlfn.XLOOKUP(80167,Trip[shape_id],Trip[shape_id],"Não encontrado")</f>
        <v/>
      </c>
      <c r="B11239" s="43" t="n">
        <v>-23.574068</v>
      </c>
      <c r="C11239" s="43" t="n">
        <v>-46.587533</v>
      </c>
      <c r="D11239" s="43" t="n">
        <v>286</v>
      </c>
      <c r="E11239" s="44" t="n">
        <v>11968.6</v>
      </c>
    </row>
    <row r="11240">
      <c r="A11240" s="39">
        <f>_xlfn.XLOOKUP(80167,Trip[shape_id],Trip[shape_id],"Não encontrado")</f>
        <v/>
      </c>
      <c r="B11240" s="40" t="n">
        <v>-23.574716</v>
      </c>
      <c r="C11240" s="40" t="n">
        <v>-46.587447</v>
      </c>
      <c r="D11240" s="40" t="n">
        <v>287</v>
      </c>
      <c r="E11240" s="41" t="n">
        <v>12019.756</v>
      </c>
    </row>
    <row r="11241">
      <c r="A11241" s="42">
        <f>_xlfn.XLOOKUP(80167,Trip[shape_id],Trip[shape_id],"Não encontrado")</f>
        <v/>
      </c>
      <c r="B11241" s="43" t="n">
        <v>-23.575174</v>
      </c>
      <c r="C11241" s="43" t="n">
        <v>-46.587382</v>
      </c>
      <c r="D11241" s="43" t="n">
        <v>288</v>
      </c>
      <c r="E11241" s="44" t="n">
        <v>12019.756</v>
      </c>
    </row>
    <row r="11242">
      <c r="A11242" s="39">
        <f>_xlfn.XLOOKUP(80167,Trip[shape_id],Trip[shape_id],"Não encontrado")</f>
        <v/>
      </c>
      <c r="B11242" s="40" t="n">
        <v>-23.57595</v>
      </c>
      <c r="C11242" s="40" t="n">
        <v>-46.587311</v>
      </c>
      <c r="D11242" s="40" t="n">
        <v>289</v>
      </c>
      <c r="E11242" s="41" t="n">
        <v>12114.894</v>
      </c>
    </row>
    <row r="11243">
      <c r="A11243" s="42">
        <f>_xlfn.XLOOKUP(80167,Trip[shape_id],Trip[shape_id],"Não encontrado")</f>
        <v/>
      </c>
      <c r="B11243" s="43" t="n">
        <v>-23.57603</v>
      </c>
      <c r="C11243" s="43" t="n">
        <v>-46.587304</v>
      </c>
      <c r="D11243" s="43" t="n">
        <v>290</v>
      </c>
      <c r="E11243" s="44" t="n">
        <v>12114.894</v>
      </c>
    </row>
    <row r="11244">
      <c r="A11244" s="39">
        <f>_xlfn.XLOOKUP(80167,Trip[shape_id],Trip[shape_id],"Não encontrado")</f>
        <v/>
      </c>
      <c r="B11244" s="40" t="n">
        <v>-23.576148</v>
      </c>
      <c r="C11244" s="40" t="n">
        <v>-46.587287</v>
      </c>
      <c r="D11244" s="40" t="n">
        <v>291</v>
      </c>
      <c r="E11244" s="41" t="n">
        <v>12128.077</v>
      </c>
    </row>
    <row r="11245">
      <c r="A11245" s="42">
        <f>_xlfn.XLOOKUP(80167,Trip[shape_id],Trip[shape_id],"Não encontrado")</f>
        <v/>
      </c>
      <c r="B11245" s="43" t="n">
        <v>-23.577189</v>
      </c>
      <c r="C11245" s="43" t="n">
        <v>-46.587153</v>
      </c>
      <c r="D11245" s="43" t="n">
        <v>292</v>
      </c>
      <c r="E11245" s="44" t="n">
        <v>12275.493</v>
      </c>
    </row>
    <row r="11246">
      <c r="A11246" s="39">
        <f>_xlfn.XLOOKUP(80167,Trip[shape_id],Trip[shape_id],"Não encontrado")</f>
        <v/>
      </c>
      <c r="B11246" s="40" t="n">
        <v>-23.57747</v>
      </c>
      <c r="C11246" s="40" t="n">
        <v>-46.587119</v>
      </c>
      <c r="D11246" s="40" t="n">
        <v>293</v>
      </c>
      <c r="E11246" s="41" t="n">
        <v>12302.287</v>
      </c>
    </row>
    <row r="11247">
      <c r="A11247" s="42">
        <f>_xlfn.XLOOKUP(80167,Trip[shape_id],Trip[shape_id],"Não encontrado")</f>
        <v/>
      </c>
      <c r="B11247" s="43" t="n">
        <v>-23.577711</v>
      </c>
      <c r="C11247" s="43" t="n">
        <v>-46.587096</v>
      </c>
      <c r="D11247" s="43" t="n">
        <v>294</v>
      </c>
      <c r="E11247" s="44" t="n">
        <v>12302.287</v>
      </c>
    </row>
    <row r="11248">
      <c r="A11248" s="39">
        <f>_xlfn.XLOOKUP(80167,Trip[shape_id],Trip[shape_id],"Não encontrado")</f>
        <v/>
      </c>
      <c r="B11248" s="40" t="n">
        <v>-23.578101</v>
      </c>
      <c r="C11248" s="40" t="n">
        <v>-46.587075</v>
      </c>
      <c r="D11248" s="40" t="n">
        <v>295</v>
      </c>
      <c r="E11248" s="41" t="n">
        <v>12368.32</v>
      </c>
    </row>
    <row r="11249">
      <c r="A11249" s="42">
        <f>_xlfn.XLOOKUP(80167,Trip[shape_id],Trip[shape_id],"Não encontrado")</f>
        <v/>
      </c>
      <c r="B11249" s="43" t="n">
        <v>-23.578306</v>
      </c>
      <c r="C11249" s="43" t="n">
        <v>-46.587056</v>
      </c>
      <c r="D11249" s="43" t="n">
        <v>296</v>
      </c>
      <c r="E11249" s="44" t="n">
        <v>12368.32</v>
      </c>
    </row>
    <row r="11250">
      <c r="A11250" s="39">
        <f>_xlfn.XLOOKUP(80167,Trip[shape_id],Trip[shape_id],"Não encontrado")</f>
        <v/>
      </c>
      <c r="B11250" s="40" t="n">
        <v>-23.578527</v>
      </c>
      <c r="C11250" s="40" t="n">
        <v>-46.587032</v>
      </c>
      <c r="D11250" s="40" t="n">
        <v>297</v>
      </c>
      <c r="E11250" s="41" t="n">
        <v>12392.919</v>
      </c>
    </row>
    <row r="11251">
      <c r="A11251" s="42">
        <f>_xlfn.XLOOKUP(80167,Trip[shape_id],Trip[shape_id],"Não encontrado")</f>
        <v/>
      </c>
      <c r="B11251" s="43" t="n">
        <v>-23.578682</v>
      </c>
      <c r="C11251" s="43" t="n">
        <v>-46.58702</v>
      </c>
      <c r="D11251" s="43" t="n">
        <v>298</v>
      </c>
      <c r="E11251" s="44" t="n">
        <v>12459.702</v>
      </c>
    </row>
    <row r="11252">
      <c r="A11252" s="39">
        <f>_xlfn.XLOOKUP(80167,Trip[shape_id],Trip[shape_id],"Não encontrado")</f>
        <v/>
      </c>
      <c r="B11252" s="40" t="n">
        <v>-23.579129</v>
      </c>
      <c r="C11252" s="40" t="n">
        <v>-46.586995</v>
      </c>
      <c r="D11252" s="40" t="n">
        <v>299</v>
      </c>
      <c r="E11252" s="41" t="n">
        <v>12459.702</v>
      </c>
    </row>
    <row r="11253">
      <c r="A11253" s="42">
        <f>_xlfn.XLOOKUP(80167,Trip[shape_id],Trip[shape_id],"Não encontrado")</f>
        <v/>
      </c>
      <c r="B11253" s="43" t="n">
        <v>-23.579544</v>
      </c>
      <c r="C11253" s="43" t="n">
        <v>-46.586942</v>
      </c>
      <c r="D11253" s="43" t="n">
        <v>300</v>
      </c>
      <c r="E11253" s="44" t="n">
        <v>12505.981</v>
      </c>
    </row>
    <row r="11254">
      <c r="A11254" s="39">
        <f>_xlfn.XLOOKUP(80167,Trip[shape_id],Trip[shape_id],"Não encontrado")</f>
        <v/>
      </c>
      <c r="B11254" s="40" t="n">
        <v>-23.579593</v>
      </c>
      <c r="C11254" s="40" t="n">
        <v>-46.586935</v>
      </c>
      <c r="D11254" s="40" t="n">
        <v>301</v>
      </c>
      <c r="E11254" s="41" t="n">
        <v>12511.456</v>
      </c>
    </row>
    <row r="11255">
      <c r="A11255" s="42">
        <f>_xlfn.XLOOKUP(80167,Trip[shape_id],Trip[shape_id],"Não encontrado")</f>
        <v/>
      </c>
      <c r="B11255" s="43" t="n">
        <v>-23.579689</v>
      </c>
      <c r="C11255" s="43" t="n">
        <v>-46.586892</v>
      </c>
      <c r="D11255" s="43" t="n">
        <v>302</v>
      </c>
      <c r="E11255" s="44" t="n">
        <v>12522.959</v>
      </c>
    </row>
    <row r="11256">
      <c r="A11256" s="39">
        <f>_xlfn.XLOOKUP(80167,Trip[shape_id],Trip[shape_id],"Não encontrado")</f>
        <v/>
      </c>
      <c r="B11256" s="40" t="n">
        <v>-23.579771</v>
      </c>
      <c r="C11256" s="40" t="n">
        <v>-46.586863</v>
      </c>
      <c r="D11256" s="40" t="n">
        <v>303</v>
      </c>
      <c r="E11256" s="41" t="n">
        <v>12532.511</v>
      </c>
    </row>
    <row r="11257">
      <c r="A11257" s="42">
        <f>_xlfn.XLOOKUP(80167,Trip[shape_id],Trip[shape_id],"Não encontrado")</f>
        <v/>
      </c>
      <c r="B11257" s="43" t="n">
        <v>-23.579841</v>
      </c>
      <c r="C11257" s="43" t="n">
        <v>-46.586847</v>
      </c>
      <c r="D11257" s="43" t="n">
        <v>304</v>
      </c>
      <c r="E11257" s="44" t="n">
        <v>12540.433</v>
      </c>
    </row>
    <row r="11258">
      <c r="A11258" s="39">
        <f>_xlfn.XLOOKUP(80167,Trip[shape_id],Trip[shape_id],"Não encontrado")</f>
        <v/>
      </c>
      <c r="B11258" s="40" t="n">
        <v>-23.579913</v>
      </c>
      <c r="C11258" s="40" t="n">
        <v>-46.586832</v>
      </c>
      <c r="D11258" s="40" t="n">
        <v>305</v>
      </c>
      <c r="E11258" s="41" t="n">
        <v>12548.552</v>
      </c>
    </row>
    <row r="11259">
      <c r="A11259" s="42">
        <f>_xlfn.XLOOKUP(80167,Trip[shape_id],Trip[shape_id],"Não encontrado")</f>
        <v/>
      </c>
      <c r="B11259" s="43" t="n">
        <v>-23.579976</v>
      </c>
      <c r="C11259" s="43" t="n">
        <v>-46.586825</v>
      </c>
      <c r="D11259" s="43" t="n">
        <v>306</v>
      </c>
      <c r="E11259" s="44" t="n">
        <v>12555.565</v>
      </c>
    </row>
    <row r="11260">
      <c r="A11260" s="39">
        <f>_xlfn.XLOOKUP(80167,Trip[shape_id],Trip[shape_id],"Não encontrado")</f>
        <v/>
      </c>
      <c r="B11260" s="40" t="n">
        <v>-23.580044</v>
      </c>
      <c r="C11260" s="40" t="n">
        <v>-46.586815</v>
      </c>
      <c r="D11260" s="40" t="n">
        <v>307</v>
      </c>
      <c r="E11260" s="41" t="n">
        <v>12563.165</v>
      </c>
    </row>
    <row r="11261">
      <c r="A11261" s="42">
        <f>_xlfn.XLOOKUP(80167,Trip[shape_id],Trip[shape_id],"Não encontrado")</f>
        <v/>
      </c>
      <c r="B11261" s="43" t="n">
        <v>-23.580132</v>
      </c>
      <c r="C11261" s="43" t="n">
        <v>-46.586815</v>
      </c>
      <c r="D11261" s="43" t="n">
        <v>308</v>
      </c>
      <c r="E11261" s="44" t="n">
        <v>12572.911</v>
      </c>
    </row>
    <row r="11262">
      <c r="A11262" s="39">
        <f>_xlfn.XLOOKUP(80167,Trip[shape_id],Trip[shape_id],"Não encontrado")</f>
        <v/>
      </c>
      <c r="B11262" s="40" t="n">
        <v>-23.580239</v>
      </c>
      <c r="C11262" s="40" t="n">
        <v>-46.586828</v>
      </c>
      <c r="D11262" s="40" t="n">
        <v>309</v>
      </c>
      <c r="E11262" s="41" t="n">
        <v>12584.836</v>
      </c>
    </row>
    <row r="11263">
      <c r="A11263" s="42">
        <f>_xlfn.XLOOKUP(80167,Trip[shape_id],Trip[shape_id],"Não encontrado")</f>
        <v/>
      </c>
      <c r="B11263" s="43" t="n">
        <v>-23.580517</v>
      </c>
      <c r="C11263" s="43" t="n">
        <v>-46.586819</v>
      </c>
      <c r="D11263" s="43" t="n">
        <v>310</v>
      </c>
      <c r="E11263" s="44" t="n">
        <v>12615.639</v>
      </c>
    </row>
    <row r="11264">
      <c r="A11264" s="39">
        <f>_xlfn.XLOOKUP(80167,Trip[shape_id],Trip[shape_id],"Não encontrado")</f>
        <v/>
      </c>
      <c r="B11264" s="40" t="n">
        <v>-23.581043</v>
      </c>
      <c r="C11264" s="40" t="n">
        <v>-46.58676</v>
      </c>
      <c r="D11264" s="40" t="n">
        <v>311</v>
      </c>
      <c r="E11264" s="41" t="n">
        <v>12674.205</v>
      </c>
    </row>
    <row r="11265">
      <c r="A11265" s="42">
        <f>_xlfn.XLOOKUP(80167,Trip[shape_id],Trip[shape_id],"Não encontrado")</f>
        <v/>
      </c>
      <c r="B11265" s="43" t="n">
        <v>-23.581538</v>
      </c>
      <c r="C11265" s="43" t="n">
        <v>-46.586703</v>
      </c>
      <c r="D11265" s="43" t="n">
        <v>312</v>
      </c>
      <c r="E11265" s="44" t="n">
        <v>12729.335</v>
      </c>
    </row>
    <row r="11266">
      <c r="A11266" s="39">
        <f>_xlfn.XLOOKUP(80167,Trip[shape_id],Trip[shape_id],"Não encontrado")</f>
        <v/>
      </c>
      <c r="B11266" s="40" t="n">
        <v>-23.582309</v>
      </c>
      <c r="C11266" s="40" t="n">
        <v>-46.586608</v>
      </c>
      <c r="D11266" s="40" t="n">
        <v>313</v>
      </c>
      <c r="E11266" s="41" t="n">
        <v>12858.132</v>
      </c>
    </row>
    <row r="11267">
      <c r="A11267" s="42">
        <f>_xlfn.XLOOKUP(80167,Trip[shape_id],Trip[shape_id],"Não encontrado")</f>
        <v/>
      </c>
      <c r="B11267" s="43" t="n">
        <v>-23.582693</v>
      </c>
      <c r="C11267" s="43" t="n">
        <v>-46.586556</v>
      </c>
      <c r="D11267" s="43" t="n">
        <v>314</v>
      </c>
      <c r="E11267" s="44" t="n">
        <v>12858.132</v>
      </c>
    </row>
    <row r="11268">
      <c r="A11268" s="39">
        <f>_xlfn.XLOOKUP(80167,Trip[shape_id],Trip[shape_id],"Não encontrado")</f>
        <v/>
      </c>
      <c r="B11268" s="40" t="n">
        <v>-23.583321</v>
      </c>
      <c r="C11268" s="40" t="n">
        <v>-46.586466</v>
      </c>
      <c r="D11268" s="40" t="n">
        <v>315</v>
      </c>
      <c r="E11268" s="41" t="n">
        <v>12961.739</v>
      </c>
    </row>
    <row r="11269">
      <c r="A11269" s="42">
        <f>_xlfn.XLOOKUP(80167,Trip[shape_id],Trip[shape_id],"Não encontrado")</f>
        <v/>
      </c>
      <c r="B11269" s="43" t="n">
        <v>-23.583621</v>
      </c>
      <c r="C11269" s="43" t="n">
        <v>-46.586428</v>
      </c>
      <c r="D11269" s="43" t="n">
        <v>316</v>
      </c>
      <c r="E11269" s="44" t="n">
        <v>12965.29</v>
      </c>
    </row>
    <row r="11270">
      <c r="A11270" s="39">
        <f>_xlfn.XLOOKUP(80167,Trip[shape_id],Trip[shape_id],"Não encontrado")</f>
        <v/>
      </c>
      <c r="B11270" s="40" t="n">
        <v>-23.583653</v>
      </c>
      <c r="C11270" s="40" t="n">
        <v>-46.586426</v>
      </c>
      <c r="D11270" s="40" t="n">
        <v>317</v>
      </c>
      <c r="E11270" s="41" t="n">
        <v>12965.29</v>
      </c>
    </row>
    <row r="11271">
      <c r="A11271" s="42">
        <f>_xlfn.XLOOKUP(80167,Trip[shape_id],Trip[shape_id],"Não encontrado")</f>
        <v/>
      </c>
      <c r="B11271" s="43" t="n">
        <v>-23.583783</v>
      </c>
      <c r="C11271" s="43" t="n">
        <v>-46.586425</v>
      </c>
      <c r="D11271" s="43" t="n">
        <v>318</v>
      </c>
      <c r="E11271" s="44" t="n">
        <v>12997.944</v>
      </c>
    </row>
    <row r="11272">
      <c r="A11272" s="39">
        <f>_xlfn.XLOOKUP(80167,Trip[shape_id],Trip[shape_id],"Não encontrado")</f>
        <v/>
      </c>
      <c r="B11272" s="40" t="n">
        <v>-23.583947</v>
      </c>
      <c r="C11272" s="40" t="n">
        <v>-46.586443</v>
      </c>
      <c r="D11272" s="40" t="n">
        <v>319</v>
      </c>
      <c r="E11272" s="41" t="n">
        <v>12997.944</v>
      </c>
    </row>
    <row r="11273">
      <c r="A11273" s="42">
        <f>_xlfn.XLOOKUP(80167,Trip[shape_id],Trip[shape_id],"Não encontrado")</f>
        <v/>
      </c>
      <c r="B11273" s="43" t="n">
        <v>-23.584188</v>
      </c>
      <c r="C11273" s="43" t="n">
        <v>-46.586472</v>
      </c>
      <c r="D11273" s="43" t="n">
        <v>320</v>
      </c>
      <c r="E11273" s="44" t="n">
        <v>13036.555</v>
      </c>
    </row>
    <row r="11274">
      <c r="A11274" s="39">
        <f>_xlfn.XLOOKUP(80167,Trip[shape_id],Trip[shape_id],"Não encontrado")</f>
        <v/>
      </c>
      <c r="B11274" s="40" t="n">
        <v>-23.584294</v>
      </c>
      <c r="C11274" s="40" t="n">
        <v>-46.586466</v>
      </c>
      <c r="D11274" s="40" t="n">
        <v>321</v>
      </c>
      <c r="E11274" s="41" t="n">
        <v>13036.555</v>
      </c>
    </row>
    <row r="11275">
      <c r="A11275" s="42">
        <f>_xlfn.XLOOKUP(80167,Trip[shape_id],Trip[shape_id],"Não encontrado")</f>
        <v/>
      </c>
      <c r="B11275" s="43" t="n">
        <v>-23.584477</v>
      </c>
      <c r="C11275" s="43" t="n">
        <v>-46.586443</v>
      </c>
      <c r="D11275" s="43" t="n">
        <v>322</v>
      </c>
      <c r="E11275" s="44" t="n">
        <v>13056.958</v>
      </c>
    </row>
    <row r="11276">
      <c r="A11276" s="39">
        <f>_xlfn.XLOOKUP(80167,Trip[shape_id],Trip[shape_id],"Não encontrado")</f>
        <v/>
      </c>
      <c r="B11276" s="40" t="n">
        <v>-23.584567</v>
      </c>
      <c r="C11276" s="40" t="n">
        <v>-46.586376</v>
      </c>
      <c r="D11276" s="40" t="n">
        <v>323</v>
      </c>
      <c r="E11276" s="41" t="n">
        <v>13069.047</v>
      </c>
    </row>
    <row r="11277">
      <c r="A11277" s="42">
        <f>_xlfn.XLOOKUP(80167,Trip[shape_id],Trip[shape_id],"Não encontrado")</f>
        <v/>
      </c>
      <c r="B11277" s="43" t="n">
        <v>-23.584879</v>
      </c>
      <c r="C11277" s="43" t="n">
        <v>-46.586076</v>
      </c>
      <c r="D11277" s="43" t="n">
        <v>324</v>
      </c>
      <c r="E11277" s="44" t="n">
        <v>13115.218</v>
      </c>
    </row>
    <row r="11278">
      <c r="A11278" s="39">
        <f>_xlfn.XLOOKUP(80167,Trip[shape_id],Trip[shape_id],"Não encontrado")</f>
        <v/>
      </c>
      <c r="B11278" s="40" t="n">
        <v>-23.585306</v>
      </c>
      <c r="C11278" s="40" t="n">
        <v>-46.58559</v>
      </c>
      <c r="D11278" s="40" t="n">
        <v>325</v>
      </c>
      <c r="E11278" s="41" t="n">
        <v>13183.756</v>
      </c>
    </row>
    <row r="11279">
      <c r="A11279" s="42">
        <f>_xlfn.XLOOKUP(80167,Trip[shape_id],Trip[shape_id],"Não encontrado")</f>
        <v/>
      </c>
      <c r="B11279" s="43" t="n">
        <v>-23.585395</v>
      </c>
      <c r="C11279" s="43" t="n">
        <v>-46.585487</v>
      </c>
      <c r="D11279" s="43" t="n">
        <v>326</v>
      </c>
      <c r="E11279" s="44" t="n">
        <v>13219.651</v>
      </c>
    </row>
    <row r="11280">
      <c r="A11280" s="39">
        <f>_xlfn.XLOOKUP(80167,Trip[shape_id],Trip[shape_id],"Não encontrado")</f>
        <v/>
      </c>
      <c r="B11280" s="40" t="n">
        <v>-23.585532</v>
      </c>
      <c r="C11280" s="40" t="n">
        <v>-46.585338</v>
      </c>
      <c r="D11280" s="40" t="n">
        <v>327</v>
      </c>
      <c r="E11280" s="41" t="n">
        <v>13246.306</v>
      </c>
    </row>
    <row r="11281">
      <c r="A11281" s="42">
        <f>_xlfn.XLOOKUP(80167,Trip[shape_id],Trip[shape_id],"Não encontrado")</f>
        <v/>
      </c>
      <c r="B11281" s="43" t="n">
        <v>-23.585725</v>
      </c>
      <c r="C11281" s="43" t="n">
        <v>-46.585182</v>
      </c>
      <c r="D11281" s="43" t="n">
        <v>328</v>
      </c>
      <c r="E11281" s="44" t="n">
        <v>13256.163</v>
      </c>
    </row>
    <row r="11282">
      <c r="A11282" s="39">
        <f>_xlfn.XLOOKUP(80167,Trip[shape_id],Trip[shape_id],"Não encontrado")</f>
        <v/>
      </c>
      <c r="B11282" s="40" t="n">
        <v>-23.5858</v>
      </c>
      <c r="C11282" s="40" t="n">
        <v>-46.58513</v>
      </c>
      <c r="D11282" s="40" t="n">
        <v>329</v>
      </c>
      <c r="E11282" s="41" t="n">
        <v>13256.163</v>
      </c>
    </row>
    <row r="11283">
      <c r="A11283" s="42">
        <f>_xlfn.XLOOKUP(80167,Trip[shape_id],Trip[shape_id],"Não encontrado")</f>
        <v/>
      </c>
      <c r="B11283" s="43" t="n">
        <v>-23.586147</v>
      </c>
      <c r="C11283" s="43" t="n">
        <v>-46.584976</v>
      </c>
      <c r="D11283" s="43" t="n">
        <v>330</v>
      </c>
      <c r="E11283" s="44" t="n">
        <v>13311.017</v>
      </c>
    </row>
    <row r="11284">
      <c r="A11284" s="39">
        <f>_xlfn.XLOOKUP(80167,Trip[shape_id],Trip[shape_id],"Não encontrado")</f>
        <v/>
      </c>
      <c r="B11284" s="40" t="n">
        <v>-23.58626</v>
      </c>
      <c r="C11284" s="40" t="n">
        <v>-46.584931</v>
      </c>
      <c r="D11284" s="40" t="n">
        <v>331</v>
      </c>
      <c r="E11284" s="41" t="n">
        <v>13333.363</v>
      </c>
    </row>
    <row r="11285">
      <c r="A11285" s="42">
        <f>_xlfn.XLOOKUP(80167,Trip[shape_id],Trip[shape_id],"Não encontrado")</f>
        <v/>
      </c>
      <c r="B11285" s="43" t="n">
        <v>-23.586456</v>
      </c>
      <c r="C11285" s="43" t="n">
        <v>-46.584879</v>
      </c>
      <c r="D11285" s="43" t="n">
        <v>332</v>
      </c>
      <c r="E11285" s="44" t="n">
        <v>13333.363</v>
      </c>
    </row>
    <row r="11286">
      <c r="A11286" s="39">
        <f>_xlfn.XLOOKUP(80167,Trip[shape_id],Trip[shape_id],"Não encontrado")</f>
        <v/>
      </c>
      <c r="B11286" s="40" t="n">
        <v>-23.586498</v>
      </c>
      <c r="C11286" s="40" t="n">
        <v>-46.584946</v>
      </c>
      <c r="D11286" s="40" t="n">
        <v>333</v>
      </c>
      <c r="E11286" s="41" t="n">
        <v>13341.634</v>
      </c>
    </row>
    <row r="11287">
      <c r="A11287" s="42">
        <f>_xlfn.XLOOKUP(80167,Trip[shape_id],Trip[shape_id],"Não encontrado")</f>
        <v/>
      </c>
      <c r="B11287" s="43" t="n">
        <v>-23.586844</v>
      </c>
      <c r="C11287" s="43" t="n">
        <v>-46.58531</v>
      </c>
      <c r="D11287" s="43" t="n">
        <v>334</v>
      </c>
      <c r="E11287" s="44" t="n">
        <v>13395.01</v>
      </c>
    </row>
    <row r="11288">
      <c r="A11288" s="39">
        <f>_xlfn.XLOOKUP(80167,Trip[shape_id],Trip[shape_id],"Não encontrado")</f>
        <v/>
      </c>
      <c r="B11288" s="40" t="n">
        <v>-23.587162</v>
      </c>
      <c r="C11288" s="40" t="n">
        <v>-46.585636</v>
      </c>
      <c r="D11288" s="40" t="n">
        <v>335</v>
      </c>
      <c r="E11288" s="41" t="n">
        <v>13443.463</v>
      </c>
    </row>
    <row r="11289">
      <c r="A11289" s="42">
        <f>_xlfn.XLOOKUP(80167,Trip[shape_id],Trip[shape_id],"Não encontrado")</f>
        <v/>
      </c>
      <c r="B11289" s="43" t="n">
        <v>-23.587889</v>
      </c>
      <c r="C11289" s="43" t="n">
        <v>-46.586387</v>
      </c>
      <c r="D11289" s="43" t="n">
        <v>336</v>
      </c>
      <c r="E11289" s="44" t="n">
        <v>13554.636</v>
      </c>
    </row>
    <row r="11290">
      <c r="A11290" s="39">
        <f>_xlfn.XLOOKUP(80167,Trip[shape_id],Trip[shape_id],"Não encontrado")</f>
        <v/>
      </c>
      <c r="B11290" s="40" t="n">
        <v>-23.58816</v>
      </c>
      <c r="C11290" s="40" t="n">
        <v>-46.586671</v>
      </c>
      <c r="D11290" s="40" t="n">
        <v>337</v>
      </c>
      <c r="E11290" s="41" t="n">
        <v>13596.363</v>
      </c>
    </row>
    <row r="11291">
      <c r="A11291" s="42">
        <f>_xlfn.XLOOKUP(80167,Trip[shape_id],Trip[shape_id],"Não encontrado")</f>
        <v/>
      </c>
      <c r="B11291" s="43" t="n">
        <v>-23.588429</v>
      </c>
      <c r="C11291" s="43" t="n">
        <v>-46.586371</v>
      </c>
      <c r="D11291" s="43" t="n">
        <v>338</v>
      </c>
      <c r="E11291" s="44" t="n">
        <v>13639.087</v>
      </c>
    </row>
    <row r="11292">
      <c r="A11292" s="39">
        <f>_xlfn.XLOOKUP(80167,Trip[shape_id],Trip[shape_id],"Não encontrado")</f>
        <v/>
      </c>
      <c r="B11292" s="40" t="n">
        <v>-23.5886</v>
      </c>
      <c r="C11292" s="40" t="n">
        <v>-46.586175</v>
      </c>
      <c r="D11292" s="40" t="n">
        <v>339</v>
      </c>
      <c r="E11292" s="41" t="n">
        <v>13666.636</v>
      </c>
    </row>
    <row r="11293">
      <c r="A11293" s="42">
        <f>_xlfn.XLOOKUP(80167,Trip[shape_id],Trip[shape_id],"Não encontrado")</f>
        <v/>
      </c>
      <c r="B11293" s="43" t="n">
        <v>-23.589038</v>
      </c>
      <c r="C11293" s="43" t="n">
        <v>-46.585681</v>
      </c>
      <c r="D11293" s="43" t="n">
        <v>340</v>
      </c>
      <c r="E11293" s="44" t="n">
        <v>13736.605</v>
      </c>
    </row>
    <row r="11294">
      <c r="A11294" s="39">
        <f>_xlfn.XLOOKUP(80167,Trip[shape_id],Trip[shape_id],"Não encontrado")</f>
        <v/>
      </c>
      <c r="B11294" s="40" t="n">
        <v>-23.589465</v>
      </c>
      <c r="C11294" s="40" t="n">
        <v>-46.585195</v>
      </c>
      <c r="D11294" s="40" t="n">
        <v>341</v>
      </c>
      <c r="E11294" s="41" t="n">
        <v>13805.143</v>
      </c>
    </row>
    <row r="11295">
      <c r="A11295" s="42">
        <f>_xlfn.XLOOKUP(80167,Trip[shape_id],Trip[shape_id],"Não encontrado")</f>
        <v/>
      </c>
      <c r="B11295" s="43" t="n">
        <v>-23.589038</v>
      </c>
      <c r="C11295" s="43" t="n">
        <v>-46.584767</v>
      </c>
      <c r="D11295" s="43" t="n">
        <v>342</v>
      </c>
      <c r="E11295" s="44" t="n">
        <v>13869.524</v>
      </c>
    </row>
    <row r="11296">
      <c r="A11296" s="39">
        <f>_xlfn.XLOOKUP(80167,Trip[shape_id],Trip[shape_id],"Não encontrado")</f>
        <v/>
      </c>
      <c r="B11296" s="40" t="n">
        <v>-23.588955</v>
      </c>
      <c r="C11296" s="40" t="n">
        <v>-46.584677</v>
      </c>
      <c r="D11296" s="40" t="n">
        <v>343</v>
      </c>
      <c r="E11296" s="41" t="n">
        <v>13882.521</v>
      </c>
    </row>
    <row r="11297">
      <c r="A11297" s="42">
        <f>_xlfn.XLOOKUP(80167,Trip[shape_id],Trip[shape_id],"Não encontrado")</f>
        <v/>
      </c>
      <c r="B11297" s="43" t="n">
        <v>-23.588791</v>
      </c>
      <c r="C11297" s="43" t="n">
        <v>-46.584499</v>
      </c>
      <c r="D11297" s="43" t="n">
        <v>344</v>
      </c>
      <c r="E11297" s="44" t="n">
        <v>13908.211</v>
      </c>
    </row>
    <row r="11298">
      <c r="A11298" s="39">
        <f>_xlfn.XLOOKUP(80167,Trip[shape_id],Trip[shape_id],"Não encontrado")</f>
        <v/>
      </c>
      <c r="B11298" s="40" t="n">
        <v>-23.588753</v>
      </c>
      <c r="C11298" s="40" t="n">
        <v>-46.584356</v>
      </c>
      <c r="D11298" s="40" t="n">
        <v>345</v>
      </c>
      <c r="E11298" s="41" t="n">
        <v>13923.401</v>
      </c>
    </row>
    <row r="11299">
      <c r="A11299" s="42">
        <f>_xlfn.XLOOKUP(80167,Trip[shape_id],Trip[shape_id],"Não encontrado")</f>
        <v/>
      </c>
      <c r="B11299" s="43" t="n">
        <v>-23.588715</v>
      </c>
      <c r="C11299" s="43" t="n">
        <v>-46.584177</v>
      </c>
      <c r="D11299" s="43" t="n">
        <v>346</v>
      </c>
      <c r="E11299" s="44" t="n">
        <v>13942.15</v>
      </c>
    </row>
    <row r="11300">
      <c r="A11300" s="39">
        <f>_xlfn.XLOOKUP(80167,Trip[shape_id],Trip[shape_id],"Não encontrado")</f>
        <v/>
      </c>
      <c r="B11300" s="40" t="n">
        <v>-23.58871</v>
      </c>
      <c r="C11300" s="40" t="n">
        <v>-46.584056</v>
      </c>
      <c r="D11300" s="40" t="n">
        <v>347</v>
      </c>
      <c r="E11300" s="41" t="n">
        <v>13954.514</v>
      </c>
    </row>
    <row r="11301">
      <c r="A11301" s="42">
        <f>_xlfn.XLOOKUP(80167,Trip[shape_id],Trip[shape_id],"Não encontrado")</f>
        <v/>
      </c>
      <c r="B11301" s="43" t="n">
        <v>-23.588722</v>
      </c>
      <c r="C11301" s="43" t="n">
        <v>-46.583843</v>
      </c>
      <c r="D11301" s="43" t="n">
        <v>348</v>
      </c>
      <c r="E11301" s="44" t="n">
        <v>13976.296</v>
      </c>
    </row>
    <row r="11302">
      <c r="A11302" s="39">
        <f>_xlfn.XLOOKUP(80167,Trip[shape_id],Trip[shape_id],"Não encontrado")</f>
        <v/>
      </c>
      <c r="B11302" s="40" t="n">
        <v>-23.588773</v>
      </c>
      <c r="C11302" s="40" t="n">
        <v>-46.583481</v>
      </c>
      <c r="D11302" s="40" t="n">
        <v>349</v>
      </c>
      <c r="E11302" s="41" t="n">
        <v>14013.676</v>
      </c>
    </row>
    <row r="11303">
      <c r="A11303" s="42">
        <f>_xlfn.XLOOKUP(80167,Trip[shape_id],Trip[shape_id],"Não encontrado")</f>
        <v/>
      </c>
      <c r="B11303" s="43" t="n">
        <v>-23.588809</v>
      </c>
      <c r="C11303" s="43" t="n">
        <v>-46.583194</v>
      </c>
      <c r="D11303" s="43" t="n">
        <v>350</v>
      </c>
      <c r="E11303" s="44" t="n">
        <v>14081.988</v>
      </c>
    </row>
    <row r="11304">
      <c r="A11304" s="39">
        <f>_xlfn.XLOOKUP(80167,Trip[shape_id],Trip[shape_id],"Não encontrado")</f>
        <v/>
      </c>
      <c r="B11304" s="40" t="n">
        <v>-23.588874</v>
      </c>
      <c r="C11304" s="40" t="n">
        <v>-46.582821</v>
      </c>
      <c r="D11304" s="40" t="n">
        <v>351</v>
      </c>
      <c r="E11304" s="41" t="n">
        <v>14124.472</v>
      </c>
    </row>
    <row r="11305">
      <c r="A11305" s="42">
        <f>_xlfn.XLOOKUP(80167,Trip[shape_id],Trip[shape_id],"Não encontrado")</f>
        <v/>
      </c>
      <c r="B11305" s="43" t="n">
        <v>-23.58894</v>
      </c>
      <c r="C11305" s="43" t="n">
        <v>-46.582411</v>
      </c>
      <c r="D11305" s="43" t="n">
        <v>352</v>
      </c>
      <c r="E11305" s="44" t="n">
        <v>14124.472</v>
      </c>
    </row>
    <row r="11306">
      <c r="A11306" s="39">
        <f>_xlfn.XLOOKUP(80167,Trip[shape_id],Trip[shape_id],"Não encontrado")</f>
        <v/>
      </c>
      <c r="B11306" s="40" t="n">
        <v>-23.589021</v>
      </c>
      <c r="C11306" s="40" t="n">
        <v>-46.581817</v>
      </c>
      <c r="D11306" s="40" t="n">
        <v>353</v>
      </c>
      <c r="E11306" s="41" t="n">
        <v>14185.763</v>
      </c>
    </row>
    <row r="11307">
      <c r="A11307" s="42">
        <f>_xlfn.XLOOKUP(80167,Trip[shape_id],Trip[shape_id],"Não encontrado")</f>
        <v/>
      </c>
      <c r="B11307" s="43" t="n">
        <v>-23.589094</v>
      </c>
      <c r="C11307" s="43" t="n">
        <v>-46.581379</v>
      </c>
      <c r="D11307" s="43" t="n">
        <v>354</v>
      </c>
      <c r="E11307" s="44" t="n">
        <v>14231.195</v>
      </c>
    </row>
    <row r="11308">
      <c r="A11308" s="39">
        <f>_xlfn.XLOOKUP(80167,Trip[shape_id],Trip[shape_id],"Não encontrado")</f>
        <v/>
      </c>
      <c r="B11308" s="40" t="n">
        <v>-23.589137</v>
      </c>
      <c r="C11308" s="40" t="n">
        <v>-46.581106</v>
      </c>
      <c r="D11308" s="40" t="n">
        <v>355</v>
      </c>
      <c r="E11308" s="41" t="n">
        <v>14336.165</v>
      </c>
    </row>
    <row r="11309">
      <c r="A11309" s="42">
        <f>_xlfn.XLOOKUP(80167,Trip[shape_id],Trip[shape_id],"Não encontrado")</f>
        <v/>
      </c>
      <c r="B11309" s="43" t="n">
        <v>-23.589252</v>
      </c>
      <c r="C11309" s="43" t="n">
        <v>-46.580365</v>
      </c>
      <c r="D11309" s="43" t="n">
        <v>356</v>
      </c>
      <c r="E11309" s="44" t="n">
        <v>14336.165</v>
      </c>
    </row>
    <row r="11310">
      <c r="A11310" s="39">
        <f>_xlfn.XLOOKUP(80167,Trip[shape_id],Trip[shape_id],"Não encontrado")</f>
        <v/>
      </c>
      <c r="B11310" s="40" t="n">
        <v>-23.58931</v>
      </c>
      <c r="C11310" s="40" t="n">
        <v>-46.579987</v>
      </c>
      <c r="D11310" s="40" t="n">
        <v>357</v>
      </c>
      <c r="E11310" s="41" t="n">
        <v>14375.279</v>
      </c>
    </row>
    <row r="11311">
      <c r="A11311" s="42">
        <f>_xlfn.XLOOKUP(80167,Trip[shape_id],Trip[shape_id],"Não encontrado")</f>
        <v/>
      </c>
      <c r="B11311" s="43" t="n">
        <v>-23.589333</v>
      </c>
      <c r="C11311" s="43" t="n">
        <v>-46.579805</v>
      </c>
      <c r="D11311" s="43" t="n">
        <v>358</v>
      </c>
      <c r="E11311" s="44" t="n">
        <v>14394.03</v>
      </c>
    </row>
    <row r="11312">
      <c r="A11312" s="39">
        <f>_xlfn.XLOOKUP(80167,Trip[shape_id],Trip[shape_id],"Não encontrado")</f>
        <v/>
      </c>
      <c r="B11312" s="40" t="n">
        <v>-23.589369</v>
      </c>
      <c r="C11312" s="40" t="n">
        <v>-46.57959</v>
      </c>
      <c r="D11312" s="40" t="n">
        <v>359</v>
      </c>
      <c r="E11312" s="41" t="n">
        <v>14416.335</v>
      </c>
    </row>
    <row r="11313">
      <c r="A11313" s="42">
        <f>_xlfn.XLOOKUP(80167,Trip[shape_id],Trip[shape_id],"Não encontrado")</f>
        <v/>
      </c>
      <c r="B11313" s="43" t="n">
        <v>-23.589479</v>
      </c>
      <c r="C11313" s="43" t="n">
        <v>-46.578837</v>
      </c>
      <c r="D11313" s="43" t="n">
        <v>360</v>
      </c>
      <c r="E11313" s="44" t="n">
        <v>14494.154</v>
      </c>
    </row>
    <row r="11314">
      <c r="A11314" s="39">
        <f>_xlfn.XLOOKUP(80167,Trip[shape_id],Trip[shape_id],"Não encontrado")</f>
        <v/>
      </c>
      <c r="B11314" s="40" t="n">
        <v>-23.58954</v>
      </c>
      <c r="C11314" s="40" t="n">
        <v>-46.57846</v>
      </c>
      <c r="D11314" s="40" t="n">
        <v>361</v>
      </c>
      <c r="E11314" s="41" t="n">
        <v>14533.224</v>
      </c>
    </row>
    <row r="11315">
      <c r="A11315" s="42">
        <f>_xlfn.XLOOKUP(80167,Trip[shape_id],Trip[shape_id],"Não encontrado")</f>
        <v/>
      </c>
      <c r="B11315" s="43" t="n">
        <v>-23.589578</v>
      </c>
      <c r="C11315" s="43" t="n">
        <v>-46.578174</v>
      </c>
      <c r="D11315" s="43" t="n">
        <v>362</v>
      </c>
      <c r="E11315" s="44" t="n">
        <v>14562.718</v>
      </c>
    </row>
    <row r="11316">
      <c r="A11316" s="39">
        <f>_xlfn.XLOOKUP(80167,Trip[shape_id],Trip[shape_id],"Não encontrado")</f>
        <v/>
      </c>
      <c r="B11316" s="40" t="n">
        <v>-23.589666</v>
      </c>
      <c r="C11316" s="40" t="n">
        <v>-46.577672</v>
      </c>
      <c r="D11316" s="40" t="n">
        <v>363</v>
      </c>
      <c r="E11316" s="41" t="n">
        <v>14614.877</v>
      </c>
    </row>
    <row r="11317">
      <c r="A11317" s="42">
        <f>_xlfn.XLOOKUP(80167,Trip[shape_id],Trip[shape_id],"Não encontrado")</f>
        <v/>
      </c>
      <c r="B11317" s="43" t="n">
        <v>-23.589838</v>
      </c>
      <c r="C11317" s="43" t="n">
        <v>-46.576557</v>
      </c>
      <c r="D11317" s="43" t="n">
        <v>364</v>
      </c>
      <c r="E11317" s="44" t="n">
        <v>14730.271</v>
      </c>
    </row>
    <row r="11318">
      <c r="A11318" s="39">
        <f>_xlfn.XLOOKUP(80167,Trip[shape_id],Trip[shape_id],"Não encontrado")</f>
        <v/>
      </c>
      <c r="B11318" s="40" t="n">
        <v>-23.58991</v>
      </c>
      <c r="C11318" s="40" t="n">
        <v>-46.576551</v>
      </c>
      <c r="D11318" s="40" t="n">
        <v>365</v>
      </c>
      <c r="E11318" s="41" t="n">
        <v>14738.268</v>
      </c>
    </row>
    <row r="11319">
      <c r="A11319" s="42">
        <f>_xlfn.XLOOKUP(80167,Trip[shape_id],Trip[shape_id],"Não encontrado")</f>
        <v/>
      </c>
      <c r="B11319" s="43" t="n">
        <v>-23.589944</v>
      </c>
      <c r="C11319" s="43" t="n">
        <v>-46.576543</v>
      </c>
      <c r="D11319" s="43" t="n">
        <v>366</v>
      </c>
      <c r="E11319" s="44" t="n">
        <v>14742.12</v>
      </c>
    </row>
    <row r="11320">
      <c r="A11320" s="39">
        <f>_xlfn.XLOOKUP(80167,Trip[shape_id],Trip[shape_id],"Não encontrado")</f>
        <v/>
      </c>
      <c r="B11320" s="40" t="n">
        <v>-23.589988</v>
      </c>
      <c r="C11320" s="40" t="n">
        <v>-46.576506</v>
      </c>
      <c r="D11320" s="40" t="n">
        <v>367</v>
      </c>
      <c r="E11320" s="41" t="n">
        <v>14748.285</v>
      </c>
    </row>
    <row r="11321">
      <c r="A11321" s="42">
        <f>_xlfn.XLOOKUP(80167,Trip[shape_id],Trip[shape_id],"Não encontrado")</f>
        <v/>
      </c>
      <c r="B11321" s="43" t="n">
        <v>-23.590023</v>
      </c>
      <c r="C11321" s="43" t="n">
        <v>-46.576454</v>
      </c>
      <c r="D11321" s="43" t="n">
        <v>368</v>
      </c>
      <c r="E11321" s="44" t="n">
        <v>14754.857</v>
      </c>
    </row>
    <row r="11322">
      <c r="A11322" s="39">
        <f>_xlfn.XLOOKUP(80167,Trip[shape_id],Trip[shape_id],"Não encontrado")</f>
        <v/>
      </c>
      <c r="B11322" s="40" t="n">
        <v>-23.590047</v>
      </c>
      <c r="C11322" s="40" t="n">
        <v>-46.576397</v>
      </c>
      <c r="D11322" s="40" t="n">
        <v>369</v>
      </c>
      <c r="E11322" s="41" t="n">
        <v>14761.254</v>
      </c>
    </row>
    <row r="11323">
      <c r="A11323" s="42">
        <f>_xlfn.XLOOKUP(80167,Trip[shape_id],Trip[shape_id],"Não encontrado")</f>
        <v/>
      </c>
      <c r="B11323" s="43" t="n">
        <v>-23.590058</v>
      </c>
      <c r="C11323" s="43" t="n">
        <v>-46.576322</v>
      </c>
      <c r="D11323" s="43" t="n">
        <v>370</v>
      </c>
      <c r="E11323" s="44" t="n">
        <v>14769.006</v>
      </c>
    </row>
    <row r="11324">
      <c r="A11324" s="39">
        <f>_xlfn.XLOOKUP(80167,Trip[shape_id],Trip[shape_id],"Não encontrado")</f>
        <v/>
      </c>
      <c r="B11324" s="40" t="n">
        <v>-23.590051</v>
      </c>
      <c r="C11324" s="40" t="n">
        <v>-46.576278</v>
      </c>
      <c r="D11324" s="40" t="n">
        <v>371</v>
      </c>
      <c r="E11324" s="41" t="n">
        <v>14773.563</v>
      </c>
    </row>
    <row r="11325">
      <c r="A11325" s="42">
        <f>_xlfn.XLOOKUP(80167,Trip[shape_id],Trip[shape_id],"Não encontrado")</f>
        <v/>
      </c>
      <c r="B11325" s="43" t="n">
        <v>-23.590027</v>
      </c>
      <c r="C11325" s="43" t="n">
        <v>-46.576218</v>
      </c>
      <c r="D11325" s="43" t="n">
        <v>372</v>
      </c>
      <c r="E11325" s="44" t="n">
        <v>14780.239</v>
      </c>
    </row>
    <row r="11326">
      <c r="A11326" s="39">
        <f>_xlfn.XLOOKUP(80167,Trip[shape_id],Trip[shape_id],"Não encontrado")</f>
        <v/>
      </c>
      <c r="B11326" s="40" t="n">
        <v>-23.590962</v>
      </c>
      <c r="C11326" s="40" t="n">
        <v>-46.575395</v>
      </c>
      <c r="D11326" s="40" t="n">
        <v>373</v>
      </c>
      <c r="E11326" s="41" t="n">
        <v>14913.581</v>
      </c>
    </row>
    <row r="11327">
      <c r="A11327" s="42">
        <f>_xlfn.XLOOKUP(80167,Trip[shape_id],Trip[shape_id],"Não encontrado")</f>
        <v/>
      </c>
      <c r="B11327" s="43" t="n">
        <v>-23.591603</v>
      </c>
      <c r="C11327" s="43" t="n">
        <v>-46.57481</v>
      </c>
      <c r="D11327" s="43" t="n">
        <v>374</v>
      </c>
      <c r="E11327" s="44" t="n">
        <v>15006.346</v>
      </c>
    </row>
    <row r="11328">
      <c r="A11328" s="39">
        <f>_xlfn.XLOOKUP(80167,Trip[shape_id],Trip[shape_id],"Não encontrado")</f>
        <v/>
      </c>
      <c r="B11328" s="40" t="n">
        <v>-23.592945</v>
      </c>
      <c r="C11328" s="40" t="n">
        <v>-46.573612</v>
      </c>
      <c r="D11328" s="40" t="n">
        <v>375</v>
      </c>
      <c r="E11328" s="41" t="n">
        <v>15198.812</v>
      </c>
    </row>
    <row r="11329">
      <c r="A11329" s="42">
        <f>_xlfn.XLOOKUP(80167,Trip[shape_id],Trip[shape_id],"Não encontrado")</f>
        <v/>
      </c>
      <c r="B11329" s="43" t="n">
        <v>-23.593122</v>
      </c>
      <c r="C11329" s="43" t="n">
        <v>-46.573455</v>
      </c>
      <c r="D11329" s="43" t="n">
        <v>376</v>
      </c>
      <c r="E11329" s="44" t="n">
        <v>15239.041</v>
      </c>
    </row>
    <row r="11330">
      <c r="A11330" s="39">
        <f>_xlfn.XLOOKUP(80167,Trip[shape_id],Trip[shape_id],"Não encontrado")</f>
        <v/>
      </c>
      <c r="B11330" s="40" t="n">
        <v>-23.593221</v>
      </c>
      <c r="C11330" s="40" t="n">
        <v>-46.573356</v>
      </c>
      <c r="D11330" s="40" t="n">
        <v>377</v>
      </c>
      <c r="E11330" s="41" t="n">
        <v>15247.925</v>
      </c>
    </row>
    <row r="11331">
      <c r="A11331" s="42">
        <f>_xlfn.XLOOKUP(80167,Trip[shape_id],Trip[shape_id],"Não encontrado")</f>
        <v/>
      </c>
      <c r="B11331" s="43" t="n">
        <v>-23.593286</v>
      </c>
      <c r="C11331" s="43" t="n">
        <v>-46.573305</v>
      </c>
      <c r="D11331" s="43" t="n">
        <v>378</v>
      </c>
      <c r="E11331" s="44" t="n">
        <v>15247.925</v>
      </c>
    </row>
    <row r="11332">
      <c r="A11332" s="39">
        <f>_xlfn.XLOOKUP(80167,Trip[shape_id],Trip[shape_id],"Não encontrado")</f>
        <v/>
      </c>
      <c r="B11332" s="40" t="n">
        <v>-23.59337</v>
      </c>
      <c r="C11332" s="40" t="n">
        <v>-46.573251</v>
      </c>
      <c r="D11332" s="40" t="n">
        <v>379</v>
      </c>
      <c r="E11332" s="41" t="n">
        <v>15271.753</v>
      </c>
    </row>
    <row r="11333">
      <c r="A11333" s="42">
        <f>_xlfn.XLOOKUP(80167,Trip[shape_id],Trip[shape_id],"Não encontrado")</f>
        <v/>
      </c>
      <c r="B11333" s="43" t="n">
        <v>-23.59346</v>
      </c>
      <c r="C11333" s="43" t="n">
        <v>-46.573169</v>
      </c>
      <c r="D11333" s="43" t="n">
        <v>380</v>
      </c>
      <c r="E11333" s="44" t="n">
        <v>15297.174</v>
      </c>
    </row>
    <row r="11334">
      <c r="A11334" s="39">
        <f>_xlfn.XLOOKUP(80167,Trip[shape_id],Trip[shape_id],"Não encontrado")</f>
        <v/>
      </c>
      <c r="B11334" s="40" t="n">
        <v>-23.593626</v>
      </c>
      <c r="C11334" s="40" t="n">
        <v>-46.572997</v>
      </c>
      <c r="D11334" s="40" t="n">
        <v>381</v>
      </c>
      <c r="E11334" s="41" t="n">
        <v>15364.961</v>
      </c>
    </row>
    <row r="11335">
      <c r="A11335" s="42">
        <f>_xlfn.XLOOKUP(80167,Trip[shape_id],Trip[shape_id],"Não encontrado")</f>
        <v/>
      </c>
      <c r="B11335" s="43" t="n">
        <v>-23.594063</v>
      </c>
      <c r="C11335" s="43" t="n">
        <v>-46.572532</v>
      </c>
      <c r="D11335" s="43" t="n">
        <v>382</v>
      </c>
      <c r="E11335" s="44" t="n">
        <v>15364.961</v>
      </c>
    </row>
    <row r="11336">
      <c r="A11336" s="39">
        <f>_xlfn.XLOOKUP(80167,Trip[shape_id],Trip[shape_id],"Não encontrado")</f>
        <v/>
      </c>
      <c r="B11336" s="40" t="n">
        <v>-23.594829</v>
      </c>
      <c r="C11336" s="40" t="n">
        <v>-46.571715</v>
      </c>
      <c r="D11336" s="40" t="n">
        <v>383</v>
      </c>
      <c r="E11336" s="41" t="n">
        <v>15483.919</v>
      </c>
    </row>
    <row r="11337">
      <c r="A11337" s="42">
        <f>_xlfn.XLOOKUP(80167,Trip[shape_id],Trip[shape_id],"Não encontrado")</f>
        <v/>
      </c>
      <c r="B11337" s="43" t="n">
        <v>-23.595734</v>
      </c>
      <c r="C11337" s="43" t="n">
        <v>-46.570736</v>
      </c>
      <c r="D11337" s="43" t="n">
        <v>384</v>
      </c>
      <c r="E11337" s="44" t="n">
        <v>15655.148</v>
      </c>
    </row>
    <row r="11338">
      <c r="A11338" s="39">
        <f>_xlfn.XLOOKUP(80167,Trip[shape_id],Trip[shape_id],"Não encontrado")</f>
        <v/>
      </c>
      <c r="B11338" s="40" t="n">
        <v>-23.595927</v>
      </c>
      <c r="C11338" s="40" t="n">
        <v>-46.570534</v>
      </c>
      <c r="D11338" s="40" t="n">
        <v>385</v>
      </c>
      <c r="E11338" s="41" t="n">
        <v>15683.834</v>
      </c>
    </row>
    <row r="11339">
      <c r="A11339" s="42">
        <f>_xlfn.XLOOKUP(80167,Trip[shape_id],Trip[shape_id],"Não encontrado")</f>
        <v/>
      </c>
      <c r="B11339" s="43" t="n">
        <v>-23.596117</v>
      </c>
      <c r="C11339" s="43" t="n">
        <v>-46.570343</v>
      </c>
      <c r="D11339" s="43" t="n">
        <v>386</v>
      </c>
      <c r="E11339" s="44" t="n">
        <v>15683.834</v>
      </c>
    </row>
    <row r="11340">
      <c r="A11340" s="39">
        <f>_xlfn.XLOOKUP(80167,Trip[shape_id],Trip[shape_id],"Não encontrado")</f>
        <v/>
      </c>
      <c r="B11340" s="40" t="n">
        <v>-23.596078</v>
      </c>
      <c r="C11340" s="40" t="n">
        <v>-46.569886</v>
      </c>
      <c r="D11340" s="40" t="n">
        <v>387</v>
      </c>
      <c r="E11340" s="41" t="n">
        <v>15744.013</v>
      </c>
    </row>
    <row r="11341">
      <c r="A11341" s="42">
        <f>_xlfn.XLOOKUP(80167,Trip[shape_id],Trip[shape_id],"Não encontrado")</f>
        <v/>
      </c>
      <c r="B11341" s="43" t="n">
        <v>-23.59609</v>
      </c>
      <c r="C11341" s="43" t="n">
        <v>-46.569756</v>
      </c>
      <c r="D11341" s="43" t="n">
        <v>388</v>
      </c>
      <c r="E11341" s="44" t="n">
        <v>15744.013</v>
      </c>
    </row>
    <row r="11342">
      <c r="A11342" s="39">
        <f>_xlfn.XLOOKUP(80167,Trip[shape_id],Trip[shape_id],"Não encontrado")</f>
        <v/>
      </c>
      <c r="B11342" s="40" t="n">
        <v>-23.596119</v>
      </c>
      <c r="C11342" s="40" t="n">
        <v>-46.569572</v>
      </c>
      <c r="D11342" s="40" t="n">
        <v>389</v>
      </c>
      <c r="E11342" s="41" t="n">
        <v>15785.654</v>
      </c>
    </row>
    <row r="11343">
      <c r="A11343" s="42">
        <f>_xlfn.XLOOKUP(80167,Trip[shape_id],Trip[shape_id],"Não encontrado")</f>
        <v/>
      </c>
      <c r="B11343" s="43" t="n">
        <v>-23.596171</v>
      </c>
      <c r="C11343" s="43" t="n">
        <v>-46.569358</v>
      </c>
      <c r="D11343" s="43" t="n">
        <v>390</v>
      </c>
      <c r="E11343" s="44" t="n">
        <v>15826.024</v>
      </c>
    </row>
    <row r="11344">
      <c r="A11344" s="39">
        <f>_xlfn.XLOOKUP(80167,Trip[shape_id],Trip[shape_id],"Não encontrado")</f>
        <v/>
      </c>
      <c r="B11344" s="40" t="n">
        <v>-23.596262</v>
      </c>
      <c r="C11344" s="40" t="n">
        <v>-46.568975</v>
      </c>
      <c r="D11344" s="40" t="n">
        <v>391</v>
      </c>
      <c r="E11344" s="41" t="n">
        <v>15854.31</v>
      </c>
    </row>
    <row r="11345">
      <c r="A11345" s="42">
        <f>_xlfn.XLOOKUP(80167,Trip[shape_id],Trip[shape_id],"Não encontrado")</f>
        <v/>
      </c>
      <c r="B11345" s="43" t="n">
        <v>-23.596327</v>
      </c>
      <c r="C11345" s="43" t="n">
        <v>-46.568707</v>
      </c>
      <c r="D11345" s="43" t="n">
        <v>392</v>
      </c>
      <c r="E11345" s="44" t="n">
        <v>15867.875</v>
      </c>
    </row>
    <row r="11346">
      <c r="A11346" s="39">
        <f>_xlfn.XLOOKUP(80167,Trip[shape_id],Trip[shape_id],"Não encontrado")</f>
        <v/>
      </c>
      <c r="B11346" s="40" t="n">
        <v>-23.59636</v>
      </c>
      <c r="C11346" s="40" t="n">
        <v>-46.568579</v>
      </c>
      <c r="D11346" s="40" t="n">
        <v>393</v>
      </c>
      <c r="E11346" s="41" t="n">
        <v>15887.893</v>
      </c>
    </row>
    <row r="11347">
      <c r="A11347" s="42">
        <f>_xlfn.XLOOKUP(80167,Trip[shape_id],Trip[shape_id],"Não encontrado")</f>
        <v/>
      </c>
      <c r="B11347" s="43" t="n">
        <v>-23.59642</v>
      </c>
      <c r="C11347" s="43" t="n">
        <v>-46.568394</v>
      </c>
      <c r="D11347" s="43" t="n">
        <v>394</v>
      </c>
      <c r="E11347" s="44" t="n">
        <v>15907.706</v>
      </c>
    </row>
    <row r="11348">
      <c r="A11348" s="39">
        <f>_xlfn.XLOOKUP(80167,Trip[shape_id],Trip[shape_id],"Não encontrado")</f>
        <v/>
      </c>
      <c r="B11348" s="40" t="n">
        <v>-23.596487</v>
      </c>
      <c r="C11348" s="40" t="n">
        <v>-46.568214</v>
      </c>
      <c r="D11348" s="40" t="n">
        <v>395</v>
      </c>
      <c r="E11348" s="41" t="n">
        <v>15914.051</v>
      </c>
    </row>
    <row r="11349">
      <c r="A11349" s="42">
        <f>_xlfn.XLOOKUP(80167,Trip[shape_id],Trip[shape_id],"Não encontrado")</f>
        <v/>
      </c>
      <c r="B11349" s="43" t="n">
        <v>-23.596491</v>
      </c>
      <c r="C11349" s="43" t="n">
        <v>-46.568152</v>
      </c>
      <c r="D11349" s="43" t="n">
        <v>396</v>
      </c>
      <c r="E11349" s="44" t="n">
        <v>15918.871</v>
      </c>
    </row>
    <row r="11350">
      <c r="A11350" s="39">
        <f>_xlfn.XLOOKUP(80167,Trip[shape_id],Trip[shape_id],"Não encontrado")</f>
        <v/>
      </c>
      <c r="B11350" s="40" t="n">
        <v>-23.596523</v>
      </c>
      <c r="C11350" s="40" t="n">
        <v>-46.56812</v>
      </c>
      <c r="D11350" s="40" t="n">
        <v>397</v>
      </c>
      <c r="E11350" s="41" t="n">
        <v>15935.048</v>
      </c>
    </row>
    <row r="11351">
      <c r="A11351" s="42">
        <f>_xlfn.XLOOKUP(80167,Trip[shape_id],Trip[shape_id],"Não encontrado")</f>
        <v/>
      </c>
      <c r="B11351" s="43" t="n">
        <v>-23.596601</v>
      </c>
      <c r="C11351" s="43" t="n">
        <v>-46.567986</v>
      </c>
      <c r="D11351" s="43" t="n">
        <v>398</v>
      </c>
      <c r="E11351" s="44" t="n">
        <v>15935.048</v>
      </c>
    </row>
    <row r="11352">
      <c r="A11352" s="39">
        <f>_xlfn.XLOOKUP(80167,Trip[shape_id],Trip[shape_id],"Não encontrado")</f>
        <v/>
      </c>
      <c r="B11352" s="40" t="n">
        <v>-23.596695</v>
      </c>
      <c r="C11352" s="40" t="n">
        <v>-46.56765</v>
      </c>
      <c r="D11352" s="40" t="n">
        <v>399</v>
      </c>
      <c r="E11352" s="41" t="n">
        <v>15982.863</v>
      </c>
    </row>
    <row r="11353">
      <c r="A11353" s="42">
        <f>_xlfn.XLOOKUP(80167,Trip[shape_id],Trip[shape_id],"Não encontrado")</f>
        <v/>
      </c>
      <c r="B11353" s="43" t="n">
        <v>-23.596735</v>
      </c>
      <c r="C11353" s="43" t="n">
        <v>-46.567541</v>
      </c>
      <c r="D11353" s="43" t="n">
        <v>400</v>
      </c>
      <c r="E11353" s="44" t="n">
        <v>15996.698</v>
      </c>
    </row>
    <row r="11354">
      <c r="A11354" s="39">
        <f>_xlfn.XLOOKUP(80167,Trip[shape_id],Trip[shape_id],"Não encontrado")</f>
        <v/>
      </c>
      <c r="B11354" s="40" t="n">
        <v>-23.596808</v>
      </c>
      <c r="C11354" s="40" t="n">
        <v>-46.567431</v>
      </c>
      <c r="D11354" s="40" t="n">
        <v>401</v>
      </c>
      <c r="E11354" s="41" t="n">
        <v>16021.981</v>
      </c>
    </row>
    <row r="11355">
      <c r="A11355" s="42">
        <f>_xlfn.XLOOKUP(80167,Trip[shape_id],Trip[shape_id],"Não encontrado")</f>
        <v/>
      </c>
      <c r="B11355" s="43" t="n">
        <v>-23.597013</v>
      </c>
      <c r="C11355" s="43" t="n">
        <v>-46.567322</v>
      </c>
      <c r="D11355" s="43" t="n">
        <v>402</v>
      </c>
      <c r="E11355" s="44" t="n">
        <v>16021.981</v>
      </c>
    </row>
    <row r="11356">
      <c r="A11356" s="39">
        <f>_xlfn.XLOOKUP(80167,Trip[shape_id],Trip[shape_id],"Não encontrado")</f>
        <v/>
      </c>
      <c r="B11356" s="40" t="n">
        <v>-23.59718</v>
      </c>
      <c r="C11356" s="40" t="n">
        <v>-46.567173</v>
      </c>
      <c r="D11356" s="40" t="n">
        <v>403</v>
      </c>
      <c r="E11356" s="41" t="n">
        <v>16067.475</v>
      </c>
    </row>
    <row r="11357">
      <c r="A11357" s="42">
        <f>_xlfn.XLOOKUP(80167,Trip[shape_id],Trip[shape_id],"Não encontrado")</f>
        <v/>
      </c>
      <c r="B11357" s="43" t="n">
        <v>-23.597308</v>
      </c>
      <c r="C11357" s="43" t="n">
        <v>-46.567014</v>
      </c>
      <c r="D11357" s="43" t="n">
        <v>404</v>
      </c>
      <c r="E11357" s="44" t="n">
        <v>16076.61</v>
      </c>
    </row>
    <row r="11358">
      <c r="A11358" s="39">
        <f>_xlfn.XLOOKUP(80167,Trip[shape_id],Trip[shape_id],"Não encontrado")</f>
        <v/>
      </c>
      <c r="B11358" s="40" t="n">
        <v>-23.597345</v>
      </c>
      <c r="C11358" s="40" t="n">
        <v>-46.566934</v>
      </c>
      <c r="D11358" s="40" t="n">
        <v>405</v>
      </c>
      <c r="E11358" s="41" t="n">
        <v>16096.21</v>
      </c>
    </row>
    <row r="11359">
      <c r="A11359" s="42">
        <f>_xlfn.XLOOKUP(80167,Trip[shape_id],Trip[shape_id],"Não encontrado")</f>
        <v/>
      </c>
      <c r="B11359" s="43" t="n">
        <v>-23.597389</v>
      </c>
      <c r="C11359" s="43" t="n">
        <v>-46.566748</v>
      </c>
      <c r="D11359" s="43" t="n">
        <v>406</v>
      </c>
      <c r="E11359" s="44" t="n">
        <v>16096.21</v>
      </c>
    </row>
    <row r="11360">
      <c r="A11360" s="39">
        <f>_xlfn.XLOOKUP(80167,Trip[shape_id],Trip[shape_id],"Não encontrado")</f>
        <v/>
      </c>
      <c r="B11360" s="40" t="n">
        <v>-23.597312</v>
      </c>
      <c r="C11360" s="40" t="n">
        <v>-46.56643</v>
      </c>
      <c r="D11360" s="40" t="n">
        <v>407</v>
      </c>
      <c r="E11360" s="41" t="n">
        <v>16146.495</v>
      </c>
    </row>
    <row r="11361">
      <c r="A11361" s="42">
        <f>_xlfn.XLOOKUP(80167,Trip[shape_id],Trip[shape_id],"Não encontrado")</f>
        <v/>
      </c>
      <c r="B11361" s="43" t="n">
        <v>-23.597232</v>
      </c>
      <c r="C11361" s="43" t="n">
        <v>-46.566291</v>
      </c>
      <c r="D11361" s="43" t="n">
        <v>408</v>
      </c>
      <c r="E11361" s="44" t="n">
        <v>16168.04</v>
      </c>
    </row>
    <row r="11362">
      <c r="A11362" s="39">
        <f>_xlfn.XLOOKUP(80167,Trip[shape_id],Trip[shape_id],"Não encontrado")</f>
        <v/>
      </c>
      <c r="B11362" s="40" t="n">
        <v>-23.597126</v>
      </c>
      <c r="C11362" s="40" t="n">
        <v>-46.566114</v>
      </c>
      <c r="D11362" s="40" t="n">
        <v>409</v>
      </c>
      <c r="E11362" s="41" t="n">
        <v>16178.33</v>
      </c>
    </row>
    <row r="11363">
      <c r="A11363" s="42">
        <f>_xlfn.XLOOKUP(80167,Trip[shape_id],Trip[shape_id],"Não encontrado")</f>
        <v/>
      </c>
      <c r="B11363" s="43" t="n">
        <v>-23.597088</v>
      </c>
      <c r="C11363" s="43" t="n">
        <v>-46.566022</v>
      </c>
      <c r="D11363" s="43" t="n">
        <v>410</v>
      </c>
      <c r="E11363" s="44" t="n">
        <v>16190.824</v>
      </c>
    </row>
    <row r="11364">
      <c r="A11364" s="39">
        <f>_xlfn.XLOOKUP(80167,Trip[shape_id],Trip[shape_id],"Não encontrado")</f>
        <v/>
      </c>
      <c r="B11364" s="40" t="n">
        <v>-23.597058</v>
      </c>
      <c r="C11364" s="40" t="n">
        <v>-46.565904</v>
      </c>
      <c r="D11364" s="40" t="n">
        <v>411</v>
      </c>
      <c r="E11364" s="41" t="n">
        <v>16207.838</v>
      </c>
    </row>
    <row r="11365">
      <c r="A11365" s="42">
        <f>_xlfn.XLOOKUP(80167,Trip[shape_id],Trip[shape_id],"Não encontrado")</f>
        <v/>
      </c>
      <c r="B11365" s="43" t="n">
        <v>-23.597044</v>
      </c>
      <c r="C11365" s="43" t="n">
        <v>-46.565738</v>
      </c>
      <c r="D11365" s="43" t="n">
        <v>412</v>
      </c>
      <c r="E11365" s="44" t="n">
        <v>16207.838</v>
      </c>
    </row>
    <row r="11366">
      <c r="A11366" s="39">
        <f>_xlfn.XLOOKUP(80167,Trip[shape_id],Trip[shape_id],"Não encontrado")</f>
        <v/>
      </c>
      <c r="B11366" s="40" t="n">
        <v>-23.597113</v>
      </c>
      <c r="C11366" s="40" t="n">
        <v>-46.565667</v>
      </c>
      <c r="D11366" s="40" t="n">
        <v>413</v>
      </c>
      <c r="E11366" s="41" t="n">
        <v>16263.006</v>
      </c>
    </row>
    <row r="11367">
      <c r="A11367" s="42">
        <f>_xlfn.XLOOKUP(80167,Trip[shape_id],Trip[shape_id],"Não encontrado")</f>
        <v/>
      </c>
      <c r="B11367" s="43" t="n">
        <v>-23.597335</v>
      </c>
      <c r="C11367" s="43" t="n">
        <v>-46.565302</v>
      </c>
      <c r="D11367" s="43" t="n">
        <v>414</v>
      </c>
      <c r="E11367" s="44" t="n">
        <v>16268.567</v>
      </c>
    </row>
    <row r="11368">
      <c r="A11368" s="39">
        <f>_xlfn.XLOOKUP(80167,Trip[shape_id],Trip[shape_id],"Não encontrado")</f>
        <v/>
      </c>
      <c r="B11368" s="40" t="n">
        <v>-23.59735</v>
      </c>
      <c r="C11368" s="40" t="n">
        <v>-46.56525</v>
      </c>
      <c r="D11368" s="40" t="n">
        <v>415</v>
      </c>
      <c r="E11368" s="41" t="n">
        <v>16268.567</v>
      </c>
    </row>
    <row r="11369">
      <c r="A11369" s="42">
        <f>_xlfn.XLOOKUP(80167,Trip[shape_id],Trip[shape_id],"Não encontrado")</f>
        <v/>
      </c>
      <c r="B11369" s="43" t="n">
        <v>-23.597361</v>
      </c>
      <c r="C11369" s="43" t="n">
        <v>-46.565199</v>
      </c>
      <c r="D11369" s="43" t="n">
        <v>416</v>
      </c>
      <c r="E11369" s="44" t="n">
        <v>16275.956</v>
      </c>
    </row>
    <row r="11370">
      <c r="A11370" s="39">
        <f>_xlfn.XLOOKUP(80167,Trip[shape_id],Trip[shape_id],"Não encontrado")</f>
        <v/>
      </c>
      <c r="B11370" s="40" t="n">
        <v>-23.597362</v>
      </c>
      <c r="C11370" s="40" t="n">
        <v>-46.565179</v>
      </c>
      <c r="D11370" s="40" t="n">
        <v>417</v>
      </c>
      <c r="E11370" s="41" t="n">
        <v>16419.563</v>
      </c>
    </row>
    <row r="11371">
      <c r="A11371" s="42">
        <f>_xlfn.XLOOKUP(80167,Trip[shape_id],Trip[shape_id],"Não encontrado")</f>
        <v/>
      </c>
      <c r="B11371" s="43" t="n">
        <v>-23.597358</v>
      </c>
      <c r="C11371" s="43" t="n">
        <v>-46.563772</v>
      </c>
      <c r="D11371" s="43" t="n">
        <v>418</v>
      </c>
      <c r="E11371" s="44" t="n">
        <v>16419.563</v>
      </c>
    </row>
    <row r="11372">
      <c r="A11372" s="39">
        <f>_xlfn.XLOOKUP(80167,Trip[shape_id],Trip[shape_id],"Não encontrado")</f>
        <v/>
      </c>
      <c r="B11372" s="40" t="n">
        <v>-23.597349</v>
      </c>
      <c r="C11372" s="40" t="n">
        <v>-46.563232</v>
      </c>
      <c r="D11372" s="40" t="n">
        <v>419</v>
      </c>
      <c r="E11372" s="41" t="n">
        <v>16488.264</v>
      </c>
    </row>
    <row r="11373">
      <c r="A11373" s="42">
        <f>_xlfn.XLOOKUP(80167,Trip[shape_id],Trip[shape_id],"Não encontrado")</f>
        <v/>
      </c>
      <c r="B11373" s="43" t="n">
        <v>-23.59735</v>
      </c>
      <c r="C11373" s="43" t="n">
        <v>-46.563099</v>
      </c>
      <c r="D11373" s="43" t="n">
        <v>420</v>
      </c>
      <c r="E11373" s="44" t="n">
        <v>16501.725</v>
      </c>
    </row>
    <row r="11374">
      <c r="A11374" s="39">
        <f>_xlfn.XLOOKUP(80167,Trip[shape_id],Trip[shape_id],"Não encontrado")</f>
        <v/>
      </c>
      <c r="B11374" s="40" t="n">
        <v>-23.597364</v>
      </c>
      <c r="C11374" s="40" t="n">
        <v>-46.562968</v>
      </c>
      <c r="D11374" s="40" t="n">
        <v>421</v>
      </c>
      <c r="E11374" s="41" t="n">
        <v>16519.391</v>
      </c>
    </row>
    <row r="11375">
      <c r="A11375" s="42">
        <f>_xlfn.XLOOKUP(80167,Trip[shape_id],Trip[shape_id],"Não encontrado")</f>
        <v/>
      </c>
      <c r="B11375" s="43" t="n">
        <v>-23.597394</v>
      </c>
      <c r="C11375" s="43" t="n">
        <v>-46.562798</v>
      </c>
      <c r="D11375" s="43" t="n">
        <v>422</v>
      </c>
      <c r="E11375" s="44" t="n">
        <v>16526.582</v>
      </c>
    </row>
    <row r="11376">
      <c r="A11376" s="39">
        <f>_xlfn.XLOOKUP(80167,Trip[shape_id],Trip[shape_id],"Não encontrado")</f>
        <v/>
      </c>
      <c r="B11376" s="40" t="n">
        <v>-23.597411</v>
      </c>
      <c r="C11376" s="40" t="n">
        <v>-46.56273</v>
      </c>
      <c r="D11376" s="40" t="n">
        <v>423</v>
      </c>
      <c r="E11376" s="41" t="n">
        <v>16550.666</v>
      </c>
    </row>
    <row r="11377">
      <c r="A11377" s="42">
        <f>_xlfn.XLOOKUP(80167,Trip[shape_id],Trip[shape_id],"Não encontrado")</f>
        <v/>
      </c>
      <c r="B11377" s="43" t="n">
        <v>-23.597467</v>
      </c>
      <c r="C11377" s="43" t="n">
        <v>-46.562502</v>
      </c>
      <c r="D11377" s="43" t="n">
        <v>424</v>
      </c>
      <c r="E11377" s="44" t="n">
        <v>16581.398</v>
      </c>
    </row>
    <row r="11378">
      <c r="A11378" s="39">
        <f>_xlfn.XLOOKUP(80167,Trip[shape_id],Trip[shape_id],"Não encontrado")</f>
        <v/>
      </c>
      <c r="B11378" s="40" t="n">
        <v>-23.597548</v>
      </c>
      <c r="C11378" s="40" t="n">
        <v>-46.562214</v>
      </c>
      <c r="D11378" s="40" t="n">
        <v>425</v>
      </c>
      <c r="E11378" s="41" t="n">
        <v>16581.398</v>
      </c>
    </row>
    <row r="11379">
      <c r="A11379" s="42">
        <f>_xlfn.XLOOKUP(80167,Trip[shape_id],Trip[shape_id],"Não encontrado")</f>
        <v/>
      </c>
      <c r="B11379" s="43" t="n">
        <v>-23.597724</v>
      </c>
      <c r="C11379" s="43" t="n">
        <v>-46.561562</v>
      </c>
      <c r="D11379" s="43" t="n">
        <v>426</v>
      </c>
      <c r="E11379" s="44" t="n">
        <v>16668.424</v>
      </c>
    </row>
    <row r="11380">
      <c r="A11380" s="39">
        <f>_xlfn.XLOOKUP(80167,Trip[shape_id],Trip[shape_id],"Não encontrado")</f>
        <v/>
      </c>
      <c r="B11380" s="40" t="n">
        <v>-23.597763</v>
      </c>
      <c r="C11380" s="40" t="n">
        <v>-46.561394</v>
      </c>
      <c r="D11380" s="40" t="n">
        <v>427</v>
      </c>
      <c r="E11380" s="41" t="n">
        <v>16680.881</v>
      </c>
    </row>
    <row r="11381">
      <c r="A11381" s="42">
        <f>_xlfn.XLOOKUP(80167,Trip[shape_id],Trip[shape_id],"Não encontrado")</f>
        <v/>
      </c>
      <c r="B11381" s="43" t="n">
        <v>-23.597788</v>
      </c>
      <c r="C11381" s="43" t="n">
        <v>-46.561275</v>
      </c>
      <c r="D11381" s="43" t="n">
        <v>428</v>
      </c>
      <c r="E11381" s="44" t="n">
        <v>16692.326</v>
      </c>
    </row>
    <row r="11382">
      <c r="A11382" s="39">
        <f>_xlfn.XLOOKUP(80167,Trip[shape_id],Trip[shape_id],"Não encontrado")</f>
        <v/>
      </c>
      <c r="B11382" s="40" t="n">
        <v>-23.597783</v>
      </c>
      <c r="C11382" s="40" t="n">
        <v>-46.561163</v>
      </c>
      <c r="D11382" s="40" t="n">
        <v>429</v>
      </c>
      <c r="E11382" s="41" t="n">
        <v>16692.326</v>
      </c>
    </row>
    <row r="11383">
      <c r="A11383" s="42">
        <f>_xlfn.XLOOKUP(80167,Trip[shape_id],Trip[shape_id],"Não encontrado")</f>
        <v/>
      </c>
      <c r="B11383" s="43" t="n">
        <v>-23.597786</v>
      </c>
      <c r="C11383" s="43" t="n">
        <v>-46.56108</v>
      </c>
      <c r="D11383" s="43" t="n">
        <v>430</v>
      </c>
      <c r="E11383" s="44" t="n">
        <v>16715.461</v>
      </c>
    </row>
    <row r="11384">
      <c r="A11384" s="39">
        <f>_xlfn.XLOOKUP(80167,Trip[shape_id],Trip[shape_id],"Não encontrado")</f>
        <v/>
      </c>
      <c r="B11384" s="40" t="n">
        <v>-23.597774</v>
      </c>
      <c r="C11384" s="40" t="n">
        <v>-46.560937</v>
      </c>
      <c r="D11384" s="40" t="n">
        <v>431</v>
      </c>
      <c r="E11384" s="41" t="n">
        <v>16734.242</v>
      </c>
    </row>
    <row r="11385">
      <c r="A11385" s="42">
        <f>_xlfn.XLOOKUP(80167,Trip[shape_id],Trip[shape_id],"Não encontrado")</f>
        <v/>
      </c>
      <c r="B11385" s="43" t="n">
        <v>-23.597749</v>
      </c>
      <c r="C11385" s="43" t="n">
        <v>-46.560755</v>
      </c>
      <c r="D11385" s="43" t="n">
        <v>432</v>
      </c>
      <c r="E11385" s="44" t="n">
        <v>16762.742</v>
      </c>
    </row>
    <row r="11386">
      <c r="A11386" s="39">
        <f>_xlfn.XLOOKUP(80167,Trip[shape_id],Trip[shape_id],"Não encontrado")</f>
        <v/>
      </c>
      <c r="B11386" s="40" t="n">
        <v>-23.59768</v>
      </c>
      <c r="C11386" s="40" t="n">
        <v>-46.560486</v>
      </c>
      <c r="D11386" s="40" t="n">
        <v>433</v>
      </c>
      <c r="E11386" s="41" t="n">
        <v>16794.195</v>
      </c>
    </row>
    <row r="11387">
      <c r="A11387" s="42">
        <f>_xlfn.XLOOKUP(80167,Trip[shape_id],Trip[shape_id],"Não encontrado")</f>
        <v/>
      </c>
      <c r="B11387" s="43" t="n">
        <v>-23.597601</v>
      </c>
      <c r="C11387" s="43" t="n">
        <v>-46.56019</v>
      </c>
      <c r="D11387" s="43" t="n">
        <v>434</v>
      </c>
      <c r="E11387" s="44" t="n">
        <v>16794.195</v>
      </c>
    </row>
    <row r="11388">
      <c r="A11388" s="39">
        <f>_xlfn.XLOOKUP(80167,Trip[shape_id],Trip[shape_id],"Não encontrado")</f>
        <v/>
      </c>
      <c r="B11388" s="40" t="n">
        <v>-23.597564</v>
      </c>
      <c r="C11388" s="40" t="n">
        <v>-46.560064</v>
      </c>
      <c r="D11388" s="40" t="n">
        <v>435</v>
      </c>
      <c r="E11388" s="41" t="n">
        <v>16840.906</v>
      </c>
    </row>
    <row r="11389">
      <c r="A11389" s="42">
        <f>_xlfn.XLOOKUP(80167,Trip[shape_id],Trip[shape_id],"Não encontrado")</f>
        <v/>
      </c>
      <c r="B11389" s="43" t="n">
        <v>-23.59747</v>
      </c>
      <c r="C11389" s="43" t="n">
        <v>-46.559755</v>
      </c>
      <c r="D11389" s="43" t="n">
        <v>436</v>
      </c>
      <c r="E11389" s="44" t="n">
        <v>16848.148</v>
      </c>
    </row>
    <row r="11390">
      <c r="A11390" s="39">
        <f>_xlfn.XLOOKUP(80167,Trip[shape_id],Trip[shape_id],"Não encontrado")</f>
        <v/>
      </c>
      <c r="B11390" s="40" t="n">
        <v>-23.597446</v>
      </c>
      <c r="C11390" s="40" t="n">
        <v>-46.559689</v>
      </c>
      <c r="D11390" s="40" t="n">
        <v>437</v>
      </c>
      <c r="E11390" s="41" t="n">
        <v>16848.148</v>
      </c>
    </row>
    <row r="11391">
      <c r="A11391" s="42">
        <f>_xlfn.XLOOKUP(80167,Trip[shape_id],Trip[shape_id],"Não encontrado")</f>
        <v/>
      </c>
      <c r="B11391" s="43" t="n">
        <v>-23.597354</v>
      </c>
      <c r="C11391" s="43" t="n">
        <v>-46.559446</v>
      </c>
      <c r="D11391" s="43" t="n">
        <v>438</v>
      </c>
      <c r="E11391" s="44" t="n">
        <v>16874.961</v>
      </c>
    </row>
    <row r="11392">
      <c r="A11392" s="39">
        <f>_xlfn.XLOOKUP(80167,Trip[shape_id],Trip[shape_id],"Não encontrado")</f>
        <v/>
      </c>
      <c r="B11392" s="40" t="n">
        <v>-23.597337</v>
      </c>
      <c r="C11392" s="40" t="n">
        <v>-46.559405</v>
      </c>
      <c r="D11392" s="40" t="n">
        <v>439</v>
      </c>
      <c r="E11392" s="41" t="n">
        <v>16879.551</v>
      </c>
    </row>
    <row r="11393">
      <c r="A11393" s="42">
        <f>_xlfn.XLOOKUP(80167,Trip[shape_id],Trip[shape_id],"Não encontrado")</f>
        <v/>
      </c>
      <c r="B11393" s="43" t="n">
        <v>-23.59731</v>
      </c>
      <c r="C11393" s="43" t="n">
        <v>-46.559369</v>
      </c>
      <c r="D11393" s="43" t="n">
        <v>440</v>
      </c>
      <c r="E11393" s="44" t="n">
        <v>16884.287</v>
      </c>
    </row>
    <row r="11394">
      <c r="A11394" s="39">
        <f>_xlfn.XLOOKUP(80167,Trip[shape_id],Trip[shape_id],"Não encontrado")</f>
        <v/>
      </c>
      <c r="B11394" s="40" t="n">
        <v>-23.597281</v>
      </c>
      <c r="C11394" s="40" t="n">
        <v>-46.559339</v>
      </c>
      <c r="D11394" s="40" t="n">
        <v>441</v>
      </c>
      <c r="E11394" s="41" t="n">
        <v>16888.725</v>
      </c>
    </row>
    <row r="11395">
      <c r="A11395" s="42">
        <f>_xlfn.XLOOKUP(80167,Trip[shape_id],Trip[shape_id],"Não encontrado")</f>
        <v/>
      </c>
      <c r="B11395" s="43" t="n">
        <v>-23.59724</v>
      </c>
      <c r="C11395" s="43" t="n">
        <v>-46.55931</v>
      </c>
      <c r="D11395" s="43" t="n">
        <v>442</v>
      </c>
      <c r="E11395" s="44" t="n">
        <v>16904.668</v>
      </c>
    </row>
    <row r="11396">
      <c r="A11396" s="39">
        <f>_xlfn.XLOOKUP(80167,Trip[shape_id],Trip[shape_id],"Não encontrado")</f>
        <v/>
      </c>
      <c r="B11396" s="40" t="n">
        <v>-23.597167</v>
      </c>
      <c r="C11396" s="40" t="n">
        <v>-46.559244</v>
      </c>
      <c r="D11396" s="40" t="n">
        <v>443</v>
      </c>
      <c r="E11396" s="41" t="n">
        <v>16904.668</v>
      </c>
    </row>
    <row r="11397">
      <c r="A11397" s="42">
        <f>_xlfn.XLOOKUP(80167,Trip[shape_id],Trip[shape_id],"Não encontrado")</f>
        <v/>
      </c>
      <c r="B11397" s="43" t="n">
        <v>-23.597028</v>
      </c>
      <c r="C11397" s="43" t="n">
        <v>-46.559133</v>
      </c>
      <c r="D11397" s="43" t="n">
        <v>444</v>
      </c>
      <c r="E11397" s="44" t="n">
        <v>16938.086</v>
      </c>
    </row>
    <row r="11398">
      <c r="A11398" s="39">
        <f>_xlfn.XLOOKUP(80167,Trip[shape_id],Trip[shape_id],"Não encontrado")</f>
        <v/>
      </c>
      <c r="B11398" s="40" t="n">
        <v>-23.596929</v>
      </c>
      <c r="C11398" s="40" t="n">
        <v>-46.559043</v>
      </c>
      <c r="D11398" s="40" t="n">
        <v>445</v>
      </c>
      <c r="E11398" s="41" t="n">
        <v>16953.961</v>
      </c>
    </row>
    <row r="11399">
      <c r="A11399" s="42">
        <f>_xlfn.XLOOKUP(80167,Trip[shape_id],Trip[shape_id],"Não encontrado")</f>
        <v/>
      </c>
      <c r="B11399" s="43" t="n">
        <v>-23.59682</v>
      </c>
      <c r="C11399" s="43" t="n">
        <v>-46.558942</v>
      </c>
      <c r="D11399" s="43" t="n">
        <v>446</v>
      </c>
      <c r="E11399" s="44" t="n">
        <v>16960.832</v>
      </c>
    </row>
    <row r="11400">
      <c r="A11400" s="39">
        <f>_xlfn.XLOOKUP(80167,Trip[shape_id],Trip[shape_id],"Não encontrado")</f>
        <v/>
      </c>
      <c r="B11400" s="40" t="n">
        <v>-23.596764</v>
      </c>
      <c r="C11400" s="40" t="n">
        <v>-46.558913</v>
      </c>
      <c r="D11400" s="40" t="n">
        <v>447</v>
      </c>
      <c r="E11400" s="41" t="n">
        <v>16965.713</v>
      </c>
    </row>
    <row r="11401">
      <c r="A11401" s="42">
        <f>_xlfn.XLOOKUP(80167,Trip[shape_id],Trip[shape_id],"Não encontrado")</f>
        <v/>
      </c>
      <c r="B11401" s="43" t="n">
        <v>-23.596752</v>
      </c>
      <c r="C11401" s="43" t="n">
        <v>-46.558867</v>
      </c>
      <c r="D11401" s="43" t="n">
        <v>448</v>
      </c>
      <c r="E11401" s="44" t="n">
        <v>16977.496</v>
      </c>
    </row>
    <row r="11402">
      <c r="A11402" s="39">
        <f>_xlfn.XLOOKUP(80167,Trip[shape_id],Trip[shape_id],"Não encontrado")</f>
        <v/>
      </c>
      <c r="B11402" s="40" t="n">
        <v>-23.59668</v>
      </c>
      <c r="C11402" s="40" t="n">
        <v>-46.558782</v>
      </c>
      <c r="D11402" s="40" t="n">
        <v>449</v>
      </c>
      <c r="E11402" s="41" t="n">
        <v>16977.496</v>
      </c>
    </row>
    <row r="11403">
      <c r="A11403" s="42">
        <f>_xlfn.XLOOKUP(80167,Trip[shape_id],Trip[shape_id],"Não encontrado")</f>
        <v/>
      </c>
      <c r="B11403" s="43" t="n">
        <v>-23.596446</v>
      </c>
      <c r="C11403" s="43" t="n">
        <v>-46.558721</v>
      </c>
      <c r="D11403" s="43" t="n">
        <v>450</v>
      </c>
      <c r="E11403" s="44" t="n">
        <v>17039.871</v>
      </c>
    </row>
    <row r="11404">
      <c r="A11404" s="39">
        <f>_xlfn.XLOOKUP(80167,Trip[shape_id],Trip[shape_id],"Não encontrado")</f>
        <v/>
      </c>
      <c r="B11404" s="40" t="n">
        <v>-23.59615</v>
      </c>
      <c r="C11404" s="40" t="n">
        <v>-46.558582</v>
      </c>
      <c r="D11404" s="40" t="n">
        <v>451</v>
      </c>
      <c r="E11404" s="41" t="n">
        <v>17048.164</v>
      </c>
    </row>
    <row r="11405">
      <c r="A11405" s="42">
        <f>_xlfn.XLOOKUP(80167,Trip[shape_id],Trip[shape_id],"Não encontrado")</f>
        <v/>
      </c>
      <c r="B11405" s="43" t="n">
        <v>-23.596082</v>
      </c>
      <c r="C11405" s="43" t="n">
        <v>-46.558548</v>
      </c>
      <c r="D11405" s="43" t="n">
        <v>452</v>
      </c>
      <c r="E11405" s="44" t="n">
        <v>17063.318</v>
      </c>
    </row>
    <row r="11406">
      <c r="A11406" s="39">
        <f>_xlfn.XLOOKUP(80167,Trip[shape_id],Trip[shape_id],"Não encontrado")</f>
        <v/>
      </c>
      <c r="B11406" s="40" t="n">
        <v>-23.595965</v>
      </c>
      <c r="C11406" s="40" t="n">
        <v>-46.558471</v>
      </c>
      <c r="D11406" s="40" t="n">
        <v>453</v>
      </c>
      <c r="E11406" s="41" t="n">
        <v>17091.783</v>
      </c>
    </row>
    <row r="11407">
      <c r="A11407" s="42">
        <f>_xlfn.XLOOKUP(80167,Trip[shape_id],Trip[shape_id],"Não encontrado")</f>
        <v/>
      </c>
      <c r="B11407" s="43" t="n">
        <v>-23.595776</v>
      </c>
      <c r="C11407" s="43" t="n">
        <v>-46.558282</v>
      </c>
      <c r="D11407" s="43" t="n">
        <v>454</v>
      </c>
      <c r="E11407" s="44" t="n">
        <v>17109.436</v>
      </c>
    </row>
    <row r="11408">
      <c r="A11408" s="39">
        <f>_xlfn.XLOOKUP(80167,Trip[shape_id],Trip[shape_id],"Não encontrado")</f>
        <v/>
      </c>
      <c r="B11408" s="40" t="n">
        <v>-23.595685</v>
      </c>
      <c r="C11408" s="40" t="n">
        <v>-46.55814</v>
      </c>
      <c r="D11408" s="40" t="n">
        <v>455</v>
      </c>
      <c r="E11408" s="41" t="n">
        <v>17119.393</v>
      </c>
    </row>
    <row r="11409">
      <c r="A11409" s="42">
        <f>_xlfn.XLOOKUP(80167,Trip[shape_id],Trip[shape_id],"Não encontrado")</f>
        <v/>
      </c>
      <c r="B11409" s="43" t="n">
        <v>-23.595661</v>
      </c>
      <c r="C11409" s="43" t="n">
        <v>-46.558046</v>
      </c>
      <c r="D11409" s="43" t="n">
        <v>456</v>
      </c>
      <c r="E11409" s="44" t="n">
        <v>17138.586</v>
      </c>
    </row>
    <row r="11410">
      <c r="A11410" s="39">
        <f>_xlfn.XLOOKUP(80167,Trip[shape_id],Trip[shape_id],"Não encontrado")</f>
        <v/>
      </c>
      <c r="B11410" s="40" t="n">
        <v>-23.595665</v>
      </c>
      <c r="C11410" s="40" t="n">
        <v>-46.557858</v>
      </c>
      <c r="D11410" s="40" t="n">
        <v>457</v>
      </c>
      <c r="E11410" s="41" t="n">
        <v>17150.33</v>
      </c>
    </row>
    <row r="11411">
      <c r="A11411" s="42">
        <f>_xlfn.XLOOKUP(80167,Trip[shape_id],Trip[shape_id],"Não encontrado")</f>
        <v/>
      </c>
      <c r="B11411" s="43" t="n">
        <v>-23.595685</v>
      </c>
      <c r="C11411" s="43" t="n">
        <v>-46.557745</v>
      </c>
      <c r="D11411" s="43" t="n">
        <v>458</v>
      </c>
      <c r="E11411" s="44" t="n">
        <v>17213.004</v>
      </c>
    </row>
    <row r="11412">
      <c r="A11412" s="39">
        <f>_xlfn.XLOOKUP(80167,Trip[shape_id],Trip[shape_id],"Não encontrado")</f>
        <v/>
      </c>
      <c r="B11412" s="40" t="n">
        <v>-23.595886</v>
      </c>
      <c r="C11412" s="40" t="n">
        <v>-46.557171</v>
      </c>
      <c r="D11412" s="40" t="n">
        <v>459</v>
      </c>
      <c r="E11412" s="41" t="n">
        <v>17230.99</v>
      </c>
    </row>
    <row r="11413">
      <c r="A11413" s="42">
        <f>_xlfn.XLOOKUP(80167,Trip[shape_id],Trip[shape_id],"Não encontrado")</f>
        <v/>
      </c>
      <c r="B11413" s="43" t="n">
        <v>-23.595943</v>
      </c>
      <c r="C11413" s="43" t="n">
        <v>-46.557006</v>
      </c>
      <c r="D11413" s="43" t="n">
        <v>460</v>
      </c>
      <c r="E11413" s="44" t="n">
        <v>17271.908</v>
      </c>
    </row>
    <row r="11414">
      <c r="A11414" s="39">
        <f>_xlfn.XLOOKUP(80167,Trip[shape_id],Trip[shape_id],"Não encontrado")</f>
        <v/>
      </c>
      <c r="B11414" s="40" t="n">
        <v>-23.596083</v>
      </c>
      <c r="C11414" s="40" t="n">
        <v>-46.556635</v>
      </c>
      <c r="D11414" s="40" t="n">
        <v>461</v>
      </c>
      <c r="E11414" s="41" t="n">
        <v>17311.27</v>
      </c>
    </row>
    <row r="11415">
      <c r="A11415" s="42">
        <f>_xlfn.XLOOKUP(80167,Trip[shape_id],Trip[shape_id],"Não encontrado")</f>
        <v/>
      </c>
      <c r="B11415" s="43" t="n">
        <v>-23.596195</v>
      </c>
      <c r="C11415" s="43" t="n">
        <v>-46.556269</v>
      </c>
      <c r="D11415" s="43" t="n">
        <v>462</v>
      </c>
      <c r="E11415" s="44" t="n">
        <v>17311.27</v>
      </c>
    </row>
    <row r="11416">
      <c r="A11416" s="39">
        <f>_xlfn.XLOOKUP(80167,Trip[shape_id],Trip[shape_id],"Não encontrado")</f>
        <v/>
      </c>
      <c r="B11416" s="40" t="n">
        <v>-23.596216</v>
      </c>
      <c r="C11416" s="40" t="n">
        <v>-46.556217</v>
      </c>
      <c r="D11416" s="40" t="n">
        <v>463</v>
      </c>
      <c r="E11416" s="41" t="n">
        <v>17317.064</v>
      </c>
    </row>
    <row r="11417">
      <c r="A11417" s="42">
        <f>_xlfn.XLOOKUP(80167,Trip[shape_id],Trip[shape_id],"Não encontrado")</f>
        <v/>
      </c>
      <c r="B11417" s="43" t="n">
        <v>-23.596378</v>
      </c>
      <c r="C11417" s="43" t="n">
        <v>-46.555744</v>
      </c>
      <c r="D11417" s="43" t="n">
        <v>464</v>
      </c>
      <c r="E11417" s="44" t="n">
        <v>17375.875</v>
      </c>
    </row>
    <row r="11418">
      <c r="A11418" s="39">
        <f>_xlfn.XLOOKUP(80167,Trip[shape_id],Trip[shape_id],"Não encontrado")</f>
        <v/>
      </c>
      <c r="B11418" s="40" t="n">
        <v>-23.596411</v>
      </c>
      <c r="C11418" s="40" t="n">
        <v>-46.555682</v>
      </c>
      <c r="D11418" s="40" t="n">
        <v>465</v>
      </c>
      <c r="E11418" s="41" t="n">
        <v>17375.875</v>
      </c>
    </row>
    <row r="11419">
      <c r="A11419" s="42">
        <f>_xlfn.XLOOKUP(80167,Trip[shape_id],Trip[shape_id],"Não encontrado")</f>
        <v/>
      </c>
      <c r="B11419" s="43" t="n">
        <v>-23.596399</v>
      </c>
      <c r="C11419" s="43" t="n">
        <v>-46.555648</v>
      </c>
      <c r="D11419" s="43" t="n">
        <v>466</v>
      </c>
      <c r="E11419" s="44" t="n">
        <v>17379.592</v>
      </c>
    </row>
    <row r="11420">
      <c r="A11420" s="39">
        <f>_xlfn.XLOOKUP(80167,Trip[shape_id],Trip[shape_id],"Não encontrado")</f>
        <v/>
      </c>
      <c r="B11420" s="40" t="n">
        <v>-23.596383</v>
      </c>
      <c r="C11420" s="40" t="n">
        <v>-46.555605</v>
      </c>
      <c r="D11420" s="40" t="n">
        <v>467</v>
      </c>
      <c r="E11420" s="41" t="n">
        <v>17384.324</v>
      </c>
    </row>
    <row r="11421">
      <c r="A11421" s="42">
        <f>_xlfn.XLOOKUP(80167,Trip[shape_id],Trip[shape_id],"Não encontrado")</f>
        <v/>
      </c>
      <c r="B11421" s="43" t="n">
        <v>-23.596361</v>
      </c>
      <c r="C11421" s="43" t="n">
        <v>-46.555548</v>
      </c>
      <c r="D11421" s="43" t="n">
        <v>468</v>
      </c>
      <c r="E11421" s="44" t="n">
        <v>17390.631</v>
      </c>
    </row>
    <row r="11422">
      <c r="A11422" s="39">
        <f>_xlfn.XLOOKUP(80167,Trip[shape_id],Trip[shape_id],"Não encontrado")</f>
        <v/>
      </c>
      <c r="B11422" s="40" t="n">
        <v>-23.596291</v>
      </c>
      <c r="C11422" s="40" t="n">
        <v>-46.555438</v>
      </c>
      <c r="D11422" s="40" t="n">
        <v>469</v>
      </c>
      <c r="E11422" s="41" t="n">
        <v>17404.275</v>
      </c>
    </row>
    <row r="11423">
      <c r="A11423" s="42">
        <f>_xlfn.XLOOKUP(80167,Trip[shape_id],Trip[shape_id],"Não encontrado")</f>
        <v/>
      </c>
      <c r="B11423" s="43" t="n">
        <v>-23.596202</v>
      </c>
      <c r="C11423" s="43" t="n">
        <v>-46.555349</v>
      </c>
      <c r="D11423" s="43" t="n">
        <v>470</v>
      </c>
      <c r="E11423" s="44" t="n">
        <v>17417.68</v>
      </c>
    </row>
    <row r="11424">
      <c r="A11424" s="39">
        <f>_xlfn.XLOOKUP(80167,Trip[shape_id],Trip[shape_id],"Não encontrado")</f>
        <v/>
      </c>
      <c r="B11424" s="40" t="n">
        <v>-23.596084</v>
      </c>
      <c r="C11424" s="40" t="n">
        <v>-46.5553</v>
      </c>
      <c r="D11424" s="40" t="n">
        <v>471</v>
      </c>
      <c r="E11424" s="41" t="n">
        <v>17431.672</v>
      </c>
    </row>
    <row r="11425">
      <c r="A11425" s="42">
        <f>_xlfn.XLOOKUP(80167,Trip[shape_id],Trip[shape_id],"Não encontrado")</f>
        <v/>
      </c>
      <c r="B11425" s="43" t="n">
        <v>-23.595959</v>
      </c>
      <c r="C11425" s="43" t="n">
        <v>-46.555268</v>
      </c>
      <c r="D11425" s="43" t="n">
        <v>472</v>
      </c>
      <c r="E11425" s="44" t="n">
        <v>17445.896</v>
      </c>
    </row>
    <row r="11426">
      <c r="A11426" s="39">
        <f>_xlfn.XLOOKUP(80167,Trip[shape_id],Trip[shape_id],"Não encontrado")</f>
        <v/>
      </c>
      <c r="B11426" s="40" t="n">
        <v>-23.595852</v>
      </c>
      <c r="C11426" s="40" t="n">
        <v>-46.555238</v>
      </c>
      <c r="D11426" s="40" t="n">
        <v>473</v>
      </c>
      <c r="E11426" s="41" t="n">
        <v>17458.137</v>
      </c>
    </row>
    <row r="11427">
      <c r="A11427" s="42">
        <f>_xlfn.XLOOKUP(80167,Trip[shape_id],Trip[shape_id],"Não encontrado")</f>
        <v/>
      </c>
      <c r="B11427" s="43" t="n">
        <v>-23.595711</v>
      </c>
      <c r="C11427" s="43" t="n">
        <v>-46.555207</v>
      </c>
      <c r="D11427" s="43" t="n">
        <v>474</v>
      </c>
      <c r="E11427" s="44" t="n">
        <v>17474.07</v>
      </c>
    </row>
    <row r="11428">
      <c r="A11428" s="39">
        <f>_xlfn.XLOOKUP(80167,Trip[shape_id],Trip[shape_id],"Não encontrado")</f>
        <v/>
      </c>
      <c r="B11428" s="40" t="n">
        <v>-23.595338</v>
      </c>
      <c r="C11428" s="40" t="n">
        <v>-46.555146</v>
      </c>
      <c r="D11428" s="40" t="n">
        <v>475</v>
      </c>
      <c r="E11428" s="41" t="n">
        <v>17515.848</v>
      </c>
    </row>
    <row r="11429">
      <c r="A11429" s="42">
        <f>_xlfn.XLOOKUP(80167,Trip[shape_id],Trip[shape_id],"Não encontrado")</f>
        <v/>
      </c>
      <c r="B11429" s="43" t="n">
        <v>-23.595225</v>
      </c>
      <c r="C11429" s="43" t="n">
        <v>-46.555083</v>
      </c>
      <c r="D11429" s="43" t="n">
        <v>476</v>
      </c>
      <c r="E11429" s="44" t="n">
        <v>17529.918</v>
      </c>
    </row>
    <row r="11430">
      <c r="A11430" s="39">
        <f>_xlfn.XLOOKUP(80167,Trip[shape_id],Trip[shape_id],"Não encontrado")</f>
        <v/>
      </c>
      <c r="B11430" s="40" t="n">
        <v>-23.594553</v>
      </c>
      <c r="C11430" s="40" t="n">
        <v>-46.554703</v>
      </c>
      <c r="D11430" s="40" t="n">
        <v>477</v>
      </c>
      <c r="E11430" s="41" t="n">
        <v>17613.844</v>
      </c>
    </row>
    <row r="11431">
      <c r="A11431" s="42">
        <f>_xlfn.XLOOKUP(80167,Trip[shape_id],Trip[shape_id],"Não encontrado")</f>
        <v/>
      </c>
      <c r="B11431" s="43" t="n">
        <v>-23.594061</v>
      </c>
      <c r="C11431" s="43" t="n">
        <v>-46.554377</v>
      </c>
      <c r="D11431" s="43" t="n">
        <v>478</v>
      </c>
      <c r="E11431" s="44" t="n">
        <v>17677.689</v>
      </c>
    </row>
    <row r="11432">
      <c r="A11432" s="39">
        <f>_xlfn.XLOOKUP(80167,Trip[shape_id],Trip[shape_id],"Não encontrado")</f>
        <v/>
      </c>
      <c r="B11432" s="40" t="n">
        <v>-23.594115</v>
      </c>
      <c r="C11432" s="40" t="n">
        <v>-46.554219</v>
      </c>
      <c r="D11432" s="40" t="n">
        <v>479</v>
      </c>
      <c r="E11432" s="41" t="n">
        <v>17732.576</v>
      </c>
    </row>
    <row r="11433">
      <c r="A11433" s="42">
        <f>_xlfn.XLOOKUP(80167,Trip[shape_id],Trip[shape_id],"Não encontrado")</f>
        <v/>
      </c>
      <c r="B11433" s="43" t="n">
        <v>-23.594262</v>
      </c>
      <c r="C11433" s="43" t="n">
        <v>-46.553886</v>
      </c>
      <c r="D11433" s="43" t="n">
        <v>480</v>
      </c>
      <c r="E11433" s="44" t="n">
        <v>17732.576</v>
      </c>
    </row>
    <row r="11434">
      <c r="A11434" s="39">
        <f>_xlfn.XLOOKUP(80167,Trip[shape_id],Trip[shape_id],"Não encontrado")</f>
        <v/>
      </c>
      <c r="B11434" s="40" t="n">
        <v>-23.594299</v>
      </c>
      <c r="C11434" s="40" t="n">
        <v>-46.553822</v>
      </c>
      <c r="D11434" s="40" t="n">
        <v>481</v>
      </c>
      <c r="E11434" s="41" t="n">
        <v>17757.01</v>
      </c>
    </row>
    <row r="11435">
      <c r="A11435" s="42">
        <f>_xlfn.XLOOKUP(80167,Trip[shape_id],Trip[shape_id],"Não encontrado")</f>
        <v/>
      </c>
      <c r="B11435" s="43" t="n">
        <v>-23.594327</v>
      </c>
      <c r="C11435" s="43" t="n">
        <v>-46.553661</v>
      </c>
      <c r="D11435" s="43" t="n">
        <v>482</v>
      </c>
      <c r="E11435" s="44" t="n">
        <v>17766.766</v>
      </c>
    </row>
    <row r="11436">
      <c r="A11436" s="39">
        <f>_xlfn.XLOOKUP(80167,Trip[shape_id],Trip[shape_id],"Não encontrado")</f>
        <v/>
      </c>
      <c r="B11436" s="40" t="n">
        <v>-23.594311</v>
      </c>
      <c r="C11436" s="40" t="n">
        <v>-46.553567</v>
      </c>
      <c r="D11436" s="40" t="n">
        <v>483</v>
      </c>
      <c r="E11436" s="41" t="n">
        <v>17766.766</v>
      </c>
    </row>
    <row r="11437">
      <c r="A11437" s="42">
        <f>_xlfn.XLOOKUP(80167,Trip[shape_id],Trip[shape_id],"Não encontrado")</f>
        <v/>
      </c>
      <c r="B11437" s="43" t="n">
        <v>-23.594268</v>
      </c>
      <c r="C11437" s="43" t="n">
        <v>-46.553369</v>
      </c>
      <c r="D11437" s="43" t="n">
        <v>484</v>
      </c>
      <c r="E11437" s="44" t="n">
        <v>17793.889</v>
      </c>
    </row>
    <row r="11438">
      <c r="A11438" s="39">
        <f>_xlfn.XLOOKUP(80167,Trip[shape_id],Trip[shape_id],"Não encontrado")</f>
        <v/>
      </c>
      <c r="B11438" s="40" t="n">
        <v>-23.594241</v>
      </c>
      <c r="C11438" s="40" t="n">
        <v>-46.553314</v>
      </c>
      <c r="D11438" s="40" t="n">
        <v>485</v>
      </c>
      <c r="E11438" s="41" t="n">
        <v>17793.889</v>
      </c>
    </row>
    <row r="11439">
      <c r="A11439" s="42">
        <f>_xlfn.XLOOKUP(80167,Trip[shape_id],Trip[shape_id],"Não encontrado")</f>
        <v/>
      </c>
      <c r="B11439" s="43" t="n">
        <v>-23.593751</v>
      </c>
      <c r="C11439" s="43" t="n">
        <v>-46.552887</v>
      </c>
      <c r="D11439" s="43" t="n">
        <v>486</v>
      </c>
      <c r="E11439" s="44" t="n">
        <v>17926.223</v>
      </c>
    </row>
    <row r="11440">
      <c r="A11440" s="39">
        <f>_xlfn.XLOOKUP(80167,Trip[shape_id],Trip[shape_id],"Não encontrado")</f>
        <v/>
      </c>
      <c r="B11440" s="40" t="n">
        <v>-23.593311</v>
      </c>
      <c r="C11440" s="40" t="n">
        <v>-46.5525</v>
      </c>
      <c r="D11440" s="40" t="n">
        <v>487</v>
      </c>
      <c r="E11440" s="41" t="n">
        <v>17926.223</v>
      </c>
    </row>
    <row r="11441">
      <c r="A11441" s="42">
        <f>_xlfn.XLOOKUP(80167,Trip[shape_id],Trip[shape_id],"Não encontrado")</f>
        <v/>
      </c>
      <c r="B11441" s="43" t="n">
        <v>-23.593063</v>
      </c>
      <c r="C11441" s="43" t="n">
        <v>-46.552277</v>
      </c>
      <c r="D11441" s="43" t="n">
        <v>488</v>
      </c>
      <c r="E11441" s="44" t="n">
        <v>17961.895</v>
      </c>
    </row>
    <row r="11442">
      <c r="A11442" s="39">
        <f>_xlfn.XLOOKUP(80167,Trip[shape_id],Trip[shape_id],"Não encontrado")</f>
        <v/>
      </c>
      <c r="B11442" s="40" t="n">
        <v>-23.592399</v>
      </c>
      <c r="C11442" s="40" t="n">
        <v>-46.55168</v>
      </c>
      <c r="D11442" s="40" t="n">
        <v>489</v>
      </c>
      <c r="E11442" s="41" t="n">
        <v>18141.049</v>
      </c>
    </row>
    <row r="11443">
      <c r="A11443" s="42">
        <f>_xlfn.XLOOKUP(80167,Trip[shape_id],Trip[shape_id],"Não encontrado")</f>
        <v/>
      </c>
      <c r="B11443" s="43" t="n">
        <v>-23.591816</v>
      </c>
      <c r="C11443" s="43" t="n">
        <v>-46.551159</v>
      </c>
      <c r="D11443" s="43" t="n">
        <v>490</v>
      </c>
      <c r="E11443" s="44" t="n">
        <v>18141.049</v>
      </c>
    </row>
    <row r="11444">
      <c r="A11444" s="39">
        <f>_xlfn.XLOOKUP(80167,Trip[shape_id],Trip[shape_id],"Não encontrado")</f>
        <v/>
      </c>
      <c r="B11444" s="40" t="n">
        <v>-23.591766</v>
      </c>
      <c r="C11444" s="40" t="n">
        <v>-46.551117</v>
      </c>
      <c r="D11444" s="40" t="n">
        <v>491</v>
      </c>
      <c r="E11444" s="41" t="n">
        <v>18148.051</v>
      </c>
    </row>
    <row r="11445">
      <c r="A11445" s="42">
        <f>_xlfn.XLOOKUP(80167,Trip[shape_id],Trip[shape_id],"Não encontrado")</f>
        <v/>
      </c>
      <c r="B11445" s="43" t="n">
        <v>-23.591262</v>
      </c>
      <c r="C11445" s="43" t="n">
        <v>-46.550676</v>
      </c>
      <c r="D11445" s="43" t="n">
        <v>492</v>
      </c>
      <c r="E11445" s="44" t="n">
        <v>18231.055</v>
      </c>
    </row>
    <row r="11446">
      <c r="A11446" s="39">
        <f>_xlfn.XLOOKUP(80167,Trip[shape_id],Trip[shape_id],"Não encontrado")</f>
        <v/>
      </c>
      <c r="B11446" s="40" t="n">
        <v>-23.591183</v>
      </c>
      <c r="C11446" s="40" t="n">
        <v>-46.550606</v>
      </c>
      <c r="D11446" s="40" t="n">
        <v>493</v>
      </c>
      <c r="E11446" s="41" t="n">
        <v>18231.055</v>
      </c>
    </row>
    <row r="11447">
      <c r="A11447" s="42">
        <f>_xlfn.XLOOKUP(80167,Trip[shape_id],Trip[shape_id],"Não encontrado")</f>
        <v/>
      </c>
      <c r="B11447" s="43" t="n">
        <v>-23.591224</v>
      </c>
      <c r="C11447" s="43" t="n">
        <v>-46.550531</v>
      </c>
      <c r="D11447" s="43" t="n">
        <v>494</v>
      </c>
      <c r="E11447" s="44" t="n">
        <v>18241.209</v>
      </c>
    </row>
    <row r="11448">
      <c r="A11448" s="39">
        <f>_xlfn.XLOOKUP(80167,Trip[shape_id],Trip[shape_id],"Não encontrado")</f>
        <v/>
      </c>
      <c r="B11448" s="40" t="n">
        <v>-23.591229</v>
      </c>
      <c r="C11448" s="40" t="n">
        <v>-46.55052</v>
      </c>
      <c r="D11448" s="40" t="n">
        <v>495</v>
      </c>
      <c r="E11448" s="41" t="n">
        <v>18241.209</v>
      </c>
    </row>
    <row r="11449">
      <c r="A11449" s="42">
        <f>_xlfn.XLOOKUP(80167,Trip[shape_id],Trip[shape_id],"Não encontrado")</f>
        <v/>
      </c>
      <c r="B11449" s="43" t="n">
        <v>-23.591277</v>
      </c>
      <c r="C11449" s="43" t="n">
        <v>-46.550387</v>
      </c>
      <c r="D11449" s="43" t="n">
        <v>496</v>
      </c>
      <c r="E11449" s="44" t="n">
        <v>18284.58</v>
      </c>
    </row>
    <row r="11450">
      <c r="A11450" s="39">
        <f>_xlfn.XLOOKUP(80167,Trip[shape_id],Trip[shape_id],"Não encontrado")</f>
        <v/>
      </c>
      <c r="B11450" s="40" t="n">
        <v>-23.591371</v>
      </c>
      <c r="C11450" s="40" t="n">
        <v>-46.550124</v>
      </c>
      <c r="D11450" s="40" t="n">
        <v>497</v>
      </c>
      <c r="E11450" s="41" t="n">
        <v>18284.58</v>
      </c>
    </row>
    <row r="11451">
      <c r="A11451" s="42">
        <f>_xlfn.XLOOKUP(80167,Trip[shape_id],Trip[shape_id],"Não encontrado")</f>
        <v/>
      </c>
      <c r="B11451" s="43" t="n">
        <v>-23.591399</v>
      </c>
      <c r="C11451" s="43" t="n">
        <v>-46.550047</v>
      </c>
      <c r="D11451" s="43" t="n">
        <v>498</v>
      </c>
      <c r="E11451" s="44" t="n">
        <v>18293.029</v>
      </c>
    </row>
    <row r="11452">
      <c r="A11452" s="39">
        <f>_xlfn.XLOOKUP(80167,Trip[shape_id],Trip[shape_id],"Não encontrado")</f>
        <v/>
      </c>
      <c r="B11452" s="40" t="n">
        <v>-23.591575</v>
      </c>
      <c r="C11452" s="40" t="n">
        <v>-46.549556</v>
      </c>
      <c r="D11452" s="40" t="n">
        <v>499</v>
      </c>
      <c r="E11452" s="41" t="n">
        <v>18346.803</v>
      </c>
    </row>
    <row r="11453">
      <c r="A11453" s="42">
        <f>_xlfn.XLOOKUP(80167,Trip[shape_id],Trip[shape_id],"Não encontrado")</f>
        <v/>
      </c>
      <c r="B11453" s="43" t="n">
        <v>-23.591612</v>
      </c>
      <c r="C11453" s="43" t="n">
        <v>-46.54945</v>
      </c>
      <c r="D11453" s="43" t="n">
        <v>500</v>
      </c>
      <c r="E11453" s="44" t="n">
        <v>18366.371</v>
      </c>
    </row>
    <row r="11454">
      <c r="A11454" s="39">
        <f>_xlfn.XLOOKUP(80167,Trip[shape_id],Trip[shape_id],"Não encontrado")</f>
        <v/>
      </c>
      <c r="B11454" s="40" t="n">
        <v>-23.591633</v>
      </c>
      <c r="C11454" s="40" t="n">
        <v>-46.549375</v>
      </c>
      <c r="D11454" s="40" t="n">
        <v>501</v>
      </c>
      <c r="E11454" s="41" t="n">
        <v>18378.357</v>
      </c>
    </row>
    <row r="11455">
      <c r="A11455" s="42">
        <f>_xlfn.XLOOKUP(80167,Trip[shape_id],Trip[shape_id],"Não encontrado")</f>
        <v/>
      </c>
      <c r="B11455" s="43" t="n">
        <v>-23.591659</v>
      </c>
      <c r="C11455" s="43" t="n">
        <v>-46.549261</v>
      </c>
      <c r="D11455" s="43" t="n">
        <v>502</v>
      </c>
      <c r="E11455" s="44" t="n">
        <v>18384.563</v>
      </c>
    </row>
    <row r="11456">
      <c r="A11456" s="39">
        <f>_xlfn.XLOOKUP(80167,Trip[shape_id],Trip[shape_id],"Não encontrado")</f>
        <v/>
      </c>
      <c r="B11456" s="40" t="n">
        <v>-23.591668</v>
      </c>
      <c r="C11456" s="40" t="n">
        <v>-46.549201</v>
      </c>
      <c r="D11456" s="40" t="n">
        <v>503</v>
      </c>
      <c r="E11456" s="41" t="n">
        <v>18384.563</v>
      </c>
    </row>
    <row r="11457">
      <c r="A11457" s="42">
        <f>_xlfn.XLOOKUP(80167,Trip[shape_id],Trip[shape_id],"Não encontrado")</f>
        <v/>
      </c>
      <c r="B11457" s="43" t="n">
        <v>-23.59169</v>
      </c>
      <c r="C11457" s="43" t="n">
        <v>-46.549</v>
      </c>
      <c r="D11457" s="43" t="n">
        <v>504</v>
      </c>
      <c r="E11457" s="44" t="n">
        <v>18405.223</v>
      </c>
    </row>
    <row r="11458">
      <c r="A11458" s="39">
        <f>_xlfn.XLOOKUP(80167,Trip[shape_id],Trip[shape_id],"Não encontrado")</f>
        <v/>
      </c>
      <c r="B11458" s="40" t="n">
        <v>-23.591742</v>
      </c>
      <c r="C11458" s="40" t="n">
        <v>-46.548441</v>
      </c>
      <c r="D11458" s="40" t="n">
        <v>505</v>
      </c>
      <c r="E11458" s="41" t="n">
        <v>18462.57</v>
      </c>
    </row>
    <row r="11459">
      <c r="A11459" s="42">
        <f>_xlfn.XLOOKUP(80167,Trip[shape_id],Trip[shape_id],"Não encontrado")</f>
        <v/>
      </c>
      <c r="B11459" s="43" t="n">
        <v>-23.591753</v>
      </c>
      <c r="C11459" s="43" t="n">
        <v>-46.548311</v>
      </c>
      <c r="D11459" s="43" t="n">
        <v>506</v>
      </c>
      <c r="E11459" s="44" t="n">
        <v>18501.324</v>
      </c>
    </row>
    <row r="11460">
      <c r="A11460" s="39">
        <f>_xlfn.XLOOKUP(80167,Trip[shape_id],Trip[shape_id],"Não encontrado")</f>
        <v/>
      </c>
      <c r="B11460" s="40" t="n">
        <v>-23.591783</v>
      </c>
      <c r="C11460" s="40" t="n">
        <v>-46.548064</v>
      </c>
      <c r="D11460" s="40" t="n">
        <v>507</v>
      </c>
      <c r="E11460" s="41" t="n">
        <v>18519.441</v>
      </c>
    </row>
    <row r="11461">
      <c r="A11461" s="42">
        <f>_xlfn.XLOOKUP(80167,Trip[shape_id],Trip[shape_id],"Não encontrado")</f>
        <v/>
      </c>
      <c r="B11461" s="43" t="n">
        <v>-23.591833</v>
      </c>
      <c r="C11461" s="43" t="n">
        <v>-46.547895</v>
      </c>
      <c r="D11461" s="43" t="n">
        <v>508</v>
      </c>
      <c r="E11461" s="44" t="n">
        <v>18530.268</v>
      </c>
    </row>
    <row r="11462">
      <c r="A11462" s="39">
        <f>_xlfn.XLOOKUP(80167,Trip[shape_id],Trip[shape_id],"Não encontrado")</f>
        <v/>
      </c>
      <c r="B11462" s="40" t="n">
        <v>-23.59188</v>
      </c>
      <c r="C11462" s="40" t="n">
        <v>-46.547802</v>
      </c>
      <c r="D11462" s="40" t="n">
        <v>509</v>
      </c>
      <c r="E11462" s="41" t="n">
        <v>18530.268</v>
      </c>
    </row>
    <row r="11463">
      <c r="A11463" s="42">
        <f>_xlfn.XLOOKUP(80167,Trip[shape_id],Trip[shape_id],"Não encontrado")</f>
        <v/>
      </c>
      <c r="B11463" s="43" t="n">
        <v>-23.591899</v>
      </c>
      <c r="C11463" s="43" t="n">
        <v>-46.547762</v>
      </c>
      <c r="D11463" s="43" t="n">
        <v>510</v>
      </c>
      <c r="E11463" s="44" t="n">
        <v>18554.635</v>
      </c>
    </row>
    <row r="11464">
      <c r="A11464" s="39">
        <f>_xlfn.XLOOKUP(80167,Trip[shape_id],Trip[shape_id],"Não encontrado")</f>
        <v/>
      </c>
      <c r="B11464" s="40" t="n">
        <v>-23.592001</v>
      </c>
      <c r="C11464" s="40" t="n">
        <v>-46.547603</v>
      </c>
      <c r="D11464" s="40" t="n">
        <v>511</v>
      </c>
      <c r="E11464" s="41" t="n">
        <v>18579.596</v>
      </c>
    </row>
    <row r="11465">
      <c r="A11465" s="42">
        <f>_xlfn.XLOOKUP(80167,Trip[shape_id],Trip[shape_id],"Não encontrado")</f>
        <v/>
      </c>
      <c r="B11465" s="43" t="n">
        <v>-23.592163</v>
      </c>
      <c r="C11465" s="43" t="n">
        <v>-46.547433</v>
      </c>
      <c r="D11465" s="43" t="n">
        <v>512</v>
      </c>
      <c r="E11465" s="44" t="n">
        <v>18579.596</v>
      </c>
    </row>
    <row r="11466">
      <c r="A11466" s="39">
        <f>_xlfn.XLOOKUP(80167,Trip[shape_id],Trip[shape_id],"Não encontrado")</f>
        <v/>
      </c>
      <c r="B11466" s="40" t="n">
        <v>-23.592811</v>
      </c>
      <c r="C11466" s="40" t="n">
        <v>-46.546735</v>
      </c>
      <c r="D11466" s="40" t="n">
        <v>513</v>
      </c>
      <c r="E11466" s="41" t="n">
        <v>18685.471</v>
      </c>
    </row>
    <row r="11467">
      <c r="A11467" s="42">
        <f>_xlfn.XLOOKUP(80167,Trip[shape_id],Trip[shape_id],"Não encontrado")</f>
        <v/>
      </c>
      <c r="B11467" s="43" t="n">
        <v>-23.592837</v>
      </c>
      <c r="C11467" s="43" t="n">
        <v>-46.546698</v>
      </c>
      <c r="D11467" s="43" t="n">
        <v>514</v>
      </c>
      <c r="E11467" s="44" t="n">
        <v>18694.707</v>
      </c>
    </row>
    <row r="11468">
      <c r="A11468" s="39">
        <f>_xlfn.XLOOKUP(80167,Trip[shape_id],Trip[shape_id],"Não encontrado")</f>
        <v/>
      </c>
      <c r="B11468" s="40" t="n">
        <v>-23.592885</v>
      </c>
      <c r="C11468" s="40" t="n">
        <v>-46.546624</v>
      </c>
      <c r="D11468" s="40" t="n">
        <v>515</v>
      </c>
      <c r="E11468" s="41" t="n">
        <v>18699.766</v>
      </c>
    </row>
    <row r="11469">
      <c r="A11469" s="42">
        <f>_xlfn.XLOOKUP(80167,Trip[shape_id],Trip[shape_id],"Não encontrado")</f>
        <v/>
      </c>
      <c r="B11469" s="43" t="n">
        <v>-23.592902</v>
      </c>
      <c r="C11469" s="43" t="n">
        <v>-46.546578</v>
      </c>
      <c r="D11469" s="43" t="n">
        <v>516</v>
      </c>
      <c r="E11469" s="44" t="n">
        <v>18711.82</v>
      </c>
    </row>
    <row r="11470">
      <c r="A11470" s="39">
        <f>_xlfn.XLOOKUP(80167,Trip[shape_id],Trip[shape_id],"Não encontrado")</f>
        <v/>
      </c>
      <c r="B11470" s="40" t="n">
        <v>-23.59295</v>
      </c>
      <c r="C11470" s="40" t="n">
        <v>-46.546472</v>
      </c>
      <c r="D11470" s="40" t="n">
        <v>517</v>
      </c>
      <c r="E11470" s="41" t="n">
        <v>18719.496</v>
      </c>
    </row>
    <row r="11471">
      <c r="A11471" s="42">
        <f>_xlfn.XLOOKUP(80167,Trip[shape_id],Trip[shape_id],"Não encontrado")</f>
        <v/>
      </c>
      <c r="B11471" s="43" t="n">
        <v>-23.59297</v>
      </c>
      <c r="C11471" s="43" t="n">
        <v>-46.5464</v>
      </c>
      <c r="D11471" s="43" t="n">
        <v>518</v>
      </c>
      <c r="E11471" s="44" t="n">
        <v>18719.496</v>
      </c>
    </row>
    <row r="11472">
      <c r="A11472" s="39">
        <f>_xlfn.XLOOKUP(80167,Trip[shape_id],Trip[shape_id],"Não encontrado")</f>
        <v/>
      </c>
      <c r="B11472" s="40" t="n">
        <v>-23.593059</v>
      </c>
      <c r="C11472" s="40" t="n">
        <v>-46.54646</v>
      </c>
      <c r="D11472" s="40" t="n">
        <v>519</v>
      </c>
      <c r="E11472" s="41" t="n">
        <v>18731.102</v>
      </c>
    </row>
    <row r="11473">
      <c r="A11473" s="42">
        <f>_xlfn.XLOOKUP(80167,Trip[shape_id],Trip[shape_id],"Não encontrado")</f>
        <v/>
      </c>
      <c r="B11473" s="43" t="n">
        <v>-23.593602</v>
      </c>
      <c r="C11473" s="43" t="n">
        <v>-46.546705</v>
      </c>
      <c r="D11473" s="43" t="n">
        <v>520</v>
      </c>
      <c r="E11473" s="44" t="n">
        <v>18796.232</v>
      </c>
    </row>
    <row r="11474">
      <c r="A11474" s="39">
        <f>_xlfn.XLOOKUP(80167,Trip[shape_id],Trip[shape_id],"Não encontrado")</f>
        <v/>
      </c>
      <c r="B11474" s="40" t="n">
        <v>-23.594059</v>
      </c>
      <c r="C11474" s="40" t="n">
        <v>-46.546914</v>
      </c>
      <c r="D11474" s="40" t="n">
        <v>521</v>
      </c>
      <c r="E11474" s="41" t="n">
        <v>18851.158</v>
      </c>
    </row>
    <row r="11475">
      <c r="A11475" s="42">
        <f>_xlfn.XLOOKUP(80167,Trip[shape_id],Trip[shape_id],"Não encontrado")</f>
        <v/>
      </c>
      <c r="B11475" s="43" t="n">
        <v>-23.594409</v>
      </c>
      <c r="C11475" s="43" t="n">
        <v>-46.547075</v>
      </c>
      <c r="D11475" s="43" t="n">
        <v>522</v>
      </c>
      <c r="E11475" s="44" t="n">
        <v>18893.262</v>
      </c>
    </row>
    <row r="11476">
      <c r="A11476" s="39">
        <f>_xlfn.XLOOKUP(80167,Trip[shape_id],Trip[shape_id],"Não encontrado")</f>
        <v/>
      </c>
      <c r="B11476" s="40" t="n">
        <v>-23.5949</v>
      </c>
      <c r="C11476" s="40" t="n">
        <v>-46.547299</v>
      </c>
      <c r="D11476" s="40" t="n">
        <v>523</v>
      </c>
      <c r="E11476" s="41" t="n">
        <v>18952.252</v>
      </c>
    </row>
    <row r="11477">
      <c r="A11477" s="42">
        <f>_xlfn.XLOOKUP(80167,Trip[shape_id],Trip[shape_id],"Não encontrado")</f>
        <v/>
      </c>
      <c r="B11477" s="43" t="n">
        <v>-23.594966</v>
      </c>
      <c r="C11477" s="43" t="n">
        <v>-46.547358</v>
      </c>
      <c r="D11477" s="43" t="n">
        <v>524</v>
      </c>
      <c r="E11477" s="44" t="n">
        <v>18961.723</v>
      </c>
    </row>
    <row r="11478">
      <c r="A11478" s="39">
        <f>_xlfn.XLOOKUP(80167,Trip[shape_id],Trip[shape_id],"Não encontrado")</f>
        <v/>
      </c>
      <c r="B11478" s="40" t="n">
        <v>-23.594907</v>
      </c>
      <c r="C11478" s="40" t="n">
        <v>-46.547416</v>
      </c>
      <c r="D11478" s="40" t="n">
        <v>525</v>
      </c>
      <c r="E11478" s="41" t="n">
        <v>18970.541</v>
      </c>
    </row>
    <row r="11479">
      <c r="A11479" s="42">
        <f>_xlfn.XLOOKUP(80167,Trip[shape_id],Trip[shape_id],"Não encontrado")</f>
        <v/>
      </c>
      <c r="B11479" s="43" t="n">
        <v>-23.594842</v>
      </c>
      <c r="C11479" s="43" t="n">
        <v>-46.547521</v>
      </c>
      <c r="D11479" s="43" t="n">
        <v>526</v>
      </c>
      <c r="E11479" s="44" t="n">
        <v>18983.451</v>
      </c>
    </row>
    <row r="11480">
      <c r="A11480" s="39">
        <f>_xlfn.XLOOKUP(80167,Trip[shape_id],Trip[shape_id],"Não encontrado")</f>
        <v/>
      </c>
      <c r="B11480" s="40" t="n">
        <v>-23.594811</v>
      </c>
      <c r="C11480" s="40" t="n">
        <v>-46.547596</v>
      </c>
      <c r="D11480" s="40" t="n">
        <v>527</v>
      </c>
      <c r="E11480" s="41" t="n">
        <v>18991.842</v>
      </c>
    </row>
    <row r="11481">
      <c r="A11481" s="42">
        <f>_xlfn.XLOOKUP(80167,Trip[shape_id],Trip[shape_id],"Não encontrado")</f>
        <v/>
      </c>
      <c r="B11481" s="43" t="n">
        <v>-23.594743</v>
      </c>
      <c r="C11481" s="43" t="n">
        <v>-46.548013</v>
      </c>
      <c r="D11481" s="43" t="n">
        <v>528</v>
      </c>
      <c r="E11481" s="44" t="n">
        <v>19035.064</v>
      </c>
    </row>
    <row r="11482">
      <c r="A11482" s="39">
        <f>_xlfn.XLOOKUP(80167,Trip[shape_id],Trip[shape_id],"Não encontrado")</f>
        <v/>
      </c>
      <c r="B11482" s="40" t="n">
        <v>-23.59473</v>
      </c>
      <c r="C11482" s="40" t="n">
        <v>-46.548122</v>
      </c>
      <c r="D11482" s="40" t="n">
        <v>529</v>
      </c>
      <c r="E11482" s="41" t="n">
        <v>19046.283</v>
      </c>
    </row>
    <row r="11483">
      <c r="A11483" s="42">
        <f>_xlfn.XLOOKUP(80167,Trip[shape_id],Trip[shape_id],"Não encontrado")</f>
        <v/>
      </c>
      <c r="B11483" s="43" t="n">
        <v>-23.594895</v>
      </c>
      <c r="C11483" s="43" t="n">
        <v>-46.548194</v>
      </c>
      <c r="D11483" s="43" t="n">
        <v>530</v>
      </c>
      <c r="E11483" s="44" t="n">
        <v>19065.98</v>
      </c>
    </row>
    <row r="11484">
      <c r="A11484" s="39">
        <f>_xlfn.XLOOKUP(80167,Trip[shape_id],Trip[shape_id],"Não encontrado")</f>
        <v/>
      </c>
      <c r="B11484" s="40" t="n">
        <v>-23.594952</v>
      </c>
      <c r="C11484" s="40" t="n">
        <v>-46.548219</v>
      </c>
      <c r="D11484" s="40" t="n">
        <v>531</v>
      </c>
      <c r="E11484" s="41" t="n">
        <v>19072.789</v>
      </c>
    </row>
    <row r="11485">
      <c r="A11485" s="39">
        <f>_xlfn.XLOOKUP(80380,Trip[shape_id],Trip[shape_id],"Não encontrado")</f>
        <v/>
      </c>
      <c r="B11485" s="40" t="n">
        <v>-23.591522</v>
      </c>
      <c r="C11485" s="40" t="n">
        <v>-46.516189</v>
      </c>
      <c r="D11485" s="40" t="n">
        <v>1</v>
      </c>
      <c r="E11485" s="41" t="n">
        <v>6.5214701</v>
      </c>
    </row>
    <row r="11486">
      <c r="A11486" s="42">
        <f>_xlfn.XLOOKUP(80380,Trip[shape_id],Trip[shape_id],"Não encontrado")</f>
        <v/>
      </c>
      <c r="B11486" s="43" t="n">
        <v>-23.59157</v>
      </c>
      <c r="C11486" s="43" t="n">
        <v>-46.516152</v>
      </c>
      <c r="D11486" s="43" t="n">
        <v>2</v>
      </c>
      <c r="E11486" s="44" t="n">
        <v>6.5214701</v>
      </c>
    </row>
    <row r="11487">
      <c r="A11487" s="39">
        <f>_xlfn.XLOOKUP(80380,Trip[shape_id],Trip[shape_id],"Não encontrado")</f>
        <v/>
      </c>
      <c r="B11487" s="40" t="n">
        <v>-23.591696</v>
      </c>
      <c r="C11487" s="40" t="n">
        <v>-46.516077</v>
      </c>
      <c r="D11487" s="40" t="n">
        <v>3</v>
      </c>
      <c r="E11487" s="41" t="n">
        <v>22.438032</v>
      </c>
    </row>
    <row r="11488">
      <c r="A11488" s="42">
        <f>_xlfn.XLOOKUP(80380,Trip[shape_id],Trip[shape_id],"Não encontrado")</f>
        <v/>
      </c>
      <c r="B11488" s="43" t="n">
        <v>-23.59157</v>
      </c>
      <c r="C11488" s="43" t="n">
        <v>-46.516152</v>
      </c>
      <c r="D11488" s="43" t="n">
        <v>4</v>
      </c>
      <c r="E11488" s="44" t="n">
        <v>38.354595</v>
      </c>
    </row>
    <row r="11489">
      <c r="A11489" s="39">
        <f>_xlfn.XLOOKUP(80380,Trip[shape_id],Trip[shape_id],"Não encontrado")</f>
        <v/>
      </c>
      <c r="B11489" s="40" t="n">
        <v>-23.591522</v>
      </c>
      <c r="C11489" s="40" t="n">
        <v>-46.516189</v>
      </c>
      <c r="D11489" s="40" t="n">
        <v>5</v>
      </c>
      <c r="E11489" s="41" t="n">
        <v>44.876064</v>
      </c>
    </row>
    <row r="11490">
      <c r="A11490" s="42">
        <f>_xlfn.XLOOKUP(80380,Trip[shape_id],Trip[shape_id],"Não encontrado")</f>
        <v/>
      </c>
      <c r="B11490" s="43" t="n">
        <v>-23.591503</v>
      </c>
      <c r="C11490" s="43" t="n">
        <v>-46.516223</v>
      </c>
      <c r="D11490" s="43" t="n">
        <v>6</v>
      </c>
      <c r="E11490" s="44" t="n">
        <v>48.934273</v>
      </c>
    </row>
    <row r="11491">
      <c r="A11491" s="39">
        <f>_xlfn.XLOOKUP(80380,Trip[shape_id],Trip[shape_id],"Não encontrado")</f>
        <v/>
      </c>
      <c r="B11491" s="40" t="n">
        <v>-23.591135</v>
      </c>
      <c r="C11491" s="40" t="n">
        <v>-46.516517</v>
      </c>
      <c r="D11491" s="40" t="n">
        <v>7</v>
      </c>
      <c r="E11491" s="41" t="n">
        <v>99.54705800000001</v>
      </c>
    </row>
    <row r="11492">
      <c r="A11492" s="42">
        <f>_xlfn.XLOOKUP(80380,Trip[shape_id],Trip[shape_id],"Não encontrado")</f>
        <v/>
      </c>
      <c r="B11492" s="43" t="n">
        <v>-23.590816</v>
      </c>
      <c r="C11492" s="43" t="n">
        <v>-46.51672</v>
      </c>
      <c r="D11492" s="43" t="n">
        <v>8</v>
      </c>
      <c r="E11492" s="44" t="n">
        <v>140.50481</v>
      </c>
    </row>
    <row r="11493">
      <c r="A11493" s="39">
        <f>_xlfn.XLOOKUP(80380,Trip[shape_id],Trip[shape_id],"Não encontrado")</f>
        <v/>
      </c>
      <c r="B11493" s="40" t="n">
        <v>-23.589765</v>
      </c>
      <c r="C11493" s="40" t="n">
        <v>-46.516575</v>
      </c>
      <c r="D11493" s="40" t="n">
        <v>9</v>
      </c>
      <c r="E11493" s="41" t="n">
        <v>257.84265</v>
      </c>
    </row>
    <row r="11494">
      <c r="A11494" s="42">
        <f>_xlfn.XLOOKUP(80380,Trip[shape_id],Trip[shape_id],"Não encontrado")</f>
        <v/>
      </c>
      <c r="B11494" s="43" t="n">
        <v>-23.589298</v>
      </c>
      <c r="C11494" s="43" t="n">
        <v>-46.516513</v>
      </c>
      <c r="D11494" s="43" t="n">
        <v>10</v>
      </c>
      <c r="E11494" s="44" t="n">
        <v>309.94974</v>
      </c>
    </row>
    <row r="11495">
      <c r="A11495" s="39">
        <f>_xlfn.XLOOKUP(80380,Trip[shape_id],Trip[shape_id],"Não encontrado")</f>
        <v/>
      </c>
      <c r="B11495" s="40" t="n">
        <v>-23.589143</v>
      </c>
      <c r="C11495" s="40" t="n">
        <v>-46.516481</v>
      </c>
      <c r="D11495" s="40" t="n">
        <v>11</v>
      </c>
      <c r="E11495" s="41" t="n">
        <v>327.42432</v>
      </c>
    </row>
    <row r="11496">
      <c r="A11496" s="42">
        <f>_xlfn.XLOOKUP(80380,Trip[shape_id],Trip[shape_id],"Não encontrado")</f>
        <v/>
      </c>
      <c r="B11496" s="43" t="n">
        <v>-23.589043</v>
      </c>
      <c r="C11496" s="43" t="n">
        <v>-46.516473</v>
      </c>
      <c r="D11496" s="43" t="n">
        <v>12</v>
      </c>
      <c r="E11496" s="44" t="n">
        <v>338.5296</v>
      </c>
    </row>
    <row r="11497">
      <c r="A11497" s="39">
        <f>_xlfn.XLOOKUP(80380,Trip[shape_id],Trip[shape_id],"Não encontrado")</f>
        <v/>
      </c>
      <c r="B11497" s="40" t="n">
        <v>-23.58866</v>
      </c>
      <c r="C11497" s="40" t="n">
        <v>-46.516425</v>
      </c>
      <c r="D11497" s="40" t="n">
        <v>13</v>
      </c>
      <c r="E11497" s="41" t="n">
        <v>381.22971</v>
      </c>
    </row>
    <row r="11498">
      <c r="A11498" s="42">
        <f>_xlfn.XLOOKUP(80380,Trip[shape_id],Trip[shape_id],"Não encontrado")</f>
        <v/>
      </c>
      <c r="B11498" s="43" t="n">
        <v>-23.588205</v>
      </c>
      <c r="C11498" s="43" t="n">
        <v>-46.516353</v>
      </c>
      <c r="D11498" s="43" t="n">
        <v>14</v>
      </c>
      <c r="E11498" s="44" t="n">
        <v>432.15506</v>
      </c>
    </row>
    <row r="11499">
      <c r="A11499" s="39">
        <f>_xlfn.XLOOKUP(80380,Trip[shape_id],Trip[shape_id],"Não encontrado")</f>
        <v/>
      </c>
      <c r="B11499" s="40" t="n">
        <v>-23.587378</v>
      </c>
      <c r="C11499" s="40" t="n">
        <v>-46.516219</v>
      </c>
      <c r="D11499" s="40" t="n">
        <v>15</v>
      </c>
      <c r="E11499" s="41" t="n">
        <v>524.76282</v>
      </c>
    </row>
    <row r="11500">
      <c r="A11500" s="42">
        <f>_xlfn.XLOOKUP(80380,Trip[shape_id],Trip[shape_id],"Não encontrado")</f>
        <v/>
      </c>
      <c r="B11500" s="43" t="n">
        <v>-23.58722</v>
      </c>
      <c r="C11500" s="43" t="n">
        <v>-46.516198</v>
      </c>
      <c r="D11500" s="43" t="n">
        <v>16</v>
      </c>
      <c r="E11500" s="44" t="n">
        <v>542.39252</v>
      </c>
    </row>
    <row r="11501">
      <c r="A11501" s="39">
        <f>_xlfn.XLOOKUP(80380,Trip[shape_id],Trip[shape_id],"Não encontrado")</f>
        <v/>
      </c>
      <c r="B11501" s="40" t="n">
        <v>-23.587205</v>
      </c>
      <c r="C11501" s="40" t="n">
        <v>-46.516384</v>
      </c>
      <c r="D11501" s="40" t="n">
        <v>17</v>
      </c>
      <c r="E11501" s="41" t="n">
        <v>561.45074</v>
      </c>
    </row>
    <row r="11502">
      <c r="A11502" s="42">
        <f>_xlfn.XLOOKUP(80380,Trip[shape_id],Trip[shape_id],"Não encontrado")</f>
        <v/>
      </c>
      <c r="B11502" s="43" t="n">
        <v>-23.587138</v>
      </c>
      <c r="C11502" s="43" t="n">
        <v>-46.516676</v>
      </c>
      <c r="D11502" s="43" t="n">
        <v>18</v>
      </c>
      <c r="E11502" s="44" t="n">
        <v>592.16602</v>
      </c>
    </row>
    <row r="11503">
      <c r="A11503" s="39">
        <f>_xlfn.XLOOKUP(80380,Trip[shape_id],Trip[shape_id],"Não encontrado")</f>
        <v/>
      </c>
      <c r="B11503" s="40" t="n">
        <v>-23.587075</v>
      </c>
      <c r="C11503" s="40" t="n">
        <v>-46.516867</v>
      </c>
      <c r="D11503" s="40" t="n">
        <v>19</v>
      </c>
      <c r="E11503" s="41" t="n">
        <v>612.87323</v>
      </c>
    </row>
    <row r="11504">
      <c r="A11504" s="42">
        <f>_xlfn.XLOOKUP(80380,Trip[shape_id],Trip[shape_id],"Não encontrado")</f>
        <v/>
      </c>
      <c r="B11504" s="43" t="n">
        <v>-23.586986</v>
      </c>
      <c r="C11504" s="43" t="n">
        <v>-46.517</v>
      </c>
      <c r="D11504" s="43" t="n">
        <v>20</v>
      </c>
      <c r="E11504" s="44" t="n">
        <v>629.6499</v>
      </c>
    </row>
    <row r="11505">
      <c r="A11505" s="39">
        <f>_xlfn.XLOOKUP(80380,Trip[shape_id],Trip[shape_id],"Não encontrado")</f>
        <v/>
      </c>
      <c r="B11505" s="40" t="n">
        <v>-23.58687</v>
      </c>
      <c r="C11505" s="40" t="n">
        <v>-46.517127</v>
      </c>
      <c r="D11505" s="40" t="n">
        <v>21</v>
      </c>
      <c r="E11505" s="41" t="n">
        <v>647.901</v>
      </c>
    </row>
    <row r="11506">
      <c r="A11506" s="42">
        <f>_xlfn.XLOOKUP(80380,Trip[shape_id],Trip[shape_id],"Não encontrado")</f>
        <v/>
      </c>
      <c r="B11506" s="43" t="n">
        <v>-23.586675</v>
      </c>
      <c r="C11506" s="43" t="n">
        <v>-46.517359</v>
      </c>
      <c r="D11506" s="43" t="n">
        <v>22</v>
      </c>
      <c r="E11506" s="44" t="n">
        <v>679.95129</v>
      </c>
    </row>
    <row r="11507">
      <c r="A11507" s="39">
        <f>_xlfn.XLOOKUP(80380,Trip[shape_id],Trip[shape_id],"Não encontrado")</f>
        <v/>
      </c>
      <c r="B11507" s="40" t="n">
        <v>-23.586361</v>
      </c>
      <c r="C11507" s="40" t="n">
        <v>-46.517758</v>
      </c>
      <c r="D11507" s="40" t="n">
        <v>23</v>
      </c>
      <c r="E11507" s="41" t="n">
        <v>733.50623</v>
      </c>
    </row>
    <row r="11508">
      <c r="A11508" s="42">
        <f>_xlfn.XLOOKUP(80380,Trip[shape_id],Trip[shape_id],"Não encontrado")</f>
        <v/>
      </c>
      <c r="B11508" s="43" t="n">
        <v>-23.586283</v>
      </c>
      <c r="C11508" s="43" t="n">
        <v>-46.517846</v>
      </c>
      <c r="D11508" s="43" t="n">
        <v>24</v>
      </c>
      <c r="E11508" s="44" t="n">
        <v>745.96838</v>
      </c>
    </row>
    <row r="11509">
      <c r="A11509" s="39">
        <f>_xlfn.XLOOKUP(80380,Trip[shape_id],Trip[shape_id],"Não encontrado")</f>
        <v/>
      </c>
      <c r="B11509" s="40" t="n">
        <v>-23.585955</v>
      </c>
      <c r="C11509" s="40" t="n">
        <v>-46.518242</v>
      </c>
      <c r="D11509" s="40" t="n">
        <v>25</v>
      </c>
      <c r="E11509" s="41" t="n">
        <v>800.3148200000001</v>
      </c>
    </row>
    <row r="11510">
      <c r="A11510" s="42">
        <f>_xlfn.XLOOKUP(80380,Trip[shape_id],Trip[shape_id],"Não encontrado")</f>
        <v/>
      </c>
      <c r="B11510" s="43" t="n">
        <v>-23.585896</v>
      </c>
      <c r="C11510" s="43" t="n">
        <v>-46.51833</v>
      </c>
      <c r="D11510" s="43" t="n">
        <v>26</v>
      </c>
      <c r="E11510" s="44" t="n">
        <v>811.42261</v>
      </c>
    </row>
    <row r="11511">
      <c r="A11511" s="39">
        <f>_xlfn.XLOOKUP(80380,Trip[shape_id],Trip[shape_id],"Não encontrado")</f>
        <v/>
      </c>
      <c r="B11511" s="40" t="n">
        <v>-23.585793</v>
      </c>
      <c r="C11511" s="40" t="n">
        <v>-46.518513</v>
      </c>
      <c r="D11511" s="40" t="n">
        <v>27</v>
      </c>
      <c r="E11511" s="41" t="n">
        <v>833.30994</v>
      </c>
    </row>
    <row r="11512">
      <c r="A11512" s="42">
        <f>_xlfn.XLOOKUP(80380,Trip[shape_id],Trip[shape_id],"Não encontrado")</f>
        <v/>
      </c>
      <c r="B11512" s="43" t="n">
        <v>-23.58575</v>
      </c>
      <c r="C11512" s="43" t="n">
        <v>-46.518634</v>
      </c>
      <c r="D11512" s="43" t="n">
        <v>28</v>
      </c>
      <c r="E11512" s="44" t="n">
        <v>846.54761</v>
      </c>
    </row>
    <row r="11513">
      <c r="A11513" s="39">
        <f>_xlfn.XLOOKUP(80380,Trip[shape_id],Trip[shape_id],"Não encontrado")</f>
        <v/>
      </c>
      <c r="B11513" s="40" t="n">
        <v>-23.585696</v>
      </c>
      <c r="C11513" s="40" t="n">
        <v>-46.518785</v>
      </c>
      <c r="D11513" s="40" t="n">
        <v>29</v>
      </c>
      <c r="E11513" s="41" t="n">
        <v>863.08038</v>
      </c>
    </row>
    <row r="11514">
      <c r="A11514" s="42">
        <f>_xlfn.XLOOKUP(80380,Trip[shape_id],Trip[shape_id],"Não encontrado")</f>
        <v/>
      </c>
      <c r="B11514" s="43" t="n">
        <v>-23.58565</v>
      </c>
      <c r="C11514" s="43" t="n">
        <v>-46.518914</v>
      </c>
      <c r="D11514" s="43" t="n">
        <v>30</v>
      </c>
      <c r="E11514" s="44" t="n">
        <v>877.19904</v>
      </c>
    </row>
    <row r="11515">
      <c r="A11515" s="39">
        <f>_xlfn.XLOOKUP(80380,Trip[shape_id],Trip[shape_id],"Não encontrado")</f>
        <v/>
      </c>
      <c r="B11515" s="40" t="n">
        <v>-23.585578</v>
      </c>
      <c r="C11515" s="40" t="n">
        <v>-46.519103</v>
      </c>
      <c r="D11515" s="40" t="n">
        <v>31</v>
      </c>
      <c r="E11515" s="41" t="n">
        <v>898.0741</v>
      </c>
    </row>
    <row r="11516">
      <c r="A11516" s="42">
        <f>_xlfn.XLOOKUP(80380,Trip[shape_id],Trip[shape_id],"Não encontrado")</f>
        <v/>
      </c>
      <c r="B11516" s="43" t="n">
        <v>-23.585484</v>
      </c>
      <c r="C11516" s="43" t="n">
        <v>-46.519361</v>
      </c>
      <c r="D11516" s="43" t="n">
        <v>32</v>
      </c>
      <c r="E11516" s="44" t="n">
        <v>926.3924</v>
      </c>
    </row>
    <row r="11517">
      <c r="A11517" s="39">
        <f>_xlfn.XLOOKUP(80380,Trip[shape_id],Trip[shape_id],"Não encontrado")</f>
        <v/>
      </c>
      <c r="B11517" s="40" t="n">
        <v>-23.585373</v>
      </c>
      <c r="C11517" s="40" t="n">
        <v>-46.519648</v>
      </c>
      <c r="D11517" s="40" t="n">
        <v>33</v>
      </c>
      <c r="E11517" s="41" t="n">
        <v>958.16296</v>
      </c>
    </row>
    <row r="11518">
      <c r="A11518" s="42">
        <f>_xlfn.XLOOKUP(80380,Trip[shape_id],Trip[shape_id],"Não encontrado")</f>
        <v/>
      </c>
      <c r="B11518" s="43" t="n">
        <v>-23.585311</v>
      </c>
      <c r="C11518" s="43" t="n">
        <v>-46.519811</v>
      </c>
      <c r="D11518" s="43" t="n">
        <v>34</v>
      </c>
      <c r="E11518" s="44" t="n">
        <v>976.1623499999999</v>
      </c>
    </row>
    <row r="11519">
      <c r="A11519" s="39">
        <f>_xlfn.XLOOKUP(80380,Trip[shape_id],Trip[shape_id],"Não encontrado")</f>
        <v/>
      </c>
      <c r="B11519" s="40" t="n">
        <v>-23.585272</v>
      </c>
      <c r="C11519" s="40" t="n">
        <v>-46.51989</v>
      </c>
      <c r="D11519" s="40" t="n">
        <v>35</v>
      </c>
      <c r="E11519" s="41" t="n">
        <v>985.31024</v>
      </c>
    </row>
    <row r="11520">
      <c r="A11520" s="42">
        <f>_xlfn.XLOOKUP(80380,Trip[shape_id],Trip[shape_id],"Não encontrado")</f>
        <v/>
      </c>
      <c r="B11520" s="43" t="n">
        <v>-23.584622</v>
      </c>
      <c r="C11520" s="43" t="n">
        <v>-46.519661</v>
      </c>
      <c r="D11520" s="43" t="n">
        <v>36</v>
      </c>
      <c r="E11520" s="44" t="n">
        <v>1060.9993</v>
      </c>
    </row>
    <row r="11521">
      <c r="A11521" s="39">
        <f>_xlfn.XLOOKUP(80380,Trip[shape_id],Trip[shape_id],"Não encontrado")</f>
        <v/>
      </c>
      <c r="B11521" s="40" t="n">
        <v>-23.584577</v>
      </c>
      <c r="C11521" s="40" t="n">
        <v>-46.519646</v>
      </c>
      <c r="D11521" s="40" t="n">
        <v>37</v>
      </c>
      <c r="E11521" s="41" t="n">
        <v>1068.9526</v>
      </c>
    </row>
    <row r="11522">
      <c r="A11522" s="42">
        <f>_xlfn.XLOOKUP(80380,Trip[shape_id],Trip[shape_id],"Não encontrado")</f>
        <v/>
      </c>
      <c r="B11522" s="43" t="n">
        <v>-23.584568</v>
      </c>
      <c r="C11522" s="43" t="n">
        <v>-46.519621</v>
      </c>
      <c r="D11522" s="43" t="n">
        <v>38</v>
      </c>
      <c r="E11522" s="44" t="n">
        <v>1073.5492</v>
      </c>
    </row>
    <row r="11523">
      <c r="A11523" s="39">
        <f>_xlfn.XLOOKUP(80380,Trip[shape_id],Trip[shape_id],"Não encontrado")</f>
        <v/>
      </c>
      <c r="B11523" s="40" t="n">
        <v>-23.584527</v>
      </c>
      <c r="C11523" s="40" t="n">
        <v>-46.519628</v>
      </c>
      <c r="D11523" s="40" t="n">
        <v>39</v>
      </c>
      <c r="E11523" s="41" t="n">
        <v>1102.006</v>
      </c>
    </row>
    <row r="11524">
      <c r="A11524" s="42">
        <f>_xlfn.XLOOKUP(80380,Trip[shape_id],Trip[shape_id],"Não encontrado")</f>
        <v/>
      </c>
      <c r="B11524" s="43" t="n">
        <v>-23.584282</v>
      </c>
      <c r="C11524" s="43" t="n">
        <v>-46.519544</v>
      </c>
      <c r="D11524" s="43" t="n">
        <v>40</v>
      </c>
      <c r="E11524" s="44" t="n">
        <v>1102.006</v>
      </c>
    </row>
    <row r="11525">
      <c r="A11525" s="39">
        <f>_xlfn.XLOOKUP(80380,Trip[shape_id],Trip[shape_id],"Não encontrado")</f>
        <v/>
      </c>
      <c r="B11525" s="40" t="n">
        <v>-23.584105</v>
      </c>
      <c r="C11525" s="40" t="n">
        <v>-46.51948</v>
      </c>
      <c r="D11525" s="40" t="n">
        <v>41</v>
      </c>
      <c r="E11525" s="41" t="n">
        <v>1122.6689</v>
      </c>
    </row>
    <row r="11526">
      <c r="A11526" s="42">
        <f>_xlfn.XLOOKUP(80380,Trip[shape_id],Trip[shape_id],"Não encontrado")</f>
        <v/>
      </c>
      <c r="B11526" s="43" t="n">
        <v>-23.583595</v>
      </c>
      <c r="C11526" s="43" t="n">
        <v>-46.519295</v>
      </c>
      <c r="D11526" s="43" t="n">
        <v>42</v>
      </c>
      <c r="E11526" s="44" t="n">
        <v>1182.2257</v>
      </c>
    </row>
    <row r="11527">
      <c r="A11527" s="39">
        <f>_xlfn.XLOOKUP(80380,Trip[shape_id],Trip[shape_id],"Não encontrado")</f>
        <v/>
      </c>
      <c r="B11527" s="40" t="n">
        <v>-23.583088</v>
      </c>
      <c r="C11527" s="40" t="n">
        <v>-46.519117</v>
      </c>
      <c r="D11527" s="40" t="n">
        <v>43</v>
      </c>
      <c r="E11527" s="41" t="n">
        <v>1241.2437</v>
      </c>
    </row>
    <row r="11528">
      <c r="A11528" s="42">
        <f>_xlfn.XLOOKUP(80380,Trip[shape_id],Trip[shape_id],"Não encontrado")</f>
        <v/>
      </c>
      <c r="B11528" s="43" t="n">
        <v>-23.582572</v>
      </c>
      <c r="C11528" s="43" t="n">
        <v>-46.518936</v>
      </c>
      <c r="D11528" s="43" t="n">
        <v>44</v>
      </c>
      <c r="E11528" s="44" t="n">
        <v>1301.3042</v>
      </c>
    </row>
    <row r="11529">
      <c r="A11529" s="39">
        <f>_xlfn.XLOOKUP(80380,Trip[shape_id],Trip[shape_id],"Não encontrado")</f>
        <v/>
      </c>
      <c r="B11529" s="40" t="n">
        <v>-23.582511</v>
      </c>
      <c r="C11529" s="40" t="n">
        <v>-46.518915</v>
      </c>
      <c r="D11529" s="40" t="n">
        <v>45</v>
      </c>
      <c r="E11529" s="41" t="n">
        <v>1310.389</v>
      </c>
    </row>
    <row r="11530">
      <c r="A11530" s="42">
        <f>_xlfn.XLOOKUP(80380,Trip[shape_id],Trip[shape_id],"Não encontrado")</f>
        <v/>
      </c>
      <c r="B11530" s="43" t="n">
        <v>-23.582493</v>
      </c>
      <c r="C11530" s="43" t="n">
        <v>-46.518914</v>
      </c>
      <c r="D11530" s="43" t="n">
        <v>46</v>
      </c>
      <c r="E11530" s="44" t="n">
        <v>1312.877</v>
      </c>
    </row>
    <row r="11531">
      <c r="A11531" s="39">
        <f>_xlfn.XLOOKUP(80380,Trip[shape_id],Trip[shape_id],"Não encontrado")</f>
        <v/>
      </c>
      <c r="B11531" s="40" t="n">
        <v>-23.582474</v>
      </c>
      <c r="C11531" s="40" t="n">
        <v>-46.518901</v>
      </c>
      <c r="D11531" s="40" t="n">
        <v>47</v>
      </c>
      <c r="E11531" s="41" t="n">
        <v>1338.6476</v>
      </c>
    </row>
    <row r="11532">
      <c r="A11532" s="42">
        <f>_xlfn.XLOOKUP(80380,Trip[shape_id],Trip[shape_id],"Não encontrado")</f>
        <v/>
      </c>
      <c r="B11532" s="43" t="n">
        <v>-23.582253</v>
      </c>
      <c r="C11532" s="43" t="n">
        <v>-46.518822</v>
      </c>
      <c r="D11532" s="43" t="n">
        <v>48</v>
      </c>
      <c r="E11532" s="44" t="n">
        <v>1338.6476</v>
      </c>
    </row>
    <row r="11533">
      <c r="A11533" s="39">
        <f>_xlfn.XLOOKUP(80380,Trip[shape_id],Trip[shape_id],"Não encontrado")</f>
        <v/>
      </c>
      <c r="B11533" s="40" t="n">
        <v>-23.581799</v>
      </c>
      <c r="C11533" s="40" t="n">
        <v>-46.518663</v>
      </c>
      <c r="D11533" s="40" t="n">
        <v>49</v>
      </c>
      <c r="E11533" s="41" t="n">
        <v>1391.4836</v>
      </c>
    </row>
    <row r="11534">
      <c r="A11534" s="42">
        <f>_xlfn.XLOOKUP(80380,Trip[shape_id],Trip[shape_id],"Não encontrado")</f>
        <v/>
      </c>
      <c r="B11534" s="43" t="n">
        <v>-23.581659</v>
      </c>
      <c r="C11534" s="43" t="n">
        <v>-46.518611</v>
      </c>
      <c r="D11534" s="43" t="n">
        <v>50</v>
      </c>
      <c r="E11534" s="44" t="n">
        <v>1407.8726</v>
      </c>
    </row>
    <row r="11535">
      <c r="A11535" s="39">
        <f>_xlfn.XLOOKUP(80380,Trip[shape_id],Trip[shape_id],"Não encontrado")</f>
        <v/>
      </c>
      <c r="B11535" s="40" t="n">
        <v>-23.581231</v>
      </c>
      <c r="C11535" s="40" t="n">
        <v>-46.518463</v>
      </c>
      <c r="D11535" s="40" t="n">
        <v>51</v>
      </c>
      <c r="E11535" s="41" t="n">
        <v>1457.6238</v>
      </c>
    </row>
    <row r="11536">
      <c r="A11536" s="42">
        <f>_xlfn.XLOOKUP(80380,Trip[shape_id],Trip[shape_id],"Não encontrado")</f>
        <v/>
      </c>
      <c r="B11536" s="43" t="n">
        <v>-23.580997</v>
      </c>
      <c r="C11536" s="43" t="n">
        <v>-46.518379</v>
      </c>
      <c r="D11536" s="43" t="n">
        <v>52</v>
      </c>
      <c r="E11536" s="44" t="n">
        <v>1484.9216</v>
      </c>
    </row>
    <row r="11537">
      <c r="A11537" s="39">
        <f>_xlfn.XLOOKUP(80380,Trip[shape_id],Trip[shape_id],"Não encontrado")</f>
        <v/>
      </c>
      <c r="B11537" s="40" t="n">
        <v>-23.580001</v>
      </c>
      <c r="C11537" s="40" t="n">
        <v>-46.518023</v>
      </c>
      <c r="D11537" s="40" t="n">
        <v>53</v>
      </c>
      <c r="E11537" s="41" t="n">
        <v>1601.0626</v>
      </c>
    </row>
    <row r="11538">
      <c r="A11538" s="42">
        <f>_xlfn.XLOOKUP(80380,Trip[shape_id],Trip[shape_id],"Não encontrado")</f>
        <v/>
      </c>
      <c r="B11538" s="43" t="n">
        <v>-23.579485</v>
      </c>
      <c r="C11538" s="43" t="n">
        <v>-46.517841</v>
      </c>
      <c r="D11538" s="43" t="n">
        <v>54</v>
      </c>
      <c r="E11538" s="44" t="n">
        <v>1661.1548</v>
      </c>
    </row>
    <row r="11539">
      <c r="A11539" s="39">
        <f>_xlfn.XLOOKUP(80380,Trip[shape_id],Trip[shape_id],"Não encontrado")</f>
        <v/>
      </c>
      <c r="B11539" s="40" t="n">
        <v>-23.5791</v>
      </c>
      <c r="C11539" s="40" t="n">
        <v>-46.5177</v>
      </c>
      <c r="D11539" s="40" t="n">
        <v>55</v>
      </c>
      <c r="E11539" s="41" t="n">
        <v>1727.1293</v>
      </c>
    </row>
    <row r="11540">
      <c r="A11540" s="42">
        <f>_xlfn.XLOOKUP(80380,Trip[shape_id],Trip[shape_id],"Não encontrado")</f>
        <v/>
      </c>
      <c r="B11540" s="43" t="n">
        <v>-23.578921</v>
      </c>
      <c r="C11540" s="43" t="n">
        <v>-46.517633</v>
      </c>
      <c r="D11540" s="43" t="n">
        <v>56</v>
      </c>
      <c r="E11540" s="44" t="n">
        <v>1732.7283</v>
      </c>
    </row>
    <row r="11541">
      <c r="A11541" s="39">
        <f>_xlfn.XLOOKUP(80380,Trip[shape_id],Trip[shape_id],"Não encontrado")</f>
        <v/>
      </c>
      <c r="B11541" s="40" t="n">
        <v>-23.578876</v>
      </c>
      <c r="C11541" s="40" t="n">
        <v>-46.517608</v>
      </c>
      <c r="D11541" s="40" t="n">
        <v>57</v>
      </c>
      <c r="E11541" s="41" t="n">
        <v>1732.7283</v>
      </c>
    </row>
    <row r="11542">
      <c r="A11542" s="42">
        <f>_xlfn.XLOOKUP(80380,Trip[shape_id],Trip[shape_id],"Não encontrado")</f>
        <v/>
      </c>
      <c r="B11542" s="43" t="n">
        <v>-23.578377</v>
      </c>
      <c r="C11542" s="43" t="n">
        <v>-46.51729</v>
      </c>
      <c r="D11542" s="43" t="n">
        <v>58</v>
      </c>
      <c r="E11542" s="44" t="n">
        <v>1796.822</v>
      </c>
    </row>
    <row r="11543">
      <c r="A11543" s="39">
        <f>_xlfn.XLOOKUP(80380,Trip[shape_id],Trip[shape_id],"Não encontrado")</f>
        <v/>
      </c>
      <c r="B11543" s="40" t="n">
        <v>-23.577949</v>
      </c>
      <c r="C11543" s="40" t="n">
        <v>-46.517013</v>
      </c>
      <c r="D11543" s="40" t="n">
        <v>59</v>
      </c>
      <c r="E11543" s="41" t="n">
        <v>1852.0171</v>
      </c>
    </row>
    <row r="11544">
      <c r="A11544" s="42">
        <f>_xlfn.XLOOKUP(80380,Trip[shape_id],Trip[shape_id],"Não encontrado")</f>
        <v/>
      </c>
      <c r="B11544" s="43" t="n">
        <v>-23.577887</v>
      </c>
      <c r="C11544" s="43" t="n">
        <v>-46.516971</v>
      </c>
      <c r="D11544" s="43" t="n">
        <v>60</v>
      </c>
      <c r="E11544" s="44" t="n">
        <v>1860.1121</v>
      </c>
    </row>
    <row r="11545">
      <c r="A11545" s="39">
        <f>_xlfn.XLOOKUP(80380,Trip[shape_id],Trip[shape_id],"Não encontrado")</f>
        <v/>
      </c>
      <c r="B11545" s="40" t="n">
        <v>-23.57738</v>
      </c>
      <c r="C11545" s="40" t="n">
        <v>-46.51665</v>
      </c>
      <c r="D11545" s="40" t="n">
        <v>61</v>
      </c>
      <c r="E11545" s="41" t="n">
        <v>1925.1252</v>
      </c>
    </row>
    <row r="11546">
      <c r="A11546" s="42">
        <f>_xlfn.XLOOKUP(80380,Trip[shape_id],Trip[shape_id],"Não encontrado")</f>
        <v/>
      </c>
      <c r="B11546" s="43" t="n">
        <v>-23.577156</v>
      </c>
      <c r="C11546" s="43" t="n">
        <v>-46.516508</v>
      </c>
      <c r="D11546" s="43" t="n">
        <v>62</v>
      </c>
      <c r="E11546" s="44" t="n">
        <v>1984.6713</v>
      </c>
    </row>
    <row r="11547">
      <c r="A11547" s="39">
        <f>_xlfn.XLOOKUP(80380,Trip[shape_id],Trip[shape_id],"Não encontrado")</f>
        <v/>
      </c>
      <c r="B11547" s="40" t="n">
        <v>-23.57691</v>
      </c>
      <c r="C11547" s="40" t="n">
        <v>-46.516367</v>
      </c>
      <c r="D11547" s="40" t="n">
        <v>63</v>
      </c>
      <c r="E11547" s="41" t="n">
        <v>1984.6713</v>
      </c>
    </row>
    <row r="11548">
      <c r="A11548" s="42">
        <f>_xlfn.XLOOKUP(80380,Trip[shape_id],Trip[shape_id],"Não encontrado")</f>
        <v/>
      </c>
      <c r="B11548" s="43" t="n">
        <v>-23.576857</v>
      </c>
      <c r="C11548" s="43" t="n">
        <v>-46.516519</v>
      </c>
      <c r="D11548" s="43" t="n">
        <v>64</v>
      </c>
      <c r="E11548" s="44" t="n">
        <v>2001.261</v>
      </c>
    </row>
    <row r="11549">
      <c r="A11549" s="39">
        <f>_xlfn.XLOOKUP(80380,Trip[shape_id],Trip[shape_id],"Não encontrado")</f>
        <v/>
      </c>
      <c r="B11549" s="40" t="n">
        <v>-23.576722</v>
      </c>
      <c r="C11549" s="40" t="n">
        <v>-46.516808</v>
      </c>
      <c r="D11549" s="40" t="n">
        <v>65</v>
      </c>
      <c r="E11549" s="41" t="n">
        <v>2034.3352</v>
      </c>
    </row>
    <row r="11550">
      <c r="A11550" s="42">
        <f>_xlfn.XLOOKUP(80380,Trip[shape_id],Trip[shape_id],"Não encontrado")</f>
        <v/>
      </c>
      <c r="B11550" s="43" t="n">
        <v>-23.576712</v>
      </c>
      <c r="C11550" s="43" t="n">
        <v>-46.516838</v>
      </c>
      <c r="D11550" s="43" t="n">
        <v>66</v>
      </c>
      <c r="E11550" s="44" t="n">
        <v>2037.5906</v>
      </c>
    </row>
    <row r="11551">
      <c r="A11551" s="39">
        <f>_xlfn.XLOOKUP(80380,Trip[shape_id],Trip[shape_id],"Não encontrado")</f>
        <v/>
      </c>
      <c r="B11551" s="40" t="n">
        <v>-23.576669</v>
      </c>
      <c r="C11551" s="40" t="n">
        <v>-46.516965</v>
      </c>
      <c r="D11551" s="40" t="n">
        <v>67</v>
      </c>
      <c r="E11551" s="41" t="n">
        <v>2051.4021</v>
      </c>
    </row>
    <row r="11552">
      <c r="A11552" s="42">
        <f>_xlfn.XLOOKUP(80380,Trip[shape_id],Trip[shape_id],"Não encontrado")</f>
        <v/>
      </c>
      <c r="B11552" s="43" t="n">
        <v>-23.57658</v>
      </c>
      <c r="C11552" s="43" t="n">
        <v>-46.517218</v>
      </c>
      <c r="D11552" s="43" t="n">
        <v>68</v>
      </c>
      <c r="E11552" s="44" t="n">
        <v>2079.0459</v>
      </c>
    </row>
    <row r="11553">
      <c r="A11553" s="39">
        <f>_xlfn.XLOOKUP(80380,Trip[shape_id],Trip[shape_id],"Não encontrado")</f>
        <v/>
      </c>
      <c r="B11553" s="40" t="n">
        <v>-23.576477</v>
      </c>
      <c r="C11553" s="40" t="n">
        <v>-46.517553</v>
      </c>
      <c r="D11553" s="40" t="n">
        <v>69</v>
      </c>
      <c r="E11553" s="41" t="n">
        <v>2115.0957</v>
      </c>
    </row>
    <row r="11554">
      <c r="A11554" s="42">
        <f>_xlfn.XLOOKUP(80380,Trip[shape_id],Trip[shape_id],"Não encontrado")</f>
        <v/>
      </c>
      <c r="B11554" s="43" t="n">
        <v>-23.576408</v>
      </c>
      <c r="C11554" s="43" t="n">
        <v>-46.517821</v>
      </c>
      <c r="D11554" s="43" t="n">
        <v>70</v>
      </c>
      <c r="E11554" s="44" t="n">
        <v>2143.5007</v>
      </c>
    </row>
    <row r="11555">
      <c r="A11555" s="39">
        <f>_xlfn.XLOOKUP(80380,Trip[shape_id],Trip[shape_id],"Não encontrado")</f>
        <v/>
      </c>
      <c r="B11555" s="40" t="n">
        <v>-23.576328</v>
      </c>
      <c r="C11555" s="40" t="n">
        <v>-46.518175</v>
      </c>
      <c r="D11555" s="40" t="n">
        <v>71</v>
      </c>
      <c r="E11555" s="41" t="n">
        <v>2180.7083</v>
      </c>
    </row>
    <row r="11556">
      <c r="A11556" s="42">
        <f>_xlfn.XLOOKUP(80380,Trip[shape_id],Trip[shape_id],"Não encontrado")</f>
        <v/>
      </c>
      <c r="B11556" s="43" t="n">
        <v>-23.576291</v>
      </c>
      <c r="C11556" s="43" t="n">
        <v>-46.518395</v>
      </c>
      <c r="D11556" s="43" t="n">
        <v>72</v>
      </c>
      <c r="E11556" s="44" t="n">
        <v>2203.5371</v>
      </c>
    </row>
    <row r="11557">
      <c r="A11557" s="39">
        <f>_xlfn.XLOOKUP(80380,Trip[shape_id],Trip[shape_id],"Não encontrado")</f>
        <v/>
      </c>
      <c r="B11557" s="40" t="n">
        <v>-23.576262</v>
      </c>
      <c r="C11557" s="40" t="n">
        <v>-46.518585</v>
      </c>
      <c r="D11557" s="40" t="n">
        <v>73</v>
      </c>
      <c r="E11557" s="41" t="n">
        <v>2223.197</v>
      </c>
    </row>
    <row r="11558">
      <c r="A11558" s="42">
        <f>_xlfn.XLOOKUP(80380,Trip[shape_id],Trip[shape_id],"Não encontrado")</f>
        <v/>
      </c>
      <c r="B11558" s="43" t="n">
        <v>-23.576234</v>
      </c>
      <c r="C11558" s="43" t="n">
        <v>-46.518789</v>
      </c>
      <c r="D11558" s="43" t="n">
        <v>74</v>
      </c>
      <c r="E11558" s="44" t="n">
        <v>2244.2512</v>
      </c>
    </row>
    <row r="11559">
      <c r="A11559" s="39">
        <f>_xlfn.XLOOKUP(80380,Trip[shape_id],Trip[shape_id],"Não encontrado")</f>
        <v/>
      </c>
      <c r="B11559" s="40" t="n">
        <v>-23.576231</v>
      </c>
      <c r="C11559" s="40" t="n">
        <v>-46.518855</v>
      </c>
      <c r="D11559" s="40" t="n">
        <v>75</v>
      </c>
      <c r="E11559" s="41" t="n">
        <v>2250.9971</v>
      </c>
    </row>
    <row r="11560">
      <c r="A11560" s="42">
        <f>_xlfn.XLOOKUP(80380,Trip[shape_id],Trip[shape_id],"Não encontrado")</f>
        <v/>
      </c>
      <c r="B11560" s="43" t="n">
        <v>-23.576194</v>
      </c>
      <c r="C11560" s="43" t="n">
        <v>-46.519184</v>
      </c>
      <c r="D11560" s="43" t="n">
        <v>76</v>
      </c>
      <c r="E11560" s="44" t="n">
        <v>2284.8313</v>
      </c>
    </row>
    <row r="11561">
      <c r="A11561" s="39">
        <f>_xlfn.XLOOKUP(80380,Trip[shape_id],Trip[shape_id],"Não encontrado")</f>
        <v/>
      </c>
      <c r="B11561" s="40" t="n">
        <v>-23.576183</v>
      </c>
      <c r="C11561" s="40" t="n">
        <v>-46.519348</v>
      </c>
      <c r="D11561" s="40" t="n">
        <v>77</v>
      </c>
      <c r="E11561" s="41" t="n">
        <v>2301.6172</v>
      </c>
    </row>
    <row r="11562">
      <c r="A11562" s="42">
        <f>_xlfn.XLOOKUP(80380,Trip[shape_id],Trip[shape_id],"Não encontrado")</f>
        <v/>
      </c>
      <c r="B11562" s="43" t="n">
        <v>-23.576163</v>
      </c>
      <c r="C11562" s="43" t="n">
        <v>-46.519597</v>
      </c>
      <c r="D11562" s="43" t="n">
        <v>78</v>
      </c>
      <c r="E11562" s="44" t="n">
        <v>2327.1321</v>
      </c>
    </row>
    <row r="11563">
      <c r="A11563" s="39">
        <f>_xlfn.XLOOKUP(80380,Trip[shape_id],Trip[shape_id],"Não encontrado")</f>
        <v/>
      </c>
      <c r="B11563" s="40" t="n">
        <v>-23.576162</v>
      </c>
      <c r="C11563" s="40" t="n">
        <v>-46.519626</v>
      </c>
      <c r="D11563" s="40" t="n">
        <v>79</v>
      </c>
      <c r="E11563" s="41" t="n">
        <v>2330.0952</v>
      </c>
    </row>
    <row r="11564">
      <c r="A11564" s="42">
        <f>_xlfn.XLOOKUP(80380,Trip[shape_id],Trip[shape_id],"Não encontrado")</f>
        <v/>
      </c>
      <c r="B11564" s="43" t="n">
        <v>-23.576138</v>
      </c>
      <c r="C11564" s="43" t="n">
        <v>-46.519843</v>
      </c>
      <c r="D11564" s="43" t="n">
        <v>80</v>
      </c>
      <c r="E11564" s="44" t="n">
        <v>2352.4058</v>
      </c>
    </row>
    <row r="11565">
      <c r="A11565" s="39">
        <f>_xlfn.XLOOKUP(80380,Trip[shape_id],Trip[shape_id],"Não encontrado")</f>
        <v/>
      </c>
      <c r="B11565" s="40" t="n">
        <v>-23.576138</v>
      </c>
      <c r="C11565" s="40" t="n">
        <v>-46.519913</v>
      </c>
      <c r="D11565" s="40" t="n">
        <v>81</v>
      </c>
      <c r="E11565" s="41" t="n">
        <v>2359.551</v>
      </c>
    </row>
    <row r="11566">
      <c r="A11566" s="42">
        <f>_xlfn.XLOOKUP(80380,Trip[shape_id],Trip[shape_id],"Não encontrado")</f>
        <v/>
      </c>
      <c r="B11566" s="43" t="n">
        <v>-23.57614</v>
      </c>
      <c r="C11566" s="43" t="n">
        <v>-46.51997</v>
      </c>
      <c r="D11566" s="43" t="n">
        <v>82</v>
      </c>
      <c r="E11566" s="44" t="n">
        <v>2365.3743</v>
      </c>
    </row>
    <row r="11567">
      <c r="A11567" s="39">
        <f>_xlfn.XLOOKUP(80380,Trip[shape_id],Trip[shape_id],"Não encontrado")</f>
        <v/>
      </c>
      <c r="B11567" s="40" t="n">
        <v>-23.57614</v>
      </c>
      <c r="C11567" s="40" t="n">
        <v>-46.520029</v>
      </c>
      <c r="D11567" s="40" t="n">
        <v>83</v>
      </c>
      <c r="E11567" s="41" t="n">
        <v>2371.3972</v>
      </c>
    </row>
    <row r="11568">
      <c r="A11568" s="42">
        <f>_xlfn.XLOOKUP(80380,Trip[shape_id],Trip[shape_id],"Não encontrado")</f>
        <v/>
      </c>
      <c r="B11568" s="43" t="n">
        <v>-23.576167</v>
      </c>
      <c r="C11568" s="43" t="n">
        <v>-46.52018</v>
      </c>
      <c r="D11568" s="43" t="n">
        <v>84</v>
      </c>
      <c r="E11568" s="44" t="n">
        <v>2387.0991</v>
      </c>
    </row>
    <row r="11569">
      <c r="A11569" s="39">
        <f>_xlfn.XLOOKUP(80380,Trip[shape_id],Trip[shape_id],"Não encontrado")</f>
        <v/>
      </c>
      <c r="B11569" s="40" t="n">
        <v>-23.576191</v>
      </c>
      <c r="C11569" s="40" t="n">
        <v>-46.52032</v>
      </c>
      <c r="D11569" s="40" t="n">
        <v>85</v>
      </c>
      <c r="E11569" s="41" t="n">
        <v>2401.6357</v>
      </c>
    </row>
    <row r="11570">
      <c r="A11570" s="42">
        <f>_xlfn.XLOOKUP(80380,Trip[shape_id],Trip[shape_id],"Não encontrado")</f>
        <v/>
      </c>
      <c r="B11570" s="43" t="n">
        <v>-23.57622</v>
      </c>
      <c r="C11570" s="43" t="n">
        <v>-46.520453</v>
      </c>
      <c r="D11570" s="43" t="n">
        <v>86</v>
      </c>
      <c r="E11570" s="44" t="n">
        <v>2415.5876</v>
      </c>
    </row>
    <row r="11571">
      <c r="A11571" s="39">
        <f>_xlfn.XLOOKUP(80380,Trip[shape_id],Trip[shape_id],"Não encontrado")</f>
        <v/>
      </c>
      <c r="B11571" s="40" t="n">
        <v>-23.576238</v>
      </c>
      <c r="C11571" s="40" t="n">
        <v>-46.52056</v>
      </c>
      <c r="D11571" s="40" t="n">
        <v>87</v>
      </c>
      <c r="E11571" s="41" t="n">
        <v>2426.6907</v>
      </c>
    </row>
    <row r="11572">
      <c r="A11572" s="42">
        <f>_xlfn.XLOOKUP(80380,Trip[shape_id],Trip[shape_id],"Não encontrado")</f>
        <v/>
      </c>
      <c r="B11572" s="43" t="n">
        <v>-23.576283</v>
      </c>
      <c r="C11572" s="43" t="n">
        <v>-46.520746</v>
      </c>
      <c r="D11572" s="43" t="n">
        <v>88</v>
      </c>
      <c r="E11572" s="44" t="n">
        <v>2446.321</v>
      </c>
    </row>
    <row r="11573">
      <c r="A11573" s="39">
        <f>_xlfn.XLOOKUP(80380,Trip[shape_id],Trip[shape_id],"Não encontrado")</f>
        <v/>
      </c>
      <c r="B11573" s="40" t="n">
        <v>-23.576373</v>
      </c>
      <c r="C11573" s="40" t="n">
        <v>-46.521075</v>
      </c>
      <c r="D11573" s="40" t="n">
        <v>89</v>
      </c>
      <c r="E11573" s="41" t="n">
        <v>2481.354</v>
      </c>
    </row>
    <row r="11574">
      <c r="A11574" s="42">
        <f>_xlfn.XLOOKUP(80380,Trip[shape_id],Trip[shape_id],"Não encontrado")</f>
        <v/>
      </c>
      <c r="B11574" s="43" t="n">
        <v>-23.576447</v>
      </c>
      <c r="C11574" s="43" t="n">
        <v>-46.521291</v>
      </c>
      <c r="D11574" s="43" t="n">
        <v>90</v>
      </c>
      <c r="E11574" s="44" t="n">
        <v>2504.8774</v>
      </c>
    </row>
    <row r="11575">
      <c r="A11575" s="39">
        <f>_xlfn.XLOOKUP(80380,Trip[shape_id],Trip[shape_id],"Não encontrado")</f>
        <v/>
      </c>
      <c r="B11575" s="40" t="n">
        <v>-23.576486</v>
      </c>
      <c r="C11575" s="40" t="n">
        <v>-46.521393</v>
      </c>
      <c r="D11575" s="40" t="n">
        <v>91</v>
      </c>
      <c r="E11575" s="41" t="n">
        <v>2516.1504</v>
      </c>
    </row>
    <row r="11576">
      <c r="A11576" s="42">
        <f>_xlfn.XLOOKUP(80380,Trip[shape_id],Trip[shape_id],"Não encontrado")</f>
        <v/>
      </c>
      <c r="B11576" s="43" t="n">
        <v>-23.576513</v>
      </c>
      <c r="C11576" s="43" t="n">
        <v>-46.521499</v>
      </c>
      <c r="D11576" s="43" t="n">
        <v>92</v>
      </c>
      <c r="E11576" s="44" t="n">
        <v>2527.3767</v>
      </c>
    </row>
    <row r="11577">
      <c r="A11577" s="39">
        <f>_xlfn.XLOOKUP(80380,Trip[shape_id],Trip[shape_id],"Não encontrado")</f>
        <v/>
      </c>
      <c r="B11577" s="40" t="n">
        <v>-23.576565</v>
      </c>
      <c r="C11577" s="40" t="n">
        <v>-46.521681</v>
      </c>
      <c r="D11577" s="40" t="n">
        <v>93</v>
      </c>
      <c r="E11577" s="41" t="n">
        <v>2546.8279</v>
      </c>
    </row>
    <row r="11578">
      <c r="A11578" s="42">
        <f>_xlfn.XLOOKUP(80380,Trip[shape_id],Trip[shape_id],"Não encontrado")</f>
        <v/>
      </c>
      <c r="B11578" s="43" t="n">
        <v>-23.57661</v>
      </c>
      <c r="C11578" s="43" t="n">
        <v>-46.521857</v>
      </c>
      <c r="D11578" s="43" t="n">
        <v>94</v>
      </c>
      <c r="E11578" s="44" t="n">
        <v>2565.4727</v>
      </c>
    </row>
    <row r="11579">
      <c r="A11579" s="39">
        <f>_xlfn.XLOOKUP(80380,Trip[shape_id],Trip[shape_id],"Não encontrado")</f>
        <v/>
      </c>
      <c r="B11579" s="40" t="n">
        <v>-23.576632</v>
      </c>
      <c r="C11579" s="40" t="n">
        <v>-46.521995</v>
      </c>
      <c r="D11579" s="40" t="n">
        <v>95</v>
      </c>
      <c r="E11579" s="41" t="n">
        <v>2579.7688</v>
      </c>
    </row>
    <row r="11580">
      <c r="A11580" s="42">
        <f>_xlfn.XLOOKUP(80380,Trip[shape_id],Trip[shape_id],"Não encontrado")</f>
        <v/>
      </c>
      <c r="B11580" s="43" t="n">
        <v>-23.57665</v>
      </c>
      <c r="C11580" s="43" t="n">
        <v>-46.522106</v>
      </c>
      <c r="D11580" s="43" t="n">
        <v>96</v>
      </c>
      <c r="E11580" s="44" t="n">
        <v>2591.2737</v>
      </c>
    </row>
    <row r="11581">
      <c r="A11581" s="39">
        <f>_xlfn.XLOOKUP(80380,Trip[shape_id],Trip[shape_id],"Não encontrado")</f>
        <v/>
      </c>
      <c r="B11581" s="40" t="n">
        <v>-23.576662</v>
      </c>
      <c r="C11581" s="40" t="n">
        <v>-46.522221</v>
      </c>
      <c r="D11581" s="40" t="n">
        <v>97</v>
      </c>
      <c r="E11581" s="41" t="n">
        <v>2603.0884</v>
      </c>
    </row>
    <row r="11582">
      <c r="A11582" s="42">
        <f>_xlfn.XLOOKUP(80380,Trip[shape_id],Trip[shape_id],"Não encontrado")</f>
        <v/>
      </c>
      <c r="B11582" s="43" t="n">
        <v>-23.576675</v>
      </c>
      <c r="C11582" s="43" t="n">
        <v>-46.52232</v>
      </c>
      <c r="D11582" s="43" t="n">
        <v>98</v>
      </c>
      <c r="E11582" s="44" t="n">
        <v>2613.2966</v>
      </c>
    </row>
    <row r="11583">
      <c r="A11583" s="39">
        <f>_xlfn.XLOOKUP(80380,Trip[shape_id],Trip[shape_id],"Não encontrado")</f>
        <v/>
      </c>
      <c r="B11583" s="40" t="n">
        <v>-23.576686</v>
      </c>
      <c r="C11583" s="40" t="n">
        <v>-46.522467</v>
      </c>
      <c r="D11583" s="40" t="n">
        <v>99</v>
      </c>
      <c r="E11583" s="41" t="n">
        <v>2628.3521</v>
      </c>
    </row>
    <row r="11584">
      <c r="A11584" s="42">
        <f>_xlfn.XLOOKUP(80380,Trip[shape_id],Trip[shape_id],"Não encontrado")</f>
        <v/>
      </c>
      <c r="B11584" s="43" t="n">
        <v>-23.576692</v>
      </c>
      <c r="C11584" s="43" t="n">
        <v>-46.522718</v>
      </c>
      <c r="D11584" s="43" t="n">
        <v>100</v>
      </c>
      <c r="E11584" s="44" t="n">
        <v>2653.9834</v>
      </c>
    </row>
    <row r="11585">
      <c r="A11585" s="39">
        <f>_xlfn.XLOOKUP(80380,Trip[shape_id],Trip[shape_id],"Não encontrado")</f>
        <v/>
      </c>
      <c r="B11585" s="40" t="n">
        <v>-23.576699</v>
      </c>
      <c r="C11585" s="40" t="n">
        <v>-46.522817</v>
      </c>
      <c r="D11585" s="40" t="n">
        <v>101</v>
      </c>
      <c r="E11585" s="41" t="n">
        <v>2664.1194</v>
      </c>
    </row>
    <row r="11586">
      <c r="A11586" s="42">
        <f>_xlfn.XLOOKUP(80380,Trip[shape_id],Trip[shape_id],"Não encontrado")</f>
        <v/>
      </c>
      <c r="B11586" s="43" t="n">
        <v>-23.576704</v>
      </c>
      <c r="C11586" s="43" t="n">
        <v>-46.522901</v>
      </c>
      <c r="D11586" s="43" t="n">
        <v>102</v>
      </c>
      <c r="E11586" s="44" t="n">
        <v>2672.7119</v>
      </c>
    </row>
    <row r="11587">
      <c r="A11587" s="39">
        <f>_xlfn.XLOOKUP(80380,Trip[shape_id],Trip[shape_id],"Não encontrado")</f>
        <v/>
      </c>
      <c r="B11587" s="40" t="n">
        <v>-23.576737</v>
      </c>
      <c r="C11587" s="40" t="n">
        <v>-46.523157</v>
      </c>
      <c r="D11587" s="40" t="n">
        <v>103</v>
      </c>
      <c r="E11587" s="41" t="n">
        <v>2699.0991</v>
      </c>
    </row>
    <row r="11588">
      <c r="A11588" s="42">
        <f>_xlfn.XLOOKUP(80380,Trip[shape_id],Trip[shape_id],"Não encontrado")</f>
        <v/>
      </c>
      <c r="B11588" s="43" t="n">
        <v>-23.576768</v>
      </c>
      <c r="C11588" s="43" t="n">
        <v>-46.523328</v>
      </c>
      <c r="D11588" s="43" t="n">
        <v>104</v>
      </c>
      <c r="E11588" s="44" t="n">
        <v>2716.8896</v>
      </c>
    </row>
    <row r="11589">
      <c r="A11589" s="39">
        <f>_xlfn.XLOOKUP(80380,Trip[shape_id],Trip[shape_id],"Não encontrado")</f>
        <v/>
      </c>
      <c r="B11589" s="40" t="n">
        <v>-23.576859</v>
      </c>
      <c r="C11589" s="40" t="n">
        <v>-46.52367</v>
      </c>
      <c r="D11589" s="40" t="n">
        <v>105</v>
      </c>
      <c r="E11589" s="41" t="n">
        <v>2753.2273</v>
      </c>
    </row>
    <row r="11590">
      <c r="A11590" s="42">
        <f>_xlfn.XLOOKUP(80380,Trip[shape_id],Trip[shape_id],"Não encontrado")</f>
        <v/>
      </c>
      <c r="B11590" s="43" t="n">
        <v>-23.576915</v>
      </c>
      <c r="C11590" s="43" t="n">
        <v>-46.523853</v>
      </c>
      <c r="D11590" s="43" t="n">
        <v>106</v>
      </c>
      <c r="E11590" s="44" t="n">
        <v>2772.9106</v>
      </c>
    </row>
    <row r="11591">
      <c r="A11591" s="39">
        <f>_xlfn.XLOOKUP(80380,Trip[shape_id],Trip[shape_id],"Não encontrado")</f>
        <v/>
      </c>
      <c r="B11591" s="40" t="n">
        <v>-23.576986</v>
      </c>
      <c r="C11591" s="40" t="n">
        <v>-46.524054</v>
      </c>
      <c r="D11591" s="40" t="n">
        <v>107</v>
      </c>
      <c r="E11591" s="41" t="n">
        <v>2794.8843</v>
      </c>
    </row>
    <row r="11592">
      <c r="A11592" s="42">
        <f>_xlfn.XLOOKUP(80380,Trip[shape_id],Trip[shape_id],"Não encontrado")</f>
        <v/>
      </c>
      <c r="B11592" s="43" t="n">
        <v>-23.577051</v>
      </c>
      <c r="C11592" s="43" t="n">
        <v>-46.524211</v>
      </c>
      <c r="D11592" s="43" t="n">
        <v>108</v>
      </c>
      <c r="E11592" s="44" t="n">
        <v>2812.4539</v>
      </c>
    </row>
    <row r="11593">
      <c r="A11593" s="39">
        <f>_xlfn.XLOOKUP(80380,Trip[shape_id],Trip[shape_id],"Não encontrado")</f>
        <v/>
      </c>
      <c r="B11593" s="40" t="n">
        <v>-23.577131</v>
      </c>
      <c r="C11593" s="40" t="n">
        <v>-46.524382</v>
      </c>
      <c r="D11593" s="40" t="n">
        <v>109</v>
      </c>
      <c r="E11593" s="41" t="n">
        <v>2832.0298</v>
      </c>
    </row>
    <row r="11594">
      <c r="A11594" s="42">
        <f>_xlfn.XLOOKUP(80380,Trip[shape_id],Trip[shape_id],"Não encontrado")</f>
        <v/>
      </c>
      <c r="B11594" s="43" t="n">
        <v>-23.57724</v>
      </c>
      <c r="C11594" s="43" t="n">
        <v>-46.524535</v>
      </c>
      <c r="D11594" s="43" t="n">
        <v>110</v>
      </c>
      <c r="E11594" s="44" t="n">
        <v>2851.7698</v>
      </c>
    </row>
    <row r="11595">
      <c r="A11595" s="39">
        <f>_xlfn.XLOOKUP(80380,Trip[shape_id],Trip[shape_id],"Não encontrado")</f>
        <v/>
      </c>
      <c r="B11595" s="40" t="n">
        <v>-23.577448</v>
      </c>
      <c r="C11595" s="40" t="n">
        <v>-46.524801</v>
      </c>
      <c r="D11595" s="40" t="n">
        <v>111</v>
      </c>
      <c r="E11595" s="41" t="n">
        <v>2887.3787</v>
      </c>
    </row>
    <row r="11596">
      <c r="A11596" s="42">
        <f>_xlfn.XLOOKUP(80380,Trip[shape_id],Trip[shape_id],"Não encontrado")</f>
        <v/>
      </c>
      <c r="B11596" s="43" t="n">
        <v>-23.577567</v>
      </c>
      <c r="C11596" s="43" t="n">
        <v>-46.52496</v>
      </c>
      <c r="D11596" s="43" t="n">
        <v>112</v>
      </c>
      <c r="E11596" s="44" t="n">
        <v>2908.2869</v>
      </c>
    </row>
    <row r="11597">
      <c r="A11597" s="39">
        <f>_xlfn.XLOOKUP(80380,Trip[shape_id],Trip[shape_id],"Não encontrado")</f>
        <v/>
      </c>
      <c r="B11597" s="40" t="n">
        <v>-23.577445</v>
      </c>
      <c r="C11597" s="40" t="n">
        <v>-46.525368</v>
      </c>
      <c r="D11597" s="40" t="n">
        <v>113</v>
      </c>
      <c r="E11597" s="41" t="n">
        <v>2952.0728</v>
      </c>
    </row>
    <row r="11598">
      <c r="A11598" s="42">
        <f>_xlfn.XLOOKUP(80380,Trip[shape_id],Trip[shape_id],"Não encontrado")</f>
        <v/>
      </c>
      <c r="B11598" s="43" t="n">
        <v>-23.577174</v>
      </c>
      <c r="C11598" s="43" t="n">
        <v>-46.52582</v>
      </c>
      <c r="D11598" s="43" t="n">
        <v>114</v>
      </c>
      <c r="E11598" s="44" t="n">
        <v>3007.1165</v>
      </c>
    </row>
    <row r="11599">
      <c r="A11599" s="39">
        <f>_xlfn.XLOOKUP(80380,Trip[shape_id],Trip[shape_id],"Não encontrado")</f>
        <v/>
      </c>
      <c r="B11599" s="40" t="n">
        <v>-23.57707</v>
      </c>
      <c r="C11599" s="40" t="n">
        <v>-46.525987</v>
      </c>
      <c r="D11599" s="40" t="n">
        <v>115</v>
      </c>
      <c r="E11599" s="41" t="n">
        <v>3027.6904</v>
      </c>
    </row>
    <row r="11600">
      <c r="A11600" s="42">
        <f>_xlfn.XLOOKUP(80380,Trip[shape_id],Trip[shape_id],"Não encontrado")</f>
        <v/>
      </c>
      <c r="B11600" s="43" t="n">
        <v>-23.576832</v>
      </c>
      <c r="C11600" s="43" t="n">
        <v>-46.526372</v>
      </c>
      <c r="D11600" s="43" t="n">
        <v>116</v>
      </c>
      <c r="E11600" s="44" t="n">
        <v>3075.0127</v>
      </c>
    </row>
    <row r="11601">
      <c r="A11601" s="39">
        <f>_xlfn.XLOOKUP(80380,Trip[shape_id],Trip[shape_id],"Não encontrado")</f>
        <v/>
      </c>
      <c r="B11601" s="40" t="n">
        <v>-23.576644</v>
      </c>
      <c r="C11601" s="40" t="n">
        <v>-46.526691</v>
      </c>
      <c r="D11601" s="40" t="n">
        <v>117</v>
      </c>
      <c r="E11601" s="41" t="n">
        <v>3113.6646</v>
      </c>
    </row>
    <row r="11602">
      <c r="A11602" s="42">
        <f>_xlfn.XLOOKUP(80380,Trip[shape_id],Trip[shape_id],"Não encontrado")</f>
        <v/>
      </c>
      <c r="B11602" s="43" t="n">
        <v>-23.576533</v>
      </c>
      <c r="C11602" s="43" t="n">
        <v>-46.526982</v>
      </c>
      <c r="D11602" s="43" t="n">
        <v>118</v>
      </c>
      <c r="E11602" s="44" t="n">
        <v>3145.8135</v>
      </c>
    </row>
    <row r="11603">
      <c r="A11603" s="39">
        <f>_xlfn.XLOOKUP(80380,Trip[shape_id],Trip[shape_id],"Não encontrado")</f>
        <v/>
      </c>
      <c r="B11603" s="40" t="n">
        <v>-23.576461</v>
      </c>
      <c r="C11603" s="40" t="n">
        <v>-46.52717</v>
      </c>
      <c r="D11603" s="40" t="n">
        <v>119</v>
      </c>
      <c r="E11603" s="41" t="n">
        <v>3166.5957</v>
      </c>
    </row>
    <row r="11604">
      <c r="A11604" s="42">
        <f>_xlfn.XLOOKUP(80380,Trip[shape_id],Trip[shape_id],"Não encontrado")</f>
        <v/>
      </c>
      <c r="B11604" s="43" t="n">
        <v>-23.576409</v>
      </c>
      <c r="C11604" s="43" t="n">
        <v>-46.527386</v>
      </c>
      <c r="D11604" s="43" t="n">
        <v>120</v>
      </c>
      <c r="E11604" s="44" t="n">
        <v>3189.385</v>
      </c>
    </row>
    <row r="11605">
      <c r="A11605" s="39">
        <f>_xlfn.XLOOKUP(80380,Trip[shape_id],Trip[shape_id],"Não encontrado")</f>
        <v/>
      </c>
      <c r="B11605" s="40" t="n">
        <v>-23.576184</v>
      </c>
      <c r="C11605" s="40" t="n">
        <v>-46.528231</v>
      </c>
      <c r="D11605" s="40" t="n">
        <v>121</v>
      </c>
      <c r="E11605" s="41" t="n">
        <v>3279.1716</v>
      </c>
    </row>
    <row r="11606">
      <c r="A11606" s="42">
        <f>_xlfn.XLOOKUP(80380,Trip[shape_id],Trip[shape_id],"Não encontrado")</f>
        <v/>
      </c>
      <c r="B11606" s="43" t="n">
        <v>-23.576038</v>
      </c>
      <c r="C11606" s="43" t="n">
        <v>-46.52877</v>
      </c>
      <c r="D11606" s="43" t="n">
        <v>122</v>
      </c>
      <c r="E11606" s="44" t="n">
        <v>3336.5208</v>
      </c>
    </row>
    <row r="11607">
      <c r="A11607" s="39">
        <f>_xlfn.XLOOKUP(80380,Trip[shape_id],Trip[shape_id],"Não encontrado")</f>
        <v/>
      </c>
      <c r="B11607" s="40" t="n">
        <v>-23.575884</v>
      </c>
      <c r="C11607" s="40" t="n">
        <v>-46.528747</v>
      </c>
      <c r="D11607" s="40" t="n">
        <v>123</v>
      </c>
      <c r="E11607" s="41" t="n">
        <v>3353.7375</v>
      </c>
    </row>
    <row r="11608">
      <c r="A11608" s="42">
        <f>_xlfn.XLOOKUP(80380,Trip[shape_id],Trip[shape_id],"Não encontrado")</f>
        <v/>
      </c>
      <c r="B11608" s="43" t="n">
        <v>-23.575732</v>
      </c>
      <c r="C11608" s="43" t="n">
        <v>-46.528735</v>
      </c>
      <c r="D11608" s="43" t="n">
        <v>124</v>
      </c>
      <c r="E11608" s="44" t="n">
        <v>3370.6165</v>
      </c>
    </row>
    <row r="11609">
      <c r="A11609" s="39">
        <f>_xlfn.XLOOKUP(80380,Trip[shape_id],Trip[shape_id],"Não encontrado")</f>
        <v/>
      </c>
      <c r="B11609" s="40" t="n">
        <v>-23.57563</v>
      </c>
      <c r="C11609" s="40" t="n">
        <v>-46.528747</v>
      </c>
      <c r="D11609" s="40" t="n">
        <v>125</v>
      </c>
      <c r="E11609" s="41" t="n">
        <v>3381.9795</v>
      </c>
    </row>
    <row r="11610">
      <c r="A11610" s="42">
        <f>_xlfn.XLOOKUP(80380,Trip[shape_id],Trip[shape_id],"Não encontrado")</f>
        <v/>
      </c>
      <c r="B11610" s="43" t="n">
        <v>-23.575571</v>
      </c>
      <c r="C11610" s="43" t="n">
        <v>-46.52877</v>
      </c>
      <c r="D11610" s="43" t="n">
        <v>126</v>
      </c>
      <c r="E11610" s="44" t="n">
        <v>3388.9229</v>
      </c>
    </row>
    <row r="11611">
      <c r="A11611" s="39">
        <f>_xlfn.XLOOKUP(80380,Trip[shape_id],Trip[shape_id],"Não encontrado")</f>
        <v/>
      </c>
      <c r="B11611" s="40" t="n">
        <v>-23.575488</v>
      </c>
      <c r="C11611" s="40" t="n">
        <v>-46.528846</v>
      </c>
      <c r="D11611" s="40" t="n">
        <v>127</v>
      </c>
      <c r="E11611" s="41" t="n">
        <v>3400.9519</v>
      </c>
    </row>
    <row r="11612">
      <c r="A11612" s="42">
        <f>_xlfn.XLOOKUP(80380,Trip[shape_id],Trip[shape_id],"Não encontrado")</f>
        <v/>
      </c>
      <c r="B11612" s="43" t="n">
        <v>-23.575467</v>
      </c>
      <c r="C11612" s="43" t="n">
        <v>-46.528882</v>
      </c>
      <c r="D11612" s="43" t="n">
        <v>128</v>
      </c>
      <c r="E11612" s="44" t="n">
        <v>3405.3018</v>
      </c>
    </row>
    <row r="11613">
      <c r="A11613" s="39">
        <f>_xlfn.XLOOKUP(80380,Trip[shape_id],Trip[shape_id],"Não encontrado")</f>
        <v/>
      </c>
      <c r="B11613" s="40" t="n">
        <v>-23.57508</v>
      </c>
      <c r="C11613" s="40" t="n">
        <v>-46.529478</v>
      </c>
      <c r="D11613" s="40" t="n">
        <v>129</v>
      </c>
      <c r="E11613" s="41" t="n">
        <v>3479.7246</v>
      </c>
    </row>
    <row r="11614">
      <c r="A11614" s="42">
        <f>_xlfn.XLOOKUP(80380,Trip[shape_id],Trip[shape_id],"Não encontrado")</f>
        <v/>
      </c>
      <c r="B11614" s="43" t="n">
        <v>-23.574854</v>
      </c>
      <c r="C11614" s="43" t="n">
        <v>-46.529837</v>
      </c>
      <c r="D11614" s="43" t="n">
        <v>130</v>
      </c>
      <c r="E11614" s="44" t="n">
        <v>3524.1045</v>
      </c>
    </row>
    <row r="11615">
      <c r="A11615" s="39">
        <f>_xlfn.XLOOKUP(80380,Trip[shape_id],Trip[shape_id],"Não encontrado")</f>
        <v/>
      </c>
      <c r="B11615" s="40" t="n">
        <v>-23.574674</v>
      </c>
      <c r="C11615" s="40" t="n">
        <v>-46.530115</v>
      </c>
      <c r="D11615" s="40" t="n">
        <v>131</v>
      </c>
      <c r="E11615" s="41" t="n">
        <v>3558.7859</v>
      </c>
    </row>
    <row r="11616">
      <c r="A11616" s="42">
        <f>_xlfn.XLOOKUP(80380,Trip[shape_id],Trip[shape_id],"Não encontrado")</f>
        <v/>
      </c>
      <c r="B11616" s="43" t="n">
        <v>-23.574559</v>
      </c>
      <c r="C11616" s="43" t="n">
        <v>-46.530331</v>
      </c>
      <c r="D11616" s="43" t="n">
        <v>132</v>
      </c>
      <c r="E11616" s="44" t="n">
        <v>3584.25</v>
      </c>
    </row>
    <row r="11617">
      <c r="A11617" s="39">
        <f>_xlfn.XLOOKUP(80380,Trip[shape_id],Trip[shape_id],"Não encontrado")</f>
        <v/>
      </c>
      <c r="B11617" s="40" t="n">
        <v>-23.574378</v>
      </c>
      <c r="C11617" s="40" t="n">
        <v>-46.530694</v>
      </c>
      <c r="D11617" s="40" t="n">
        <v>133</v>
      </c>
      <c r="E11617" s="41" t="n">
        <v>3626.3811</v>
      </c>
    </row>
    <row r="11618">
      <c r="A11618" s="42">
        <f>_xlfn.XLOOKUP(80380,Trip[shape_id],Trip[shape_id],"Não encontrado")</f>
        <v/>
      </c>
      <c r="B11618" s="43" t="n">
        <v>-23.574145</v>
      </c>
      <c r="C11618" s="43" t="n">
        <v>-46.531156</v>
      </c>
      <c r="D11618" s="43" t="n">
        <v>134</v>
      </c>
      <c r="E11618" s="44" t="n">
        <v>3680.1421</v>
      </c>
    </row>
    <row r="11619">
      <c r="A11619" s="39">
        <f>_xlfn.XLOOKUP(80380,Trip[shape_id],Trip[shape_id],"Não encontrado")</f>
        <v/>
      </c>
      <c r="B11619" s="40" t="n">
        <v>-23.57399</v>
      </c>
      <c r="C11619" s="40" t="n">
        <v>-46.531458</v>
      </c>
      <c r="D11619" s="40" t="n">
        <v>135</v>
      </c>
      <c r="E11619" s="41" t="n">
        <v>3715.4287</v>
      </c>
    </row>
    <row r="11620">
      <c r="A11620" s="42">
        <f>_xlfn.XLOOKUP(80380,Trip[shape_id],Trip[shape_id],"Não encontrado")</f>
        <v/>
      </c>
      <c r="B11620" s="43" t="n">
        <v>-23.573956</v>
      </c>
      <c r="C11620" s="43" t="n">
        <v>-46.531523</v>
      </c>
      <c r="D11620" s="43" t="n">
        <v>136</v>
      </c>
      <c r="E11620" s="44" t="n">
        <v>3723.0576</v>
      </c>
    </row>
    <row r="11621">
      <c r="A11621" s="39">
        <f>_xlfn.XLOOKUP(80380,Trip[shape_id],Trip[shape_id],"Não encontrado")</f>
        <v/>
      </c>
      <c r="B11621" s="40" t="n">
        <v>-23.573867</v>
      </c>
      <c r="C11621" s="40" t="n">
        <v>-46.531707</v>
      </c>
      <c r="D11621" s="40" t="n">
        <v>137</v>
      </c>
      <c r="E11621" s="41" t="n">
        <v>3744.2703</v>
      </c>
    </row>
    <row r="11622">
      <c r="A11622" s="42">
        <f>_xlfn.XLOOKUP(80380,Trip[shape_id],Trip[shape_id],"Não encontrado")</f>
        <v/>
      </c>
      <c r="B11622" s="43" t="n">
        <v>-23.573866</v>
      </c>
      <c r="C11622" s="43" t="n">
        <v>-46.531736</v>
      </c>
      <c r="D11622" s="43" t="n">
        <v>138</v>
      </c>
      <c r="E11622" s="44" t="n">
        <v>3747.2334</v>
      </c>
    </row>
    <row r="11623">
      <c r="A11623" s="39">
        <f>_xlfn.XLOOKUP(80380,Trip[shape_id],Trip[shape_id],"Não encontrado")</f>
        <v/>
      </c>
      <c r="B11623" s="40" t="n">
        <v>-23.573866</v>
      </c>
      <c r="C11623" s="40" t="n">
        <v>-46.531801</v>
      </c>
      <c r="D11623" s="40" t="n">
        <v>139</v>
      </c>
      <c r="E11623" s="41" t="n">
        <v>3753.8687</v>
      </c>
    </row>
    <row r="11624">
      <c r="A11624" s="42">
        <f>_xlfn.XLOOKUP(80380,Trip[shape_id],Trip[shape_id],"Não encontrado")</f>
        <v/>
      </c>
      <c r="B11624" s="43" t="n">
        <v>-23.573864</v>
      </c>
      <c r="C11624" s="43" t="n">
        <v>-46.531901</v>
      </c>
      <c r="D11624" s="43" t="n">
        <v>140</v>
      </c>
      <c r="E11624" s="44" t="n">
        <v>3764.0793</v>
      </c>
    </row>
    <row r="11625">
      <c r="A11625" s="39">
        <f>_xlfn.XLOOKUP(80380,Trip[shape_id],Trip[shape_id],"Não encontrado")</f>
        <v/>
      </c>
      <c r="B11625" s="40" t="n">
        <v>-23.573835</v>
      </c>
      <c r="C11625" s="40" t="n">
        <v>-46.532025</v>
      </c>
      <c r="D11625" s="40" t="n">
        <v>141</v>
      </c>
      <c r="E11625" s="41" t="n">
        <v>3777.1389</v>
      </c>
    </row>
    <row r="11626">
      <c r="A11626" s="42">
        <f>_xlfn.XLOOKUP(80380,Trip[shape_id],Trip[shape_id],"Não encontrado")</f>
        <v/>
      </c>
      <c r="B11626" s="43" t="n">
        <v>-23.573815</v>
      </c>
      <c r="C11626" s="43" t="n">
        <v>-46.532118</v>
      </c>
      <c r="D11626" s="43" t="n">
        <v>142</v>
      </c>
      <c r="E11626" s="44" t="n">
        <v>3786.8875</v>
      </c>
    </row>
    <row r="11627">
      <c r="A11627" s="39">
        <f>_xlfn.XLOOKUP(80380,Trip[shape_id],Trip[shape_id],"Não encontrado")</f>
        <v/>
      </c>
      <c r="B11627" s="40" t="n">
        <v>-23.573792</v>
      </c>
      <c r="C11627" s="40" t="n">
        <v>-46.532229</v>
      </c>
      <c r="D11627" s="40" t="n">
        <v>143</v>
      </c>
      <c r="E11627" s="41" t="n">
        <v>3798.5012</v>
      </c>
    </row>
    <row r="11628">
      <c r="A11628" s="42">
        <f>_xlfn.XLOOKUP(80380,Trip[shape_id],Trip[shape_id],"Não encontrado")</f>
        <v/>
      </c>
      <c r="B11628" s="43" t="n">
        <v>-23.573764</v>
      </c>
      <c r="C11628" s="43" t="n">
        <v>-46.532285</v>
      </c>
      <c r="D11628" s="43" t="n">
        <v>144</v>
      </c>
      <c r="E11628" s="44" t="n">
        <v>3805.0044</v>
      </c>
    </row>
    <row r="11629">
      <c r="A11629" s="39">
        <f>_xlfn.XLOOKUP(80380,Trip[shape_id],Trip[shape_id],"Não encontrado")</f>
        <v/>
      </c>
      <c r="B11629" s="40" t="n">
        <v>-23.573734</v>
      </c>
      <c r="C11629" s="40" t="n">
        <v>-46.532338</v>
      </c>
      <c r="D11629" s="40" t="n">
        <v>145</v>
      </c>
      <c r="E11629" s="41" t="n">
        <v>3811.3538</v>
      </c>
    </row>
    <row r="11630">
      <c r="A11630" s="42">
        <f>_xlfn.XLOOKUP(80380,Trip[shape_id],Trip[shape_id],"Não encontrado")</f>
        <v/>
      </c>
      <c r="B11630" s="43" t="n">
        <v>-23.573676</v>
      </c>
      <c r="C11630" s="43" t="n">
        <v>-46.532424</v>
      </c>
      <c r="D11630" s="43" t="n">
        <v>146</v>
      </c>
      <c r="E11630" s="44" t="n">
        <v>3822.2319</v>
      </c>
    </row>
    <row r="11631">
      <c r="A11631" s="39">
        <f>_xlfn.XLOOKUP(80380,Trip[shape_id],Trip[shape_id],"Não encontrado")</f>
        <v/>
      </c>
      <c r="B11631" s="40" t="n">
        <v>-23.573618</v>
      </c>
      <c r="C11631" s="40" t="n">
        <v>-46.532506</v>
      </c>
      <c r="D11631" s="40" t="n">
        <v>147</v>
      </c>
      <c r="E11631" s="41" t="n">
        <v>3832.7837</v>
      </c>
    </row>
    <row r="11632">
      <c r="A11632" s="42">
        <f>_xlfn.XLOOKUP(80380,Trip[shape_id],Trip[shape_id],"Não encontrado")</f>
        <v/>
      </c>
      <c r="B11632" s="43" t="n">
        <v>-23.573597</v>
      </c>
      <c r="C11632" s="43" t="n">
        <v>-46.53253</v>
      </c>
      <c r="D11632" s="43" t="n">
        <v>148</v>
      </c>
      <c r="E11632" s="44" t="n">
        <v>3836.1609</v>
      </c>
    </row>
    <row r="11633">
      <c r="A11633" s="39">
        <f>_xlfn.XLOOKUP(80380,Trip[shape_id],Trip[shape_id],"Não encontrado")</f>
        <v/>
      </c>
      <c r="B11633" s="40" t="n">
        <v>-23.5735</v>
      </c>
      <c r="C11633" s="40" t="n">
        <v>-46.532636</v>
      </c>
      <c r="D11633" s="40" t="n">
        <v>149</v>
      </c>
      <c r="E11633" s="41" t="n">
        <v>3851.4089</v>
      </c>
    </row>
    <row r="11634">
      <c r="A11634" s="42">
        <f>_xlfn.XLOOKUP(80380,Trip[shape_id],Trip[shape_id],"Não encontrado")</f>
        <v/>
      </c>
      <c r="B11634" s="43" t="n">
        <v>-23.573406</v>
      </c>
      <c r="C11634" s="43" t="n">
        <v>-46.532727</v>
      </c>
      <c r="D11634" s="43" t="n">
        <v>150</v>
      </c>
      <c r="E11634" s="44" t="n">
        <v>3865.3616</v>
      </c>
    </row>
    <row r="11635">
      <c r="A11635" s="39">
        <f>_xlfn.XLOOKUP(80380,Trip[shape_id],Trip[shape_id],"Não encontrado")</f>
        <v/>
      </c>
      <c r="B11635" s="40" t="n">
        <v>-23.57319</v>
      </c>
      <c r="C11635" s="40" t="n">
        <v>-46.532925</v>
      </c>
      <c r="D11635" s="40" t="n">
        <v>151</v>
      </c>
      <c r="E11635" s="41" t="n">
        <v>3896.6799</v>
      </c>
    </row>
    <row r="11636">
      <c r="A11636" s="42">
        <f>_xlfn.XLOOKUP(80380,Trip[shape_id],Trip[shape_id],"Não encontrado")</f>
        <v/>
      </c>
      <c r="B11636" s="43" t="n">
        <v>-23.573027</v>
      </c>
      <c r="C11636" s="43" t="n">
        <v>-46.5331</v>
      </c>
      <c r="D11636" s="43" t="n">
        <v>152</v>
      </c>
      <c r="E11636" s="44" t="n">
        <v>3922.0779</v>
      </c>
    </row>
    <row r="11637">
      <c r="A11637" s="39">
        <f>_xlfn.XLOOKUP(80380,Trip[shape_id],Trip[shape_id],"Não encontrado")</f>
        <v/>
      </c>
      <c r="B11637" s="40" t="n">
        <v>-23.573011</v>
      </c>
      <c r="C11637" s="40" t="n">
        <v>-46.533117</v>
      </c>
      <c r="D11637" s="40" t="n">
        <v>153</v>
      </c>
      <c r="E11637" s="41" t="n">
        <v>3924.5601</v>
      </c>
    </row>
    <row r="11638">
      <c r="A11638" s="42">
        <f>_xlfn.XLOOKUP(80380,Trip[shape_id],Trip[shape_id],"Não encontrado")</f>
        <v/>
      </c>
      <c r="B11638" s="43" t="n">
        <v>-23.573014</v>
      </c>
      <c r="C11638" s="43" t="n">
        <v>-46.533172</v>
      </c>
      <c r="D11638" s="43" t="n">
        <v>154</v>
      </c>
      <c r="E11638" s="44" t="n">
        <v>3930.1843</v>
      </c>
    </row>
    <row r="11639">
      <c r="A11639" s="39">
        <f>_xlfn.XLOOKUP(80380,Trip[shape_id],Trip[shape_id],"Não encontrado")</f>
        <v/>
      </c>
      <c r="B11639" s="40" t="n">
        <v>-23.573014</v>
      </c>
      <c r="C11639" s="40" t="n">
        <v>-46.533302</v>
      </c>
      <c r="D11639" s="40" t="n">
        <v>155</v>
      </c>
      <c r="E11639" s="41" t="n">
        <v>3943.4556</v>
      </c>
    </row>
    <row r="11640">
      <c r="A11640" s="42">
        <f>_xlfn.XLOOKUP(80380,Trip[shape_id],Trip[shape_id],"Não encontrado")</f>
        <v/>
      </c>
      <c r="B11640" s="43" t="n">
        <v>-23.573013</v>
      </c>
      <c r="C11640" s="43" t="n">
        <v>-46.533396</v>
      </c>
      <c r="D11640" s="43" t="n">
        <v>156</v>
      </c>
      <c r="E11640" s="44" t="n">
        <v>3953.0525</v>
      </c>
    </row>
    <row r="11641">
      <c r="A11641" s="39">
        <f>_xlfn.XLOOKUP(80380,Trip[shape_id],Trip[shape_id],"Não encontrado")</f>
        <v/>
      </c>
      <c r="B11641" s="40" t="n">
        <v>-23.573004</v>
      </c>
      <c r="C11641" s="40" t="n">
        <v>-46.533601</v>
      </c>
      <c r="D11641" s="40" t="n">
        <v>157</v>
      </c>
      <c r="E11641" s="41" t="n">
        <v>3974.0034</v>
      </c>
    </row>
    <row r="11642">
      <c r="A11642" s="42">
        <f>_xlfn.XLOOKUP(80380,Trip[shape_id],Trip[shape_id],"Não encontrado")</f>
        <v/>
      </c>
      <c r="B11642" s="43" t="n">
        <v>-23.572972</v>
      </c>
      <c r="C11642" s="43" t="n">
        <v>-46.533783</v>
      </c>
      <c r="D11642" s="43" t="n">
        <v>158</v>
      </c>
      <c r="E11642" s="44" t="n">
        <v>3992.918</v>
      </c>
    </row>
    <row r="11643">
      <c r="A11643" s="39">
        <f>_xlfn.XLOOKUP(80380,Trip[shape_id],Trip[shape_id],"Não encontrado")</f>
        <v/>
      </c>
      <c r="B11643" s="40" t="n">
        <v>-23.572943</v>
      </c>
      <c r="C11643" s="40" t="n">
        <v>-46.533909</v>
      </c>
      <c r="D11643" s="40" t="n">
        <v>159</v>
      </c>
      <c r="E11643" s="41" t="n">
        <v>4006.1753</v>
      </c>
    </row>
    <row r="11644">
      <c r="A11644" s="42">
        <f>_xlfn.XLOOKUP(80380,Trip[shape_id],Trip[shape_id],"Não encontrado")</f>
        <v/>
      </c>
      <c r="B11644" s="43" t="n">
        <v>-23.572922</v>
      </c>
      <c r="C11644" s="43" t="n">
        <v>-46.534001</v>
      </c>
      <c r="D11644" s="43" t="n">
        <v>160</v>
      </c>
      <c r="E11644" s="44" t="n">
        <v>4015.8511</v>
      </c>
    </row>
    <row r="11645">
      <c r="A11645" s="39">
        <f>_xlfn.XLOOKUP(80380,Trip[shape_id],Trip[shape_id],"Não encontrado")</f>
        <v/>
      </c>
      <c r="B11645" s="40" t="n">
        <v>-23.572879</v>
      </c>
      <c r="C11645" s="40" t="n">
        <v>-46.534127</v>
      </c>
      <c r="D11645" s="40" t="n">
        <v>161</v>
      </c>
      <c r="E11645" s="41" t="n">
        <v>4029.5674</v>
      </c>
    </row>
    <row r="11646">
      <c r="A11646" s="42">
        <f>_xlfn.XLOOKUP(80380,Trip[shape_id],Trip[shape_id],"Não encontrado")</f>
        <v/>
      </c>
      <c r="B11646" s="43" t="n">
        <v>-23.572847</v>
      </c>
      <c r="C11646" s="43" t="n">
        <v>-46.534197</v>
      </c>
      <c r="D11646" s="43" t="n">
        <v>162</v>
      </c>
      <c r="E11646" s="44" t="n">
        <v>4037.5442</v>
      </c>
    </row>
    <row r="11647">
      <c r="A11647" s="39">
        <f>_xlfn.XLOOKUP(80380,Trip[shape_id],Trip[shape_id],"Não encontrado")</f>
        <v/>
      </c>
      <c r="B11647" s="40" t="n">
        <v>-23.572746</v>
      </c>
      <c r="C11647" s="40" t="n">
        <v>-46.53444</v>
      </c>
      <c r="D11647" s="40" t="n">
        <v>163</v>
      </c>
      <c r="E11647" s="41" t="n">
        <v>4064.7563</v>
      </c>
    </row>
    <row r="11648">
      <c r="A11648" s="42">
        <f>_xlfn.XLOOKUP(80380,Trip[shape_id],Trip[shape_id],"Não encontrado")</f>
        <v/>
      </c>
      <c r="B11648" s="43" t="n">
        <v>-23.572661</v>
      </c>
      <c r="C11648" s="43" t="n">
        <v>-46.534615</v>
      </c>
      <c r="D11648" s="43" t="n">
        <v>164</v>
      </c>
      <c r="E11648" s="44" t="n">
        <v>4084.9497</v>
      </c>
    </row>
    <row r="11649">
      <c r="A11649" s="39">
        <f>_xlfn.XLOOKUP(80380,Trip[shape_id],Trip[shape_id],"Não encontrado")</f>
        <v/>
      </c>
      <c r="B11649" s="40" t="n">
        <v>-23.571741</v>
      </c>
      <c r="C11649" s="40" t="n">
        <v>-46.536594</v>
      </c>
      <c r="D11649" s="40" t="n">
        <v>165</v>
      </c>
      <c r="E11649" s="41" t="n">
        <v>4311.2168</v>
      </c>
    </row>
    <row r="11650">
      <c r="A11650" s="42">
        <f>_xlfn.XLOOKUP(80380,Trip[shape_id],Trip[shape_id],"Não encontrado")</f>
        <v/>
      </c>
      <c r="B11650" s="43" t="n">
        <v>-23.571564</v>
      </c>
      <c r="C11650" s="43" t="n">
        <v>-46.53696</v>
      </c>
      <c r="D11650" s="43" t="n">
        <v>166</v>
      </c>
      <c r="E11650" s="44" t="n">
        <v>4353.4106</v>
      </c>
    </row>
    <row r="11651">
      <c r="A11651" s="39">
        <f>_xlfn.XLOOKUP(80380,Trip[shape_id],Trip[shape_id],"Não encontrado")</f>
        <v/>
      </c>
      <c r="B11651" s="40" t="n">
        <v>-23.571403</v>
      </c>
      <c r="C11651" s="40" t="n">
        <v>-46.537344</v>
      </c>
      <c r="D11651" s="40" t="n">
        <v>167</v>
      </c>
      <c r="E11651" s="41" t="n">
        <v>4396.4766</v>
      </c>
    </row>
    <row r="11652">
      <c r="A11652" s="42">
        <f>_xlfn.XLOOKUP(80380,Trip[shape_id],Trip[shape_id],"Não encontrado")</f>
        <v/>
      </c>
      <c r="B11652" s="43" t="n">
        <v>-23.571247</v>
      </c>
      <c r="C11652" s="43" t="n">
        <v>-46.537712</v>
      </c>
      <c r="D11652" s="43" t="n">
        <v>168</v>
      </c>
      <c r="E11652" s="44" t="n">
        <v>4437.8267</v>
      </c>
    </row>
    <row r="11653">
      <c r="A11653" s="39">
        <f>_xlfn.XLOOKUP(80380,Trip[shape_id],Trip[shape_id],"Não encontrado")</f>
        <v/>
      </c>
      <c r="B11653" s="40" t="n">
        <v>-23.571126</v>
      </c>
      <c r="C11653" s="40" t="n">
        <v>-46.538052</v>
      </c>
      <c r="D11653" s="40" t="n">
        <v>169</v>
      </c>
      <c r="E11653" s="41" t="n">
        <v>4475.0332</v>
      </c>
    </row>
    <row r="11654">
      <c r="A11654" s="42">
        <f>_xlfn.XLOOKUP(80380,Trip[shape_id],Trip[shape_id],"Não encontrado")</f>
        <v/>
      </c>
      <c r="B11654" s="43" t="n">
        <v>-23.570938</v>
      </c>
      <c r="C11654" s="43" t="n">
        <v>-46.538579</v>
      </c>
      <c r="D11654" s="43" t="n">
        <v>170</v>
      </c>
      <c r="E11654" s="44" t="n">
        <v>4532.7212</v>
      </c>
    </row>
    <row r="11655">
      <c r="A11655" s="39">
        <f>_xlfn.XLOOKUP(80380,Trip[shape_id],Trip[shape_id],"Não encontrado")</f>
        <v/>
      </c>
      <c r="B11655" s="40" t="n">
        <v>-23.570873</v>
      </c>
      <c r="C11655" s="40" t="n">
        <v>-46.538764</v>
      </c>
      <c r="D11655" s="40" t="n">
        <v>171</v>
      </c>
      <c r="E11655" s="41" t="n">
        <v>4552.9326</v>
      </c>
    </row>
    <row r="11656">
      <c r="A11656" s="42">
        <f>_xlfn.XLOOKUP(80380,Trip[shape_id],Trip[shape_id],"Não encontrado")</f>
        <v/>
      </c>
      <c r="B11656" s="43" t="n">
        <v>-23.570763</v>
      </c>
      <c r="C11656" s="43" t="n">
        <v>-46.539081</v>
      </c>
      <c r="D11656" s="43" t="n">
        <v>172</v>
      </c>
      <c r="E11656" s="44" t="n">
        <v>4587.5112</v>
      </c>
    </row>
    <row r="11657">
      <c r="A11657" s="39">
        <f>_xlfn.XLOOKUP(80380,Trip[shape_id],Trip[shape_id],"Não encontrado")</f>
        <v/>
      </c>
      <c r="B11657" s="40" t="n">
        <v>-23.570552</v>
      </c>
      <c r="C11657" s="40" t="n">
        <v>-46.539682</v>
      </c>
      <c r="D11657" s="40" t="n">
        <v>173</v>
      </c>
      <c r="E11657" s="41" t="n">
        <v>4653.165</v>
      </c>
    </row>
    <row r="11658">
      <c r="A11658" s="42">
        <f>_xlfn.XLOOKUP(80380,Trip[shape_id],Trip[shape_id],"Não encontrado")</f>
        <v/>
      </c>
      <c r="B11658" s="43" t="n">
        <v>-23.570354</v>
      </c>
      <c r="C11658" s="43" t="n">
        <v>-46.540257</v>
      </c>
      <c r="D11658" s="43" t="n">
        <v>174</v>
      </c>
      <c r="E11658" s="44" t="n">
        <v>4715.8271</v>
      </c>
    </row>
    <row r="11659">
      <c r="A11659" s="39">
        <f>_xlfn.XLOOKUP(80380,Trip[shape_id],Trip[shape_id],"Não encontrado")</f>
        <v/>
      </c>
      <c r="B11659" s="40" t="n">
        <v>-23.570307</v>
      </c>
      <c r="C11659" s="40" t="n">
        <v>-46.540339</v>
      </c>
      <c r="D11659" s="40" t="n">
        <v>175</v>
      </c>
      <c r="E11659" s="41" t="n">
        <v>4725.6846</v>
      </c>
    </row>
    <row r="11660">
      <c r="A11660" s="42">
        <f>_xlfn.XLOOKUP(80380,Trip[shape_id],Trip[shape_id],"Não encontrado")</f>
        <v/>
      </c>
      <c r="B11660" s="43" t="n">
        <v>-23.570263</v>
      </c>
      <c r="C11660" s="43" t="n">
        <v>-46.540403</v>
      </c>
      <c r="D11660" s="43" t="n">
        <v>176</v>
      </c>
      <c r="E11660" s="44" t="n">
        <v>4733.8354</v>
      </c>
    </row>
    <row r="11661">
      <c r="A11661" s="39">
        <f>_xlfn.XLOOKUP(80380,Trip[shape_id],Trip[shape_id],"Não encontrado")</f>
        <v/>
      </c>
      <c r="B11661" s="40" t="n">
        <v>-23.57016</v>
      </c>
      <c r="C11661" s="40" t="n">
        <v>-46.540536</v>
      </c>
      <c r="D11661" s="40" t="n">
        <v>177</v>
      </c>
      <c r="E11661" s="41" t="n">
        <v>4751.5688</v>
      </c>
    </row>
    <row r="11662">
      <c r="A11662" s="42">
        <f>_xlfn.XLOOKUP(80380,Trip[shape_id],Trip[shape_id],"Não encontrado")</f>
        <v/>
      </c>
      <c r="B11662" s="43" t="n">
        <v>-23.570053</v>
      </c>
      <c r="C11662" s="43" t="n">
        <v>-46.540579</v>
      </c>
      <c r="D11662" s="43" t="n">
        <v>178</v>
      </c>
      <c r="E11662" s="44" t="n">
        <v>4764.2061</v>
      </c>
    </row>
    <row r="11663">
      <c r="A11663" s="39">
        <f>_xlfn.XLOOKUP(80380,Trip[shape_id],Trip[shape_id],"Não encontrado")</f>
        <v/>
      </c>
      <c r="B11663" s="40" t="n">
        <v>-23.569965</v>
      </c>
      <c r="C11663" s="40" t="n">
        <v>-46.540602</v>
      </c>
      <c r="D11663" s="40" t="n">
        <v>179</v>
      </c>
      <c r="E11663" s="41" t="n">
        <v>4774.2314</v>
      </c>
    </row>
    <row r="11664">
      <c r="A11664" s="42">
        <f>_xlfn.XLOOKUP(80380,Trip[shape_id],Trip[shape_id],"Não encontrado")</f>
        <v/>
      </c>
      <c r="B11664" s="43" t="n">
        <v>-23.569934</v>
      </c>
      <c r="C11664" s="43" t="n">
        <v>-46.540602</v>
      </c>
      <c r="D11664" s="43" t="n">
        <v>180</v>
      </c>
      <c r="E11664" s="44" t="n">
        <v>4777.6641</v>
      </c>
    </row>
    <row r="11665">
      <c r="A11665" s="39">
        <f>_xlfn.XLOOKUP(80380,Trip[shape_id],Trip[shape_id],"Não encontrado")</f>
        <v/>
      </c>
      <c r="B11665" s="40" t="n">
        <v>-23.569877</v>
      </c>
      <c r="C11665" s="40" t="n">
        <v>-46.540603</v>
      </c>
      <c r="D11665" s="40" t="n">
        <v>181</v>
      </c>
      <c r="E11665" s="41" t="n">
        <v>4783.9775</v>
      </c>
    </row>
    <row r="11666">
      <c r="A11666" s="42">
        <f>_xlfn.XLOOKUP(80380,Trip[shape_id],Trip[shape_id],"Não encontrado")</f>
        <v/>
      </c>
      <c r="B11666" s="43" t="n">
        <v>-23.569777</v>
      </c>
      <c r="C11666" s="43" t="n">
        <v>-46.54057</v>
      </c>
      <c r="D11666" s="43" t="n">
        <v>182</v>
      </c>
      <c r="E11666" s="44" t="n">
        <v>4795.5537</v>
      </c>
    </row>
    <row r="11667">
      <c r="A11667" s="39">
        <f>_xlfn.XLOOKUP(80380,Trip[shape_id],Trip[shape_id],"Não encontrado")</f>
        <v/>
      </c>
      <c r="B11667" s="40" t="n">
        <v>-23.569472</v>
      </c>
      <c r="C11667" s="40" t="n">
        <v>-46.540373</v>
      </c>
      <c r="D11667" s="40" t="n">
        <v>183</v>
      </c>
      <c r="E11667" s="41" t="n">
        <v>4834.8667</v>
      </c>
    </row>
    <row r="11668">
      <c r="A11668" s="42">
        <f>_xlfn.XLOOKUP(80380,Trip[shape_id],Trip[shape_id],"Não encontrado")</f>
        <v/>
      </c>
      <c r="B11668" s="43" t="n">
        <v>-23.569375</v>
      </c>
      <c r="C11668" s="43" t="n">
        <v>-46.54035</v>
      </c>
      <c r="D11668" s="43" t="n">
        <v>184</v>
      </c>
      <c r="E11668" s="44" t="n">
        <v>4845.8633</v>
      </c>
    </row>
    <row r="11669">
      <c r="A11669" s="39">
        <f>_xlfn.XLOOKUP(80380,Trip[shape_id],Trip[shape_id],"Não encontrado")</f>
        <v/>
      </c>
      <c r="B11669" s="40" t="n">
        <v>-23.569201</v>
      </c>
      <c r="C11669" s="40" t="n">
        <v>-46.540315</v>
      </c>
      <c r="D11669" s="40" t="n">
        <v>185</v>
      </c>
      <c r="E11669" s="41" t="n">
        <v>4865.4624</v>
      </c>
    </row>
    <row r="11670">
      <c r="A11670" s="42">
        <f>_xlfn.XLOOKUP(80380,Trip[shape_id],Trip[shape_id],"Não encontrado")</f>
        <v/>
      </c>
      <c r="B11670" s="43" t="n">
        <v>-23.569113</v>
      </c>
      <c r="C11670" s="43" t="n">
        <v>-46.540361</v>
      </c>
      <c r="D11670" s="43" t="n">
        <v>186</v>
      </c>
      <c r="E11670" s="44" t="n">
        <v>4876.2808</v>
      </c>
    </row>
    <row r="11671">
      <c r="A11671" s="39">
        <f>_xlfn.XLOOKUP(80380,Trip[shape_id],Trip[shape_id],"Não encontrado")</f>
        <v/>
      </c>
      <c r="B11671" s="40" t="n">
        <v>-23.568965</v>
      </c>
      <c r="C11671" s="40" t="n">
        <v>-46.540437</v>
      </c>
      <c r="D11671" s="40" t="n">
        <v>187</v>
      </c>
      <c r="E11671" s="41" t="n">
        <v>4894.4155</v>
      </c>
    </row>
    <row r="11672">
      <c r="A11672" s="42">
        <f>_xlfn.XLOOKUP(80380,Trip[shape_id],Trip[shape_id],"Não encontrado")</f>
        <v/>
      </c>
      <c r="B11672" s="43" t="n">
        <v>-23.568771</v>
      </c>
      <c r="C11672" s="43" t="n">
        <v>-46.540466</v>
      </c>
      <c r="D11672" s="43" t="n">
        <v>188</v>
      </c>
      <c r="E11672" s="44" t="n">
        <v>4916.1045</v>
      </c>
    </row>
    <row r="11673">
      <c r="A11673" s="39">
        <f>_xlfn.XLOOKUP(80380,Trip[shape_id],Trip[shape_id],"Não encontrado")</f>
        <v/>
      </c>
      <c r="B11673" s="40" t="n">
        <v>-23.568666</v>
      </c>
      <c r="C11673" s="40" t="n">
        <v>-46.540466</v>
      </c>
      <c r="D11673" s="40" t="n">
        <v>189</v>
      </c>
      <c r="E11673" s="41" t="n">
        <v>4927.7334</v>
      </c>
    </row>
    <row r="11674">
      <c r="A11674" s="42">
        <f>_xlfn.XLOOKUP(80380,Trip[shape_id],Trip[shape_id],"Não encontrado")</f>
        <v/>
      </c>
      <c r="B11674" s="43" t="n">
        <v>-23.568505</v>
      </c>
      <c r="C11674" s="43" t="n">
        <v>-46.540462</v>
      </c>
      <c r="D11674" s="43" t="n">
        <v>190</v>
      </c>
      <c r="E11674" s="44" t="n">
        <v>4945.5688</v>
      </c>
    </row>
    <row r="11675">
      <c r="A11675" s="39">
        <f>_xlfn.XLOOKUP(80380,Trip[shape_id],Trip[shape_id],"Não encontrado")</f>
        <v/>
      </c>
      <c r="B11675" s="40" t="n">
        <v>-23.56801</v>
      </c>
      <c r="C11675" s="40" t="n">
        <v>-46.540378</v>
      </c>
      <c r="D11675" s="40" t="n">
        <v>191</v>
      </c>
      <c r="E11675" s="41" t="n">
        <v>5001.0576</v>
      </c>
    </row>
    <row r="11676">
      <c r="A11676" s="42">
        <f>_xlfn.XLOOKUP(80380,Trip[shape_id],Trip[shape_id],"Não encontrado")</f>
        <v/>
      </c>
      <c r="B11676" s="43" t="n">
        <v>-23.567356</v>
      </c>
      <c r="C11676" s="43" t="n">
        <v>-46.540199</v>
      </c>
      <c r="D11676" s="43" t="n">
        <v>192</v>
      </c>
      <c r="E11676" s="44" t="n">
        <v>5075.7593</v>
      </c>
    </row>
    <row r="11677">
      <c r="A11677" s="39">
        <f>_xlfn.XLOOKUP(80380,Trip[shape_id],Trip[shape_id],"Não encontrado")</f>
        <v/>
      </c>
      <c r="B11677" s="40" t="n">
        <v>-23.567285</v>
      </c>
      <c r="C11677" s="40" t="n">
        <v>-46.54024</v>
      </c>
      <c r="D11677" s="40" t="n">
        <v>193</v>
      </c>
      <c r="E11677" s="41" t="n">
        <v>5084.6675</v>
      </c>
    </row>
    <row r="11678">
      <c r="A11678" s="42">
        <f>_xlfn.XLOOKUP(80380,Trip[shape_id],Trip[shape_id],"Não encontrado")</f>
        <v/>
      </c>
      <c r="B11678" s="43" t="n">
        <v>-23.567235</v>
      </c>
      <c r="C11678" s="43" t="n">
        <v>-46.540282</v>
      </c>
      <c r="D11678" s="43" t="n">
        <v>194</v>
      </c>
      <c r="E11678" s="44" t="n">
        <v>5091.6714</v>
      </c>
    </row>
    <row r="11679">
      <c r="A11679" s="39">
        <f>_xlfn.XLOOKUP(80380,Trip[shape_id],Trip[shape_id],"Não encontrado")</f>
        <v/>
      </c>
      <c r="B11679" s="40" t="n">
        <v>-23.567198</v>
      </c>
      <c r="C11679" s="40" t="n">
        <v>-46.540351</v>
      </c>
      <c r="D11679" s="40" t="n">
        <v>195</v>
      </c>
      <c r="E11679" s="41" t="n">
        <v>5099.8203</v>
      </c>
    </row>
    <row r="11680">
      <c r="A11680" s="42">
        <f>_xlfn.XLOOKUP(80380,Trip[shape_id],Trip[shape_id],"Não encontrado")</f>
        <v/>
      </c>
      <c r="B11680" s="43" t="n">
        <v>-23.567174</v>
      </c>
      <c r="C11680" s="43" t="n">
        <v>-46.54041</v>
      </c>
      <c r="D11680" s="43" t="n">
        <v>196</v>
      </c>
      <c r="E11680" s="44" t="n">
        <v>5106.4033</v>
      </c>
    </row>
    <row r="11681">
      <c r="A11681" s="39">
        <f>_xlfn.XLOOKUP(80380,Trip[shape_id],Trip[shape_id],"Não encontrado")</f>
        <v/>
      </c>
      <c r="B11681" s="40" t="n">
        <v>-23.56729</v>
      </c>
      <c r="C11681" s="40" t="n">
        <v>-46.540711</v>
      </c>
      <c r="D11681" s="40" t="n">
        <v>197</v>
      </c>
      <c r="E11681" s="41" t="n">
        <v>5139.71</v>
      </c>
    </row>
    <row r="11682">
      <c r="A11682" s="42">
        <f>_xlfn.XLOOKUP(80380,Trip[shape_id],Trip[shape_id],"Não encontrado")</f>
        <v/>
      </c>
      <c r="B11682" s="43" t="n">
        <v>-23.567328</v>
      </c>
      <c r="C11682" s="43" t="n">
        <v>-46.540864</v>
      </c>
      <c r="D11682" s="43" t="n">
        <v>198</v>
      </c>
      <c r="E11682" s="44" t="n">
        <v>5155.8867</v>
      </c>
    </row>
    <row r="11683">
      <c r="A11683" s="39">
        <f>_xlfn.XLOOKUP(80380,Trip[shape_id],Trip[shape_id],"Não encontrado")</f>
        <v/>
      </c>
      <c r="B11683" s="40" t="n">
        <v>-23.567352</v>
      </c>
      <c r="C11683" s="40" t="n">
        <v>-46.541015</v>
      </c>
      <c r="D11683" s="40" t="n">
        <v>199</v>
      </c>
      <c r="E11683" s="41" t="n">
        <v>5171.5293</v>
      </c>
    </row>
    <row r="11684">
      <c r="A11684" s="42">
        <f>_xlfn.XLOOKUP(80380,Trip[shape_id],Trip[shape_id],"Não encontrado")</f>
        <v/>
      </c>
      <c r="B11684" s="43" t="n">
        <v>-23.567362</v>
      </c>
      <c r="C11684" s="43" t="n">
        <v>-46.541103</v>
      </c>
      <c r="D11684" s="43" t="n">
        <v>200</v>
      </c>
      <c r="E11684" s="44" t="n">
        <v>5180.5815</v>
      </c>
    </row>
    <row r="11685">
      <c r="A11685" s="39">
        <f>_xlfn.XLOOKUP(80380,Trip[shape_id],Trip[shape_id],"Não encontrado")</f>
        <v/>
      </c>
      <c r="B11685" s="40" t="n">
        <v>-23.56737</v>
      </c>
      <c r="C11685" s="40" t="n">
        <v>-46.541221</v>
      </c>
      <c r="D11685" s="40" t="n">
        <v>201</v>
      </c>
      <c r="E11685" s="41" t="n">
        <v>5192.6602</v>
      </c>
    </row>
    <row r="11686">
      <c r="A11686" s="42">
        <f>_xlfn.XLOOKUP(80380,Trip[shape_id],Trip[shape_id],"Não encontrado")</f>
        <v/>
      </c>
      <c r="B11686" s="43" t="n">
        <v>-23.567366</v>
      </c>
      <c r="C11686" s="43" t="n">
        <v>-46.541335</v>
      </c>
      <c r="D11686" s="43" t="n">
        <v>202</v>
      </c>
      <c r="E11686" s="44" t="n">
        <v>5204.3066</v>
      </c>
    </row>
    <row r="11687">
      <c r="A11687" s="39">
        <f>_xlfn.XLOOKUP(80380,Trip[shape_id],Trip[shape_id],"Não encontrado")</f>
        <v/>
      </c>
      <c r="B11687" s="40" t="n">
        <v>-23.567351</v>
      </c>
      <c r="C11687" s="40" t="n">
        <v>-46.541517</v>
      </c>
      <c r="D11687" s="40" t="n">
        <v>203</v>
      </c>
      <c r="E11687" s="41" t="n">
        <v>5222.9609</v>
      </c>
    </row>
    <row r="11688">
      <c r="A11688" s="42">
        <f>_xlfn.XLOOKUP(80380,Trip[shape_id],Trip[shape_id],"Não encontrado")</f>
        <v/>
      </c>
      <c r="B11688" s="43" t="n">
        <v>-23.567333</v>
      </c>
      <c r="C11688" s="43" t="n">
        <v>-46.541773</v>
      </c>
      <c r="D11688" s="43" t="n">
        <v>204</v>
      </c>
      <c r="E11688" s="44" t="n">
        <v>5249.1719</v>
      </c>
    </row>
    <row r="11689">
      <c r="A11689" s="39">
        <f>_xlfn.XLOOKUP(80380,Trip[shape_id],Trip[shape_id],"Não encontrado")</f>
        <v/>
      </c>
      <c r="B11689" s="40" t="n">
        <v>-23.567089</v>
      </c>
      <c r="C11689" s="40" t="n">
        <v>-46.541758</v>
      </c>
      <c r="D11689" s="40" t="n">
        <v>205</v>
      </c>
      <c r="E11689" s="41" t="n">
        <v>5276.2388</v>
      </c>
    </row>
    <row r="11690">
      <c r="A11690" s="42">
        <f>_xlfn.XLOOKUP(80380,Trip[shape_id],Trip[shape_id],"Não encontrado")</f>
        <v/>
      </c>
      <c r="B11690" s="43" t="n">
        <v>-23.566673</v>
      </c>
      <c r="C11690" s="43" t="n">
        <v>-46.541746</v>
      </c>
      <c r="D11690" s="43" t="n">
        <v>206</v>
      </c>
      <c r="E11690" s="44" t="n">
        <v>5322.3281</v>
      </c>
    </row>
    <row r="11691">
      <c r="A11691" s="39">
        <f>_xlfn.XLOOKUP(80380,Trip[shape_id],Trip[shape_id],"Não encontrado")</f>
        <v/>
      </c>
      <c r="B11691" s="40" t="n">
        <v>-23.566455</v>
      </c>
      <c r="C11691" s="40" t="n">
        <v>-46.541754</v>
      </c>
      <c r="D11691" s="40" t="n">
        <v>207</v>
      </c>
      <c r="E11691" s="41" t="n">
        <v>5346.4858</v>
      </c>
    </row>
    <row r="11692">
      <c r="A11692" s="42">
        <f>_xlfn.XLOOKUP(80380,Trip[shape_id],Trip[shape_id],"Não encontrado")</f>
        <v/>
      </c>
      <c r="B11692" s="43" t="n">
        <v>-23.56609</v>
      </c>
      <c r="C11692" s="43" t="n">
        <v>-46.541806</v>
      </c>
      <c r="D11692" s="43" t="n">
        <v>208</v>
      </c>
      <c r="E11692" s="44" t="n">
        <v>5387.2573</v>
      </c>
    </row>
    <row r="11693">
      <c r="A11693" s="39">
        <f>_xlfn.XLOOKUP(80380,Trip[shape_id],Trip[shape_id],"Não encontrado")</f>
        <v/>
      </c>
      <c r="B11693" s="40" t="n">
        <v>-23.565879</v>
      </c>
      <c r="C11693" s="40" t="n">
        <v>-46.541858</v>
      </c>
      <c r="D11693" s="40" t="n">
        <v>209</v>
      </c>
      <c r="E11693" s="41" t="n">
        <v>5411.2212</v>
      </c>
    </row>
    <row r="11694">
      <c r="A11694" s="42">
        <f>_xlfn.XLOOKUP(80380,Trip[shape_id],Trip[shape_id],"Não encontrado")</f>
        <v/>
      </c>
      <c r="B11694" s="43" t="n">
        <v>-23.565826</v>
      </c>
      <c r="C11694" s="43" t="n">
        <v>-46.54188</v>
      </c>
      <c r="D11694" s="43" t="n">
        <v>210</v>
      </c>
      <c r="E11694" s="44" t="n">
        <v>5417.5059</v>
      </c>
    </row>
    <row r="11695">
      <c r="A11695" s="39">
        <f>_xlfn.XLOOKUP(80380,Trip[shape_id],Trip[shape_id],"Não encontrado")</f>
        <v/>
      </c>
      <c r="B11695" s="40" t="n">
        <v>-23.565638</v>
      </c>
      <c r="C11695" s="40" t="n">
        <v>-46.541962</v>
      </c>
      <c r="D11695" s="40" t="n">
        <v>211</v>
      </c>
      <c r="E11695" s="41" t="n">
        <v>5439.9468</v>
      </c>
    </row>
    <row r="11696">
      <c r="A11696" s="42">
        <f>_xlfn.XLOOKUP(80380,Trip[shape_id],Trip[shape_id],"Não encontrado")</f>
        <v/>
      </c>
      <c r="B11696" s="43" t="n">
        <v>-23.565499</v>
      </c>
      <c r="C11696" s="43" t="n">
        <v>-46.542044</v>
      </c>
      <c r="D11696" s="43" t="n">
        <v>212</v>
      </c>
      <c r="E11696" s="44" t="n">
        <v>5457.4702</v>
      </c>
    </row>
    <row r="11697">
      <c r="A11697" s="39">
        <f>_xlfn.XLOOKUP(80380,Trip[shape_id],Trip[shape_id],"Não encontrado")</f>
        <v/>
      </c>
      <c r="B11697" s="40" t="n">
        <v>-23.565118</v>
      </c>
      <c r="C11697" s="40" t="n">
        <v>-46.542249</v>
      </c>
      <c r="D11697" s="40" t="n">
        <v>213</v>
      </c>
      <c r="E11697" s="41" t="n">
        <v>5504.5718</v>
      </c>
    </row>
    <row r="11698">
      <c r="A11698" s="42">
        <f>_xlfn.XLOOKUP(80380,Trip[shape_id],Trip[shape_id],"Não encontrado")</f>
        <v/>
      </c>
      <c r="B11698" s="43" t="n">
        <v>-23.564865</v>
      </c>
      <c r="C11698" s="43" t="n">
        <v>-46.542407</v>
      </c>
      <c r="D11698" s="43" t="n">
        <v>214</v>
      </c>
      <c r="E11698" s="44" t="n">
        <v>5536.9033</v>
      </c>
    </row>
    <row r="11699">
      <c r="A11699" s="39">
        <f>_xlfn.XLOOKUP(80380,Trip[shape_id],Trip[shape_id],"Não encontrado")</f>
        <v/>
      </c>
      <c r="B11699" s="40" t="n">
        <v>-23.564345</v>
      </c>
      <c r="C11699" s="40" t="n">
        <v>-46.542782</v>
      </c>
      <c r="D11699" s="40" t="n">
        <v>215</v>
      </c>
      <c r="E11699" s="41" t="n">
        <v>5606.0581</v>
      </c>
    </row>
    <row r="11700">
      <c r="A11700" s="42">
        <f>_xlfn.XLOOKUP(80380,Trip[shape_id],Trip[shape_id],"Não encontrado")</f>
        <v/>
      </c>
      <c r="B11700" s="43" t="n">
        <v>-23.564227</v>
      </c>
      <c r="C11700" s="43" t="n">
        <v>-46.542821</v>
      </c>
      <c r="D11700" s="43" t="n">
        <v>216</v>
      </c>
      <c r="E11700" s="44" t="n">
        <v>5644.4746</v>
      </c>
    </row>
    <row r="11701">
      <c r="A11701" s="39">
        <f>_xlfn.XLOOKUP(80380,Trip[shape_id],Trip[shape_id],"Não encontrado")</f>
        <v/>
      </c>
      <c r="B11701" s="40" t="n">
        <v>-23.564016</v>
      </c>
      <c r="C11701" s="40" t="n">
        <v>-46.542901</v>
      </c>
      <c r="D11701" s="40" t="n">
        <v>217</v>
      </c>
      <c r="E11701" s="41" t="n">
        <v>5661.4238</v>
      </c>
    </row>
    <row r="11702">
      <c r="A11702" s="42">
        <f>_xlfn.XLOOKUP(80380,Trip[shape_id],Trip[shape_id],"Não encontrado")</f>
        <v/>
      </c>
      <c r="B11702" s="43" t="n">
        <v>-23.563865</v>
      </c>
      <c r="C11702" s="43" t="n">
        <v>-46.542928</v>
      </c>
      <c r="D11702" s="43" t="n">
        <v>218</v>
      </c>
      <c r="E11702" s="44" t="n">
        <v>5666.665</v>
      </c>
    </row>
    <row r="11703">
      <c r="A11703" s="39">
        <f>_xlfn.XLOOKUP(80380,Trip[shape_id],Trip[shape_id],"Não encontrado")</f>
        <v/>
      </c>
      <c r="B11703" s="40" t="n">
        <v>-23.563818</v>
      </c>
      <c r="C11703" s="40" t="n">
        <v>-46.542934</v>
      </c>
      <c r="D11703" s="40" t="n">
        <v>219</v>
      </c>
      <c r="E11703" s="41" t="n">
        <v>5682.3145</v>
      </c>
    </row>
    <row r="11704">
      <c r="A11704" s="42">
        <f>_xlfn.XLOOKUP(80380,Trip[shape_id],Trip[shape_id],"Não encontrado")</f>
        <v/>
      </c>
      <c r="B11704" s="43" t="n">
        <v>-23.563677</v>
      </c>
      <c r="C11704" s="43" t="n">
        <v>-46.542944</v>
      </c>
      <c r="D11704" s="43" t="n">
        <v>220</v>
      </c>
      <c r="E11704" s="44" t="n">
        <v>5687.9771</v>
      </c>
    </row>
    <row r="11705">
      <c r="A11705" s="39">
        <f>_xlfn.XLOOKUP(80380,Trip[shape_id],Trip[shape_id],"Não encontrado")</f>
        <v/>
      </c>
      <c r="B11705" s="40" t="n">
        <v>-23.563626</v>
      </c>
      <c r="C11705" s="40" t="n">
        <v>-46.54294</v>
      </c>
      <c r="D11705" s="40" t="n">
        <v>221</v>
      </c>
      <c r="E11705" s="41" t="n">
        <v>5722.9453</v>
      </c>
    </row>
    <row r="11706">
      <c r="A11706" s="42">
        <f>_xlfn.XLOOKUP(80380,Trip[shape_id],Trip[shape_id],"Não encontrado")</f>
        <v/>
      </c>
      <c r="B11706" s="43" t="n">
        <v>-23.563316</v>
      </c>
      <c r="C11706" s="43" t="n">
        <v>-46.542875</v>
      </c>
      <c r="D11706" s="43" t="n">
        <v>222</v>
      </c>
      <c r="E11706" s="44" t="n">
        <v>5722.9453</v>
      </c>
    </row>
    <row r="11707">
      <c r="A11707" s="39">
        <f>_xlfn.XLOOKUP(80380,Trip[shape_id],Trip[shape_id],"Não encontrado")</f>
        <v/>
      </c>
      <c r="B11707" s="40" t="n">
        <v>-23.563148</v>
      </c>
      <c r="C11707" s="40" t="n">
        <v>-46.542743</v>
      </c>
      <c r="D11707" s="40" t="n">
        <v>223</v>
      </c>
      <c r="E11707" s="41" t="n">
        <v>5754.2656</v>
      </c>
    </row>
    <row r="11708">
      <c r="A11708" s="42">
        <f>_xlfn.XLOOKUP(80380,Trip[shape_id],Trip[shape_id],"Não encontrado")</f>
        <v/>
      </c>
      <c r="B11708" s="43" t="n">
        <v>-23.563087</v>
      </c>
      <c r="C11708" s="43" t="n">
        <v>-46.542695</v>
      </c>
      <c r="D11708" s="43" t="n">
        <v>224</v>
      </c>
      <c r="E11708" s="44" t="n">
        <v>5767.6318</v>
      </c>
    </row>
    <row r="11709">
      <c r="A11709" s="39">
        <f>_xlfn.XLOOKUP(80380,Trip[shape_id],Trip[shape_id],"Não encontrado")</f>
        <v/>
      </c>
      <c r="B11709" s="40" t="n">
        <v>-23.563003</v>
      </c>
      <c r="C11709" s="40" t="n">
        <v>-46.542601</v>
      </c>
      <c r="D11709" s="40" t="n">
        <v>225</v>
      </c>
      <c r="E11709" s="41" t="n">
        <v>5767.6318</v>
      </c>
    </row>
    <row r="11710">
      <c r="A11710" s="42">
        <f>_xlfn.XLOOKUP(80380,Trip[shape_id],Trip[shape_id],"Não encontrado")</f>
        <v/>
      </c>
      <c r="B11710" s="43" t="n">
        <v>-23.562943</v>
      </c>
      <c r="C11710" s="43" t="n">
        <v>-46.542678</v>
      </c>
      <c r="D11710" s="43" t="n">
        <v>226</v>
      </c>
      <c r="E11710" s="44" t="n">
        <v>5777.9253</v>
      </c>
    </row>
    <row r="11711">
      <c r="A11711" s="39">
        <f>_xlfn.XLOOKUP(80380,Trip[shape_id],Trip[shape_id],"Não encontrado")</f>
        <v/>
      </c>
      <c r="B11711" s="40" t="n">
        <v>-23.562785</v>
      </c>
      <c r="C11711" s="40" t="n">
        <v>-46.542957</v>
      </c>
      <c r="D11711" s="40" t="n">
        <v>227</v>
      </c>
      <c r="E11711" s="41" t="n">
        <v>5811.355</v>
      </c>
    </row>
    <row r="11712">
      <c r="A11712" s="42">
        <f>_xlfn.XLOOKUP(80380,Trip[shape_id],Trip[shape_id],"Não encontrado")</f>
        <v/>
      </c>
      <c r="B11712" s="43" t="n">
        <v>-23.562631</v>
      </c>
      <c r="C11712" s="43" t="n">
        <v>-46.543133</v>
      </c>
      <c r="D11712" s="43" t="n">
        <v>228</v>
      </c>
      <c r="E11712" s="44" t="n">
        <v>5836.1294</v>
      </c>
    </row>
    <row r="11713">
      <c r="A11713" s="39">
        <f>_xlfn.XLOOKUP(80380,Trip[shape_id],Trip[shape_id],"Não encontrado")</f>
        <v/>
      </c>
      <c r="B11713" s="40" t="n">
        <v>-23.562578</v>
      </c>
      <c r="C11713" s="40" t="n">
        <v>-46.543171</v>
      </c>
      <c r="D11713" s="40" t="n">
        <v>229</v>
      </c>
      <c r="E11713" s="41" t="n">
        <v>5843.1655</v>
      </c>
    </row>
    <row r="11714">
      <c r="A11714" s="42">
        <f>_xlfn.XLOOKUP(80380,Trip[shape_id],Trip[shape_id],"Não encontrado")</f>
        <v/>
      </c>
      <c r="B11714" s="43" t="n">
        <v>-23.562484</v>
      </c>
      <c r="C11714" s="43" t="n">
        <v>-46.543246</v>
      </c>
      <c r="D11714" s="43" t="n">
        <v>230</v>
      </c>
      <c r="E11714" s="44" t="n">
        <v>5856.0894</v>
      </c>
    </row>
    <row r="11715">
      <c r="A11715" s="39">
        <f>_xlfn.XLOOKUP(80380,Trip[shape_id],Trip[shape_id],"Não encontrado")</f>
        <v/>
      </c>
      <c r="B11715" s="40" t="n">
        <v>-23.562344</v>
      </c>
      <c r="C11715" s="40" t="n">
        <v>-46.543303</v>
      </c>
      <c r="D11715" s="40" t="n">
        <v>231</v>
      </c>
      <c r="E11715" s="41" t="n">
        <v>5872.6504</v>
      </c>
    </row>
    <row r="11716">
      <c r="A11716" s="42">
        <f>_xlfn.XLOOKUP(80380,Trip[shape_id],Trip[shape_id],"Não encontrado")</f>
        <v/>
      </c>
      <c r="B11716" s="43" t="n">
        <v>-23.562214</v>
      </c>
      <c r="C11716" s="43" t="n">
        <v>-46.543344</v>
      </c>
      <c r="D11716" s="43" t="n">
        <v>232</v>
      </c>
      <c r="E11716" s="44" t="n">
        <v>5887.644</v>
      </c>
    </row>
    <row r="11717">
      <c r="A11717" s="39">
        <f>_xlfn.XLOOKUP(80380,Trip[shape_id],Trip[shape_id],"Não encontrado")</f>
        <v/>
      </c>
      <c r="B11717" s="40" t="n">
        <v>-23.562073</v>
      </c>
      <c r="C11717" s="40" t="n">
        <v>-46.543346</v>
      </c>
      <c r="D11717" s="40" t="n">
        <v>233</v>
      </c>
      <c r="E11717" s="41" t="n">
        <v>5903.2612</v>
      </c>
    </row>
    <row r="11718">
      <c r="A11718" s="42">
        <f>_xlfn.XLOOKUP(80380,Trip[shape_id],Trip[shape_id],"Não encontrado")</f>
        <v/>
      </c>
      <c r="B11718" s="43" t="n">
        <v>-23.5618</v>
      </c>
      <c r="C11718" s="43" t="n">
        <v>-46.543338</v>
      </c>
      <c r="D11718" s="43" t="n">
        <v>234</v>
      </c>
      <c r="E11718" s="44" t="n">
        <v>5933.5078</v>
      </c>
    </row>
    <row r="11719">
      <c r="A11719" s="39">
        <f>_xlfn.XLOOKUP(80380,Trip[shape_id],Trip[shape_id],"Não encontrado")</f>
        <v/>
      </c>
      <c r="B11719" s="40" t="n">
        <v>-23.561715</v>
      </c>
      <c r="C11719" s="40" t="n">
        <v>-46.543336</v>
      </c>
      <c r="D11719" s="40" t="n">
        <v>235</v>
      </c>
      <c r="E11719" s="41" t="n">
        <v>5942.9243</v>
      </c>
    </row>
    <row r="11720">
      <c r="A11720" s="42">
        <f>_xlfn.XLOOKUP(80380,Trip[shape_id],Trip[shape_id],"Não encontrado")</f>
        <v/>
      </c>
      <c r="B11720" s="43" t="n">
        <v>-23.561692</v>
      </c>
      <c r="C11720" s="43" t="n">
        <v>-46.543334</v>
      </c>
      <c r="D11720" s="43" t="n">
        <v>236</v>
      </c>
      <c r="E11720" s="44" t="n">
        <v>5945.4814</v>
      </c>
    </row>
    <row r="11721">
      <c r="A11721" s="39">
        <f>_xlfn.XLOOKUP(80380,Trip[shape_id],Trip[shape_id],"Não encontrado")</f>
        <v/>
      </c>
      <c r="B11721" s="40" t="n">
        <v>-23.561493</v>
      </c>
      <c r="C11721" s="40" t="n">
        <v>-46.543326</v>
      </c>
      <c r="D11721" s="40" t="n">
        <v>237</v>
      </c>
      <c r="E11721" s="41" t="n">
        <v>5967.5361</v>
      </c>
    </row>
    <row r="11722">
      <c r="A11722" s="42">
        <f>_xlfn.XLOOKUP(80380,Trip[shape_id],Trip[shape_id],"Não encontrado")</f>
        <v/>
      </c>
      <c r="B11722" s="43" t="n">
        <v>-23.560934</v>
      </c>
      <c r="C11722" s="43" t="n">
        <v>-46.543326</v>
      </c>
      <c r="D11722" s="43" t="n">
        <v>238</v>
      </c>
      <c r="E11722" s="44" t="n">
        <v>6029.4463</v>
      </c>
    </row>
    <row r="11723">
      <c r="A11723" s="39">
        <f>_xlfn.XLOOKUP(80380,Trip[shape_id],Trip[shape_id],"Não encontrado")</f>
        <v/>
      </c>
      <c r="B11723" s="40" t="n">
        <v>-23.560629</v>
      </c>
      <c r="C11723" s="40" t="n">
        <v>-46.543369</v>
      </c>
      <c r="D11723" s="40" t="n">
        <v>239</v>
      </c>
      <c r="E11723" s="41" t="n">
        <v>6063.5098</v>
      </c>
    </row>
    <row r="11724">
      <c r="A11724" s="42">
        <f>_xlfn.XLOOKUP(80380,Trip[shape_id],Trip[shape_id],"Não encontrado")</f>
        <v/>
      </c>
      <c r="B11724" s="43" t="n">
        <v>-23.560517</v>
      </c>
      <c r="C11724" s="43" t="n">
        <v>-46.543385</v>
      </c>
      <c r="D11724" s="43" t="n">
        <v>240</v>
      </c>
      <c r="E11724" s="44" t="n">
        <v>6076.021</v>
      </c>
    </row>
    <row r="11725">
      <c r="A11725" s="39">
        <f>_xlfn.XLOOKUP(80380,Trip[shape_id],Trip[shape_id],"Não encontrado")</f>
        <v/>
      </c>
      <c r="B11725" s="40" t="n">
        <v>-23.56035</v>
      </c>
      <c r="C11725" s="40" t="n">
        <v>-46.543418</v>
      </c>
      <c r="D11725" s="40" t="n">
        <v>241</v>
      </c>
      <c r="E11725" s="41" t="n">
        <v>6094.8208</v>
      </c>
    </row>
    <row r="11726">
      <c r="A11726" s="42">
        <f>_xlfn.XLOOKUP(80380,Trip[shape_id],Trip[shape_id],"Não encontrado")</f>
        <v/>
      </c>
      <c r="B11726" s="43" t="n">
        <v>-23.559911</v>
      </c>
      <c r="C11726" s="43" t="n">
        <v>-46.543582</v>
      </c>
      <c r="D11726" s="43" t="n">
        <v>242</v>
      </c>
      <c r="E11726" s="44" t="n">
        <v>6146.2432</v>
      </c>
    </row>
    <row r="11727">
      <c r="A11727" s="39">
        <f>_xlfn.XLOOKUP(80380,Trip[shape_id],Trip[shape_id],"Não encontrado")</f>
        <v/>
      </c>
      <c r="B11727" s="40" t="n">
        <v>-23.559685</v>
      </c>
      <c r="C11727" s="40" t="n">
        <v>-46.544382</v>
      </c>
      <c r="D11727" s="40" t="n">
        <v>243</v>
      </c>
      <c r="E11727" s="41" t="n">
        <v>6231.6685</v>
      </c>
    </row>
    <row r="11728">
      <c r="A11728" s="42">
        <f>_xlfn.XLOOKUP(80380,Trip[shape_id],Trip[shape_id],"Não encontrado")</f>
        <v/>
      </c>
      <c r="B11728" s="43" t="n">
        <v>-23.559575</v>
      </c>
      <c r="C11728" s="43" t="n">
        <v>-46.544779</v>
      </c>
      <c r="D11728" s="43" t="n">
        <v>244</v>
      </c>
      <c r="E11728" s="44" t="n">
        <v>6273.9912</v>
      </c>
    </row>
    <row r="11729">
      <c r="A11729" s="39">
        <f>_xlfn.XLOOKUP(80380,Trip[shape_id],Trip[shape_id],"Não encontrado")</f>
        <v/>
      </c>
      <c r="B11729" s="40" t="n">
        <v>-23.559508</v>
      </c>
      <c r="C11729" s="40" t="n">
        <v>-46.545041</v>
      </c>
      <c r="D11729" s="40" t="n">
        <v>245</v>
      </c>
      <c r="E11729" s="41" t="n">
        <v>6301.7505</v>
      </c>
    </row>
    <row r="11730">
      <c r="A11730" s="42">
        <f>_xlfn.XLOOKUP(80380,Trip[shape_id],Trip[shape_id],"Não encontrado")</f>
        <v/>
      </c>
      <c r="B11730" s="43" t="n">
        <v>-23.559291</v>
      </c>
      <c r="C11730" s="43" t="n">
        <v>-46.545861</v>
      </c>
      <c r="D11730" s="43" t="n">
        <v>246</v>
      </c>
      <c r="E11730" s="44" t="n">
        <v>6388.8501</v>
      </c>
    </row>
    <row r="11731">
      <c r="A11731" s="39">
        <f>_xlfn.XLOOKUP(80380,Trip[shape_id],Trip[shape_id],"Não encontrado")</f>
        <v/>
      </c>
      <c r="B11731" s="40" t="n">
        <v>-23.559265</v>
      </c>
      <c r="C11731" s="40" t="n">
        <v>-46.545958</v>
      </c>
      <c r="D11731" s="40" t="n">
        <v>247</v>
      </c>
      <c r="E11731" s="41" t="n">
        <v>6399.1631</v>
      </c>
    </row>
    <row r="11732">
      <c r="A11732" s="42">
        <f>_xlfn.XLOOKUP(80380,Trip[shape_id],Trip[shape_id],"Não encontrado")</f>
        <v/>
      </c>
      <c r="B11732" s="43" t="n">
        <v>-23.559234</v>
      </c>
      <c r="C11732" s="43" t="n">
        <v>-46.546078</v>
      </c>
      <c r="D11732" s="43" t="n">
        <v>248</v>
      </c>
      <c r="E11732" s="44" t="n">
        <v>6411.8867</v>
      </c>
    </row>
    <row r="11733">
      <c r="A11733" s="39">
        <f>_xlfn.XLOOKUP(80380,Trip[shape_id],Trip[shape_id],"Não encontrado")</f>
        <v/>
      </c>
      <c r="B11733" s="40" t="n">
        <v>-23.559312</v>
      </c>
      <c r="C11733" s="40" t="n">
        <v>-46.546144</v>
      </c>
      <c r="D11733" s="40" t="n">
        <v>249</v>
      </c>
      <c r="E11733" s="41" t="n">
        <v>6422.8423</v>
      </c>
    </row>
    <row r="11734">
      <c r="A11734" s="42">
        <f>_xlfn.XLOOKUP(80380,Trip[shape_id],Trip[shape_id],"Não encontrado")</f>
        <v/>
      </c>
      <c r="B11734" s="43" t="n">
        <v>-23.55934</v>
      </c>
      <c r="C11734" s="43" t="n">
        <v>-46.54621</v>
      </c>
      <c r="D11734" s="43" t="n">
        <v>250</v>
      </c>
      <c r="E11734" s="44" t="n">
        <v>6430.2603</v>
      </c>
    </row>
    <row r="11735">
      <c r="A11735" s="39">
        <f>_xlfn.XLOOKUP(80380,Trip[shape_id],Trip[shape_id],"Não encontrado")</f>
        <v/>
      </c>
      <c r="B11735" s="40" t="n">
        <v>-23.559345</v>
      </c>
      <c r="C11735" s="40" t="n">
        <v>-46.54638</v>
      </c>
      <c r="D11735" s="40" t="n">
        <v>251</v>
      </c>
      <c r="E11735" s="41" t="n">
        <v>6447.625</v>
      </c>
    </row>
    <row r="11736">
      <c r="A11736" s="42">
        <f>_xlfn.XLOOKUP(80380,Trip[shape_id],Trip[shape_id],"Não encontrado")</f>
        <v/>
      </c>
      <c r="B11736" s="43" t="n">
        <v>-23.55936</v>
      </c>
      <c r="C11736" s="43" t="n">
        <v>-46.546576</v>
      </c>
      <c r="D11736" s="43" t="n">
        <v>252</v>
      </c>
      <c r="E11736" s="44" t="n">
        <v>6467.7046</v>
      </c>
    </row>
    <row r="11737">
      <c r="A11737" s="39">
        <f>_xlfn.XLOOKUP(80380,Trip[shape_id],Trip[shape_id],"Não encontrado")</f>
        <v/>
      </c>
      <c r="B11737" s="40" t="n">
        <v>-23.55936</v>
      </c>
      <c r="C11737" s="40" t="n">
        <v>-46.546636</v>
      </c>
      <c r="D11737" s="40" t="n">
        <v>253</v>
      </c>
      <c r="E11737" s="41" t="n">
        <v>6473.8301</v>
      </c>
    </row>
    <row r="11738">
      <c r="A11738" s="42">
        <f>_xlfn.XLOOKUP(80380,Trip[shape_id],Trip[shape_id],"Não encontrado")</f>
        <v/>
      </c>
      <c r="B11738" s="43" t="n">
        <v>-23.559373</v>
      </c>
      <c r="C11738" s="43" t="n">
        <v>-46.546841</v>
      </c>
      <c r="D11738" s="43" t="n">
        <v>254</v>
      </c>
      <c r="E11738" s="44" t="n">
        <v>6494.8091</v>
      </c>
    </row>
    <row r="11739">
      <c r="A11739" s="39">
        <f>_xlfn.XLOOKUP(80380,Trip[shape_id],Trip[shape_id],"Não encontrado")</f>
        <v/>
      </c>
      <c r="B11739" s="40" t="n">
        <v>-23.559375</v>
      </c>
      <c r="C11739" s="40" t="n">
        <v>-46.547165</v>
      </c>
      <c r="D11739" s="40" t="n">
        <v>255</v>
      </c>
      <c r="E11739" s="41" t="n">
        <v>6527.8887</v>
      </c>
    </row>
    <row r="11740">
      <c r="A11740" s="42">
        <f>_xlfn.XLOOKUP(80380,Trip[shape_id],Trip[shape_id],"Não encontrado")</f>
        <v/>
      </c>
      <c r="B11740" s="43" t="n">
        <v>-23.559369</v>
      </c>
      <c r="C11740" s="43" t="n">
        <v>-46.547588</v>
      </c>
      <c r="D11740" s="43" t="n">
        <v>256</v>
      </c>
      <c r="E11740" s="44" t="n">
        <v>6571.0801</v>
      </c>
    </row>
    <row r="11741">
      <c r="A11741" s="39">
        <f>_xlfn.XLOOKUP(80380,Trip[shape_id],Trip[shape_id],"Não encontrado")</f>
        <v/>
      </c>
      <c r="B11741" s="40" t="n">
        <v>-23.559844</v>
      </c>
      <c r="C11741" s="40" t="n">
        <v>-46.547676</v>
      </c>
      <c r="D11741" s="40" t="n">
        <v>257</v>
      </c>
      <c r="E11741" s="41" t="n">
        <v>6624.4487</v>
      </c>
    </row>
    <row r="11742">
      <c r="A11742" s="42">
        <f>_xlfn.XLOOKUP(80380,Trip[shape_id],Trip[shape_id],"Não encontrado")</f>
        <v/>
      </c>
      <c r="B11742" s="43" t="n">
        <v>-23.560644</v>
      </c>
      <c r="C11742" s="43" t="n">
        <v>-46.547829</v>
      </c>
      <c r="D11742" s="43" t="n">
        <v>258</v>
      </c>
      <c r="E11742" s="44" t="n">
        <v>6714.4165</v>
      </c>
    </row>
    <row r="11743">
      <c r="A11743" s="39">
        <f>_xlfn.XLOOKUP(80380,Trip[shape_id],Trip[shape_id],"Não encontrado")</f>
        <v/>
      </c>
      <c r="B11743" s="40" t="n">
        <v>-23.56085</v>
      </c>
      <c r="C11743" s="40" t="n">
        <v>-46.54787</v>
      </c>
      <c r="D11743" s="40" t="n">
        <v>259</v>
      </c>
      <c r="E11743" s="41" t="n">
        <v>6737.6118</v>
      </c>
    </row>
    <row r="11744">
      <c r="A11744" s="42">
        <f>_xlfn.XLOOKUP(80380,Trip[shape_id],Trip[shape_id],"Não encontrado")</f>
        <v/>
      </c>
      <c r="B11744" s="43" t="n">
        <v>-23.560931</v>
      </c>
      <c r="C11744" s="43" t="n">
        <v>-46.547926</v>
      </c>
      <c r="D11744" s="43" t="n">
        <v>260</v>
      </c>
      <c r="E11744" s="44" t="n">
        <v>6748.2495</v>
      </c>
    </row>
    <row r="11745">
      <c r="A11745" s="39">
        <f>_xlfn.XLOOKUP(80380,Trip[shape_id],Trip[shape_id],"Não encontrado")</f>
        <v/>
      </c>
      <c r="B11745" s="40" t="n">
        <v>-23.560987</v>
      </c>
      <c r="C11745" s="40" t="n">
        <v>-46.547968</v>
      </c>
      <c r="D11745" s="40" t="n">
        <v>261</v>
      </c>
      <c r="E11745" s="41" t="n">
        <v>6755.7896</v>
      </c>
    </row>
    <row r="11746">
      <c r="A11746" s="42">
        <f>_xlfn.XLOOKUP(80380,Trip[shape_id],Trip[shape_id],"Não encontrado")</f>
        <v/>
      </c>
      <c r="B11746" s="43" t="n">
        <v>-23.56109</v>
      </c>
      <c r="C11746" s="43" t="n">
        <v>-46.548081</v>
      </c>
      <c r="D11746" s="43" t="n">
        <v>262</v>
      </c>
      <c r="E11746" s="44" t="n">
        <v>6772.0137</v>
      </c>
    </row>
    <row r="11747">
      <c r="A11747" s="39">
        <f>_xlfn.XLOOKUP(80380,Trip[shape_id],Trip[shape_id],"Não encontrado")</f>
        <v/>
      </c>
      <c r="B11747" s="40" t="n">
        <v>-23.561239</v>
      </c>
      <c r="C11747" s="40" t="n">
        <v>-46.548261</v>
      </c>
      <c r="D11747" s="40" t="n">
        <v>263</v>
      </c>
      <c r="E11747" s="41" t="n">
        <v>6796.7124</v>
      </c>
    </row>
    <row r="11748">
      <c r="A11748" s="42">
        <f>_xlfn.XLOOKUP(80380,Trip[shape_id],Trip[shape_id],"Não encontrado")</f>
        <v/>
      </c>
      <c r="B11748" s="43" t="n">
        <v>-23.561328</v>
      </c>
      <c r="C11748" s="43" t="n">
        <v>-46.548352</v>
      </c>
      <c r="D11748" s="43" t="n">
        <v>264</v>
      </c>
      <c r="E11748" s="44" t="n">
        <v>6810.2573</v>
      </c>
    </row>
    <row r="11749">
      <c r="A11749" s="39">
        <f>_xlfn.XLOOKUP(80380,Trip[shape_id],Trip[shape_id],"Não encontrado")</f>
        <v/>
      </c>
      <c r="B11749" s="40" t="n">
        <v>-23.561494</v>
      </c>
      <c r="C11749" s="40" t="n">
        <v>-46.548499</v>
      </c>
      <c r="D11749" s="40" t="n">
        <v>265</v>
      </c>
      <c r="E11749" s="41" t="n">
        <v>6833.9897</v>
      </c>
    </row>
    <row r="11750">
      <c r="A11750" s="42">
        <f>_xlfn.XLOOKUP(80380,Trip[shape_id],Trip[shape_id],"Não encontrado")</f>
        <v/>
      </c>
      <c r="B11750" s="43" t="n">
        <v>-23.561647</v>
      </c>
      <c r="C11750" s="43" t="n">
        <v>-46.548586</v>
      </c>
      <c r="D11750" s="43" t="n">
        <v>266</v>
      </c>
      <c r="E11750" s="44" t="n">
        <v>6853.1216</v>
      </c>
    </row>
    <row r="11751">
      <c r="A11751" s="39">
        <f>_xlfn.XLOOKUP(80380,Trip[shape_id],Trip[shape_id],"Não encontrado")</f>
        <v/>
      </c>
      <c r="B11751" s="40" t="n">
        <v>-23.56177</v>
      </c>
      <c r="C11751" s="40" t="n">
        <v>-46.548657</v>
      </c>
      <c r="D11751" s="40" t="n">
        <v>267</v>
      </c>
      <c r="E11751" s="41" t="n">
        <v>6868.5527</v>
      </c>
    </row>
    <row r="11752">
      <c r="A11752" s="42">
        <f>_xlfn.XLOOKUP(80380,Trip[shape_id],Trip[shape_id],"Não encontrado")</f>
        <v/>
      </c>
      <c r="B11752" s="43" t="n">
        <v>-23.56198</v>
      </c>
      <c r="C11752" s="43" t="n">
        <v>-46.548776</v>
      </c>
      <c r="D11752" s="43" t="n">
        <v>268</v>
      </c>
      <c r="E11752" s="44" t="n">
        <v>6894.7925</v>
      </c>
    </row>
    <row r="11753">
      <c r="A11753" s="39">
        <f>_xlfn.XLOOKUP(80380,Trip[shape_id],Trip[shape_id],"Não encontrado")</f>
        <v/>
      </c>
      <c r="B11753" s="40" t="n">
        <v>-23.562013</v>
      </c>
      <c r="C11753" s="40" t="n">
        <v>-46.548857</v>
      </c>
      <c r="D11753" s="40" t="n">
        <v>269</v>
      </c>
      <c r="E11753" s="41" t="n">
        <v>6923.3877</v>
      </c>
    </row>
    <row r="11754">
      <c r="A11754" s="42">
        <f>_xlfn.XLOOKUP(80380,Trip[shape_id],Trip[shape_id],"Não encontrado")</f>
        <v/>
      </c>
      <c r="B11754" s="43" t="n">
        <v>-23.562068</v>
      </c>
      <c r="C11754" s="43" t="n">
        <v>-46.549039</v>
      </c>
      <c r="D11754" s="43" t="n">
        <v>270</v>
      </c>
      <c r="E11754" s="44" t="n">
        <v>6936.7959</v>
      </c>
    </row>
    <row r="11755">
      <c r="A11755" s="39">
        <f>_xlfn.XLOOKUP(80380,Trip[shape_id],Trip[shape_id],"Não encontrado")</f>
        <v/>
      </c>
      <c r="B11755" s="40" t="n">
        <v>-23.562123</v>
      </c>
      <c r="C11755" s="40" t="n">
        <v>-46.549156</v>
      </c>
      <c r="D11755" s="40" t="n">
        <v>271</v>
      </c>
      <c r="E11755" s="41" t="n">
        <v>6936.7959</v>
      </c>
    </row>
    <row r="11756">
      <c r="A11756" s="42">
        <f>_xlfn.XLOOKUP(80380,Trip[shape_id],Trip[shape_id],"Não encontrado")</f>
        <v/>
      </c>
      <c r="B11756" s="43" t="n">
        <v>-23.561665</v>
      </c>
      <c r="C11756" s="43" t="n">
        <v>-46.549582</v>
      </c>
      <c r="D11756" s="43" t="n">
        <v>272</v>
      </c>
      <c r="E11756" s="44" t="n">
        <v>7003.6128</v>
      </c>
    </row>
    <row r="11757">
      <c r="A11757" s="39">
        <f>_xlfn.XLOOKUP(80380,Trip[shape_id],Trip[shape_id],"Não encontrado")</f>
        <v/>
      </c>
      <c r="B11757" s="40" t="n">
        <v>-23.561523</v>
      </c>
      <c r="C11757" s="40" t="n">
        <v>-46.549735</v>
      </c>
      <c r="D11757" s="40" t="n">
        <v>273</v>
      </c>
      <c r="E11757" s="41" t="n">
        <v>7025.7788</v>
      </c>
    </row>
    <row r="11758">
      <c r="A11758" s="42">
        <f>_xlfn.XLOOKUP(80380,Trip[shape_id],Trip[shape_id],"Não encontrado")</f>
        <v/>
      </c>
      <c r="B11758" s="43" t="n">
        <v>-23.561449</v>
      </c>
      <c r="C11758" s="43" t="n">
        <v>-46.54984</v>
      </c>
      <c r="D11758" s="43" t="n">
        <v>274</v>
      </c>
      <c r="E11758" s="44" t="n">
        <v>7039.2725</v>
      </c>
    </row>
    <row r="11759">
      <c r="A11759" s="39">
        <f>_xlfn.XLOOKUP(80380,Trip[shape_id],Trip[shape_id],"Não encontrado")</f>
        <v/>
      </c>
      <c r="B11759" s="40" t="n">
        <v>-23.560591</v>
      </c>
      <c r="C11759" s="40" t="n">
        <v>-46.550723</v>
      </c>
      <c r="D11759" s="40" t="n">
        <v>275</v>
      </c>
      <c r="E11759" s="41" t="n">
        <v>7170.2559</v>
      </c>
    </row>
    <row r="11760">
      <c r="A11760" s="42">
        <f>_xlfn.XLOOKUP(80380,Trip[shape_id],Trip[shape_id],"Não encontrado")</f>
        <v/>
      </c>
      <c r="B11760" s="43" t="n">
        <v>-23.560328</v>
      </c>
      <c r="C11760" s="43" t="n">
        <v>-46.550999</v>
      </c>
      <c r="D11760" s="43" t="n">
        <v>276</v>
      </c>
      <c r="E11760" s="44" t="n">
        <v>7210.7827</v>
      </c>
    </row>
    <row r="11761">
      <c r="A11761" s="39">
        <f>_xlfn.XLOOKUP(80380,Trip[shape_id],Trip[shape_id],"Não encontrado")</f>
        <v/>
      </c>
      <c r="B11761" s="40" t="n">
        <v>-23.560201</v>
      </c>
      <c r="C11761" s="40" t="n">
        <v>-46.551124</v>
      </c>
      <c r="D11761" s="40" t="n">
        <v>277</v>
      </c>
      <c r="E11761" s="41" t="n">
        <v>7229.7749</v>
      </c>
    </row>
    <row r="11762">
      <c r="A11762" s="42">
        <f>_xlfn.XLOOKUP(80380,Trip[shape_id],Trip[shape_id],"Não encontrado")</f>
        <v/>
      </c>
      <c r="B11762" s="43" t="n">
        <v>-23.559997</v>
      </c>
      <c r="C11762" s="43" t="n">
        <v>-46.551338</v>
      </c>
      <c r="D11762" s="43" t="n">
        <v>278</v>
      </c>
      <c r="E11762" s="44" t="n">
        <v>7261.2041</v>
      </c>
    </row>
    <row r="11763">
      <c r="A11763" s="39">
        <f>_xlfn.XLOOKUP(80380,Trip[shape_id],Trip[shape_id],"Não encontrado")</f>
        <v/>
      </c>
      <c r="B11763" s="40" t="n">
        <v>-23.559557</v>
      </c>
      <c r="C11763" s="40" t="n">
        <v>-46.551787</v>
      </c>
      <c r="D11763" s="40" t="n">
        <v>279</v>
      </c>
      <c r="E11763" s="41" t="n">
        <v>7328.1074</v>
      </c>
    </row>
    <row r="11764">
      <c r="A11764" s="42">
        <f>_xlfn.XLOOKUP(80380,Trip[shape_id],Trip[shape_id],"Não encontrado")</f>
        <v/>
      </c>
      <c r="B11764" s="43" t="n">
        <v>-23.559415</v>
      </c>
      <c r="C11764" s="43" t="n">
        <v>-46.551938</v>
      </c>
      <c r="D11764" s="43" t="n">
        <v>280</v>
      </c>
      <c r="E11764" s="44" t="n">
        <v>7350.1304</v>
      </c>
    </row>
    <row r="11765">
      <c r="A11765" s="39">
        <f>_xlfn.XLOOKUP(80380,Trip[shape_id],Trip[shape_id],"Não encontrado")</f>
        <v/>
      </c>
      <c r="B11765" s="40" t="n">
        <v>-23.559326</v>
      </c>
      <c r="C11765" s="40" t="n">
        <v>-46.551999</v>
      </c>
      <c r="D11765" s="40" t="n">
        <v>281</v>
      </c>
      <c r="E11765" s="41" t="n">
        <v>7361.7896</v>
      </c>
    </row>
    <row r="11766">
      <c r="A11766" s="42">
        <f>_xlfn.XLOOKUP(80380,Trip[shape_id],Trip[shape_id],"Não encontrado")</f>
        <v/>
      </c>
      <c r="B11766" s="43" t="n">
        <v>-23.559259</v>
      </c>
      <c r="C11766" s="43" t="n">
        <v>-46.552042</v>
      </c>
      <c r="D11766" s="43" t="n">
        <v>282</v>
      </c>
      <c r="E11766" s="44" t="n">
        <v>7370.4116</v>
      </c>
    </row>
    <row r="11767">
      <c r="A11767" s="39">
        <f>_xlfn.XLOOKUP(80380,Trip[shape_id],Trip[shape_id],"Não encontrado")</f>
        <v/>
      </c>
      <c r="B11767" s="40" t="n">
        <v>-23.5592</v>
      </c>
      <c r="C11767" s="40" t="n">
        <v>-46.552068</v>
      </c>
      <c r="D11767" s="40" t="n">
        <v>283</v>
      </c>
      <c r="E11767" s="41" t="n">
        <v>7377.4648</v>
      </c>
    </row>
    <row r="11768">
      <c r="A11768" s="42">
        <f>_xlfn.XLOOKUP(80380,Trip[shape_id],Trip[shape_id],"Não encontrado")</f>
        <v/>
      </c>
      <c r="B11768" s="43" t="n">
        <v>-23.559112</v>
      </c>
      <c r="C11768" s="43" t="n">
        <v>-46.552106</v>
      </c>
      <c r="D11768" s="43" t="n">
        <v>284</v>
      </c>
      <c r="E11768" s="44" t="n">
        <v>7387.9551</v>
      </c>
    </row>
    <row r="11769">
      <c r="A11769" s="39">
        <f>_xlfn.XLOOKUP(80380,Trip[shape_id],Trip[shape_id],"Não encontrado")</f>
        <v/>
      </c>
      <c r="B11769" s="40" t="n">
        <v>-23.559059</v>
      </c>
      <c r="C11769" s="40" t="n">
        <v>-46.552119</v>
      </c>
      <c r="D11769" s="40" t="n">
        <v>285</v>
      </c>
      <c r="E11769" s="41" t="n">
        <v>7393.9736</v>
      </c>
    </row>
    <row r="11770">
      <c r="A11770" s="42">
        <f>_xlfn.XLOOKUP(80380,Trip[shape_id],Trip[shape_id],"Não encontrado")</f>
        <v/>
      </c>
      <c r="B11770" s="43" t="n">
        <v>-23.559021</v>
      </c>
      <c r="C11770" s="43" t="n">
        <v>-46.552126</v>
      </c>
      <c r="D11770" s="43" t="n">
        <v>286</v>
      </c>
      <c r="E11770" s="44" t="n">
        <v>7398.2422</v>
      </c>
    </row>
    <row r="11771">
      <c r="A11771" s="39">
        <f>_xlfn.XLOOKUP(80380,Trip[shape_id],Trip[shape_id],"Não encontrado")</f>
        <v/>
      </c>
      <c r="B11771" s="40" t="n">
        <v>-23.558958</v>
      </c>
      <c r="C11771" s="40" t="n">
        <v>-46.552143</v>
      </c>
      <c r="D11771" s="40" t="n">
        <v>287</v>
      </c>
      <c r="E11771" s="41" t="n">
        <v>7405.4326</v>
      </c>
    </row>
    <row r="11772">
      <c r="A11772" s="42">
        <f>_xlfn.XLOOKUP(80380,Trip[shape_id],Trip[shape_id],"Não encontrado")</f>
        <v/>
      </c>
      <c r="B11772" s="43" t="n">
        <v>-23.558899</v>
      </c>
      <c r="C11772" s="43" t="n">
        <v>-46.552154</v>
      </c>
      <c r="D11772" s="43" t="n">
        <v>288</v>
      </c>
      <c r="E11772" s="44" t="n">
        <v>7412.0635</v>
      </c>
    </row>
    <row r="11773">
      <c r="A11773" s="39">
        <f>_xlfn.XLOOKUP(80380,Trip[shape_id],Trip[shape_id],"Não encontrado")</f>
        <v/>
      </c>
      <c r="B11773" s="40" t="n">
        <v>-23.558763</v>
      </c>
      <c r="C11773" s="40" t="n">
        <v>-46.552181</v>
      </c>
      <c r="D11773" s="40" t="n">
        <v>289</v>
      </c>
      <c r="E11773" s="41" t="n">
        <v>7427.376</v>
      </c>
    </row>
    <row r="11774">
      <c r="A11774" s="42">
        <f>_xlfn.XLOOKUP(80380,Trip[shape_id],Trip[shape_id],"Não encontrado")</f>
        <v/>
      </c>
      <c r="B11774" s="43" t="n">
        <v>-23.55855</v>
      </c>
      <c r="C11774" s="43" t="n">
        <v>-46.552198</v>
      </c>
      <c r="D11774" s="43" t="n">
        <v>290</v>
      </c>
      <c r="E11774" s="44" t="n">
        <v>7451.0298</v>
      </c>
    </row>
    <row r="11775">
      <c r="A11775" s="39">
        <f>_xlfn.XLOOKUP(80380,Trip[shape_id],Trip[shape_id],"Não encontrado")</f>
        <v/>
      </c>
      <c r="B11775" s="40" t="n">
        <v>-23.557814</v>
      </c>
      <c r="C11775" s="40" t="n">
        <v>-46.551638</v>
      </c>
      <c r="D11775" s="40" t="n">
        <v>291</v>
      </c>
      <c r="E11775" s="41" t="n">
        <v>7550.5952</v>
      </c>
    </row>
    <row r="11776">
      <c r="A11776" s="42">
        <f>_xlfn.XLOOKUP(80380,Trip[shape_id],Trip[shape_id],"Não encontrado")</f>
        <v/>
      </c>
      <c r="B11776" s="43" t="n">
        <v>-23.557297</v>
      </c>
      <c r="C11776" s="43" t="n">
        <v>-46.551244</v>
      </c>
      <c r="D11776" s="43" t="n">
        <v>292</v>
      </c>
      <c r="E11776" s="44" t="n">
        <v>7620.5718</v>
      </c>
    </row>
    <row r="11777">
      <c r="A11777" s="39">
        <f>_xlfn.XLOOKUP(80380,Trip[shape_id],Trip[shape_id],"Não encontrado")</f>
        <v/>
      </c>
      <c r="B11777" s="40" t="n">
        <v>-23.556425</v>
      </c>
      <c r="C11777" s="40" t="n">
        <v>-46.550582</v>
      </c>
      <c r="D11777" s="40" t="n">
        <v>293</v>
      </c>
      <c r="E11777" s="41" t="n">
        <v>7738.4487</v>
      </c>
    </row>
    <row r="11778">
      <c r="A11778" s="42">
        <f>_xlfn.XLOOKUP(80380,Trip[shape_id],Trip[shape_id],"Não encontrado")</f>
        <v/>
      </c>
      <c r="B11778" s="43" t="n">
        <v>-23.556232</v>
      </c>
      <c r="C11778" s="43" t="n">
        <v>-46.550654</v>
      </c>
      <c r="D11778" s="43" t="n">
        <v>294</v>
      </c>
      <c r="E11778" s="44" t="n">
        <v>7761.0527</v>
      </c>
    </row>
    <row r="11779">
      <c r="A11779" s="39">
        <f>_xlfn.XLOOKUP(80380,Trip[shape_id],Trip[shape_id],"Não encontrado")</f>
        <v/>
      </c>
      <c r="B11779" s="40" t="n">
        <v>-23.55609</v>
      </c>
      <c r="C11779" s="40" t="n">
        <v>-46.550728</v>
      </c>
      <c r="D11779" s="40" t="n">
        <v>295</v>
      </c>
      <c r="E11779" s="41" t="n">
        <v>7778.5005</v>
      </c>
    </row>
    <row r="11780">
      <c r="A11780" s="42">
        <f>_xlfn.XLOOKUP(80380,Trip[shape_id],Trip[shape_id],"Não encontrado")</f>
        <v/>
      </c>
      <c r="B11780" s="43" t="n">
        <v>-23.555987</v>
      </c>
      <c r="C11780" s="43" t="n">
        <v>-46.550811</v>
      </c>
      <c r="D11780" s="43" t="n">
        <v>296</v>
      </c>
      <c r="E11780" s="44" t="n">
        <v>7792.7109</v>
      </c>
    </row>
    <row r="11781">
      <c r="A11781" s="39">
        <f>_xlfn.XLOOKUP(80380,Trip[shape_id],Trip[shape_id],"Não encontrado")</f>
        <v/>
      </c>
      <c r="B11781" s="40" t="n">
        <v>-23.555881</v>
      </c>
      <c r="C11781" s="40" t="n">
        <v>-46.55093</v>
      </c>
      <c r="D11781" s="40" t="n">
        <v>297</v>
      </c>
      <c r="E11781" s="41" t="n">
        <v>7809.606</v>
      </c>
    </row>
    <row r="11782">
      <c r="A11782" s="42">
        <f>_xlfn.XLOOKUP(80380,Trip[shape_id],Trip[shape_id],"Não encontrado")</f>
        <v/>
      </c>
      <c r="B11782" s="43" t="n">
        <v>-23.555818</v>
      </c>
      <c r="C11782" s="43" t="n">
        <v>-46.551037</v>
      </c>
      <c r="D11782" s="43" t="n">
        <v>298</v>
      </c>
      <c r="E11782" s="44" t="n">
        <v>7822.5684</v>
      </c>
    </row>
    <row r="11783">
      <c r="A11783" s="39">
        <f>_xlfn.XLOOKUP(80380,Trip[shape_id],Trip[shape_id],"Não encontrado")</f>
        <v/>
      </c>
      <c r="B11783" s="40" t="n">
        <v>-23.555737</v>
      </c>
      <c r="C11783" s="40" t="n">
        <v>-46.551205</v>
      </c>
      <c r="D11783" s="40" t="n">
        <v>299</v>
      </c>
      <c r="E11783" s="41" t="n">
        <v>7841.9248</v>
      </c>
    </row>
    <row r="11784">
      <c r="A11784" s="42">
        <f>_xlfn.XLOOKUP(80380,Trip[shape_id],Trip[shape_id],"Não encontrado")</f>
        <v/>
      </c>
      <c r="B11784" s="43" t="n">
        <v>-23.555691</v>
      </c>
      <c r="C11784" s="43" t="n">
        <v>-46.551339</v>
      </c>
      <c r="D11784" s="43" t="n">
        <v>300</v>
      </c>
      <c r="E11784" s="44" t="n">
        <v>7856.5234</v>
      </c>
    </row>
    <row r="11785">
      <c r="A11785" s="39">
        <f>_xlfn.XLOOKUP(80380,Trip[shape_id],Trip[shape_id],"Não encontrado")</f>
        <v/>
      </c>
      <c r="B11785" s="40" t="n">
        <v>-23.555491</v>
      </c>
      <c r="C11785" s="40" t="n">
        <v>-46.55193</v>
      </c>
      <c r="D11785" s="40" t="n">
        <v>301</v>
      </c>
      <c r="E11785" s="41" t="n">
        <v>7920.8008</v>
      </c>
    </row>
    <row r="11786">
      <c r="A11786" s="42">
        <f>_xlfn.XLOOKUP(80380,Trip[shape_id],Trip[shape_id],"Não encontrado")</f>
        <v/>
      </c>
      <c r="B11786" s="43" t="n">
        <v>-23.55525</v>
      </c>
      <c r="C11786" s="43" t="n">
        <v>-46.552619</v>
      </c>
      <c r="D11786" s="43" t="n">
        <v>302</v>
      </c>
      <c r="E11786" s="44" t="n">
        <v>7996.04</v>
      </c>
    </row>
    <row r="11787">
      <c r="A11787" s="39">
        <f>_xlfn.XLOOKUP(80380,Trip[shape_id],Trip[shape_id],"Não encontrado")</f>
        <v/>
      </c>
      <c r="B11787" s="40" t="n">
        <v>-23.555218</v>
      </c>
      <c r="C11787" s="40" t="n">
        <v>-46.552699</v>
      </c>
      <c r="D11787" s="40" t="n">
        <v>303</v>
      </c>
      <c r="E11787" s="41" t="n">
        <v>8004.9438</v>
      </c>
    </row>
    <row r="11788">
      <c r="A11788" s="42">
        <f>_xlfn.XLOOKUP(80380,Trip[shape_id],Trip[shape_id],"Não encontrado")</f>
        <v/>
      </c>
      <c r="B11788" s="43" t="n">
        <v>-23.55517</v>
      </c>
      <c r="C11788" s="43" t="n">
        <v>-46.552797</v>
      </c>
      <c r="D11788" s="43" t="n">
        <v>304</v>
      </c>
      <c r="E11788" s="44" t="n">
        <v>8016.2744</v>
      </c>
    </row>
    <row r="11789">
      <c r="A11789" s="39">
        <f>_xlfn.XLOOKUP(80380,Trip[shape_id],Trip[shape_id],"Não encontrado")</f>
        <v/>
      </c>
      <c r="B11789" s="40" t="n">
        <v>-23.55504</v>
      </c>
      <c r="C11789" s="40" t="n">
        <v>-46.553017</v>
      </c>
      <c r="D11789" s="40" t="n">
        <v>305</v>
      </c>
      <c r="E11789" s="41" t="n">
        <v>8042.9546</v>
      </c>
    </row>
    <row r="11790">
      <c r="A11790" s="42">
        <f>_xlfn.XLOOKUP(80380,Trip[shape_id],Trip[shape_id],"Não encontrado")</f>
        <v/>
      </c>
      <c r="B11790" s="43" t="n">
        <v>-23.554877</v>
      </c>
      <c r="C11790" s="43" t="n">
        <v>-46.553306</v>
      </c>
      <c r="D11790" s="43" t="n">
        <v>306</v>
      </c>
      <c r="E11790" s="44" t="n">
        <v>8077.5454</v>
      </c>
    </row>
    <row r="11791">
      <c r="A11791" s="39">
        <f>_xlfn.XLOOKUP(80380,Trip[shape_id],Trip[shape_id],"Não encontrado")</f>
        <v/>
      </c>
      <c r="B11791" s="40" t="n">
        <v>-23.554816</v>
      </c>
      <c r="C11791" s="40" t="n">
        <v>-46.553398</v>
      </c>
      <c r="D11791" s="40" t="n">
        <v>307</v>
      </c>
      <c r="E11791" s="41" t="n">
        <v>8089.1162</v>
      </c>
    </row>
    <row r="11792">
      <c r="A11792" s="42">
        <f>_xlfn.XLOOKUP(80380,Trip[shape_id],Trip[shape_id],"Não encontrado")</f>
        <v/>
      </c>
      <c r="B11792" s="43" t="n">
        <v>-23.554757</v>
      </c>
      <c r="C11792" s="43" t="n">
        <v>-46.553457</v>
      </c>
      <c r="D11792" s="43" t="n">
        <v>308</v>
      </c>
      <c r="E11792" s="44" t="n">
        <v>8098.0029</v>
      </c>
    </row>
    <row r="11793">
      <c r="A11793" s="39">
        <f>_xlfn.XLOOKUP(80380,Trip[shape_id],Trip[shape_id],"Não encontrado")</f>
        <v/>
      </c>
      <c r="B11793" s="40" t="n">
        <v>-23.554702</v>
      </c>
      <c r="C11793" s="40" t="n">
        <v>-46.553494</v>
      </c>
      <c r="D11793" s="40" t="n">
        <v>309</v>
      </c>
      <c r="E11793" s="41" t="n">
        <v>8105.1699</v>
      </c>
    </row>
    <row r="11794">
      <c r="A11794" s="42">
        <f>_xlfn.XLOOKUP(80380,Trip[shape_id],Trip[shape_id],"Não encontrado")</f>
        <v/>
      </c>
      <c r="B11794" s="43" t="n">
        <v>-23.55463</v>
      </c>
      <c r="C11794" s="43" t="n">
        <v>-46.553527</v>
      </c>
      <c r="D11794" s="43" t="n">
        <v>310</v>
      </c>
      <c r="E11794" s="44" t="n">
        <v>8113.8267</v>
      </c>
    </row>
    <row r="11795">
      <c r="A11795" s="39">
        <f>_xlfn.XLOOKUP(80380,Trip[shape_id],Trip[shape_id],"Não encontrado")</f>
        <v/>
      </c>
      <c r="B11795" s="40" t="n">
        <v>-23.554569</v>
      </c>
      <c r="C11795" s="40" t="n">
        <v>-46.553543</v>
      </c>
      <c r="D11795" s="40" t="n">
        <v>311</v>
      </c>
      <c r="E11795" s="41" t="n">
        <v>8120.7769</v>
      </c>
    </row>
    <row r="11796">
      <c r="A11796" s="42">
        <f>_xlfn.XLOOKUP(80380,Trip[shape_id],Trip[shape_id],"Não encontrado")</f>
        <v/>
      </c>
      <c r="B11796" s="43" t="n">
        <v>-23.554507</v>
      </c>
      <c r="C11796" s="43" t="n">
        <v>-46.55355</v>
      </c>
      <c r="D11796" s="43" t="n">
        <v>312</v>
      </c>
      <c r="E11796" s="44" t="n">
        <v>8127.6807</v>
      </c>
    </row>
    <row r="11797">
      <c r="A11797" s="39">
        <f>_xlfn.XLOOKUP(80380,Trip[shape_id],Trip[shape_id],"Não encontrado")</f>
        <v/>
      </c>
      <c r="B11797" s="40" t="n">
        <v>-23.554409</v>
      </c>
      <c r="C11797" s="40" t="n">
        <v>-46.553533</v>
      </c>
      <c r="D11797" s="40" t="n">
        <v>313</v>
      </c>
      <c r="E11797" s="41" t="n">
        <v>8138.6719</v>
      </c>
    </row>
    <row r="11798">
      <c r="A11798" s="42">
        <f>_xlfn.XLOOKUP(80380,Trip[shape_id],Trip[shape_id],"Não encontrado")</f>
        <v/>
      </c>
      <c r="B11798" s="43" t="n">
        <v>-23.554322</v>
      </c>
      <c r="C11798" s="43" t="n">
        <v>-46.553505</v>
      </c>
      <c r="D11798" s="43" t="n">
        <v>314</v>
      </c>
      <c r="E11798" s="44" t="n">
        <v>8148.7227</v>
      </c>
    </row>
    <row r="11799">
      <c r="A11799" s="39">
        <f>_xlfn.XLOOKUP(80380,Trip[shape_id],Trip[shape_id],"Não encontrado")</f>
        <v/>
      </c>
      <c r="B11799" s="40" t="n">
        <v>-23.554236</v>
      </c>
      <c r="C11799" s="40" t="n">
        <v>-46.553451</v>
      </c>
      <c r="D11799" s="40" t="n">
        <v>315</v>
      </c>
      <c r="E11799" s="41" t="n">
        <v>8159.728</v>
      </c>
    </row>
    <row r="11800">
      <c r="A11800" s="42">
        <f>_xlfn.XLOOKUP(80380,Trip[shape_id],Trip[shape_id],"Não encontrado")</f>
        <v/>
      </c>
      <c r="B11800" s="43" t="n">
        <v>-23.553723</v>
      </c>
      <c r="C11800" s="43" t="n">
        <v>-46.553115</v>
      </c>
      <c r="D11800" s="43" t="n">
        <v>316</v>
      </c>
      <c r="E11800" s="44" t="n">
        <v>8226.0977</v>
      </c>
    </row>
    <row r="11801">
      <c r="A11801" s="39">
        <f>_xlfn.XLOOKUP(80380,Trip[shape_id],Trip[shape_id],"Não encontrado")</f>
        <v/>
      </c>
      <c r="B11801" s="40" t="n">
        <v>-23.553375</v>
      </c>
      <c r="C11801" s="40" t="n">
        <v>-46.552889</v>
      </c>
      <c r="D11801" s="40" t="n">
        <v>317</v>
      </c>
      <c r="E11801" s="41" t="n">
        <v>8271.018599999999</v>
      </c>
    </row>
    <row r="11802">
      <c r="A11802" s="42">
        <f>_xlfn.XLOOKUP(80380,Trip[shape_id],Trip[shape_id],"Não encontrado")</f>
        <v/>
      </c>
      <c r="B11802" s="43" t="n">
        <v>-23.552975</v>
      </c>
      <c r="C11802" s="43" t="n">
        <v>-46.552635</v>
      </c>
      <c r="D11802" s="43" t="n">
        <v>318</v>
      </c>
      <c r="E11802" s="44" t="n">
        <v>8322.3516</v>
      </c>
    </row>
    <row r="11803">
      <c r="A11803" s="39">
        <f>_xlfn.XLOOKUP(80380,Trip[shape_id],Trip[shape_id],"Não encontrado")</f>
        <v/>
      </c>
      <c r="B11803" s="40" t="n">
        <v>-23.552712</v>
      </c>
      <c r="C11803" s="40" t="n">
        <v>-46.55246</v>
      </c>
      <c r="D11803" s="40" t="n">
        <v>319</v>
      </c>
      <c r="E11803" s="41" t="n">
        <v>8356.522499999999</v>
      </c>
    </row>
    <row r="11804">
      <c r="A11804" s="42">
        <f>_xlfn.XLOOKUP(80380,Trip[shape_id],Trip[shape_id],"Não encontrado")</f>
        <v/>
      </c>
      <c r="B11804" s="43" t="n">
        <v>-23.552597</v>
      </c>
      <c r="C11804" s="43" t="n">
        <v>-46.55238</v>
      </c>
      <c r="D11804" s="43" t="n">
        <v>320</v>
      </c>
      <c r="E11804" s="44" t="n">
        <v>8371.6533</v>
      </c>
    </row>
    <row r="11805">
      <c r="A11805" s="39">
        <f>_xlfn.XLOOKUP(80380,Trip[shape_id],Trip[shape_id],"Não encontrado")</f>
        <v/>
      </c>
      <c r="B11805" s="40" t="n">
        <v>-23.552571</v>
      </c>
      <c r="C11805" s="40" t="n">
        <v>-46.552375</v>
      </c>
      <c r="D11805" s="40" t="n">
        <v>321</v>
      </c>
      <c r="E11805" s="41" t="n">
        <v>8374.578100000001</v>
      </c>
    </row>
    <row r="11806">
      <c r="A11806" s="42">
        <f>_xlfn.XLOOKUP(80380,Trip[shape_id],Trip[shape_id],"Não encontrado")</f>
        <v/>
      </c>
      <c r="B11806" s="43" t="n">
        <v>-23.552539</v>
      </c>
      <c r="C11806" s="43" t="n">
        <v>-46.552356</v>
      </c>
      <c r="D11806" s="43" t="n">
        <v>322</v>
      </c>
      <c r="E11806" s="44" t="n">
        <v>8378.617200000001</v>
      </c>
    </row>
    <row r="11807">
      <c r="A11807" s="39">
        <f>_xlfn.XLOOKUP(80380,Trip[shape_id],Trip[shape_id],"Não encontrado")</f>
        <v/>
      </c>
      <c r="B11807" s="40" t="n">
        <v>-23.552514</v>
      </c>
      <c r="C11807" s="40" t="n">
        <v>-46.55233</v>
      </c>
      <c r="D11807" s="40" t="n">
        <v>323</v>
      </c>
      <c r="E11807" s="41" t="n">
        <v>8382.453100000001</v>
      </c>
    </row>
    <row r="11808">
      <c r="A11808" s="42">
        <f>_xlfn.XLOOKUP(80380,Trip[shape_id],Trip[shape_id],"Não encontrado")</f>
        <v/>
      </c>
      <c r="B11808" s="43" t="n">
        <v>-23.552468</v>
      </c>
      <c r="C11808" s="43" t="n">
        <v>-46.552286</v>
      </c>
      <c r="D11808" s="43" t="n">
        <v>324</v>
      </c>
      <c r="E11808" s="44" t="n">
        <v>8389.2451</v>
      </c>
    </row>
    <row r="11809">
      <c r="A11809" s="39">
        <f>_xlfn.XLOOKUP(80380,Trip[shape_id],Trip[shape_id],"Não encontrado")</f>
        <v/>
      </c>
      <c r="B11809" s="40" t="n">
        <v>-23.552452</v>
      </c>
      <c r="C11809" s="40" t="n">
        <v>-46.552202</v>
      </c>
      <c r="D11809" s="40" t="n">
        <v>325</v>
      </c>
      <c r="E11809" s="41" t="n">
        <v>8398.002</v>
      </c>
    </row>
    <row r="11810">
      <c r="A11810" s="42">
        <f>_xlfn.XLOOKUP(80380,Trip[shape_id],Trip[shape_id],"Não encontrado")</f>
        <v/>
      </c>
      <c r="B11810" s="43" t="n">
        <v>-23.552213</v>
      </c>
      <c r="C11810" s="43" t="n">
        <v>-46.551968</v>
      </c>
      <c r="D11810" s="43" t="n">
        <v>326</v>
      </c>
      <c r="E11810" s="44" t="n">
        <v>8433.6592</v>
      </c>
    </row>
    <row r="11811">
      <c r="A11811" s="39">
        <f>_xlfn.XLOOKUP(80380,Trip[shape_id],Trip[shape_id],"Não encontrado")</f>
        <v/>
      </c>
      <c r="B11811" s="40" t="n">
        <v>-23.552109</v>
      </c>
      <c r="C11811" s="40" t="n">
        <v>-46.551869</v>
      </c>
      <c r="D11811" s="40" t="n">
        <v>327</v>
      </c>
      <c r="E11811" s="41" t="n">
        <v>8448.983399999999</v>
      </c>
    </row>
    <row r="11812">
      <c r="A11812" s="42">
        <f>_xlfn.XLOOKUP(80380,Trip[shape_id],Trip[shape_id],"Não encontrado")</f>
        <v/>
      </c>
      <c r="B11812" s="43" t="n">
        <v>-23.552006</v>
      </c>
      <c r="C11812" s="43" t="n">
        <v>-46.551764</v>
      </c>
      <c r="D11812" s="43" t="n">
        <v>328</v>
      </c>
      <c r="E11812" s="44" t="n">
        <v>8482.670899999999</v>
      </c>
    </row>
    <row r="11813">
      <c r="A11813" s="39">
        <f>_xlfn.XLOOKUP(80380,Trip[shape_id],Trip[shape_id],"Não encontrado")</f>
        <v/>
      </c>
      <c r="B11813" s="40" t="n">
        <v>-23.551969</v>
      </c>
      <c r="C11813" s="40" t="n">
        <v>-46.551592</v>
      </c>
      <c r="D11813" s="40" t="n">
        <v>329</v>
      </c>
      <c r="E11813" s="41" t="n">
        <v>8500.7402</v>
      </c>
    </row>
    <row r="11814">
      <c r="A11814" s="42">
        <f>_xlfn.XLOOKUP(80380,Trip[shape_id],Trip[shape_id],"Não encontrado")</f>
        <v/>
      </c>
      <c r="B11814" s="43" t="n">
        <v>-23.551807</v>
      </c>
      <c r="C11814" s="43" t="n">
        <v>-46.551571</v>
      </c>
      <c r="D11814" s="43" t="n">
        <v>330</v>
      </c>
      <c r="E11814" s="44" t="n">
        <v>8568.3945</v>
      </c>
    </row>
    <row r="11815">
      <c r="A11815" s="39">
        <f>_xlfn.XLOOKUP(80380,Trip[shape_id],Trip[shape_id],"Não encontrado")</f>
        <v/>
      </c>
      <c r="B11815" s="40" t="n">
        <v>-23.55137</v>
      </c>
      <c r="C11815" s="40" t="n">
        <v>-46.551108</v>
      </c>
      <c r="D11815" s="40" t="n">
        <v>331</v>
      </c>
      <c r="E11815" s="41" t="n">
        <v>8568.3945</v>
      </c>
    </row>
    <row r="11816">
      <c r="A11816" s="42">
        <f>_xlfn.XLOOKUP(80380,Trip[shape_id],Trip[shape_id],"Não encontrado")</f>
        <v/>
      </c>
      <c r="B11816" s="43" t="n">
        <v>-23.55118</v>
      </c>
      <c r="C11816" s="43" t="n">
        <v>-46.550907</v>
      </c>
      <c r="D11816" s="43" t="n">
        <v>332</v>
      </c>
      <c r="E11816" s="44" t="n">
        <v>8597.7881</v>
      </c>
    </row>
    <row r="11817">
      <c r="A11817" s="39">
        <f>_xlfn.XLOOKUP(80380,Trip[shape_id],Trip[shape_id],"Não encontrado")</f>
        <v/>
      </c>
      <c r="B11817" s="40" t="n">
        <v>-23.550776</v>
      </c>
      <c r="C11817" s="40" t="n">
        <v>-46.550486</v>
      </c>
      <c r="D11817" s="40" t="n">
        <v>333</v>
      </c>
      <c r="E11817" s="41" t="n">
        <v>8683.3105</v>
      </c>
    </row>
    <row r="11818">
      <c r="A11818" s="42">
        <f>_xlfn.XLOOKUP(80380,Trip[shape_id],Trip[shape_id],"Não encontrado")</f>
        <v/>
      </c>
      <c r="B11818" s="43" t="n">
        <v>-23.550613</v>
      </c>
      <c r="C11818" s="43" t="n">
        <v>-46.550339</v>
      </c>
      <c r="D11818" s="43" t="n">
        <v>334</v>
      </c>
      <c r="E11818" s="44" t="n">
        <v>8704.7402</v>
      </c>
    </row>
    <row r="11819">
      <c r="A11819" s="39">
        <f>_xlfn.XLOOKUP(80380,Trip[shape_id],Trip[shape_id],"Não encontrado")</f>
        <v/>
      </c>
      <c r="B11819" s="40" t="n">
        <v>-23.55044</v>
      </c>
      <c r="C11819" s="40" t="n">
        <v>-46.550245</v>
      </c>
      <c r="D11819" s="40" t="n">
        <v>335</v>
      </c>
      <c r="E11819" s="41" t="n">
        <v>8717.968800000001</v>
      </c>
    </row>
    <row r="11820">
      <c r="A11820" s="42">
        <f>_xlfn.XLOOKUP(80380,Trip[shape_id],Trip[shape_id],"Não encontrado")</f>
        <v/>
      </c>
      <c r="B11820" s="43" t="n">
        <v>-23.550325</v>
      </c>
      <c r="C11820" s="43" t="n">
        <v>-46.55021</v>
      </c>
      <c r="D11820" s="43" t="n">
        <v>336</v>
      </c>
      <c r="E11820" s="44" t="n">
        <v>8717.968800000001</v>
      </c>
    </row>
    <row r="11821">
      <c r="A11821" s="39">
        <f>_xlfn.XLOOKUP(80380,Trip[shape_id],Trip[shape_id],"Não encontrado")</f>
        <v/>
      </c>
      <c r="B11821" s="40" t="n">
        <v>-23.549969</v>
      </c>
      <c r="C11821" s="40" t="n">
        <v>-46.550109</v>
      </c>
      <c r="D11821" s="40" t="n">
        <v>337</v>
      </c>
      <c r="E11821" s="41" t="n">
        <v>8758.7227</v>
      </c>
    </row>
    <row r="11822">
      <c r="A11822" s="42">
        <f>_xlfn.XLOOKUP(80380,Trip[shape_id],Trip[shape_id],"Não encontrado")</f>
        <v/>
      </c>
      <c r="B11822" s="43" t="n">
        <v>-23.549487</v>
      </c>
      <c r="C11822" s="43" t="n">
        <v>-46.549965</v>
      </c>
      <c r="D11822" s="43" t="n">
        <v>338</v>
      </c>
      <c r="E11822" s="44" t="n">
        <v>8814.0928</v>
      </c>
    </row>
    <row r="11823">
      <c r="A11823" s="39">
        <f>_xlfn.XLOOKUP(80380,Trip[shape_id],Trip[shape_id],"Não encontrado")</f>
        <v/>
      </c>
      <c r="B11823" s="40" t="n">
        <v>-23.549</v>
      </c>
      <c r="C11823" s="40" t="n">
        <v>-46.549848</v>
      </c>
      <c r="D11823" s="40" t="n">
        <v>339</v>
      </c>
      <c r="E11823" s="41" t="n">
        <v>8869.3359</v>
      </c>
    </row>
    <row r="11824">
      <c r="A11824" s="42">
        <f>_xlfn.XLOOKUP(80380,Trip[shape_id],Trip[shape_id],"Não encontrado")</f>
        <v/>
      </c>
      <c r="B11824" s="43" t="n">
        <v>-23.549138</v>
      </c>
      <c r="C11824" s="43" t="n">
        <v>-46.549497</v>
      </c>
      <c r="D11824" s="43" t="n">
        <v>340</v>
      </c>
      <c r="E11824" s="44" t="n">
        <v>8908.296899999999</v>
      </c>
    </row>
    <row r="11825">
      <c r="A11825" s="39">
        <f>_xlfn.XLOOKUP(80380,Trip[shape_id],Trip[shape_id],"Não encontrado")</f>
        <v/>
      </c>
      <c r="B11825" s="40" t="n">
        <v>-23.549406</v>
      </c>
      <c r="C11825" s="40" t="n">
        <v>-46.548781</v>
      </c>
      <c r="D11825" s="40" t="n">
        <v>341</v>
      </c>
      <c r="E11825" s="41" t="n">
        <v>8987.198200000001</v>
      </c>
    </row>
    <row r="11826">
      <c r="A11826" s="42">
        <f>_xlfn.XLOOKUP(80380,Trip[shape_id],Trip[shape_id],"Não encontrado")</f>
        <v/>
      </c>
      <c r="B11826" s="43" t="n">
        <v>-23.54977</v>
      </c>
      <c r="C11826" s="43" t="n">
        <v>-46.547822</v>
      </c>
      <c r="D11826" s="43" t="n">
        <v>342</v>
      </c>
      <c r="E11826" s="44" t="n">
        <v>9093.088900000001</v>
      </c>
    </row>
    <row r="11827">
      <c r="A11827" s="39">
        <f>_xlfn.XLOOKUP(80380,Trip[shape_id],Trip[shape_id],"Não encontrado")</f>
        <v/>
      </c>
      <c r="B11827" s="40" t="n">
        <v>-23.549867</v>
      </c>
      <c r="C11827" s="40" t="n">
        <v>-46.547801</v>
      </c>
      <c r="D11827" s="40" t="n">
        <v>343</v>
      </c>
      <c r="E11827" s="41" t="n">
        <v>9104.043900000001</v>
      </c>
    </row>
    <row r="11828">
      <c r="A11828" s="42">
        <f>_xlfn.XLOOKUP(80380,Trip[shape_id],Trip[shape_id],"Não encontrado")</f>
        <v/>
      </c>
      <c r="B11828" s="43" t="n">
        <v>-23.549632</v>
      </c>
      <c r="C11828" s="43" t="n">
        <v>-46.547689</v>
      </c>
      <c r="D11828" s="43" t="n">
        <v>344</v>
      </c>
      <c r="E11828" s="44" t="n">
        <v>9229.7881</v>
      </c>
    </row>
    <row r="11829">
      <c r="A11829" s="39">
        <f>_xlfn.XLOOKUP(80380,Trip[shape_id],Trip[shape_id],"Não encontrado")</f>
        <v/>
      </c>
      <c r="B11829" s="40" t="n">
        <v>-23.548823</v>
      </c>
      <c r="C11829" s="40" t="n">
        <v>-46.547317</v>
      </c>
      <c r="D11829" s="40" t="n">
        <v>345</v>
      </c>
      <c r="E11829" s="41" t="n">
        <v>9229.7881</v>
      </c>
    </row>
    <row r="11830">
      <c r="A11830" s="42">
        <f>_xlfn.XLOOKUP(80380,Trip[shape_id],Trip[shape_id],"Não encontrado")</f>
        <v/>
      </c>
      <c r="B11830" s="43" t="n">
        <v>-23.548781</v>
      </c>
      <c r="C11830" s="43" t="n">
        <v>-46.547447</v>
      </c>
      <c r="D11830" s="43" t="n">
        <v>346</v>
      </c>
      <c r="E11830" s="44" t="n">
        <v>9243.853499999999</v>
      </c>
    </row>
    <row r="11831">
      <c r="A11831" s="39">
        <f>_xlfn.XLOOKUP(80380,Trip[shape_id],Trip[shape_id],"Não encontrado")</f>
        <v/>
      </c>
      <c r="B11831" s="40" t="n">
        <v>-23.548437</v>
      </c>
      <c r="C11831" s="40" t="n">
        <v>-46.548356</v>
      </c>
      <c r="D11831" s="40" t="n">
        <v>347</v>
      </c>
      <c r="E11831" s="41" t="n">
        <v>9344.180700000001</v>
      </c>
    </row>
    <row r="11832">
      <c r="A11832" s="42">
        <f>_xlfn.XLOOKUP(80380,Trip[shape_id],Trip[shape_id],"Não encontrado")</f>
        <v/>
      </c>
      <c r="B11832" s="43" t="n">
        <v>-23.548171</v>
      </c>
      <c r="C11832" s="43" t="n">
        <v>-46.54906</v>
      </c>
      <c r="D11832" s="43" t="n">
        <v>348</v>
      </c>
      <c r="E11832" s="44" t="n">
        <v>9421.864299999999</v>
      </c>
    </row>
    <row r="11833">
      <c r="A11833" s="39">
        <f>_xlfn.XLOOKUP(80380,Trip[shape_id],Trip[shape_id],"Não encontrado")</f>
        <v/>
      </c>
      <c r="B11833" s="40" t="n">
        <v>-23.547976</v>
      </c>
      <c r="C11833" s="40" t="n">
        <v>-46.549577</v>
      </c>
      <c r="D11833" s="40" t="n">
        <v>349</v>
      </c>
      <c r="E11833" s="41" t="n">
        <v>9478.8994</v>
      </c>
    </row>
    <row r="11834">
      <c r="A11834" s="42">
        <f>_xlfn.XLOOKUP(80380,Trip[shape_id],Trip[shape_id],"Não encontrado")</f>
        <v/>
      </c>
      <c r="B11834" s="43" t="n">
        <v>-23.547206</v>
      </c>
      <c r="C11834" s="43" t="n">
        <v>-46.549374</v>
      </c>
      <c r="D11834" s="43" t="n">
        <v>350</v>
      </c>
      <c r="E11834" s="44" t="n">
        <v>9566.661099999999</v>
      </c>
    </row>
    <row r="11835">
      <c r="A11835" s="39">
        <f>_xlfn.XLOOKUP(80380,Trip[shape_id],Trip[shape_id],"Não encontrado")</f>
        <v/>
      </c>
      <c r="B11835" s="40" t="n">
        <v>-23.546933</v>
      </c>
      <c r="C11835" s="40" t="n">
        <v>-46.549305</v>
      </c>
      <c r="D11835" s="40" t="n">
        <v>351</v>
      </c>
      <c r="E11835" s="41" t="n">
        <v>9597.706099999999</v>
      </c>
    </row>
    <row r="11836">
      <c r="A11836" s="42">
        <f>_xlfn.XLOOKUP(80380,Trip[shape_id],Trip[shape_id],"Não encontrado")</f>
        <v/>
      </c>
      <c r="B11836" s="43" t="n">
        <v>-23.546825</v>
      </c>
      <c r="C11836" s="43" t="n">
        <v>-46.550084</v>
      </c>
      <c r="D11836" s="43" t="n">
        <v>352</v>
      </c>
      <c r="E11836" s="44" t="n">
        <v>9678.1396</v>
      </c>
    </row>
    <row r="11837">
      <c r="A11837" s="39">
        <f>_xlfn.XLOOKUP(80380,Trip[shape_id],Trip[shape_id],"Não encontrado")</f>
        <v/>
      </c>
      <c r="B11837" s="40" t="n">
        <v>-23.546699</v>
      </c>
      <c r="C11837" s="40" t="n">
        <v>-46.550982</v>
      </c>
      <c r="D11837" s="40" t="n">
        <v>353</v>
      </c>
      <c r="E11837" s="41" t="n">
        <v>9770.885700000001</v>
      </c>
    </row>
    <row r="11838">
      <c r="A11838" s="42">
        <f>_xlfn.XLOOKUP(80380,Trip[shape_id],Trip[shape_id],"Não encontrado")</f>
        <v/>
      </c>
      <c r="B11838" s="43" t="n">
        <v>-23.54664</v>
      </c>
      <c r="C11838" s="43" t="n">
        <v>-46.551391</v>
      </c>
      <c r="D11838" s="43" t="n">
        <v>354</v>
      </c>
      <c r="E11838" s="44" t="n">
        <v>9813.1543</v>
      </c>
    </row>
    <row r="11839">
      <c r="A11839" s="39">
        <f>_xlfn.XLOOKUP(80380,Trip[shape_id],Trip[shape_id],"Não encontrado")</f>
        <v/>
      </c>
      <c r="B11839" s="40" t="n">
        <v>-23.546541</v>
      </c>
      <c r="C11839" s="40" t="n">
        <v>-46.552035</v>
      </c>
      <c r="D11839" s="40" t="n">
        <v>355</v>
      </c>
      <c r="E11839" s="41" t="n">
        <v>9879.8174</v>
      </c>
    </row>
    <row r="11840">
      <c r="A11840" s="42">
        <f>_xlfn.XLOOKUP(80380,Trip[shape_id],Trip[shape_id],"Não encontrado")</f>
        <v/>
      </c>
      <c r="B11840" s="43" t="n">
        <v>-23.546493</v>
      </c>
      <c r="C11840" s="43" t="n">
        <v>-46.552398</v>
      </c>
      <c r="D11840" s="43" t="n">
        <v>356</v>
      </c>
      <c r="E11840" s="44" t="n">
        <v>9917.260700000001</v>
      </c>
    </row>
    <row r="11841">
      <c r="A11841" s="39">
        <f>_xlfn.XLOOKUP(80380,Trip[shape_id],Trip[shape_id],"Não encontrado")</f>
        <v/>
      </c>
      <c r="B11841" s="40" t="n">
        <v>-23.546494</v>
      </c>
      <c r="C11841" s="40" t="n">
        <v>-46.552459</v>
      </c>
      <c r="D11841" s="40" t="n">
        <v>357</v>
      </c>
      <c r="E11841" s="41" t="n">
        <v>9923.4902</v>
      </c>
    </row>
    <row r="11842">
      <c r="A11842" s="42">
        <f>_xlfn.XLOOKUP(80380,Trip[shape_id],Trip[shape_id],"Não encontrado")</f>
        <v/>
      </c>
      <c r="B11842" s="43" t="n">
        <v>-23.546479</v>
      </c>
      <c r="C11842" s="43" t="n">
        <v>-46.55257</v>
      </c>
      <c r="D11842" s="43" t="n">
        <v>358</v>
      </c>
      <c r="E11842" s="44" t="n">
        <v>9934.945299999999</v>
      </c>
    </row>
    <row r="11843">
      <c r="A11843" s="39">
        <f>_xlfn.XLOOKUP(80380,Trip[shape_id],Trip[shape_id],"Não encontrado")</f>
        <v/>
      </c>
      <c r="B11843" s="40" t="n">
        <v>-23.546399</v>
      </c>
      <c r="C11843" s="40" t="n">
        <v>-46.553097</v>
      </c>
      <c r="D11843" s="40" t="n">
        <v>359</v>
      </c>
      <c r="E11843" s="41" t="n">
        <v>9989.479499999999</v>
      </c>
    </row>
    <row r="11844">
      <c r="A11844" s="42">
        <f>_xlfn.XLOOKUP(80380,Trip[shape_id],Trip[shape_id],"Não encontrado")</f>
        <v/>
      </c>
      <c r="B11844" s="43" t="n">
        <v>-23.546359</v>
      </c>
      <c r="C11844" s="43" t="n">
        <v>-46.55328</v>
      </c>
      <c r="D11844" s="43" t="n">
        <v>360</v>
      </c>
      <c r="E11844" s="44" t="n">
        <v>10008.683</v>
      </c>
    </row>
    <row r="11845">
      <c r="A11845" s="39">
        <f>_xlfn.XLOOKUP(80380,Trip[shape_id],Trip[shape_id],"Não encontrado")</f>
        <v/>
      </c>
      <c r="B11845" s="40" t="n">
        <v>-23.5465</v>
      </c>
      <c r="C11845" s="40" t="n">
        <v>-46.554146</v>
      </c>
      <c r="D11845" s="40" t="n">
        <v>361</v>
      </c>
      <c r="E11845" s="41" t="n">
        <v>10098.474</v>
      </c>
    </row>
    <row r="11846">
      <c r="A11846" s="42">
        <f>_xlfn.XLOOKUP(80380,Trip[shape_id],Trip[shape_id],"Não encontrado")</f>
        <v/>
      </c>
      <c r="B11846" s="43" t="n">
        <v>-23.546755</v>
      </c>
      <c r="C11846" s="43" t="n">
        <v>-46.555464</v>
      </c>
      <c r="D11846" s="43" t="n">
        <v>362</v>
      </c>
      <c r="E11846" s="44" t="n">
        <v>10235.979</v>
      </c>
    </row>
    <row r="11847">
      <c r="A11847" s="39">
        <f>_xlfn.XLOOKUP(80380,Trip[shape_id],Trip[shape_id],"Não encontrado")</f>
        <v/>
      </c>
      <c r="B11847" s="40" t="n">
        <v>-23.545687</v>
      </c>
      <c r="C11847" s="40" t="n">
        <v>-46.555757</v>
      </c>
      <c r="D11847" s="40" t="n">
        <v>363</v>
      </c>
      <c r="E11847" s="41" t="n">
        <v>10357.987</v>
      </c>
    </row>
    <row r="11848">
      <c r="A11848" s="42">
        <f>_xlfn.XLOOKUP(80380,Trip[shape_id],Trip[shape_id],"Não encontrado")</f>
        <v/>
      </c>
      <c r="B11848" s="43" t="n">
        <v>-23.546192</v>
      </c>
      <c r="C11848" s="43" t="n">
        <v>-46.558165</v>
      </c>
      <c r="D11848" s="43" t="n">
        <v>364</v>
      </c>
      <c r="E11848" s="44" t="n">
        <v>10610.139</v>
      </c>
    </row>
    <row r="11849">
      <c r="A11849" s="39">
        <f>_xlfn.XLOOKUP(80380,Trip[shape_id],Trip[shape_id],"Não encontrado")</f>
        <v/>
      </c>
      <c r="B11849" s="40" t="n">
        <v>-23.545156</v>
      </c>
      <c r="C11849" s="40" t="n">
        <v>-46.558424</v>
      </c>
      <c r="D11849" s="40" t="n">
        <v>365</v>
      </c>
      <c r="E11849" s="41" t="n">
        <v>10727.886</v>
      </c>
    </row>
    <row r="11850">
      <c r="A11850" s="42">
        <f>_xlfn.XLOOKUP(80380,Trip[shape_id],Trip[shape_id],"Não encontrado")</f>
        <v/>
      </c>
      <c r="B11850" s="43" t="n">
        <v>-23.544132</v>
      </c>
      <c r="C11850" s="43" t="n">
        <v>-46.558649</v>
      </c>
      <c r="D11850" s="43" t="n">
        <v>366</v>
      </c>
      <c r="E11850" s="44" t="n">
        <v>10843.599</v>
      </c>
    </row>
    <row r="11851">
      <c r="A11851" s="39">
        <f>_xlfn.XLOOKUP(80380,Trip[shape_id],Trip[shape_id],"Não encontrado")</f>
        <v/>
      </c>
      <c r="B11851" s="40" t="n">
        <v>-23.543814</v>
      </c>
      <c r="C11851" s="40" t="n">
        <v>-46.558726</v>
      </c>
      <c r="D11851" s="40" t="n">
        <v>367</v>
      </c>
      <c r="E11851" s="41" t="n">
        <v>10879.685</v>
      </c>
    </row>
    <row r="11852">
      <c r="A11852" s="42">
        <f>_xlfn.XLOOKUP(80380,Trip[shape_id],Trip[shape_id],"Não encontrado")</f>
        <v/>
      </c>
      <c r="B11852" s="43" t="n">
        <v>-23.543633</v>
      </c>
      <c r="C11852" s="43" t="n">
        <v>-46.558773</v>
      </c>
      <c r="D11852" s="43" t="n">
        <v>368</v>
      </c>
      <c r="E11852" s="44" t="n">
        <v>10900.297</v>
      </c>
    </row>
    <row r="11853">
      <c r="A11853" s="39">
        <f>_xlfn.XLOOKUP(80380,Trip[shape_id],Trip[shape_id],"Não encontrado")</f>
        <v/>
      </c>
      <c r="B11853" s="40" t="n">
        <v>-23.543114</v>
      </c>
      <c r="C11853" s="40" t="n">
        <v>-46.558902</v>
      </c>
      <c r="D11853" s="40" t="n">
        <v>369</v>
      </c>
      <c r="E11853" s="41" t="n">
        <v>10959.267</v>
      </c>
    </row>
    <row r="11854">
      <c r="A11854" s="42">
        <f>_xlfn.XLOOKUP(80380,Trip[shape_id],Trip[shape_id],"Não encontrado")</f>
        <v/>
      </c>
      <c r="B11854" s="43" t="n">
        <v>-23.542597</v>
      </c>
      <c r="C11854" s="43" t="n">
        <v>-46.559017</v>
      </c>
      <c r="D11854" s="43" t="n">
        <v>370</v>
      </c>
      <c r="E11854" s="44" t="n">
        <v>11017.717</v>
      </c>
    </row>
    <row r="11855">
      <c r="A11855" s="39">
        <f>_xlfn.XLOOKUP(80380,Trip[shape_id],Trip[shape_id],"Não encontrado")</f>
        <v/>
      </c>
      <c r="B11855" s="40" t="n">
        <v>-23.54208</v>
      </c>
      <c r="C11855" s="40" t="n">
        <v>-46.559133</v>
      </c>
      <c r="D11855" s="40" t="n">
        <v>371</v>
      </c>
      <c r="E11855" s="41" t="n">
        <v>11076.188</v>
      </c>
    </row>
    <row r="11856">
      <c r="A11856" s="42">
        <f>_xlfn.XLOOKUP(80380,Trip[shape_id],Trip[shape_id],"Não encontrado")</f>
        <v/>
      </c>
      <c r="B11856" s="43" t="n">
        <v>-23.542166</v>
      </c>
      <c r="C11856" s="43" t="n">
        <v>-46.559577</v>
      </c>
      <c r="D11856" s="43" t="n">
        <v>372</v>
      </c>
      <c r="E11856" s="44" t="n">
        <v>11122.514</v>
      </c>
    </row>
    <row r="11857">
      <c r="A11857" s="39">
        <f>_xlfn.XLOOKUP(80380,Trip[shape_id],Trip[shape_id],"Não encontrado")</f>
        <v/>
      </c>
      <c r="B11857" s="40" t="n">
        <v>-23.542236</v>
      </c>
      <c r="C11857" s="40" t="n">
        <v>-46.559965</v>
      </c>
      <c r="D11857" s="40" t="n">
        <v>373</v>
      </c>
      <c r="E11857" s="41" t="n">
        <v>11162.883</v>
      </c>
    </row>
    <row r="11858">
      <c r="A11858" s="42">
        <f>_xlfn.XLOOKUP(80380,Trip[shape_id],Trip[shape_id],"Não encontrado")</f>
        <v/>
      </c>
      <c r="B11858" s="43" t="n">
        <v>-23.542438</v>
      </c>
      <c r="C11858" s="43" t="n">
        <v>-46.56098</v>
      </c>
      <c r="D11858" s="43" t="n">
        <v>374</v>
      </c>
      <c r="E11858" s="44" t="n">
        <v>11268.91</v>
      </c>
    </row>
    <row r="11859">
      <c r="A11859" s="39">
        <f>_xlfn.XLOOKUP(80380,Trip[shape_id],Trip[shape_id],"Não encontrado")</f>
        <v/>
      </c>
      <c r="B11859" s="40" t="n">
        <v>-23.542571</v>
      </c>
      <c r="C11859" s="40" t="n">
        <v>-46.561657</v>
      </c>
      <c r="D11859" s="40" t="n">
        <v>375</v>
      </c>
      <c r="E11859" s="41" t="n">
        <v>11339.589</v>
      </c>
    </row>
    <row r="11860">
      <c r="A11860" s="42">
        <f>_xlfn.XLOOKUP(80380,Trip[shape_id],Trip[shape_id],"Não encontrado")</f>
        <v/>
      </c>
      <c r="B11860" s="43" t="n">
        <v>-23.542806</v>
      </c>
      <c r="C11860" s="43" t="n">
        <v>-46.562845</v>
      </c>
      <c r="D11860" s="43" t="n">
        <v>376</v>
      </c>
      <c r="E11860" s="44" t="n">
        <v>11463.654</v>
      </c>
    </row>
    <row r="11861">
      <c r="A11861" s="39">
        <f>_xlfn.XLOOKUP(80380,Trip[shape_id],Trip[shape_id],"Não encontrado")</f>
        <v/>
      </c>
      <c r="B11861" s="40" t="n">
        <v>-23.542963</v>
      </c>
      <c r="C11861" s="40" t="n">
        <v>-46.563626</v>
      </c>
      <c r="D11861" s="40" t="n">
        <v>377</v>
      </c>
      <c r="E11861" s="41" t="n">
        <v>11545.274</v>
      </c>
    </row>
    <row r="11862">
      <c r="A11862" s="42">
        <f>_xlfn.XLOOKUP(80380,Trip[shape_id],Trip[shape_id],"Não encontrado")</f>
        <v/>
      </c>
      <c r="B11862" s="43" t="n">
        <v>-23.54308</v>
      </c>
      <c r="C11862" s="43" t="n">
        <v>-46.564217</v>
      </c>
      <c r="D11862" s="43" t="n">
        <v>378</v>
      </c>
      <c r="E11862" s="44" t="n">
        <v>11606.996</v>
      </c>
    </row>
    <row r="11863">
      <c r="A11863" s="39">
        <f>_xlfn.XLOOKUP(80380,Trip[shape_id],Trip[shape_id],"Não encontrado")</f>
        <v/>
      </c>
      <c r="B11863" s="40" t="n">
        <v>-23.543238</v>
      </c>
      <c r="C11863" s="40" t="n">
        <v>-46.565017</v>
      </c>
      <c r="D11863" s="40" t="n">
        <v>379</v>
      </c>
      <c r="E11863" s="41" t="n">
        <v>11690.535</v>
      </c>
    </row>
    <row r="11864">
      <c r="A11864" s="42">
        <f>_xlfn.XLOOKUP(80380,Trip[shape_id],Trip[shape_id],"Não encontrado")</f>
        <v/>
      </c>
      <c r="B11864" s="43" t="n">
        <v>-23.543398</v>
      </c>
      <c r="C11864" s="43" t="n">
        <v>-46.565801</v>
      </c>
      <c r="D11864" s="43" t="n">
        <v>380</v>
      </c>
      <c r="E11864" s="44" t="n">
        <v>11772.525</v>
      </c>
    </row>
    <row r="11865">
      <c r="A11865" s="39">
        <f>_xlfn.XLOOKUP(80380,Trip[shape_id],Trip[shape_id],"Não encontrado")</f>
        <v/>
      </c>
      <c r="B11865" s="40" t="n">
        <v>-23.543587</v>
      </c>
      <c r="C11865" s="40" t="n">
        <v>-46.566755</v>
      </c>
      <c r="D11865" s="40" t="n">
        <v>381</v>
      </c>
      <c r="E11865" s="41" t="n">
        <v>11872.159</v>
      </c>
    </row>
    <row r="11866">
      <c r="A11866" s="42">
        <f>_xlfn.XLOOKUP(80380,Trip[shape_id],Trip[shape_id],"Não encontrado")</f>
        <v/>
      </c>
      <c r="B11866" s="43" t="n">
        <v>-23.543435</v>
      </c>
      <c r="C11866" s="43" t="n">
        <v>-46.566793</v>
      </c>
      <c r="D11866" s="43" t="n">
        <v>382</v>
      </c>
      <c r="E11866" s="44" t="n">
        <v>11889.435</v>
      </c>
    </row>
    <row r="11867">
      <c r="A11867" s="39">
        <f>_xlfn.XLOOKUP(80380,Trip[shape_id],Trip[shape_id],"Não encontrado")</f>
        <v/>
      </c>
      <c r="B11867" s="40" t="n">
        <v>-23.543386</v>
      </c>
      <c r="C11867" s="40" t="n">
        <v>-46.566803</v>
      </c>
      <c r="D11867" s="40" t="n">
        <v>383</v>
      </c>
      <c r="E11867" s="41" t="n">
        <v>11894.956</v>
      </c>
    </row>
    <row r="11868">
      <c r="A11868" s="42">
        <f>_xlfn.XLOOKUP(80380,Trip[shape_id],Trip[shape_id],"Não encontrado")</f>
        <v/>
      </c>
      <c r="B11868" s="43" t="n">
        <v>-23.543067</v>
      </c>
      <c r="C11868" s="43" t="n">
        <v>-46.566881</v>
      </c>
      <c r="D11868" s="43" t="n">
        <v>384</v>
      </c>
      <c r="E11868" s="44" t="n">
        <v>11931.173</v>
      </c>
    </row>
    <row r="11869">
      <c r="A11869" s="39">
        <f>_xlfn.XLOOKUP(80380,Trip[shape_id],Trip[shape_id],"Não encontrado")</f>
        <v/>
      </c>
      <c r="B11869" s="40" t="n">
        <v>-23.543267</v>
      </c>
      <c r="C11869" s="40" t="n">
        <v>-46.567942</v>
      </c>
      <c r="D11869" s="40" t="n">
        <v>385</v>
      </c>
      <c r="E11869" s="41" t="n">
        <v>12041.75</v>
      </c>
    </row>
    <row r="11870">
      <c r="A11870" s="42">
        <f>_xlfn.XLOOKUP(80380,Trip[shape_id],Trip[shape_id],"Não encontrado")</f>
        <v/>
      </c>
      <c r="B11870" s="43" t="n">
        <v>-23.543566</v>
      </c>
      <c r="C11870" s="43" t="n">
        <v>-46.569443</v>
      </c>
      <c r="D11870" s="43" t="n">
        <v>386</v>
      </c>
      <c r="E11870" s="44" t="n">
        <v>12198.55</v>
      </c>
    </row>
    <row r="11871">
      <c r="A11871" s="39">
        <f>_xlfn.XLOOKUP(80380,Trip[shape_id],Trip[shape_id],"Não encontrado")</f>
        <v/>
      </c>
      <c r="B11871" s="40" t="n">
        <v>-23.543682</v>
      </c>
      <c r="C11871" s="40" t="n">
        <v>-46.570073</v>
      </c>
      <c r="D11871" s="40" t="n">
        <v>387</v>
      </c>
      <c r="E11871" s="41" t="n">
        <v>12264.147</v>
      </c>
    </row>
    <row r="11872">
      <c r="A11872" s="42">
        <f>_xlfn.XLOOKUP(80380,Trip[shape_id],Trip[shape_id],"Não encontrado")</f>
        <v/>
      </c>
      <c r="B11872" s="43" t="n">
        <v>-23.543718</v>
      </c>
      <c r="C11872" s="43" t="n">
        <v>-46.570252</v>
      </c>
      <c r="D11872" s="43" t="n">
        <v>388</v>
      </c>
      <c r="E11872" s="44" t="n">
        <v>12282.854</v>
      </c>
    </row>
    <row r="11873">
      <c r="A11873" s="39">
        <f>_xlfn.XLOOKUP(80380,Trip[shape_id],Trip[shape_id],"Não encontrado")</f>
        <v/>
      </c>
      <c r="B11873" s="40" t="n">
        <v>-23.54374</v>
      </c>
      <c r="C11873" s="40" t="n">
        <v>-46.570326</v>
      </c>
      <c r="D11873" s="40" t="n">
        <v>389</v>
      </c>
      <c r="E11873" s="41" t="n">
        <v>12290.794</v>
      </c>
    </row>
    <row r="11874">
      <c r="A11874" s="42">
        <f>_xlfn.XLOOKUP(80380,Trip[shape_id],Trip[shape_id],"Não encontrado")</f>
        <v/>
      </c>
      <c r="B11874" s="43" t="n">
        <v>-23.543767</v>
      </c>
      <c r="C11874" s="43" t="n">
        <v>-46.570411</v>
      </c>
      <c r="D11874" s="43" t="n">
        <v>390</v>
      </c>
      <c r="E11874" s="44" t="n">
        <v>12299.974</v>
      </c>
    </row>
    <row r="11875">
      <c r="A11875" s="39">
        <f>_xlfn.XLOOKUP(80380,Trip[shape_id],Trip[shape_id],"Não encontrado")</f>
        <v/>
      </c>
      <c r="B11875" s="40" t="n">
        <v>-23.543782</v>
      </c>
      <c r="C11875" s="40" t="n">
        <v>-46.570572</v>
      </c>
      <c r="D11875" s="40" t="n">
        <v>391</v>
      </c>
      <c r="E11875" s="41" t="n">
        <v>12316.497</v>
      </c>
    </row>
    <row r="11876">
      <c r="A11876" s="42">
        <f>_xlfn.XLOOKUP(80380,Trip[shape_id],Trip[shape_id],"Não encontrado")</f>
        <v/>
      </c>
      <c r="B11876" s="43" t="n">
        <v>-23.543844</v>
      </c>
      <c r="C11876" s="43" t="n">
        <v>-46.570895</v>
      </c>
      <c r="D11876" s="43" t="n">
        <v>392</v>
      </c>
      <c r="E11876" s="44" t="n">
        <v>12350.186</v>
      </c>
    </row>
    <row r="11877">
      <c r="A11877" s="39">
        <f>_xlfn.XLOOKUP(80380,Trip[shape_id],Trip[shape_id],"Não encontrado")</f>
        <v/>
      </c>
      <c r="B11877" s="40" t="n">
        <v>-23.543945</v>
      </c>
      <c r="C11877" s="40" t="n">
        <v>-46.571429</v>
      </c>
      <c r="D11877" s="40" t="n">
        <v>393</v>
      </c>
      <c r="E11877" s="41" t="n">
        <v>12405.847</v>
      </c>
    </row>
    <row r="11878">
      <c r="A11878" s="42">
        <f>_xlfn.XLOOKUP(80380,Trip[shape_id],Trip[shape_id],"Não encontrado")</f>
        <v/>
      </c>
      <c r="B11878" s="43" t="n">
        <v>-23.544056</v>
      </c>
      <c r="C11878" s="43" t="n">
        <v>-46.571985</v>
      </c>
      <c r="D11878" s="43" t="n">
        <v>394</v>
      </c>
      <c r="E11878" s="44" t="n">
        <v>12463.934</v>
      </c>
    </row>
    <row r="11879">
      <c r="A11879" s="39">
        <f>_xlfn.XLOOKUP(80380,Trip[shape_id],Trip[shape_id],"Não encontrado")</f>
        <v/>
      </c>
      <c r="B11879" s="40" t="n">
        <v>-23.544125</v>
      </c>
      <c r="C11879" s="40" t="n">
        <v>-46.572333</v>
      </c>
      <c r="D11879" s="40" t="n">
        <v>395</v>
      </c>
      <c r="E11879" s="41" t="n">
        <v>12500.279</v>
      </c>
    </row>
    <row r="11880">
      <c r="A11880" s="42">
        <f>_xlfn.XLOOKUP(80380,Trip[shape_id],Trip[shape_id],"Não encontrado")</f>
        <v/>
      </c>
      <c r="B11880" s="43" t="n">
        <v>-23.544218</v>
      </c>
      <c r="C11880" s="43" t="n">
        <v>-46.572843</v>
      </c>
      <c r="D11880" s="43" t="n">
        <v>396</v>
      </c>
      <c r="E11880" s="44" t="n">
        <v>12553.362</v>
      </c>
    </row>
    <row r="11881">
      <c r="A11881" s="39">
        <f>_xlfn.XLOOKUP(80380,Trip[shape_id],Trip[shape_id],"Não encontrado")</f>
        <v/>
      </c>
      <c r="B11881" s="40" t="n">
        <v>-23.544915</v>
      </c>
      <c r="C11881" s="40" t="n">
        <v>-46.572707</v>
      </c>
      <c r="D11881" s="40" t="n">
        <v>397</v>
      </c>
      <c r="E11881" s="41" t="n">
        <v>12631.795</v>
      </c>
    </row>
    <row r="11882">
      <c r="A11882" s="42">
        <f>_xlfn.XLOOKUP(80380,Trip[shape_id],Trip[shape_id],"Não encontrado")</f>
        <v/>
      </c>
      <c r="B11882" s="43" t="n">
        <v>-23.544948</v>
      </c>
      <c r="C11882" s="43" t="n">
        <v>-46.572875</v>
      </c>
      <c r="D11882" s="43" t="n">
        <v>398</v>
      </c>
      <c r="E11882" s="44" t="n">
        <v>12649.334</v>
      </c>
    </row>
    <row r="11883">
      <c r="A11883" s="39">
        <f>_xlfn.XLOOKUP(80380,Trip[shape_id],Trip[shape_id],"Não encontrado")</f>
        <v/>
      </c>
      <c r="B11883" s="40" t="n">
        <v>-23.54505</v>
      </c>
      <c r="C11883" s="40" t="n">
        <v>-46.573422</v>
      </c>
      <c r="D11883" s="40" t="n">
        <v>399</v>
      </c>
      <c r="E11883" s="41" t="n">
        <v>12706.317</v>
      </c>
    </row>
    <row r="11884">
      <c r="A11884" s="42">
        <f>_xlfn.XLOOKUP(80380,Trip[shape_id],Trip[shape_id],"Não encontrado")</f>
        <v/>
      </c>
      <c r="B11884" s="43" t="n">
        <v>-23.545134</v>
      </c>
      <c r="C11884" s="43" t="n">
        <v>-46.573853</v>
      </c>
      <c r="D11884" s="43" t="n">
        <v>400</v>
      </c>
      <c r="E11884" s="44" t="n">
        <v>12751.298</v>
      </c>
    </row>
    <row r="11885">
      <c r="A11885" s="39">
        <f>_xlfn.XLOOKUP(80380,Trip[shape_id],Trip[shape_id],"Não encontrado")</f>
        <v/>
      </c>
      <c r="B11885" s="40" t="n">
        <v>-23.545168</v>
      </c>
      <c r="C11885" s="40" t="n">
        <v>-46.574035</v>
      </c>
      <c r="D11885" s="40" t="n">
        <v>401</v>
      </c>
      <c r="E11885" s="41" t="n">
        <v>12770.259</v>
      </c>
    </row>
    <row r="11886">
      <c r="A11886" s="42">
        <f>_xlfn.XLOOKUP(80380,Trip[shape_id],Trip[shape_id],"Não encontrado")</f>
        <v/>
      </c>
      <c r="B11886" s="43" t="n">
        <v>-23.545178</v>
      </c>
      <c r="C11886" s="43" t="n">
        <v>-46.574072</v>
      </c>
      <c r="D11886" s="43" t="n">
        <v>402</v>
      </c>
      <c r="E11886" s="44" t="n">
        <v>12774.195</v>
      </c>
    </row>
    <row r="11887">
      <c r="A11887" s="39">
        <f>_xlfn.XLOOKUP(80380,Trip[shape_id],Trip[shape_id],"Não encontrado")</f>
        <v/>
      </c>
      <c r="B11887" s="40" t="n">
        <v>-23.545183</v>
      </c>
      <c r="C11887" s="40" t="n">
        <v>-46.574112</v>
      </c>
      <c r="D11887" s="40" t="n">
        <v>403</v>
      </c>
      <c r="E11887" s="41" t="n">
        <v>12778.316</v>
      </c>
    </row>
    <row r="11888">
      <c r="A11888" s="42">
        <f>_xlfn.XLOOKUP(80380,Trip[shape_id],Trip[shape_id],"Não encontrado")</f>
        <v/>
      </c>
      <c r="B11888" s="43" t="n">
        <v>-23.545237</v>
      </c>
      <c r="C11888" s="43" t="n">
        <v>-46.574395</v>
      </c>
      <c r="D11888" s="43" t="n">
        <v>404</v>
      </c>
      <c r="E11888" s="44" t="n">
        <v>12807.825</v>
      </c>
    </row>
    <row r="11889">
      <c r="A11889" s="39">
        <f>_xlfn.XLOOKUP(80380,Trip[shape_id],Trip[shape_id],"Não encontrado")</f>
        <v/>
      </c>
      <c r="B11889" s="40" t="n">
        <v>-23.545355</v>
      </c>
      <c r="C11889" s="40" t="n">
        <v>-46.575025</v>
      </c>
      <c r="D11889" s="40" t="n">
        <v>405</v>
      </c>
      <c r="E11889" s="41" t="n">
        <v>12873.466</v>
      </c>
    </row>
    <row r="11890">
      <c r="A11890" s="42">
        <f>_xlfn.XLOOKUP(80380,Trip[shape_id],Trip[shape_id],"Não encontrado")</f>
        <v/>
      </c>
      <c r="B11890" s="43" t="n">
        <v>-23.545375</v>
      </c>
      <c r="C11890" s="43" t="n">
        <v>-46.575124</v>
      </c>
      <c r="D11890" s="43" t="n">
        <v>406</v>
      </c>
      <c r="E11890" s="44" t="n">
        <v>12883.814</v>
      </c>
    </row>
    <row r="11891">
      <c r="A11891" s="39">
        <f>_xlfn.XLOOKUP(80380,Trip[shape_id],Trip[shape_id],"Não encontrado")</f>
        <v/>
      </c>
      <c r="B11891" s="40" t="n">
        <v>-23.54539</v>
      </c>
      <c r="C11891" s="40" t="n">
        <v>-46.575198</v>
      </c>
      <c r="D11891" s="40" t="n">
        <v>407</v>
      </c>
      <c r="E11891" s="41" t="n">
        <v>12891.551</v>
      </c>
    </row>
    <row r="11892">
      <c r="A11892" s="42">
        <f>_xlfn.XLOOKUP(80380,Trip[shape_id],Trip[shape_id],"Não encontrado")</f>
        <v/>
      </c>
      <c r="B11892" s="43" t="n">
        <v>-23.545384</v>
      </c>
      <c r="C11892" s="43" t="n">
        <v>-46.575288</v>
      </c>
      <c r="D11892" s="43" t="n">
        <v>408</v>
      </c>
      <c r="E11892" s="44" t="n">
        <v>12900.765</v>
      </c>
    </row>
    <row r="11893">
      <c r="A11893" s="39">
        <f>_xlfn.XLOOKUP(80380,Trip[shape_id],Trip[shape_id],"Não encontrado")</f>
        <v/>
      </c>
      <c r="B11893" s="40" t="n">
        <v>-23.545353</v>
      </c>
      <c r="C11893" s="40" t="n">
        <v>-46.575383</v>
      </c>
      <c r="D11893" s="40" t="n">
        <v>409</v>
      </c>
      <c r="E11893" s="41" t="n">
        <v>12911.054</v>
      </c>
    </row>
    <row r="11894">
      <c r="A11894" s="42">
        <f>_xlfn.XLOOKUP(80380,Trip[shape_id],Trip[shape_id],"Não encontrado")</f>
        <v/>
      </c>
      <c r="B11894" s="43" t="n">
        <v>-23.545347</v>
      </c>
      <c r="C11894" s="43" t="n">
        <v>-46.575398</v>
      </c>
      <c r="D11894" s="43" t="n">
        <v>410</v>
      </c>
      <c r="E11894" s="44" t="n">
        <v>12912.721</v>
      </c>
    </row>
    <row r="11895">
      <c r="A11895" s="39">
        <f>_xlfn.XLOOKUP(80380,Trip[shape_id],Trip[shape_id],"Não encontrado")</f>
        <v/>
      </c>
      <c r="B11895" s="40" t="n">
        <v>-23.545227</v>
      </c>
      <c r="C11895" s="40" t="n">
        <v>-46.57558</v>
      </c>
      <c r="D11895" s="40" t="n">
        <v>411</v>
      </c>
      <c r="E11895" s="41" t="n">
        <v>12935.567</v>
      </c>
    </row>
    <row r="11896">
      <c r="A11896" s="42">
        <f>_xlfn.XLOOKUP(80380,Trip[shape_id],Trip[shape_id],"Não encontrado")</f>
        <v/>
      </c>
      <c r="B11896" s="43" t="n">
        <v>-23.54519</v>
      </c>
      <c r="C11896" s="43" t="n">
        <v>-46.575639</v>
      </c>
      <c r="D11896" s="43" t="n">
        <v>412</v>
      </c>
      <c r="E11896" s="44" t="n">
        <v>12942.854</v>
      </c>
    </row>
    <row r="11897">
      <c r="A11897" s="39">
        <f>_xlfn.XLOOKUP(80380,Trip[shape_id],Trip[shape_id],"Não encontrado")</f>
        <v/>
      </c>
      <c r="B11897" s="40" t="n">
        <v>-23.544686</v>
      </c>
      <c r="C11897" s="40" t="n">
        <v>-46.576471</v>
      </c>
      <c r="D11897" s="40" t="n">
        <v>413</v>
      </c>
      <c r="E11897" s="41" t="n">
        <v>13044.503</v>
      </c>
    </row>
    <row r="11898">
      <c r="A11898" s="42">
        <f>_xlfn.XLOOKUP(80380,Trip[shape_id],Trip[shape_id],"Não encontrado")</f>
        <v/>
      </c>
      <c r="B11898" s="43" t="n">
        <v>-23.544018</v>
      </c>
      <c r="C11898" s="43" t="n">
        <v>-46.576641</v>
      </c>
      <c r="D11898" s="43" t="n">
        <v>414</v>
      </c>
      <c r="E11898" s="44" t="n">
        <v>13120.494</v>
      </c>
    </row>
    <row r="11899">
      <c r="A11899" s="39">
        <f>_xlfn.XLOOKUP(80380,Trip[shape_id],Trip[shape_id],"Não encontrado")</f>
        <v/>
      </c>
      <c r="B11899" s="40" t="n">
        <v>-23.54301</v>
      </c>
      <c r="C11899" s="40" t="n">
        <v>-46.576888</v>
      </c>
      <c r="D11899" s="40" t="n">
        <v>415</v>
      </c>
      <c r="E11899" s="41" t="n">
        <v>13234.945</v>
      </c>
    </row>
    <row r="11900">
      <c r="A11900" s="42">
        <f>_xlfn.XLOOKUP(80380,Trip[shape_id],Trip[shape_id],"Não encontrado")</f>
        <v/>
      </c>
      <c r="B11900" s="43" t="n">
        <v>-23.54252</v>
      </c>
      <c r="C11900" s="43" t="n">
        <v>-46.577004</v>
      </c>
      <c r="D11900" s="43" t="n">
        <v>416</v>
      </c>
      <c r="E11900" s="44" t="n">
        <v>13290.491</v>
      </c>
    </row>
    <row r="11901">
      <c r="A11901" s="39">
        <f>_xlfn.XLOOKUP(80380,Trip[shape_id],Trip[shape_id],"Não encontrado")</f>
        <v/>
      </c>
      <c r="B11901" s="40" t="n">
        <v>-23.542287</v>
      </c>
      <c r="C11901" s="40" t="n">
        <v>-46.57706</v>
      </c>
      <c r="D11901" s="40" t="n">
        <v>417</v>
      </c>
      <c r="E11901" s="41" t="n">
        <v>13316.923</v>
      </c>
    </row>
    <row r="11902">
      <c r="A11902" s="42">
        <f>_xlfn.XLOOKUP(80380,Trip[shape_id],Trip[shape_id],"Não encontrado")</f>
        <v/>
      </c>
      <c r="B11902" s="43" t="n">
        <v>-23.542237</v>
      </c>
      <c r="C11902" s="43" t="n">
        <v>-46.577092</v>
      </c>
      <c r="D11902" s="43" t="n">
        <v>418</v>
      </c>
      <c r="E11902" s="44" t="n">
        <v>13323.353</v>
      </c>
    </row>
    <row r="11903">
      <c r="A11903" s="39">
        <f>_xlfn.XLOOKUP(80380,Trip[shape_id],Trip[shape_id],"Não encontrado")</f>
        <v/>
      </c>
      <c r="B11903" s="40" t="n">
        <v>-23.542224</v>
      </c>
      <c r="C11903" s="40" t="n">
        <v>-46.577119</v>
      </c>
      <c r="D11903" s="40" t="n">
        <v>419</v>
      </c>
      <c r="E11903" s="41" t="n">
        <v>13326.463</v>
      </c>
    </row>
    <row r="11904">
      <c r="A11904" s="42">
        <f>_xlfn.XLOOKUP(80380,Trip[shape_id],Trip[shape_id],"Não encontrado")</f>
        <v/>
      </c>
      <c r="B11904" s="43" t="n">
        <v>-23.542214</v>
      </c>
      <c r="C11904" s="43" t="n">
        <v>-46.577152</v>
      </c>
      <c r="D11904" s="43" t="n">
        <v>420</v>
      </c>
      <c r="E11904" s="44" t="n">
        <v>13330.011</v>
      </c>
    </row>
    <row r="11905">
      <c r="A11905" s="39">
        <f>_xlfn.XLOOKUP(80380,Trip[shape_id],Trip[shape_id],"Não encontrado")</f>
        <v/>
      </c>
      <c r="B11905" s="40" t="n">
        <v>-23.542403</v>
      </c>
      <c r="C11905" s="40" t="n">
        <v>-46.577988</v>
      </c>
      <c r="D11905" s="40" t="n">
        <v>421</v>
      </c>
      <c r="E11905" s="41" t="n">
        <v>13417.902</v>
      </c>
    </row>
    <row r="11906">
      <c r="A11906" s="42">
        <f>_xlfn.XLOOKUP(80380,Trip[shape_id],Trip[shape_id],"Não encontrado")</f>
        <v/>
      </c>
      <c r="B11906" s="43" t="n">
        <v>-23.542355</v>
      </c>
      <c r="C11906" s="43" t="n">
        <v>-46.578038</v>
      </c>
      <c r="D11906" s="43" t="n">
        <v>422</v>
      </c>
      <c r="E11906" s="44" t="n">
        <v>13431.58</v>
      </c>
    </row>
    <row r="11907">
      <c r="A11907" s="39">
        <f>_xlfn.XLOOKUP(80380,Trip[shape_id],Trip[shape_id],"Não encontrado")</f>
        <v/>
      </c>
      <c r="B11907" s="40" t="n">
        <v>-23.542317</v>
      </c>
      <c r="C11907" s="40" t="n">
        <v>-46.578084</v>
      </c>
      <c r="D11907" s="40" t="n">
        <v>423</v>
      </c>
      <c r="E11907" s="41" t="n">
        <v>13456.692</v>
      </c>
    </row>
    <row r="11908">
      <c r="A11908" s="42">
        <f>_xlfn.XLOOKUP(80380,Trip[shape_id],Trip[shape_id],"Não encontrado")</f>
        <v/>
      </c>
      <c r="B11908" s="43" t="n">
        <v>-23.542096</v>
      </c>
      <c r="C11908" s="43" t="n">
        <v>-46.578139</v>
      </c>
      <c r="D11908" s="43" t="n">
        <v>424</v>
      </c>
      <c r="E11908" s="44" t="n">
        <v>13514.814</v>
      </c>
    </row>
    <row r="11909">
      <c r="A11909" s="39">
        <f>_xlfn.XLOOKUP(80380,Trip[shape_id],Trip[shape_id],"Não encontrado")</f>
        <v/>
      </c>
      <c r="B11909" s="40" t="n">
        <v>-23.541583</v>
      </c>
      <c r="C11909" s="40" t="n">
        <v>-46.578259</v>
      </c>
      <c r="D11909" s="40" t="n">
        <v>425</v>
      </c>
      <c r="E11909" s="41" t="n">
        <v>13514.814</v>
      </c>
    </row>
    <row r="11910">
      <c r="A11910" s="42">
        <f>_xlfn.XLOOKUP(80380,Trip[shape_id],Trip[shape_id],"Não encontrado")</f>
        <v/>
      </c>
      <c r="B11910" s="43" t="n">
        <v>-23.541508</v>
      </c>
      <c r="C11910" s="43" t="n">
        <v>-46.578298</v>
      </c>
      <c r="D11910" s="43" t="n">
        <v>426</v>
      </c>
      <c r="E11910" s="44" t="n">
        <v>13524.026</v>
      </c>
    </row>
    <row r="11911">
      <c r="A11911" s="39">
        <f>_xlfn.XLOOKUP(80380,Trip[shape_id],Trip[shape_id],"Não encontrado")</f>
        <v/>
      </c>
      <c r="B11911" s="40" t="n">
        <v>-23.541461</v>
      </c>
      <c r="C11911" s="40" t="n">
        <v>-46.578066</v>
      </c>
      <c r="D11911" s="40" t="n">
        <v>427</v>
      </c>
      <c r="E11911" s="41" t="n">
        <v>13602.946</v>
      </c>
    </row>
    <row r="11912">
      <c r="A11912" s="42">
        <f>_xlfn.XLOOKUP(80380,Trip[shape_id],Trip[shape_id],"Não encontrado")</f>
        <v/>
      </c>
      <c r="B11912" s="43" t="n">
        <v>-23.541273</v>
      </c>
      <c r="C11912" s="43" t="n">
        <v>-46.577571</v>
      </c>
      <c r="D11912" s="43" t="n">
        <v>428</v>
      </c>
      <c r="E11912" s="44" t="n">
        <v>13636.07</v>
      </c>
    </row>
    <row r="11913">
      <c r="A11913" s="39">
        <f>_xlfn.XLOOKUP(80380,Trip[shape_id],Trip[shape_id],"Não encontrado")</f>
        <v/>
      </c>
      <c r="B11913" s="40" t="n">
        <v>-23.541157</v>
      </c>
      <c r="C11913" s="40" t="n">
        <v>-46.577272</v>
      </c>
      <c r="D11913" s="40" t="n">
        <v>429</v>
      </c>
      <c r="E11913" s="41" t="n">
        <v>13636.07</v>
      </c>
    </row>
    <row r="11914">
      <c r="A11914" s="42">
        <f>_xlfn.XLOOKUP(80380,Trip[shape_id],Trip[shape_id],"Não encontrado")</f>
        <v/>
      </c>
      <c r="B11914" s="43" t="n">
        <v>-23.541105</v>
      </c>
      <c r="C11914" s="43" t="n">
        <v>-46.577142</v>
      </c>
      <c r="D11914" s="43" t="n">
        <v>430</v>
      </c>
      <c r="E11914" s="44" t="n">
        <v>13661.712</v>
      </c>
    </row>
    <row r="11915">
      <c r="A11915" s="39">
        <f>_xlfn.XLOOKUP(80380,Trip[shape_id],Trip[shape_id],"Não encontrado")</f>
        <v/>
      </c>
      <c r="B11915" s="40" t="n">
        <v>-23.54108</v>
      </c>
      <c r="C11915" s="40" t="n">
        <v>-46.577036</v>
      </c>
      <c r="D11915" s="40" t="n">
        <v>431</v>
      </c>
      <c r="E11915" s="41" t="n">
        <v>13661.712</v>
      </c>
    </row>
    <row r="11916">
      <c r="A11916" s="42">
        <f>_xlfn.XLOOKUP(80380,Trip[shape_id],Trip[shape_id],"Não encontrado")</f>
        <v/>
      </c>
      <c r="B11916" s="43" t="n">
        <v>-23.54105</v>
      </c>
      <c r="C11916" s="43" t="n">
        <v>-46.576894</v>
      </c>
      <c r="D11916" s="43" t="n">
        <v>432</v>
      </c>
      <c r="E11916" s="44" t="n">
        <v>13676.587</v>
      </c>
    </row>
    <row r="11917">
      <c r="A11917" s="39">
        <f>_xlfn.XLOOKUP(80380,Trip[shape_id],Trip[shape_id],"Não encontrado")</f>
        <v/>
      </c>
      <c r="B11917" s="40" t="n">
        <v>-23.541028</v>
      </c>
      <c r="C11917" s="40" t="n">
        <v>-46.57678</v>
      </c>
      <c r="D11917" s="40" t="n">
        <v>433</v>
      </c>
      <c r="E11917" s="41" t="n">
        <v>13688.479</v>
      </c>
    </row>
    <row r="11918">
      <c r="A11918" s="42">
        <f>_xlfn.XLOOKUP(80380,Trip[shape_id],Trip[shape_id],"Não encontrado")</f>
        <v/>
      </c>
      <c r="B11918" s="43" t="n">
        <v>-23.541013</v>
      </c>
      <c r="C11918" s="43" t="n">
        <v>-46.576704</v>
      </c>
      <c r="D11918" s="43" t="n">
        <v>434</v>
      </c>
      <c r="E11918" s="44" t="n">
        <v>13696.415</v>
      </c>
    </row>
    <row r="11919">
      <c r="A11919" s="39">
        <f>_xlfn.XLOOKUP(80380,Trip[shape_id],Trip[shape_id],"Não encontrado")</f>
        <v/>
      </c>
      <c r="B11919" s="40" t="n">
        <v>-23.540987</v>
      </c>
      <c r="C11919" s="40" t="n">
        <v>-46.576582</v>
      </c>
      <c r="D11919" s="40" t="n">
        <v>435</v>
      </c>
      <c r="E11919" s="41" t="n">
        <v>13709.201</v>
      </c>
    </row>
    <row r="11920">
      <c r="A11920" s="42">
        <f>_xlfn.XLOOKUP(80380,Trip[shape_id],Trip[shape_id],"Não encontrado")</f>
        <v/>
      </c>
      <c r="B11920" s="43" t="n">
        <v>-23.540974</v>
      </c>
      <c r="C11920" s="43" t="n">
        <v>-46.576517</v>
      </c>
      <c r="D11920" s="43" t="n">
        <v>436</v>
      </c>
      <c r="E11920" s="44" t="n">
        <v>13715.993</v>
      </c>
    </row>
    <row r="11921">
      <c r="A11921" s="39">
        <f>_xlfn.XLOOKUP(80380,Trip[shape_id],Trip[shape_id],"Não encontrado")</f>
        <v/>
      </c>
      <c r="B11921" s="40" t="n">
        <v>-23.540951</v>
      </c>
      <c r="C11921" s="40" t="n">
        <v>-46.576406</v>
      </c>
      <c r="D11921" s="40" t="n">
        <v>437</v>
      </c>
      <c r="E11921" s="41" t="n">
        <v>13727.61</v>
      </c>
    </row>
    <row r="11922">
      <c r="A11922" s="42">
        <f>_xlfn.XLOOKUP(80380,Trip[shape_id],Trip[shape_id],"Não encontrado")</f>
        <v/>
      </c>
      <c r="B11922" s="43" t="n">
        <v>-23.54094</v>
      </c>
      <c r="C11922" s="43" t="n">
        <v>-46.576349</v>
      </c>
      <c r="D11922" s="43" t="n">
        <v>438</v>
      </c>
      <c r="E11922" s="44" t="n">
        <v>13733.558</v>
      </c>
    </row>
    <row r="11923">
      <c r="A11923" s="39">
        <f>_xlfn.XLOOKUP(80380,Trip[shape_id],Trip[shape_id],"Não encontrado")</f>
        <v/>
      </c>
      <c r="B11923" s="40" t="n">
        <v>-23.54092</v>
      </c>
      <c r="C11923" s="40" t="n">
        <v>-46.576254</v>
      </c>
      <c r="D11923" s="40" t="n">
        <v>439</v>
      </c>
      <c r="E11923" s="41" t="n">
        <v>13743.508</v>
      </c>
    </row>
    <row r="11924">
      <c r="A11924" s="42">
        <f>_xlfn.XLOOKUP(80388,Trip[shape_id],Trip[shape_id],"Não encontrado")</f>
        <v/>
      </c>
      <c r="B11924" s="43" t="n">
        <v>-23.55825</v>
      </c>
      <c r="C11924" s="43" t="n">
        <v>-46.52255</v>
      </c>
      <c r="D11924" s="43" t="n">
        <v>1</v>
      </c>
      <c r="E11924" s="44" t="n">
        <v>5.0448861</v>
      </c>
    </row>
    <row r="11925">
      <c r="A11925" s="39">
        <f>_xlfn.XLOOKUP(80388,Trip[shape_id],Trip[shape_id],"Não encontrado")</f>
        <v/>
      </c>
      <c r="B11925" s="40" t="n">
        <v>-23.558274</v>
      </c>
      <c r="C11925" s="40" t="n">
        <v>-46.522508</v>
      </c>
      <c r="D11925" s="40" t="n">
        <v>2</v>
      </c>
      <c r="E11925" s="41" t="n">
        <v>5.0448861</v>
      </c>
    </row>
    <row r="11926">
      <c r="A11926" s="42">
        <f>_xlfn.XLOOKUP(80388,Trip[shape_id],Trip[shape_id],"Não encontrado")</f>
        <v/>
      </c>
      <c r="B11926" s="43" t="n">
        <v>-23.558358</v>
      </c>
      <c r="C11926" s="43" t="n">
        <v>-46.522365</v>
      </c>
      <c r="D11926" s="43" t="n">
        <v>3</v>
      </c>
      <c r="E11926" s="44" t="n">
        <v>22.357012</v>
      </c>
    </row>
    <row r="11927">
      <c r="A11927" s="39">
        <f>_xlfn.XLOOKUP(80388,Trip[shape_id],Trip[shape_id],"Não encontrado")</f>
        <v/>
      </c>
      <c r="B11927" s="40" t="n">
        <v>-23.558393</v>
      </c>
      <c r="C11927" s="40" t="n">
        <v>-46.522305</v>
      </c>
      <c r="D11927" s="40" t="n">
        <v>4</v>
      </c>
      <c r="E11927" s="41" t="n">
        <v>29.606752</v>
      </c>
    </row>
    <row r="11928">
      <c r="A11928" s="42">
        <f>_xlfn.XLOOKUP(80388,Trip[shape_id],Trip[shape_id],"Não encontrado")</f>
        <v/>
      </c>
      <c r="B11928" s="43" t="n">
        <v>-23.558474</v>
      </c>
      <c r="C11928" s="43" t="n">
        <v>-46.522164</v>
      </c>
      <c r="D11928" s="43" t="n">
        <v>5</v>
      </c>
      <c r="E11928" s="44" t="n">
        <v>50.882797</v>
      </c>
    </row>
    <row r="11929">
      <c r="A11929" s="39">
        <f>_xlfn.XLOOKUP(80388,Trip[shape_id],Trip[shape_id],"Não encontrado")</f>
        <v/>
      </c>
      <c r="B11929" s="40" t="n">
        <v>-23.558489</v>
      </c>
      <c r="C11929" s="40" t="n">
        <v>-46.522125</v>
      </c>
      <c r="D11929" s="40" t="n">
        <v>6</v>
      </c>
      <c r="E11929" s="41" t="n">
        <v>50.882797</v>
      </c>
    </row>
    <row r="11930">
      <c r="A11930" s="42">
        <f>_xlfn.XLOOKUP(80388,Trip[shape_id],Trip[shape_id],"Não encontrado")</f>
        <v/>
      </c>
      <c r="B11930" s="43" t="n">
        <v>-23.558391</v>
      </c>
      <c r="C11930" s="43" t="n">
        <v>-46.522086</v>
      </c>
      <c r="D11930" s="43" t="n">
        <v>7</v>
      </c>
      <c r="E11930" s="44" t="n">
        <v>62.443611</v>
      </c>
    </row>
    <row r="11931">
      <c r="A11931" s="39">
        <f>_xlfn.XLOOKUP(80388,Trip[shape_id],Trip[shape_id],"Não encontrado")</f>
        <v/>
      </c>
      <c r="B11931" s="40" t="n">
        <v>-23.558333</v>
      </c>
      <c r="C11931" s="40" t="n">
        <v>-46.522062</v>
      </c>
      <c r="D11931" s="40" t="n">
        <v>8</v>
      </c>
      <c r="E11931" s="41" t="n">
        <v>78.12919599999999</v>
      </c>
    </row>
    <row r="11932">
      <c r="A11932" s="42">
        <f>_xlfn.XLOOKUP(80388,Trip[shape_id],Trip[shape_id],"Não encontrado")</f>
        <v/>
      </c>
      <c r="B11932" s="43" t="n">
        <v>-23.558263</v>
      </c>
      <c r="C11932" s="43" t="n">
        <v>-46.522021</v>
      </c>
      <c r="D11932" s="43" t="n">
        <v>9</v>
      </c>
      <c r="E11932" s="44" t="n">
        <v>78.12919599999999</v>
      </c>
    </row>
    <row r="11933">
      <c r="A11933" s="39">
        <f>_xlfn.XLOOKUP(80388,Trip[shape_id],Trip[shape_id],"Não encontrado")</f>
        <v/>
      </c>
      <c r="B11933" s="40" t="n">
        <v>-23.558135</v>
      </c>
      <c r="C11933" s="40" t="n">
        <v>-46.522221</v>
      </c>
      <c r="D11933" s="40" t="n">
        <v>10</v>
      </c>
      <c r="E11933" s="41" t="n">
        <v>102.98691</v>
      </c>
    </row>
    <row r="11934">
      <c r="A11934" s="42">
        <f>_xlfn.XLOOKUP(80388,Trip[shape_id],Trip[shape_id],"Não encontrado")</f>
        <v/>
      </c>
      <c r="B11934" s="43" t="n">
        <v>-23.557992</v>
      </c>
      <c r="C11934" s="43" t="n">
        <v>-46.522454</v>
      </c>
      <c r="D11934" s="43" t="n">
        <v>11</v>
      </c>
      <c r="E11934" s="44" t="n">
        <v>131.56503</v>
      </c>
    </row>
    <row r="11935">
      <c r="A11935" s="39">
        <f>_xlfn.XLOOKUP(80388,Trip[shape_id],Trip[shape_id],"Não encontrado")</f>
        <v/>
      </c>
      <c r="B11935" s="40" t="n">
        <v>-23.557947</v>
      </c>
      <c r="C11935" s="40" t="n">
        <v>-46.522538</v>
      </c>
      <c r="D11935" s="40" t="n">
        <v>12</v>
      </c>
      <c r="E11935" s="41" t="n">
        <v>141.48422</v>
      </c>
    </row>
    <row r="11936">
      <c r="A11936" s="42">
        <f>_xlfn.XLOOKUP(80388,Trip[shape_id],Trip[shape_id],"Não encontrado")</f>
        <v/>
      </c>
      <c r="B11936" s="43" t="n">
        <v>-23.557775</v>
      </c>
      <c r="C11936" s="43" t="n">
        <v>-46.522808</v>
      </c>
      <c r="D11936" s="43" t="n">
        <v>13</v>
      </c>
      <c r="E11936" s="44" t="n">
        <v>174.99182</v>
      </c>
    </row>
    <row r="11937">
      <c r="A11937" s="39">
        <f>_xlfn.XLOOKUP(80388,Trip[shape_id],Trip[shape_id],"Não encontrado")</f>
        <v/>
      </c>
      <c r="B11937" s="40" t="n">
        <v>-23.557752</v>
      </c>
      <c r="C11937" s="40" t="n">
        <v>-46.522923</v>
      </c>
      <c r="D11937" s="40" t="n">
        <v>14</v>
      </c>
      <c r="E11937" s="41" t="n">
        <v>187.00621</v>
      </c>
    </row>
    <row r="11938">
      <c r="A11938" s="42">
        <f>_xlfn.XLOOKUP(80388,Trip[shape_id],Trip[shape_id],"Não encontrado")</f>
        <v/>
      </c>
      <c r="B11938" s="43" t="n">
        <v>-23.557718</v>
      </c>
      <c r="C11938" s="43" t="n">
        <v>-46.52309</v>
      </c>
      <c r="D11938" s="43" t="n">
        <v>15</v>
      </c>
      <c r="E11938" s="44" t="n">
        <v>204.46729</v>
      </c>
    </row>
    <row r="11939">
      <c r="A11939" s="39">
        <f>_xlfn.XLOOKUP(80388,Trip[shape_id],Trip[shape_id],"Não encontrado")</f>
        <v/>
      </c>
      <c r="B11939" s="40" t="n">
        <v>-23.557656</v>
      </c>
      <c r="C11939" s="40" t="n">
        <v>-46.523307</v>
      </c>
      <c r="D11939" s="40" t="n">
        <v>16</v>
      </c>
      <c r="E11939" s="41" t="n">
        <v>227.66182</v>
      </c>
    </row>
    <row r="11940">
      <c r="A11940" s="42">
        <f>_xlfn.XLOOKUP(80388,Trip[shape_id],Trip[shape_id],"Não encontrado")</f>
        <v/>
      </c>
      <c r="B11940" s="43" t="n">
        <v>-23.557571</v>
      </c>
      <c r="C11940" s="43" t="n">
        <v>-46.523626</v>
      </c>
      <c r="D11940" s="43" t="n">
        <v>17</v>
      </c>
      <c r="E11940" s="44" t="n">
        <v>261.5639</v>
      </c>
    </row>
    <row r="11941">
      <c r="A11941" s="39">
        <f>_xlfn.XLOOKUP(80388,Trip[shape_id],Trip[shape_id],"Não encontrado")</f>
        <v/>
      </c>
      <c r="B11941" s="40" t="n">
        <v>-23.55753</v>
      </c>
      <c r="C11941" s="40" t="n">
        <v>-46.523759</v>
      </c>
      <c r="D11941" s="40" t="n">
        <v>18</v>
      </c>
      <c r="E11941" s="41" t="n">
        <v>275.88181</v>
      </c>
    </row>
    <row r="11942">
      <c r="A11942" s="42">
        <f>_xlfn.XLOOKUP(80388,Trip[shape_id],Trip[shape_id],"Não encontrado")</f>
        <v/>
      </c>
      <c r="B11942" s="43" t="n">
        <v>-23.557456</v>
      </c>
      <c r="C11942" s="43" t="n">
        <v>-46.523985</v>
      </c>
      <c r="D11942" s="43" t="n">
        <v>19</v>
      </c>
      <c r="E11942" s="44" t="n">
        <v>300.36789</v>
      </c>
    </row>
    <row r="11943">
      <c r="A11943" s="39">
        <f>_xlfn.XLOOKUP(80388,Trip[shape_id],Trip[shape_id],"Não encontrado")</f>
        <v/>
      </c>
      <c r="B11943" s="40" t="n">
        <v>-23.557393</v>
      </c>
      <c r="C11943" s="40" t="n">
        <v>-46.524178</v>
      </c>
      <c r="D11943" s="40" t="n">
        <v>20</v>
      </c>
      <c r="E11943" s="41" t="n">
        <v>321.27133</v>
      </c>
    </row>
    <row r="11944">
      <c r="A11944" s="42">
        <f>_xlfn.XLOOKUP(80388,Trip[shape_id],Trip[shape_id],"Não encontrado")</f>
        <v/>
      </c>
      <c r="B11944" s="43" t="n">
        <v>-23.557363</v>
      </c>
      <c r="C11944" s="43" t="n">
        <v>-46.524281</v>
      </c>
      <c r="D11944" s="43" t="n">
        <v>21</v>
      </c>
      <c r="E11944" s="44" t="n">
        <v>332.2999</v>
      </c>
    </row>
    <row r="11945">
      <c r="A11945" s="39">
        <f>_xlfn.XLOOKUP(80388,Trip[shape_id],Trip[shape_id],"Não encontrado")</f>
        <v/>
      </c>
      <c r="B11945" s="40" t="n">
        <v>-23.557198</v>
      </c>
      <c r="C11945" s="40" t="n">
        <v>-46.524522</v>
      </c>
      <c r="D11945" s="40" t="n">
        <v>22</v>
      </c>
      <c r="E11945" s="41" t="n">
        <v>362.94882</v>
      </c>
    </row>
    <row r="11946">
      <c r="A11946" s="42">
        <f>_xlfn.XLOOKUP(80388,Trip[shape_id],Trip[shape_id],"Não encontrado")</f>
        <v/>
      </c>
      <c r="B11946" s="43" t="n">
        <v>-23.557159</v>
      </c>
      <c r="C11946" s="43" t="n">
        <v>-46.524576</v>
      </c>
      <c r="D11946" s="43" t="n">
        <v>23</v>
      </c>
      <c r="E11946" s="44" t="n">
        <v>369.95248</v>
      </c>
    </row>
    <row r="11947">
      <c r="A11947" s="39">
        <f>_xlfn.XLOOKUP(80388,Trip[shape_id],Trip[shape_id],"Não encontrado")</f>
        <v/>
      </c>
      <c r="B11947" s="40" t="n">
        <v>-23.556956</v>
      </c>
      <c r="C11947" s="40" t="n">
        <v>-46.524812</v>
      </c>
      <c r="D11947" s="40" t="n">
        <v>24</v>
      </c>
      <c r="E11947" s="41" t="n">
        <v>402.90756</v>
      </c>
    </row>
    <row r="11948">
      <c r="A11948" s="42">
        <f>_xlfn.XLOOKUP(80388,Trip[shape_id],Trip[shape_id],"Não encontrado")</f>
        <v/>
      </c>
      <c r="B11948" s="43" t="n">
        <v>-23.556731</v>
      </c>
      <c r="C11948" s="43" t="n">
        <v>-46.525045</v>
      </c>
      <c r="D11948" s="43" t="n">
        <v>25</v>
      </c>
      <c r="E11948" s="44" t="n">
        <v>437.3584</v>
      </c>
    </row>
    <row r="11949">
      <c r="A11949" s="39">
        <f>_xlfn.XLOOKUP(80388,Trip[shape_id],Trip[shape_id],"Não encontrado")</f>
        <v/>
      </c>
      <c r="B11949" s="40" t="n">
        <v>-23.556492</v>
      </c>
      <c r="C11949" s="40" t="n">
        <v>-46.525251</v>
      </c>
      <c r="D11949" s="40" t="n">
        <v>26</v>
      </c>
      <c r="E11949" s="41" t="n">
        <v>471.16663</v>
      </c>
    </row>
    <row r="11950">
      <c r="A11950" s="42">
        <f>_xlfn.XLOOKUP(80388,Trip[shape_id],Trip[shape_id],"Não encontrado")</f>
        <v/>
      </c>
      <c r="B11950" s="43" t="n">
        <v>-23.556287</v>
      </c>
      <c r="C11950" s="43" t="n">
        <v>-46.525427</v>
      </c>
      <c r="D11950" s="43" t="n">
        <v>27</v>
      </c>
      <c r="E11950" s="44" t="n">
        <v>500.12125</v>
      </c>
    </row>
    <row r="11951">
      <c r="A11951" s="39">
        <f>_xlfn.XLOOKUP(80388,Trip[shape_id],Trip[shape_id],"Não encontrado")</f>
        <v/>
      </c>
      <c r="B11951" s="40" t="n">
        <v>-23.55559</v>
      </c>
      <c r="C11951" s="40" t="n">
        <v>-46.52602</v>
      </c>
      <c r="D11951" s="40" t="n">
        <v>28</v>
      </c>
      <c r="E11951" s="41" t="n">
        <v>598.22577</v>
      </c>
    </row>
    <row r="11952">
      <c r="A11952" s="42">
        <f>_xlfn.XLOOKUP(80388,Trip[shape_id],Trip[shape_id],"Não encontrado")</f>
        <v/>
      </c>
      <c r="B11952" s="43" t="n">
        <v>-23.555495</v>
      </c>
      <c r="C11952" s="43" t="n">
        <v>-46.5261</v>
      </c>
      <c r="D11952" s="43" t="n">
        <v>29</v>
      </c>
      <c r="E11952" s="44" t="n">
        <v>611.54535</v>
      </c>
    </row>
    <row r="11953">
      <c r="A11953" s="39">
        <f>_xlfn.XLOOKUP(80388,Trip[shape_id],Trip[shape_id],"Não encontrado")</f>
        <v/>
      </c>
      <c r="B11953" s="40" t="n">
        <v>-23.555453</v>
      </c>
      <c r="C11953" s="40" t="n">
        <v>-46.526134</v>
      </c>
      <c r="D11953" s="40" t="n">
        <v>30</v>
      </c>
      <c r="E11953" s="41" t="n">
        <v>617.34869</v>
      </c>
    </row>
    <row r="11954">
      <c r="A11954" s="42">
        <f>_xlfn.XLOOKUP(80388,Trip[shape_id],Trip[shape_id],"Não encontrado")</f>
        <v/>
      </c>
      <c r="B11954" s="43" t="n">
        <v>-23.555003</v>
      </c>
      <c r="C11954" s="43" t="n">
        <v>-46.526515</v>
      </c>
      <c r="D11954" s="43" t="n">
        <v>31</v>
      </c>
      <c r="E11954" s="44" t="n">
        <v>680.5708</v>
      </c>
    </row>
    <row r="11955">
      <c r="A11955" s="39">
        <f>_xlfn.XLOOKUP(80388,Trip[shape_id],Trip[shape_id],"Não encontrado")</f>
        <v/>
      </c>
      <c r="B11955" s="40" t="n">
        <v>-23.554604</v>
      </c>
      <c r="C11955" s="40" t="n">
        <v>-46.526858</v>
      </c>
      <c r="D11955" s="40" t="n">
        <v>32</v>
      </c>
      <c r="E11955" s="41" t="n">
        <v>736.9547700000001</v>
      </c>
    </row>
    <row r="11956">
      <c r="A11956" s="42">
        <f>_xlfn.XLOOKUP(80388,Trip[shape_id],Trip[shape_id],"Não encontrado")</f>
        <v/>
      </c>
      <c r="B11956" s="43" t="n">
        <v>-23.554465</v>
      </c>
      <c r="C11956" s="43" t="n">
        <v>-46.52698</v>
      </c>
      <c r="D11956" s="43" t="n">
        <v>33</v>
      </c>
      <c r="E11956" s="44" t="n">
        <v>756.75757</v>
      </c>
    </row>
    <row r="11957">
      <c r="A11957" s="39">
        <f>_xlfn.XLOOKUP(80388,Trip[shape_id],Trip[shape_id],"Não encontrado")</f>
        <v/>
      </c>
      <c r="B11957" s="40" t="n">
        <v>-23.553955</v>
      </c>
      <c r="C11957" s="40" t="n">
        <v>-46.527427</v>
      </c>
      <c r="D11957" s="40" t="n">
        <v>34</v>
      </c>
      <c r="E11957" s="41" t="n">
        <v>829.3745699999999</v>
      </c>
    </row>
    <row r="11958">
      <c r="A11958" s="42">
        <f>_xlfn.XLOOKUP(80388,Trip[shape_id],Trip[shape_id],"Não encontrado")</f>
        <v/>
      </c>
      <c r="B11958" s="43" t="n">
        <v>-23.553717</v>
      </c>
      <c r="C11958" s="43" t="n">
        <v>-46.527631</v>
      </c>
      <c r="D11958" s="43" t="n">
        <v>35</v>
      </c>
      <c r="E11958" s="44" t="n">
        <v>862.96942</v>
      </c>
    </row>
    <row r="11959">
      <c r="A11959" s="39">
        <f>_xlfn.XLOOKUP(80388,Trip[shape_id],Trip[shape_id],"Não encontrado")</f>
        <v/>
      </c>
      <c r="B11959" s="40" t="n">
        <v>-23.554238</v>
      </c>
      <c r="C11959" s="40" t="n">
        <v>-46.527954</v>
      </c>
      <c r="D11959" s="40" t="n">
        <v>36</v>
      </c>
      <c r="E11959" s="41" t="n">
        <v>929.4303</v>
      </c>
    </row>
    <row r="11960">
      <c r="A11960" s="42">
        <f>_xlfn.XLOOKUP(80388,Trip[shape_id],Trip[shape_id],"Não encontrado")</f>
        <v/>
      </c>
      <c r="B11960" s="43" t="n">
        <v>-23.554618</v>
      </c>
      <c r="C11960" s="43" t="n">
        <v>-46.528192</v>
      </c>
      <c r="D11960" s="43" t="n">
        <v>37</v>
      </c>
      <c r="E11960" s="44" t="n">
        <v>978.02728</v>
      </c>
    </row>
    <row r="11961">
      <c r="A11961" s="39">
        <f>_xlfn.XLOOKUP(80388,Trip[shape_id],Trip[shape_id],"Não encontrado")</f>
        <v/>
      </c>
      <c r="B11961" s="40" t="n">
        <v>-23.554941</v>
      </c>
      <c r="C11961" s="40" t="n">
        <v>-46.528383</v>
      </c>
      <c r="D11961" s="40" t="n">
        <v>38</v>
      </c>
      <c r="E11961" s="41" t="n">
        <v>1018.7701</v>
      </c>
    </row>
    <row r="11962">
      <c r="A11962" s="42">
        <f>_xlfn.XLOOKUP(80388,Trip[shape_id],Trip[shape_id],"Não encontrado")</f>
        <v/>
      </c>
      <c r="B11962" s="43" t="n">
        <v>-23.555159</v>
      </c>
      <c r="C11962" s="43" t="n">
        <v>-46.52853</v>
      </c>
      <c r="D11962" s="43" t="n">
        <v>39</v>
      </c>
      <c r="E11962" s="44" t="n">
        <v>1047.1986</v>
      </c>
    </row>
    <row r="11963">
      <c r="A11963" s="39">
        <f>_xlfn.XLOOKUP(80388,Trip[shape_id],Trip[shape_id],"Não encontrado")</f>
        <v/>
      </c>
      <c r="B11963" s="40" t="n">
        <v>-23.555597</v>
      </c>
      <c r="C11963" s="40" t="n">
        <v>-46.528795</v>
      </c>
      <c r="D11963" s="40" t="n">
        <v>40</v>
      </c>
      <c r="E11963" s="41" t="n">
        <v>1102.743</v>
      </c>
    </row>
    <row r="11964">
      <c r="A11964" s="42">
        <f>_xlfn.XLOOKUP(80388,Trip[shape_id],Trip[shape_id],"Não encontrado")</f>
        <v/>
      </c>
      <c r="B11964" s="43" t="n">
        <v>-23.55582</v>
      </c>
      <c r="C11964" s="43" t="n">
        <v>-46.528926</v>
      </c>
      <c r="D11964" s="43" t="n">
        <v>41</v>
      </c>
      <c r="E11964" s="44" t="n">
        <v>1130.8297</v>
      </c>
    </row>
    <row r="11965">
      <c r="A11965" s="39">
        <f>_xlfn.XLOOKUP(80388,Trip[shape_id],Trip[shape_id],"Não encontrado")</f>
        <v/>
      </c>
      <c r="B11965" s="40" t="n">
        <v>-23.556027</v>
      </c>
      <c r="C11965" s="40" t="n">
        <v>-46.529052</v>
      </c>
      <c r="D11965" s="40" t="n">
        <v>42</v>
      </c>
      <c r="E11965" s="41" t="n">
        <v>1157.118</v>
      </c>
    </row>
    <row r="11966">
      <c r="A11966" s="42">
        <f>_xlfn.XLOOKUP(80388,Trip[shape_id],Trip[shape_id],"Não encontrado")</f>
        <v/>
      </c>
      <c r="B11966" s="43" t="n">
        <v>-23.556442</v>
      </c>
      <c r="C11966" s="43" t="n">
        <v>-46.529317</v>
      </c>
      <c r="D11966" s="43" t="n">
        <v>43</v>
      </c>
      <c r="E11966" s="44" t="n">
        <v>1210.4521</v>
      </c>
    </row>
    <row r="11967">
      <c r="A11967" s="39">
        <f>_xlfn.XLOOKUP(80388,Trip[shape_id],Trip[shape_id],"Não encontrado")</f>
        <v/>
      </c>
      <c r="B11967" s="40" t="n">
        <v>-23.556717</v>
      </c>
      <c r="C11967" s="40" t="n">
        <v>-46.529485</v>
      </c>
      <c r="D11967" s="40" t="n">
        <v>44</v>
      </c>
      <c r="E11967" s="41" t="n">
        <v>1245.4066</v>
      </c>
    </row>
    <row r="11968">
      <c r="A11968" s="42">
        <f>_xlfn.XLOOKUP(80388,Trip[shape_id],Trip[shape_id],"Não encontrado")</f>
        <v/>
      </c>
      <c r="B11968" s="43" t="n">
        <v>-23.556758</v>
      </c>
      <c r="C11968" s="43" t="n">
        <v>-46.52951</v>
      </c>
      <c r="D11968" s="43" t="n">
        <v>45</v>
      </c>
      <c r="E11968" s="44" t="n">
        <v>1250.615</v>
      </c>
    </row>
    <row r="11969">
      <c r="A11969" s="39">
        <f>_xlfn.XLOOKUP(80388,Trip[shape_id],Trip[shape_id],"Não encontrado")</f>
        <v/>
      </c>
      <c r="B11969" s="40" t="n">
        <v>-23.556797</v>
      </c>
      <c r="C11969" s="40" t="n">
        <v>-46.52953</v>
      </c>
      <c r="D11969" s="40" t="n">
        <v>46</v>
      </c>
      <c r="E11969" s="41" t="n">
        <v>1255.392</v>
      </c>
    </row>
    <row r="11970">
      <c r="A11970" s="42">
        <f>_xlfn.XLOOKUP(80388,Trip[shape_id],Trip[shape_id],"Não encontrado")</f>
        <v/>
      </c>
      <c r="B11970" s="43" t="n">
        <v>-23.556903</v>
      </c>
      <c r="C11970" s="43" t="n">
        <v>-46.529605</v>
      </c>
      <c r="D11970" s="43" t="n">
        <v>47</v>
      </c>
      <c r="E11970" s="44" t="n">
        <v>1269.4084</v>
      </c>
    </row>
    <row r="11971">
      <c r="A11971" s="39">
        <f>_xlfn.XLOOKUP(80388,Trip[shape_id],Trip[shape_id],"Não encontrado")</f>
        <v/>
      </c>
      <c r="B11971" s="40" t="n">
        <v>-23.557343</v>
      </c>
      <c r="C11971" s="40" t="n">
        <v>-46.52988</v>
      </c>
      <c r="D11971" s="40" t="n">
        <v>48</v>
      </c>
      <c r="E11971" s="41" t="n">
        <v>1325.6489</v>
      </c>
    </row>
    <row r="11972">
      <c r="A11972" s="42">
        <f>_xlfn.XLOOKUP(80388,Trip[shape_id],Trip[shape_id],"Não encontrado")</f>
        <v/>
      </c>
      <c r="B11972" s="43" t="n">
        <v>-23.557758</v>
      </c>
      <c r="C11972" s="43" t="n">
        <v>-46.530137</v>
      </c>
      <c r="D11972" s="43" t="n">
        <v>49</v>
      </c>
      <c r="E11972" s="44" t="n">
        <v>1378.5732</v>
      </c>
    </row>
    <row r="11973">
      <c r="A11973" s="39">
        <f>_xlfn.XLOOKUP(80388,Trip[shape_id],Trip[shape_id],"Não encontrado")</f>
        <v/>
      </c>
      <c r="B11973" s="40" t="n">
        <v>-23.557826</v>
      </c>
      <c r="C11973" s="40" t="n">
        <v>-46.530172</v>
      </c>
      <c r="D11973" s="40" t="n">
        <v>50</v>
      </c>
      <c r="E11973" s="41" t="n">
        <v>1386.9091</v>
      </c>
    </row>
    <row r="11974">
      <c r="A11974" s="42">
        <f>_xlfn.XLOOKUP(80388,Trip[shape_id],Trip[shape_id],"Não encontrado")</f>
        <v/>
      </c>
      <c r="B11974" s="43" t="n">
        <v>-23.558224</v>
      </c>
      <c r="C11974" s="43" t="n">
        <v>-46.530396</v>
      </c>
      <c r="D11974" s="43" t="n">
        <v>51</v>
      </c>
      <c r="E11974" s="44" t="n">
        <v>1436.5679</v>
      </c>
    </row>
    <row r="11975">
      <c r="A11975" s="39">
        <f>_xlfn.XLOOKUP(80388,Trip[shape_id],Trip[shape_id],"Não encontrado")</f>
        <v/>
      </c>
      <c r="B11975" s="40" t="n">
        <v>-23.558242</v>
      </c>
      <c r="C11975" s="40" t="n">
        <v>-46.530416</v>
      </c>
      <c r="D11975" s="40" t="n">
        <v>52</v>
      </c>
      <c r="E11975" s="41" t="n">
        <v>1439.4215</v>
      </c>
    </row>
    <row r="11976">
      <c r="A11976" s="42">
        <f>_xlfn.XLOOKUP(80388,Trip[shape_id],Trip[shape_id],"Não encontrado")</f>
        <v/>
      </c>
      <c r="B11976" s="43" t="n">
        <v>-23.558308</v>
      </c>
      <c r="C11976" s="43" t="n">
        <v>-46.530458</v>
      </c>
      <c r="D11976" s="43" t="n">
        <v>53</v>
      </c>
      <c r="E11976" s="44" t="n">
        <v>1447.896</v>
      </c>
    </row>
    <row r="11977">
      <c r="A11977" s="39">
        <f>_xlfn.XLOOKUP(80388,Trip[shape_id],Trip[shape_id],"Não encontrado")</f>
        <v/>
      </c>
      <c r="B11977" s="40" t="n">
        <v>-23.558455</v>
      </c>
      <c r="C11977" s="40" t="n">
        <v>-46.530552</v>
      </c>
      <c r="D11977" s="40" t="n">
        <v>54</v>
      </c>
      <c r="E11977" s="41" t="n">
        <v>1466.7947</v>
      </c>
    </row>
    <row r="11978">
      <c r="A11978" s="42">
        <f>_xlfn.XLOOKUP(80388,Trip[shape_id],Trip[shape_id],"Não encontrado")</f>
        <v/>
      </c>
      <c r="B11978" s="43" t="n">
        <v>-23.558671</v>
      </c>
      <c r="C11978" s="43" t="n">
        <v>-46.53069</v>
      </c>
      <c r="D11978" s="43" t="n">
        <v>55</v>
      </c>
      <c r="E11978" s="44" t="n">
        <v>1494.5577</v>
      </c>
    </row>
    <row r="11979">
      <c r="A11979" s="39">
        <f>_xlfn.XLOOKUP(80388,Trip[shape_id],Trip[shape_id],"Não encontrado")</f>
        <v/>
      </c>
      <c r="B11979" s="40" t="n">
        <v>-23.55871</v>
      </c>
      <c r="C11979" s="40" t="n">
        <v>-46.53072</v>
      </c>
      <c r="D11979" s="40" t="n">
        <v>56</v>
      </c>
      <c r="E11979" s="41" t="n">
        <v>1499.8531</v>
      </c>
    </row>
    <row r="11980">
      <c r="A11980" s="42">
        <f>_xlfn.XLOOKUP(80388,Trip[shape_id],Trip[shape_id],"Não encontrado")</f>
        <v/>
      </c>
      <c r="B11980" s="43" t="n">
        <v>-23.55914</v>
      </c>
      <c r="C11980" s="43" t="n">
        <v>-46.530982</v>
      </c>
      <c r="D11980" s="43" t="n">
        <v>57</v>
      </c>
      <c r="E11980" s="44" t="n">
        <v>1554.4744</v>
      </c>
    </row>
    <row r="11981">
      <c r="A11981" s="39">
        <f>_xlfn.XLOOKUP(80388,Trip[shape_id],Trip[shape_id],"Não encontrado")</f>
        <v/>
      </c>
      <c r="B11981" s="40" t="n">
        <v>-23.559285</v>
      </c>
      <c r="C11981" s="40" t="n">
        <v>-46.531071</v>
      </c>
      <c r="D11981" s="40" t="n">
        <v>58</v>
      </c>
      <c r="E11981" s="41" t="n">
        <v>1572.9258</v>
      </c>
    </row>
    <row r="11982">
      <c r="A11982" s="42">
        <f>_xlfn.XLOOKUP(80388,Trip[shape_id],Trip[shape_id],"Não encontrado")</f>
        <v/>
      </c>
      <c r="B11982" s="43" t="n">
        <v>-23.559578</v>
      </c>
      <c r="C11982" s="43" t="n">
        <v>-46.53125</v>
      </c>
      <c r="D11982" s="43" t="n">
        <v>59</v>
      </c>
      <c r="E11982" s="44" t="n">
        <v>1610.1682</v>
      </c>
    </row>
    <row r="11983">
      <c r="A11983" s="39">
        <f>_xlfn.XLOOKUP(80388,Trip[shape_id],Trip[shape_id],"Não encontrado")</f>
        <v/>
      </c>
      <c r="B11983" s="40" t="n">
        <v>-23.559984</v>
      </c>
      <c r="C11983" s="40" t="n">
        <v>-46.531506</v>
      </c>
      <c r="D11983" s="40" t="n">
        <v>60</v>
      </c>
      <c r="E11983" s="41" t="n">
        <v>1662.1776</v>
      </c>
    </row>
    <row r="11984">
      <c r="A11984" s="42">
        <f>_xlfn.XLOOKUP(80388,Trip[shape_id],Trip[shape_id],"Não encontrado")</f>
        <v/>
      </c>
      <c r="B11984" s="43" t="n">
        <v>-23.560433</v>
      </c>
      <c r="C11984" s="43" t="n">
        <v>-46.531791</v>
      </c>
      <c r="D11984" s="43" t="n">
        <v>61</v>
      </c>
      <c r="E11984" s="44" t="n">
        <v>1719.7925</v>
      </c>
    </row>
    <row r="11985">
      <c r="A11985" s="39">
        <f>_xlfn.XLOOKUP(80388,Trip[shape_id],Trip[shape_id],"Não encontrado")</f>
        <v/>
      </c>
      <c r="B11985" s="40" t="n">
        <v>-23.560875</v>
      </c>
      <c r="C11985" s="40" t="n">
        <v>-46.532048</v>
      </c>
      <c r="D11985" s="40" t="n">
        <v>62</v>
      </c>
      <c r="E11985" s="41" t="n">
        <v>1775.3333</v>
      </c>
    </row>
    <row r="11986">
      <c r="A11986" s="42">
        <f>_xlfn.XLOOKUP(80388,Trip[shape_id],Trip[shape_id],"Não encontrado")</f>
        <v/>
      </c>
      <c r="B11986" s="43" t="n">
        <v>-23.561193</v>
      </c>
      <c r="C11986" s="43" t="n">
        <v>-46.532241</v>
      </c>
      <c r="D11986" s="43" t="n">
        <v>63</v>
      </c>
      <c r="E11986" s="44" t="n">
        <v>1815.6897</v>
      </c>
    </row>
    <row r="11987">
      <c r="A11987" s="39">
        <f>_xlfn.XLOOKUP(80388,Trip[shape_id],Trip[shape_id],"Não encontrado")</f>
        <v/>
      </c>
      <c r="B11987" s="40" t="n">
        <v>-23.56126</v>
      </c>
      <c r="C11987" s="40" t="n">
        <v>-46.532283</v>
      </c>
      <c r="D11987" s="40" t="n">
        <v>64</v>
      </c>
      <c r="E11987" s="41" t="n">
        <v>1824.26</v>
      </c>
    </row>
    <row r="11988">
      <c r="A11988" s="42">
        <f>_xlfn.XLOOKUP(80388,Trip[shape_id],Trip[shape_id],"Não encontrado")</f>
        <v/>
      </c>
      <c r="B11988" s="43" t="n">
        <v>-23.561306</v>
      </c>
      <c r="C11988" s="43" t="n">
        <v>-46.53231</v>
      </c>
      <c r="D11988" s="43" t="n">
        <v>65</v>
      </c>
      <c r="E11988" s="44" t="n">
        <v>1830.0519</v>
      </c>
    </row>
    <row r="11989">
      <c r="A11989" s="39">
        <f>_xlfn.XLOOKUP(80388,Trip[shape_id],Trip[shape_id],"Não encontrado")</f>
        <v/>
      </c>
      <c r="B11989" s="40" t="n">
        <v>-23.56172</v>
      </c>
      <c r="C11989" s="40" t="n">
        <v>-46.532579</v>
      </c>
      <c r="D11989" s="40" t="n">
        <v>66</v>
      </c>
      <c r="E11989" s="41" t="n">
        <v>1883.4988</v>
      </c>
    </row>
    <row r="11990">
      <c r="A11990" s="42">
        <f>_xlfn.XLOOKUP(80388,Trip[shape_id],Trip[shape_id],"Não encontrado")</f>
        <v/>
      </c>
      <c r="B11990" s="43" t="n">
        <v>-23.562143</v>
      </c>
      <c r="C11990" s="43" t="n">
        <v>-46.532849</v>
      </c>
      <c r="D11990" s="43" t="n">
        <v>67</v>
      </c>
      <c r="E11990" s="44" t="n">
        <v>1937.8549</v>
      </c>
    </row>
    <row r="11991">
      <c r="A11991" s="39">
        <f>_xlfn.XLOOKUP(80388,Trip[shape_id],Trip[shape_id],"Não encontrado")</f>
        <v/>
      </c>
      <c r="B11991" s="40" t="n">
        <v>-23.562516</v>
      </c>
      <c r="C11991" s="40" t="n">
        <v>-46.533099</v>
      </c>
      <c r="D11991" s="40" t="n">
        <v>68</v>
      </c>
      <c r="E11991" s="41" t="n">
        <v>1986.4139</v>
      </c>
    </row>
    <row r="11992">
      <c r="A11992" s="42">
        <f>_xlfn.XLOOKUP(80388,Trip[shape_id],Trip[shape_id],"Não encontrado")</f>
        <v/>
      </c>
      <c r="B11992" s="43" t="n">
        <v>-23.563004</v>
      </c>
      <c r="C11992" s="43" t="n">
        <v>-46.532109</v>
      </c>
      <c r="D11992" s="43" t="n">
        <v>69</v>
      </c>
      <c r="E11992" s="44" t="n">
        <v>2101.0288</v>
      </c>
    </row>
    <row r="11993">
      <c r="A11993" s="39">
        <f>_xlfn.XLOOKUP(80388,Trip[shape_id],Trip[shape_id],"Não encontrado")</f>
        <v/>
      </c>
      <c r="B11993" s="40" t="n">
        <v>-23.563415</v>
      </c>
      <c r="C11993" s="40" t="n">
        <v>-46.532367</v>
      </c>
      <c r="D11993" s="40" t="n">
        <v>70</v>
      </c>
      <c r="E11993" s="41" t="n">
        <v>2153.6194</v>
      </c>
    </row>
    <row r="11994">
      <c r="A11994" s="42">
        <f>_xlfn.XLOOKUP(80388,Trip[shape_id],Trip[shape_id],"Não encontrado")</f>
        <v/>
      </c>
      <c r="B11994" s="43" t="n">
        <v>-23.563393</v>
      </c>
      <c r="C11994" s="43" t="n">
        <v>-46.532481</v>
      </c>
      <c r="D11994" s="43" t="n">
        <v>71</v>
      </c>
      <c r="E11994" s="44" t="n">
        <v>2165.51</v>
      </c>
    </row>
    <row r="11995">
      <c r="A11995" s="39">
        <f>_xlfn.XLOOKUP(80388,Trip[shape_id],Trip[shape_id],"Não encontrado")</f>
        <v/>
      </c>
      <c r="B11995" s="40" t="n">
        <v>-23.563388</v>
      </c>
      <c r="C11995" s="40" t="n">
        <v>-46.53256</v>
      </c>
      <c r="D11995" s="40" t="n">
        <v>72</v>
      </c>
      <c r="E11995" s="41" t="n">
        <v>2173.5945</v>
      </c>
    </row>
    <row r="11996">
      <c r="A11996" s="42">
        <f>_xlfn.XLOOKUP(80388,Trip[shape_id],Trip[shape_id],"Não encontrado")</f>
        <v/>
      </c>
      <c r="B11996" s="43" t="n">
        <v>-23.563374</v>
      </c>
      <c r="C11996" s="43" t="n">
        <v>-46.532669</v>
      </c>
      <c r="D11996" s="43" t="n">
        <v>73</v>
      </c>
      <c r="E11996" s="44" t="n">
        <v>2184.8298</v>
      </c>
    </row>
    <row r="11997">
      <c r="A11997" s="39">
        <f>_xlfn.XLOOKUP(80388,Trip[shape_id],Trip[shape_id],"Não encontrado")</f>
        <v/>
      </c>
      <c r="B11997" s="40" t="n">
        <v>-23.563381</v>
      </c>
      <c r="C11997" s="40" t="n">
        <v>-46.532827</v>
      </c>
      <c r="D11997" s="40" t="n">
        <v>74</v>
      </c>
      <c r="E11997" s="41" t="n">
        <v>2200.979</v>
      </c>
    </row>
    <row r="11998">
      <c r="A11998" s="42">
        <f>_xlfn.XLOOKUP(80388,Trip[shape_id],Trip[shape_id],"Não encontrado")</f>
        <v/>
      </c>
      <c r="B11998" s="43" t="n">
        <v>-23.563408</v>
      </c>
      <c r="C11998" s="43" t="n">
        <v>-46.532966</v>
      </c>
      <c r="D11998" s="43" t="n">
        <v>75</v>
      </c>
      <c r="E11998" s="44" t="n">
        <v>2215.4817</v>
      </c>
    </row>
    <row r="11999">
      <c r="A11999" s="39">
        <f>_xlfn.XLOOKUP(80388,Trip[shape_id],Trip[shape_id],"Não encontrado")</f>
        <v/>
      </c>
      <c r="B11999" s="40" t="n">
        <v>-23.563471</v>
      </c>
      <c r="C11999" s="40" t="n">
        <v>-46.533129</v>
      </c>
      <c r="D11999" s="40" t="n">
        <v>76</v>
      </c>
      <c r="E11999" s="41" t="n">
        <v>2233.5264</v>
      </c>
    </row>
    <row r="12000">
      <c r="A12000" s="42">
        <f>_xlfn.XLOOKUP(80388,Trip[shape_id],Trip[shape_id],"Não encontrado")</f>
        <v/>
      </c>
      <c r="B12000" s="43" t="n">
        <v>-23.563524</v>
      </c>
      <c r="C12000" s="43" t="n">
        <v>-46.533242</v>
      </c>
      <c r="D12000" s="43" t="n">
        <v>77</v>
      </c>
      <c r="E12000" s="44" t="n">
        <v>2246.4702</v>
      </c>
    </row>
    <row r="12001">
      <c r="A12001" s="39">
        <f>_xlfn.XLOOKUP(80388,Trip[shape_id],Trip[shape_id],"Não encontrado")</f>
        <v/>
      </c>
      <c r="B12001" s="40" t="n">
        <v>-23.563575</v>
      </c>
      <c r="C12001" s="40" t="n">
        <v>-46.533328</v>
      </c>
      <c r="D12001" s="40" t="n">
        <v>78</v>
      </c>
      <c r="E12001" s="41" t="n">
        <v>2256.9102</v>
      </c>
    </row>
    <row r="12002">
      <c r="A12002" s="42">
        <f>_xlfn.XLOOKUP(80388,Trip[shape_id],Trip[shape_id],"Não encontrado")</f>
        <v/>
      </c>
      <c r="B12002" s="43" t="n">
        <v>-23.563638</v>
      </c>
      <c r="C12002" s="43" t="n">
        <v>-46.533416</v>
      </c>
      <c r="D12002" s="43" t="n">
        <v>79</v>
      </c>
      <c r="E12002" s="44" t="n">
        <v>2268.2856</v>
      </c>
    </row>
    <row r="12003">
      <c r="A12003" s="39">
        <f>_xlfn.XLOOKUP(80388,Trip[shape_id],Trip[shape_id],"Não encontrado")</f>
        <v/>
      </c>
      <c r="B12003" s="40" t="n">
        <v>-23.563741</v>
      </c>
      <c r="C12003" s="40" t="n">
        <v>-46.533531</v>
      </c>
      <c r="D12003" s="40" t="n">
        <v>80</v>
      </c>
      <c r="E12003" s="41" t="n">
        <v>2284.6555</v>
      </c>
    </row>
    <row r="12004">
      <c r="A12004" s="42">
        <f>_xlfn.XLOOKUP(80388,Trip[shape_id],Trip[shape_id],"Não encontrado")</f>
        <v/>
      </c>
      <c r="B12004" s="43" t="n">
        <v>-23.563845</v>
      </c>
      <c r="C12004" s="43" t="n">
        <v>-46.533639</v>
      </c>
      <c r="D12004" s="43" t="n">
        <v>81</v>
      </c>
      <c r="E12004" s="44" t="n">
        <v>2300.6006</v>
      </c>
    </row>
    <row r="12005">
      <c r="A12005" s="39">
        <f>_xlfn.XLOOKUP(80388,Trip[shape_id],Trip[shape_id],"Não encontrado")</f>
        <v/>
      </c>
      <c r="B12005" s="40" t="n">
        <v>-23.563947</v>
      </c>
      <c r="C12005" s="40" t="n">
        <v>-46.533713</v>
      </c>
      <c r="D12005" s="40" t="n">
        <v>82</v>
      </c>
      <c r="E12005" s="41" t="n">
        <v>2314.1904</v>
      </c>
    </row>
    <row r="12006">
      <c r="A12006" s="42">
        <f>_xlfn.XLOOKUP(80388,Trip[shape_id],Trip[shape_id],"Não encontrado")</f>
        <v/>
      </c>
      <c r="B12006" s="43" t="n">
        <v>-23.564129</v>
      </c>
      <c r="C12006" s="43" t="n">
        <v>-46.533832</v>
      </c>
      <c r="D12006" s="43" t="n">
        <v>83</v>
      </c>
      <c r="E12006" s="44" t="n">
        <v>2337.7253</v>
      </c>
    </row>
    <row r="12007">
      <c r="A12007" s="39">
        <f>_xlfn.XLOOKUP(80388,Trip[shape_id],Trip[shape_id],"Não encontrado")</f>
        <v/>
      </c>
      <c r="B12007" s="40" t="n">
        <v>-23.564305</v>
      </c>
      <c r="C12007" s="40" t="n">
        <v>-46.5339</v>
      </c>
      <c r="D12007" s="40" t="n">
        <v>84</v>
      </c>
      <c r="E12007" s="41" t="n">
        <v>2358.417</v>
      </c>
    </row>
    <row r="12008">
      <c r="A12008" s="42">
        <f>_xlfn.XLOOKUP(80388,Trip[shape_id],Trip[shape_id],"Não encontrado")</f>
        <v/>
      </c>
      <c r="B12008" s="43" t="n">
        <v>-23.564426</v>
      </c>
      <c r="C12008" s="43" t="n">
        <v>-46.533967</v>
      </c>
      <c r="D12008" s="43" t="n">
        <v>85</v>
      </c>
      <c r="E12008" s="44" t="n">
        <v>2373.4629</v>
      </c>
    </row>
    <row r="12009">
      <c r="A12009" s="39">
        <f>_xlfn.XLOOKUP(80388,Trip[shape_id],Trip[shape_id],"Não encontrado")</f>
        <v/>
      </c>
      <c r="B12009" s="40" t="n">
        <v>-23.564518</v>
      </c>
      <c r="C12009" s="40" t="n">
        <v>-46.534034</v>
      </c>
      <c r="D12009" s="40" t="n">
        <v>86</v>
      </c>
      <c r="E12009" s="41" t="n">
        <v>2385.7351</v>
      </c>
    </row>
    <row r="12010">
      <c r="A12010" s="42">
        <f>_xlfn.XLOOKUP(80388,Trip[shape_id],Trip[shape_id],"Não encontrado")</f>
        <v/>
      </c>
      <c r="B12010" s="43" t="n">
        <v>-23.564607</v>
      </c>
      <c r="C12010" s="43" t="n">
        <v>-46.534166</v>
      </c>
      <c r="D12010" s="43" t="n">
        <v>87</v>
      </c>
      <c r="E12010" s="44" t="n">
        <v>2402.4314</v>
      </c>
    </row>
    <row r="12011">
      <c r="A12011" s="39">
        <f>_xlfn.XLOOKUP(80388,Trip[shape_id],Trip[shape_id],"Não encontrado")</f>
        <v/>
      </c>
      <c r="B12011" s="40" t="n">
        <v>-23.564678</v>
      </c>
      <c r="C12011" s="40" t="n">
        <v>-46.534398</v>
      </c>
      <c r="D12011" s="40" t="n">
        <v>88</v>
      </c>
      <c r="E12011" s="41" t="n">
        <v>2427.3877</v>
      </c>
    </row>
    <row r="12012">
      <c r="A12012" s="42">
        <f>_xlfn.XLOOKUP(80388,Trip[shape_id],Trip[shape_id],"Não encontrado")</f>
        <v/>
      </c>
      <c r="B12012" s="43" t="n">
        <v>-23.564712</v>
      </c>
      <c r="C12012" s="43" t="n">
        <v>-46.534526</v>
      </c>
      <c r="D12012" s="43" t="n">
        <v>89</v>
      </c>
      <c r="E12012" s="44" t="n">
        <v>2440.9873</v>
      </c>
    </row>
    <row r="12013">
      <c r="A12013" s="39">
        <f>_xlfn.XLOOKUP(80388,Trip[shape_id],Trip[shape_id],"Não encontrado")</f>
        <v/>
      </c>
      <c r="B12013" s="40" t="n">
        <v>-23.564768</v>
      </c>
      <c r="C12013" s="40" t="n">
        <v>-46.5347</v>
      </c>
      <c r="D12013" s="40" t="n">
        <v>90</v>
      </c>
      <c r="E12013" s="41" t="n">
        <v>2459.8027</v>
      </c>
    </row>
    <row r="12014">
      <c r="A12014" s="42">
        <f>_xlfn.XLOOKUP(80388,Trip[shape_id],Trip[shape_id],"Não encontrado")</f>
        <v/>
      </c>
      <c r="B12014" s="43" t="n">
        <v>-23.564822</v>
      </c>
      <c r="C12014" s="43" t="n">
        <v>-46.53481</v>
      </c>
      <c r="D12014" s="43" t="n">
        <v>91</v>
      </c>
      <c r="E12014" s="44" t="n">
        <v>2472.5261</v>
      </c>
    </row>
    <row r="12015">
      <c r="A12015" s="39">
        <f>_xlfn.XLOOKUP(80388,Trip[shape_id],Trip[shape_id],"Não encontrado")</f>
        <v/>
      </c>
      <c r="B12015" s="40" t="n">
        <v>-23.56489</v>
      </c>
      <c r="C12015" s="40" t="n">
        <v>-46.534915</v>
      </c>
      <c r="D12015" s="40" t="n">
        <v>92</v>
      </c>
      <c r="E12015" s="41" t="n">
        <v>2485.627</v>
      </c>
    </row>
    <row r="12016">
      <c r="A12016" s="42">
        <f>_xlfn.XLOOKUP(80388,Trip[shape_id],Trip[shape_id],"Não encontrado")</f>
        <v/>
      </c>
      <c r="B12016" s="43" t="n">
        <v>-23.564943</v>
      </c>
      <c r="C12016" s="43" t="n">
        <v>-46.534987</v>
      </c>
      <c r="D12016" s="43" t="n">
        <v>93</v>
      </c>
      <c r="E12016" s="44" t="n">
        <v>2495.0339</v>
      </c>
    </row>
    <row r="12017">
      <c r="A12017" s="39">
        <f>_xlfn.XLOOKUP(80388,Trip[shape_id],Trip[shape_id],"Não encontrado")</f>
        <v/>
      </c>
      <c r="B12017" s="40" t="n">
        <v>-23.565006</v>
      </c>
      <c r="C12017" s="40" t="n">
        <v>-46.535058</v>
      </c>
      <c r="D12017" s="40" t="n">
        <v>94</v>
      </c>
      <c r="E12017" s="41" t="n">
        <v>2505.0947</v>
      </c>
    </row>
    <row r="12018">
      <c r="A12018" s="42">
        <f>_xlfn.XLOOKUP(80388,Trip[shape_id],Trip[shape_id],"Não encontrado")</f>
        <v/>
      </c>
      <c r="B12018" s="43" t="n">
        <v>-23.565089</v>
      </c>
      <c r="C12018" s="43" t="n">
        <v>-46.535127</v>
      </c>
      <c r="D12018" s="43" t="n">
        <v>95</v>
      </c>
      <c r="E12018" s="44" t="n">
        <v>2516.6763</v>
      </c>
    </row>
    <row r="12019">
      <c r="A12019" s="39">
        <f>_xlfn.XLOOKUP(80388,Trip[shape_id],Trip[shape_id],"Não encontrado")</f>
        <v/>
      </c>
      <c r="B12019" s="40" t="n">
        <v>-23.565174</v>
      </c>
      <c r="C12019" s="40" t="n">
        <v>-46.535199</v>
      </c>
      <c r="D12019" s="40" t="n">
        <v>96</v>
      </c>
      <c r="E12019" s="41" t="n">
        <v>2528.6199</v>
      </c>
    </row>
    <row r="12020">
      <c r="A12020" s="42">
        <f>_xlfn.XLOOKUP(80388,Trip[shape_id],Trip[shape_id],"Não encontrado")</f>
        <v/>
      </c>
      <c r="B12020" s="43" t="n">
        <v>-23.565281</v>
      </c>
      <c r="C12020" s="43" t="n">
        <v>-46.535261</v>
      </c>
      <c r="D12020" s="43" t="n">
        <v>97</v>
      </c>
      <c r="E12020" s="44" t="n">
        <v>2542.0547</v>
      </c>
    </row>
    <row r="12021">
      <c r="A12021" s="39">
        <f>_xlfn.XLOOKUP(80388,Trip[shape_id],Trip[shape_id],"Não encontrado")</f>
        <v/>
      </c>
      <c r="B12021" s="40" t="n">
        <v>-23.565398</v>
      </c>
      <c r="C12021" s="40" t="n">
        <v>-46.535318</v>
      </c>
      <c r="D12021" s="40" t="n">
        <v>98</v>
      </c>
      <c r="E12021" s="41" t="n">
        <v>2556.259</v>
      </c>
    </row>
    <row r="12022">
      <c r="A12022" s="42">
        <f>_xlfn.XLOOKUP(80388,Trip[shape_id],Trip[shape_id],"Não encontrado")</f>
        <v/>
      </c>
      <c r="B12022" s="43" t="n">
        <v>-23.565531</v>
      </c>
      <c r="C12022" s="43" t="n">
        <v>-46.535375</v>
      </c>
      <c r="D12022" s="43" t="n">
        <v>99</v>
      </c>
      <c r="E12022" s="44" t="n">
        <v>2572.0972</v>
      </c>
    </row>
    <row r="12023">
      <c r="A12023" s="39">
        <f>_xlfn.XLOOKUP(80388,Trip[shape_id],Trip[shape_id],"Não encontrado")</f>
        <v/>
      </c>
      <c r="B12023" s="40" t="n">
        <v>-23.565726</v>
      </c>
      <c r="C12023" s="40" t="n">
        <v>-46.535436</v>
      </c>
      <c r="D12023" s="40" t="n">
        <v>100</v>
      </c>
      <c r="E12023" s="41" t="n">
        <v>2594.5735</v>
      </c>
    </row>
    <row r="12024">
      <c r="A12024" s="42">
        <f>_xlfn.XLOOKUP(80388,Trip[shape_id],Trip[shape_id],"Não encontrado")</f>
        <v/>
      </c>
      <c r="B12024" s="43" t="n">
        <v>-23.565873</v>
      </c>
      <c r="C12024" s="43" t="n">
        <v>-46.535529</v>
      </c>
      <c r="D12024" s="43" t="n">
        <v>101</v>
      </c>
      <c r="E12024" s="44" t="n">
        <v>2613.4199</v>
      </c>
    </row>
    <row r="12025">
      <c r="A12025" s="39">
        <f>_xlfn.XLOOKUP(80388,Trip[shape_id],Trip[shape_id],"Não encontrado")</f>
        <v/>
      </c>
      <c r="B12025" s="40" t="n">
        <v>-23.566001</v>
      </c>
      <c r="C12025" s="40" t="n">
        <v>-46.535615</v>
      </c>
      <c r="D12025" s="40" t="n">
        <v>102</v>
      </c>
      <c r="E12025" s="41" t="n">
        <v>2630.0947</v>
      </c>
    </row>
    <row r="12026">
      <c r="A12026" s="42">
        <f>_xlfn.XLOOKUP(80388,Trip[shape_id],Trip[shape_id],"Não encontrado")</f>
        <v/>
      </c>
      <c r="B12026" s="43" t="n">
        <v>-23.566155</v>
      </c>
      <c r="C12026" s="43" t="n">
        <v>-46.535741</v>
      </c>
      <c r="D12026" s="43" t="n">
        <v>103</v>
      </c>
      <c r="E12026" s="44" t="n">
        <v>2651.4573</v>
      </c>
    </row>
    <row r="12027">
      <c r="A12027" s="39">
        <f>_xlfn.XLOOKUP(80388,Trip[shape_id],Trip[shape_id],"Não encontrado")</f>
        <v/>
      </c>
      <c r="B12027" s="40" t="n">
        <v>-23.56621</v>
      </c>
      <c r="C12027" s="40" t="n">
        <v>-46.535811</v>
      </c>
      <c r="D12027" s="40" t="n">
        <v>104</v>
      </c>
      <c r="E12027" s="41" t="n">
        <v>2660.8472</v>
      </c>
    </row>
    <row r="12028">
      <c r="A12028" s="42">
        <f>_xlfn.XLOOKUP(80388,Trip[shape_id],Trip[shape_id],"Não encontrado")</f>
        <v/>
      </c>
      <c r="B12028" s="43" t="n">
        <v>-23.566253</v>
      </c>
      <c r="C12028" s="43" t="n">
        <v>-46.53588</v>
      </c>
      <c r="D12028" s="43" t="n">
        <v>105</v>
      </c>
      <c r="E12028" s="44" t="n">
        <v>2669.3499</v>
      </c>
    </row>
    <row r="12029">
      <c r="A12029" s="39">
        <f>_xlfn.XLOOKUP(80388,Trip[shape_id],Trip[shape_id],"Não encontrado")</f>
        <v/>
      </c>
      <c r="B12029" s="40" t="n">
        <v>-23.566339</v>
      </c>
      <c r="C12029" s="40" t="n">
        <v>-46.536024</v>
      </c>
      <c r="D12029" s="40" t="n">
        <v>106</v>
      </c>
      <c r="E12029" s="41" t="n">
        <v>2686.8667</v>
      </c>
    </row>
    <row r="12030">
      <c r="A12030" s="42">
        <f>_xlfn.XLOOKUP(80388,Trip[shape_id],Trip[shape_id],"Não encontrado")</f>
        <v/>
      </c>
      <c r="B12030" s="43" t="n">
        <v>-23.56638</v>
      </c>
      <c r="C12030" s="43" t="n">
        <v>-46.536123</v>
      </c>
      <c r="D12030" s="43" t="n">
        <v>107</v>
      </c>
      <c r="E12030" s="44" t="n">
        <v>2697.9468</v>
      </c>
    </row>
    <row r="12031">
      <c r="A12031" s="39">
        <f>_xlfn.XLOOKUP(80388,Trip[shape_id],Trip[shape_id],"Não encontrado")</f>
        <v/>
      </c>
      <c r="B12031" s="40" t="n">
        <v>-23.566404</v>
      </c>
      <c r="C12031" s="40" t="n">
        <v>-46.53624</v>
      </c>
      <c r="D12031" s="40" t="n">
        <v>108</v>
      </c>
      <c r="E12031" s="41" t="n">
        <v>2710.1838</v>
      </c>
    </row>
    <row r="12032">
      <c r="A12032" s="42">
        <f>_xlfn.XLOOKUP(80388,Trip[shape_id],Trip[shape_id],"Não encontrado")</f>
        <v/>
      </c>
      <c r="B12032" s="43" t="n">
        <v>-23.566624</v>
      </c>
      <c r="C12032" s="43" t="n">
        <v>-46.536234</v>
      </c>
      <c r="D12032" s="43" t="n">
        <v>109</v>
      </c>
      <c r="E12032" s="44" t="n">
        <v>2754.1482</v>
      </c>
    </row>
    <row r="12033">
      <c r="A12033" s="39">
        <f>_xlfn.XLOOKUP(80388,Trip[shape_id],Trip[shape_id],"Não encontrado")</f>
        <v/>
      </c>
      <c r="B12033" s="40" t="n">
        <v>-23.566799</v>
      </c>
      <c r="C12033" s="40" t="n">
        <v>-46.536206</v>
      </c>
      <c r="D12033" s="40" t="n">
        <v>110</v>
      </c>
      <c r="E12033" s="41" t="n">
        <v>2754.1482</v>
      </c>
    </row>
    <row r="12034">
      <c r="A12034" s="42">
        <f>_xlfn.XLOOKUP(80388,Trip[shape_id],Trip[shape_id],"Não encontrado")</f>
        <v/>
      </c>
      <c r="B12034" s="43" t="n">
        <v>-23.566828</v>
      </c>
      <c r="C12034" s="43" t="n">
        <v>-46.536272</v>
      </c>
      <c r="D12034" s="43" t="n">
        <v>111</v>
      </c>
      <c r="E12034" s="44" t="n">
        <v>2768.1909</v>
      </c>
    </row>
    <row r="12035">
      <c r="A12035" s="39">
        <f>_xlfn.XLOOKUP(80388,Trip[shape_id],Trip[shape_id],"Não encontrado")</f>
        <v/>
      </c>
      <c r="B12035" s="40" t="n">
        <v>-23.566835</v>
      </c>
      <c r="C12035" s="40" t="n">
        <v>-46.536336</v>
      </c>
      <c r="D12035" s="40" t="n">
        <v>112</v>
      </c>
      <c r="E12035" s="41" t="n">
        <v>2777.6765</v>
      </c>
    </row>
    <row r="12036">
      <c r="A12036" s="42">
        <f>_xlfn.XLOOKUP(80388,Trip[shape_id],Trip[shape_id],"Não encontrado")</f>
        <v/>
      </c>
      <c r="B12036" s="43" t="n">
        <v>-23.566823</v>
      </c>
      <c r="C12036" s="43" t="n">
        <v>-46.536428</v>
      </c>
      <c r="D12036" s="43" t="n">
        <v>113</v>
      </c>
      <c r="E12036" s="44" t="n">
        <v>2785.2056</v>
      </c>
    </row>
    <row r="12037">
      <c r="A12037" s="39">
        <f>_xlfn.XLOOKUP(80388,Trip[shape_id],Trip[shape_id],"Não encontrado")</f>
        <v/>
      </c>
      <c r="B12037" s="40" t="n">
        <v>-23.566799</v>
      </c>
      <c r="C12037" s="40" t="n">
        <v>-46.536497</v>
      </c>
      <c r="D12037" s="40" t="n">
        <v>114</v>
      </c>
      <c r="E12037" s="41" t="n">
        <v>2785.2056</v>
      </c>
    </row>
    <row r="12038">
      <c r="A12038" s="42">
        <f>_xlfn.XLOOKUP(80388,Trip[shape_id],Trip[shape_id],"Não encontrado")</f>
        <v/>
      </c>
      <c r="B12038" s="43" t="n">
        <v>-23.566783</v>
      </c>
      <c r="C12038" s="43" t="n">
        <v>-46.536518</v>
      </c>
      <c r="D12038" s="43" t="n">
        <v>115</v>
      </c>
      <c r="E12038" s="44" t="n">
        <v>2787.9863</v>
      </c>
    </row>
    <row r="12039">
      <c r="A12039" s="39">
        <f>_xlfn.XLOOKUP(80388,Trip[shape_id],Trip[shape_id],"Não encontrado")</f>
        <v/>
      </c>
      <c r="B12039" s="40" t="n">
        <v>-23.566652</v>
      </c>
      <c r="C12039" s="40" t="n">
        <v>-46.536622</v>
      </c>
      <c r="D12039" s="40" t="n">
        <v>116</v>
      </c>
      <c r="E12039" s="41" t="n">
        <v>2805.9646</v>
      </c>
    </row>
    <row r="12040">
      <c r="A12040" s="42">
        <f>_xlfn.XLOOKUP(80388,Trip[shape_id],Trip[shape_id],"Não encontrado")</f>
        <v/>
      </c>
      <c r="B12040" s="43" t="n">
        <v>-23.566544</v>
      </c>
      <c r="C12040" s="43" t="n">
        <v>-46.536677</v>
      </c>
      <c r="D12040" s="43" t="n">
        <v>117</v>
      </c>
      <c r="E12040" s="44" t="n">
        <v>2819.178</v>
      </c>
    </row>
    <row r="12041">
      <c r="A12041" s="39">
        <f>_xlfn.XLOOKUP(80388,Trip[shape_id],Trip[shape_id],"Não encontrado")</f>
        <v/>
      </c>
      <c r="B12041" s="40" t="n">
        <v>-23.566422</v>
      </c>
      <c r="C12041" s="40" t="n">
        <v>-46.536702</v>
      </c>
      <c r="D12041" s="40" t="n">
        <v>118</v>
      </c>
      <c r="E12041" s="41" t="n">
        <v>2832.9285</v>
      </c>
    </row>
    <row r="12042">
      <c r="A12042" s="42">
        <f>_xlfn.XLOOKUP(80388,Trip[shape_id],Trip[shape_id],"Não encontrado")</f>
        <v/>
      </c>
      <c r="B12042" s="43" t="n">
        <v>-23.566217</v>
      </c>
      <c r="C12042" s="43" t="n">
        <v>-46.536735</v>
      </c>
      <c r="D12042" s="43" t="n">
        <v>119</v>
      </c>
      <c r="E12042" s="44" t="n">
        <v>2855.8811</v>
      </c>
    </row>
    <row r="12043">
      <c r="A12043" s="39">
        <f>_xlfn.XLOOKUP(80388,Trip[shape_id],Trip[shape_id],"Não encontrado")</f>
        <v/>
      </c>
      <c r="B12043" s="40" t="n">
        <v>-23.56605</v>
      </c>
      <c r="C12043" s="40" t="n">
        <v>-46.536758</v>
      </c>
      <c r="D12043" s="40" t="n">
        <v>120</v>
      </c>
      <c r="E12043" s="41" t="n">
        <v>2874.5251</v>
      </c>
    </row>
    <row r="12044">
      <c r="A12044" s="42">
        <f>_xlfn.XLOOKUP(80388,Trip[shape_id],Trip[shape_id],"Não encontrado")</f>
        <v/>
      </c>
      <c r="B12044" s="43" t="n">
        <v>-23.565873</v>
      </c>
      <c r="C12044" s="43" t="n">
        <v>-46.536768</v>
      </c>
      <c r="D12044" s="43" t="n">
        <v>121</v>
      </c>
      <c r="E12044" s="44" t="n">
        <v>2894.1548</v>
      </c>
    </row>
    <row r="12045">
      <c r="A12045" s="39">
        <f>_xlfn.XLOOKUP(80388,Trip[shape_id],Trip[shape_id],"Não encontrado")</f>
        <v/>
      </c>
      <c r="B12045" s="40" t="n">
        <v>-23.565749</v>
      </c>
      <c r="C12045" s="40" t="n">
        <v>-46.536764</v>
      </c>
      <c r="D12045" s="40" t="n">
        <v>122</v>
      </c>
      <c r="E12045" s="41" t="n">
        <v>2907.894</v>
      </c>
    </row>
    <row r="12046">
      <c r="A12046" s="42">
        <f>_xlfn.XLOOKUP(80388,Trip[shape_id],Trip[shape_id],"Não encontrado")</f>
        <v/>
      </c>
      <c r="B12046" s="43" t="n">
        <v>-23.565479</v>
      </c>
      <c r="C12046" s="43" t="n">
        <v>-46.536716</v>
      </c>
      <c r="D12046" s="43" t="n">
        <v>123</v>
      </c>
      <c r="E12046" s="44" t="n">
        <v>2938.196</v>
      </c>
    </row>
    <row r="12047">
      <c r="A12047" s="39">
        <f>_xlfn.XLOOKUP(80388,Trip[shape_id],Trip[shape_id],"Não encontrado")</f>
        <v/>
      </c>
      <c r="B12047" s="40" t="n">
        <v>-23.565304</v>
      </c>
      <c r="C12047" s="40" t="n">
        <v>-46.536669</v>
      </c>
      <c r="D12047" s="40" t="n">
        <v>124</v>
      </c>
      <c r="E12047" s="41" t="n">
        <v>2958.1626</v>
      </c>
    </row>
    <row r="12048">
      <c r="A12048" s="42">
        <f>_xlfn.XLOOKUP(80388,Trip[shape_id],Trip[shape_id],"Não encontrado")</f>
        <v/>
      </c>
      <c r="B12048" s="43" t="n">
        <v>-23.564744</v>
      </c>
      <c r="C12048" s="43" t="n">
        <v>-46.536517</v>
      </c>
      <c r="D12048" s="43" t="n">
        <v>125</v>
      </c>
      <c r="E12048" s="44" t="n">
        <v>3022.0955</v>
      </c>
    </row>
    <row r="12049">
      <c r="A12049" s="39">
        <f>_xlfn.XLOOKUP(80388,Trip[shape_id],Trip[shape_id],"Não encontrado")</f>
        <v/>
      </c>
      <c r="B12049" s="40" t="n">
        <v>-23.564364</v>
      </c>
      <c r="C12049" s="40" t="n">
        <v>-46.536397</v>
      </c>
      <c r="D12049" s="40" t="n">
        <v>126</v>
      </c>
      <c r="E12049" s="41" t="n">
        <v>3065.928</v>
      </c>
    </row>
    <row r="12050">
      <c r="A12050" s="42">
        <f>_xlfn.XLOOKUP(80388,Trip[shape_id],Trip[shape_id],"Não encontrado")</f>
        <v/>
      </c>
      <c r="B12050" s="43" t="n">
        <v>-23.564296</v>
      </c>
      <c r="C12050" s="43" t="n">
        <v>-46.536387</v>
      </c>
      <c r="D12050" s="43" t="n">
        <v>127</v>
      </c>
      <c r="E12050" s="44" t="n">
        <v>3073.5281</v>
      </c>
    </row>
    <row r="12051">
      <c r="A12051" s="39">
        <f>_xlfn.XLOOKUP(80388,Trip[shape_id],Trip[shape_id],"Não encontrado")</f>
        <v/>
      </c>
      <c r="B12051" s="40" t="n">
        <v>-23.564234</v>
      </c>
      <c r="C12051" s="40" t="n">
        <v>-46.536414</v>
      </c>
      <c r="D12051" s="40" t="n">
        <v>128</v>
      </c>
      <c r="E12051" s="41" t="n">
        <v>3080.927</v>
      </c>
    </row>
    <row r="12052">
      <c r="A12052" s="42">
        <f>_xlfn.XLOOKUP(80388,Trip[shape_id],Trip[shape_id],"Não encontrado")</f>
        <v/>
      </c>
      <c r="B12052" s="43" t="n">
        <v>-23.564138</v>
      </c>
      <c r="C12052" s="43" t="n">
        <v>-46.536452</v>
      </c>
      <c r="D12052" s="43" t="n">
        <v>129</v>
      </c>
      <c r="E12052" s="44" t="n">
        <v>3092.2451</v>
      </c>
    </row>
    <row r="12053">
      <c r="A12053" s="39">
        <f>_xlfn.XLOOKUP(80388,Trip[shape_id],Trip[shape_id],"Não encontrado")</f>
        <v/>
      </c>
      <c r="B12053" s="40" t="n">
        <v>-23.564055</v>
      </c>
      <c r="C12053" s="40" t="n">
        <v>-46.536489</v>
      </c>
      <c r="D12053" s="40" t="n">
        <v>130</v>
      </c>
      <c r="E12053" s="41" t="n">
        <v>3102.1836</v>
      </c>
    </row>
    <row r="12054">
      <c r="A12054" s="42">
        <f>_xlfn.XLOOKUP(80388,Trip[shape_id],Trip[shape_id],"Não encontrado")</f>
        <v/>
      </c>
      <c r="B12054" s="43" t="n">
        <v>-23.56401</v>
      </c>
      <c r="C12054" s="43" t="n">
        <v>-46.536518</v>
      </c>
      <c r="D12054" s="43" t="n">
        <v>131</v>
      </c>
      <c r="E12054" s="44" t="n">
        <v>3107.9807</v>
      </c>
    </row>
    <row r="12055">
      <c r="A12055" s="39">
        <f>_xlfn.XLOOKUP(80388,Trip[shape_id],Trip[shape_id],"Não encontrado")</f>
        <v/>
      </c>
      <c r="B12055" s="40" t="n">
        <v>-23.564279</v>
      </c>
      <c r="C12055" s="40" t="n">
        <v>-46.536803</v>
      </c>
      <c r="D12055" s="40" t="n">
        <v>132</v>
      </c>
      <c r="E12055" s="41" t="n">
        <v>3149.6238</v>
      </c>
    </row>
    <row r="12056">
      <c r="A12056" s="42">
        <f>_xlfn.XLOOKUP(80388,Trip[shape_id],Trip[shape_id],"Não encontrado")</f>
        <v/>
      </c>
      <c r="B12056" s="43" t="n">
        <v>-23.56494</v>
      </c>
      <c r="C12056" s="43" t="n">
        <v>-46.537502</v>
      </c>
      <c r="D12056" s="43" t="n">
        <v>133</v>
      </c>
      <c r="E12056" s="44" t="n">
        <v>3251.8577</v>
      </c>
    </row>
    <row r="12057">
      <c r="A12057" s="39">
        <f>_xlfn.XLOOKUP(80388,Trip[shape_id],Trip[shape_id],"Não encontrado")</f>
        <v/>
      </c>
      <c r="B12057" s="40" t="n">
        <v>-23.565177</v>
      </c>
      <c r="C12057" s="40" t="n">
        <v>-46.537762</v>
      </c>
      <c r="D12057" s="40" t="n">
        <v>134</v>
      </c>
      <c r="E12057" s="41" t="n">
        <v>3289.1877</v>
      </c>
    </row>
    <row r="12058">
      <c r="A12058" s="42">
        <f>_xlfn.XLOOKUP(80388,Trip[shape_id],Trip[shape_id],"Não encontrado")</f>
        <v/>
      </c>
      <c r="B12058" s="43" t="n">
        <v>-23.565286</v>
      </c>
      <c r="C12058" s="43" t="n">
        <v>-46.537881</v>
      </c>
      <c r="D12058" s="43" t="n">
        <v>135</v>
      </c>
      <c r="E12058" s="44" t="n">
        <v>3306.3145</v>
      </c>
    </row>
    <row r="12059">
      <c r="A12059" s="39">
        <f>_xlfn.XLOOKUP(80388,Trip[shape_id],Trip[shape_id],"Não encontrado")</f>
        <v/>
      </c>
      <c r="B12059" s="40" t="n">
        <v>-23.565329</v>
      </c>
      <c r="C12059" s="40" t="n">
        <v>-46.537966</v>
      </c>
      <c r="D12059" s="40" t="n">
        <v>136</v>
      </c>
      <c r="E12059" s="41" t="n">
        <v>3316.2134</v>
      </c>
    </row>
    <row r="12060">
      <c r="A12060" s="42">
        <f>_xlfn.XLOOKUP(80388,Trip[shape_id],Trip[shape_id],"Não encontrado")</f>
        <v/>
      </c>
      <c r="B12060" s="43" t="n">
        <v>-23.565363</v>
      </c>
      <c r="C12060" s="43" t="n">
        <v>-46.538034</v>
      </c>
      <c r="D12060" s="43" t="n">
        <v>137</v>
      </c>
      <c r="E12060" s="44" t="n">
        <v>3324.1111</v>
      </c>
    </row>
    <row r="12061">
      <c r="A12061" s="39">
        <f>_xlfn.XLOOKUP(80388,Trip[shape_id],Trip[shape_id],"Não encontrado")</f>
        <v/>
      </c>
      <c r="B12061" s="40" t="n">
        <v>-23.565411</v>
      </c>
      <c r="C12061" s="40" t="n">
        <v>-46.538141</v>
      </c>
      <c r="D12061" s="40" t="n">
        <v>138</v>
      </c>
      <c r="E12061" s="41" t="n">
        <v>3336.2595</v>
      </c>
    </row>
    <row r="12062">
      <c r="A12062" s="42">
        <f>_xlfn.XLOOKUP(80388,Trip[shape_id],Trip[shape_id],"Não encontrado")</f>
        <v/>
      </c>
      <c r="B12062" s="43" t="n">
        <v>-23.565442</v>
      </c>
      <c r="C12062" s="43" t="n">
        <v>-46.538222</v>
      </c>
      <c r="D12062" s="43" t="n">
        <v>139</v>
      </c>
      <c r="E12062" s="44" t="n">
        <v>3345.2129</v>
      </c>
    </row>
    <row r="12063">
      <c r="A12063" s="39">
        <f>_xlfn.XLOOKUP(80388,Trip[shape_id],Trip[shape_id],"Não encontrado")</f>
        <v/>
      </c>
      <c r="B12063" s="40" t="n">
        <v>-23.565473</v>
      </c>
      <c r="C12063" s="40" t="n">
        <v>-46.538288</v>
      </c>
      <c r="D12063" s="40" t="n">
        <v>140</v>
      </c>
      <c r="E12063" s="41" t="n">
        <v>3352.7749</v>
      </c>
    </row>
    <row r="12064">
      <c r="A12064" s="42">
        <f>_xlfn.XLOOKUP(80388,Trip[shape_id],Trip[shape_id],"Não encontrado")</f>
        <v/>
      </c>
      <c r="B12064" s="43" t="n">
        <v>-23.565527</v>
      </c>
      <c r="C12064" s="43" t="n">
        <v>-46.538395</v>
      </c>
      <c r="D12064" s="43" t="n">
        <v>141</v>
      </c>
      <c r="E12064" s="44" t="n">
        <v>3365.2285</v>
      </c>
    </row>
    <row r="12065">
      <c r="A12065" s="39">
        <f>_xlfn.XLOOKUP(80388,Trip[shape_id],Trip[shape_id],"Não encontrado")</f>
        <v/>
      </c>
      <c r="B12065" s="40" t="n">
        <v>-23.565561</v>
      </c>
      <c r="C12065" s="40" t="n">
        <v>-46.538457</v>
      </c>
      <c r="D12065" s="40" t="n">
        <v>142</v>
      </c>
      <c r="E12065" s="41" t="n">
        <v>3372.5935</v>
      </c>
    </row>
    <row r="12066">
      <c r="A12066" s="42">
        <f>_xlfn.XLOOKUP(80388,Trip[shape_id],Trip[shape_id],"Não encontrado")</f>
        <v/>
      </c>
      <c r="B12066" s="43" t="n">
        <v>-23.565615</v>
      </c>
      <c r="C12066" s="43" t="n">
        <v>-46.538523</v>
      </c>
      <c r="D12066" s="43" t="n">
        <v>143</v>
      </c>
      <c r="E12066" s="44" t="n">
        <v>3381.6028</v>
      </c>
    </row>
    <row r="12067">
      <c r="A12067" s="39">
        <f>_xlfn.XLOOKUP(80388,Trip[shape_id],Trip[shape_id],"Não encontrado")</f>
        <v/>
      </c>
      <c r="B12067" s="40" t="n">
        <v>-23.56566</v>
      </c>
      <c r="C12067" s="40" t="n">
        <v>-46.538582</v>
      </c>
      <c r="D12067" s="40" t="n">
        <v>144</v>
      </c>
      <c r="E12067" s="41" t="n">
        <v>3389.4207</v>
      </c>
    </row>
    <row r="12068">
      <c r="A12068" s="42">
        <f>_xlfn.XLOOKUP(80388,Trip[shape_id],Trip[shape_id],"Não encontrado")</f>
        <v/>
      </c>
      <c r="B12068" s="43" t="n">
        <v>-23.565745</v>
      </c>
      <c r="C12068" s="43" t="n">
        <v>-46.538677</v>
      </c>
      <c r="D12068" s="43" t="n">
        <v>145</v>
      </c>
      <c r="E12068" s="44" t="n">
        <v>3402.9368</v>
      </c>
    </row>
    <row r="12069">
      <c r="A12069" s="39">
        <f>_xlfn.XLOOKUP(80388,Trip[shape_id],Trip[shape_id],"Não encontrado")</f>
        <v/>
      </c>
      <c r="B12069" s="40" t="n">
        <v>-23.565806</v>
      </c>
      <c r="C12069" s="40" t="n">
        <v>-46.53874</v>
      </c>
      <c r="D12069" s="40" t="n">
        <v>146</v>
      </c>
      <c r="E12069" s="41" t="n">
        <v>3412.2642</v>
      </c>
    </row>
    <row r="12070">
      <c r="A12070" s="42">
        <f>_xlfn.XLOOKUP(80388,Trip[shape_id],Trip[shape_id],"Não encontrado")</f>
        <v/>
      </c>
      <c r="B12070" s="43" t="n">
        <v>-23.565988</v>
      </c>
      <c r="C12070" s="43" t="n">
        <v>-46.538953</v>
      </c>
      <c r="D12070" s="43" t="n">
        <v>147</v>
      </c>
      <c r="E12070" s="44" t="n">
        <v>3441.9146</v>
      </c>
    </row>
    <row r="12071">
      <c r="A12071" s="39">
        <f>_xlfn.XLOOKUP(80388,Trip[shape_id],Trip[shape_id],"Não encontrado")</f>
        <v/>
      </c>
      <c r="B12071" s="40" t="n">
        <v>-23.566039</v>
      </c>
      <c r="C12071" s="40" t="n">
        <v>-46.539027</v>
      </c>
      <c r="D12071" s="40" t="n">
        <v>148</v>
      </c>
      <c r="E12071" s="41" t="n">
        <v>3451.3472</v>
      </c>
    </row>
    <row r="12072">
      <c r="A12072" s="42">
        <f>_xlfn.XLOOKUP(80388,Trip[shape_id],Trip[shape_id],"Não encontrado")</f>
        <v/>
      </c>
      <c r="B12072" s="43" t="n">
        <v>-23.566217</v>
      </c>
      <c r="C12072" s="43" t="n">
        <v>-46.53923</v>
      </c>
      <c r="D12072" s="43" t="n">
        <v>149</v>
      </c>
      <c r="E12072" s="44" t="n">
        <v>3479.9502</v>
      </c>
    </row>
    <row r="12073">
      <c r="A12073" s="39">
        <f>_xlfn.XLOOKUP(80388,Trip[shape_id],Trip[shape_id],"Não encontrado")</f>
        <v/>
      </c>
      <c r="B12073" s="40" t="n">
        <v>-23.566453</v>
      </c>
      <c r="C12073" s="40" t="n">
        <v>-46.539493</v>
      </c>
      <c r="D12073" s="40" t="n">
        <v>150</v>
      </c>
      <c r="E12073" s="41" t="n">
        <v>3517.4211</v>
      </c>
    </row>
    <row r="12074">
      <c r="A12074" s="42">
        <f>_xlfn.XLOOKUP(80388,Trip[shape_id],Trip[shape_id],"Não encontrado")</f>
        <v/>
      </c>
      <c r="B12074" s="43" t="n">
        <v>-23.566794</v>
      </c>
      <c r="C12074" s="43" t="n">
        <v>-46.539869</v>
      </c>
      <c r="D12074" s="43" t="n">
        <v>151</v>
      </c>
      <c r="E12074" s="44" t="n">
        <v>3571.2705</v>
      </c>
    </row>
    <row r="12075">
      <c r="A12075" s="39">
        <f>_xlfn.XLOOKUP(80388,Trip[shape_id],Trip[shape_id],"Não encontrado")</f>
        <v/>
      </c>
      <c r="B12075" s="40" t="n">
        <v>-23.566855</v>
      </c>
      <c r="C12075" s="40" t="n">
        <v>-46.539945</v>
      </c>
      <c r="D12075" s="40" t="n">
        <v>152</v>
      </c>
      <c r="E12075" s="41" t="n">
        <v>3581.5583</v>
      </c>
    </row>
    <row r="12076">
      <c r="A12076" s="42">
        <f>_xlfn.XLOOKUP(80388,Trip[shape_id],Trip[shape_id],"Não encontrado")</f>
        <v/>
      </c>
      <c r="B12076" s="43" t="n">
        <v>-23.566882</v>
      </c>
      <c r="C12076" s="43" t="n">
        <v>-46.540013</v>
      </c>
      <c r="D12076" s="43" t="n">
        <v>153</v>
      </c>
      <c r="E12076" s="44" t="n">
        <v>3589.1167</v>
      </c>
    </row>
    <row r="12077">
      <c r="A12077" s="39">
        <f>_xlfn.XLOOKUP(80388,Trip[shape_id],Trip[shape_id],"Não encontrado")</f>
        <v/>
      </c>
      <c r="B12077" s="40" t="n">
        <v>-23.567045</v>
      </c>
      <c r="C12077" s="40" t="n">
        <v>-46.54024</v>
      </c>
      <c r="D12077" s="40" t="n">
        <v>154</v>
      </c>
      <c r="E12077" s="41" t="n">
        <v>3618.4927</v>
      </c>
    </row>
    <row r="12078">
      <c r="A12078" s="42">
        <f>_xlfn.XLOOKUP(80388,Trip[shape_id],Trip[shape_id],"Não encontrado")</f>
        <v/>
      </c>
      <c r="B12078" s="43" t="n">
        <v>-23.567174</v>
      </c>
      <c r="C12078" s="43" t="n">
        <v>-46.54041</v>
      </c>
      <c r="D12078" s="43" t="n">
        <v>155</v>
      </c>
      <c r="E12078" s="44" t="n">
        <v>3640.9719</v>
      </c>
    </row>
    <row r="12079">
      <c r="A12079" s="39">
        <f>_xlfn.XLOOKUP(80388,Trip[shape_id],Trip[shape_id],"Não encontrado")</f>
        <v/>
      </c>
      <c r="B12079" s="40" t="n">
        <v>-23.56729</v>
      </c>
      <c r="C12079" s="40" t="n">
        <v>-46.540711</v>
      </c>
      <c r="D12079" s="40" t="n">
        <v>156</v>
      </c>
      <c r="E12079" s="41" t="n">
        <v>3674.2783</v>
      </c>
    </row>
    <row r="12080">
      <c r="A12080" s="42">
        <f>_xlfn.XLOOKUP(80388,Trip[shape_id],Trip[shape_id],"Não encontrado")</f>
        <v/>
      </c>
      <c r="B12080" s="43" t="n">
        <v>-23.567328</v>
      </c>
      <c r="C12080" s="43" t="n">
        <v>-46.540864</v>
      </c>
      <c r="D12080" s="43" t="n">
        <v>157</v>
      </c>
      <c r="E12080" s="44" t="n">
        <v>3690.4553</v>
      </c>
    </row>
    <row r="12081">
      <c r="A12081" s="39">
        <f>_xlfn.XLOOKUP(80388,Trip[shape_id],Trip[shape_id],"Não encontrado")</f>
        <v/>
      </c>
      <c r="B12081" s="40" t="n">
        <v>-23.567352</v>
      </c>
      <c r="C12081" s="40" t="n">
        <v>-46.541015</v>
      </c>
      <c r="D12081" s="40" t="n">
        <v>158</v>
      </c>
      <c r="E12081" s="41" t="n">
        <v>3706.0981</v>
      </c>
    </row>
    <row r="12082">
      <c r="A12082" s="42">
        <f>_xlfn.XLOOKUP(80388,Trip[shape_id],Trip[shape_id],"Não encontrado")</f>
        <v/>
      </c>
      <c r="B12082" s="43" t="n">
        <v>-23.567362</v>
      </c>
      <c r="C12082" s="43" t="n">
        <v>-46.541103</v>
      </c>
      <c r="D12082" s="43" t="n">
        <v>159</v>
      </c>
      <c r="E12082" s="44" t="n">
        <v>3715.1501</v>
      </c>
    </row>
    <row r="12083">
      <c r="A12083" s="39">
        <f>_xlfn.XLOOKUP(80388,Trip[shape_id],Trip[shape_id],"Não encontrado")</f>
        <v/>
      </c>
      <c r="B12083" s="40" t="n">
        <v>-23.56737</v>
      </c>
      <c r="C12083" s="40" t="n">
        <v>-46.541221</v>
      </c>
      <c r="D12083" s="40" t="n">
        <v>160</v>
      </c>
      <c r="E12083" s="41" t="n">
        <v>3727.2288</v>
      </c>
    </row>
    <row r="12084">
      <c r="A12084" s="42">
        <f>_xlfn.XLOOKUP(80388,Trip[shape_id],Trip[shape_id],"Não encontrado")</f>
        <v/>
      </c>
      <c r="B12084" s="43" t="n">
        <v>-23.567366</v>
      </c>
      <c r="C12084" s="43" t="n">
        <v>-46.541335</v>
      </c>
      <c r="D12084" s="43" t="n">
        <v>161</v>
      </c>
      <c r="E12084" s="44" t="n">
        <v>3738.875</v>
      </c>
    </row>
    <row r="12085">
      <c r="A12085" s="39">
        <f>_xlfn.XLOOKUP(80388,Trip[shape_id],Trip[shape_id],"Não encontrado")</f>
        <v/>
      </c>
      <c r="B12085" s="40" t="n">
        <v>-23.567351</v>
      </c>
      <c r="C12085" s="40" t="n">
        <v>-46.541517</v>
      </c>
      <c r="D12085" s="40" t="n">
        <v>162</v>
      </c>
      <c r="E12085" s="41" t="n">
        <v>3757.5293</v>
      </c>
    </row>
    <row r="12086">
      <c r="A12086" s="42">
        <f>_xlfn.XLOOKUP(80388,Trip[shape_id],Trip[shape_id],"Não encontrado")</f>
        <v/>
      </c>
      <c r="B12086" s="43" t="n">
        <v>-23.567333</v>
      </c>
      <c r="C12086" s="43" t="n">
        <v>-46.541773</v>
      </c>
      <c r="D12086" s="43" t="n">
        <v>163</v>
      </c>
      <c r="E12086" s="44" t="n">
        <v>3783.74</v>
      </c>
    </row>
    <row r="12087">
      <c r="A12087" s="39">
        <f>_xlfn.XLOOKUP(80388,Trip[shape_id],Trip[shape_id],"Não encontrado")</f>
        <v/>
      </c>
      <c r="B12087" s="40" t="n">
        <v>-23.567335</v>
      </c>
      <c r="C12087" s="40" t="n">
        <v>-46.541927</v>
      </c>
      <c r="D12087" s="40" t="n">
        <v>164</v>
      </c>
      <c r="E12087" s="41" t="n">
        <v>3799.4629</v>
      </c>
    </row>
    <row r="12088">
      <c r="A12088" s="42">
        <f>_xlfn.XLOOKUP(80388,Trip[shape_id],Trip[shape_id],"Não encontrado")</f>
        <v/>
      </c>
      <c r="B12088" s="43" t="n">
        <v>-23.567344</v>
      </c>
      <c r="C12088" s="43" t="n">
        <v>-46.541975</v>
      </c>
      <c r="D12088" s="43" t="n">
        <v>165</v>
      </c>
      <c r="E12088" s="44" t="n">
        <v>3804.4626</v>
      </c>
    </row>
    <row r="12089">
      <c r="A12089" s="39">
        <f>_xlfn.XLOOKUP(80388,Trip[shape_id],Trip[shape_id],"Não encontrado")</f>
        <v/>
      </c>
      <c r="B12089" s="40" t="n">
        <v>-23.567362</v>
      </c>
      <c r="C12089" s="40" t="n">
        <v>-46.542027</v>
      </c>
      <c r="D12089" s="40" t="n">
        <v>166</v>
      </c>
      <c r="E12089" s="41" t="n">
        <v>3810.1331</v>
      </c>
    </row>
    <row r="12090">
      <c r="A12090" s="42">
        <f>_xlfn.XLOOKUP(80388,Trip[shape_id],Trip[shape_id],"Não encontrado")</f>
        <v/>
      </c>
      <c r="B12090" s="43" t="n">
        <v>-23.567359</v>
      </c>
      <c r="C12090" s="43" t="n">
        <v>-46.542193</v>
      </c>
      <c r="D12090" s="43" t="n">
        <v>167</v>
      </c>
      <c r="E12090" s="44" t="n">
        <v>3827.083</v>
      </c>
    </row>
    <row r="12091">
      <c r="A12091" s="39">
        <f>_xlfn.XLOOKUP(80388,Trip[shape_id],Trip[shape_id],"Não encontrado")</f>
        <v/>
      </c>
      <c r="B12091" s="40" t="n">
        <v>-23.567294</v>
      </c>
      <c r="C12091" s="40" t="n">
        <v>-46.543039</v>
      </c>
      <c r="D12091" s="40" t="n">
        <v>168</v>
      </c>
      <c r="E12091" s="41" t="n">
        <v>3913.7498</v>
      </c>
    </row>
    <row r="12092">
      <c r="A12092" s="42">
        <f>_xlfn.XLOOKUP(80388,Trip[shape_id],Trip[shape_id],"Não encontrado")</f>
        <v/>
      </c>
      <c r="B12092" s="43" t="n">
        <v>-23.567284</v>
      </c>
      <c r="C12092" s="43" t="n">
        <v>-46.543132</v>
      </c>
      <c r="D12092" s="43" t="n">
        <v>169</v>
      </c>
      <c r="E12092" s="44" t="n">
        <v>3923.3086</v>
      </c>
    </row>
    <row r="12093">
      <c r="A12093" s="39">
        <f>_xlfn.XLOOKUP(80388,Trip[shape_id],Trip[shape_id],"Não encontrado")</f>
        <v/>
      </c>
      <c r="B12093" s="40" t="n">
        <v>-23.567221</v>
      </c>
      <c r="C12093" s="40" t="n">
        <v>-46.5434</v>
      </c>
      <c r="D12093" s="40" t="n">
        <v>170</v>
      </c>
      <c r="E12093" s="41" t="n">
        <v>3951.5439</v>
      </c>
    </row>
    <row r="12094">
      <c r="A12094" s="42">
        <f>_xlfn.XLOOKUP(80388,Trip[shape_id],Trip[shape_id],"Não encontrado")</f>
        <v/>
      </c>
      <c r="B12094" s="43" t="n">
        <v>-23.567185</v>
      </c>
      <c r="C12094" s="43" t="n">
        <v>-46.543486</v>
      </c>
      <c r="D12094" s="43" t="n">
        <v>171</v>
      </c>
      <c r="E12094" s="44" t="n">
        <v>3961.1868</v>
      </c>
    </row>
    <row r="12095">
      <c r="A12095" s="39">
        <f>_xlfn.XLOOKUP(80388,Trip[shape_id],Trip[shape_id],"Não encontrado")</f>
        <v/>
      </c>
      <c r="B12095" s="40" t="n">
        <v>-23.567138</v>
      </c>
      <c r="C12095" s="40" t="n">
        <v>-46.543599</v>
      </c>
      <c r="D12095" s="40" t="n">
        <v>172</v>
      </c>
      <c r="E12095" s="41" t="n">
        <v>3973.843</v>
      </c>
    </row>
    <row r="12096">
      <c r="A12096" s="42">
        <f>_xlfn.XLOOKUP(80388,Trip[shape_id],Trip[shape_id],"Não encontrado")</f>
        <v/>
      </c>
      <c r="B12096" s="43" t="n">
        <v>-23.567081</v>
      </c>
      <c r="C12096" s="43" t="n">
        <v>-46.5437</v>
      </c>
      <c r="D12096" s="43" t="n">
        <v>173</v>
      </c>
      <c r="E12096" s="44" t="n">
        <v>3985.9329</v>
      </c>
    </row>
    <row r="12097">
      <c r="A12097" s="39">
        <f>_xlfn.XLOOKUP(80388,Trip[shape_id],Trip[shape_id],"Não encontrado")</f>
        <v/>
      </c>
      <c r="B12097" s="40" t="n">
        <v>-23.567027</v>
      </c>
      <c r="C12097" s="40" t="n">
        <v>-46.543774</v>
      </c>
      <c r="D12097" s="40" t="n">
        <v>174</v>
      </c>
      <c r="E12097" s="41" t="n">
        <v>3995.5681</v>
      </c>
    </row>
    <row r="12098">
      <c r="A12098" s="42">
        <f>_xlfn.XLOOKUP(80388,Trip[shape_id],Trip[shape_id],"Não encontrado")</f>
        <v/>
      </c>
      <c r="B12098" s="43" t="n">
        <v>-23.56695</v>
      </c>
      <c r="C12098" s="43" t="n">
        <v>-46.543871</v>
      </c>
      <c r="D12098" s="43" t="n">
        <v>175</v>
      </c>
      <c r="E12098" s="44" t="n">
        <v>4008.6365</v>
      </c>
    </row>
    <row r="12099">
      <c r="A12099" s="39">
        <f>_xlfn.XLOOKUP(80388,Trip[shape_id],Trip[shape_id],"Não encontrado")</f>
        <v/>
      </c>
      <c r="B12099" s="40" t="n">
        <v>-23.566871</v>
      </c>
      <c r="C12099" s="40" t="n">
        <v>-46.543981</v>
      </c>
      <c r="D12099" s="40" t="n">
        <v>176</v>
      </c>
      <c r="E12099" s="41" t="n">
        <v>4022.8726</v>
      </c>
    </row>
    <row r="12100">
      <c r="A12100" s="42">
        <f>_xlfn.XLOOKUP(80388,Trip[shape_id],Trip[shape_id],"Não encontrado")</f>
        <v/>
      </c>
      <c r="B12100" s="43" t="n">
        <v>-23.56699</v>
      </c>
      <c r="C12100" s="43" t="n">
        <v>-46.543924</v>
      </c>
      <c r="D12100" s="43" t="n">
        <v>177</v>
      </c>
      <c r="E12100" s="44" t="n">
        <v>4037.2798</v>
      </c>
    </row>
    <row r="12101">
      <c r="A12101" s="39">
        <f>_xlfn.XLOOKUP(80388,Trip[shape_id],Trip[shape_id],"Não encontrado")</f>
        <v/>
      </c>
      <c r="B12101" s="40" t="n">
        <v>-23.567164</v>
      </c>
      <c r="C12101" s="40" t="n">
        <v>-46.543838</v>
      </c>
      <c r="D12101" s="40" t="n">
        <v>178</v>
      </c>
      <c r="E12101" s="41" t="n">
        <v>4058.4563</v>
      </c>
    </row>
    <row r="12102">
      <c r="A12102" s="42">
        <f>_xlfn.XLOOKUP(80388,Trip[shape_id],Trip[shape_id],"Não encontrado")</f>
        <v/>
      </c>
      <c r="B12102" s="43" t="n">
        <v>-23.567382</v>
      </c>
      <c r="C12102" s="43" t="n">
        <v>-46.543891</v>
      </c>
      <c r="D12102" s="43" t="n">
        <v>179</v>
      </c>
      <c r="E12102" s="44" t="n">
        <v>4083.199</v>
      </c>
    </row>
    <row r="12103">
      <c r="A12103" s="39">
        <f>_xlfn.XLOOKUP(80388,Trip[shape_id],Trip[shape_id],"Não encontrado")</f>
        <v/>
      </c>
      <c r="B12103" s="40" t="n">
        <v>-23.567528</v>
      </c>
      <c r="C12103" s="40" t="n">
        <v>-46.54392</v>
      </c>
      <c r="D12103" s="40" t="n">
        <v>180</v>
      </c>
      <c r="E12103" s="41" t="n">
        <v>4099.6377</v>
      </c>
    </row>
    <row r="12104">
      <c r="A12104" s="42">
        <f>_xlfn.XLOOKUP(80388,Trip[shape_id],Trip[shape_id],"Não encontrado")</f>
        <v/>
      </c>
      <c r="B12104" s="43" t="n">
        <v>-23.567636</v>
      </c>
      <c r="C12104" s="43" t="n">
        <v>-46.543942</v>
      </c>
      <c r="D12104" s="43" t="n">
        <v>181</v>
      </c>
      <c r="E12104" s="44" t="n">
        <v>4111.8076</v>
      </c>
    </row>
    <row r="12105">
      <c r="A12105" s="39">
        <f>_xlfn.XLOOKUP(80388,Trip[shape_id],Trip[shape_id],"Não encontrado")</f>
        <v/>
      </c>
      <c r="B12105" s="40" t="n">
        <v>-23.567815</v>
      </c>
      <c r="C12105" s="40" t="n">
        <v>-46.54403</v>
      </c>
      <c r="D12105" s="40" t="n">
        <v>182</v>
      </c>
      <c r="E12105" s="41" t="n">
        <v>4133.5728</v>
      </c>
    </row>
    <row r="12106">
      <c r="A12106" s="42">
        <f>_xlfn.XLOOKUP(80388,Trip[shape_id],Trip[shape_id],"Não encontrado")</f>
        <v/>
      </c>
      <c r="B12106" s="43" t="n">
        <v>-23.5679</v>
      </c>
      <c r="C12106" s="43" t="n">
        <v>-46.544089</v>
      </c>
      <c r="D12106" s="43" t="n">
        <v>183</v>
      </c>
      <c r="E12106" s="44" t="n">
        <v>4144.7485</v>
      </c>
    </row>
    <row r="12107">
      <c r="A12107" s="39">
        <f>_xlfn.XLOOKUP(80388,Trip[shape_id],Trip[shape_id],"Não encontrado")</f>
        <v/>
      </c>
      <c r="B12107" s="40" t="n">
        <v>-23.567989</v>
      </c>
      <c r="C12107" s="40" t="n">
        <v>-46.544149</v>
      </c>
      <c r="D12107" s="40" t="n">
        <v>184</v>
      </c>
      <c r="E12107" s="41" t="n">
        <v>4156.3535</v>
      </c>
    </row>
    <row r="12108">
      <c r="A12108" s="42">
        <f>_xlfn.XLOOKUP(80388,Trip[shape_id],Trip[shape_id],"Não encontrado")</f>
        <v/>
      </c>
      <c r="B12108" s="43" t="n">
        <v>-23.568115</v>
      </c>
      <c r="C12108" s="43" t="n">
        <v>-46.544261</v>
      </c>
      <c r="D12108" s="43" t="n">
        <v>185</v>
      </c>
      <c r="E12108" s="44" t="n">
        <v>4174.3945</v>
      </c>
    </row>
    <row r="12109">
      <c r="A12109" s="39">
        <f>_xlfn.XLOOKUP(80388,Trip[shape_id],Trip[shape_id],"Não encontrado")</f>
        <v/>
      </c>
      <c r="B12109" s="40" t="n">
        <v>-23.568303</v>
      </c>
      <c r="C12109" s="40" t="n">
        <v>-46.544459</v>
      </c>
      <c r="D12109" s="40" t="n">
        <v>186</v>
      </c>
      <c r="E12109" s="41" t="n">
        <v>4203.4141</v>
      </c>
    </row>
    <row r="12110">
      <c r="A12110" s="42">
        <f>_xlfn.XLOOKUP(80388,Trip[shape_id],Trip[shape_id],"Não encontrado")</f>
        <v/>
      </c>
      <c r="B12110" s="43" t="n">
        <v>-23.568446</v>
      </c>
      <c r="C12110" s="43" t="n">
        <v>-46.544675</v>
      </c>
      <c r="D12110" s="43" t="n">
        <v>187</v>
      </c>
      <c r="E12110" s="44" t="n">
        <v>4230.563</v>
      </c>
    </row>
    <row r="12111">
      <c r="A12111" s="39">
        <f>_xlfn.XLOOKUP(80388,Trip[shape_id],Trip[shape_id],"Não encontrado")</f>
        <v/>
      </c>
      <c r="B12111" s="40" t="n">
        <v>-23.568586</v>
      </c>
      <c r="C12111" s="40" t="n">
        <v>-46.54489</v>
      </c>
      <c r="D12111" s="40" t="n">
        <v>188</v>
      </c>
      <c r="E12111" s="41" t="n">
        <v>4257.4365</v>
      </c>
    </row>
    <row r="12112">
      <c r="A12112" s="42">
        <f>_xlfn.XLOOKUP(80388,Trip[shape_id],Trip[shape_id],"Não encontrado")</f>
        <v/>
      </c>
      <c r="B12112" s="43" t="n">
        <v>-23.568692</v>
      </c>
      <c r="C12112" s="43" t="n">
        <v>-46.545094</v>
      </c>
      <c r="D12112" s="43" t="n">
        <v>189</v>
      </c>
      <c r="E12112" s="44" t="n">
        <v>4281.3438</v>
      </c>
    </row>
    <row r="12113">
      <c r="A12113" s="39">
        <f>_xlfn.XLOOKUP(80388,Trip[shape_id],Trip[shape_id],"Não encontrado")</f>
        <v/>
      </c>
      <c r="B12113" s="40" t="n">
        <v>-23.568785</v>
      </c>
      <c r="C12113" s="40" t="n">
        <v>-46.54539</v>
      </c>
      <c r="D12113" s="40" t="n">
        <v>190</v>
      </c>
      <c r="E12113" s="41" t="n">
        <v>4313.269</v>
      </c>
    </row>
    <row r="12114">
      <c r="A12114" s="42">
        <f>_xlfn.XLOOKUP(80388,Trip[shape_id],Trip[shape_id],"Não encontrado")</f>
        <v/>
      </c>
      <c r="B12114" s="43" t="n">
        <v>-23.568813</v>
      </c>
      <c r="C12114" s="43" t="n">
        <v>-46.545472</v>
      </c>
      <c r="D12114" s="43" t="n">
        <v>191</v>
      </c>
      <c r="E12114" s="44" t="n">
        <v>4322.1958</v>
      </c>
    </row>
    <row r="12115">
      <c r="A12115" s="39">
        <f>_xlfn.XLOOKUP(80388,Trip[shape_id],Trip[shape_id],"Não encontrado")</f>
        <v/>
      </c>
      <c r="B12115" s="40" t="n">
        <v>-23.56885</v>
      </c>
      <c r="C12115" s="40" t="n">
        <v>-46.545713</v>
      </c>
      <c r="D12115" s="40" t="n">
        <v>192</v>
      </c>
      <c r="E12115" s="41" t="n">
        <v>4347.1377</v>
      </c>
    </row>
    <row r="12116">
      <c r="A12116" s="42">
        <f>_xlfn.XLOOKUP(80388,Trip[shape_id],Trip[shape_id],"Não encontrado")</f>
        <v/>
      </c>
      <c r="B12116" s="43" t="n">
        <v>-23.568878</v>
      </c>
      <c r="C12116" s="43" t="n">
        <v>-46.545897</v>
      </c>
      <c r="D12116" s="43" t="n">
        <v>193</v>
      </c>
      <c r="E12116" s="44" t="n">
        <v>4366.1758</v>
      </c>
    </row>
    <row r="12117">
      <c r="A12117" s="39">
        <f>_xlfn.XLOOKUP(80388,Trip[shape_id],Trip[shape_id],"Não encontrado")</f>
        <v/>
      </c>
      <c r="B12117" s="40" t="n">
        <v>-23.568903</v>
      </c>
      <c r="C12117" s="40" t="n">
        <v>-46.546207</v>
      </c>
      <c r="D12117" s="40" t="n">
        <v>194</v>
      </c>
      <c r="E12117" s="41" t="n">
        <v>4397.9438</v>
      </c>
    </row>
    <row r="12118">
      <c r="A12118" s="42">
        <f>_xlfn.XLOOKUP(80388,Trip[shape_id],Trip[shape_id],"Não encontrado")</f>
        <v/>
      </c>
      <c r="B12118" s="43" t="n">
        <v>-23.568949</v>
      </c>
      <c r="C12118" s="43" t="n">
        <v>-46.546451</v>
      </c>
      <c r="D12118" s="43" t="n">
        <v>195</v>
      </c>
      <c r="E12118" s="44" t="n">
        <v>4423.3687</v>
      </c>
    </row>
    <row r="12119">
      <c r="A12119" s="39">
        <f>_xlfn.XLOOKUP(80388,Trip[shape_id],Trip[shape_id],"Não encontrado")</f>
        <v/>
      </c>
      <c r="B12119" s="40" t="n">
        <v>-23.568994</v>
      </c>
      <c r="C12119" s="40" t="n">
        <v>-46.546629</v>
      </c>
      <c r="D12119" s="40" t="n">
        <v>196</v>
      </c>
      <c r="E12119" s="41" t="n">
        <v>4442.2114</v>
      </c>
    </row>
    <row r="12120">
      <c r="A12120" s="42">
        <f>_xlfn.XLOOKUP(80388,Trip[shape_id],Trip[shape_id],"Não encontrado")</f>
        <v/>
      </c>
      <c r="B12120" s="43" t="n">
        <v>-23.569093</v>
      </c>
      <c r="C12120" s="43" t="n">
        <v>-46.546895</v>
      </c>
      <c r="D12120" s="43" t="n">
        <v>197</v>
      </c>
      <c r="E12120" s="44" t="n">
        <v>4471.4966</v>
      </c>
    </row>
    <row r="12121">
      <c r="A12121" s="39">
        <f>_xlfn.XLOOKUP(80388,Trip[shape_id],Trip[shape_id],"Não encontrado")</f>
        <v/>
      </c>
      <c r="B12121" s="40" t="n">
        <v>-23.569239</v>
      </c>
      <c r="C12121" s="40" t="n">
        <v>-46.547157</v>
      </c>
      <c r="D12121" s="40" t="n">
        <v>198</v>
      </c>
      <c r="E12121" s="41" t="n">
        <v>4502.7515</v>
      </c>
    </row>
    <row r="12122">
      <c r="A12122" s="42">
        <f>_xlfn.XLOOKUP(80388,Trip[shape_id],Trip[shape_id],"Não encontrado")</f>
        <v/>
      </c>
      <c r="B12122" s="43" t="n">
        <v>-23.569307</v>
      </c>
      <c r="C12122" s="43" t="n">
        <v>-46.547274</v>
      </c>
      <c r="D12122" s="43" t="n">
        <v>199</v>
      </c>
      <c r="E12122" s="44" t="n">
        <v>4516.8716</v>
      </c>
    </row>
    <row r="12123">
      <c r="A12123" s="39">
        <f>_xlfn.XLOOKUP(80388,Trip[shape_id],Trip[shape_id],"Não encontrado")</f>
        <v/>
      </c>
      <c r="B12123" s="40" t="n">
        <v>-23.569397</v>
      </c>
      <c r="C12123" s="40" t="n">
        <v>-46.547424</v>
      </c>
      <c r="D12123" s="40" t="n">
        <v>200</v>
      </c>
      <c r="E12123" s="41" t="n">
        <v>4535.1431</v>
      </c>
    </row>
    <row r="12124">
      <c r="A12124" s="42">
        <f>_xlfn.XLOOKUP(80388,Trip[shape_id],Trip[shape_id],"Não encontrado")</f>
        <v/>
      </c>
      <c r="B12124" s="43" t="n">
        <v>-23.56946</v>
      </c>
      <c r="C12124" s="43" t="n">
        <v>-46.547519</v>
      </c>
      <c r="D12124" s="43" t="n">
        <v>201</v>
      </c>
      <c r="E12124" s="44" t="n">
        <v>4547.0903</v>
      </c>
    </row>
    <row r="12125">
      <c r="A12125" s="39">
        <f>_xlfn.XLOOKUP(80388,Trip[shape_id],Trip[shape_id],"Não encontrado")</f>
        <v/>
      </c>
      <c r="B12125" s="40" t="n">
        <v>-23.569589</v>
      </c>
      <c r="C12125" s="40" t="n">
        <v>-46.547695</v>
      </c>
      <c r="D12125" s="40" t="n">
        <v>202</v>
      </c>
      <c r="E12125" s="41" t="n">
        <v>4570.0454</v>
      </c>
    </row>
    <row r="12126">
      <c r="A12126" s="42">
        <f>_xlfn.XLOOKUP(80388,Trip[shape_id],Trip[shape_id],"Não encontrado")</f>
        <v/>
      </c>
      <c r="B12126" s="43" t="n">
        <v>-23.569857</v>
      </c>
      <c r="C12126" s="43" t="n">
        <v>-46.548027</v>
      </c>
      <c r="D12126" s="43" t="n">
        <v>203</v>
      </c>
      <c r="E12126" s="44" t="n">
        <v>4615.0981</v>
      </c>
    </row>
    <row r="12127">
      <c r="A12127" s="39">
        <f>_xlfn.XLOOKUP(80388,Trip[shape_id],Trip[shape_id],"Não encontrado")</f>
        <v/>
      </c>
      <c r="B12127" s="40" t="n">
        <v>-23.570008</v>
      </c>
      <c r="C12127" s="40" t="n">
        <v>-46.548157</v>
      </c>
      <c r="D12127" s="40" t="n">
        <v>204</v>
      </c>
      <c r="E12127" s="41" t="n">
        <v>4636.4478</v>
      </c>
    </row>
    <row r="12128">
      <c r="A12128" s="42">
        <f>_xlfn.XLOOKUP(80388,Trip[shape_id],Trip[shape_id],"Não encontrado")</f>
        <v/>
      </c>
      <c r="B12128" s="43" t="n">
        <v>-23.570144</v>
      </c>
      <c r="C12128" s="43" t="n">
        <v>-46.548305</v>
      </c>
      <c r="D12128" s="43" t="n">
        <v>205</v>
      </c>
      <c r="E12128" s="44" t="n">
        <v>4657.7817</v>
      </c>
    </row>
    <row r="12129">
      <c r="A12129" s="39">
        <f>_xlfn.XLOOKUP(80388,Trip[shape_id],Trip[shape_id],"Não encontrado")</f>
        <v/>
      </c>
      <c r="B12129" s="40" t="n">
        <v>-23.570193</v>
      </c>
      <c r="C12129" s="40" t="n">
        <v>-46.548471</v>
      </c>
      <c r="D12129" s="40" t="n">
        <v>206</v>
      </c>
      <c r="E12129" s="41" t="n">
        <v>4675.5762</v>
      </c>
    </row>
    <row r="12130">
      <c r="A12130" s="42">
        <f>_xlfn.XLOOKUP(80388,Trip[shape_id],Trip[shape_id],"Não encontrado")</f>
        <v/>
      </c>
      <c r="B12130" s="43" t="n">
        <v>-23.570212</v>
      </c>
      <c r="C12130" s="43" t="n">
        <v>-46.54859</v>
      </c>
      <c r="D12130" s="43" t="n">
        <v>207</v>
      </c>
      <c r="E12130" s="44" t="n">
        <v>4687.9058</v>
      </c>
    </row>
    <row r="12131">
      <c r="A12131" s="39">
        <f>_xlfn.XLOOKUP(80388,Trip[shape_id],Trip[shape_id],"Não encontrado")</f>
        <v/>
      </c>
      <c r="B12131" s="40" t="n">
        <v>-23.570209</v>
      </c>
      <c r="C12131" s="40" t="n">
        <v>-46.548688</v>
      </c>
      <c r="D12131" s="40" t="n">
        <v>208</v>
      </c>
      <c r="E12131" s="41" t="n">
        <v>4697.9155</v>
      </c>
    </row>
    <row r="12132">
      <c r="A12132" s="42">
        <f>_xlfn.XLOOKUP(80388,Trip[shape_id],Trip[shape_id],"Não encontrado")</f>
        <v/>
      </c>
      <c r="B12132" s="43" t="n">
        <v>-23.570187</v>
      </c>
      <c r="C12132" s="43" t="n">
        <v>-46.548846</v>
      </c>
      <c r="D12132" s="43" t="n">
        <v>209</v>
      </c>
      <c r="E12132" s="44" t="n">
        <v>4714.2285</v>
      </c>
    </row>
    <row r="12133">
      <c r="A12133" s="39">
        <f>_xlfn.XLOOKUP(80388,Trip[shape_id],Trip[shape_id],"Não encontrado")</f>
        <v/>
      </c>
      <c r="B12133" s="40" t="n">
        <v>-23.569952</v>
      </c>
      <c r="C12133" s="40" t="n">
        <v>-46.549187</v>
      </c>
      <c r="D12133" s="40" t="n">
        <v>210</v>
      </c>
      <c r="E12133" s="41" t="n">
        <v>4757.6938</v>
      </c>
    </row>
    <row r="12134">
      <c r="A12134" s="42">
        <f>_xlfn.XLOOKUP(80388,Trip[shape_id],Trip[shape_id],"Não encontrado")</f>
        <v/>
      </c>
      <c r="B12134" s="43" t="n">
        <v>-23.569845</v>
      </c>
      <c r="C12134" s="43" t="n">
        <v>-46.549344</v>
      </c>
      <c r="D12134" s="43" t="n">
        <v>211</v>
      </c>
      <c r="E12134" s="44" t="n">
        <v>4777.627</v>
      </c>
    </row>
    <row r="12135">
      <c r="A12135" s="39">
        <f>_xlfn.XLOOKUP(80388,Trip[shape_id],Trip[shape_id],"Não encontrado")</f>
        <v/>
      </c>
      <c r="B12135" s="40" t="n">
        <v>-23.569811</v>
      </c>
      <c r="C12135" s="40" t="n">
        <v>-46.549446</v>
      </c>
      <c r="D12135" s="40" t="n">
        <v>212</v>
      </c>
      <c r="E12135" s="41" t="n">
        <v>4788.6997</v>
      </c>
    </row>
    <row r="12136">
      <c r="A12136" s="42">
        <f>_xlfn.XLOOKUP(80388,Trip[shape_id],Trip[shape_id],"Não encontrado")</f>
        <v/>
      </c>
      <c r="B12136" s="43" t="n">
        <v>-23.56979</v>
      </c>
      <c r="C12136" s="43" t="n">
        <v>-46.549548</v>
      </c>
      <c r="D12136" s="43" t="n">
        <v>213</v>
      </c>
      <c r="E12136" s="44" t="n">
        <v>4799.3691</v>
      </c>
    </row>
    <row r="12137">
      <c r="A12137" s="39">
        <f>_xlfn.XLOOKUP(80388,Trip[shape_id],Trip[shape_id],"Não encontrado")</f>
        <v/>
      </c>
      <c r="B12137" s="40" t="n">
        <v>-23.569782</v>
      </c>
      <c r="C12137" s="40" t="n">
        <v>-46.549657</v>
      </c>
      <c r="D12137" s="40" t="n">
        <v>214</v>
      </c>
      <c r="E12137" s="41" t="n">
        <v>4810.5322</v>
      </c>
    </row>
    <row r="12138">
      <c r="A12138" s="42">
        <f>_xlfn.XLOOKUP(80388,Trip[shape_id],Trip[shape_id],"Não encontrado")</f>
        <v/>
      </c>
      <c r="B12138" s="43" t="n">
        <v>-23.569777</v>
      </c>
      <c r="C12138" s="43" t="n">
        <v>-46.549723</v>
      </c>
      <c r="D12138" s="43" t="n">
        <v>215</v>
      </c>
      <c r="E12138" s="44" t="n">
        <v>4817.293</v>
      </c>
    </row>
    <row r="12139">
      <c r="A12139" s="39">
        <f>_xlfn.XLOOKUP(80388,Trip[shape_id],Trip[shape_id],"Não encontrado")</f>
        <v/>
      </c>
      <c r="B12139" s="40" t="n">
        <v>-23.569776</v>
      </c>
      <c r="C12139" s="40" t="n">
        <v>-46.549802</v>
      </c>
      <c r="D12139" s="40" t="n">
        <v>216</v>
      </c>
      <c r="E12139" s="41" t="n">
        <v>4825.3584</v>
      </c>
    </row>
    <row r="12140">
      <c r="A12140" s="42">
        <f>_xlfn.XLOOKUP(80388,Trip[shape_id],Trip[shape_id],"Não encontrado")</f>
        <v/>
      </c>
      <c r="B12140" s="43" t="n">
        <v>-23.570227</v>
      </c>
      <c r="C12140" s="43" t="n">
        <v>-46.55026</v>
      </c>
      <c r="D12140" s="43" t="n">
        <v>217</v>
      </c>
      <c r="E12140" s="44" t="n">
        <v>4893.7764</v>
      </c>
    </row>
    <row r="12141">
      <c r="A12141" s="39">
        <f>_xlfn.XLOOKUP(80388,Trip[shape_id],Trip[shape_id],"Não encontrado")</f>
        <v/>
      </c>
      <c r="B12141" s="40" t="n">
        <v>-23.570155</v>
      </c>
      <c r="C12141" s="40" t="n">
        <v>-46.550367</v>
      </c>
      <c r="D12141" s="40" t="n">
        <v>218</v>
      </c>
      <c r="E12141" s="41" t="n">
        <v>4907.3003</v>
      </c>
    </row>
    <row r="12142">
      <c r="A12142" s="42">
        <f>_xlfn.XLOOKUP(80388,Trip[shape_id],Trip[shape_id],"Não encontrado")</f>
        <v/>
      </c>
      <c r="B12142" s="43" t="n">
        <v>-23.57011</v>
      </c>
      <c r="C12142" s="43" t="n">
        <v>-46.550483</v>
      </c>
      <c r="D12142" s="43" t="n">
        <v>219</v>
      </c>
      <c r="E12142" s="44" t="n">
        <v>4920.1484</v>
      </c>
    </row>
    <row r="12143">
      <c r="A12143" s="39">
        <f>_xlfn.XLOOKUP(80388,Trip[shape_id],Trip[shape_id],"Não encontrado")</f>
        <v/>
      </c>
      <c r="B12143" s="40" t="n">
        <v>-23.570005</v>
      </c>
      <c r="C12143" s="40" t="n">
        <v>-46.550788</v>
      </c>
      <c r="D12143" s="40" t="n">
        <v>220</v>
      </c>
      <c r="E12143" s="41" t="n">
        <v>4953.3857</v>
      </c>
    </row>
    <row r="12144">
      <c r="A12144" s="42">
        <f>_xlfn.XLOOKUP(80388,Trip[shape_id],Trip[shape_id],"Não encontrado")</f>
        <v/>
      </c>
      <c r="B12144" s="43" t="n">
        <v>-23.569896</v>
      </c>
      <c r="C12144" s="43" t="n">
        <v>-46.551086</v>
      </c>
      <c r="D12144" s="43" t="n">
        <v>221</v>
      </c>
      <c r="E12144" s="44" t="n">
        <v>4986.1152</v>
      </c>
    </row>
    <row r="12145">
      <c r="A12145" s="39">
        <f>_xlfn.XLOOKUP(80388,Trip[shape_id],Trip[shape_id],"Não encontrado")</f>
        <v/>
      </c>
      <c r="B12145" s="40" t="n">
        <v>-23.569721</v>
      </c>
      <c r="C12145" s="40" t="n">
        <v>-46.551551</v>
      </c>
      <c r="D12145" s="40" t="n">
        <v>222</v>
      </c>
      <c r="E12145" s="41" t="n">
        <v>5037.3896</v>
      </c>
    </row>
    <row r="12146">
      <c r="A12146" s="42">
        <f>_xlfn.XLOOKUP(80388,Trip[shape_id],Trip[shape_id],"Não encontrado")</f>
        <v/>
      </c>
      <c r="B12146" s="43" t="n">
        <v>-23.569661</v>
      </c>
      <c r="C12146" s="43" t="n">
        <v>-46.551679</v>
      </c>
      <c r="D12146" s="43" t="n">
        <v>223</v>
      </c>
      <c r="E12146" s="44" t="n">
        <v>5052.0498</v>
      </c>
    </row>
    <row r="12147">
      <c r="A12147" s="39">
        <f>_xlfn.XLOOKUP(80388,Trip[shape_id],Trip[shape_id],"Não encontrado")</f>
        <v/>
      </c>
      <c r="B12147" s="40" t="n">
        <v>-23.56948</v>
      </c>
      <c r="C12147" s="40" t="n">
        <v>-46.552046</v>
      </c>
      <c r="D12147" s="40" t="n">
        <v>224</v>
      </c>
      <c r="E12147" s="41" t="n">
        <v>5094.5415</v>
      </c>
    </row>
    <row r="12148">
      <c r="A12148" s="42">
        <f>_xlfn.XLOOKUP(80388,Trip[shape_id],Trip[shape_id],"Não encontrado")</f>
        <v/>
      </c>
      <c r="B12148" s="43" t="n">
        <v>-23.569349</v>
      </c>
      <c r="C12148" s="43" t="n">
        <v>-46.552288</v>
      </c>
      <c r="D12148" s="43" t="n">
        <v>225</v>
      </c>
      <c r="E12148" s="44" t="n">
        <v>5123.1919</v>
      </c>
    </row>
    <row r="12149">
      <c r="A12149" s="39">
        <f>_xlfn.XLOOKUP(80388,Trip[shape_id],Trip[shape_id],"Não encontrado")</f>
        <v/>
      </c>
      <c r="B12149" s="40" t="n">
        <v>-23.569248</v>
      </c>
      <c r="C12149" s="40" t="n">
        <v>-46.552447</v>
      </c>
      <c r="D12149" s="40" t="n">
        <v>226</v>
      </c>
      <c r="E12149" s="41" t="n">
        <v>5142.9048</v>
      </c>
    </row>
    <row r="12150">
      <c r="A12150" s="42">
        <f>_xlfn.XLOOKUP(80388,Trip[shape_id],Trip[shape_id],"Não encontrado")</f>
        <v/>
      </c>
      <c r="B12150" s="43" t="n">
        <v>-23.568894</v>
      </c>
      <c r="C12150" s="43" t="n">
        <v>-46.552949</v>
      </c>
      <c r="D12150" s="43" t="n">
        <v>227</v>
      </c>
      <c r="E12150" s="44" t="n">
        <v>5207.4297</v>
      </c>
    </row>
    <row r="12151">
      <c r="A12151" s="39">
        <f>_xlfn.XLOOKUP(80388,Trip[shape_id],Trip[shape_id],"Não encontrado")</f>
        <v/>
      </c>
      <c r="B12151" s="40" t="n">
        <v>-23.568589</v>
      </c>
      <c r="C12151" s="40" t="n">
        <v>-46.553294</v>
      </c>
      <c r="D12151" s="40" t="n">
        <v>228</v>
      </c>
      <c r="E12151" s="41" t="n">
        <v>5256.2305</v>
      </c>
    </row>
    <row r="12152">
      <c r="A12152" s="42">
        <f>_xlfn.XLOOKUP(80388,Trip[shape_id],Trip[shape_id],"Não encontrado")</f>
        <v/>
      </c>
      <c r="B12152" s="43" t="n">
        <v>-23.568204</v>
      </c>
      <c r="C12152" s="43" t="n">
        <v>-46.553619</v>
      </c>
      <c r="D12152" s="43" t="n">
        <v>229</v>
      </c>
      <c r="E12152" s="44" t="n">
        <v>5310.2578</v>
      </c>
    </row>
    <row r="12153">
      <c r="A12153" s="39">
        <f>_xlfn.XLOOKUP(80388,Trip[shape_id],Trip[shape_id],"Não encontrado")</f>
        <v/>
      </c>
      <c r="B12153" s="40" t="n">
        <v>-23.567719</v>
      </c>
      <c r="C12153" s="40" t="n">
        <v>-46.553654</v>
      </c>
      <c r="D12153" s="40" t="n">
        <v>230</v>
      </c>
      <c r="E12153" s="41" t="n">
        <v>5364.0913</v>
      </c>
    </row>
    <row r="12154">
      <c r="A12154" s="42">
        <f>_xlfn.XLOOKUP(80388,Trip[shape_id],Trip[shape_id],"Não encontrado")</f>
        <v/>
      </c>
      <c r="B12154" s="43" t="n">
        <v>-23.567603</v>
      </c>
      <c r="C12154" s="43" t="n">
        <v>-46.553666</v>
      </c>
      <c r="D12154" s="43" t="n">
        <v>231</v>
      </c>
      <c r="E12154" s="44" t="n">
        <v>5376.9971</v>
      </c>
    </row>
    <row r="12155">
      <c r="A12155" s="39">
        <f>_xlfn.XLOOKUP(80388,Trip[shape_id],Trip[shape_id],"Não encontrado")</f>
        <v/>
      </c>
      <c r="B12155" s="40" t="n">
        <v>-23.567494</v>
      </c>
      <c r="C12155" s="40" t="n">
        <v>-46.553663</v>
      </c>
      <c r="D12155" s="40" t="n">
        <v>232</v>
      </c>
      <c r="E12155" s="41" t="n">
        <v>5389.0732</v>
      </c>
    </row>
    <row r="12156">
      <c r="A12156" s="42">
        <f>_xlfn.XLOOKUP(80388,Trip[shape_id],Trip[shape_id],"Não encontrado")</f>
        <v/>
      </c>
      <c r="B12156" s="43" t="n">
        <v>-23.567388</v>
      </c>
      <c r="C12156" s="43" t="n">
        <v>-46.553646</v>
      </c>
      <c r="D12156" s="43" t="n">
        <v>233</v>
      </c>
      <c r="E12156" s="44" t="n">
        <v>5400.9409</v>
      </c>
    </row>
    <row r="12157">
      <c r="A12157" s="39">
        <f>_xlfn.XLOOKUP(80388,Trip[shape_id],Trip[shape_id],"Não encontrado")</f>
        <v/>
      </c>
      <c r="B12157" s="40" t="n">
        <v>-23.567268</v>
      </c>
      <c r="C12157" s="40" t="n">
        <v>-46.553602</v>
      </c>
      <c r="D12157" s="40" t="n">
        <v>234</v>
      </c>
      <c r="E12157" s="41" t="n">
        <v>5414.9697</v>
      </c>
    </row>
    <row r="12158">
      <c r="A12158" s="42">
        <f>_xlfn.XLOOKUP(80388,Trip[shape_id],Trip[shape_id],"Não encontrado")</f>
        <v/>
      </c>
      <c r="B12158" s="43" t="n">
        <v>-23.567173</v>
      </c>
      <c r="C12158" s="43" t="n">
        <v>-46.553542</v>
      </c>
      <c r="D12158" s="43" t="n">
        <v>235</v>
      </c>
      <c r="E12158" s="44" t="n">
        <v>5427.144</v>
      </c>
    </row>
    <row r="12159">
      <c r="A12159" s="39">
        <f>_xlfn.XLOOKUP(80388,Trip[shape_id],Trip[shape_id],"Não encontrado")</f>
        <v/>
      </c>
      <c r="B12159" s="40" t="n">
        <v>-23.567089</v>
      </c>
      <c r="C12159" s="40" t="n">
        <v>-46.553468</v>
      </c>
      <c r="D12159" s="40" t="n">
        <v>236</v>
      </c>
      <c r="E12159" s="41" t="n">
        <v>5439.1284</v>
      </c>
    </row>
    <row r="12160">
      <c r="A12160" s="42">
        <f>_xlfn.XLOOKUP(80388,Trip[shape_id],Trip[shape_id],"Não encontrado")</f>
        <v/>
      </c>
      <c r="B12160" s="43" t="n">
        <v>-23.567011</v>
      </c>
      <c r="C12160" s="43" t="n">
        <v>-46.553402</v>
      </c>
      <c r="D12160" s="43" t="n">
        <v>237</v>
      </c>
      <c r="E12160" s="44" t="n">
        <v>5450.084</v>
      </c>
    </row>
    <row r="12161">
      <c r="A12161" s="39">
        <f>_xlfn.XLOOKUP(80388,Trip[shape_id],Trip[shape_id],"Não encontrado")</f>
        <v/>
      </c>
      <c r="B12161" s="40" t="n">
        <v>-23.566903</v>
      </c>
      <c r="C12161" s="40" t="n">
        <v>-46.553293</v>
      </c>
      <c r="D12161" s="40" t="n">
        <v>238</v>
      </c>
      <c r="E12161" s="41" t="n">
        <v>5466.4209</v>
      </c>
    </row>
    <row r="12162">
      <c r="A12162" s="42">
        <f>_xlfn.XLOOKUP(80388,Trip[shape_id],Trip[shape_id],"Não encontrado")</f>
        <v/>
      </c>
      <c r="B12162" s="43" t="n">
        <v>-23.566844</v>
      </c>
      <c r="C12162" s="43" t="n">
        <v>-46.553206</v>
      </c>
      <c r="D12162" s="43" t="n">
        <v>239</v>
      </c>
      <c r="E12162" s="44" t="n">
        <v>5477.4473</v>
      </c>
    </row>
    <row r="12163">
      <c r="A12163" s="39">
        <f>_xlfn.XLOOKUP(80388,Trip[shape_id],Trip[shape_id],"Não encontrado")</f>
        <v/>
      </c>
      <c r="B12163" s="40" t="n">
        <v>-23.566692</v>
      </c>
      <c r="C12163" s="40" t="n">
        <v>-46.552969</v>
      </c>
      <c r="D12163" s="40" t="n">
        <v>240</v>
      </c>
      <c r="E12163" s="41" t="n">
        <v>5506.9229</v>
      </c>
    </row>
    <row r="12164">
      <c r="A12164" s="42">
        <f>_xlfn.XLOOKUP(80388,Trip[shape_id],Trip[shape_id],"Não encontrado")</f>
        <v/>
      </c>
      <c r="B12164" s="43" t="n">
        <v>-23.566647</v>
      </c>
      <c r="C12164" s="43" t="n">
        <v>-46.552828</v>
      </c>
      <c r="D12164" s="43" t="n">
        <v>241</v>
      </c>
      <c r="E12164" s="44" t="n">
        <v>5522.1558</v>
      </c>
    </row>
    <row r="12165">
      <c r="A12165" s="39">
        <f>_xlfn.XLOOKUP(80388,Trip[shape_id],Trip[shape_id],"Não encontrado")</f>
        <v/>
      </c>
      <c r="B12165" s="40" t="n">
        <v>-23.566611</v>
      </c>
      <c r="C12165" s="40" t="n">
        <v>-46.552679</v>
      </c>
      <c r="D12165" s="40" t="n">
        <v>242</v>
      </c>
      <c r="E12165" s="41" t="n">
        <v>5537.8809</v>
      </c>
    </row>
    <row r="12166">
      <c r="A12166" s="42">
        <f>_xlfn.XLOOKUP(80388,Trip[shape_id],Trip[shape_id],"Não encontrado")</f>
        <v/>
      </c>
      <c r="B12166" s="43" t="n">
        <v>-23.566556</v>
      </c>
      <c r="C12166" s="43" t="n">
        <v>-46.552357</v>
      </c>
      <c r="D12166" s="43" t="n">
        <v>243</v>
      </c>
      <c r="E12166" s="44" t="n">
        <v>5571.313</v>
      </c>
    </row>
    <row r="12167">
      <c r="A12167" s="39">
        <f>_xlfn.XLOOKUP(80388,Trip[shape_id],Trip[shape_id],"Não encontrado")</f>
        <v/>
      </c>
      <c r="B12167" s="40" t="n">
        <v>-23.566535</v>
      </c>
      <c r="C12167" s="40" t="n">
        <v>-46.552221</v>
      </c>
      <c r="D12167" s="40" t="n">
        <v>244</v>
      </c>
      <c r="E12167" s="41" t="n">
        <v>5585.3911</v>
      </c>
    </row>
    <row r="12168">
      <c r="A12168" s="42">
        <f>_xlfn.XLOOKUP(80388,Trip[shape_id],Trip[shape_id],"Não encontrado")</f>
        <v/>
      </c>
      <c r="B12168" s="43" t="n">
        <v>-23.566493</v>
      </c>
      <c r="C12168" s="43" t="n">
        <v>-46.551938</v>
      </c>
      <c r="D12168" s="43" t="n">
        <v>245</v>
      </c>
      <c r="E12168" s="44" t="n">
        <v>5614.6543</v>
      </c>
    </row>
    <row r="12169">
      <c r="A12169" s="39">
        <f>_xlfn.XLOOKUP(80388,Trip[shape_id],Trip[shape_id],"Não encontrado")</f>
        <v/>
      </c>
      <c r="B12169" s="40" t="n">
        <v>-23.566482</v>
      </c>
      <c r="C12169" s="40" t="n">
        <v>-46.551877</v>
      </c>
      <c r="D12169" s="40" t="n">
        <v>246</v>
      </c>
      <c r="E12169" s="41" t="n">
        <v>5620.9995</v>
      </c>
    </row>
    <row r="12170">
      <c r="A12170" s="42">
        <f>_xlfn.XLOOKUP(80388,Trip[shape_id],Trip[shape_id],"Não encontrado")</f>
        <v/>
      </c>
      <c r="B12170" s="43" t="n">
        <v>-23.566462</v>
      </c>
      <c r="C12170" s="43" t="n">
        <v>-46.551798</v>
      </c>
      <c r="D12170" s="43" t="n">
        <v>247</v>
      </c>
      <c r="E12170" s="44" t="n">
        <v>5645.6045</v>
      </c>
    </row>
    <row r="12171">
      <c r="A12171" s="39">
        <f>_xlfn.XLOOKUP(80388,Trip[shape_id],Trip[shape_id],"Não encontrado")</f>
        <v/>
      </c>
      <c r="B12171" s="40" t="n">
        <v>-23.566429</v>
      </c>
      <c r="C12171" s="40" t="n">
        <v>-46.551643</v>
      </c>
      <c r="D12171" s="40" t="n">
        <v>248</v>
      </c>
      <c r="E12171" s="41" t="n">
        <v>5645.6045</v>
      </c>
    </row>
    <row r="12172">
      <c r="A12172" s="42">
        <f>_xlfn.XLOOKUP(80388,Trip[shape_id],Trip[shape_id],"Não encontrado")</f>
        <v/>
      </c>
      <c r="B12172" s="43" t="n">
        <v>-23.566371</v>
      </c>
      <c r="C12172" s="43" t="n">
        <v>-46.551515</v>
      </c>
      <c r="D12172" s="43" t="n">
        <v>249</v>
      </c>
      <c r="E12172" s="44" t="n">
        <v>5674.2271</v>
      </c>
    </row>
    <row r="12173">
      <c r="A12173" s="39">
        <f>_xlfn.XLOOKUP(80388,Trip[shape_id],Trip[shape_id],"Não encontrado")</f>
        <v/>
      </c>
      <c r="B12173" s="40" t="n">
        <v>-23.566304</v>
      </c>
      <c r="C12173" s="40" t="n">
        <v>-46.551398</v>
      </c>
      <c r="D12173" s="40" t="n">
        <v>250</v>
      </c>
      <c r="E12173" s="41" t="n">
        <v>5689.8682</v>
      </c>
    </row>
    <row r="12174">
      <c r="A12174" s="42">
        <f>_xlfn.XLOOKUP(80388,Trip[shape_id],Trip[shape_id],"Não encontrado")</f>
        <v/>
      </c>
      <c r="B12174" s="43" t="n">
        <v>-23.566225</v>
      </c>
      <c r="C12174" s="43" t="n">
        <v>-46.551271</v>
      </c>
      <c r="D12174" s="43" t="n">
        <v>251</v>
      </c>
      <c r="E12174" s="44" t="n">
        <v>5689.8682</v>
      </c>
    </row>
    <row r="12175">
      <c r="A12175" s="39">
        <f>_xlfn.XLOOKUP(80388,Trip[shape_id],Trip[shape_id],"Não encontrado")</f>
        <v/>
      </c>
      <c r="B12175" s="40" t="n">
        <v>-23.566019</v>
      </c>
      <c r="C12175" s="40" t="n">
        <v>-46.55102</v>
      </c>
      <c r="D12175" s="40" t="n">
        <v>252</v>
      </c>
      <c r="E12175" s="41" t="n">
        <v>5724.1777</v>
      </c>
    </row>
    <row r="12176">
      <c r="A12176" s="42">
        <f>_xlfn.XLOOKUP(80388,Trip[shape_id],Trip[shape_id],"Não encontrado")</f>
        <v/>
      </c>
      <c r="B12176" s="43" t="n">
        <v>-23.565836</v>
      </c>
      <c r="C12176" s="43" t="n">
        <v>-46.550742</v>
      </c>
      <c r="D12176" s="43" t="n">
        <v>253</v>
      </c>
      <c r="E12176" s="44" t="n">
        <v>5759.0527</v>
      </c>
    </row>
    <row r="12177">
      <c r="A12177" s="39">
        <f>_xlfn.XLOOKUP(80388,Trip[shape_id],Trip[shape_id],"Não encontrado")</f>
        <v/>
      </c>
      <c r="B12177" s="40" t="n">
        <v>-23.565638</v>
      </c>
      <c r="C12177" s="40" t="n">
        <v>-46.550468</v>
      </c>
      <c r="D12177" s="40" t="n">
        <v>254</v>
      </c>
      <c r="E12177" s="41" t="n">
        <v>5817.063</v>
      </c>
    </row>
    <row r="12178">
      <c r="A12178" s="42">
        <f>_xlfn.XLOOKUP(80388,Trip[shape_id],Trip[shape_id],"Não encontrado")</f>
        <v/>
      </c>
      <c r="B12178" s="43" t="n">
        <v>-23.565494</v>
      </c>
      <c r="C12178" s="43" t="n">
        <v>-46.550313</v>
      </c>
      <c r="D12178" s="43" t="n">
        <v>255</v>
      </c>
      <c r="E12178" s="44" t="n">
        <v>5839.9653</v>
      </c>
    </row>
    <row r="12179">
      <c r="A12179" s="39">
        <f>_xlfn.XLOOKUP(80388,Trip[shape_id],Trip[shape_id],"Não encontrado")</f>
        <v/>
      </c>
      <c r="B12179" s="40" t="n">
        <v>-23.565337</v>
      </c>
      <c r="C12179" s="40" t="n">
        <v>-46.550167</v>
      </c>
      <c r="D12179" s="40" t="n">
        <v>256</v>
      </c>
      <c r="E12179" s="41" t="n">
        <v>5839.9653</v>
      </c>
    </row>
    <row r="12180">
      <c r="A12180" s="42">
        <f>_xlfn.XLOOKUP(80388,Trip[shape_id],Trip[shape_id],"Não encontrado")</f>
        <v/>
      </c>
      <c r="B12180" s="43" t="n">
        <v>-23.565382</v>
      </c>
      <c r="C12180" s="43" t="n">
        <v>-46.550082</v>
      </c>
      <c r="D12180" s="43" t="n">
        <v>257</v>
      </c>
      <c r="E12180" s="44" t="n">
        <v>5856.8735</v>
      </c>
    </row>
    <row r="12181">
      <c r="A12181" s="39">
        <f>_xlfn.XLOOKUP(80388,Trip[shape_id],Trip[shape_id],"Não encontrado")</f>
        <v/>
      </c>
      <c r="B12181" s="40" t="n">
        <v>-23.565414</v>
      </c>
      <c r="C12181" s="40" t="n">
        <v>-46.550024</v>
      </c>
      <c r="D12181" s="40" t="n">
        <v>258</v>
      </c>
      <c r="E12181" s="41" t="n">
        <v>5865.7295</v>
      </c>
    </row>
    <row r="12182">
      <c r="A12182" s="42">
        <f>_xlfn.XLOOKUP(80388,Trip[shape_id],Trip[shape_id],"Não encontrado")</f>
        <v/>
      </c>
      <c r="B12182" s="43" t="n">
        <v>-23.565449</v>
      </c>
      <c r="C12182" s="43" t="n">
        <v>-46.549946</v>
      </c>
      <c r="D12182" s="43" t="n">
        <v>259</v>
      </c>
      <c r="E12182" s="44" t="n">
        <v>5879.8198</v>
      </c>
    </row>
    <row r="12183">
      <c r="A12183" s="39">
        <f>_xlfn.XLOOKUP(80388,Trip[shape_id],Trip[shape_id],"Não encontrado")</f>
        <v/>
      </c>
      <c r="B12183" s="40" t="n">
        <v>-23.565483</v>
      </c>
      <c r="C12183" s="40" t="n">
        <v>-46.549813</v>
      </c>
      <c r="D12183" s="40" t="n">
        <v>260</v>
      </c>
      <c r="E12183" s="41" t="n">
        <v>5879.8198</v>
      </c>
    </row>
    <row r="12184">
      <c r="A12184" s="42">
        <f>_xlfn.XLOOKUP(80388,Trip[shape_id],Trip[shape_id],"Não encontrado")</f>
        <v/>
      </c>
      <c r="B12184" s="43" t="n">
        <v>-23.565576</v>
      </c>
      <c r="C12184" s="43" t="n">
        <v>-46.549735</v>
      </c>
      <c r="D12184" s="43" t="n">
        <v>261</v>
      </c>
      <c r="E12184" s="44" t="n">
        <v>5892.8394</v>
      </c>
    </row>
    <row r="12185">
      <c r="A12185" s="39">
        <f>_xlfn.XLOOKUP(80388,Trip[shape_id],Trip[shape_id],"Não encontrado")</f>
        <v/>
      </c>
      <c r="B12185" s="40" t="n">
        <v>-23.56568</v>
      </c>
      <c r="C12185" s="40" t="n">
        <v>-46.54965</v>
      </c>
      <c r="D12185" s="40" t="n">
        <v>262</v>
      </c>
      <c r="E12185" s="41" t="n">
        <v>5924.4097</v>
      </c>
    </row>
    <row r="12186">
      <c r="A12186" s="42">
        <f>_xlfn.XLOOKUP(80388,Trip[shape_id],Trip[shape_id],"Não encontrado")</f>
        <v/>
      </c>
      <c r="B12186" s="43" t="n">
        <v>-23.565792</v>
      </c>
      <c r="C12186" s="43" t="n">
        <v>-46.549534</v>
      </c>
      <c r="D12186" s="43" t="n">
        <v>263</v>
      </c>
      <c r="E12186" s="44" t="n">
        <v>5924.4097</v>
      </c>
    </row>
    <row r="12187">
      <c r="A12187" s="39">
        <f>_xlfn.XLOOKUP(80388,Trip[shape_id],Trip[shape_id],"Não encontrado")</f>
        <v/>
      </c>
      <c r="B12187" s="40" t="n">
        <v>-23.565595</v>
      </c>
      <c r="C12187" s="40" t="n">
        <v>-46.549423</v>
      </c>
      <c r="D12187" s="40" t="n">
        <v>264</v>
      </c>
      <c r="E12187" s="41" t="n">
        <v>5948.9951</v>
      </c>
    </row>
    <row r="12188">
      <c r="A12188" s="42">
        <f>_xlfn.XLOOKUP(80388,Trip[shape_id],Trip[shape_id],"Não encontrado")</f>
        <v/>
      </c>
      <c r="B12188" s="43" t="n">
        <v>-23.565416</v>
      </c>
      <c r="C12188" s="43" t="n">
        <v>-46.549298</v>
      </c>
      <c r="D12188" s="43" t="n">
        <v>265</v>
      </c>
      <c r="E12188" s="44" t="n">
        <v>6024.8545</v>
      </c>
    </row>
    <row r="12189">
      <c r="A12189" s="39">
        <f>_xlfn.XLOOKUP(80388,Trip[shape_id],Trip[shape_id],"Não encontrado")</f>
        <v/>
      </c>
      <c r="B12189" s="40" t="n">
        <v>-23.565004</v>
      </c>
      <c r="C12189" s="40" t="n">
        <v>-46.549048</v>
      </c>
      <c r="D12189" s="40" t="n">
        <v>266</v>
      </c>
      <c r="E12189" s="41" t="n">
        <v>6024.8545</v>
      </c>
    </row>
    <row r="12190">
      <c r="A12190" s="42">
        <f>_xlfn.XLOOKUP(80388,Trip[shape_id],Trip[shape_id],"Não encontrado")</f>
        <v/>
      </c>
      <c r="B12190" s="43" t="n">
        <v>-23.564939</v>
      </c>
      <c r="C12190" s="43" t="n">
        <v>-46.548986</v>
      </c>
      <c r="D12190" s="43" t="n">
        <v>267</v>
      </c>
      <c r="E12190" s="44" t="n">
        <v>6034.4409</v>
      </c>
    </row>
    <row r="12191">
      <c r="A12191" s="39">
        <f>_xlfn.XLOOKUP(80388,Trip[shape_id],Trip[shape_id],"Não encontrado")</f>
        <v/>
      </c>
      <c r="B12191" s="40" t="n">
        <v>-23.564786</v>
      </c>
      <c r="C12191" s="40" t="n">
        <v>-46.548763</v>
      </c>
      <c r="D12191" s="40" t="n">
        <v>268</v>
      </c>
      <c r="E12191" s="41" t="n">
        <v>6062.8213</v>
      </c>
    </row>
    <row r="12192">
      <c r="A12192" s="42">
        <f>_xlfn.XLOOKUP(80388,Trip[shape_id],Trip[shape_id],"Não encontrado")</f>
        <v/>
      </c>
      <c r="B12192" s="43" t="n">
        <v>-23.564678</v>
      </c>
      <c r="C12192" s="43" t="n">
        <v>-46.548598</v>
      </c>
      <c r="D12192" s="43" t="n">
        <v>269</v>
      </c>
      <c r="E12192" s="44" t="n">
        <v>6083.481</v>
      </c>
    </row>
    <row r="12193">
      <c r="A12193" s="39">
        <f>_xlfn.XLOOKUP(80388,Trip[shape_id],Trip[shape_id],"Não encontrado")</f>
        <v/>
      </c>
      <c r="B12193" s="40" t="n">
        <v>-23.564612</v>
      </c>
      <c r="C12193" s="40" t="n">
        <v>-46.548448</v>
      </c>
      <c r="D12193" s="40" t="n">
        <v>270</v>
      </c>
      <c r="E12193" s="41" t="n">
        <v>6100.4497</v>
      </c>
    </row>
    <row r="12194">
      <c r="A12194" s="42">
        <f>_xlfn.XLOOKUP(80388,Trip[shape_id],Trip[shape_id],"Não encontrado")</f>
        <v/>
      </c>
      <c r="B12194" s="43" t="n">
        <v>-23.564549</v>
      </c>
      <c r="C12194" s="43" t="n">
        <v>-46.548246</v>
      </c>
      <c r="D12194" s="43" t="n">
        <v>271</v>
      </c>
      <c r="E12194" s="44" t="n">
        <v>6122.2207</v>
      </c>
    </row>
    <row r="12195">
      <c r="A12195" s="39">
        <f>_xlfn.XLOOKUP(80388,Trip[shape_id],Trip[shape_id],"Não encontrado")</f>
        <v/>
      </c>
      <c r="B12195" s="40" t="n">
        <v>-23.564539</v>
      </c>
      <c r="C12195" s="40" t="n">
        <v>-46.548203</v>
      </c>
      <c r="D12195" s="40" t="n">
        <v>272</v>
      </c>
      <c r="E12195" s="41" t="n">
        <v>6126.748</v>
      </c>
    </row>
    <row r="12196">
      <c r="A12196" s="42">
        <f>_xlfn.XLOOKUP(80388,Trip[shape_id],Trip[shape_id],"Não encontrado")</f>
        <v/>
      </c>
      <c r="B12196" s="43" t="n">
        <v>-23.564489</v>
      </c>
      <c r="C12196" s="43" t="n">
        <v>-46.547983</v>
      </c>
      <c r="D12196" s="43" t="n">
        <v>273</v>
      </c>
      <c r="E12196" s="44" t="n">
        <v>6149.8809</v>
      </c>
    </row>
    <row r="12197">
      <c r="A12197" s="39">
        <f>_xlfn.XLOOKUP(80388,Trip[shape_id],Trip[shape_id],"Não encontrado")</f>
        <v/>
      </c>
      <c r="B12197" s="40" t="n">
        <v>-23.564453</v>
      </c>
      <c r="C12197" s="40" t="n">
        <v>-46.547907</v>
      </c>
      <c r="D12197" s="40" t="n">
        <v>274</v>
      </c>
      <c r="E12197" s="41" t="n">
        <v>6158.604</v>
      </c>
    </row>
    <row r="12198">
      <c r="A12198" s="42">
        <f>_xlfn.XLOOKUP(80388,Trip[shape_id],Trip[shape_id],"Não encontrado")</f>
        <v/>
      </c>
      <c r="B12198" s="43" t="n">
        <v>-23.564419</v>
      </c>
      <c r="C12198" s="43" t="n">
        <v>-46.547852</v>
      </c>
      <c r="D12198" s="43" t="n">
        <v>275</v>
      </c>
      <c r="E12198" s="44" t="n">
        <v>6165.3652</v>
      </c>
    </row>
    <row r="12199">
      <c r="A12199" s="39">
        <f>_xlfn.XLOOKUP(80388,Trip[shape_id],Trip[shape_id],"Não encontrado")</f>
        <v/>
      </c>
      <c r="B12199" s="40" t="n">
        <v>-23.564367</v>
      </c>
      <c r="C12199" s="40" t="n">
        <v>-46.547806</v>
      </c>
      <c r="D12199" s="40" t="n">
        <v>276</v>
      </c>
      <c r="E12199" s="41" t="n">
        <v>6172.7964</v>
      </c>
    </row>
    <row r="12200">
      <c r="A12200" s="42">
        <f>_xlfn.XLOOKUP(80388,Trip[shape_id],Trip[shape_id],"Não encontrado")</f>
        <v/>
      </c>
      <c r="B12200" s="43" t="n">
        <v>-23.564318</v>
      </c>
      <c r="C12200" s="43" t="n">
        <v>-46.548</v>
      </c>
      <c r="D12200" s="43" t="n">
        <v>277</v>
      </c>
      <c r="E12200" s="44" t="n">
        <v>6193.3325</v>
      </c>
    </row>
    <row r="12201">
      <c r="A12201" s="39">
        <f>_xlfn.XLOOKUP(80388,Trip[shape_id],Trip[shape_id],"Não encontrado")</f>
        <v/>
      </c>
      <c r="B12201" s="40" t="n">
        <v>-23.564242</v>
      </c>
      <c r="C12201" s="40" t="n">
        <v>-46.548238</v>
      </c>
      <c r="D12201" s="40" t="n">
        <v>278</v>
      </c>
      <c r="E12201" s="41" t="n">
        <v>6219.0469</v>
      </c>
    </row>
    <row r="12202">
      <c r="A12202" s="42">
        <f>_xlfn.XLOOKUP(80388,Trip[shape_id],Trip[shape_id],"Não encontrado")</f>
        <v/>
      </c>
      <c r="B12202" s="43" t="n">
        <v>-23.564224</v>
      </c>
      <c r="C12202" s="43" t="n">
        <v>-46.548283</v>
      </c>
      <c r="D12202" s="43" t="n">
        <v>279</v>
      </c>
      <c r="E12202" s="44" t="n">
        <v>6224.0557</v>
      </c>
    </row>
    <row r="12203">
      <c r="A12203" s="39">
        <f>_xlfn.XLOOKUP(80388,Trip[shape_id],Trip[shape_id],"Não encontrado")</f>
        <v/>
      </c>
      <c r="B12203" s="40" t="n">
        <v>-23.564105</v>
      </c>
      <c r="C12203" s="40" t="n">
        <v>-46.548543</v>
      </c>
      <c r="D12203" s="40" t="n">
        <v>280</v>
      </c>
      <c r="E12203" s="41" t="n">
        <v>6253.6914</v>
      </c>
    </row>
    <row r="12204">
      <c r="A12204" s="42">
        <f>_xlfn.XLOOKUP(80388,Trip[shape_id],Trip[shape_id],"Não encontrado")</f>
        <v/>
      </c>
      <c r="B12204" s="43" t="n">
        <v>-23.563962</v>
      </c>
      <c r="C12204" s="43" t="n">
        <v>-46.548769</v>
      </c>
      <c r="D12204" s="43" t="n">
        <v>281</v>
      </c>
      <c r="E12204" s="44" t="n">
        <v>6281.6768</v>
      </c>
    </row>
    <row r="12205">
      <c r="A12205" s="39">
        <f>_xlfn.XLOOKUP(80388,Trip[shape_id],Trip[shape_id],"Não encontrado")</f>
        <v/>
      </c>
      <c r="B12205" s="40" t="n">
        <v>-23.5638</v>
      </c>
      <c r="C12205" s="40" t="n">
        <v>-46.548977</v>
      </c>
      <c r="D12205" s="40" t="n">
        <v>282</v>
      </c>
      <c r="E12205" s="41" t="n">
        <v>6309.4766</v>
      </c>
    </row>
    <row r="12206">
      <c r="A12206" s="42">
        <f>_xlfn.XLOOKUP(80388,Trip[shape_id],Trip[shape_id],"Não encontrado")</f>
        <v/>
      </c>
      <c r="B12206" s="43" t="n">
        <v>-23.563682</v>
      </c>
      <c r="C12206" s="43" t="n">
        <v>-46.549105</v>
      </c>
      <c r="D12206" s="43" t="n">
        <v>283</v>
      </c>
      <c r="E12206" s="44" t="n">
        <v>6327.958</v>
      </c>
    </row>
    <row r="12207">
      <c r="A12207" s="39">
        <f>_xlfn.XLOOKUP(80388,Trip[shape_id],Trip[shape_id],"Não encontrado")</f>
        <v/>
      </c>
      <c r="B12207" s="40" t="n">
        <v>-23.563414</v>
      </c>
      <c r="C12207" s="40" t="n">
        <v>-46.54937</v>
      </c>
      <c r="D12207" s="40" t="n">
        <v>284</v>
      </c>
      <c r="E12207" s="41" t="n">
        <v>6368.1191</v>
      </c>
    </row>
    <row r="12208">
      <c r="A12208" s="42">
        <f>_xlfn.XLOOKUP(80388,Trip[shape_id],Trip[shape_id],"Não encontrado")</f>
        <v/>
      </c>
      <c r="B12208" s="43" t="n">
        <v>-23.563175</v>
      </c>
      <c r="C12208" s="43" t="n">
        <v>-46.549607</v>
      </c>
      <c r="D12208" s="43" t="n">
        <v>285</v>
      </c>
      <c r="E12208" s="44" t="n">
        <v>6403.981</v>
      </c>
    </row>
    <row r="12209">
      <c r="A12209" s="39">
        <f>_xlfn.XLOOKUP(80388,Trip[shape_id],Trip[shape_id],"Não encontrado")</f>
        <v/>
      </c>
      <c r="B12209" s="40" t="n">
        <v>-23.56271</v>
      </c>
      <c r="C12209" s="40" t="n">
        <v>-46.550095</v>
      </c>
      <c r="D12209" s="40" t="n">
        <v>286</v>
      </c>
      <c r="E12209" s="41" t="n">
        <v>6475.6353</v>
      </c>
    </row>
    <row r="12210">
      <c r="A12210" s="42">
        <f>_xlfn.XLOOKUP(80388,Trip[shape_id],Trip[shape_id],"Não encontrado")</f>
        <v/>
      </c>
      <c r="B12210" s="43" t="n">
        <v>-23.562591</v>
      </c>
      <c r="C12210" s="43" t="n">
        <v>-46.550231</v>
      </c>
      <c r="D12210" s="43" t="n">
        <v>287</v>
      </c>
      <c r="E12210" s="44" t="n">
        <v>6494.7788</v>
      </c>
    </row>
    <row r="12211">
      <c r="A12211" s="39">
        <f>_xlfn.XLOOKUP(80388,Trip[shape_id],Trip[shape_id],"Não encontrado")</f>
        <v/>
      </c>
      <c r="B12211" s="40" t="n">
        <v>-23.562498</v>
      </c>
      <c r="C12211" s="40" t="n">
        <v>-46.550379</v>
      </c>
      <c r="D12211" s="40" t="n">
        <v>288</v>
      </c>
      <c r="E12211" s="41" t="n">
        <v>6513.0654</v>
      </c>
    </row>
    <row r="12212">
      <c r="A12212" s="42">
        <f>_xlfn.XLOOKUP(80388,Trip[shape_id],Trip[shape_id],"Não encontrado")</f>
        <v/>
      </c>
      <c r="B12212" s="43" t="n">
        <v>-23.562414</v>
      </c>
      <c r="C12212" s="43" t="n">
        <v>-46.550573</v>
      </c>
      <c r="D12212" s="43" t="n">
        <v>289</v>
      </c>
      <c r="E12212" s="44" t="n">
        <v>6534.9478</v>
      </c>
    </row>
    <row r="12213">
      <c r="A12213" s="39">
        <f>_xlfn.XLOOKUP(80388,Trip[shape_id],Trip[shape_id],"Não encontrado")</f>
        <v/>
      </c>
      <c r="B12213" s="40" t="n">
        <v>-23.562367</v>
      </c>
      <c r="C12213" s="40" t="n">
        <v>-46.550756</v>
      </c>
      <c r="D12213" s="40" t="n">
        <v>290</v>
      </c>
      <c r="E12213" s="41" t="n">
        <v>6554.3428</v>
      </c>
    </row>
    <row r="12214">
      <c r="A12214" s="42">
        <f>_xlfn.XLOOKUP(80388,Trip[shape_id],Trip[shape_id],"Não encontrado")</f>
        <v/>
      </c>
      <c r="B12214" s="43" t="n">
        <v>-23.562305</v>
      </c>
      <c r="C12214" s="43" t="n">
        <v>-46.551044</v>
      </c>
      <c r="D12214" s="43" t="n">
        <v>291</v>
      </c>
      <c r="E12214" s="44" t="n">
        <v>6584.5366</v>
      </c>
    </row>
    <row r="12215">
      <c r="A12215" s="39">
        <f>_xlfn.XLOOKUP(80388,Trip[shape_id],Trip[shape_id],"Não encontrado")</f>
        <v/>
      </c>
      <c r="B12215" s="40" t="n">
        <v>-23.562325</v>
      </c>
      <c r="C12215" s="40" t="n">
        <v>-46.551401</v>
      </c>
      <c r="D12215" s="40" t="n">
        <v>292</v>
      </c>
      <c r="E12215" s="41" t="n">
        <v>6621.0513</v>
      </c>
    </row>
    <row r="12216">
      <c r="A12216" s="42">
        <f>_xlfn.XLOOKUP(80388,Trip[shape_id],Trip[shape_id],"Não encontrado")</f>
        <v/>
      </c>
      <c r="B12216" s="43" t="n">
        <v>-23.562363</v>
      </c>
      <c r="C12216" s="43" t="n">
        <v>-46.551664</v>
      </c>
      <c r="D12216" s="43" t="n">
        <v>293</v>
      </c>
      <c r="E12216" s="44" t="n">
        <v>6648.2295</v>
      </c>
    </row>
    <row r="12217">
      <c r="A12217" s="39">
        <f>_xlfn.XLOOKUP(80388,Trip[shape_id],Trip[shape_id],"Não encontrado")</f>
        <v/>
      </c>
      <c r="B12217" s="40" t="n">
        <v>-23.562332</v>
      </c>
      <c r="C12217" s="40" t="n">
        <v>-46.551717</v>
      </c>
      <c r="D12217" s="40" t="n">
        <v>294</v>
      </c>
      <c r="E12217" s="41" t="n">
        <v>6654.6382</v>
      </c>
    </row>
    <row r="12218">
      <c r="A12218" s="42">
        <f>_xlfn.XLOOKUP(80388,Trip[shape_id],Trip[shape_id],"Não encontrado")</f>
        <v/>
      </c>
      <c r="B12218" s="43" t="n">
        <v>-23.562289</v>
      </c>
      <c r="C12218" s="43" t="n">
        <v>-46.551805</v>
      </c>
      <c r="D12218" s="43" t="n">
        <v>295</v>
      </c>
      <c r="E12218" s="44" t="n">
        <v>6664.8062</v>
      </c>
    </row>
    <row r="12219">
      <c r="A12219" s="39">
        <f>_xlfn.XLOOKUP(80388,Trip[shape_id],Trip[shape_id],"Não encontrado")</f>
        <v/>
      </c>
      <c r="B12219" s="40" t="n">
        <v>-23.562249</v>
      </c>
      <c r="C12219" s="40" t="n">
        <v>-46.551884</v>
      </c>
      <c r="D12219" s="40" t="n">
        <v>296</v>
      </c>
      <c r="E12219" s="41" t="n">
        <v>6674.0078</v>
      </c>
    </row>
    <row r="12220">
      <c r="A12220" s="42">
        <f>_xlfn.XLOOKUP(80388,Trip[shape_id],Trip[shape_id],"Não encontrado")</f>
        <v/>
      </c>
      <c r="B12220" s="43" t="n">
        <v>-23.562182</v>
      </c>
      <c r="C12220" s="43" t="n">
        <v>-46.552056</v>
      </c>
      <c r="D12220" s="43" t="n">
        <v>297</v>
      </c>
      <c r="E12220" s="44" t="n">
        <v>6693.0713</v>
      </c>
    </row>
    <row r="12221">
      <c r="A12221" s="39">
        <f>_xlfn.XLOOKUP(80388,Trip[shape_id],Trip[shape_id],"Não encontrado")</f>
        <v/>
      </c>
      <c r="B12221" s="40" t="n">
        <v>-23.562132</v>
      </c>
      <c r="C12221" s="40" t="n">
        <v>-46.552176</v>
      </c>
      <c r="D12221" s="40" t="n">
        <v>298</v>
      </c>
      <c r="E12221" s="41" t="n">
        <v>6706.5156</v>
      </c>
    </row>
    <row r="12222">
      <c r="A12222" s="42">
        <f>_xlfn.XLOOKUP(80388,Trip[shape_id],Trip[shape_id],"Não encontrado")</f>
        <v/>
      </c>
      <c r="B12222" s="43" t="n">
        <v>-23.561983</v>
      </c>
      <c r="C12222" s="43" t="n">
        <v>-46.552411</v>
      </c>
      <c r="D12222" s="43" t="n">
        <v>299</v>
      </c>
      <c r="E12222" s="44" t="n">
        <v>6735.6348</v>
      </c>
    </row>
    <row r="12223">
      <c r="A12223" s="39">
        <f>_xlfn.XLOOKUP(80388,Trip[shape_id],Trip[shape_id],"Não encontrado")</f>
        <v/>
      </c>
      <c r="B12223" s="40" t="n">
        <v>-23.561849</v>
      </c>
      <c r="C12223" s="40" t="n">
        <v>-46.552543</v>
      </c>
      <c r="D12223" s="40" t="n">
        <v>300</v>
      </c>
      <c r="E12223" s="41" t="n">
        <v>6755.6812</v>
      </c>
    </row>
    <row r="12224">
      <c r="A12224" s="42">
        <f>_xlfn.XLOOKUP(80388,Trip[shape_id],Trip[shape_id],"Não encontrado")</f>
        <v/>
      </c>
      <c r="B12224" s="43" t="n">
        <v>-23.561805</v>
      </c>
      <c r="C12224" s="43" t="n">
        <v>-46.552587</v>
      </c>
      <c r="D12224" s="43" t="n">
        <v>301</v>
      </c>
      <c r="E12224" s="44" t="n">
        <v>6762.3091</v>
      </c>
    </row>
    <row r="12225">
      <c r="A12225" s="39">
        <f>_xlfn.XLOOKUP(80388,Trip[shape_id],Trip[shape_id],"Não encontrado")</f>
        <v/>
      </c>
      <c r="B12225" s="40" t="n">
        <v>-23.561704</v>
      </c>
      <c r="C12225" s="40" t="n">
        <v>-46.552664</v>
      </c>
      <c r="D12225" s="40" t="n">
        <v>302</v>
      </c>
      <c r="E12225" s="41" t="n">
        <v>6775.981</v>
      </c>
    </row>
    <row r="12226">
      <c r="A12226" s="42">
        <f>_xlfn.XLOOKUP(80388,Trip[shape_id],Trip[shape_id],"Não encontrado")</f>
        <v/>
      </c>
      <c r="B12226" s="43" t="n">
        <v>-23.561602</v>
      </c>
      <c r="C12226" s="43" t="n">
        <v>-46.552743</v>
      </c>
      <c r="D12226" s="43" t="n">
        <v>303</v>
      </c>
      <c r="E12226" s="44" t="n">
        <v>6789.8618</v>
      </c>
    </row>
    <row r="12227">
      <c r="A12227" s="39">
        <f>_xlfn.XLOOKUP(80388,Trip[shape_id],Trip[shape_id],"Não encontrado")</f>
        <v/>
      </c>
      <c r="B12227" s="40" t="n">
        <v>-23.561484</v>
      </c>
      <c r="C12227" s="40" t="n">
        <v>-46.552789</v>
      </c>
      <c r="D12227" s="40" t="n">
        <v>304</v>
      </c>
      <c r="E12227" s="41" t="n">
        <v>6803.7485</v>
      </c>
    </row>
    <row r="12228">
      <c r="A12228" s="42">
        <f>_xlfn.XLOOKUP(80388,Trip[shape_id],Trip[shape_id],"Não encontrado")</f>
        <v/>
      </c>
      <c r="B12228" s="43" t="n">
        <v>-23.560564</v>
      </c>
      <c r="C12228" s="43" t="n">
        <v>-46.552889</v>
      </c>
      <c r="D12228" s="43" t="n">
        <v>305</v>
      </c>
      <c r="E12228" s="44" t="n">
        <v>6906.1504</v>
      </c>
    </row>
    <row r="12229">
      <c r="A12229" s="39">
        <f>_xlfn.XLOOKUP(80388,Trip[shape_id],Trip[shape_id],"Não encontrado")</f>
        <v/>
      </c>
      <c r="B12229" s="40" t="n">
        <v>-23.560001</v>
      </c>
      <c r="C12229" s="40" t="n">
        <v>-46.552947</v>
      </c>
      <c r="D12229" s="40" t="n">
        <v>306</v>
      </c>
      <c r="E12229" s="41" t="n">
        <v>6968.7842</v>
      </c>
    </row>
    <row r="12230">
      <c r="A12230" s="42">
        <f>_xlfn.XLOOKUP(80388,Trip[shape_id],Trip[shape_id],"Não encontrado")</f>
        <v/>
      </c>
      <c r="B12230" s="43" t="n">
        <v>-23.559604</v>
      </c>
      <c r="C12230" s="43" t="n">
        <v>-46.552992</v>
      </c>
      <c r="D12230" s="43" t="n">
        <v>307</v>
      </c>
      <c r="E12230" s="44" t="n">
        <v>7012.9922</v>
      </c>
    </row>
    <row r="12231">
      <c r="A12231" s="39">
        <f>_xlfn.XLOOKUP(80388,Trip[shape_id],Trip[shape_id],"Não encontrado")</f>
        <v/>
      </c>
      <c r="B12231" s="40" t="n">
        <v>-23.559265</v>
      </c>
      <c r="C12231" s="40" t="n">
        <v>-46.553025</v>
      </c>
      <c r="D12231" s="40" t="n">
        <v>308</v>
      </c>
      <c r="E12231" s="41" t="n">
        <v>7050.688</v>
      </c>
    </row>
    <row r="12232">
      <c r="A12232" s="42">
        <f>_xlfn.XLOOKUP(80388,Trip[shape_id],Trip[shape_id],"Não encontrado")</f>
        <v/>
      </c>
      <c r="B12232" s="43" t="n">
        <v>-23.558447</v>
      </c>
      <c r="C12232" s="43" t="n">
        <v>-46.553113</v>
      </c>
      <c r="D12232" s="43" t="n">
        <v>309</v>
      </c>
      <c r="E12232" s="44" t="n">
        <v>7141.7275</v>
      </c>
    </row>
    <row r="12233">
      <c r="A12233" s="39">
        <f>_xlfn.XLOOKUP(80388,Trip[shape_id],Trip[shape_id],"Não encontrado")</f>
        <v/>
      </c>
      <c r="B12233" s="40" t="n">
        <v>-23.558172</v>
      </c>
      <c r="C12233" s="40" t="n">
        <v>-46.553141</v>
      </c>
      <c r="D12233" s="40" t="n">
        <v>310</v>
      </c>
      <c r="E12233" s="41" t="n">
        <v>7172.3179</v>
      </c>
    </row>
    <row r="12234">
      <c r="A12234" s="42">
        <f>_xlfn.XLOOKUP(80388,Trip[shape_id],Trip[shape_id],"Não encontrado")</f>
        <v/>
      </c>
      <c r="B12234" s="43" t="n">
        <v>-23.557415</v>
      </c>
      <c r="C12234" s="43" t="n">
        <v>-46.553214</v>
      </c>
      <c r="D12234" s="43" t="n">
        <v>311</v>
      </c>
      <c r="E12234" s="44" t="n">
        <v>7256.4878</v>
      </c>
    </row>
    <row r="12235">
      <c r="A12235" s="39">
        <f>_xlfn.XLOOKUP(80388,Trip[shape_id],Trip[shape_id],"Não encontrado")</f>
        <v/>
      </c>
      <c r="B12235" s="40" t="n">
        <v>-23.557354</v>
      </c>
      <c r="C12235" s="40" t="n">
        <v>-46.553225</v>
      </c>
      <c r="D12235" s="40" t="n">
        <v>312</v>
      </c>
      <c r="E12235" s="41" t="n">
        <v>7263.3369</v>
      </c>
    </row>
    <row r="12236">
      <c r="A12236" s="42">
        <f>_xlfn.XLOOKUP(80388,Trip[shape_id],Trip[shape_id],"Não encontrado")</f>
        <v/>
      </c>
      <c r="B12236" s="43" t="n">
        <v>-23.557246</v>
      </c>
      <c r="C12236" s="43" t="n">
        <v>-46.553245</v>
      </c>
      <c r="D12236" s="43" t="n">
        <v>313</v>
      </c>
      <c r="E12236" s="44" t="n">
        <v>7275.4712</v>
      </c>
    </row>
    <row r="12237">
      <c r="A12237" s="39">
        <f>_xlfn.XLOOKUP(80388,Trip[shape_id],Trip[shape_id],"Não encontrado")</f>
        <v/>
      </c>
      <c r="B12237" s="40" t="n">
        <v>-23.557197</v>
      </c>
      <c r="C12237" s="40" t="n">
        <v>-46.553253</v>
      </c>
      <c r="D12237" s="40" t="n">
        <v>314</v>
      </c>
      <c r="E12237" s="41" t="n">
        <v>7280.9585</v>
      </c>
    </row>
    <row r="12238">
      <c r="A12238" s="42">
        <f>_xlfn.XLOOKUP(80388,Trip[shape_id],Trip[shape_id],"Não encontrado")</f>
        <v/>
      </c>
      <c r="B12238" s="43" t="n">
        <v>-23.557164</v>
      </c>
      <c r="C12238" s="43" t="n">
        <v>-46.553299</v>
      </c>
      <c r="D12238" s="43" t="n">
        <v>315</v>
      </c>
      <c r="E12238" s="44" t="n">
        <v>7286.9087</v>
      </c>
    </row>
    <row r="12239">
      <c r="A12239" s="39">
        <f>_xlfn.XLOOKUP(80388,Trip[shape_id],Trip[shape_id],"Não encontrado")</f>
        <v/>
      </c>
      <c r="B12239" s="40" t="n">
        <v>-23.55713</v>
      </c>
      <c r="C12239" s="40" t="n">
        <v>-46.553294</v>
      </c>
      <c r="D12239" s="40" t="n">
        <v>316</v>
      </c>
      <c r="E12239" s="41" t="n">
        <v>7290.7095</v>
      </c>
    </row>
    <row r="12240">
      <c r="A12240" s="42">
        <f>_xlfn.XLOOKUP(80388,Trip[shape_id],Trip[shape_id],"Não encontrado")</f>
        <v/>
      </c>
      <c r="B12240" s="43" t="n">
        <v>-23.557062</v>
      </c>
      <c r="C12240" s="43" t="n">
        <v>-46.553334</v>
      </c>
      <c r="D12240" s="43" t="n">
        <v>317</v>
      </c>
      <c r="E12240" s="44" t="n">
        <v>7299.2759</v>
      </c>
    </row>
    <row r="12241">
      <c r="A12241" s="39">
        <f>_xlfn.XLOOKUP(80388,Trip[shape_id],Trip[shape_id],"Não encontrado")</f>
        <v/>
      </c>
      <c r="B12241" s="40" t="n">
        <v>-23.557039</v>
      </c>
      <c r="C12241" s="40" t="n">
        <v>-46.553354</v>
      </c>
      <c r="D12241" s="40" t="n">
        <v>318</v>
      </c>
      <c r="E12241" s="41" t="n">
        <v>7302.5405</v>
      </c>
    </row>
    <row r="12242">
      <c r="A12242" s="42">
        <f>_xlfn.XLOOKUP(80388,Trip[shape_id],Trip[shape_id],"Não encontrado")</f>
        <v/>
      </c>
      <c r="B12242" s="43" t="n">
        <v>-23.556985</v>
      </c>
      <c r="C12242" s="43" t="n">
        <v>-46.553397</v>
      </c>
      <c r="D12242" s="43" t="n">
        <v>319</v>
      </c>
      <c r="E12242" s="44" t="n">
        <v>7309.9595</v>
      </c>
    </row>
    <row r="12243">
      <c r="A12243" s="39">
        <f>_xlfn.XLOOKUP(80388,Trip[shape_id],Trip[shape_id],"Não encontrado")</f>
        <v/>
      </c>
      <c r="B12243" s="40" t="n">
        <v>-23.556788</v>
      </c>
      <c r="C12243" s="40" t="n">
        <v>-46.553561</v>
      </c>
      <c r="D12243" s="40" t="n">
        <v>320</v>
      </c>
      <c r="E12243" s="41" t="n">
        <v>7337.4619</v>
      </c>
    </row>
    <row r="12244">
      <c r="A12244" s="42">
        <f>_xlfn.XLOOKUP(80388,Trip[shape_id],Trip[shape_id],"Não encontrado")</f>
        <v/>
      </c>
      <c r="B12244" s="43" t="n">
        <v>-23.556251</v>
      </c>
      <c r="C12244" s="43" t="n">
        <v>-46.553992</v>
      </c>
      <c r="D12244" s="43" t="n">
        <v>321</v>
      </c>
      <c r="E12244" s="44" t="n">
        <v>7411.4448</v>
      </c>
    </row>
    <row r="12245">
      <c r="A12245" s="39">
        <f>_xlfn.XLOOKUP(80388,Trip[shape_id],Trip[shape_id],"Não encontrado")</f>
        <v/>
      </c>
      <c r="B12245" s="40" t="n">
        <v>-23.556096</v>
      </c>
      <c r="C12245" s="40" t="n">
        <v>-46.554129</v>
      </c>
      <c r="D12245" s="40" t="n">
        <v>322</v>
      </c>
      <c r="E12245" s="41" t="n">
        <v>7433.5884</v>
      </c>
    </row>
    <row r="12246">
      <c r="A12246" s="42">
        <f>_xlfn.XLOOKUP(80388,Trip[shape_id],Trip[shape_id],"Não encontrado")</f>
        <v/>
      </c>
      <c r="B12246" s="43" t="n">
        <v>-23.555412</v>
      </c>
      <c r="C12246" s="43" t="n">
        <v>-46.554079</v>
      </c>
      <c r="D12246" s="43" t="n">
        <v>323</v>
      </c>
      <c r="E12246" s="44" t="n">
        <v>7509.5146</v>
      </c>
    </row>
    <row r="12247">
      <c r="A12247" s="39">
        <f>_xlfn.XLOOKUP(80388,Trip[shape_id],Trip[shape_id],"Não encontrado")</f>
        <v/>
      </c>
      <c r="B12247" s="40" t="n">
        <v>-23.554148</v>
      </c>
      <c r="C12247" s="40" t="n">
        <v>-46.553973</v>
      </c>
      <c r="D12247" s="40" t="n">
        <v>324</v>
      </c>
      <c r="E12247" s="41" t="n">
        <v>7649.9229</v>
      </c>
    </row>
    <row r="12248">
      <c r="A12248" s="42">
        <f>_xlfn.XLOOKUP(80388,Trip[shape_id],Trip[shape_id],"Não encontrado")</f>
        <v/>
      </c>
      <c r="B12248" s="43" t="n">
        <v>-23.553887</v>
      </c>
      <c r="C12248" s="43" t="n">
        <v>-46.553949</v>
      </c>
      <c r="D12248" s="43" t="n">
        <v>325</v>
      </c>
      <c r="E12248" s="44" t="n">
        <v>7678.9326</v>
      </c>
    </row>
    <row r="12249">
      <c r="A12249" s="39">
        <f>_xlfn.XLOOKUP(80388,Trip[shape_id],Trip[shape_id],"Não encontrado")</f>
        <v/>
      </c>
      <c r="B12249" s="40" t="n">
        <v>-23.55384</v>
      </c>
      <c r="C12249" s="40" t="n">
        <v>-46.553948</v>
      </c>
      <c r="D12249" s="40" t="n">
        <v>326</v>
      </c>
      <c r="E12249" s="41" t="n">
        <v>7684.1392</v>
      </c>
    </row>
    <row r="12250">
      <c r="A12250" s="42">
        <f>_xlfn.XLOOKUP(80388,Trip[shape_id],Trip[shape_id],"Não encontrado")</f>
        <v/>
      </c>
      <c r="B12250" s="43" t="n">
        <v>-23.552893</v>
      </c>
      <c r="C12250" s="43" t="n">
        <v>-46.553868</v>
      </c>
      <c r="D12250" s="43" t="n">
        <v>327</v>
      </c>
      <c r="E12250" s="44" t="n">
        <v>7789.3389</v>
      </c>
    </row>
    <row r="12251">
      <c r="A12251" s="39">
        <f>_xlfn.XLOOKUP(80388,Trip[shape_id],Trip[shape_id],"Não encontrado")</f>
        <v/>
      </c>
      <c r="B12251" s="40" t="n">
        <v>-23.552777</v>
      </c>
      <c r="C12251" s="40" t="n">
        <v>-46.553884</v>
      </c>
      <c r="D12251" s="40" t="n">
        <v>328</v>
      </c>
      <c r="E12251" s="41" t="n">
        <v>7802.29</v>
      </c>
    </row>
    <row r="12252">
      <c r="A12252" s="42">
        <f>_xlfn.XLOOKUP(80388,Trip[shape_id],Trip[shape_id],"Não encontrado")</f>
        <v/>
      </c>
      <c r="B12252" s="43" t="n">
        <v>-23.551972</v>
      </c>
      <c r="C12252" s="43" t="n">
        <v>-46.554099</v>
      </c>
      <c r="D12252" s="43" t="n">
        <v>329</v>
      </c>
      <c r="E12252" s="44" t="n">
        <v>7894.1079</v>
      </c>
    </row>
    <row r="12253">
      <c r="A12253" s="39">
        <f>_xlfn.XLOOKUP(80388,Trip[shape_id],Trip[shape_id],"Não encontrado")</f>
        <v/>
      </c>
      <c r="B12253" s="40" t="n">
        <v>-23.551438</v>
      </c>
      <c r="C12253" s="40" t="n">
        <v>-46.554244</v>
      </c>
      <c r="D12253" s="40" t="n">
        <v>330</v>
      </c>
      <c r="E12253" s="41" t="n">
        <v>7955.0742</v>
      </c>
    </row>
    <row r="12254">
      <c r="A12254" s="42">
        <f>_xlfn.XLOOKUP(80388,Trip[shape_id],Trip[shape_id],"Não encontrado")</f>
        <v/>
      </c>
      <c r="B12254" s="43" t="n">
        <v>-23.55089</v>
      </c>
      <c r="C12254" s="43" t="n">
        <v>-46.55439</v>
      </c>
      <c r="D12254" s="43" t="n">
        <v>331</v>
      </c>
      <c r="E12254" s="44" t="n">
        <v>8017.5698</v>
      </c>
    </row>
    <row r="12255">
      <c r="A12255" s="39">
        <f>_xlfn.XLOOKUP(80388,Trip[shape_id],Trip[shape_id],"Não encontrado")</f>
        <v/>
      </c>
      <c r="B12255" s="40" t="n">
        <v>-23.549867</v>
      </c>
      <c r="C12255" s="40" t="n">
        <v>-46.554661</v>
      </c>
      <c r="D12255" s="40" t="n">
        <v>332</v>
      </c>
      <c r="E12255" s="41" t="n">
        <v>8134.1987</v>
      </c>
    </row>
    <row r="12256">
      <c r="A12256" s="42">
        <f>_xlfn.XLOOKUP(80388,Trip[shape_id],Trip[shape_id],"Não encontrado")</f>
        <v/>
      </c>
      <c r="B12256" s="43" t="n">
        <v>-23.549217</v>
      </c>
      <c r="C12256" s="43" t="n">
        <v>-46.554835</v>
      </c>
      <c r="D12256" s="43" t="n">
        <v>333</v>
      </c>
      <c r="E12256" s="44" t="n">
        <v>8208.3477</v>
      </c>
    </row>
    <row r="12257">
      <c r="A12257" s="39">
        <f>_xlfn.XLOOKUP(80388,Trip[shape_id],Trip[shape_id],"Não encontrado")</f>
        <v/>
      </c>
      <c r="B12257" s="40" t="n">
        <v>-23.548822</v>
      </c>
      <c r="C12257" s="40" t="n">
        <v>-46.554938</v>
      </c>
      <c r="D12257" s="40" t="n">
        <v>334</v>
      </c>
      <c r="E12257" s="41" t="n">
        <v>8253.3408</v>
      </c>
    </row>
    <row r="12258">
      <c r="A12258" s="42">
        <f>_xlfn.XLOOKUP(80388,Trip[shape_id],Trip[shape_id],"Não encontrado")</f>
        <v/>
      </c>
      <c r="B12258" s="43" t="n">
        <v>-23.547821</v>
      </c>
      <c r="C12258" s="43" t="n">
        <v>-46.55518</v>
      </c>
      <c r="D12258" s="43" t="n">
        <v>335</v>
      </c>
      <c r="E12258" s="44" t="n">
        <v>8366.9238</v>
      </c>
    </row>
    <row r="12259">
      <c r="A12259" s="39">
        <f>_xlfn.XLOOKUP(80388,Trip[shape_id],Trip[shape_id],"Não encontrado")</f>
        <v/>
      </c>
      <c r="B12259" s="40" t="n">
        <v>-23.547767</v>
      </c>
      <c r="C12259" s="40" t="n">
        <v>-46.555185</v>
      </c>
      <c r="D12259" s="40" t="n">
        <v>336</v>
      </c>
      <c r="E12259" s="41" t="n">
        <v>8372.925800000001</v>
      </c>
    </row>
    <row r="12260">
      <c r="A12260" s="42">
        <f>_xlfn.XLOOKUP(80388,Trip[shape_id],Trip[shape_id],"Não encontrado")</f>
        <v/>
      </c>
      <c r="B12260" s="43" t="n">
        <v>-23.547276</v>
      </c>
      <c r="C12260" s="43" t="n">
        <v>-46.55532</v>
      </c>
      <c r="D12260" s="43" t="n">
        <v>337</v>
      </c>
      <c r="E12260" s="44" t="n">
        <v>8429.0244</v>
      </c>
    </row>
    <row r="12261">
      <c r="A12261" s="39">
        <f>_xlfn.XLOOKUP(80388,Trip[shape_id],Trip[shape_id],"Não encontrado")</f>
        <v/>
      </c>
      <c r="B12261" s="40" t="n">
        <v>-23.546755</v>
      </c>
      <c r="C12261" s="40" t="n">
        <v>-46.555464</v>
      </c>
      <c r="D12261" s="40" t="n">
        <v>338</v>
      </c>
      <c r="E12261" s="41" t="n">
        <v>8488.570299999999</v>
      </c>
    </row>
    <row r="12262">
      <c r="A12262" s="42">
        <f>_xlfn.XLOOKUP(80388,Trip[shape_id],Trip[shape_id],"Não encontrado")</f>
        <v/>
      </c>
      <c r="B12262" s="43" t="n">
        <v>-23.545687</v>
      </c>
      <c r="C12262" s="43" t="n">
        <v>-46.555757</v>
      </c>
      <c r="D12262" s="43" t="n">
        <v>339</v>
      </c>
      <c r="E12262" s="44" t="n">
        <v>8610.578100000001</v>
      </c>
    </row>
    <row r="12263">
      <c r="A12263" s="39">
        <f>_xlfn.XLOOKUP(80388,Trip[shape_id],Trip[shape_id],"Não encontrado")</f>
        <v/>
      </c>
      <c r="B12263" s="40" t="n">
        <v>-23.546192</v>
      </c>
      <c r="C12263" s="40" t="n">
        <v>-46.558165</v>
      </c>
      <c r="D12263" s="40" t="n">
        <v>340</v>
      </c>
      <c r="E12263" s="41" t="n">
        <v>8862.729499999999</v>
      </c>
    </row>
    <row r="12264">
      <c r="A12264" s="42">
        <f>_xlfn.XLOOKUP(80388,Trip[shape_id],Trip[shape_id],"Não encontrado")</f>
        <v/>
      </c>
      <c r="B12264" s="43" t="n">
        <v>-23.546206</v>
      </c>
      <c r="C12264" s="43" t="n">
        <v>-46.558253</v>
      </c>
      <c r="D12264" s="43" t="n">
        <v>341</v>
      </c>
      <c r="E12264" s="44" t="n">
        <v>8871.8477</v>
      </c>
    </row>
    <row r="12265">
      <c r="A12265" s="39">
        <f>_xlfn.XLOOKUP(80388,Trip[shape_id],Trip[shape_id],"Não encontrado")</f>
        <v/>
      </c>
      <c r="B12265" s="40" t="n">
        <v>-23.54669</v>
      </c>
      <c r="C12265" s="40" t="n">
        <v>-46.560703</v>
      </c>
      <c r="D12265" s="40" t="n">
        <v>342</v>
      </c>
      <c r="E12265" s="41" t="n">
        <v>9127.6836</v>
      </c>
    </row>
    <row r="12266">
      <c r="A12266" s="42">
        <f>_xlfn.XLOOKUP(80388,Trip[shape_id],Trip[shape_id],"Não encontrado")</f>
        <v/>
      </c>
      <c r="B12266" s="43" t="n">
        <v>-23.546799</v>
      </c>
      <c r="C12266" s="43" t="n">
        <v>-46.561235</v>
      </c>
      <c r="D12266" s="43" t="n">
        <v>343</v>
      </c>
      <c r="E12266" s="44" t="n">
        <v>9183.329100000001</v>
      </c>
    </row>
    <row r="12267">
      <c r="A12267" s="39">
        <f>_xlfn.XLOOKUP(80388,Trip[shape_id],Trip[shape_id],"Não encontrado")</f>
        <v/>
      </c>
      <c r="B12267" s="40" t="n">
        <v>-23.54698</v>
      </c>
      <c r="C12267" s="40" t="n">
        <v>-46.562181</v>
      </c>
      <c r="D12267" s="40" t="n">
        <v>344</v>
      </c>
      <c r="E12267" s="41" t="n">
        <v>9281.978499999999</v>
      </c>
    </row>
    <row r="12268">
      <c r="A12268" s="42">
        <f>_xlfn.XLOOKUP(80388,Trip[shape_id],Trip[shape_id],"Não encontrado")</f>
        <v/>
      </c>
      <c r="B12268" s="43" t="n">
        <v>-23.547088</v>
      </c>
      <c r="C12268" s="43" t="n">
        <v>-46.56269</v>
      </c>
      <c r="D12268" s="43" t="n">
        <v>345</v>
      </c>
      <c r="E12268" s="44" t="n">
        <v>9335.3086</v>
      </c>
    </row>
    <row r="12269">
      <c r="A12269" s="39">
        <f>_xlfn.XLOOKUP(80388,Trip[shape_id],Trip[shape_id],"Não encontrado")</f>
        <v/>
      </c>
      <c r="B12269" s="40" t="n">
        <v>-23.547197</v>
      </c>
      <c r="C12269" s="40" t="n">
        <v>-46.563252</v>
      </c>
      <c r="D12269" s="40" t="n">
        <v>346</v>
      </c>
      <c r="E12269" s="41" t="n">
        <v>9393.9473</v>
      </c>
    </row>
    <row r="12270">
      <c r="A12270" s="42">
        <f>_xlfn.XLOOKUP(80388,Trip[shape_id],Trip[shape_id],"Não encontrado")</f>
        <v/>
      </c>
      <c r="B12270" s="43" t="n">
        <v>-23.547356</v>
      </c>
      <c r="C12270" s="43" t="n">
        <v>-46.564058</v>
      </c>
      <c r="D12270" s="43" t="n">
        <v>347</v>
      </c>
      <c r="E12270" s="44" t="n">
        <v>9478.106400000001</v>
      </c>
    </row>
    <row r="12271">
      <c r="A12271" s="39">
        <f>_xlfn.XLOOKUP(80388,Trip[shape_id],Trip[shape_id],"Não encontrado")</f>
        <v/>
      </c>
      <c r="B12271" s="40" t="n">
        <v>-23.54762</v>
      </c>
      <c r="C12271" s="40" t="n">
        <v>-46.565476</v>
      </c>
      <c r="D12271" s="40" t="n">
        <v>348</v>
      </c>
      <c r="E12271" s="41" t="n">
        <v>9625.8135</v>
      </c>
    </row>
    <row r="12272">
      <c r="A12272" s="42">
        <f>_xlfn.XLOOKUP(80388,Trip[shape_id],Trip[shape_id],"Não encontrado")</f>
        <v/>
      </c>
      <c r="B12272" s="43" t="n">
        <v>-23.547682</v>
      </c>
      <c r="C12272" s="43" t="n">
        <v>-46.565807</v>
      </c>
      <c r="D12272" s="43" t="n">
        <v>349</v>
      </c>
      <c r="E12272" s="44" t="n">
        <v>9660.300800000001</v>
      </c>
    </row>
    <row r="12273">
      <c r="A12273" s="39">
        <f>_xlfn.XLOOKUP(80388,Trip[shape_id],Trip[shape_id],"Não encontrado")</f>
        <v/>
      </c>
      <c r="B12273" s="40" t="n">
        <v>-23.547968</v>
      </c>
      <c r="C12273" s="40" t="n">
        <v>-46.567252</v>
      </c>
      <c r="D12273" s="40" t="n">
        <v>350</v>
      </c>
      <c r="E12273" s="41" t="n">
        <v>9811.203100000001</v>
      </c>
    </row>
    <row r="12274">
      <c r="A12274" s="42">
        <f>_xlfn.XLOOKUP(80388,Trip[shape_id],Trip[shape_id],"Não encontrado")</f>
        <v/>
      </c>
      <c r="B12274" s="43" t="n">
        <v>-23.54805</v>
      </c>
      <c r="C12274" s="43" t="n">
        <v>-46.567674</v>
      </c>
      <c r="D12274" s="43" t="n">
        <v>351</v>
      </c>
      <c r="E12274" s="44" t="n">
        <v>9855.237300000001</v>
      </c>
    </row>
    <row r="12275">
      <c r="A12275" s="39">
        <f>_xlfn.XLOOKUP(80388,Trip[shape_id],Trip[shape_id],"Não encontrado")</f>
        <v/>
      </c>
      <c r="B12275" s="40" t="n">
        <v>-23.548058</v>
      </c>
      <c r="C12275" s="40" t="n">
        <v>-46.567725</v>
      </c>
      <c r="D12275" s="40" t="n">
        <v>352</v>
      </c>
      <c r="E12275" s="41" t="n">
        <v>9860.520500000001</v>
      </c>
    </row>
    <row r="12276">
      <c r="A12276" s="42">
        <f>_xlfn.XLOOKUP(80388,Trip[shape_id],Trip[shape_id],"Não encontrado")</f>
        <v/>
      </c>
      <c r="B12276" s="43" t="n">
        <v>-23.548193</v>
      </c>
      <c r="C12276" s="43" t="n">
        <v>-46.56836</v>
      </c>
      <c r="D12276" s="43" t="n">
        <v>353</v>
      </c>
      <c r="E12276" s="44" t="n">
        <v>9927.0576</v>
      </c>
    </row>
    <row r="12277">
      <c r="A12277" s="39">
        <f>_xlfn.XLOOKUP(80388,Trip[shape_id],Trip[shape_id],"Não encontrado")</f>
        <v/>
      </c>
      <c r="B12277" s="40" t="n">
        <v>-23.548328</v>
      </c>
      <c r="C12277" s="40" t="n">
        <v>-46.569028</v>
      </c>
      <c r="D12277" s="40" t="n">
        <v>354</v>
      </c>
      <c r="E12277" s="41" t="n">
        <v>9996.882799999999</v>
      </c>
    </row>
    <row r="12278">
      <c r="A12278" s="42">
        <f>_xlfn.XLOOKUP(80388,Trip[shape_id],Trip[shape_id],"Não encontrado")</f>
        <v/>
      </c>
      <c r="B12278" s="43" t="n">
        <v>-23.548698</v>
      </c>
      <c r="C12278" s="43" t="n">
        <v>-46.570912</v>
      </c>
      <c r="D12278" s="43" t="n">
        <v>355</v>
      </c>
      <c r="E12278" s="44" t="n">
        <v>10193.563</v>
      </c>
    </row>
    <row r="12279">
      <c r="A12279" s="39">
        <f>_xlfn.XLOOKUP(80388,Trip[shape_id],Trip[shape_id],"Não encontrado")</f>
        <v/>
      </c>
      <c r="B12279" s="40" t="n">
        <v>-23.548889</v>
      </c>
      <c r="C12279" s="40" t="n">
        <v>-46.571899</v>
      </c>
      <c r="D12279" s="40" t="n">
        <v>356</v>
      </c>
      <c r="E12279" s="41" t="n">
        <v>10296.535</v>
      </c>
    </row>
    <row r="12280">
      <c r="A12280" s="42">
        <f>_xlfn.XLOOKUP(80388,Trip[shape_id],Trip[shape_id],"Não encontrado")</f>
        <v/>
      </c>
      <c r="B12280" s="43" t="n">
        <v>-23.54786</v>
      </c>
      <c r="C12280" s="43" t="n">
        <v>-46.572109</v>
      </c>
      <c r="D12280" s="43" t="n">
        <v>357</v>
      </c>
      <c r="E12280" s="44" t="n">
        <v>10412.498</v>
      </c>
    </row>
    <row r="12281">
      <c r="A12281" s="39">
        <f>_xlfn.XLOOKUP(80388,Trip[shape_id],Trip[shape_id],"Não encontrado")</f>
        <v/>
      </c>
      <c r="B12281" s="40" t="n">
        <v>-23.547369</v>
      </c>
      <c r="C12281" s="40" t="n">
        <v>-46.572201</v>
      </c>
      <c r="D12281" s="40" t="n">
        <v>358</v>
      </c>
      <c r="E12281" s="41" t="n">
        <v>10467.683</v>
      </c>
    </row>
    <row r="12282">
      <c r="A12282" s="42">
        <f>_xlfn.XLOOKUP(80388,Trip[shape_id],Trip[shape_id],"Não encontrado")</f>
        <v/>
      </c>
      <c r="B12282" s="43" t="n">
        <v>-23.546827</v>
      </c>
      <c r="C12282" s="43" t="n">
        <v>-46.572312</v>
      </c>
      <c r="D12282" s="43" t="n">
        <v>359</v>
      </c>
      <c r="E12282" s="44" t="n">
        <v>10528.771</v>
      </c>
    </row>
    <row r="12283">
      <c r="A12283" s="39">
        <f>_xlfn.XLOOKUP(80388,Trip[shape_id],Trip[shape_id],"Não encontrado")</f>
        <v/>
      </c>
      <c r="B12283" s="40" t="n">
        <v>-23.545796</v>
      </c>
      <c r="C12283" s="40" t="n">
        <v>-46.572524</v>
      </c>
      <c r="D12283" s="40" t="n">
        <v>360</v>
      </c>
      <c r="E12283" s="41" t="n">
        <v>10644.989</v>
      </c>
    </row>
    <row r="12284">
      <c r="A12284" s="42">
        <f>_xlfn.XLOOKUP(80388,Trip[shape_id],Trip[shape_id],"Não encontrado")</f>
        <v/>
      </c>
      <c r="B12284" s="43" t="n">
        <v>-23.544915</v>
      </c>
      <c r="C12284" s="43" t="n">
        <v>-46.572707</v>
      </c>
      <c r="D12284" s="43" t="n">
        <v>361</v>
      </c>
      <c r="E12284" s="44" t="n">
        <v>10744.335</v>
      </c>
    </row>
    <row r="12285">
      <c r="A12285" s="39">
        <f>_xlfn.XLOOKUP(80388,Trip[shape_id],Trip[shape_id],"Não encontrado")</f>
        <v/>
      </c>
      <c r="B12285" s="40" t="n">
        <v>-23.544948</v>
      </c>
      <c r="C12285" s="40" t="n">
        <v>-46.572875</v>
      </c>
      <c r="D12285" s="40" t="n">
        <v>362</v>
      </c>
      <c r="E12285" s="41" t="n">
        <v>10761.874</v>
      </c>
    </row>
    <row r="12286">
      <c r="A12286" s="42">
        <f>_xlfn.XLOOKUP(80388,Trip[shape_id],Trip[shape_id],"Não encontrado")</f>
        <v/>
      </c>
      <c r="B12286" s="43" t="n">
        <v>-23.54505</v>
      </c>
      <c r="C12286" s="43" t="n">
        <v>-46.573422</v>
      </c>
      <c r="D12286" s="43" t="n">
        <v>363</v>
      </c>
      <c r="E12286" s="44" t="n">
        <v>10818.857</v>
      </c>
    </row>
    <row r="12287">
      <c r="A12287" s="39">
        <f>_xlfn.XLOOKUP(80388,Trip[shape_id],Trip[shape_id],"Não encontrado")</f>
        <v/>
      </c>
      <c r="B12287" s="40" t="n">
        <v>-23.545134</v>
      </c>
      <c r="C12287" s="40" t="n">
        <v>-46.573853</v>
      </c>
      <c r="D12287" s="40" t="n">
        <v>364</v>
      </c>
      <c r="E12287" s="41" t="n">
        <v>10863.838</v>
      </c>
    </row>
    <row r="12288">
      <c r="A12288" s="42">
        <f>_xlfn.XLOOKUP(80388,Trip[shape_id],Trip[shape_id],"Não encontrado")</f>
        <v/>
      </c>
      <c r="B12288" s="43" t="n">
        <v>-23.545168</v>
      </c>
      <c r="C12288" s="43" t="n">
        <v>-46.574035</v>
      </c>
      <c r="D12288" s="43" t="n">
        <v>365</v>
      </c>
      <c r="E12288" s="44" t="n">
        <v>10882.799</v>
      </c>
    </row>
    <row r="12289">
      <c r="A12289" s="39">
        <f>_xlfn.XLOOKUP(80388,Trip[shape_id],Trip[shape_id],"Não encontrado")</f>
        <v/>
      </c>
      <c r="B12289" s="40" t="n">
        <v>-23.545178</v>
      </c>
      <c r="C12289" s="40" t="n">
        <v>-46.574072</v>
      </c>
      <c r="D12289" s="40" t="n">
        <v>366</v>
      </c>
      <c r="E12289" s="41" t="n">
        <v>10886.735</v>
      </c>
    </row>
    <row r="12290">
      <c r="A12290" s="42">
        <f>_xlfn.XLOOKUP(80388,Trip[shape_id],Trip[shape_id],"Não encontrado")</f>
        <v/>
      </c>
      <c r="B12290" s="43" t="n">
        <v>-23.545183</v>
      </c>
      <c r="C12290" s="43" t="n">
        <v>-46.574112</v>
      </c>
      <c r="D12290" s="43" t="n">
        <v>367</v>
      </c>
      <c r="E12290" s="44" t="n">
        <v>10890.856</v>
      </c>
    </row>
    <row r="12291">
      <c r="A12291" s="39">
        <f>_xlfn.XLOOKUP(80388,Trip[shape_id],Trip[shape_id],"Não encontrado")</f>
        <v/>
      </c>
      <c r="B12291" s="40" t="n">
        <v>-23.545237</v>
      </c>
      <c r="C12291" s="40" t="n">
        <v>-46.574395</v>
      </c>
      <c r="D12291" s="40" t="n">
        <v>368</v>
      </c>
      <c r="E12291" s="41" t="n">
        <v>10920.365</v>
      </c>
    </row>
    <row r="12292">
      <c r="A12292" s="42">
        <f>_xlfn.XLOOKUP(80388,Trip[shape_id],Trip[shape_id],"Não encontrado")</f>
        <v/>
      </c>
      <c r="B12292" s="43" t="n">
        <v>-23.545355</v>
      </c>
      <c r="C12292" s="43" t="n">
        <v>-46.575025</v>
      </c>
      <c r="D12292" s="43" t="n">
        <v>369</v>
      </c>
      <c r="E12292" s="44" t="n">
        <v>10986.006</v>
      </c>
    </row>
    <row r="12293">
      <c r="A12293" s="39">
        <f>_xlfn.XLOOKUP(80388,Trip[shape_id],Trip[shape_id],"Não encontrado")</f>
        <v/>
      </c>
      <c r="B12293" s="40" t="n">
        <v>-23.545375</v>
      </c>
      <c r="C12293" s="40" t="n">
        <v>-46.575124</v>
      </c>
      <c r="D12293" s="40" t="n">
        <v>370</v>
      </c>
      <c r="E12293" s="41" t="n">
        <v>10996.354</v>
      </c>
    </row>
    <row r="12294">
      <c r="A12294" s="42">
        <f>_xlfn.XLOOKUP(80388,Trip[shape_id],Trip[shape_id],"Não encontrado")</f>
        <v/>
      </c>
      <c r="B12294" s="43" t="n">
        <v>-23.54539</v>
      </c>
      <c r="C12294" s="43" t="n">
        <v>-46.575198</v>
      </c>
      <c r="D12294" s="43" t="n">
        <v>371</v>
      </c>
      <c r="E12294" s="44" t="n">
        <v>11004.091</v>
      </c>
    </row>
    <row r="12295">
      <c r="A12295" s="39">
        <f>_xlfn.XLOOKUP(80388,Trip[shape_id],Trip[shape_id],"Não encontrado")</f>
        <v/>
      </c>
      <c r="B12295" s="40" t="n">
        <v>-23.545384</v>
      </c>
      <c r="C12295" s="40" t="n">
        <v>-46.575288</v>
      </c>
      <c r="D12295" s="40" t="n">
        <v>372</v>
      </c>
      <c r="E12295" s="41" t="n">
        <v>11013.305</v>
      </c>
    </row>
    <row r="12296">
      <c r="A12296" s="42">
        <f>_xlfn.XLOOKUP(80388,Trip[shape_id],Trip[shape_id],"Não encontrado")</f>
        <v/>
      </c>
      <c r="B12296" s="43" t="n">
        <v>-23.545353</v>
      </c>
      <c r="C12296" s="43" t="n">
        <v>-46.575383</v>
      </c>
      <c r="D12296" s="43" t="n">
        <v>373</v>
      </c>
      <c r="E12296" s="44" t="n">
        <v>11023.594</v>
      </c>
    </row>
    <row r="12297">
      <c r="A12297" s="39">
        <f>_xlfn.XLOOKUP(80388,Trip[shape_id],Trip[shape_id],"Não encontrado")</f>
        <v/>
      </c>
      <c r="B12297" s="40" t="n">
        <v>-23.545347</v>
      </c>
      <c r="C12297" s="40" t="n">
        <v>-46.575398</v>
      </c>
      <c r="D12297" s="40" t="n">
        <v>374</v>
      </c>
      <c r="E12297" s="41" t="n">
        <v>11025.261</v>
      </c>
    </row>
    <row r="12298">
      <c r="A12298" s="42">
        <f>_xlfn.XLOOKUP(80388,Trip[shape_id],Trip[shape_id],"Não encontrado")</f>
        <v/>
      </c>
      <c r="B12298" s="43" t="n">
        <v>-23.545227</v>
      </c>
      <c r="C12298" s="43" t="n">
        <v>-46.57558</v>
      </c>
      <c r="D12298" s="43" t="n">
        <v>375</v>
      </c>
      <c r="E12298" s="44" t="n">
        <v>11048.107</v>
      </c>
    </row>
    <row r="12299">
      <c r="A12299" s="39">
        <f>_xlfn.XLOOKUP(80388,Trip[shape_id],Trip[shape_id],"Não encontrado")</f>
        <v/>
      </c>
      <c r="B12299" s="40" t="n">
        <v>-23.54519</v>
      </c>
      <c r="C12299" s="40" t="n">
        <v>-46.575639</v>
      </c>
      <c r="D12299" s="40" t="n">
        <v>376</v>
      </c>
      <c r="E12299" s="41" t="n">
        <v>11055.394</v>
      </c>
    </row>
    <row r="12300">
      <c r="A12300" s="42">
        <f>_xlfn.XLOOKUP(80388,Trip[shape_id],Trip[shape_id],"Não encontrado")</f>
        <v/>
      </c>
      <c r="B12300" s="43" t="n">
        <v>-23.544686</v>
      </c>
      <c r="C12300" s="43" t="n">
        <v>-46.576471</v>
      </c>
      <c r="D12300" s="43" t="n">
        <v>377</v>
      </c>
      <c r="E12300" s="44" t="n">
        <v>11157.043</v>
      </c>
    </row>
    <row r="12301">
      <c r="A12301" s="39">
        <f>_xlfn.XLOOKUP(80388,Trip[shape_id],Trip[shape_id],"Não encontrado")</f>
        <v/>
      </c>
      <c r="B12301" s="40" t="n">
        <v>-23.544018</v>
      </c>
      <c r="C12301" s="40" t="n">
        <v>-46.576641</v>
      </c>
      <c r="D12301" s="40" t="n">
        <v>378</v>
      </c>
      <c r="E12301" s="41" t="n">
        <v>11233.034</v>
      </c>
    </row>
    <row r="12302">
      <c r="A12302" s="42">
        <f>_xlfn.XLOOKUP(80388,Trip[shape_id],Trip[shape_id],"Não encontrado")</f>
        <v/>
      </c>
      <c r="B12302" s="43" t="n">
        <v>-23.54301</v>
      </c>
      <c r="C12302" s="43" t="n">
        <v>-46.576888</v>
      </c>
      <c r="D12302" s="43" t="n">
        <v>379</v>
      </c>
      <c r="E12302" s="44" t="n">
        <v>11347.485</v>
      </c>
    </row>
    <row r="12303">
      <c r="A12303" s="39">
        <f>_xlfn.XLOOKUP(80388,Trip[shape_id],Trip[shape_id],"Não encontrado")</f>
        <v/>
      </c>
      <c r="B12303" s="40" t="n">
        <v>-23.54252</v>
      </c>
      <c r="C12303" s="40" t="n">
        <v>-46.577004</v>
      </c>
      <c r="D12303" s="40" t="n">
        <v>380</v>
      </c>
      <c r="E12303" s="41" t="n">
        <v>11403.031</v>
      </c>
    </row>
    <row r="12304">
      <c r="A12304" s="42">
        <f>_xlfn.XLOOKUP(80388,Trip[shape_id],Trip[shape_id],"Não encontrado")</f>
        <v/>
      </c>
      <c r="B12304" s="43" t="n">
        <v>-23.542287</v>
      </c>
      <c r="C12304" s="43" t="n">
        <v>-46.57706</v>
      </c>
      <c r="D12304" s="43" t="n">
        <v>381</v>
      </c>
      <c r="E12304" s="44" t="n">
        <v>11429.463</v>
      </c>
    </row>
    <row r="12305">
      <c r="A12305" s="39">
        <f>_xlfn.XLOOKUP(80388,Trip[shape_id],Trip[shape_id],"Não encontrado")</f>
        <v/>
      </c>
      <c r="B12305" s="40" t="n">
        <v>-23.542237</v>
      </c>
      <c r="C12305" s="40" t="n">
        <v>-46.577092</v>
      </c>
      <c r="D12305" s="40" t="n">
        <v>382</v>
      </c>
      <c r="E12305" s="41" t="n">
        <v>11435.893</v>
      </c>
    </row>
    <row r="12306">
      <c r="A12306" s="42">
        <f>_xlfn.XLOOKUP(80388,Trip[shape_id],Trip[shape_id],"Não encontrado")</f>
        <v/>
      </c>
      <c r="B12306" s="43" t="n">
        <v>-23.542224</v>
      </c>
      <c r="C12306" s="43" t="n">
        <v>-46.577119</v>
      </c>
      <c r="D12306" s="43" t="n">
        <v>383</v>
      </c>
      <c r="E12306" s="44" t="n">
        <v>11439.003</v>
      </c>
    </row>
    <row r="12307">
      <c r="A12307" s="39">
        <f>_xlfn.XLOOKUP(80388,Trip[shape_id],Trip[shape_id],"Não encontrado")</f>
        <v/>
      </c>
      <c r="B12307" s="40" t="n">
        <v>-23.542214</v>
      </c>
      <c r="C12307" s="40" t="n">
        <v>-46.577152</v>
      </c>
      <c r="D12307" s="40" t="n">
        <v>384</v>
      </c>
      <c r="E12307" s="41" t="n">
        <v>11442.551</v>
      </c>
    </row>
    <row r="12308">
      <c r="A12308" s="42">
        <f>_xlfn.XLOOKUP(80388,Trip[shape_id],Trip[shape_id],"Não encontrado")</f>
        <v/>
      </c>
      <c r="B12308" s="43" t="n">
        <v>-23.542403</v>
      </c>
      <c r="C12308" s="43" t="n">
        <v>-46.577988</v>
      </c>
      <c r="D12308" s="43" t="n">
        <v>385</v>
      </c>
      <c r="E12308" s="44" t="n">
        <v>11530.442</v>
      </c>
    </row>
    <row r="12309">
      <c r="A12309" s="39">
        <f>_xlfn.XLOOKUP(80388,Trip[shape_id],Trip[shape_id],"Não encontrado")</f>
        <v/>
      </c>
      <c r="B12309" s="40" t="n">
        <v>-23.542355</v>
      </c>
      <c r="C12309" s="40" t="n">
        <v>-46.578038</v>
      </c>
      <c r="D12309" s="40" t="n">
        <v>386</v>
      </c>
      <c r="E12309" s="41" t="n">
        <v>11544.12</v>
      </c>
    </row>
    <row r="12310">
      <c r="A12310" s="42">
        <f>_xlfn.XLOOKUP(80388,Trip[shape_id],Trip[shape_id],"Não encontrado")</f>
        <v/>
      </c>
      <c r="B12310" s="43" t="n">
        <v>-23.542317</v>
      </c>
      <c r="C12310" s="43" t="n">
        <v>-46.578084</v>
      </c>
      <c r="D12310" s="43" t="n">
        <v>387</v>
      </c>
      <c r="E12310" s="44" t="n">
        <v>11569.232</v>
      </c>
    </row>
    <row r="12311">
      <c r="A12311" s="39">
        <f>_xlfn.XLOOKUP(80388,Trip[shape_id],Trip[shape_id],"Não encontrado")</f>
        <v/>
      </c>
      <c r="B12311" s="40" t="n">
        <v>-23.542096</v>
      </c>
      <c r="C12311" s="40" t="n">
        <v>-46.578139</v>
      </c>
      <c r="D12311" s="40" t="n">
        <v>388</v>
      </c>
      <c r="E12311" s="41" t="n">
        <v>11627.354</v>
      </c>
    </row>
    <row r="12312">
      <c r="A12312" s="42">
        <f>_xlfn.XLOOKUP(80388,Trip[shape_id],Trip[shape_id],"Não encontrado")</f>
        <v/>
      </c>
      <c r="B12312" s="43" t="n">
        <v>-23.541583</v>
      </c>
      <c r="C12312" s="43" t="n">
        <v>-46.578259</v>
      </c>
      <c r="D12312" s="43" t="n">
        <v>389</v>
      </c>
      <c r="E12312" s="44" t="n">
        <v>11627.354</v>
      </c>
    </row>
    <row r="12313">
      <c r="A12313" s="39">
        <f>_xlfn.XLOOKUP(80388,Trip[shape_id],Trip[shape_id],"Não encontrado")</f>
        <v/>
      </c>
      <c r="B12313" s="40" t="n">
        <v>-23.541508</v>
      </c>
      <c r="C12313" s="40" t="n">
        <v>-46.578298</v>
      </c>
      <c r="D12313" s="40" t="n">
        <v>390</v>
      </c>
      <c r="E12313" s="41" t="n">
        <v>11636.566</v>
      </c>
    </row>
    <row r="12314">
      <c r="A12314" s="42">
        <f>_xlfn.XLOOKUP(80388,Trip[shape_id],Trip[shape_id],"Não encontrado")</f>
        <v/>
      </c>
      <c r="B12314" s="43" t="n">
        <v>-23.541461</v>
      </c>
      <c r="C12314" s="43" t="n">
        <v>-46.578066</v>
      </c>
      <c r="D12314" s="43" t="n">
        <v>391</v>
      </c>
      <c r="E12314" s="44" t="n">
        <v>11715.486</v>
      </c>
    </row>
    <row r="12315">
      <c r="A12315" s="39">
        <f>_xlfn.XLOOKUP(80388,Trip[shape_id],Trip[shape_id],"Não encontrado")</f>
        <v/>
      </c>
      <c r="B12315" s="40" t="n">
        <v>-23.541273</v>
      </c>
      <c r="C12315" s="40" t="n">
        <v>-46.577571</v>
      </c>
      <c r="D12315" s="40" t="n">
        <v>392</v>
      </c>
      <c r="E12315" s="41" t="n">
        <v>11748.61</v>
      </c>
    </row>
    <row r="12316">
      <c r="A12316" s="42">
        <f>_xlfn.XLOOKUP(80388,Trip[shape_id],Trip[shape_id],"Não encontrado")</f>
        <v/>
      </c>
      <c r="B12316" s="43" t="n">
        <v>-23.541157</v>
      </c>
      <c r="C12316" s="43" t="n">
        <v>-46.577272</v>
      </c>
      <c r="D12316" s="43" t="n">
        <v>393</v>
      </c>
      <c r="E12316" s="44" t="n">
        <v>11748.61</v>
      </c>
    </row>
    <row r="12317">
      <c r="A12317" s="39">
        <f>_xlfn.XLOOKUP(80388,Trip[shape_id],Trip[shape_id],"Não encontrado")</f>
        <v/>
      </c>
      <c r="B12317" s="40" t="n">
        <v>-23.541105</v>
      </c>
      <c r="C12317" s="40" t="n">
        <v>-46.577142</v>
      </c>
      <c r="D12317" s="40" t="n">
        <v>394</v>
      </c>
      <c r="E12317" s="41" t="n">
        <v>11774.252</v>
      </c>
    </row>
    <row r="12318">
      <c r="A12318" s="42">
        <f>_xlfn.XLOOKUP(80388,Trip[shape_id],Trip[shape_id],"Não encontrado")</f>
        <v/>
      </c>
      <c r="B12318" s="43" t="n">
        <v>-23.54108</v>
      </c>
      <c r="C12318" s="43" t="n">
        <v>-46.577036</v>
      </c>
      <c r="D12318" s="43" t="n">
        <v>395</v>
      </c>
      <c r="E12318" s="44" t="n">
        <v>11774.252</v>
      </c>
    </row>
    <row r="12319">
      <c r="A12319" s="39">
        <f>_xlfn.XLOOKUP(80388,Trip[shape_id],Trip[shape_id],"Não encontrado")</f>
        <v/>
      </c>
      <c r="B12319" s="40" t="n">
        <v>-23.54105</v>
      </c>
      <c r="C12319" s="40" t="n">
        <v>-46.576894</v>
      </c>
      <c r="D12319" s="40" t="n">
        <v>396</v>
      </c>
      <c r="E12319" s="41" t="n">
        <v>11789.127</v>
      </c>
    </row>
    <row r="12320">
      <c r="A12320" s="42">
        <f>_xlfn.XLOOKUP(80388,Trip[shape_id],Trip[shape_id],"Não encontrado")</f>
        <v/>
      </c>
      <c r="B12320" s="43" t="n">
        <v>-23.541028</v>
      </c>
      <c r="C12320" s="43" t="n">
        <v>-46.57678</v>
      </c>
      <c r="D12320" s="43" t="n">
        <v>397</v>
      </c>
      <c r="E12320" s="44" t="n">
        <v>11801.02</v>
      </c>
    </row>
    <row r="12321">
      <c r="A12321" s="39">
        <f>_xlfn.XLOOKUP(80388,Trip[shape_id],Trip[shape_id],"Não encontrado")</f>
        <v/>
      </c>
      <c r="B12321" s="40" t="n">
        <v>-23.541013</v>
      </c>
      <c r="C12321" s="40" t="n">
        <v>-46.576704</v>
      </c>
      <c r="D12321" s="40" t="n">
        <v>398</v>
      </c>
      <c r="E12321" s="41" t="n">
        <v>11808.955</v>
      </c>
    </row>
    <row r="12322">
      <c r="A12322" s="42">
        <f>_xlfn.XLOOKUP(80388,Trip[shape_id],Trip[shape_id],"Não encontrado")</f>
        <v/>
      </c>
      <c r="B12322" s="43" t="n">
        <v>-23.540987</v>
      </c>
      <c r="C12322" s="43" t="n">
        <v>-46.576582</v>
      </c>
      <c r="D12322" s="43" t="n">
        <v>399</v>
      </c>
      <c r="E12322" s="44" t="n">
        <v>11821.741</v>
      </c>
    </row>
    <row r="12323">
      <c r="A12323" s="39">
        <f>_xlfn.XLOOKUP(80388,Trip[shape_id],Trip[shape_id],"Não encontrado")</f>
        <v/>
      </c>
      <c r="B12323" s="40" t="n">
        <v>-23.540974</v>
      </c>
      <c r="C12323" s="40" t="n">
        <v>-46.576517</v>
      </c>
      <c r="D12323" s="40" t="n">
        <v>400</v>
      </c>
      <c r="E12323" s="41" t="n">
        <v>11828.533</v>
      </c>
    </row>
    <row r="12324">
      <c r="A12324" s="42">
        <f>_xlfn.XLOOKUP(80388,Trip[shape_id],Trip[shape_id],"Não encontrado")</f>
        <v/>
      </c>
      <c r="B12324" s="43" t="n">
        <v>-23.540951</v>
      </c>
      <c r="C12324" s="43" t="n">
        <v>-46.576406</v>
      </c>
      <c r="D12324" s="43" t="n">
        <v>401</v>
      </c>
      <c r="E12324" s="44" t="n">
        <v>11840.15</v>
      </c>
    </row>
    <row r="12325">
      <c r="A12325" s="39">
        <f>_xlfn.XLOOKUP(80388,Trip[shape_id],Trip[shape_id],"Não encontrado")</f>
        <v/>
      </c>
      <c r="B12325" s="40" t="n">
        <v>-23.54094</v>
      </c>
      <c r="C12325" s="40" t="n">
        <v>-46.576349</v>
      </c>
      <c r="D12325" s="40" t="n">
        <v>402</v>
      </c>
      <c r="E12325" s="41" t="n">
        <v>11846.098</v>
      </c>
    </row>
    <row r="12326">
      <c r="A12326" s="42">
        <f>_xlfn.XLOOKUP(80388,Trip[shape_id],Trip[shape_id],"Não encontrado")</f>
        <v/>
      </c>
      <c r="B12326" s="43" t="n">
        <v>-23.54092</v>
      </c>
      <c r="C12326" s="43" t="n">
        <v>-46.576254</v>
      </c>
      <c r="D12326" s="43" t="n">
        <v>403</v>
      </c>
      <c r="E12326" s="44" t="n">
        <v>11856.048</v>
      </c>
    </row>
    <row r="12327">
      <c r="A12327" s="39">
        <f>_xlfn.XLOOKUP(80388,Trip[shape_id],Trip[shape_id],"Não encontrado")</f>
        <v/>
      </c>
      <c r="B12327" s="40" t="n">
        <v>-23.5409</v>
      </c>
      <c r="C12327" s="40" t="n">
        <v>-46.57616</v>
      </c>
      <c r="D12327" s="40" t="n">
        <v>404</v>
      </c>
      <c r="E12327" s="41" t="n">
        <v>11865.898</v>
      </c>
    </row>
    <row r="12328">
      <c r="A12328" s="42">
        <f>_xlfn.XLOOKUP(80388,Trip[shape_id],Trip[shape_id],"Não encontrado")</f>
        <v/>
      </c>
      <c r="B12328" s="43" t="n">
        <v>-23.540876</v>
      </c>
      <c r="C12328" s="43" t="n">
        <v>-46.576038</v>
      </c>
      <c r="D12328" s="43" t="n">
        <v>405</v>
      </c>
      <c r="E12328" s="44" t="n">
        <v>11878.636</v>
      </c>
    </row>
    <row r="12329">
      <c r="A12329" s="42">
        <f>_xlfn.XLOOKUP(80404,Trip[shape_id],Trip[shape_id],"Não encontrado")</f>
        <v/>
      </c>
      <c r="B12329" s="43" t="n">
        <v>-23.558486</v>
      </c>
      <c r="C12329" s="43" t="n">
        <v>-46.52235</v>
      </c>
      <c r="D12329" s="43" t="n">
        <v>1</v>
      </c>
      <c r="E12329" s="44" t="n">
        <v>7.4554529</v>
      </c>
    </row>
    <row r="12330">
      <c r="A12330" s="39">
        <f>_xlfn.XLOOKUP(80404,Trip[shape_id],Trip[shape_id],"Não encontrado")</f>
        <v/>
      </c>
      <c r="B12330" s="40" t="n">
        <v>-23.558523</v>
      </c>
      <c r="C12330" s="40" t="n">
        <v>-46.522289</v>
      </c>
      <c r="D12330" s="40" t="n">
        <v>2</v>
      </c>
      <c r="E12330" s="41" t="n">
        <v>7.4554529</v>
      </c>
    </row>
    <row r="12331">
      <c r="A12331" s="42">
        <f>_xlfn.XLOOKUP(80404,Trip[shape_id],Trip[shape_id],"Não encontrado")</f>
        <v/>
      </c>
      <c r="B12331" s="43" t="n">
        <v>-23.558535</v>
      </c>
      <c r="C12331" s="43" t="n">
        <v>-46.522269</v>
      </c>
      <c r="D12331" s="43" t="n">
        <v>3</v>
      </c>
      <c r="E12331" s="44" t="n">
        <v>20.594223</v>
      </c>
    </row>
    <row r="12332">
      <c r="A12332" s="39">
        <f>_xlfn.XLOOKUP(80404,Trip[shape_id],Trip[shape_id],"Não encontrado")</f>
        <v/>
      </c>
      <c r="B12332" s="40" t="n">
        <v>-23.558564</v>
      </c>
      <c r="C12332" s="40" t="n">
        <v>-46.522169</v>
      </c>
      <c r="D12332" s="40" t="n">
        <v>4</v>
      </c>
      <c r="E12332" s="41" t="n">
        <v>20.594223</v>
      </c>
    </row>
    <row r="12333">
      <c r="A12333" s="42">
        <f>_xlfn.XLOOKUP(80404,Trip[shape_id],Trip[shape_id],"Não encontrado")</f>
        <v/>
      </c>
      <c r="B12333" s="43" t="n">
        <v>-23.558489</v>
      </c>
      <c r="C12333" s="43" t="n">
        <v>-46.522125</v>
      </c>
      <c r="D12333" s="43" t="n">
        <v>5</v>
      </c>
      <c r="E12333" s="44" t="n">
        <v>30.03772</v>
      </c>
    </row>
    <row r="12334">
      <c r="A12334" s="39">
        <f>_xlfn.XLOOKUP(80404,Trip[shape_id],Trip[shape_id],"Não encontrado")</f>
        <v/>
      </c>
      <c r="B12334" s="40" t="n">
        <v>-23.558497</v>
      </c>
      <c r="C12334" s="40" t="n">
        <v>-46.521929</v>
      </c>
      <c r="D12334" s="40" t="n">
        <v>6</v>
      </c>
      <c r="E12334" s="41" t="n">
        <v>50.068184</v>
      </c>
    </row>
    <row r="12335">
      <c r="A12335" s="42">
        <f>_xlfn.XLOOKUP(80404,Trip[shape_id],Trip[shape_id],"Não encontrado")</f>
        <v/>
      </c>
      <c r="B12335" s="43" t="n">
        <v>-23.558654</v>
      </c>
      <c r="C12335" s="43" t="n">
        <v>-46.521692</v>
      </c>
      <c r="D12335" s="43" t="n">
        <v>7</v>
      </c>
      <c r="E12335" s="44" t="n">
        <v>79.86468499999999</v>
      </c>
    </row>
    <row r="12336">
      <c r="A12336" s="39">
        <f>_xlfn.XLOOKUP(80404,Trip[shape_id],Trip[shape_id],"Não encontrado")</f>
        <v/>
      </c>
      <c r="B12336" s="40" t="n">
        <v>-23.558675</v>
      </c>
      <c r="C12336" s="40" t="n">
        <v>-46.521662</v>
      </c>
      <c r="D12336" s="40" t="n">
        <v>8</v>
      </c>
      <c r="E12336" s="41" t="n">
        <v>83.709602</v>
      </c>
    </row>
    <row r="12337">
      <c r="A12337" s="42">
        <f>_xlfn.XLOOKUP(80404,Trip[shape_id],Trip[shape_id],"Não encontrado")</f>
        <v/>
      </c>
      <c r="B12337" s="43" t="n">
        <v>-23.55879</v>
      </c>
      <c r="C12337" s="43" t="n">
        <v>-46.521445</v>
      </c>
      <c r="D12337" s="43" t="n">
        <v>9</v>
      </c>
      <c r="E12337" s="44" t="n">
        <v>134.29979</v>
      </c>
    </row>
    <row r="12338">
      <c r="A12338" s="39">
        <f>_xlfn.XLOOKUP(80404,Trip[shape_id],Trip[shape_id],"Não encontrado")</f>
        <v/>
      </c>
      <c r="B12338" s="40" t="n">
        <v>-23.558902</v>
      </c>
      <c r="C12338" s="40" t="n">
        <v>-46.521232</v>
      </c>
      <c r="D12338" s="40" t="n">
        <v>10</v>
      </c>
      <c r="E12338" s="41" t="n">
        <v>150.64517</v>
      </c>
    </row>
    <row r="12339">
      <c r="A12339" s="42">
        <f>_xlfn.XLOOKUP(80404,Trip[shape_id],Trip[shape_id],"Não encontrado")</f>
        <v/>
      </c>
      <c r="B12339" s="43" t="n">
        <v>-23.558956</v>
      </c>
      <c r="C12339" s="43" t="n">
        <v>-46.521083</v>
      </c>
      <c r="D12339" s="43" t="n">
        <v>11</v>
      </c>
      <c r="E12339" s="44" t="n">
        <v>150.64517</v>
      </c>
    </row>
    <row r="12340">
      <c r="A12340" s="39">
        <f>_xlfn.XLOOKUP(80404,Trip[shape_id],Trip[shape_id],"Não encontrado")</f>
        <v/>
      </c>
      <c r="B12340" s="40" t="n">
        <v>-23.559047</v>
      </c>
      <c r="C12340" s="40" t="n">
        <v>-46.520942</v>
      </c>
      <c r="D12340" s="40" t="n">
        <v>12</v>
      </c>
      <c r="E12340" s="41" t="n">
        <v>168.21794</v>
      </c>
    </row>
    <row r="12341">
      <c r="A12341" s="42">
        <f>_xlfn.XLOOKUP(80404,Trip[shape_id],Trip[shape_id],"Não encontrado")</f>
        <v/>
      </c>
      <c r="B12341" s="43" t="n">
        <v>-23.559166</v>
      </c>
      <c r="C12341" s="43" t="n">
        <v>-46.520806</v>
      </c>
      <c r="D12341" s="43" t="n">
        <v>13</v>
      </c>
      <c r="E12341" s="44" t="n">
        <v>230.24956</v>
      </c>
    </row>
    <row r="12342">
      <c r="A12342" s="39">
        <f>_xlfn.XLOOKUP(80404,Trip[shape_id],Trip[shape_id],"Não encontrado")</f>
        <v/>
      </c>
      <c r="B12342" s="40" t="n">
        <v>-23.559438</v>
      </c>
      <c r="C12342" s="40" t="n">
        <v>-46.520507</v>
      </c>
      <c r="D12342" s="40" t="n">
        <v>14</v>
      </c>
      <c r="E12342" s="41" t="n">
        <v>230.24956</v>
      </c>
    </row>
    <row r="12343">
      <c r="A12343" s="42">
        <f>_xlfn.XLOOKUP(80404,Trip[shape_id],Trip[shape_id],"Não encontrado")</f>
        <v/>
      </c>
      <c r="B12343" s="43" t="n">
        <v>-23.559662</v>
      </c>
      <c r="C12343" s="43" t="n">
        <v>-46.520266</v>
      </c>
      <c r="D12343" s="43" t="n">
        <v>15</v>
      </c>
      <c r="E12343" s="44" t="n">
        <v>338.10962</v>
      </c>
    </row>
    <row r="12344">
      <c r="A12344" s="39">
        <f>_xlfn.XLOOKUP(80404,Trip[shape_id],Trip[shape_id],"Não encontrado")</f>
        <v/>
      </c>
      <c r="B12344" s="40" t="n">
        <v>-23.560122</v>
      </c>
      <c r="C12344" s="40" t="n">
        <v>-46.519755</v>
      </c>
      <c r="D12344" s="40" t="n">
        <v>16</v>
      </c>
      <c r="E12344" s="41" t="n">
        <v>338.10962</v>
      </c>
    </row>
    <row r="12345">
      <c r="A12345" s="42">
        <f>_xlfn.XLOOKUP(80404,Trip[shape_id],Trip[shape_id],"Não encontrado")</f>
        <v/>
      </c>
      <c r="B12345" s="43" t="n">
        <v>-23.56069</v>
      </c>
      <c r="C12345" s="43" t="n">
        <v>-46.519177</v>
      </c>
      <c r="D12345" s="43" t="n">
        <v>17</v>
      </c>
      <c r="E12345" s="44" t="n">
        <v>424.36249</v>
      </c>
    </row>
    <row r="12346">
      <c r="A12346" s="39">
        <f>_xlfn.XLOOKUP(80404,Trip[shape_id],Trip[shape_id],"Não encontrado")</f>
        <v/>
      </c>
      <c r="B12346" s="40" t="n">
        <v>-23.560911</v>
      </c>
      <c r="C12346" s="40" t="n">
        <v>-46.518942</v>
      </c>
      <c r="D12346" s="40" t="n">
        <v>18</v>
      </c>
      <c r="E12346" s="41" t="n">
        <v>458.63635</v>
      </c>
    </row>
    <row r="12347">
      <c r="A12347" s="42">
        <f>_xlfn.XLOOKUP(80404,Trip[shape_id],Trip[shape_id],"Não encontrado")</f>
        <v/>
      </c>
      <c r="B12347" s="43" t="n">
        <v>-23.561067</v>
      </c>
      <c r="C12347" s="43" t="n">
        <v>-46.518785</v>
      </c>
      <c r="D12347" s="43" t="n">
        <v>19</v>
      </c>
      <c r="E12347" s="44" t="n">
        <v>482.2038</v>
      </c>
    </row>
    <row r="12348">
      <c r="A12348" s="39">
        <f>_xlfn.XLOOKUP(80404,Trip[shape_id],Trip[shape_id],"Não encontrado")</f>
        <v/>
      </c>
      <c r="B12348" s="40" t="n">
        <v>-23.561543</v>
      </c>
      <c r="C12348" s="40" t="n">
        <v>-46.519134</v>
      </c>
      <c r="D12348" s="40" t="n">
        <v>20</v>
      </c>
      <c r="E12348" s="41" t="n">
        <v>545.83344</v>
      </c>
    </row>
    <row r="12349">
      <c r="A12349" s="42">
        <f>_xlfn.XLOOKUP(80404,Trip[shape_id],Trip[shape_id],"Não encontrado")</f>
        <v/>
      </c>
      <c r="B12349" s="43" t="n">
        <v>-23.561819</v>
      </c>
      <c r="C12349" s="43" t="n">
        <v>-46.51933</v>
      </c>
      <c r="D12349" s="43" t="n">
        <v>21</v>
      </c>
      <c r="E12349" s="44" t="n">
        <v>582.36804</v>
      </c>
    </row>
    <row r="12350">
      <c r="A12350" s="39">
        <f>_xlfn.XLOOKUP(80404,Trip[shape_id],Trip[shape_id],"Não encontrado")</f>
        <v/>
      </c>
      <c r="B12350" s="40" t="n">
        <v>-23.562015</v>
      </c>
      <c r="C12350" s="40" t="n">
        <v>-46.519468</v>
      </c>
      <c r="D12350" s="40" t="n">
        <v>22</v>
      </c>
      <c r="E12350" s="41" t="n">
        <v>608.2467</v>
      </c>
    </row>
    <row r="12351">
      <c r="A12351" s="42">
        <f>_xlfn.XLOOKUP(80404,Trip[shape_id],Trip[shape_id],"Não encontrado")</f>
        <v/>
      </c>
      <c r="B12351" s="43" t="n">
        <v>-23.562359</v>
      </c>
      <c r="C12351" s="43" t="n">
        <v>-46.519716</v>
      </c>
      <c r="D12351" s="43" t="n">
        <v>23</v>
      </c>
      <c r="E12351" s="44" t="n">
        <v>653.99127</v>
      </c>
    </row>
    <row r="12352">
      <c r="A12352" s="39">
        <f>_xlfn.XLOOKUP(80404,Trip[shape_id],Trip[shape_id],"Não encontrado")</f>
        <v/>
      </c>
      <c r="B12352" s="40" t="n">
        <v>-23.562921</v>
      </c>
      <c r="C12352" s="40" t="n">
        <v>-46.520109</v>
      </c>
      <c r="D12352" s="40" t="n">
        <v>24</v>
      </c>
      <c r="E12352" s="41" t="n">
        <v>728.04498</v>
      </c>
    </row>
    <row r="12353">
      <c r="A12353" s="42">
        <f>_xlfn.XLOOKUP(80404,Trip[shape_id],Trip[shape_id],"Não encontrado")</f>
        <v/>
      </c>
      <c r="B12353" s="43" t="n">
        <v>-23.563775</v>
      </c>
      <c r="C12353" s="43" t="n">
        <v>-46.520718</v>
      </c>
      <c r="D12353" s="43" t="n">
        <v>25</v>
      </c>
      <c r="E12353" s="44" t="n">
        <v>841.23242</v>
      </c>
    </row>
    <row r="12354">
      <c r="A12354" s="39">
        <f>_xlfn.XLOOKUP(80404,Trip[shape_id],Trip[shape_id],"Não encontrado")</f>
        <v/>
      </c>
      <c r="B12354" s="40" t="n">
        <v>-23.564637</v>
      </c>
      <c r="C12354" s="40" t="n">
        <v>-46.521372</v>
      </c>
      <c r="D12354" s="40" t="n">
        <v>26</v>
      </c>
      <c r="E12354" s="41" t="n">
        <v>957.73187</v>
      </c>
    </row>
    <row r="12355">
      <c r="A12355" s="42">
        <f>_xlfn.XLOOKUP(80404,Trip[shape_id],Trip[shape_id],"Não encontrado")</f>
        <v/>
      </c>
      <c r="B12355" s="43" t="n">
        <v>-23.564715</v>
      </c>
      <c r="C12355" s="43" t="n">
        <v>-46.521431</v>
      </c>
      <c r="D12355" s="43" t="n">
        <v>27</v>
      </c>
      <c r="E12355" s="44" t="n">
        <v>968.26276</v>
      </c>
    </row>
    <row r="12356">
      <c r="A12356" s="39">
        <f>_xlfn.XLOOKUP(80404,Trip[shape_id],Trip[shape_id],"Não encontrado")</f>
        <v/>
      </c>
      <c r="B12356" s="40" t="n">
        <v>-23.565524</v>
      </c>
      <c r="C12356" s="40" t="n">
        <v>-46.521976</v>
      </c>
      <c r="D12356" s="40" t="n">
        <v>28</v>
      </c>
      <c r="E12356" s="41" t="n">
        <v>1073.7313</v>
      </c>
    </row>
    <row r="12357">
      <c r="A12357" s="42">
        <f>_xlfn.XLOOKUP(80404,Trip[shape_id],Trip[shape_id],"Não encontrado")</f>
        <v/>
      </c>
      <c r="B12357" s="43" t="n">
        <v>-23.566099</v>
      </c>
      <c r="C12357" s="43" t="n">
        <v>-46.522405</v>
      </c>
      <c r="D12357" s="43" t="n">
        <v>29</v>
      </c>
      <c r="E12357" s="44" t="n">
        <v>1151.0204</v>
      </c>
    </row>
    <row r="12358">
      <c r="A12358" s="39">
        <f>_xlfn.XLOOKUP(80404,Trip[shape_id],Trip[shape_id],"Não encontrado")</f>
        <v/>
      </c>
      <c r="B12358" s="40" t="n">
        <v>-23.566713</v>
      </c>
      <c r="C12358" s="40" t="n">
        <v>-46.522814</v>
      </c>
      <c r="D12358" s="40" t="n">
        <v>30</v>
      </c>
      <c r="E12358" s="41" t="n">
        <v>1230.8182</v>
      </c>
    </row>
    <row r="12359">
      <c r="A12359" s="42">
        <f>_xlfn.XLOOKUP(80404,Trip[shape_id],Trip[shape_id],"Não encontrado")</f>
        <v/>
      </c>
      <c r="B12359" s="43" t="n">
        <v>-23.566803</v>
      </c>
      <c r="C12359" s="43" t="n">
        <v>-46.52289</v>
      </c>
      <c r="D12359" s="43" t="n">
        <v>31</v>
      </c>
      <c r="E12359" s="44" t="n">
        <v>1243.4497</v>
      </c>
    </row>
    <row r="12360">
      <c r="A12360" s="39">
        <f>_xlfn.XLOOKUP(80404,Trip[shape_id],Trip[shape_id],"Não encontrado")</f>
        <v/>
      </c>
      <c r="B12360" s="40" t="n">
        <v>-23.567</v>
      </c>
      <c r="C12360" s="40" t="n">
        <v>-46.523018</v>
      </c>
      <c r="D12360" s="40" t="n">
        <v>32</v>
      </c>
      <c r="E12360" s="41" t="n">
        <v>1268.8817</v>
      </c>
    </row>
    <row r="12361">
      <c r="A12361" s="42">
        <f>_xlfn.XLOOKUP(80404,Trip[shape_id],Trip[shape_id],"Não encontrado")</f>
        <v/>
      </c>
      <c r="B12361" s="43" t="n">
        <v>-23.567009</v>
      </c>
      <c r="C12361" s="43" t="n">
        <v>-46.523421</v>
      </c>
      <c r="D12361" s="43" t="n">
        <v>33</v>
      </c>
      <c r="E12361" s="44" t="n">
        <v>1310.0359</v>
      </c>
    </row>
    <row r="12362">
      <c r="A12362" s="39">
        <f>_xlfn.XLOOKUP(80404,Trip[shape_id],Trip[shape_id],"Não encontrado")</f>
        <v/>
      </c>
      <c r="B12362" s="40" t="n">
        <v>-23.567021</v>
      </c>
      <c r="C12362" s="40" t="n">
        <v>-46.523507</v>
      </c>
      <c r="D12362" s="40" t="n">
        <v>34</v>
      </c>
      <c r="E12362" s="41" t="n">
        <v>1318.9155</v>
      </c>
    </row>
    <row r="12363">
      <c r="A12363" s="42">
        <f>_xlfn.XLOOKUP(80404,Trip[shape_id],Trip[shape_id],"Não encontrado")</f>
        <v/>
      </c>
      <c r="B12363" s="43" t="n">
        <v>-23.567205</v>
      </c>
      <c r="C12363" s="43" t="n">
        <v>-46.523504</v>
      </c>
      <c r="D12363" s="43" t="n">
        <v>35</v>
      </c>
      <c r="E12363" s="44" t="n">
        <v>1339.296</v>
      </c>
    </row>
    <row r="12364">
      <c r="A12364" s="39">
        <f>_xlfn.XLOOKUP(80404,Trip[shape_id],Trip[shape_id],"Não encontrado")</f>
        <v/>
      </c>
      <c r="B12364" s="40" t="n">
        <v>-23.56732</v>
      </c>
      <c r="C12364" s="40" t="n">
        <v>-46.523502</v>
      </c>
      <c r="D12364" s="40" t="n">
        <v>36</v>
      </c>
      <c r="E12364" s="41" t="n">
        <v>1352.0338</v>
      </c>
    </row>
    <row r="12365">
      <c r="A12365" s="42">
        <f>_xlfn.XLOOKUP(80404,Trip[shape_id],Trip[shape_id],"Não encontrado")</f>
        <v/>
      </c>
      <c r="B12365" s="43" t="n">
        <v>-23.567408</v>
      </c>
      <c r="C12365" s="43" t="n">
        <v>-46.523504</v>
      </c>
      <c r="D12365" s="43" t="n">
        <v>37</v>
      </c>
      <c r="E12365" s="44" t="n">
        <v>1361.7822</v>
      </c>
    </row>
    <row r="12366">
      <c r="A12366" s="39">
        <f>_xlfn.XLOOKUP(80404,Trip[shape_id],Trip[shape_id],"Não encontrado")</f>
        <v/>
      </c>
      <c r="B12366" s="40" t="n">
        <v>-23.567537</v>
      </c>
      <c r="C12366" s="40" t="n">
        <v>-46.523502</v>
      </c>
      <c r="D12366" s="40" t="n">
        <v>38</v>
      </c>
      <c r="E12366" s="41" t="n">
        <v>1376.0708</v>
      </c>
    </row>
    <row r="12367">
      <c r="A12367" s="42">
        <f>_xlfn.XLOOKUP(80404,Trip[shape_id],Trip[shape_id],"Não encontrado")</f>
        <v/>
      </c>
      <c r="B12367" s="43" t="n">
        <v>-23.567656</v>
      </c>
      <c r="C12367" s="43" t="n">
        <v>-46.5235</v>
      </c>
      <c r="D12367" s="43" t="n">
        <v>39</v>
      </c>
      <c r="E12367" s="44" t="n">
        <v>1389.2522</v>
      </c>
    </row>
    <row r="12368">
      <c r="A12368" s="39">
        <f>_xlfn.XLOOKUP(80404,Trip[shape_id],Trip[shape_id],"Não encontrado")</f>
        <v/>
      </c>
      <c r="B12368" s="40" t="n">
        <v>-23.56777</v>
      </c>
      <c r="C12368" s="40" t="n">
        <v>-46.523498</v>
      </c>
      <c r="D12368" s="40" t="n">
        <v>40</v>
      </c>
      <c r="E12368" s="41" t="n">
        <v>1401.8795</v>
      </c>
    </row>
    <row r="12369">
      <c r="A12369" s="42">
        <f>_xlfn.XLOOKUP(80404,Trip[shape_id],Trip[shape_id],"Não encontrado")</f>
        <v/>
      </c>
      <c r="B12369" s="43" t="n">
        <v>-23.568218</v>
      </c>
      <c r="C12369" s="43" t="n">
        <v>-46.523496</v>
      </c>
      <c r="D12369" s="43" t="n">
        <v>41</v>
      </c>
      <c r="E12369" s="44" t="n">
        <v>1451.4968</v>
      </c>
    </row>
    <row r="12370">
      <c r="A12370" s="39">
        <f>_xlfn.XLOOKUP(80404,Trip[shape_id],Trip[shape_id],"Não encontrado")</f>
        <v/>
      </c>
      <c r="B12370" s="40" t="n">
        <v>-23.568347</v>
      </c>
      <c r="C12370" s="40" t="n">
        <v>-46.523576</v>
      </c>
      <c r="D12370" s="40" t="n">
        <v>42</v>
      </c>
      <c r="E12370" s="41" t="n">
        <v>1467.9536</v>
      </c>
    </row>
    <row r="12371">
      <c r="A12371" s="42">
        <f>_xlfn.XLOOKUP(80404,Trip[shape_id],Trip[shape_id],"Não encontrado")</f>
        <v/>
      </c>
      <c r="B12371" s="43" t="n">
        <v>-23.568809</v>
      </c>
      <c r="C12371" s="43" t="n">
        <v>-46.523874</v>
      </c>
      <c r="D12371" s="43" t="n">
        <v>43</v>
      </c>
      <c r="E12371" s="44" t="n">
        <v>1527.4819</v>
      </c>
    </row>
    <row r="12372">
      <c r="A12372" s="39">
        <f>_xlfn.XLOOKUP(80404,Trip[shape_id],Trip[shape_id],"Não encontrado")</f>
        <v/>
      </c>
      <c r="B12372" s="40" t="n">
        <v>-23.569169</v>
      </c>
      <c r="C12372" s="40" t="n">
        <v>-46.524102</v>
      </c>
      <c r="D12372" s="40" t="n">
        <v>44</v>
      </c>
      <c r="E12372" s="41" t="n">
        <v>1573.6497</v>
      </c>
    </row>
    <row r="12373">
      <c r="A12373" s="42">
        <f>_xlfn.XLOOKUP(80404,Trip[shape_id],Trip[shape_id],"Não encontrado")</f>
        <v/>
      </c>
      <c r="B12373" s="43" t="n">
        <v>-23.569854</v>
      </c>
      <c r="C12373" s="43" t="n">
        <v>-46.524543</v>
      </c>
      <c r="D12373" s="43" t="n">
        <v>45</v>
      </c>
      <c r="E12373" s="44" t="n">
        <v>1661.8674</v>
      </c>
    </row>
    <row r="12374">
      <c r="A12374" s="39">
        <f>_xlfn.XLOOKUP(80404,Trip[shape_id],Trip[shape_id],"Não encontrado")</f>
        <v/>
      </c>
      <c r="B12374" s="40" t="n">
        <v>-23.569934</v>
      </c>
      <c r="C12374" s="40" t="n">
        <v>-46.524572</v>
      </c>
      <c r="D12374" s="40" t="n">
        <v>46</v>
      </c>
      <c r="E12374" s="41" t="n">
        <v>1671.209</v>
      </c>
    </row>
    <row r="12375">
      <c r="A12375" s="42">
        <f>_xlfn.XLOOKUP(80404,Trip[shape_id],Trip[shape_id],"Não encontrado")</f>
        <v/>
      </c>
      <c r="B12375" s="43" t="n">
        <v>-23.570017</v>
      </c>
      <c r="C12375" s="43" t="n">
        <v>-46.524624</v>
      </c>
      <c r="D12375" s="43" t="n">
        <v>47</v>
      </c>
      <c r="E12375" s="44" t="n">
        <v>1681.8243</v>
      </c>
    </row>
    <row r="12376">
      <c r="A12376" s="39">
        <f>_xlfn.XLOOKUP(80404,Trip[shape_id],Trip[shape_id],"Não encontrado")</f>
        <v/>
      </c>
      <c r="B12376" s="40" t="n">
        <v>-23.570294</v>
      </c>
      <c r="C12376" s="40" t="n">
        <v>-46.52476</v>
      </c>
      <c r="D12376" s="40" t="n">
        <v>48</v>
      </c>
      <c r="E12376" s="41" t="n">
        <v>1715.498</v>
      </c>
    </row>
    <row r="12377">
      <c r="A12377" s="42">
        <f>_xlfn.XLOOKUP(80404,Trip[shape_id],Trip[shape_id],"Não encontrado")</f>
        <v/>
      </c>
      <c r="B12377" s="43" t="n">
        <v>-23.571171</v>
      </c>
      <c r="C12377" s="43" t="n">
        <v>-46.524761</v>
      </c>
      <c r="D12377" s="43" t="n">
        <v>49</v>
      </c>
      <c r="E12377" s="44" t="n">
        <v>1812.6277</v>
      </c>
    </row>
    <row r="12378">
      <c r="A12378" s="39">
        <f>_xlfn.XLOOKUP(80404,Trip[shape_id],Trip[shape_id],"Não encontrado")</f>
        <v/>
      </c>
      <c r="B12378" s="40" t="n">
        <v>-23.571344</v>
      </c>
      <c r="C12378" s="40" t="n">
        <v>-46.524756</v>
      </c>
      <c r="D12378" s="40" t="n">
        <v>50</v>
      </c>
      <c r="E12378" s="41" t="n">
        <v>1831.7946</v>
      </c>
    </row>
    <row r="12379">
      <c r="A12379" s="42">
        <f>_xlfn.XLOOKUP(80404,Trip[shape_id],Trip[shape_id],"Não encontrado")</f>
        <v/>
      </c>
      <c r="B12379" s="43" t="n">
        <v>-23.571334</v>
      </c>
      <c r="C12379" s="43" t="n">
        <v>-46.525368</v>
      </c>
      <c r="D12379" s="43" t="n">
        <v>51</v>
      </c>
      <c r="E12379" s="44" t="n">
        <v>1894.281</v>
      </c>
    </row>
    <row r="12380">
      <c r="A12380" s="39">
        <f>_xlfn.XLOOKUP(80404,Trip[shape_id],Trip[shape_id],"Não encontrado")</f>
        <v/>
      </c>
      <c r="B12380" s="40" t="n">
        <v>-23.571336</v>
      </c>
      <c r="C12380" s="40" t="n">
        <v>-46.525953</v>
      </c>
      <c r="D12380" s="40" t="n">
        <v>52</v>
      </c>
      <c r="E12380" s="41" t="n">
        <v>1954.0017</v>
      </c>
    </row>
    <row r="12381">
      <c r="A12381" s="42">
        <f>_xlfn.XLOOKUP(80404,Trip[shape_id],Trip[shape_id],"Não encontrado")</f>
        <v/>
      </c>
      <c r="B12381" s="43" t="n">
        <v>-23.571333</v>
      </c>
      <c r="C12381" s="43" t="n">
        <v>-46.526529</v>
      </c>
      <c r="D12381" s="43" t="n">
        <v>53</v>
      </c>
      <c r="E12381" s="44" t="n">
        <v>2012.8042</v>
      </c>
    </row>
    <row r="12382">
      <c r="A12382" s="39">
        <f>_xlfn.XLOOKUP(80404,Trip[shape_id],Trip[shape_id],"Não encontrado")</f>
        <v/>
      </c>
      <c r="B12382" s="40" t="n">
        <v>-23.571328</v>
      </c>
      <c r="C12382" s="40" t="n">
        <v>-46.526636</v>
      </c>
      <c r="D12382" s="40" t="n">
        <v>54</v>
      </c>
      <c r="E12382" s="41" t="n">
        <v>2023.7417</v>
      </c>
    </row>
    <row r="12383">
      <c r="A12383" s="42">
        <f>_xlfn.XLOOKUP(80404,Trip[shape_id],Trip[shape_id],"Não encontrado")</f>
        <v/>
      </c>
      <c r="B12383" s="43" t="n">
        <v>-23.571325</v>
      </c>
      <c r="C12383" s="43" t="n">
        <v>-46.526809</v>
      </c>
      <c r="D12383" s="43" t="n">
        <v>55</v>
      </c>
      <c r="E12383" s="44" t="n">
        <v>2041.4056</v>
      </c>
    </row>
    <row r="12384">
      <c r="A12384" s="39">
        <f>_xlfn.XLOOKUP(80404,Trip[shape_id],Trip[shape_id],"Não encontrado")</f>
        <v/>
      </c>
      <c r="B12384" s="40" t="n">
        <v>-23.571328</v>
      </c>
      <c r="C12384" s="40" t="n">
        <v>-46.526947</v>
      </c>
      <c r="D12384" s="40" t="n">
        <v>56</v>
      </c>
      <c r="E12384" s="41" t="n">
        <v>2055.4976</v>
      </c>
    </row>
    <row r="12385">
      <c r="A12385" s="42">
        <f>_xlfn.XLOOKUP(80404,Trip[shape_id],Trip[shape_id],"Não encontrado")</f>
        <v/>
      </c>
      <c r="B12385" s="43" t="n">
        <v>-23.571325</v>
      </c>
      <c r="C12385" s="43" t="n">
        <v>-46.527035</v>
      </c>
      <c r="D12385" s="43" t="n">
        <v>57</v>
      </c>
      <c r="E12385" s="44" t="n">
        <v>2064.4868</v>
      </c>
    </row>
    <row r="12386">
      <c r="A12386" s="39">
        <f>_xlfn.XLOOKUP(80404,Trip[shape_id],Trip[shape_id],"Não encontrado")</f>
        <v/>
      </c>
      <c r="B12386" s="40" t="n">
        <v>-23.57132</v>
      </c>
      <c r="C12386" s="40" t="n">
        <v>-46.527084</v>
      </c>
      <c r="D12386" s="40" t="n">
        <v>58</v>
      </c>
      <c r="E12386" s="41" t="n">
        <v>2069.5193</v>
      </c>
    </row>
    <row r="12387">
      <c r="A12387" s="42">
        <f>_xlfn.XLOOKUP(80404,Trip[shape_id],Trip[shape_id],"Não encontrado")</f>
        <v/>
      </c>
      <c r="B12387" s="43" t="n">
        <v>-23.571315</v>
      </c>
      <c r="C12387" s="43" t="n">
        <v>-46.527107</v>
      </c>
      <c r="D12387" s="43" t="n">
        <v>59</v>
      </c>
      <c r="E12387" s="44" t="n">
        <v>2071.9309</v>
      </c>
    </row>
    <row r="12388">
      <c r="A12388" s="39">
        <f>_xlfn.XLOOKUP(80404,Trip[shape_id],Trip[shape_id],"Não encontrado")</f>
        <v/>
      </c>
      <c r="B12388" s="40" t="n">
        <v>-23.571726</v>
      </c>
      <c r="C12388" s="40" t="n">
        <v>-46.527117</v>
      </c>
      <c r="D12388" s="40" t="n">
        <v>60</v>
      </c>
      <c r="E12388" s="41" t="n">
        <v>2117.4614</v>
      </c>
    </row>
    <row r="12389">
      <c r="A12389" s="42">
        <f>_xlfn.XLOOKUP(80404,Trip[shape_id],Trip[shape_id],"Não encontrado")</f>
        <v/>
      </c>
      <c r="B12389" s="43" t="n">
        <v>-23.571783</v>
      </c>
      <c r="C12389" s="43" t="n">
        <v>-46.527032</v>
      </c>
      <c r="D12389" s="43" t="n">
        <v>61</v>
      </c>
      <c r="E12389" s="44" t="n">
        <v>2147.1211</v>
      </c>
    </row>
    <row r="12390">
      <c r="A12390" s="39">
        <f>_xlfn.XLOOKUP(80404,Trip[shape_id],Trip[shape_id],"Não encontrado")</f>
        <v/>
      </c>
      <c r="B12390" s="40" t="n">
        <v>-23.571894</v>
      </c>
      <c r="C12390" s="40" t="n">
        <v>-46.526891</v>
      </c>
      <c r="D12390" s="40" t="n">
        <v>62</v>
      </c>
      <c r="E12390" s="41" t="n">
        <v>2147.1211</v>
      </c>
    </row>
    <row r="12391">
      <c r="A12391" s="42">
        <f>_xlfn.XLOOKUP(80404,Trip[shape_id],Trip[shape_id],"Não encontrado")</f>
        <v/>
      </c>
      <c r="B12391" s="43" t="n">
        <v>-23.572307</v>
      </c>
      <c r="C12391" s="43" t="n">
        <v>-46.527117</v>
      </c>
      <c r="D12391" s="43" t="n">
        <v>63</v>
      </c>
      <c r="E12391" s="44" t="n">
        <v>2198.3508</v>
      </c>
    </row>
    <row r="12392">
      <c r="A12392" s="39">
        <f>_xlfn.XLOOKUP(80404,Trip[shape_id],Trip[shape_id],"Não encontrado")</f>
        <v/>
      </c>
      <c r="B12392" s="40" t="n">
        <v>-23.572712</v>
      </c>
      <c r="C12392" s="40" t="n">
        <v>-46.527332</v>
      </c>
      <c r="D12392" s="40" t="n">
        <v>64</v>
      </c>
      <c r="E12392" s="41" t="n">
        <v>2248.2874</v>
      </c>
    </row>
    <row r="12393">
      <c r="A12393" s="42">
        <f>_xlfn.XLOOKUP(80404,Trip[shape_id],Trip[shape_id],"Não encontrado")</f>
        <v/>
      </c>
      <c r="B12393" s="43" t="n">
        <v>-23.573124</v>
      </c>
      <c r="C12393" s="43" t="n">
        <v>-46.527545</v>
      </c>
      <c r="D12393" s="43" t="n">
        <v>65</v>
      </c>
      <c r="E12393" s="44" t="n">
        <v>2298.8333</v>
      </c>
    </row>
    <row r="12394">
      <c r="A12394" s="39">
        <f>_xlfn.XLOOKUP(80404,Trip[shape_id],Trip[shape_id],"Não encontrado")</f>
        <v/>
      </c>
      <c r="B12394" s="40" t="n">
        <v>-23.57348</v>
      </c>
      <c r="C12394" s="40" t="n">
        <v>-46.527726</v>
      </c>
      <c r="D12394" s="40" t="n">
        <v>66</v>
      </c>
      <c r="E12394" s="41" t="n">
        <v>2345.709</v>
      </c>
    </row>
    <row r="12395">
      <c r="A12395" s="42">
        <f>_xlfn.XLOOKUP(80404,Trip[shape_id],Trip[shape_id],"Não encontrado")</f>
        <v/>
      </c>
      <c r="B12395" s="43" t="n">
        <v>-23.573508</v>
      </c>
      <c r="C12395" s="43" t="n">
        <v>-46.527738</v>
      </c>
      <c r="D12395" s="43" t="n">
        <v>67</v>
      </c>
      <c r="E12395" s="44" t="n">
        <v>2351.7212</v>
      </c>
    </row>
    <row r="12396">
      <c r="A12396" s="39">
        <f>_xlfn.XLOOKUP(80404,Trip[shape_id],Trip[shape_id],"Não encontrado")</f>
        <v/>
      </c>
      <c r="B12396" s="40" t="n">
        <v>-23.573562</v>
      </c>
      <c r="C12396" s="40" t="n">
        <v>-46.527744</v>
      </c>
      <c r="D12396" s="40" t="n">
        <v>68</v>
      </c>
      <c r="E12396" s="41" t="n">
        <v>2367.9067</v>
      </c>
    </row>
    <row r="12397">
      <c r="A12397" s="42">
        <f>_xlfn.XLOOKUP(80404,Trip[shape_id],Trip[shape_id],"Não encontrado")</f>
        <v/>
      </c>
      <c r="B12397" s="43" t="n">
        <v>-23.573708</v>
      </c>
      <c r="C12397" s="43" t="n">
        <v>-46.527737</v>
      </c>
      <c r="D12397" s="43" t="n">
        <v>69</v>
      </c>
      <c r="E12397" s="44" t="n">
        <v>2367.9067</v>
      </c>
    </row>
    <row r="12398">
      <c r="A12398" s="39">
        <f>_xlfn.XLOOKUP(80404,Trip[shape_id],Trip[shape_id],"Não encontrado")</f>
        <v/>
      </c>
      <c r="B12398" s="40" t="n">
        <v>-23.573886</v>
      </c>
      <c r="C12398" s="40" t="n">
        <v>-46.527698</v>
      </c>
      <c r="D12398" s="40" t="n">
        <v>70</v>
      </c>
      <c r="E12398" s="41" t="n">
        <v>2418.269</v>
      </c>
    </row>
    <row r="12399">
      <c r="A12399" s="42">
        <f>_xlfn.XLOOKUP(80404,Trip[shape_id],Trip[shape_id],"Não encontrado")</f>
        <v/>
      </c>
      <c r="B12399" s="43" t="n">
        <v>-23.574157</v>
      </c>
      <c r="C12399" s="43" t="n">
        <v>-46.527661</v>
      </c>
      <c r="D12399" s="43" t="n">
        <v>71</v>
      </c>
      <c r="E12399" s="44" t="n">
        <v>2427.4822</v>
      </c>
    </row>
    <row r="12400">
      <c r="A12400" s="39">
        <f>_xlfn.XLOOKUP(80404,Trip[shape_id],Trip[shape_id],"Não encontrado")</f>
        <v/>
      </c>
      <c r="B12400" s="40" t="n">
        <v>-23.57424</v>
      </c>
      <c r="C12400" s="40" t="n">
        <v>-46.527655</v>
      </c>
      <c r="D12400" s="40" t="n">
        <v>72</v>
      </c>
      <c r="E12400" s="41" t="n">
        <v>2427.4822</v>
      </c>
    </row>
    <row r="12401">
      <c r="A12401" s="42">
        <f>_xlfn.XLOOKUP(80404,Trip[shape_id],Trip[shape_id],"Não encontrado")</f>
        <v/>
      </c>
      <c r="B12401" s="43" t="n">
        <v>-23.574312</v>
      </c>
      <c r="C12401" s="43" t="n">
        <v>-46.527661</v>
      </c>
      <c r="D12401" s="43" t="n">
        <v>73</v>
      </c>
      <c r="E12401" s="44" t="n">
        <v>2435.4792</v>
      </c>
    </row>
    <row r="12402">
      <c r="A12402" s="39">
        <f>_xlfn.XLOOKUP(80404,Trip[shape_id],Trip[shape_id],"Não encontrado")</f>
        <v/>
      </c>
      <c r="B12402" s="40" t="n">
        <v>-23.574425</v>
      </c>
      <c r="C12402" s="40" t="n">
        <v>-46.527844</v>
      </c>
      <c r="D12402" s="40" t="n">
        <v>74</v>
      </c>
      <c r="E12402" s="41" t="n">
        <v>2457.9653</v>
      </c>
    </row>
    <row r="12403">
      <c r="A12403" s="42">
        <f>_xlfn.XLOOKUP(80404,Trip[shape_id],Trip[shape_id],"Não encontrado")</f>
        <v/>
      </c>
      <c r="B12403" s="43" t="n">
        <v>-23.574479</v>
      </c>
      <c r="C12403" s="43" t="n">
        <v>-46.527903</v>
      </c>
      <c r="D12403" s="43" t="n">
        <v>75</v>
      </c>
      <c r="E12403" s="44" t="n">
        <v>2466.4531</v>
      </c>
    </row>
    <row r="12404">
      <c r="A12404" s="39">
        <f>_xlfn.XLOOKUP(80404,Trip[shape_id],Trip[shape_id],"Não encontrado")</f>
        <v/>
      </c>
      <c r="B12404" s="40" t="n">
        <v>-23.574836</v>
      </c>
      <c r="C12404" s="40" t="n">
        <v>-46.528263</v>
      </c>
      <c r="D12404" s="40" t="n">
        <v>76</v>
      </c>
      <c r="E12404" s="41" t="n">
        <v>2520.4333</v>
      </c>
    </row>
    <row r="12405">
      <c r="A12405" s="42">
        <f>_xlfn.XLOOKUP(80404,Trip[shape_id],Trip[shape_id],"Não encontrado")</f>
        <v/>
      </c>
      <c r="B12405" s="43" t="n">
        <v>-23.575181</v>
      </c>
      <c r="C12405" s="43" t="n">
        <v>-46.528604</v>
      </c>
      <c r="D12405" s="43" t="n">
        <v>77</v>
      </c>
      <c r="E12405" s="44" t="n">
        <v>2572.1221</v>
      </c>
    </row>
    <row r="12406">
      <c r="A12406" s="39">
        <f>_xlfn.XLOOKUP(80404,Trip[shape_id],Trip[shape_id],"Não encontrado")</f>
        <v/>
      </c>
      <c r="B12406" s="40" t="n">
        <v>-23.575231</v>
      </c>
      <c r="C12406" s="40" t="n">
        <v>-46.528647</v>
      </c>
      <c r="D12406" s="40" t="n">
        <v>78</v>
      </c>
      <c r="E12406" s="41" t="n">
        <v>2579.189</v>
      </c>
    </row>
    <row r="12407">
      <c r="A12407" s="42">
        <f>_xlfn.XLOOKUP(80404,Trip[shape_id],Trip[shape_id],"Não encontrado")</f>
        <v/>
      </c>
      <c r="B12407" s="43" t="n">
        <v>-23.575278</v>
      </c>
      <c r="C12407" s="43" t="n">
        <v>-46.528696</v>
      </c>
      <c r="D12407" s="43" t="n">
        <v>79</v>
      </c>
      <c r="E12407" s="44" t="n">
        <v>2586.4077</v>
      </c>
    </row>
    <row r="12408">
      <c r="A12408" s="39">
        <f>_xlfn.XLOOKUP(80404,Trip[shape_id],Trip[shape_id],"Não encontrado")</f>
        <v/>
      </c>
      <c r="B12408" s="40" t="n">
        <v>-23.575467</v>
      </c>
      <c r="C12408" s="40" t="n">
        <v>-46.528882</v>
      </c>
      <c r="D12408" s="40" t="n">
        <v>80</v>
      </c>
      <c r="E12408" s="41" t="n">
        <v>2614.6687</v>
      </c>
    </row>
    <row r="12409">
      <c r="A12409" s="42">
        <f>_xlfn.XLOOKUP(80404,Trip[shape_id],Trip[shape_id],"Não encontrado")</f>
        <v/>
      </c>
      <c r="B12409" s="43" t="n">
        <v>-23.57508</v>
      </c>
      <c r="C12409" s="43" t="n">
        <v>-46.529478</v>
      </c>
      <c r="D12409" s="43" t="n">
        <v>81</v>
      </c>
      <c r="E12409" s="44" t="n">
        <v>2689.0916</v>
      </c>
    </row>
    <row r="12410">
      <c r="A12410" s="39">
        <f>_xlfn.XLOOKUP(80404,Trip[shape_id],Trip[shape_id],"Não encontrado")</f>
        <v/>
      </c>
      <c r="B12410" s="40" t="n">
        <v>-23.574854</v>
      </c>
      <c r="C12410" s="40" t="n">
        <v>-46.529837</v>
      </c>
      <c r="D12410" s="40" t="n">
        <v>82</v>
      </c>
      <c r="E12410" s="41" t="n">
        <v>2733.4714</v>
      </c>
    </row>
    <row r="12411">
      <c r="A12411" s="42">
        <f>_xlfn.XLOOKUP(80404,Trip[shape_id],Trip[shape_id],"Não encontrado")</f>
        <v/>
      </c>
      <c r="B12411" s="43" t="n">
        <v>-23.574674</v>
      </c>
      <c r="C12411" s="43" t="n">
        <v>-46.530115</v>
      </c>
      <c r="D12411" s="43" t="n">
        <v>83</v>
      </c>
      <c r="E12411" s="44" t="n">
        <v>2768.1528</v>
      </c>
    </row>
    <row r="12412">
      <c r="A12412" s="39">
        <f>_xlfn.XLOOKUP(80404,Trip[shape_id],Trip[shape_id],"Não encontrado")</f>
        <v/>
      </c>
      <c r="B12412" s="40" t="n">
        <v>-23.574559</v>
      </c>
      <c r="C12412" s="40" t="n">
        <v>-46.530331</v>
      </c>
      <c r="D12412" s="40" t="n">
        <v>84</v>
      </c>
      <c r="E12412" s="41" t="n">
        <v>2793.6169</v>
      </c>
    </row>
    <row r="12413">
      <c r="A12413" s="42">
        <f>_xlfn.XLOOKUP(80404,Trip[shape_id],Trip[shape_id],"Não encontrado")</f>
        <v/>
      </c>
      <c r="B12413" s="43" t="n">
        <v>-23.574378</v>
      </c>
      <c r="C12413" s="43" t="n">
        <v>-46.530694</v>
      </c>
      <c r="D12413" s="43" t="n">
        <v>85</v>
      </c>
      <c r="E12413" s="44" t="n">
        <v>2835.748</v>
      </c>
    </row>
    <row r="12414">
      <c r="A12414" s="39">
        <f>_xlfn.XLOOKUP(80404,Trip[shape_id],Trip[shape_id],"Não encontrado")</f>
        <v/>
      </c>
      <c r="B12414" s="40" t="n">
        <v>-23.574145</v>
      </c>
      <c r="C12414" s="40" t="n">
        <v>-46.531156</v>
      </c>
      <c r="D12414" s="40" t="n">
        <v>86</v>
      </c>
      <c r="E12414" s="41" t="n">
        <v>2889.509</v>
      </c>
    </row>
    <row r="12415">
      <c r="A12415" s="42">
        <f>_xlfn.XLOOKUP(80404,Trip[shape_id],Trip[shape_id],"Não encontrado")</f>
        <v/>
      </c>
      <c r="B12415" s="43" t="n">
        <v>-23.57399</v>
      </c>
      <c r="C12415" s="43" t="n">
        <v>-46.531458</v>
      </c>
      <c r="D12415" s="43" t="n">
        <v>87</v>
      </c>
      <c r="E12415" s="44" t="n">
        <v>2924.7957</v>
      </c>
    </row>
    <row r="12416">
      <c r="A12416" s="39">
        <f>_xlfn.XLOOKUP(80404,Trip[shape_id],Trip[shape_id],"Não encontrado")</f>
        <v/>
      </c>
      <c r="B12416" s="40" t="n">
        <v>-23.573956</v>
      </c>
      <c r="C12416" s="40" t="n">
        <v>-46.531523</v>
      </c>
      <c r="D12416" s="40" t="n">
        <v>88</v>
      </c>
      <c r="E12416" s="41" t="n">
        <v>2932.4246</v>
      </c>
    </row>
    <row r="12417">
      <c r="A12417" s="42">
        <f>_xlfn.XLOOKUP(80404,Trip[shape_id],Trip[shape_id],"Não encontrado")</f>
        <v/>
      </c>
      <c r="B12417" s="43" t="n">
        <v>-23.573867</v>
      </c>
      <c r="C12417" s="43" t="n">
        <v>-46.531707</v>
      </c>
      <c r="D12417" s="43" t="n">
        <v>89</v>
      </c>
      <c r="E12417" s="44" t="n">
        <v>2953.6372</v>
      </c>
    </row>
    <row r="12418">
      <c r="A12418" s="39">
        <f>_xlfn.XLOOKUP(80404,Trip[shape_id],Trip[shape_id],"Não encontrado")</f>
        <v/>
      </c>
      <c r="B12418" s="40" t="n">
        <v>-23.573866</v>
      </c>
      <c r="C12418" s="40" t="n">
        <v>-46.531736</v>
      </c>
      <c r="D12418" s="40" t="n">
        <v>90</v>
      </c>
      <c r="E12418" s="41" t="n">
        <v>2956.6003</v>
      </c>
    </row>
    <row r="12419">
      <c r="A12419" s="42">
        <f>_xlfn.XLOOKUP(80404,Trip[shape_id],Trip[shape_id],"Não encontrado")</f>
        <v/>
      </c>
      <c r="B12419" s="43" t="n">
        <v>-23.573866</v>
      </c>
      <c r="C12419" s="43" t="n">
        <v>-46.531801</v>
      </c>
      <c r="D12419" s="43" t="n">
        <v>91</v>
      </c>
      <c r="E12419" s="44" t="n">
        <v>2963.2356</v>
      </c>
    </row>
    <row r="12420">
      <c r="A12420" s="39">
        <f>_xlfn.XLOOKUP(80404,Trip[shape_id],Trip[shape_id],"Não encontrado")</f>
        <v/>
      </c>
      <c r="B12420" s="40" t="n">
        <v>-23.573864</v>
      </c>
      <c r="C12420" s="40" t="n">
        <v>-46.531901</v>
      </c>
      <c r="D12420" s="40" t="n">
        <v>92</v>
      </c>
      <c r="E12420" s="41" t="n">
        <v>2973.4463</v>
      </c>
    </row>
    <row r="12421">
      <c r="A12421" s="42">
        <f>_xlfn.XLOOKUP(80404,Trip[shape_id],Trip[shape_id],"Não encontrado")</f>
        <v/>
      </c>
      <c r="B12421" s="43" t="n">
        <v>-23.573835</v>
      </c>
      <c r="C12421" s="43" t="n">
        <v>-46.532025</v>
      </c>
      <c r="D12421" s="43" t="n">
        <v>93</v>
      </c>
      <c r="E12421" s="44" t="n">
        <v>2986.5059</v>
      </c>
    </row>
    <row r="12422">
      <c r="A12422" s="39">
        <f>_xlfn.XLOOKUP(80404,Trip[shape_id],Trip[shape_id],"Não encontrado")</f>
        <v/>
      </c>
      <c r="B12422" s="40" t="n">
        <v>-23.573815</v>
      </c>
      <c r="C12422" s="40" t="n">
        <v>-46.532118</v>
      </c>
      <c r="D12422" s="40" t="n">
        <v>94</v>
      </c>
      <c r="E12422" s="41" t="n">
        <v>2996.2544</v>
      </c>
    </row>
    <row r="12423">
      <c r="A12423" s="42">
        <f>_xlfn.XLOOKUP(80404,Trip[shape_id],Trip[shape_id],"Não encontrado")</f>
        <v/>
      </c>
      <c r="B12423" s="43" t="n">
        <v>-23.573792</v>
      </c>
      <c r="C12423" s="43" t="n">
        <v>-46.532229</v>
      </c>
      <c r="D12423" s="43" t="n">
        <v>95</v>
      </c>
      <c r="E12423" s="44" t="n">
        <v>3007.8682</v>
      </c>
    </row>
    <row r="12424">
      <c r="A12424" s="39">
        <f>_xlfn.XLOOKUP(80404,Trip[shape_id],Trip[shape_id],"Não encontrado")</f>
        <v/>
      </c>
      <c r="B12424" s="40" t="n">
        <v>-23.573764</v>
      </c>
      <c r="C12424" s="40" t="n">
        <v>-46.532285</v>
      </c>
      <c r="D12424" s="40" t="n">
        <v>96</v>
      </c>
      <c r="E12424" s="41" t="n">
        <v>3014.3713</v>
      </c>
    </row>
    <row r="12425">
      <c r="A12425" s="42">
        <f>_xlfn.XLOOKUP(80404,Trip[shape_id],Trip[shape_id],"Não encontrado")</f>
        <v/>
      </c>
      <c r="B12425" s="43" t="n">
        <v>-23.573734</v>
      </c>
      <c r="C12425" s="43" t="n">
        <v>-46.532338</v>
      </c>
      <c r="D12425" s="43" t="n">
        <v>97</v>
      </c>
      <c r="E12425" s="44" t="n">
        <v>3020.7207</v>
      </c>
    </row>
    <row r="12426">
      <c r="A12426" s="39">
        <f>_xlfn.XLOOKUP(80404,Trip[shape_id],Trip[shape_id],"Não encontrado")</f>
        <v/>
      </c>
      <c r="B12426" s="40" t="n">
        <v>-23.573676</v>
      </c>
      <c r="C12426" s="40" t="n">
        <v>-46.532424</v>
      </c>
      <c r="D12426" s="40" t="n">
        <v>98</v>
      </c>
      <c r="E12426" s="41" t="n">
        <v>3031.5989</v>
      </c>
    </row>
    <row r="12427">
      <c r="A12427" s="42">
        <f>_xlfn.XLOOKUP(80404,Trip[shape_id],Trip[shape_id],"Não encontrado")</f>
        <v/>
      </c>
      <c r="B12427" s="43" t="n">
        <v>-23.573618</v>
      </c>
      <c r="C12427" s="43" t="n">
        <v>-46.532506</v>
      </c>
      <c r="D12427" s="43" t="n">
        <v>99</v>
      </c>
      <c r="E12427" s="44" t="n">
        <v>3042.1506</v>
      </c>
    </row>
    <row r="12428">
      <c r="A12428" s="39">
        <f>_xlfn.XLOOKUP(80404,Trip[shape_id],Trip[shape_id],"Não encontrado")</f>
        <v/>
      </c>
      <c r="B12428" s="40" t="n">
        <v>-23.573597</v>
      </c>
      <c r="C12428" s="40" t="n">
        <v>-46.53253</v>
      </c>
      <c r="D12428" s="40" t="n">
        <v>100</v>
      </c>
      <c r="E12428" s="41" t="n">
        <v>3045.5278</v>
      </c>
    </row>
    <row r="12429">
      <c r="A12429" s="42">
        <f>_xlfn.XLOOKUP(80404,Trip[shape_id],Trip[shape_id],"Não encontrado")</f>
        <v/>
      </c>
      <c r="B12429" s="43" t="n">
        <v>-23.5735</v>
      </c>
      <c r="C12429" s="43" t="n">
        <v>-46.532636</v>
      </c>
      <c r="D12429" s="43" t="n">
        <v>101</v>
      </c>
      <c r="E12429" s="44" t="n">
        <v>3060.7759</v>
      </c>
    </row>
    <row r="12430">
      <c r="A12430" s="39">
        <f>_xlfn.XLOOKUP(80404,Trip[shape_id],Trip[shape_id],"Não encontrado")</f>
        <v/>
      </c>
      <c r="B12430" s="40" t="n">
        <v>-23.573406</v>
      </c>
      <c r="C12430" s="40" t="n">
        <v>-46.532727</v>
      </c>
      <c r="D12430" s="40" t="n">
        <v>102</v>
      </c>
      <c r="E12430" s="41" t="n">
        <v>3074.7285</v>
      </c>
    </row>
    <row r="12431">
      <c r="A12431" s="42">
        <f>_xlfn.XLOOKUP(80404,Trip[shape_id],Trip[shape_id],"Não encontrado")</f>
        <v/>
      </c>
      <c r="B12431" s="43" t="n">
        <v>-23.57319</v>
      </c>
      <c r="C12431" s="43" t="n">
        <v>-46.532925</v>
      </c>
      <c r="D12431" s="43" t="n">
        <v>103</v>
      </c>
      <c r="E12431" s="44" t="n">
        <v>3106.0469</v>
      </c>
    </row>
    <row r="12432">
      <c r="A12432" s="39">
        <f>_xlfn.XLOOKUP(80404,Trip[shape_id],Trip[shape_id],"Não encontrado")</f>
        <v/>
      </c>
      <c r="B12432" s="40" t="n">
        <v>-23.573027</v>
      </c>
      <c r="C12432" s="40" t="n">
        <v>-46.5331</v>
      </c>
      <c r="D12432" s="40" t="n">
        <v>104</v>
      </c>
      <c r="E12432" s="41" t="n">
        <v>3131.4448</v>
      </c>
    </row>
    <row r="12433">
      <c r="A12433" s="42">
        <f>_xlfn.XLOOKUP(80404,Trip[shape_id],Trip[shape_id],"Não encontrado")</f>
        <v/>
      </c>
      <c r="B12433" s="43" t="n">
        <v>-23.573011</v>
      </c>
      <c r="C12433" s="43" t="n">
        <v>-46.533117</v>
      </c>
      <c r="D12433" s="43" t="n">
        <v>105</v>
      </c>
      <c r="E12433" s="44" t="n">
        <v>3133.927</v>
      </c>
    </row>
    <row r="12434">
      <c r="A12434" s="39">
        <f>_xlfn.XLOOKUP(80404,Trip[shape_id],Trip[shape_id],"Não encontrado")</f>
        <v/>
      </c>
      <c r="B12434" s="40" t="n">
        <v>-23.573014</v>
      </c>
      <c r="C12434" s="40" t="n">
        <v>-46.533172</v>
      </c>
      <c r="D12434" s="40" t="n">
        <v>106</v>
      </c>
      <c r="E12434" s="41" t="n">
        <v>3139.5513</v>
      </c>
    </row>
    <row r="12435">
      <c r="A12435" s="42">
        <f>_xlfn.XLOOKUP(80404,Trip[shape_id],Trip[shape_id],"Não encontrado")</f>
        <v/>
      </c>
      <c r="B12435" s="43" t="n">
        <v>-23.573014</v>
      </c>
      <c r="C12435" s="43" t="n">
        <v>-46.533302</v>
      </c>
      <c r="D12435" s="43" t="n">
        <v>107</v>
      </c>
      <c r="E12435" s="44" t="n">
        <v>3152.8225</v>
      </c>
    </row>
    <row r="12436">
      <c r="A12436" s="39">
        <f>_xlfn.XLOOKUP(80404,Trip[shape_id],Trip[shape_id],"Não encontrado")</f>
        <v/>
      </c>
      <c r="B12436" s="40" t="n">
        <v>-23.573013</v>
      </c>
      <c r="C12436" s="40" t="n">
        <v>-46.533396</v>
      </c>
      <c r="D12436" s="40" t="n">
        <v>108</v>
      </c>
      <c r="E12436" s="41" t="n">
        <v>3162.4194</v>
      </c>
    </row>
    <row r="12437">
      <c r="A12437" s="42">
        <f>_xlfn.XLOOKUP(80404,Trip[shape_id],Trip[shape_id],"Não encontrado")</f>
        <v/>
      </c>
      <c r="B12437" s="43" t="n">
        <v>-23.573004</v>
      </c>
      <c r="C12437" s="43" t="n">
        <v>-46.533601</v>
      </c>
      <c r="D12437" s="43" t="n">
        <v>109</v>
      </c>
      <c r="E12437" s="44" t="n">
        <v>3183.3704</v>
      </c>
    </row>
    <row r="12438">
      <c r="A12438" s="39">
        <f>_xlfn.XLOOKUP(80404,Trip[shape_id],Trip[shape_id],"Não encontrado")</f>
        <v/>
      </c>
      <c r="B12438" s="40" t="n">
        <v>-23.572972</v>
      </c>
      <c r="C12438" s="40" t="n">
        <v>-46.533783</v>
      </c>
      <c r="D12438" s="40" t="n">
        <v>110</v>
      </c>
      <c r="E12438" s="41" t="n">
        <v>3202.2849</v>
      </c>
    </row>
    <row r="12439">
      <c r="A12439" s="42">
        <f>_xlfn.XLOOKUP(80404,Trip[shape_id],Trip[shape_id],"Não encontrado")</f>
        <v/>
      </c>
      <c r="B12439" s="43" t="n">
        <v>-23.572943</v>
      </c>
      <c r="C12439" s="43" t="n">
        <v>-46.533909</v>
      </c>
      <c r="D12439" s="43" t="n">
        <v>111</v>
      </c>
      <c r="E12439" s="44" t="n">
        <v>3215.5422</v>
      </c>
    </row>
    <row r="12440">
      <c r="A12440" s="39">
        <f>_xlfn.XLOOKUP(80404,Trip[shape_id],Trip[shape_id],"Não encontrado")</f>
        <v/>
      </c>
      <c r="B12440" s="40" t="n">
        <v>-23.572922</v>
      </c>
      <c r="C12440" s="40" t="n">
        <v>-46.534001</v>
      </c>
      <c r="D12440" s="40" t="n">
        <v>112</v>
      </c>
      <c r="E12440" s="41" t="n">
        <v>3225.218</v>
      </c>
    </row>
    <row r="12441">
      <c r="A12441" s="42">
        <f>_xlfn.XLOOKUP(80404,Trip[shape_id],Trip[shape_id],"Não encontrado")</f>
        <v/>
      </c>
      <c r="B12441" s="43" t="n">
        <v>-23.572879</v>
      </c>
      <c r="C12441" s="43" t="n">
        <v>-46.534127</v>
      </c>
      <c r="D12441" s="43" t="n">
        <v>113</v>
      </c>
      <c r="E12441" s="44" t="n">
        <v>3238.9343</v>
      </c>
    </row>
    <row r="12442">
      <c r="A12442" s="39">
        <f>_xlfn.XLOOKUP(80404,Trip[shape_id],Trip[shape_id],"Não encontrado")</f>
        <v/>
      </c>
      <c r="B12442" s="40" t="n">
        <v>-23.572847</v>
      </c>
      <c r="C12442" s="40" t="n">
        <v>-46.534197</v>
      </c>
      <c r="D12442" s="40" t="n">
        <v>114</v>
      </c>
      <c r="E12442" s="41" t="n">
        <v>3246.9111</v>
      </c>
    </row>
    <row r="12443">
      <c r="A12443" s="42">
        <f>_xlfn.XLOOKUP(80404,Trip[shape_id],Trip[shape_id],"Não encontrado")</f>
        <v/>
      </c>
      <c r="B12443" s="43" t="n">
        <v>-23.572746</v>
      </c>
      <c r="C12443" s="43" t="n">
        <v>-46.53444</v>
      </c>
      <c r="D12443" s="43" t="n">
        <v>115</v>
      </c>
      <c r="E12443" s="44" t="n">
        <v>3274.1233</v>
      </c>
    </row>
    <row r="12444">
      <c r="A12444" s="39">
        <f>_xlfn.XLOOKUP(80404,Trip[shape_id],Trip[shape_id],"Não encontrado")</f>
        <v/>
      </c>
      <c r="B12444" s="40" t="n">
        <v>-23.572661</v>
      </c>
      <c r="C12444" s="40" t="n">
        <v>-46.534615</v>
      </c>
      <c r="D12444" s="40" t="n">
        <v>116</v>
      </c>
      <c r="E12444" s="41" t="n">
        <v>3294.3167</v>
      </c>
    </row>
    <row r="12445">
      <c r="A12445" s="42">
        <f>_xlfn.XLOOKUP(80404,Trip[shape_id],Trip[shape_id],"Não encontrado")</f>
        <v/>
      </c>
      <c r="B12445" s="43" t="n">
        <v>-23.571741</v>
      </c>
      <c r="C12445" s="43" t="n">
        <v>-46.536594</v>
      </c>
      <c r="D12445" s="43" t="n">
        <v>117</v>
      </c>
      <c r="E12445" s="44" t="n">
        <v>3520.5837</v>
      </c>
    </row>
    <row r="12446">
      <c r="A12446" s="39">
        <f>_xlfn.XLOOKUP(80404,Trip[shape_id],Trip[shape_id],"Não encontrado")</f>
        <v/>
      </c>
      <c r="B12446" s="40" t="n">
        <v>-23.571564</v>
      </c>
      <c r="C12446" s="40" t="n">
        <v>-46.53696</v>
      </c>
      <c r="D12446" s="40" t="n">
        <v>118</v>
      </c>
      <c r="E12446" s="41" t="n">
        <v>3562.7773</v>
      </c>
    </row>
    <row r="12447">
      <c r="A12447" s="42">
        <f>_xlfn.XLOOKUP(80404,Trip[shape_id],Trip[shape_id],"Não encontrado")</f>
        <v/>
      </c>
      <c r="B12447" s="43" t="n">
        <v>-23.571403</v>
      </c>
      <c r="C12447" s="43" t="n">
        <v>-46.537344</v>
      </c>
      <c r="D12447" s="43" t="n">
        <v>119</v>
      </c>
      <c r="E12447" s="44" t="n">
        <v>3605.843</v>
      </c>
    </row>
    <row r="12448">
      <c r="A12448" s="39">
        <f>_xlfn.XLOOKUP(80404,Trip[shape_id],Trip[shape_id],"Não encontrado")</f>
        <v/>
      </c>
      <c r="B12448" s="40" t="n">
        <v>-23.571247</v>
      </c>
      <c r="C12448" s="40" t="n">
        <v>-46.537712</v>
      </c>
      <c r="D12448" s="40" t="n">
        <v>120</v>
      </c>
      <c r="E12448" s="41" t="n">
        <v>3647.1931</v>
      </c>
    </row>
    <row r="12449">
      <c r="A12449" s="42">
        <f>_xlfn.XLOOKUP(80404,Trip[shape_id],Trip[shape_id],"Não encontrado")</f>
        <v/>
      </c>
      <c r="B12449" s="43" t="n">
        <v>-23.571126</v>
      </c>
      <c r="C12449" s="43" t="n">
        <v>-46.538052</v>
      </c>
      <c r="D12449" s="43" t="n">
        <v>121</v>
      </c>
      <c r="E12449" s="44" t="n">
        <v>3684.3997</v>
      </c>
    </row>
    <row r="12450">
      <c r="A12450" s="39">
        <f>_xlfn.XLOOKUP(80404,Trip[shape_id],Trip[shape_id],"Não encontrado")</f>
        <v/>
      </c>
      <c r="B12450" s="40" t="n">
        <v>-23.570938</v>
      </c>
      <c r="C12450" s="40" t="n">
        <v>-46.538579</v>
      </c>
      <c r="D12450" s="40" t="n">
        <v>122</v>
      </c>
      <c r="E12450" s="41" t="n">
        <v>3742.0876</v>
      </c>
    </row>
    <row r="12451">
      <c r="A12451" s="42">
        <f>_xlfn.XLOOKUP(80404,Trip[shape_id],Trip[shape_id],"Não encontrado")</f>
        <v/>
      </c>
      <c r="B12451" s="43" t="n">
        <v>-23.570873</v>
      </c>
      <c r="C12451" s="43" t="n">
        <v>-46.538764</v>
      </c>
      <c r="D12451" s="43" t="n">
        <v>123</v>
      </c>
      <c r="E12451" s="44" t="n">
        <v>3762.2991</v>
      </c>
    </row>
    <row r="12452">
      <c r="A12452" s="39">
        <f>_xlfn.XLOOKUP(80404,Trip[shape_id],Trip[shape_id],"Não encontrado")</f>
        <v/>
      </c>
      <c r="B12452" s="40" t="n">
        <v>-23.570763</v>
      </c>
      <c r="C12452" s="40" t="n">
        <v>-46.539081</v>
      </c>
      <c r="D12452" s="40" t="n">
        <v>124</v>
      </c>
      <c r="E12452" s="41" t="n">
        <v>3796.8777</v>
      </c>
    </row>
    <row r="12453">
      <c r="A12453" s="42">
        <f>_xlfn.XLOOKUP(80404,Trip[shape_id],Trip[shape_id],"Não encontrado")</f>
        <v/>
      </c>
      <c r="B12453" s="43" t="n">
        <v>-23.570552</v>
      </c>
      <c r="C12453" s="43" t="n">
        <v>-46.539682</v>
      </c>
      <c r="D12453" s="43" t="n">
        <v>125</v>
      </c>
      <c r="E12453" s="44" t="n">
        <v>3862.5315</v>
      </c>
    </row>
    <row r="12454">
      <c r="A12454" s="39">
        <f>_xlfn.XLOOKUP(80404,Trip[shape_id],Trip[shape_id],"Não encontrado")</f>
        <v/>
      </c>
      <c r="B12454" s="40" t="n">
        <v>-23.570354</v>
      </c>
      <c r="C12454" s="40" t="n">
        <v>-46.540257</v>
      </c>
      <c r="D12454" s="40" t="n">
        <v>126</v>
      </c>
      <c r="E12454" s="41" t="n">
        <v>3925.1936</v>
      </c>
    </row>
    <row r="12455">
      <c r="A12455" s="42">
        <f>_xlfn.XLOOKUP(80404,Trip[shape_id],Trip[shape_id],"Não encontrado")</f>
        <v/>
      </c>
      <c r="B12455" s="43" t="n">
        <v>-23.570307</v>
      </c>
      <c r="C12455" s="43" t="n">
        <v>-46.540339</v>
      </c>
      <c r="D12455" s="43" t="n">
        <v>127</v>
      </c>
      <c r="E12455" s="44" t="n">
        <v>3935.051</v>
      </c>
    </row>
    <row r="12456">
      <c r="A12456" s="39">
        <f>_xlfn.XLOOKUP(80404,Trip[shape_id],Trip[shape_id],"Não encontrado")</f>
        <v/>
      </c>
      <c r="B12456" s="40" t="n">
        <v>-23.570263</v>
      </c>
      <c r="C12456" s="40" t="n">
        <v>-46.540403</v>
      </c>
      <c r="D12456" s="40" t="n">
        <v>128</v>
      </c>
      <c r="E12456" s="41" t="n">
        <v>3943.2019</v>
      </c>
    </row>
    <row r="12457">
      <c r="A12457" s="42">
        <f>_xlfn.XLOOKUP(80404,Trip[shape_id],Trip[shape_id],"Não encontrado")</f>
        <v/>
      </c>
      <c r="B12457" s="43" t="n">
        <v>-23.57016</v>
      </c>
      <c r="C12457" s="43" t="n">
        <v>-46.540536</v>
      </c>
      <c r="D12457" s="43" t="n">
        <v>129</v>
      </c>
      <c r="E12457" s="44" t="n">
        <v>3960.9353</v>
      </c>
    </row>
    <row r="12458">
      <c r="A12458" s="39">
        <f>_xlfn.XLOOKUP(80404,Trip[shape_id],Trip[shape_id],"Não encontrado")</f>
        <v/>
      </c>
      <c r="B12458" s="40" t="n">
        <v>-23.570053</v>
      </c>
      <c r="C12458" s="40" t="n">
        <v>-46.540579</v>
      </c>
      <c r="D12458" s="40" t="n">
        <v>130</v>
      </c>
      <c r="E12458" s="41" t="n">
        <v>3973.5725</v>
      </c>
    </row>
    <row r="12459">
      <c r="A12459" s="42">
        <f>_xlfn.XLOOKUP(80404,Trip[shape_id],Trip[shape_id],"Não encontrado")</f>
        <v/>
      </c>
      <c r="B12459" s="43" t="n">
        <v>-23.569965</v>
      </c>
      <c r="C12459" s="43" t="n">
        <v>-46.540602</v>
      </c>
      <c r="D12459" s="43" t="n">
        <v>131</v>
      </c>
      <c r="E12459" s="44" t="n">
        <v>3983.5977</v>
      </c>
    </row>
    <row r="12460">
      <c r="A12460" s="39">
        <f>_xlfn.XLOOKUP(80404,Trip[shape_id],Trip[shape_id],"Não encontrado")</f>
        <v/>
      </c>
      <c r="B12460" s="40" t="n">
        <v>-23.569934</v>
      </c>
      <c r="C12460" s="40" t="n">
        <v>-46.540602</v>
      </c>
      <c r="D12460" s="40" t="n">
        <v>132</v>
      </c>
      <c r="E12460" s="41" t="n">
        <v>3987.0305</v>
      </c>
    </row>
    <row r="12461">
      <c r="A12461" s="42">
        <f>_xlfn.XLOOKUP(80404,Trip[shape_id],Trip[shape_id],"Não encontrado")</f>
        <v/>
      </c>
      <c r="B12461" s="43" t="n">
        <v>-23.569877</v>
      </c>
      <c r="C12461" s="43" t="n">
        <v>-46.540603</v>
      </c>
      <c r="D12461" s="43" t="n">
        <v>133</v>
      </c>
      <c r="E12461" s="44" t="n">
        <v>3993.3442</v>
      </c>
    </row>
    <row r="12462">
      <c r="A12462" s="39">
        <f>_xlfn.XLOOKUP(80404,Trip[shape_id],Trip[shape_id],"Não encontrado")</f>
        <v/>
      </c>
      <c r="B12462" s="40" t="n">
        <v>-23.569777</v>
      </c>
      <c r="C12462" s="40" t="n">
        <v>-46.54057</v>
      </c>
      <c r="D12462" s="40" t="n">
        <v>134</v>
      </c>
      <c r="E12462" s="41" t="n">
        <v>4004.9202</v>
      </c>
    </row>
    <row r="12463">
      <c r="A12463" s="42">
        <f>_xlfn.XLOOKUP(80404,Trip[shape_id],Trip[shape_id],"Não encontrado")</f>
        <v/>
      </c>
      <c r="B12463" s="43" t="n">
        <v>-23.569472</v>
      </c>
      <c r="C12463" s="43" t="n">
        <v>-46.540373</v>
      </c>
      <c r="D12463" s="43" t="n">
        <v>135</v>
      </c>
      <c r="E12463" s="44" t="n">
        <v>4044.2332</v>
      </c>
    </row>
    <row r="12464">
      <c r="A12464" s="39">
        <f>_xlfn.XLOOKUP(80404,Trip[shape_id],Trip[shape_id],"Não encontrado")</f>
        <v/>
      </c>
      <c r="B12464" s="40" t="n">
        <v>-23.569375</v>
      </c>
      <c r="C12464" s="40" t="n">
        <v>-46.54035</v>
      </c>
      <c r="D12464" s="40" t="n">
        <v>136</v>
      </c>
      <c r="E12464" s="41" t="n">
        <v>4055.23</v>
      </c>
    </row>
    <row r="12465">
      <c r="A12465" s="42">
        <f>_xlfn.XLOOKUP(80404,Trip[shape_id],Trip[shape_id],"Não encontrado")</f>
        <v/>
      </c>
      <c r="B12465" s="43" t="n">
        <v>-23.569201</v>
      </c>
      <c r="C12465" s="43" t="n">
        <v>-46.540315</v>
      </c>
      <c r="D12465" s="43" t="n">
        <v>137</v>
      </c>
      <c r="E12465" s="44" t="n">
        <v>4074.8291</v>
      </c>
    </row>
    <row r="12466">
      <c r="A12466" s="39">
        <f>_xlfn.XLOOKUP(80404,Trip[shape_id],Trip[shape_id],"Não encontrado")</f>
        <v/>
      </c>
      <c r="B12466" s="40" t="n">
        <v>-23.569113</v>
      </c>
      <c r="C12466" s="40" t="n">
        <v>-46.540361</v>
      </c>
      <c r="D12466" s="40" t="n">
        <v>138</v>
      </c>
      <c r="E12466" s="41" t="n">
        <v>4085.6475</v>
      </c>
    </row>
    <row r="12467">
      <c r="A12467" s="42">
        <f>_xlfn.XLOOKUP(80404,Trip[shape_id],Trip[shape_id],"Não encontrado")</f>
        <v/>
      </c>
      <c r="B12467" s="43" t="n">
        <v>-23.568965</v>
      </c>
      <c r="C12467" s="43" t="n">
        <v>-46.540437</v>
      </c>
      <c r="D12467" s="43" t="n">
        <v>139</v>
      </c>
      <c r="E12467" s="44" t="n">
        <v>4103.7822</v>
      </c>
    </row>
    <row r="12468">
      <c r="A12468" s="39">
        <f>_xlfn.XLOOKUP(80404,Trip[shape_id],Trip[shape_id],"Não encontrado")</f>
        <v/>
      </c>
      <c r="B12468" s="40" t="n">
        <v>-23.568771</v>
      </c>
      <c r="C12468" s="40" t="n">
        <v>-46.540466</v>
      </c>
      <c r="D12468" s="40" t="n">
        <v>140</v>
      </c>
      <c r="E12468" s="41" t="n">
        <v>4125.4712</v>
      </c>
    </row>
    <row r="12469">
      <c r="A12469" s="42">
        <f>_xlfn.XLOOKUP(80404,Trip[shape_id],Trip[shape_id],"Não encontrado")</f>
        <v/>
      </c>
      <c r="B12469" s="43" t="n">
        <v>-23.568666</v>
      </c>
      <c r="C12469" s="43" t="n">
        <v>-46.540466</v>
      </c>
      <c r="D12469" s="43" t="n">
        <v>141</v>
      </c>
      <c r="E12469" s="44" t="n">
        <v>4137.1001</v>
      </c>
    </row>
    <row r="12470">
      <c r="A12470" s="39">
        <f>_xlfn.XLOOKUP(80404,Trip[shape_id],Trip[shape_id],"Não encontrado")</f>
        <v/>
      </c>
      <c r="B12470" s="40" t="n">
        <v>-23.568505</v>
      </c>
      <c r="C12470" s="40" t="n">
        <v>-46.540462</v>
      </c>
      <c r="D12470" s="40" t="n">
        <v>142</v>
      </c>
      <c r="E12470" s="41" t="n">
        <v>4154.9355</v>
      </c>
    </row>
    <row r="12471">
      <c r="A12471" s="42">
        <f>_xlfn.XLOOKUP(80404,Trip[shape_id],Trip[shape_id],"Não encontrado")</f>
        <v/>
      </c>
      <c r="B12471" s="43" t="n">
        <v>-23.56801</v>
      </c>
      <c r="C12471" s="43" t="n">
        <v>-46.540378</v>
      </c>
      <c r="D12471" s="43" t="n">
        <v>143</v>
      </c>
      <c r="E12471" s="44" t="n">
        <v>4210.4243</v>
      </c>
    </row>
    <row r="12472">
      <c r="A12472" s="39">
        <f>_xlfn.XLOOKUP(80404,Trip[shape_id],Trip[shape_id],"Não encontrado")</f>
        <v/>
      </c>
      <c r="B12472" s="40" t="n">
        <v>-23.567356</v>
      </c>
      <c r="C12472" s="40" t="n">
        <v>-46.540199</v>
      </c>
      <c r="D12472" s="40" t="n">
        <v>144</v>
      </c>
      <c r="E12472" s="41" t="n">
        <v>4285.126</v>
      </c>
    </row>
    <row r="12473">
      <c r="A12473" s="42">
        <f>_xlfn.XLOOKUP(80404,Trip[shape_id],Trip[shape_id],"Não encontrado")</f>
        <v/>
      </c>
      <c r="B12473" s="43" t="n">
        <v>-23.567285</v>
      </c>
      <c r="C12473" s="43" t="n">
        <v>-46.54024</v>
      </c>
      <c r="D12473" s="43" t="n">
        <v>145</v>
      </c>
      <c r="E12473" s="44" t="n">
        <v>4294.0342</v>
      </c>
    </row>
    <row r="12474">
      <c r="A12474" s="39">
        <f>_xlfn.XLOOKUP(80404,Trip[shape_id],Trip[shape_id],"Não encontrado")</f>
        <v/>
      </c>
      <c r="B12474" s="40" t="n">
        <v>-23.567235</v>
      </c>
      <c r="C12474" s="40" t="n">
        <v>-46.540282</v>
      </c>
      <c r="D12474" s="40" t="n">
        <v>146</v>
      </c>
      <c r="E12474" s="41" t="n">
        <v>4301.0381</v>
      </c>
    </row>
    <row r="12475">
      <c r="A12475" s="42">
        <f>_xlfn.XLOOKUP(80404,Trip[shape_id],Trip[shape_id],"Não encontrado")</f>
        <v/>
      </c>
      <c r="B12475" s="43" t="n">
        <v>-23.567198</v>
      </c>
      <c r="C12475" s="43" t="n">
        <v>-46.540351</v>
      </c>
      <c r="D12475" s="43" t="n">
        <v>147</v>
      </c>
      <c r="E12475" s="44" t="n">
        <v>4309.187</v>
      </c>
    </row>
    <row r="12476">
      <c r="A12476" s="39">
        <f>_xlfn.XLOOKUP(80404,Trip[shape_id],Trip[shape_id],"Não encontrado")</f>
        <v/>
      </c>
      <c r="B12476" s="40" t="n">
        <v>-23.567174</v>
      </c>
      <c r="C12476" s="40" t="n">
        <v>-46.54041</v>
      </c>
      <c r="D12476" s="40" t="n">
        <v>148</v>
      </c>
      <c r="E12476" s="41" t="n">
        <v>4315.77</v>
      </c>
    </row>
    <row r="12477">
      <c r="A12477" s="42">
        <f>_xlfn.XLOOKUP(80404,Trip[shape_id],Trip[shape_id],"Não encontrado")</f>
        <v/>
      </c>
      <c r="B12477" s="43" t="n">
        <v>-23.56729</v>
      </c>
      <c r="C12477" s="43" t="n">
        <v>-46.540711</v>
      </c>
      <c r="D12477" s="43" t="n">
        <v>149</v>
      </c>
      <c r="E12477" s="44" t="n">
        <v>4349.0767</v>
      </c>
    </row>
    <row r="12478">
      <c r="A12478" s="39">
        <f>_xlfn.XLOOKUP(80404,Trip[shape_id],Trip[shape_id],"Não encontrado")</f>
        <v/>
      </c>
      <c r="B12478" s="40" t="n">
        <v>-23.567328</v>
      </c>
      <c r="C12478" s="40" t="n">
        <v>-46.540864</v>
      </c>
      <c r="D12478" s="40" t="n">
        <v>150</v>
      </c>
      <c r="E12478" s="41" t="n">
        <v>4365.2534</v>
      </c>
    </row>
    <row r="12479">
      <c r="A12479" s="42">
        <f>_xlfn.XLOOKUP(80404,Trip[shape_id],Trip[shape_id],"Não encontrado")</f>
        <v/>
      </c>
      <c r="B12479" s="43" t="n">
        <v>-23.567352</v>
      </c>
      <c r="C12479" s="43" t="n">
        <v>-46.541015</v>
      </c>
      <c r="D12479" s="43" t="n">
        <v>151</v>
      </c>
      <c r="E12479" s="44" t="n">
        <v>4380.896</v>
      </c>
    </row>
    <row r="12480">
      <c r="A12480" s="39">
        <f>_xlfn.XLOOKUP(80404,Trip[shape_id],Trip[shape_id],"Não encontrado")</f>
        <v/>
      </c>
      <c r="B12480" s="40" t="n">
        <v>-23.567362</v>
      </c>
      <c r="C12480" s="40" t="n">
        <v>-46.541103</v>
      </c>
      <c r="D12480" s="40" t="n">
        <v>152</v>
      </c>
      <c r="E12480" s="41" t="n">
        <v>4389.9482</v>
      </c>
    </row>
    <row r="12481">
      <c r="A12481" s="42">
        <f>_xlfn.XLOOKUP(80404,Trip[shape_id],Trip[shape_id],"Não encontrado")</f>
        <v/>
      </c>
      <c r="B12481" s="43" t="n">
        <v>-23.56737</v>
      </c>
      <c r="C12481" s="43" t="n">
        <v>-46.541221</v>
      </c>
      <c r="D12481" s="43" t="n">
        <v>153</v>
      </c>
      <c r="E12481" s="44" t="n">
        <v>4402.0269</v>
      </c>
    </row>
    <row r="12482">
      <c r="A12482" s="39">
        <f>_xlfn.XLOOKUP(80404,Trip[shape_id],Trip[shape_id],"Não encontrado")</f>
        <v/>
      </c>
      <c r="B12482" s="40" t="n">
        <v>-23.567366</v>
      </c>
      <c r="C12482" s="40" t="n">
        <v>-46.541335</v>
      </c>
      <c r="D12482" s="40" t="n">
        <v>154</v>
      </c>
      <c r="E12482" s="41" t="n">
        <v>4413.6733</v>
      </c>
    </row>
    <row r="12483">
      <c r="A12483" s="42">
        <f>_xlfn.XLOOKUP(80404,Trip[shape_id],Trip[shape_id],"Não encontrado")</f>
        <v/>
      </c>
      <c r="B12483" s="43" t="n">
        <v>-23.567351</v>
      </c>
      <c r="C12483" s="43" t="n">
        <v>-46.541517</v>
      </c>
      <c r="D12483" s="43" t="n">
        <v>155</v>
      </c>
      <c r="E12483" s="44" t="n">
        <v>4432.3276</v>
      </c>
    </row>
    <row r="12484">
      <c r="A12484" s="39">
        <f>_xlfn.XLOOKUP(80404,Trip[shape_id],Trip[shape_id],"Não encontrado")</f>
        <v/>
      </c>
      <c r="B12484" s="40" t="n">
        <v>-23.567333</v>
      </c>
      <c r="C12484" s="40" t="n">
        <v>-46.541773</v>
      </c>
      <c r="D12484" s="40" t="n">
        <v>156</v>
      </c>
      <c r="E12484" s="41" t="n">
        <v>4458.5386</v>
      </c>
    </row>
    <row r="12485">
      <c r="A12485" s="42">
        <f>_xlfn.XLOOKUP(80404,Trip[shape_id],Trip[shape_id],"Não encontrado")</f>
        <v/>
      </c>
      <c r="B12485" s="43" t="n">
        <v>-23.567335</v>
      </c>
      <c r="C12485" s="43" t="n">
        <v>-46.541927</v>
      </c>
      <c r="D12485" s="43" t="n">
        <v>157</v>
      </c>
      <c r="E12485" s="44" t="n">
        <v>4474.2617</v>
      </c>
    </row>
    <row r="12486">
      <c r="A12486" s="39">
        <f>_xlfn.XLOOKUP(80404,Trip[shape_id],Trip[shape_id],"Não encontrado")</f>
        <v/>
      </c>
      <c r="B12486" s="40" t="n">
        <v>-23.567344</v>
      </c>
      <c r="C12486" s="40" t="n">
        <v>-46.541975</v>
      </c>
      <c r="D12486" s="40" t="n">
        <v>158</v>
      </c>
      <c r="E12486" s="41" t="n">
        <v>4479.2612</v>
      </c>
    </row>
    <row r="12487">
      <c r="A12487" s="42">
        <f>_xlfn.XLOOKUP(80404,Trip[shape_id],Trip[shape_id],"Não encontrado")</f>
        <v/>
      </c>
      <c r="B12487" s="43" t="n">
        <v>-23.567362</v>
      </c>
      <c r="C12487" s="43" t="n">
        <v>-46.542027</v>
      </c>
      <c r="D12487" s="43" t="n">
        <v>159</v>
      </c>
      <c r="E12487" s="44" t="n">
        <v>4484.9316</v>
      </c>
    </row>
    <row r="12488">
      <c r="A12488" s="39">
        <f>_xlfn.XLOOKUP(80404,Trip[shape_id],Trip[shape_id],"Não encontrado")</f>
        <v/>
      </c>
      <c r="B12488" s="40" t="n">
        <v>-23.567359</v>
      </c>
      <c r="C12488" s="40" t="n">
        <v>-46.542193</v>
      </c>
      <c r="D12488" s="40" t="n">
        <v>160</v>
      </c>
      <c r="E12488" s="41" t="n">
        <v>4501.8813</v>
      </c>
    </row>
    <row r="12489">
      <c r="A12489" s="42">
        <f>_xlfn.XLOOKUP(80404,Trip[shape_id],Trip[shape_id],"Não encontrado")</f>
        <v/>
      </c>
      <c r="B12489" s="43" t="n">
        <v>-23.567294</v>
      </c>
      <c r="C12489" s="43" t="n">
        <v>-46.543039</v>
      </c>
      <c r="D12489" s="43" t="n">
        <v>161</v>
      </c>
      <c r="E12489" s="44" t="n">
        <v>4588.5483</v>
      </c>
    </row>
    <row r="12490">
      <c r="A12490" s="39">
        <f>_xlfn.XLOOKUP(80404,Trip[shape_id],Trip[shape_id],"Não encontrado")</f>
        <v/>
      </c>
      <c r="B12490" s="40" t="n">
        <v>-23.567284</v>
      </c>
      <c r="C12490" s="40" t="n">
        <v>-46.543132</v>
      </c>
      <c r="D12490" s="40" t="n">
        <v>162</v>
      </c>
      <c r="E12490" s="41" t="n">
        <v>4598.1069</v>
      </c>
    </row>
    <row r="12491">
      <c r="A12491" s="42">
        <f>_xlfn.XLOOKUP(80404,Trip[shape_id],Trip[shape_id],"Não encontrado")</f>
        <v/>
      </c>
      <c r="B12491" s="43" t="n">
        <v>-23.567221</v>
      </c>
      <c r="C12491" s="43" t="n">
        <v>-46.5434</v>
      </c>
      <c r="D12491" s="43" t="n">
        <v>163</v>
      </c>
      <c r="E12491" s="44" t="n">
        <v>4626.3423</v>
      </c>
    </row>
    <row r="12492">
      <c r="A12492" s="39">
        <f>_xlfn.XLOOKUP(80404,Trip[shape_id],Trip[shape_id],"Não encontrado")</f>
        <v/>
      </c>
      <c r="B12492" s="40" t="n">
        <v>-23.567185</v>
      </c>
      <c r="C12492" s="40" t="n">
        <v>-46.543486</v>
      </c>
      <c r="D12492" s="40" t="n">
        <v>164</v>
      </c>
      <c r="E12492" s="41" t="n">
        <v>4635.9854</v>
      </c>
    </row>
    <row r="12493">
      <c r="A12493" s="42">
        <f>_xlfn.XLOOKUP(80404,Trip[shape_id],Trip[shape_id],"Não encontrado")</f>
        <v/>
      </c>
      <c r="B12493" s="43" t="n">
        <v>-23.567138</v>
      </c>
      <c r="C12493" s="43" t="n">
        <v>-46.543599</v>
      </c>
      <c r="D12493" s="43" t="n">
        <v>165</v>
      </c>
      <c r="E12493" s="44" t="n">
        <v>4648.6416</v>
      </c>
    </row>
    <row r="12494">
      <c r="A12494" s="39">
        <f>_xlfn.XLOOKUP(80404,Trip[shape_id],Trip[shape_id],"Não encontrado")</f>
        <v/>
      </c>
      <c r="B12494" s="40" t="n">
        <v>-23.567081</v>
      </c>
      <c r="C12494" s="40" t="n">
        <v>-46.5437</v>
      </c>
      <c r="D12494" s="40" t="n">
        <v>166</v>
      </c>
      <c r="E12494" s="41" t="n">
        <v>4660.7314</v>
      </c>
    </row>
    <row r="12495">
      <c r="A12495" s="42">
        <f>_xlfn.XLOOKUP(80404,Trip[shape_id],Trip[shape_id],"Não encontrado")</f>
        <v/>
      </c>
      <c r="B12495" s="43" t="n">
        <v>-23.567027</v>
      </c>
      <c r="C12495" s="43" t="n">
        <v>-46.543774</v>
      </c>
      <c r="D12495" s="43" t="n">
        <v>167</v>
      </c>
      <c r="E12495" s="44" t="n">
        <v>4670.3667</v>
      </c>
    </row>
    <row r="12496">
      <c r="A12496" s="39">
        <f>_xlfn.XLOOKUP(80404,Trip[shape_id],Trip[shape_id],"Não encontrado")</f>
        <v/>
      </c>
      <c r="B12496" s="40" t="n">
        <v>-23.56695</v>
      </c>
      <c r="C12496" s="40" t="n">
        <v>-46.543871</v>
      </c>
      <c r="D12496" s="40" t="n">
        <v>168</v>
      </c>
      <c r="E12496" s="41" t="n">
        <v>4683.4351</v>
      </c>
    </row>
    <row r="12497">
      <c r="A12497" s="42">
        <f>_xlfn.XLOOKUP(80404,Trip[shape_id],Trip[shape_id],"Não encontrado")</f>
        <v/>
      </c>
      <c r="B12497" s="43" t="n">
        <v>-23.566871</v>
      </c>
      <c r="C12497" s="43" t="n">
        <v>-46.543981</v>
      </c>
      <c r="D12497" s="43" t="n">
        <v>169</v>
      </c>
      <c r="E12497" s="44" t="n">
        <v>4697.6709</v>
      </c>
    </row>
    <row r="12498">
      <c r="A12498" s="39">
        <f>_xlfn.XLOOKUP(80404,Trip[shape_id],Trip[shape_id],"Não encontrado")</f>
        <v/>
      </c>
      <c r="B12498" s="40" t="n">
        <v>-23.56598</v>
      </c>
      <c r="C12498" s="40" t="n">
        <v>-46.544726</v>
      </c>
      <c r="D12498" s="40" t="n">
        <v>170</v>
      </c>
      <c r="E12498" s="41" t="n">
        <v>4822.2598</v>
      </c>
    </row>
    <row r="12499">
      <c r="A12499" s="42">
        <f>_xlfn.XLOOKUP(80404,Trip[shape_id],Trip[shape_id],"Não encontrado")</f>
        <v/>
      </c>
      <c r="B12499" s="43" t="n">
        <v>-23.565745</v>
      </c>
      <c r="C12499" s="43" t="n">
        <v>-46.544917</v>
      </c>
      <c r="D12499" s="43" t="n">
        <v>171</v>
      </c>
      <c r="E12499" s="44" t="n">
        <v>4854.7808</v>
      </c>
    </row>
    <row r="12500">
      <c r="A12500" s="39">
        <f>_xlfn.XLOOKUP(80404,Trip[shape_id],Trip[shape_id],"Não encontrado")</f>
        <v/>
      </c>
      <c r="B12500" s="40" t="n">
        <v>-23.565479</v>
      </c>
      <c r="C12500" s="40" t="n">
        <v>-46.545116</v>
      </c>
      <c r="D12500" s="40" t="n">
        <v>172</v>
      </c>
      <c r="E12500" s="41" t="n">
        <v>4890.5669</v>
      </c>
    </row>
    <row r="12501">
      <c r="A12501" s="42">
        <f>_xlfn.XLOOKUP(80404,Trip[shape_id],Trip[shape_id],"Não encontrado")</f>
        <v/>
      </c>
      <c r="B12501" s="43" t="n">
        <v>-23.56529</v>
      </c>
      <c r="C12501" s="43" t="n">
        <v>-46.545294</v>
      </c>
      <c r="D12501" s="43" t="n">
        <v>173</v>
      </c>
      <c r="E12501" s="44" t="n">
        <v>4918.2866</v>
      </c>
    </row>
    <row r="12502">
      <c r="A12502" s="39">
        <f>_xlfn.XLOOKUP(80404,Trip[shape_id],Trip[shape_id],"Não encontrado")</f>
        <v/>
      </c>
      <c r="B12502" s="40" t="n">
        <v>-23.565129</v>
      </c>
      <c r="C12502" s="40" t="n">
        <v>-46.545466</v>
      </c>
      <c r="D12502" s="40" t="n">
        <v>174</v>
      </c>
      <c r="E12502" s="41" t="n">
        <v>4943.3125</v>
      </c>
    </row>
    <row r="12503">
      <c r="A12503" s="42">
        <f>_xlfn.XLOOKUP(80404,Trip[shape_id],Trip[shape_id],"Não encontrado")</f>
        <v/>
      </c>
      <c r="B12503" s="43" t="n">
        <v>-23.565066</v>
      </c>
      <c r="C12503" s="43" t="n">
        <v>-46.545558</v>
      </c>
      <c r="D12503" s="43" t="n">
        <v>175</v>
      </c>
      <c r="E12503" s="44" t="n">
        <v>4955.0127</v>
      </c>
    </row>
    <row r="12504">
      <c r="A12504" s="39">
        <f>_xlfn.XLOOKUP(80404,Trip[shape_id],Trip[shape_id],"Não encontrado")</f>
        <v/>
      </c>
      <c r="B12504" s="40" t="n">
        <v>-23.564767</v>
      </c>
      <c r="C12504" s="40" t="n">
        <v>-46.546037</v>
      </c>
      <c r="D12504" s="40" t="n">
        <v>176</v>
      </c>
      <c r="E12504" s="41" t="n">
        <v>5014.0718</v>
      </c>
    </row>
    <row r="12505">
      <c r="A12505" s="42">
        <f>_xlfn.XLOOKUP(80404,Trip[shape_id],Trip[shape_id],"Não encontrado")</f>
        <v/>
      </c>
      <c r="B12505" s="43" t="n">
        <v>-23.564709</v>
      </c>
      <c r="C12505" s="43" t="n">
        <v>-46.546187</v>
      </c>
      <c r="D12505" s="43" t="n">
        <v>177</v>
      </c>
      <c r="E12505" s="44" t="n">
        <v>5030.6782</v>
      </c>
    </row>
    <row r="12506">
      <c r="A12506" s="39">
        <f>_xlfn.XLOOKUP(80404,Trip[shape_id],Trip[shape_id],"Não encontrado")</f>
        <v/>
      </c>
      <c r="B12506" s="40" t="n">
        <v>-23.564664</v>
      </c>
      <c r="C12506" s="40" t="n">
        <v>-46.546376</v>
      </c>
      <c r="D12506" s="40" t="n">
        <v>178</v>
      </c>
      <c r="E12506" s="41" t="n">
        <v>5050.6069</v>
      </c>
    </row>
    <row r="12507">
      <c r="A12507" s="42">
        <f>_xlfn.XLOOKUP(80404,Trip[shape_id],Trip[shape_id],"Não encontrado")</f>
        <v/>
      </c>
      <c r="B12507" s="43" t="n">
        <v>-23.564632</v>
      </c>
      <c r="C12507" s="43" t="n">
        <v>-46.546513</v>
      </c>
      <c r="D12507" s="43" t="n">
        <v>179</v>
      </c>
      <c r="E12507" s="44" t="n">
        <v>5065.0352</v>
      </c>
    </row>
    <row r="12508">
      <c r="A12508" s="39">
        <f>_xlfn.XLOOKUP(80404,Trip[shape_id],Trip[shape_id],"Não encontrado")</f>
        <v/>
      </c>
      <c r="B12508" s="40" t="n">
        <v>-23.564511</v>
      </c>
      <c r="C12508" s="40" t="n">
        <v>-46.547128</v>
      </c>
      <c r="D12508" s="40" t="n">
        <v>180</v>
      </c>
      <c r="E12508" s="41" t="n">
        <v>5129.2354</v>
      </c>
    </row>
    <row r="12509">
      <c r="A12509" s="42">
        <f>_xlfn.XLOOKUP(80404,Trip[shape_id],Trip[shape_id],"Não encontrado")</f>
        <v/>
      </c>
      <c r="B12509" s="43" t="n">
        <v>-23.564459</v>
      </c>
      <c r="C12509" s="43" t="n">
        <v>-46.5474</v>
      </c>
      <c r="D12509" s="43" t="n">
        <v>181</v>
      </c>
      <c r="E12509" s="44" t="n">
        <v>5157.5952</v>
      </c>
    </row>
    <row r="12510">
      <c r="A12510" s="39">
        <f>_xlfn.XLOOKUP(80404,Trip[shape_id],Trip[shape_id],"Não encontrado")</f>
        <v/>
      </c>
      <c r="B12510" s="40" t="n">
        <v>-23.564367</v>
      </c>
      <c r="C12510" s="40" t="n">
        <v>-46.547806</v>
      </c>
      <c r="D12510" s="40" t="n">
        <v>182</v>
      </c>
      <c r="E12510" s="41" t="n">
        <v>5200.2783</v>
      </c>
    </row>
    <row r="12511">
      <c r="A12511" s="42">
        <f>_xlfn.XLOOKUP(80404,Trip[shape_id],Trip[shape_id],"Não encontrado")</f>
        <v/>
      </c>
      <c r="B12511" s="43" t="n">
        <v>-23.564318</v>
      </c>
      <c r="C12511" s="43" t="n">
        <v>-46.548</v>
      </c>
      <c r="D12511" s="43" t="n">
        <v>183</v>
      </c>
      <c r="E12511" s="44" t="n">
        <v>5220.8145</v>
      </c>
    </row>
    <row r="12512">
      <c r="A12512" s="39">
        <f>_xlfn.XLOOKUP(80404,Trip[shape_id],Trip[shape_id],"Não encontrado")</f>
        <v/>
      </c>
      <c r="B12512" s="40" t="n">
        <v>-23.564242</v>
      </c>
      <c r="C12512" s="40" t="n">
        <v>-46.548238</v>
      </c>
      <c r="D12512" s="40" t="n">
        <v>184</v>
      </c>
      <c r="E12512" s="41" t="n">
        <v>5246.5288</v>
      </c>
    </row>
    <row r="12513">
      <c r="A12513" s="42">
        <f>_xlfn.XLOOKUP(80404,Trip[shape_id],Trip[shape_id],"Não encontrado")</f>
        <v/>
      </c>
      <c r="B12513" s="43" t="n">
        <v>-23.564224</v>
      </c>
      <c r="C12513" s="43" t="n">
        <v>-46.548283</v>
      </c>
      <c r="D12513" s="43" t="n">
        <v>185</v>
      </c>
      <c r="E12513" s="44" t="n">
        <v>5251.5376</v>
      </c>
    </row>
    <row r="12514">
      <c r="A12514" s="39">
        <f>_xlfn.XLOOKUP(80404,Trip[shape_id],Trip[shape_id],"Não encontrado")</f>
        <v/>
      </c>
      <c r="B12514" s="40" t="n">
        <v>-23.564105</v>
      </c>
      <c r="C12514" s="40" t="n">
        <v>-46.548543</v>
      </c>
      <c r="D12514" s="40" t="n">
        <v>186</v>
      </c>
      <c r="E12514" s="41" t="n">
        <v>5281.1733</v>
      </c>
    </row>
    <row r="12515">
      <c r="A12515" s="42">
        <f>_xlfn.XLOOKUP(80404,Trip[shape_id],Trip[shape_id],"Não encontrado")</f>
        <v/>
      </c>
      <c r="B12515" s="43" t="n">
        <v>-23.563962</v>
      </c>
      <c r="C12515" s="43" t="n">
        <v>-46.548769</v>
      </c>
      <c r="D12515" s="43" t="n">
        <v>187</v>
      </c>
      <c r="E12515" s="44" t="n">
        <v>5309.1587</v>
      </c>
    </row>
    <row r="12516">
      <c r="A12516" s="39">
        <f>_xlfn.XLOOKUP(80404,Trip[shape_id],Trip[shape_id],"Não encontrado")</f>
        <v/>
      </c>
      <c r="B12516" s="40" t="n">
        <v>-23.5638</v>
      </c>
      <c r="C12516" s="40" t="n">
        <v>-46.548977</v>
      </c>
      <c r="D12516" s="40" t="n">
        <v>188</v>
      </c>
      <c r="E12516" s="41" t="n">
        <v>5336.9585</v>
      </c>
    </row>
    <row r="12517">
      <c r="A12517" s="42">
        <f>_xlfn.XLOOKUP(80404,Trip[shape_id],Trip[shape_id],"Não encontrado")</f>
        <v/>
      </c>
      <c r="B12517" s="43" t="n">
        <v>-23.563682</v>
      </c>
      <c r="C12517" s="43" t="n">
        <v>-46.549105</v>
      </c>
      <c r="D12517" s="43" t="n">
        <v>189</v>
      </c>
      <c r="E12517" s="44" t="n">
        <v>5355.4399</v>
      </c>
    </row>
    <row r="12518">
      <c r="A12518" s="39">
        <f>_xlfn.XLOOKUP(80404,Trip[shape_id],Trip[shape_id],"Não encontrado")</f>
        <v/>
      </c>
      <c r="B12518" s="40" t="n">
        <v>-23.563414</v>
      </c>
      <c r="C12518" s="40" t="n">
        <v>-46.54937</v>
      </c>
      <c r="D12518" s="40" t="n">
        <v>190</v>
      </c>
      <c r="E12518" s="41" t="n">
        <v>5395.6011</v>
      </c>
    </row>
    <row r="12519">
      <c r="A12519" s="42">
        <f>_xlfn.XLOOKUP(80404,Trip[shape_id],Trip[shape_id],"Não encontrado")</f>
        <v/>
      </c>
      <c r="B12519" s="43" t="n">
        <v>-23.563175</v>
      </c>
      <c r="C12519" s="43" t="n">
        <v>-46.549607</v>
      </c>
      <c r="D12519" s="43" t="n">
        <v>191</v>
      </c>
      <c r="E12519" s="44" t="n">
        <v>5431.4629</v>
      </c>
    </row>
    <row r="12520">
      <c r="A12520" s="39">
        <f>_xlfn.XLOOKUP(80404,Trip[shape_id],Trip[shape_id],"Não encontrado")</f>
        <v/>
      </c>
      <c r="B12520" s="40" t="n">
        <v>-23.56271</v>
      </c>
      <c r="C12520" s="40" t="n">
        <v>-46.550095</v>
      </c>
      <c r="D12520" s="40" t="n">
        <v>192</v>
      </c>
      <c r="E12520" s="41" t="n">
        <v>5503.1172</v>
      </c>
    </row>
    <row r="12521">
      <c r="A12521" s="42">
        <f>_xlfn.XLOOKUP(80404,Trip[shape_id],Trip[shape_id],"Não encontrado")</f>
        <v/>
      </c>
      <c r="B12521" s="43" t="n">
        <v>-23.562591</v>
      </c>
      <c r="C12521" s="43" t="n">
        <v>-46.550231</v>
      </c>
      <c r="D12521" s="43" t="n">
        <v>193</v>
      </c>
      <c r="E12521" s="44" t="n">
        <v>5522.2607</v>
      </c>
    </row>
    <row r="12522">
      <c r="A12522" s="39">
        <f>_xlfn.XLOOKUP(80404,Trip[shape_id],Trip[shape_id],"Não encontrado")</f>
        <v/>
      </c>
      <c r="B12522" s="40" t="n">
        <v>-23.562498</v>
      </c>
      <c r="C12522" s="40" t="n">
        <v>-46.550379</v>
      </c>
      <c r="D12522" s="40" t="n">
        <v>194</v>
      </c>
      <c r="E12522" s="41" t="n">
        <v>5540.5474</v>
      </c>
    </row>
    <row r="12523">
      <c r="A12523" s="42">
        <f>_xlfn.XLOOKUP(80404,Trip[shape_id],Trip[shape_id],"Não encontrado")</f>
        <v/>
      </c>
      <c r="B12523" s="43" t="n">
        <v>-23.562414</v>
      </c>
      <c r="C12523" s="43" t="n">
        <v>-46.550573</v>
      </c>
      <c r="D12523" s="43" t="n">
        <v>195</v>
      </c>
      <c r="E12523" s="44" t="n">
        <v>5562.4297</v>
      </c>
    </row>
    <row r="12524">
      <c r="A12524" s="39">
        <f>_xlfn.XLOOKUP(80404,Trip[shape_id],Trip[shape_id],"Não encontrado")</f>
        <v/>
      </c>
      <c r="B12524" s="40" t="n">
        <v>-23.562367</v>
      </c>
      <c r="C12524" s="40" t="n">
        <v>-46.550756</v>
      </c>
      <c r="D12524" s="40" t="n">
        <v>196</v>
      </c>
      <c r="E12524" s="41" t="n">
        <v>5581.8247</v>
      </c>
    </row>
    <row r="12525">
      <c r="A12525" s="42">
        <f>_xlfn.XLOOKUP(80404,Trip[shape_id],Trip[shape_id],"Não encontrado")</f>
        <v/>
      </c>
      <c r="B12525" s="43" t="n">
        <v>-23.562305</v>
      </c>
      <c r="C12525" s="43" t="n">
        <v>-46.551044</v>
      </c>
      <c r="D12525" s="43" t="n">
        <v>197</v>
      </c>
      <c r="E12525" s="44" t="n">
        <v>5612.0186</v>
      </c>
    </row>
    <row r="12526">
      <c r="A12526" s="39">
        <f>_xlfn.XLOOKUP(80404,Trip[shape_id],Trip[shape_id],"Não encontrado")</f>
        <v/>
      </c>
      <c r="B12526" s="40" t="n">
        <v>-23.562325</v>
      </c>
      <c r="C12526" s="40" t="n">
        <v>-46.551401</v>
      </c>
      <c r="D12526" s="40" t="n">
        <v>198</v>
      </c>
      <c r="E12526" s="41" t="n">
        <v>5648.5332</v>
      </c>
    </row>
    <row r="12527">
      <c r="A12527" s="42">
        <f>_xlfn.XLOOKUP(80404,Trip[shape_id],Trip[shape_id],"Não encontrado")</f>
        <v/>
      </c>
      <c r="B12527" s="43" t="n">
        <v>-23.562363</v>
      </c>
      <c r="C12527" s="43" t="n">
        <v>-46.551664</v>
      </c>
      <c r="D12527" s="43" t="n">
        <v>199</v>
      </c>
      <c r="E12527" s="44" t="n">
        <v>5675.7114</v>
      </c>
    </row>
    <row r="12528">
      <c r="A12528" s="39">
        <f>_xlfn.XLOOKUP(80404,Trip[shape_id],Trip[shape_id],"Não encontrado")</f>
        <v/>
      </c>
      <c r="B12528" s="40" t="n">
        <v>-23.562332</v>
      </c>
      <c r="C12528" s="40" t="n">
        <v>-46.551717</v>
      </c>
      <c r="D12528" s="40" t="n">
        <v>200</v>
      </c>
      <c r="E12528" s="41" t="n">
        <v>5682.1201</v>
      </c>
    </row>
    <row r="12529">
      <c r="A12529" s="42">
        <f>_xlfn.XLOOKUP(80404,Trip[shape_id],Trip[shape_id],"Não encontrado")</f>
        <v/>
      </c>
      <c r="B12529" s="43" t="n">
        <v>-23.562289</v>
      </c>
      <c r="C12529" s="43" t="n">
        <v>-46.551805</v>
      </c>
      <c r="D12529" s="43" t="n">
        <v>201</v>
      </c>
      <c r="E12529" s="44" t="n">
        <v>5692.2881</v>
      </c>
    </row>
    <row r="12530">
      <c r="A12530" s="39">
        <f>_xlfn.XLOOKUP(80404,Trip[shape_id],Trip[shape_id],"Não encontrado")</f>
        <v/>
      </c>
      <c r="B12530" s="40" t="n">
        <v>-23.562249</v>
      </c>
      <c r="C12530" s="40" t="n">
        <v>-46.551884</v>
      </c>
      <c r="D12530" s="40" t="n">
        <v>202</v>
      </c>
      <c r="E12530" s="41" t="n">
        <v>5701.4897</v>
      </c>
    </row>
    <row r="12531">
      <c r="A12531" s="42">
        <f>_xlfn.XLOOKUP(80404,Trip[shape_id],Trip[shape_id],"Não encontrado")</f>
        <v/>
      </c>
      <c r="B12531" s="43" t="n">
        <v>-23.562182</v>
      </c>
      <c r="C12531" s="43" t="n">
        <v>-46.552056</v>
      </c>
      <c r="D12531" s="43" t="n">
        <v>203</v>
      </c>
      <c r="E12531" s="44" t="n">
        <v>5720.5532</v>
      </c>
    </row>
    <row r="12532">
      <c r="A12532" s="39">
        <f>_xlfn.XLOOKUP(80404,Trip[shape_id],Trip[shape_id],"Não encontrado")</f>
        <v/>
      </c>
      <c r="B12532" s="40" t="n">
        <v>-23.562132</v>
      </c>
      <c r="C12532" s="40" t="n">
        <v>-46.552176</v>
      </c>
      <c r="D12532" s="40" t="n">
        <v>204</v>
      </c>
      <c r="E12532" s="41" t="n">
        <v>5733.9976</v>
      </c>
    </row>
    <row r="12533">
      <c r="A12533" s="42">
        <f>_xlfn.XLOOKUP(80404,Trip[shape_id],Trip[shape_id],"Não encontrado")</f>
        <v/>
      </c>
      <c r="B12533" s="43" t="n">
        <v>-23.561983</v>
      </c>
      <c r="C12533" s="43" t="n">
        <v>-46.552411</v>
      </c>
      <c r="D12533" s="43" t="n">
        <v>205</v>
      </c>
      <c r="E12533" s="44" t="n">
        <v>5763.1167</v>
      </c>
    </row>
    <row r="12534">
      <c r="A12534" s="39">
        <f>_xlfn.XLOOKUP(80404,Trip[shape_id],Trip[shape_id],"Não encontrado")</f>
        <v/>
      </c>
      <c r="B12534" s="40" t="n">
        <v>-23.561849</v>
      </c>
      <c r="C12534" s="40" t="n">
        <v>-46.552543</v>
      </c>
      <c r="D12534" s="40" t="n">
        <v>206</v>
      </c>
      <c r="E12534" s="41" t="n">
        <v>5783.1631</v>
      </c>
    </row>
    <row r="12535">
      <c r="A12535" s="42">
        <f>_xlfn.XLOOKUP(80404,Trip[shape_id],Trip[shape_id],"Não encontrado")</f>
        <v/>
      </c>
      <c r="B12535" s="43" t="n">
        <v>-23.561805</v>
      </c>
      <c r="C12535" s="43" t="n">
        <v>-46.552587</v>
      </c>
      <c r="D12535" s="43" t="n">
        <v>207</v>
      </c>
      <c r="E12535" s="44" t="n">
        <v>5789.791</v>
      </c>
    </row>
    <row r="12536">
      <c r="A12536" s="39">
        <f>_xlfn.XLOOKUP(80404,Trip[shape_id],Trip[shape_id],"Não encontrado")</f>
        <v/>
      </c>
      <c r="B12536" s="40" t="n">
        <v>-23.561704</v>
      </c>
      <c r="C12536" s="40" t="n">
        <v>-46.552664</v>
      </c>
      <c r="D12536" s="40" t="n">
        <v>208</v>
      </c>
      <c r="E12536" s="41" t="n">
        <v>5803.4629</v>
      </c>
    </row>
    <row r="12537">
      <c r="A12537" s="42">
        <f>_xlfn.XLOOKUP(80404,Trip[shape_id],Trip[shape_id],"Não encontrado")</f>
        <v/>
      </c>
      <c r="B12537" s="43" t="n">
        <v>-23.561602</v>
      </c>
      <c r="C12537" s="43" t="n">
        <v>-46.552743</v>
      </c>
      <c r="D12537" s="43" t="n">
        <v>209</v>
      </c>
      <c r="E12537" s="44" t="n">
        <v>5817.3438</v>
      </c>
    </row>
    <row r="12538">
      <c r="A12538" s="39">
        <f>_xlfn.XLOOKUP(80404,Trip[shape_id],Trip[shape_id],"Não encontrado")</f>
        <v/>
      </c>
      <c r="B12538" s="40" t="n">
        <v>-23.561484</v>
      </c>
      <c r="C12538" s="40" t="n">
        <v>-46.552789</v>
      </c>
      <c r="D12538" s="40" t="n">
        <v>210</v>
      </c>
      <c r="E12538" s="41" t="n">
        <v>5831.2305</v>
      </c>
    </row>
    <row r="12539">
      <c r="A12539" s="42">
        <f>_xlfn.XLOOKUP(80404,Trip[shape_id],Trip[shape_id],"Não encontrado")</f>
        <v/>
      </c>
      <c r="B12539" s="43" t="n">
        <v>-23.560564</v>
      </c>
      <c r="C12539" s="43" t="n">
        <v>-46.552889</v>
      </c>
      <c r="D12539" s="43" t="n">
        <v>211</v>
      </c>
      <c r="E12539" s="44" t="n">
        <v>5933.6323</v>
      </c>
    </row>
    <row r="12540">
      <c r="A12540" s="39">
        <f>_xlfn.XLOOKUP(80404,Trip[shape_id],Trip[shape_id],"Não encontrado")</f>
        <v/>
      </c>
      <c r="B12540" s="40" t="n">
        <v>-23.560001</v>
      </c>
      <c r="C12540" s="40" t="n">
        <v>-46.552947</v>
      </c>
      <c r="D12540" s="40" t="n">
        <v>212</v>
      </c>
      <c r="E12540" s="41" t="n">
        <v>5996.2661</v>
      </c>
    </row>
    <row r="12541">
      <c r="A12541" s="42">
        <f>_xlfn.XLOOKUP(80404,Trip[shape_id],Trip[shape_id],"Não encontrado")</f>
        <v/>
      </c>
      <c r="B12541" s="43" t="n">
        <v>-23.559604</v>
      </c>
      <c r="C12541" s="43" t="n">
        <v>-46.552992</v>
      </c>
      <c r="D12541" s="43" t="n">
        <v>213</v>
      </c>
      <c r="E12541" s="44" t="n">
        <v>6040.4741</v>
      </c>
    </row>
    <row r="12542">
      <c r="A12542" s="39">
        <f>_xlfn.XLOOKUP(80404,Trip[shape_id],Trip[shape_id],"Não encontrado")</f>
        <v/>
      </c>
      <c r="B12542" s="40" t="n">
        <v>-23.559265</v>
      </c>
      <c r="C12542" s="40" t="n">
        <v>-46.553025</v>
      </c>
      <c r="D12542" s="40" t="n">
        <v>214</v>
      </c>
      <c r="E12542" s="41" t="n">
        <v>6078.1699</v>
      </c>
    </row>
    <row r="12543">
      <c r="A12543" s="42">
        <f>_xlfn.XLOOKUP(80404,Trip[shape_id],Trip[shape_id],"Não encontrado")</f>
        <v/>
      </c>
      <c r="B12543" s="43" t="n">
        <v>-23.558447</v>
      </c>
      <c r="C12543" s="43" t="n">
        <v>-46.553113</v>
      </c>
      <c r="D12543" s="43" t="n">
        <v>215</v>
      </c>
      <c r="E12543" s="44" t="n">
        <v>6169.2095</v>
      </c>
    </row>
    <row r="12544">
      <c r="A12544" s="39">
        <f>_xlfn.XLOOKUP(80404,Trip[shape_id],Trip[shape_id],"Não encontrado")</f>
        <v/>
      </c>
      <c r="B12544" s="40" t="n">
        <v>-23.558172</v>
      </c>
      <c r="C12544" s="40" t="n">
        <v>-46.553141</v>
      </c>
      <c r="D12544" s="40" t="n">
        <v>216</v>
      </c>
      <c r="E12544" s="41" t="n">
        <v>6199.7998</v>
      </c>
    </row>
    <row r="12545">
      <c r="A12545" s="42">
        <f>_xlfn.XLOOKUP(80404,Trip[shape_id],Trip[shape_id],"Não encontrado")</f>
        <v/>
      </c>
      <c r="B12545" s="43" t="n">
        <v>-23.557415</v>
      </c>
      <c r="C12545" s="43" t="n">
        <v>-46.553214</v>
      </c>
      <c r="D12545" s="43" t="n">
        <v>217</v>
      </c>
      <c r="E12545" s="44" t="n">
        <v>6283.9697</v>
      </c>
    </row>
    <row r="12546">
      <c r="A12546" s="39">
        <f>_xlfn.XLOOKUP(80404,Trip[shape_id],Trip[shape_id],"Não encontrado")</f>
        <v/>
      </c>
      <c r="B12546" s="40" t="n">
        <v>-23.557354</v>
      </c>
      <c r="C12546" s="40" t="n">
        <v>-46.553225</v>
      </c>
      <c r="D12546" s="40" t="n">
        <v>218</v>
      </c>
      <c r="E12546" s="41" t="n">
        <v>6290.8188</v>
      </c>
    </row>
    <row r="12547">
      <c r="A12547" s="42">
        <f>_xlfn.XLOOKUP(80404,Trip[shape_id],Trip[shape_id],"Não encontrado")</f>
        <v/>
      </c>
      <c r="B12547" s="43" t="n">
        <v>-23.557246</v>
      </c>
      <c r="C12547" s="43" t="n">
        <v>-46.553245</v>
      </c>
      <c r="D12547" s="43" t="n">
        <v>219</v>
      </c>
      <c r="E12547" s="44" t="n">
        <v>6302.9531</v>
      </c>
    </row>
    <row r="12548">
      <c r="A12548" s="39">
        <f>_xlfn.XLOOKUP(80404,Trip[shape_id],Trip[shape_id],"Não encontrado")</f>
        <v/>
      </c>
      <c r="B12548" s="40" t="n">
        <v>-23.557197</v>
      </c>
      <c r="C12548" s="40" t="n">
        <v>-46.553253</v>
      </c>
      <c r="D12548" s="40" t="n">
        <v>220</v>
      </c>
      <c r="E12548" s="41" t="n">
        <v>6308.4404</v>
      </c>
    </row>
    <row r="12549">
      <c r="A12549" s="42">
        <f>_xlfn.XLOOKUP(80404,Trip[shape_id],Trip[shape_id],"Não encontrado")</f>
        <v/>
      </c>
      <c r="B12549" s="43" t="n">
        <v>-23.557164</v>
      </c>
      <c r="C12549" s="43" t="n">
        <v>-46.553299</v>
      </c>
      <c r="D12549" s="43" t="n">
        <v>221</v>
      </c>
      <c r="E12549" s="44" t="n">
        <v>6314.3906</v>
      </c>
    </row>
    <row r="12550">
      <c r="A12550" s="39">
        <f>_xlfn.XLOOKUP(80404,Trip[shape_id],Trip[shape_id],"Não encontrado")</f>
        <v/>
      </c>
      <c r="B12550" s="40" t="n">
        <v>-23.55713</v>
      </c>
      <c r="C12550" s="40" t="n">
        <v>-46.553294</v>
      </c>
      <c r="D12550" s="40" t="n">
        <v>222</v>
      </c>
      <c r="E12550" s="41" t="n">
        <v>6318.1914</v>
      </c>
    </row>
    <row r="12551">
      <c r="A12551" s="42">
        <f>_xlfn.XLOOKUP(80404,Trip[shape_id],Trip[shape_id],"Não encontrado")</f>
        <v/>
      </c>
      <c r="B12551" s="43" t="n">
        <v>-23.557062</v>
      </c>
      <c r="C12551" s="43" t="n">
        <v>-46.553334</v>
      </c>
      <c r="D12551" s="43" t="n">
        <v>223</v>
      </c>
      <c r="E12551" s="44" t="n">
        <v>6326.7578</v>
      </c>
    </row>
    <row r="12552">
      <c r="A12552" s="39">
        <f>_xlfn.XLOOKUP(80404,Trip[shape_id],Trip[shape_id],"Não encontrado")</f>
        <v/>
      </c>
      <c r="B12552" s="40" t="n">
        <v>-23.557039</v>
      </c>
      <c r="C12552" s="40" t="n">
        <v>-46.553354</v>
      </c>
      <c r="D12552" s="40" t="n">
        <v>224</v>
      </c>
      <c r="E12552" s="41" t="n">
        <v>6330.0225</v>
      </c>
    </row>
    <row r="12553">
      <c r="A12553" s="42">
        <f>_xlfn.XLOOKUP(80404,Trip[shape_id],Trip[shape_id],"Não encontrado")</f>
        <v/>
      </c>
      <c r="B12553" s="43" t="n">
        <v>-23.556985</v>
      </c>
      <c r="C12553" s="43" t="n">
        <v>-46.553397</v>
      </c>
      <c r="D12553" s="43" t="n">
        <v>225</v>
      </c>
      <c r="E12553" s="44" t="n">
        <v>6337.4414</v>
      </c>
    </row>
    <row r="12554">
      <c r="A12554" s="39">
        <f>_xlfn.XLOOKUP(80404,Trip[shape_id],Trip[shape_id],"Não encontrado")</f>
        <v/>
      </c>
      <c r="B12554" s="40" t="n">
        <v>-23.556788</v>
      </c>
      <c r="C12554" s="40" t="n">
        <v>-46.553561</v>
      </c>
      <c r="D12554" s="40" t="n">
        <v>226</v>
      </c>
      <c r="E12554" s="41" t="n">
        <v>6364.9438</v>
      </c>
    </row>
    <row r="12555">
      <c r="A12555" s="42">
        <f>_xlfn.XLOOKUP(80404,Trip[shape_id],Trip[shape_id],"Não encontrado")</f>
        <v/>
      </c>
      <c r="B12555" s="43" t="n">
        <v>-23.556251</v>
      </c>
      <c r="C12555" s="43" t="n">
        <v>-46.553992</v>
      </c>
      <c r="D12555" s="43" t="n">
        <v>227</v>
      </c>
      <c r="E12555" s="44" t="n">
        <v>6438.9268</v>
      </c>
    </row>
    <row r="12556">
      <c r="A12556" s="39">
        <f>_xlfn.XLOOKUP(80404,Trip[shape_id],Trip[shape_id],"Não encontrado")</f>
        <v/>
      </c>
      <c r="B12556" s="40" t="n">
        <v>-23.556096</v>
      </c>
      <c r="C12556" s="40" t="n">
        <v>-46.554129</v>
      </c>
      <c r="D12556" s="40" t="n">
        <v>228</v>
      </c>
      <c r="E12556" s="41" t="n">
        <v>6461.0703</v>
      </c>
    </row>
    <row r="12557">
      <c r="A12557" s="42">
        <f>_xlfn.XLOOKUP(80404,Trip[shape_id],Trip[shape_id],"Não encontrado")</f>
        <v/>
      </c>
      <c r="B12557" s="43" t="n">
        <v>-23.555412</v>
      </c>
      <c r="C12557" s="43" t="n">
        <v>-46.554079</v>
      </c>
      <c r="D12557" s="43" t="n">
        <v>229</v>
      </c>
      <c r="E12557" s="44" t="n">
        <v>6536.9966</v>
      </c>
    </row>
    <row r="12558">
      <c r="A12558" s="39">
        <f>_xlfn.XLOOKUP(80404,Trip[shape_id],Trip[shape_id],"Não encontrado")</f>
        <v/>
      </c>
      <c r="B12558" s="40" t="n">
        <v>-23.554148</v>
      </c>
      <c r="C12558" s="40" t="n">
        <v>-46.553973</v>
      </c>
      <c r="D12558" s="40" t="n">
        <v>230</v>
      </c>
      <c r="E12558" s="41" t="n">
        <v>6677.4048</v>
      </c>
    </row>
    <row r="12559">
      <c r="A12559" s="42">
        <f>_xlfn.XLOOKUP(80404,Trip[shape_id],Trip[shape_id],"Não encontrado")</f>
        <v/>
      </c>
      <c r="B12559" s="43" t="n">
        <v>-23.553887</v>
      </c>
      <c r="C12559" s="43" t="n">
        <v>-46.553949</v>
      </c>
      <c r="D12559" s="43" t="n">
        <v>231</v>
      </c>
      <c r="E12559" s="44" t="n">
        <v>6706.4146</v>
      </c>
    </row>
    <row r="12560">
      <c r="A12560" s="39">
        <f>_xlfn.XLOOKUP(80404,Trip[shape_id],Trip[shape_id],"Não encontrado")</f>
        <v/>
      </c>
      <c r="B12560" s="40" t="n">
        <v>-23.55384</v>
      </c>
      <c r="C12560" s="40" t="n">
        <v>-46.553948</v>
      </c>
      <c r="D12560" s="40" t="n">
        <v>232</v>
      </c>
      <c r="E12560" s="41" t="n">
        <v>6711.6211</v>
      </c>
    </row>
    <row r="12561">
      <c r="A12561" s="42">
        <f>_xlfn.XLOOKUP(80404,Trip[shape_id],Trip[shape_id],"Não encontrado")</f>
        <v/>
      </c>
      <c r="B12561" s="43" t="n">
        <v>-23.552893</v>
      </c>
      <c r="C12561" s="43" t="n">
        <v>-46.553868</v>
      </c>
      <c r="D12561" s="43" t="n">
        <v>233</v>
      </c>
      <c r="E12561" s="44" t="n">
        <v>6816.8208</v>
      </c>
    </row>
    <row r="12562">
      <c r="A12562" s="39">
        <f>_xlfn.XLOOKUP(80404,Trip[shape_id],Trip[shape_id],"Não encontrado")</f>
        <v/>
      </c>
      <c r="B12562" s="40" t="n">
        <v>-23.552777</v>
      </c>
      <c r="C12562" s="40" t="n">
        <v>-46.553884</v>
      </c>
      <c r="D12562" s="40" t="n">
        <v>234</v>
      </c>
      <c r="E12562" s="41" t="n">
        <v>6829.772</v>
      </c>
    </row>
    <row r="12563">
      <c r="A12563" s="42">
        <f>_xlfn.XLOOKUP(80404,Trip[shape_id],Trip[shape_id],"Não encontrado")</f>
        <v/>
      </c>
      <c r="B12563" s="43" t="n">
        <v>-23.551972</v>
      </c>
      <c r="C12563" s="43" t="n">
        <v>-46.554099</v>
      </c>
      <c r="D12563" s="43" t="n">
        <v>235</v>
      </c>
      <c r="E12563" s="44" t="n">
        <v>6921.5898</v>
      </c>
    </row>
    <row r="12564">
      <c r="A12564" s="39">
        <f>_xlfn.XLOOKUP(80404,Trip[shape_id],Trip[shape_id],"Não encontrado")</f>
        <v/>
      </c>
      <c r="B12564" s="40" t="n">
        <v>-23.551438</v>
      </c>
      <c r="C12564" s="40" t="n">
        <v>-46.554244</v>
      </c>
      <c r="D12564" s="40" t="n">
        <v>236</v>
      </c>
      <c r="E12564" s="41" t="n">
        <v>6982.5562</v>
      </c>
    </row>
    <row r="12565">
      <c r="A12565" s="42">
        <f>_xlfn.XLOOKUP(80404,Trip[shape_id],Trip[shape_id],"Não encontrado")</f>
        <v/>
      </c>
      <c r="B12565" s="43" t="n">
        <v>-23.55089</v>
      </c>
      <c r="C12565" s="43" t="n">
        <v>-46.55439</v>
      </c>
      <c r="D12565" s="43" t="n">
        <v>237</v>
      </c>
      <c r="E12565" s="44" t="n">
        <v>7045.0518</v>
      </c>
    </row>
    <row r="12566">
      <c r="A12566" s="39">
        <f>_xlfn.XLOOKUP(80404,Trip[shape_id],Trip[shape_id],"Não encontrado")</f>
        <v/>
      </c>
      <c r="B12566" s="40" t="n">
        <v>-23.549867</v>
      </c>
      <c r="C12566" s="40" t="n">
        <v>-46.554661</v>
      </c>
      <c r="D12566" s="40" t="n">
        <v>238</v>
      </c>
      <c r="E12566" s="41" t="n">
        <v>7161.6807</v>
      </c>
    </row>
    <row r="12567">
      <c r="A12567" s="42">
        <f>_xlfn.XLOOKUP(80404,Trip[shape_id],Trip[shape_id],"Não encontrado")</f>
        <v/>
      </c>
      <c r="B12567" s="43" t="n">
        <v>-23.549217</v>
      </c>
      <c r="C12567" s="43" t="n">
        <v>-46.554835</v>
      </c>
      <c r="D12567" s="43" t="n">
        <v>239</v>
      </c>
      <c r="E12567" s="44" t="n">
        <v>7235.8291</v>
      </c>
    </row>
    <row r="12568">
      <c r="A12568" s="39">
        <f>_xlfn.XLOOKUP(80404,Trip[shape_id],Trip[shape_id],"Não encontrado")</f>
        <v/>
      </c>
      <c r="B12568" s="40" t="n">
        <v>-23.548822</v>
      </c>
      <c r="C12568" s="40" t="n">
        <v>-46.554938</v>
      </c>
      <c r="D12568" s="40" t="n">
        <v>240</v>
      </c>
      <c r="E12568" s="41" t="n">
        <v>7280.8223</v>
      </c>
    </row>
    <row r="12569">
      <c r="A12569" s="42">
        <f>_xlfn.XLOOKUP(80404,Trip[shape_id],Trip[shape_id],"Não encontrado")</f>
        <v/>
      </c>
      <c r="B12569" s="43" t="n">
        <v>-23.547821</v>
      </c>
      <c r="C12569" s="43" t="n">
        <v>-46.55518</v>
      </c>
      <c r="D12569" s="43" t="n">
        <v>241</v>
      </c>
      <c r="E12569" s="44" t="n">
        <v>7394.4048</v>
      </c>
    </row>
    <row r="12570">
      <c r="A12570" s="39">
        <f>_xlfn.XLOOKUP(80404,Trip[shape_id],Trip[shape_id],"Não encontrado")</f>
        <v/>
      </c>
      <c r="B12570" s="40" t="n">
        <v>-23.547767</v>
      </c>
      <c r="C12570" s="40" t="n">
        <v>-46.555185</v>
      </c>
      <c r="D12570" s="40" t="n">
        <v>242</v>
      </c>
      <c r="E12570" s="41" t="n">
        <v>7400.4063</v>
      </c>
    </row>
    <row r="12571">
      <c r="A12571" s="42">
        <f>_xlfn.XLOOKUP(80404,Trip[shape_id],Trip[shape_id],"Não encontrado")</f>
        <v/>
      </c>
      <c r="B12571" s="43" t="n">
        <v>-23.547276</v>
      </c>
      <c r="C12571" s="43" t="n">
        <v>-46.55532</v>
      </c>
      <c r="D12571" s="43" t="n">
        <v>243</v>
      </c>
      <c r="E12571" s="44" t="n">
        <v>7456.5054</v>
      </c>
    </row>
    <row r="12572">
      <c r="A12572" s="39">
        <f>_xlfn.XLOOKUP(80404,Trip[shape_id],Trip[shape_id],"Não encontrado")</f>
        <v/>
      </c>
      <c r="B12572" s="40" t="n">
        <v>-23.546755</v>
      </c>
      <c r="C12572" s="40" t="n">
        <v>-46.555464</v>
      </c>
      <c r="D12572" s="40" t="n">
        <v>244</v>
      </c>
      <c r="E12572" s="41" t="n">
        <v>7516.0508</v>
      </c>
    </row>
    <row r="12573">
      <c r="A12573" s="42">
        <f>_xlfn.XLOOKUP(80404,Trip[shape_id],Trip[shape_id],"Não encontrado")</f>
        <v/>
      </c>
      <c r="B12573" s="43" t="n">
        <v>-23.545687</v>
      </c>
      <c r="C12573" s="43" t="n">
        <v>-46.555757</v>
      </c>
      <c r="D12573" s="43" t="n">
        <v>245</v>
      </c>
      <c r="E12573" s="44" t="n">
        <v>7638.0581</v>
      </c>
    </row>
    <row r="12574">
      <c r="A12574" s="39">
        <f>_xlfn.XLOOKUP(80404,Trip[shape_id],Trip[shape_id],"Não encontrado")</f>
        <v/>
      </c>
      <c r="B12574" s="40" t="n">
        <v>-23.546192</v>
      </c>
      <c r="C12574" s="40" t="n">
        <v>-46.558165</v>
      </c>
      <c r="D12574" s="40" t="n">
        <v>246</v>
      </c>
      <c r="E12574" s="41" t="n">
        <v>7890.2095</v>
      </c>
    </row>
    <row r="12575">
      <c r="A12575" s="42">
        <f>_xlfn.XLOOKUP(80404,Trip[shape_id],Trip[shape_id],"Não encontrado")</f>
        <v/>
      </c>
      <c r="B12575" s="43" t="n">
        <v>-23.546206</v>
      </c>
      <c r="C12575" s="43" t="n">
        <v>-46.558253</v>
      </c>
      <c r="D12575" s="43" t="n">
        <v>247</v>
      </c>
      <c r="E12575" s="44" t="n">
        <v>7899.3276</v>
      </c>
    </row>
    <row r="12576">
      <c r="A12576" s="39">
        <f>_xlfn.XLOOKUP(80404,Trip[shape_id],Trip[shape_id],"Não encontrado")</f>
        <v/>
      </c>
      <c r="B12576" s="40" t="n">
        <v>-23.54669</v>
      </c>
      <c r="C12576" s="40" t="n">
        <v>-46.560703</v>
      </c>
      <c r="D12576" s="40" t="n">
        <v>248</v>
      </c>
      <c r="E12576" s="41" t="n">
        <v>8155.1641</v>
      </c>
    </row>
    <row r="12577">
      <c r="A12577" s="42">
        <f>_xlfn.XLOOKUP(80404,Trip[shape_id],Trip[shape_id],"Não encontrado")</f>
        <v/>
      </c>
      <c r="B12577" s="43" t="n">
        <v>-23.546799</v>
      </c>
      <c r="C12577" s="43" t="n">
        <v>-46.561235</v>
      </c>
      <c r="D12577" s="43" t="n">
        <v>249</v>
      </c>
      <c r="E12577" s="44" t="n">
        <v>8210.809600000001</v>
      </c>
    </row>
    <row r="12578">
      <c r="A12578" s="39">
        <f>_xlfn.XLOOKUP(80404,Trip[shape_id],Trip[shape_id],"Não encontrado")</f>
        <v/>
      </c>
      <c r="B12578" s="40" t="n">
        <v>-23.54698</v>
      </c>
      <c r="C12578" s="40" t="n">
        <v>-46.562181</v>
      </c>
      <c r="D12578" s="40" t="n">
        <v>250</v>
      </c>
      <c r="E12578" s="41" t="n">
        <v>8309.459000000001</v>
      </c>
    </row>
    <row r="12579">
      <c r="A12579" s="42">
        <f>_xlfn.XLOOKUP(80404,Trip[shape_id],Trip[shape_id],"Não encontrado")</f>
        <v/>
      </c>
      <c r="B12579" s="43" t="n">
        <v>-23.547088</v>
      </c>
      <c r="C12579" s="43" t="n">
        <v>-46.56269</v>
      </c>
      <c r="D12579" s="43" t="n">
        <v>251</v>
      </c>
      <c r="E12579" s="44" t="n">
        <v>8362.7891</v>
      </c>
    </row>
    <row r="12580">
      <c r="A12580" s="39">
        <f>_xlfn.XLOOKUP(80404,Trip[shape_id],Trip[shape_id],"Não encontrado")</f>
        <v/>
      </c>
      <c r="B12580" s="40" t="n">
        <v>-23.547197</v>
      </c>
      <c r="C12580" s="40" t="n">
        <v>-46.563252</v>
      </c>
      <c r="D12580" s="40" t="n">
        <v>252</v>
      </c>
      <c r="E12580" s="41" t="n">
        <v>8421.4277</v>
      </c>
    </row>
    <row r="12581">
      <c r="A12581" s="42">
        <f>_xlfn.XLOOKUP(80404,Trip[shape_id],Trip[shape_id],"Não encontrado")</f>
        <v/>
      </c>
      <c r="B12581" s="43" t="n">
        <v>-23.547356</v>
      </c>
      <c r="C12581" s="43" t="n">
        <v>-46.564058</v>
      </c>
      <c r="D12581" s="43" t="n">
        <v>253</v>
      </c>
      <c r="E12581" s="44" t="n">
        <v>8505.5869</v>
      </c>
    </row>
    <row r="12582">
      <c r="A12582" s="39">
        <f>_xlfn.XLOOKUP(80404,Trip[shape_id],Trip[shape_id],"Não encontrado")</f>
        <v/>
      </c>
      <c r="B12582" s="40" t="n">
        <v>-23.54762</v>
      </c>
      <c r="C12582" s="40" t="n">
        <v>-46.565476</v>
      </c>
      <c r="D12582" s="40" t="n">
        <v>254</v>
      </c>
      <c r="E12582" s="41" t="n">
        <v>8653.293900000001</v>
      </c>
    </row>
    <row r="12583">
      <c r="A12583" s="42">
        <f>_xlfn.XLOOKUP(80404,Trip[shape_id],Trip[shape_id],"Não encontrado")</f>
        <v/>
      </c>
      <c r="B12583" s="43" t="n">
        <v>-23.547682</v>
      </c>
      <c r="C12583" s="43" t="n">
        <v>-46.565807</v>
      </c>
      <c r="D12583" s="43" t="n">
        <v>255</v>
      </c>
      <c r="E12583" s="44" t="n">
        <v>8687.781300000001</v>
      </c>
    </row>
    <row r="12584">
      <c r="A12584" s="39">
        <f>_xlfn.XLOOKUP(80404,Trip[shape_id],Trip[shape_id],"Não encontrado")</f>
        <v/>
      </c>
      <c r="B12584" s="40" t="n">
        <v>-23.547968</v>
      </c>
      <c r="C12584" s="40" t="n">
        <v>-46.567252</v>
      </c>
      <c r="D12584" s="40" t="n">
        <v>256</v>
      </c>
      <c r="E12584" s="41" t="n">
        <v>8838.6836</v>
      </c>
    </row>
    <row r="12585">
      <c r="A12585" s="42">
        <f>_xlfn.XLOOKUP(80404,Trip[shape_id],Trip[shape_id],"Não encontrado")</f>
        <v/>
      </c>
      <c r="B12585" s="43" t="n">
        <v>-23.54805</v>
      </c>
      <c r="C12585" s="43" t="n">
        <v>-46.567674</v>
      </c>
      <c r="D12585" s="43" t="n">
        <v>257</v>
      </c>
      <c r="E12585" s="44" t="n">
        <v>8882.7178</v>
      </c>
    </row>
    <row r="12586">
      <c r="A12586" s="39">
        <f>_xlfn.XLOOKUP(80404,Trip[shape_id],Trip[shape_id],"Não encontrado")</f>
        <v/>
      </c>
      <c r="B12586" s="40" t="n">
        <v>-23.548058</v>
      </c>
      <c r="C12586" s="40" t="n">
        <v>-46.567725</v>
      </c>
      <c r="D12586" s="40" t="n">
        <v>258</v>
      </c>
      <c r="E12586" s="41" t="n">
        <v>8888.001</v>
      </c>
    </row>
    <row r="12587">
      <c r="A12587" s="42">
        <f>_xlfn.XLOOKUP(80404,Trip[shape_id],Trip[shape_id],"Não encontrado")</f>
        <v/>
      </c>
      <c r="B12587" s="43" t="n">
        <v>-23.548193</v>
      </c>
      <c r="C12587" s="43" t="n">
        <v>-46.56836</v>
      </c>
      <c r="D12587" s="43" t="n">
        <v>259</v>
      </c>
      <c r="E12587" s="44" t="n">
        <v>8954.5381</v>
      </c>
    </row>
    <row r="12588">
      <c r="A12588" s="39">
        <f>_xlfn.XLOOKUP(80404,Trip[shape_id],Trip[shape_id],"Não encontrado")</f>
        <v/>
      </c>
      <c r="B12588" s="40" t="n">
        <v>-23.548328</v>
      </c>
      <c r="C12588" s="40" t="n">
        <v>-46.569028</v>
      </c>
      <c r="D12588" s="40" t="n">
        <v>260</v>
      </c>
      <c r="E12588" s="41" t="n">
        <v>9024.363300000001</v>
      </c>
    </row>
    <row r="12589">
      <c r="A12589" s="42">
        <f>_xlfn.XLOOKUP(80404,Trip[shape_id],Trip[shape_id],"Não encontrado")</f>
        <v/>
      </c>
      <c r="B12589" s="43" t="n">
        <v>-23.548698</v>
      </c>
      <c r="C12589" s="43" t="n">
        <v>-46.570912</v>
      </c>
      <c r="D12589" s="43" t="n">
        <v>261</v>
      </c>
      <c r="E12589" s="44" t="n">
        <v>9221.043</v>
      </c>
    </row>
    <row r="12590">
      <c r="A12590" s="39">
        <f>_xlfn.XLOOKUP(80404,Trip[shape_id],Trip[shape_id],"Não encontrado")</f>
        <v/>
      </c>
      <c r="B12590" s="40" t="n">
        <v>-23.548889</v>
      </c>
      <c r="C12590" s="40" t="n">
        <v>-46.571899</v>
      </c>
      <c r="D12590" s="40" t="n">
        <v>262</v>
      </c>
      <c r="E12590" s="41" t="n">
        <v>9324.015600000001</v>
      </c>
    </row>
    <row r="12591">
      <c r="A12591" s="42">
        <f>_xlfn.XLOOKUP(80404,Trip[shape_id],Trip[shape_id],"Não encontrado")</f>
        <v/>
      </c>
      <c r="B12591" s="43" t="n">
        <v>-23.54786</v>
      </c>
      <c r="C12591" s="43" t="n">
        <v>-46.572109</v>
      </c>
      <c r="D12591" s="43" t="n">
        <v>263</v>
      </c>
      <c r="E12591" s="44" t="n">
        <v>9439.978499999999</v>
      </c>
    </row>
    <row r="12592">
      <c r="A12592" s="39">
        <f>_xlfn.XLOOKUP(80404,Trip[shape_id],Trip[shape_id],"Não encontrado")</f>
        <v/>
      </c>
      <c r="B12592" s="40" t="n">
        <v>-23.547369</v>
      </c>
      <c r="C12592" s="40" t="n">
        <v>-46.572201</v>
      </c>
      <c r="D12592" s="40" t="n">
        <v>264</v>
      </c>
      <c r="E12592" s="41" t="n">
        <v>9495.1631</v>
      </c>
    </row>
    <row r="12593">
      <c r="A12593" s="42">
        <f>_xlfn.XLOOKUP(80404,Trip[shape_id],Trip[shape_id],"Não encontrado")</f>
        <v/>
      </c>
      <c r="B12593" s="43" t="n">
        <v>-23.546827</v>
      </c>
      <c r="C12593" s="43" t="n">
        <v>-46.572312</v>
      </c>
      <c r="D12593" s="43" t="n">
        <v>265</v>
      </c>
      <c r="E12593" s="44" t="n">
        <v>9556.251</v>
      </c>
    </row>
    <row r="12594">
      <c r="A12594" s="39">
        <f>_xlfn.XLOOKUP(80404,Trip[shape_id],Trip[shape_id],"Não encontrado")</f>
        <v/>
      </c>
      <c r="B12594" s="40" t="n">
        <v>-23.545796</v>
      </c>
      <c r="C12594" s="40" t="n">
        <v>-46.572524</v>
      </c>
      <c r="D12594" s="40" t="n">
        <v>266</v>
      </c>
      <c r="E12594" s="41" t="n">
        <v>9672.4697</v>
      </c>
    </row>
    <row r="12595">
      <c r="A12595" s="42">
        <f>_xlfn.XLOOKUP(80404,Trip[shape_id],Trip[shape_id],"Não encontrado")</f>
        <v/>
      </c>
      <c r="B12595" s="43" t="n">
        <v>-23.544915</v>
      </c>
      <c r="C12595" s="43" t="n">
        <v>-46.572707</v>
      </c>
      <c r="D12595" s="43" t="n">
        <v>267</v>
      </c>
      <c r="E12595" s="44" t="n">
        <v>9771.815399999999</v>
      </c>
    </row>
    <row r="12596">
      <c r="A12596" s="39">
        <f>_xlfn.XLOOKUP(80404,Trip[shape_id],Trip[shape_id],"Não encontrado")</f>
        <v/>
      </c>
      <c r="B12596" s="40" t="n">
        <v>-23.544948</v>
      </c>
      <c r="C12596" s="40" t="n">
        <v>-46.572875</v>
      </c>
      <c r="D12596" s="40" t="n">
        <v>268</v>
      </c>
      <c r="E12596" s="41" t="n">
        <v>9789.354499999999</v>
      </c>
    </row>
    <row r="12597">
      <c r="A12597" s="42">
        <f>_xlfn.XLOOKUP(80404,Trip[shape_id],Trip[shape_id],"Não encontrado")</f>
        <v/>
      </c>
      <c r="B12597" s="43" t="n">
        <v>-23.54505</v>
      </c>
      <c r="C12597" s="43" t="n">
        <v>-46.573422</v>
      </c>
      <c r="D12597" s="43" t="n">
        <v>269</v>
      </c>
      <c r="E12597" s="44" t="n">
        <v>9846.3379</v>
      </c>
    </row>
    <row r="12598">
      <c r="A12598" s="39">
        <f>_xlfn.XLOOKUP(80404,Trip[shape_id],Trip[shape_id],"Não encontrado")</f>
        <v/>
      </c>
      <c r="B12598" s="40" t="n">
        <v>-23.545134</v>
      </c>
      <c r="C12598" s="40" t="n">
        <v>-46.573853</v>
      </c>
      <c r="D12598" s="40" t="n">
        <v>270</v>
      </c>
      <c r="E12598" s="41" t="n">
        <v>9891.3184</v>
      </c>
    </row>
    <row r="12599">
      <c r="A12599" s="42">
        <f>_xlfn.XLOOKUP(80404,Trip[shape_id],Trip[shape_id],"Não encontrado")</f>
        <v/>
      </c>
      <c r="B12599" s="43" t="n">
        <v>-23.545168</v>
      </c>
      <c r="C12599" s="43" t="n">
        <v>-46.574035</v>
      </c>
      <c r="D12599" s="43" t="n">
        <v>271</v>
      </c>
      <c r="E12599" s="44" t="n">
        <v>9910.2793</v>
      </c>
    </row>
    <row r="12600">
      <c r="A12600" s="39">
        <f>_xlfn.XLOOKUP(80404,Trip[shape_id],Trip[shape_id],"Não encontrado")</f>
        <v/>
      </c>
      <c r="B12600" s="40" t="n">
        <v>-23.545178</v>
      </c>
      <c r="C12600" s="40" t="n">
        <v>-46.574072</v>
      </c>
      <c r="D12600" s="40" t="n">
        <v>272</v>
      </c>
      <c r="E12600" s="41" t="n">
        <v>9914.2158</v>
      </c>
    </row>
    <row r="12601">
      <c r="A12601" s="42">
        <f>_xlfn.XLOOKUP(80404,Trip[shape_id],Trip[shape_id],"Não encontrado")</f>
        <v/>
      </c>
      <c r="B12601" s="43" t="n">
        <v>-23.545183</v>
      </c>
      <c r="C12601" s="43" t="n">
        <v>-46.574112</v>
      </c>
      <c r="D12601" s="43" t="n">
        <v>273</v>
      </c>
      <c r="E12601" s="44" t="n">
        <v>9918.3369</v>
      </c>
    </row>
    <row r="12602">
      <c r="A12602" s="39">
        <f>_xlfn.XLOOKUP(80404,Trip[shape_id],Trip[shape_id],"Não encontrado")</f>
        <v/>
      </c>
      <c r="B12602" s="40" t="n">
        <v>-23.545237</v>
      </c>
      <c r="C12602" s="40" t="n">
        <v>-46.574395</v>
      </c>
      <c r="D12602" s="40" t="n">
        <v>274</v>
      </c>
      <c r="E12602" s="41" t="n">
        <v>9947.8457</v>
      </c>
    </row>
    <row r="12603">
      <c r="A12603" s="42">
        <f>_xlfn.XLOOKUP(80404,Trip[shape_id],Trip[shape_id],"Não encontrado")</f>
        <v/>
      </c>
      <c r="B12603" s="43" t="n">
        <v>-23.545355</v>
      </c>
      <c r="C12603" s="43" t="n">
        <v>-46.575025</v>
      </c>
      <c r="D12603" s="43" t="n">
        <v>275</v>
      </c>
      <c r="E12603" s="44" t="n">
        <v>10013.486</v>
      </c>
    </row>
    <row r="12604">
      <c r="A12604" s="39">
        <f>_xlfn.XLOOKUP(80404,Trip[shape_id],Trip[shape_id],"Não encontrado")</f>
        <v/>
      </c>
      <c r="B12604" s="40" t="n">
        <v>-23.545375</v>
      </c>
      <c r="C12604" s="40" t="n">
        <v>-46.575124</v>
      </c>
      <c r="D12604" s="40" t="n">
        <v>276</v>
      </c>
      <c r="E12604" s="41" t="n">
        <v>10023.835</v>
      </c>
    </row>
    <row r="12605">
      <c r="A12605" s="42">
        <f>_xlfn.XLOOKUP(80404,Trip[shape_id],Trip[shape_id],"Não encontrado")</f>
        <v/>
      </c>
      <c r="B12605" s="43" t="n">
        <v>-23.54539</v>
      </c>
      <c r="C12605" s="43" t="n">
        <v>-46.575198</v>
      </c>
      <c r="D12605" s="43" t="n">
        <v>277</v>
      </c>
      <c r="E12605" s="44" t="n">
        <v>10031.571</v>
      </c>
    </row>
    <row r="12606">
      <c r="A12606" s="39">
        <f>_xlfn.XLOOKUP(80404,Trip[shape_id],Trip[shape_id],"Não encontrado")</f>
        <v/>
      </c>
      <c r="B12606" s="40" t="n">
        <v>-23.545384</v>
      </c>
      <c r="C12606" s="40" t="n">
        <v>-46.575288</v>
      </c>
      <c r="D12606" s="40" t="n">
        <v>278</v>
      </c>
      <c r="E12606" s="41" t="n">
        <v>10040.785</v>
      </c>
    </row>
    <row r="12607">
      <c r="A12607" s="42">
        <f>_xlfn.XLOOKUP(80404,Trip[shape_id],Trip[shape_id],"Não encontrado")</f>
        <v/>
      </c>
      <c r="B12607" s="43" t="n">
        <v>-23.545353</v>
      </c>
      <c r="C12607" s="43" t="n">
        <v>-46.575383</v>
      </c>
      <c r="D12607" s="43" t="n">
        <v>279</v>
      </c>
      <c r="E12607" s="44" t="n">
        <v>10051.074</v>
      </c>
    </row>
    <row r="12608">
      <c r="A12608" s="39">
        <f>_xlfn.XLOOKUP(80404,Trip[shape_id],Trip[shape_id],"Não encontrado")</f>
        <v/>
      </c>
      <c r="B12608" s="40" t="n">
        <v>-23.545347</v>
      </c>
      <c r="C12608" s="40" t="n">
        <v>-46.575398</v>
      </c>
      <c r="D12608" s="40" t="n">
        <v>280</v>
      </c>
      <c r="E12608" s="41" t="n">
        <v>10052.741</v>
      </c>
    </row>
    <row r="12609">
      <c r="A12609" s="42">
        <f>_xlfn.XLOOKUP(80404,Trip[shape_id],Trip[shape_id],"Não encontrado")</f>
        <v/>
      </c>
      <c r="B12609" s="43" t="n">
        <v>-23.545227</v>
      </c>
      <c r="C12609" s="43" t="n">
        <v>-46.57558</v>
      </c>
      <c r="D12609" s="43" t="n">
        <v>281</v>
      </c>
      <c r="E12609" s="44" t="n">
        <v>10075.588</v>
      </c>
    </row>
    <row r="12610">
      <c r="A12610" s="39">
        <f>_xlfn.XLOOKUP(80404,Trip[shape_id],Trip[shape_id],"Não encontrado")</f>
        <v/>
      </c>
      <c r="B12610" s="40" t="n">
        <v>-23.54519</v>
      </c>
      <c r="C12610" s="40" t="n">
        <v>-46.575639</v>
      </c>
      <c r="D12610" s="40" t="n">
        <v>282</v>
      </c>
      <c r="E12610" s="41" t="n">
        <v>10082.874</v>
      </c>
    </row>
    <row r="12611">
      <c r="A12611" s="42">
        <f>_xlfn.XLOOKUP(80404,Trip[shape_id],Trip[shape_id],"Não encontrado")</f>
        <v/>
      </c>
      <c r="B12611" s="43" t="n">
        <v>-23.544686</v>
      </c>
      <c r="C12611" s="43" t="n">
        <v>-46.576471</v>
      </c>
      <c r="D12611" s="43" t="n">
        <v>283</v>
      </c>
      <c r="E12611" s="44" t="n">
        <v>10184.523</v>
      </c>
    </row>
    <row r="12612">
      <c r="A12612" s="39">
        <f>_xlfn.XLOOKUP(80404,Trip[shape_id],Trip[shape_id],"Não encontrado")</f>
        <v/>
      </c>
      <c r="B12612" s="40" t="n">
        <v>-23.544018</v>
      </c>
      <c r="C12612" s="40" t="n">
        <v>-46.576641</v>
      </c>
      <c r="D12612" s="40" t="n">
        <v>284</v>
      </c>
      <c r="E12612" s="41" t="n">
        <v>10260.515</v>
      </c>
    </row>
    <row r="12613">
      <c r="A12613" s="42">
        <f>_xlfn.XLOOKUP(80404,Trip[shape_id],Trip[shape_id],"Não encontrado")</f>
        <v/>
      </c>
      <c r="B12613" s="43" t="n">
        <v>-23.54301</v>
      </c>
      <c r="C12613" s="43" t="n">
        <v>-46.576888</v>
      </c>
      <c r="D12613" s="43" t="n">
        <v>285</v>
      </c>
      <c r="E12613" s="44" t="n">
        <v>10374.966</v>
      </c>
    </row>
    <row r="12614">
      <c r="A12614" s="39">
        <f>_xlfn.XLOOKUP(80404,Trip[shape_id],Trip[shape_id],"Não encontrado")</f>
        <v/>
      </c>
      <c r="B12614" s="40" t="n">
        <v>-23.54252</v>
      </c>
      <c r="C12614" s="40" t="n">
        <v>-46.577004</v>
      </c>
      <c r="D12614" s="40" t="n">
        <v>286</v>
      </c>
      <c r="E12614" s="41" t="n">
        <v>10430.512</v>
      </c>
    </row>
    <row r="12615">
      <c r="A12615" s="42">
        <f>_xlfn.XLOOKUP(80404,Trip[shape_id],Trip[shape_id],"Não encontrado")</f>
        <v/>
      </c>
      <c r="B12615" s="43" t="n">
        <v>-23.542287</v>
      </c>
      <c r="C12615" s="43" t="n">
        <v>-46.57706</v>
      </c>
      <c r="D12615" s="43" t="n">
        <v>287</v>
      </c>
      <c r="E12615" s="44" t="n">
        <v>10456.943</v>
      </c>
    </row>
    <row r="12616">
      <c r="A12616" s="39">
        <f>_xlfn.XLOOKUP(80404,Trip[shape_id],Trip[shape_id],"Não encontrado")</f>
        <v/>
      </c>
      <c r="B12616" s="40" t="n">
        <v>-23.542237</v>
      </c>
      <c r="C12616" s="40" t="n">
        <v>-46.577092</v>
      </c>
      <c r="D12616" s="40" t="n">
        <v>288</v>
      </c>
      <c r="E12616" s="41" t="n">
        <v>10463.373</v>
      </c>
    </row>
    <row r="12617">
      <c r="A12617" s="42">
        <f>_xlfn.XLOOKUP(80404,Trip[shape_id],Trip[shape_id],"Não encontrado")</f>
        <v/>
      </c>
      <c r="B12617" s="43" t="n">
        <v>-23.542224</v>
      </c>
      <c r="C12617" s="43" t="n">
        <v>-46.577119</v>
      </c>
      <c r="D12617" s="43" t="n">
        <v>289</v>
      </c>
      <c r="E12617" s="44" t="n">
        <v>10466.483</v>
      </c>
    </row>
    <row r="12618">
      <c r="A12618" s="39">
        <f>_xlfn.XLOOKUP(80404,Trip[shape_id],Trip[shape_id],"Não encontrado")</f>
        <v/>
      </c>
      <c r="B12618" s="40" t="n">
        <v>-23.542214</v>
      </c>
      <c r="C12618" s="40" t="n">
        <v>-46.577152</v>
      </c>
      <c r="D12618" s="40" t="n">
        <v>290</v>
      </c>
      <c r="E12618" s="41" t="n">
        <v>10470.031</v>
      </c>
    </row>
    <row r="12619">
      <c r="A12619" s="42">
        <f>_xlfn.XLOOKUP(80404,Trip[shape_id],Trip[shape_id],"Não encontrado")</f>
        <v/>
      </c>
      <c r="B12619" s="43" t="n">
        <v>-23.542403</v>
      </c>
      <c r="C12619" s="43" t="n">
        <v>-46.577988</v>
      </c>
      <c r="D12619" s="43" t="n">
        <v>291</v>
      </c>
      <c r="E12619" s="44" t="n">
        <v>10557.923</v>
      </c>
    </row>
    <row r="12620">
      <c r="A12620" s="39">
        <f>_xlfn.XLOOKUP(80404,Trip[shape_id],Trip[shape_id],"Não encontrado")</f>
        <v/>
      </c>
      <c r="B12620" s="40" t="n">
        <v>-23.542355</v>
      </c>
      <c r="C12620" s="40" t="n">
        <v>-46.578038</v>
      </c>
      <c r="D12620" s="40" t="n">
        <v>292</v>
      </c>
      <c r="E12620" s="41" t="n">
        <v>10571.601</v>
      </c>
    </row>
    <row r="12621">
      <c r="A12621" s="42">
        <f>_xlfn.XLOOKUP(80404,Trip[shape_id],Trip[shape_id],"Não encontrado")</f>
        <v/>
      </c>
      <c r="B12621" s="43" t="n">
        <v>-23.542317</v>
      </c>
      <c r="C12621" s="43" t="n">
        <v>-46.578084</v>
      </c>
      <c r="D12621" s="43" t="n">
        <v>293</v>
      </c>
      <c r="E12621" s="44" t="n">
        <v>10596.713</v>
      </c>
    </row>
    <row r="12622">
      <c r="A12622" s="39">
        <f>_xlfn.XLOOKUP(80404,Trip[shape_id],Trip[shape_id],"Não encontrado")</f>
        <v/>
      </c>
      <c r="B12622" s="40" t="n">
        <v>-23.542096</v>
      </c>
      <c r="C12622" s="40" t="n">
        <v>-46.578139</v>
      </c>
      <c r="D12622" s="40" t="n">
        <v>294</v>
      </c>
      <c r="E12622" s="41" t="n">
        <v>10654.835</v>
      </c>
    </row>
    <row r="12623">
      <c r="A12623" s="42">
        <f>_xlfn.XLOOKUP(80404,Trip[shape_id],Trip[shape_id],"Não encontrado")</f>
        <v/>
      </c>
      <c r="B12623" s="43" t="n">
        <v>-23.541583</v>
      </c>
      <c r="C12623" s="43" t="n">
        <v>-46.578259</v>
      </c>
      <c r="D12623" s="43" t="n">
        <v>295</v>
      </c>
      <c r="E12623" s="44" t="n">
        <v>10654.835</v>
      </c>
    </row>
    <row r="12624">
      <c r="A12624" s="39">
        <f>_xlfn.XLOOKUP(80404,Trip[shape_id],Trip[shape_id],"Não encontrado")</f>
        <v/>
      </c>
      <c r="B12624" s="40" t="n">
        <v>-23.541508</v>
      </c>
      <c r="C12624" s="40" t="n">
        <v>-46.578298</v>
      </c>
      <c r="D12624" s="40" t="n">
        <v>296</v>
      </c>
      <c r="E12624" s="41" t="n">
        <v>10664.047</v>
      </c>
    </row>
    <row r="12625">
      <c r="A12625" s="42">
        <f>_xlfn.XLOOKUP(80404,Trip[shape_id],Trip[shape_id],"Não encontrado")</f>
        <v/>
      </c>
      <c r="B12625" s="43" t="n">
        <v>-23.541461</v>
      </c>
      <c r="C12625" s="43" t="n">
        <v>-46.578066</v>
      </c>
      <c r="D12625" s="43" t="n">
        <v>297</v>
      </c>
      <c r="E12625" s="44" t="n">
        <v>10742.967</v>
      </c>
    </row>
    <row r="12626">
      <c r="A12626" s="39">
        <f>_xlfn.XLOOKUP(80404,Trip[shape_id],Trip[shape_id],"Não encontrado")</f>
        <v/>
      </c>
      <c r="B12626" s="40" t="n">
        <v>-23.541273</v>
      </c>
      <c r="C12626" s="40" t="n">
        <v>-46.577571</v>
      </c>
      <c r="D12626" s="40" t="n">
        <v>298</v>
      </c>
      <c r="E12626" s="41" t="n">
        <v>10776.091</v>
      </c>
    </row>
    <row r="12627">
      <c r="A12627" s="42">
        <f>_xlfn.XLOOKUP(80404,Trip[shape_id],Trip[shape_id],"Não encontrado")</f>
        <v/>
      </c>
      <c r="B12627" s="43" t="n">
        <v>-23.541157</v>
      </c>
      <c r="C12627" s="43" t="n">
        <v>-46.577272</v>
      </c>
      <c r="D12627" s="43" t="n">
        <v>299</v>
      </c>
      <c r="E12627" s="44" t="n">
        <v>10776.091</v>
      </c>
    </row>
    <row r="12628">
      <c r="A12628" s="39">
        <f>_xlfn.XLOOKUP(80404,Trip[shape_id],Trip[shape_id],"Não encontrado")</f>
        <v/>
      </c>
      <c r="B12628" s="40" t="n">
        <v>-23.541105</v>
      </c>
      <c r="C12628" s="40" t="n">
        <v>-46.577142</v>
      </c>
      <c r="D12628" s="40" t="n">
        <v>300</v>
      </c>
      <c r="E12628" s="41" t="n">
        <v>10801.732</v>
      </c>
    </row>
    <row r="12629">
      <c r="A12629" s="42">
        <f>_xlfn.XLOOKUP(80404,Trip[shape_id],Trip[shape_id],"Não encontrado")</f>
        <v/>
      </c>
      <c r="B12629" s="43" t="n">
        <v>-23.54108</v>
      </c>
      <c r="C12629" s="43" t="n">
        <v>-46.577036</v>
      </c>
      <c r="D12629" s="43" t="n">
        <v>301</v>
      </c>
      <c r="E12629" s="44" t="n">
        <v>10801.732</v>
      </c>
    </row>
    <row r="12630">
      <c r="A12630" s="39">
        <f>_xlfn.XLOOKUP(80404,Trip[shape_id],Trip[shape_id],"Não encontrado")</f>
        <v/>
      </c>
      <c r="B12630" s="40" t="n">
        <v>-23.54106</v>
      </c>
      <c r="C12630" s="40" t="n">
        <v>-46.57703</v>
      </c>
      <c r="D12630" s="40" t="n">
        <v>302</v>
      </c>
      <c r="E12630" s="41" t="n">
        <v>10804.031</v>
      </c>
    </row>
    <row r="12631">
      <c r="A12631" s="42">
        <f>_xlfn.XLOOKUP(80404,Trip[shape_id],Trip[shape_id],"Não encontrado")</f>
        <v/>
      </c>
      <c r="B12631" s="43" t="n">
        <v>-23.541033</v>
      </c>
      <c r="C12631" s="43" t="n">
        <v>-46.577013</v>
      </c>
      <c r="D12631" s="43" t="n">
        <v>303</v>
      </c>
      <c r="E12631" s="44" t="n">
        <v>10807.49</v>
      </c>
    </row>
    <row r="12632">
      <c r="A12632" s="39">
        <f>_xlfn.XLOOKUP(80404,Trip[shape_id],Trip[shape_id],"Não encontrado")</f>
        <v/>
      </c>
      <c r="B12632" s="40" t="n">
        <v>-23.541002</v>
      </c>
      <c r="C12632" s="40" t="n">
        <v>-46.576953</v>
      </c>
      <c r="D12632" s="40" t="n">
        <v>304</v>
      </c>
      <c r="E12632" s="41" t="n">
        <v>10814.514</v>
      </c>
    </row>
    <row r="12633">
      <c r="A12633" s="42">
        <f>_xlfn.XLOOKUP(80404,Trip[shape_id],Trip[shape_id],"Não encontrado")</f>
        <v/>
      </c>
      <c r="B12633" s="43" t="n">
        <v>-23.540959</v>
      </c>
      <c r="C12633" s="43" t="n">
        <v>-46.576741</v>
      </c>
      <c r="D12633" s="43" t="n">
        <v>305</v>
      </c>
      <c r="E12633" s="44" t="n">
        <v>10836.679</v>
      </c>
    </row>
    <row r="12634">
      <c r="A12634" s="39">
        <f>_xlfn.XLOOKUP(80404,Trip[shape_id],Trip[shape_id],"Não encontrado")</f>
        <v/>
      </c>
      <c r="B12634" s="40" t="n">
        <v>-23.540824</v>
      </c>
      <c r="C12634" s="40" t="n">
        <v>-46.576064</v>
      </c>
      <c r="D12634" s="40" t="n">
        <v>306</v>
      </c>
      <c r="E12634" s="41" t="n">
        <v>10931.536</v>
      </c>
    </row>
    <row r="12635">
      <c r="A12635" s="42">
        <f>_xlfn.XLOOKUP(80404,Trip[shape_id],Trip[shape_id],"Não encontrado")</f>
        <v/>
      </c>
      <c r="B12635" s="43" t="n">
        <v>-23.540778</v>
      </c>
      <c r="C12635" s="43" t="n">
        <v>-46.575833</v>
      </c>
      <c r="D12635" s="43" t="n">
        <v>307</v>
      </c>
      <c r="E12635" s="44" t="n">
        <v>10947.332</v>
      </c>
    </row>
    <row r="12636">
      <c r="A12636" s="39">
        <f>_xlfn.XLOOKUP(80404,Trip[shape_id],Trip[shape_id],"Não encontrado")</f>
        <v/>
      </c>
      <c r="B12636" s="40" t="n">
        <v>-23.540747</v>
      </c>
      <c r="C12636" s="40" t="n">
        <v>-46.575682</v>
      </c>
      <c r="D12636" s="40" t="n">
        <v>308</v>
      </c>
      <c r="E12636" s="41" t="n">
        <v>10955.068</v>
      </c>
    </row>
    <row r="12637">
      <c r="A12637" s="42">
        <f>_xlfn.XLOOKUP(80404,Trip[shape_id],Trip[shape_id],"Não encontrado")</f>
        <v/>
      </c>
      <c r="B12637" s="43" t="n">
        <v>-23.540732</v>
      </c>
      <c r="C12637" s="43" t="n">
        <v>-46.575608</v>
      </c>
      <c r="D12637" s="43" t="n">
        <v>309</v>
      </c>
      <c r="E12637" s="44" t="n">
        <v>10965.317</v>
      </c>
    </row>
    <row r="12638">
      <c r="A12638" s="39">
        <f>_xlfn.XLOOKUP(80404,Trip[shape_id],Trip[shape_id],"Não encontrado")</f>
        <v/>
      </c>
      <c r="B12638" s="40" t="n">
        <v>-23.540712</v>
      </c>
      <c r="C12638" s="40" t="n">
        <v>-46.57551</v>
      </c>
      <c r="D12638" s="40" t="n">
        <v>310</v>
      </c>
      <c r="E12638" s="41" t="n">
        <v>10972.859</v>
      </c>
    </row>
    <row r="12639">
      <c r="A12639" s="42">
        <f>_xlfn.XLOOKUP(80404,Trip[shape_id],Trip[shape_id],"Não encontrado")</f>
        <v/>
      </c>
      <c r="B12639" s="43" t="n">
        <v>-23.540678</v>
      </c>
      <c r="C12639" s="43" t="n">
        <v>-46.575446</v>
      </c>
      <c r="D12639" s="43" t="n">
        <v>311</v>
      </c>
      <c r="E12639" s="44" t="n">
        <v>10972.859</v>
      </c>
    </row>
    <row r="12640">
      <c r="A12640" s="39">
        <f>_xlfn.XLOOKUP(80404,Trip[shape_id],Trip[shape_id],"Não encontrado")</f>
        <v/>
      </c>
      <c r="B12640" s="40" t="n">
        <v>-23.540827</v>
      </c>
      <c r="C12640" s="40" t="n">
        <v>-46.575412</v>
      </c>
      <c r="D12640" s="40" t="n">
        <v>312</v>
      </c>
      <c r="E12640" s="41" t="n">
        <v>10989.723</v>
      </c>
    </row>
    <row r="12641">
      <c r="A12641" s="42">
        <f>_xlfn.XLOOKUP(80404,Trip[shape_id],Trip[shape_id],"Não encontrado")</f>
        <v/>
      </c>
      <c r="B12641" s="43" t="n">
        <v>-23.541763</v>
      </c>
      <c r="C12641" s="43" t="n">
        <v>-46.575226</v>
      </c>
      <c r="D12641" s="43" t="n">
        <v>313</v>
      </c>
      <c r="E12641" s="44" t="n">
        <v>11095.111</v>
      </c>
    </row>
    <row r="12642">
      <c r="A12642" s="39">
        <f>_xlfn.XLOOKUP(80404,Trip[shape_id],Trip[shape_id],"Não encontrado")</f>
        <v/>
      </c>
      <c r="B12642" s="40" t="n">
        <v>-23.541905</v>
      </c>
      <c r="C12642" s="40" t="n">
        <v>-46.575184</v>
      </c>
      <c r="D12642" s="40" t="n">
        <v>314</v>
      </c>
      <c r="E12642" s="41" t="n">
        <v>11111.412</v>
      </c>
    </row>
    <row r="12643">
      <c r="A12643" s="42">
        <f>_xlfn.XLOOKUP(80404,Trip[shape_id],Trip[shape_id],"Não encontrado")</f>
        <v/>
      </c>
      <c r="B12643" s="43" t="n">
        <v>-23.541963</v>
      </c>
      <c r="C12643" s="43" t="n">
        <v>-46.575331</v>
      </c>
      <c r="D12643" s="43" t="n">
        <v>315</v>
      </c>
      <c r="E12643" s="44" t="n">
        <v>11127.739</v>
      </c>
    </row>
    <row r="12644">
      <c r="A12644" s="39">
        <f>_xlfn.XLOOKUP(80404,Trip[shape_id],Trip[shape_id],"Não encontrado")</f>
        <v/>
      </c>
      <c r="B12644" s="40" t="n">
        <v>-23.542055</v>
      </c>
      <c r="C12644" s="40" t="n">
        <v>-46.575762</v>
      </c>
      <c r="D12644" s="40" t="n">
        <v>316</v>
      </c>
      <c r="E12644" s="41" t="n">
        <v>11172.912</v>
      </c>
    </row>
    <row r="12645">
      <c r="A12645" s="42">
        <f>_xlfn.XLOOKUP(80404,Trip[shape_id],Trip[shape_id],"Não encontrado")</f>
        <v/>
      </c>
      <c r="B12645" s="43" t="n">
        <v>-23.542164</v>
      </c>
      <c r="C12645" s="43" t="n">
        <v>-46.576342</v>
      </c>
      <c r="D12645" s="43" t="n">
        <v>317</v>
      </c>
      <c r="E12645" s="44" t="n">
        <v>11233.353</v>
      </c>
    </row>
    <row r="12646">
      <c r="A12646" s="39">
        <f>_xlfn.XLOOKUP(80404,Trip[shape_id],Trip[shape_id],"Não encontrado")</f>
        <v/>
      </c>
      <c r="B12646" s="40" t="n">
        <v>-23.542272</v>
      </c>
      <c r="C12646" s="40" t="n">
        <v>-46.576919</v>
      </c>
      <c r="D12646" s="40" t="n">
        <v>318</v>
      </c>
      <c r="E12646" s="41" t="n">
        <v>11293.471</v>
      </c>
    </row>
    <row r="12647">
      <c r="A12647" s="42">
        <f>_xlfn.XLOOKUP(80404,Trip[shape_id],Trip[shape_id],"Não encontrado")</f>
        <v/>
      </c>
      <c r="B12647" s="43" t="n">
        <v>-23.542287</v>
      </c>
      <c r="C12647" s="43" t="n">
        <v>-46.57706</v>
      </c>
      <c r="D12647" s="43" t="n">
        <v>319</v>
      </c>
      <c r="E12647" s="44" t="n">
        <v>11307.963</v>
      </c>
    </row>
    <row r="12648">
      <c r="A12648" s="39">
        <f>_xlfn.XLOOKUP(80404,Trip[shape_id],Trip[shape_id],"Não encontrado")</f>
        <v/>
      </c>
      <c r="B12648" s="40" t="n">
        <v>-23.542237</v>
      </c>
      <c r="C12648" s="40" t="n">
        <v>-46.577092</v>
      </c>
      <c r="D12648" s="40" t="n">
        <v>320</v>
      </c>
      <c r="E12648" s="41" t="n">
        <v>11314.393</v>
      </c>
    </row>
    <row r="12649">
      <c r="A12649" s="42">
        <f>_xlfn.XLOOKUP(80404,Trip[shape_id],Trip[shape_id],"Não encontrado")</f>
        <v/>
      </c>
      <c r="B12649" s="43" t="n">
        <v>-23.542224</v>
      </c>
      <c r="C12649" s="43" t="n">
        <v>-46.577119</v>
      </c>
      <c r="D12649" s="43" t="n">
        <v>321</v>
      </c>
      <c r="E12649" s="44" t="n">
        <v>11317.503</v>
      </c>
    </row>
    <row r="12650">
      <c r="A12650" s="39">
        <f>_xlfn.XLOOKUP(80404,Trip[shape_id],Trip[shape_id],"Não encontrado")</f>
        <v/>
      </c>
      <c r="B12650" s="40" t="n">
        <v>-23.542214</v>
      </c>
      <c r="C12650" s="40" t="n">
        <v>-46.577152</v>
      </c>
      <c r="D12650" s="40" t="n">
        <v>322</v>
      </c>
      <c r="E12650" s="41" t="n">
        <v>11321.051</v>
      </c>
    </row>
    <row r="12651">
      <c r="A12651" s="42">
        <f>_xlfn.XLOOKUP(80404,Trip[shape_id],Trip[shape_id],"Não encontrado")</f>
        <v/>
      </c>
      <c r="B12651" s="43" t="n">
        <v>-23.542403</v>
      </c>
      <c r="C12651" s="43" t="n">
        <v>-46.577988</v>
      </c>
      <c r="D12651" s="43" t="n">
        <v>323</v>
      </c>
      <c r="E12651" s="44" t="n">
        <v>11408.942</v>
      </c>
    </row>
    <row r="12652">
      <c r="A12652" s="39">
        <f>_xlfn.XLOOKUP(80404,Trip[shape_id],Trip[shape_id],"Não encontrado")</f>
        <v/>
      </c>
      <c r="B12652" s="40" t="n">
        <v>-23.542514</v>
      </c>
      <c r="C12652" s="40" t="n">
        <v>-46.578486</v>
      </c>
      <c r="D12652" s="40" t="n">
        <v>324</v>
      </c>
      <c r="E12652" s="41" t="n">
        <v>11461.257</v>
      </c>
    </row>
    <row r="12653">
      <c r="A12653" s="42">
        <f>_xlfn.XLOOKUP(80404,Trip[shape_id],Trip[shape_id],"Não encontrado")</f>
        <v/>
      </c>
      <c r="B12653" s="43" t="n">
        <v>-23.543312</v>
      </c>
      <c r="C12653" s="43" t="n">
        <v>-46.578291</v>
      </c>
      <c r="D12653" s="43" t="n">
        <v>325</v>
      </c>
      <c r="E12653" s="44" t="n">
        <v>11551.852</v>
      </c>
    </row>
    <row r="12654">
      <c r="A12654" s="39">
        <f>_xlfn.XLOOKUP(80404,Trip[shape_id],Trip[shape_id],"Não encontrado")</f>
        <v/>
      </c>
      <c r="B12654" s="40" t="n">
        <v>-23.543834</v>
      </c>
      <c r="C12654" s="40" t="n">
        <v>-46.578157</v>
      </c>
      <c r="D12654" s="40" t="n">
        <v>326</v>
      </c>
      <c r="E12654" s="41" t="n">
        <v>11611.261</v>
      </c>
    </row>
    <row r="12655">
      <c r="A12655" s="42">
        <f>_xlfn.XLOOKUP(80404,Trip[shape_id],Trip[shape_id],"Não encontrado")</f>
        <v/>
      </c>
      <c r="B12655" s="43" t="n">
        <v>-23.543996</v>
      </c>
      <c r="C12655" s="43" t="n">
        <v>-46.578108</v>
      </c>
      <c r="D12655" s="43" t="n">
        <v>327</v>
      </c>
      <c r="E12655" s="44" t="n">
        <v>11629.887</v>
      </c>
    </row>
    <row r="12656">
      <c r="A12656" s="39">
        <f>_xlfn.XLOOKUP(80404,Trip[shape_id],Trip[shape_id],"Não encontrado")</f>
        <v/>
      </c>
      <c r="B12656" s="40" t="n">
        <v>-23.543981</v>
      </c>
      <c r="C12656" s="40" t="n">
        <v>-46.578213</v>
      </c>
      <c r="D12656" s="40" t="n">
        <v>328</v>
      </c>
      <c r="E12656" s="41" t="n">
        <v>11640.735</v>
      </c>
    </row>
    <row r="12657">
      <c r="A12657" s="42">
        <f>_xlfn.XLOOKUP(80404,Trip[shape_id],Trip[shape_id],"Não encontrado")</f>
        <v/>
      </c>
      <c r="B12657" s="43" t="n">
        <v>-23.543979</v>
      </c>
      <c r="C12657" s="43" t="n">
        <v>-46.578326</v>
      </c>
      <c r="D12657" s="43" t="n">
        <v>329</v>
      </c>
      <c r="E12657" s="44" t="n">
        <v>11652.275</v>
      </c>
    </row>
    <row r="12658">
      <c r="A12658" s="39">
        <f>_xlfn.XLOOKUP(80404,Trip[shape_id],Trip[shape_id],"Não encontrado")</f>
        <v/>
      </c>
      <c r="B12658" s="40" t="n">
        <v>-23.543882</v>
      </c>
      <c r="C12658" s="40" t="n">
        <v>-46.578506</v>
      </c>
      <c r="D12658" s="40" t="n">
        <v>330</v>
      </c>
      <c r="E12658" s="41" t="n">
        <v>11673.564</v>
      </c>
    </row>
    <row r="12659">
      <c r="A12659" s="42">
        <f>_xlfn.XLOOKUP(80404,Trip[shape_id],Trip[shape_id],"Não encontrado")</f>
        <v/>
      </c>
      <c r="B12659" s="43" t="n">
        <v>-23.543837</v>
      </c>
      <c r="C12659" s="43" t="n">
        <v>-46.578598</v>
      </c>
      <c r="D12659" s="43" t="n">
        <v>331</v>
      </c>
      <c r="E12659" s="44" t="n">
        <v>11684.198</v>
      </c>
    </row>
    <row r="12660">
      <c r="A12660" s="39">
        <f>_xlfn.XLOOKUP(80404,Trip[shape_id],Trip[shape_id],"Não encontrado")</f>
        <v/>
      </c>
      <c r="B12660" s="40" t="n">
        <v>-23.54379</v>
      </c>
      <c r="C12660" s="40" t="n">
        <v>-46.578669</v>
      </c>
      <c r="D12660" s="40" t="n">
        <v>332</v>
      </c>
      <c r="E12660" s="41" t="n">
        <v>11693.124</v>
      </c>
    </row>
    <row r="12661">
      <c r="A12661" s="42">
        <f>_xlfn.XLOOKUP(80404,Trip[shape_id],Trip[shape_id],"Não encontrado")</f>
        <v/>
      </c>
      <c r="B12661" s="43" t="n">
        <v>-23.54372</v>
      </c>
      <c r="C12661" s="43" t="n">
        <v>-46.578749</v>
      </c>
      <c r="D12661" s="43" t="n">
        <v>333</v>
      </c>
      <c r="E12661" s="44" t="n">
        <v>11704.386</v>
      </c>
    </row>
    <row r="12662">
      <c r="A12662" s="39">
        <f>_xlfn.XLOOKUP(80404,Trip[shape_id],Trip[shape_id],"Não encontrado")</f>
        <v/>
      </c>
      <c r="B12662" s="40" t="n">
        <v>-23.543475</v>
      </c>
      <c r="C12662" s="40" t="n">
        <v>-46.578979</v>
      </c>
      <c r="D12662" s="40" t="n">
        <v>334</v>
      </c>
      <c r="E12662" s="41" t="n">
        <v>11740.271</v>
      </c>
    </row>
    <row r="12663">
      <c r="A12663" s="42">
        <f>_xlfn.XLOOKUP(80404,Trip[shape_id],Trip[shape_id],"Não encontrado")</f>
        <v/>
      </c>
      <c r="B12663" s="43" t="n">
        <v>-23.543217</v>
      </c>
      <c r="C12663" s="43" t="n">
        <v>-46.579245</v>
      </c>
      <c r="D12663" s="43" t="n">
        <v>335</v>
      </c>
      <c r="E12663" s="44" t="n">
        <v>11779.694</v>
      </c>
    </row>
    <row r="12664">
      <c r="A12664" s="39">
        <f>_xlfn.XLOOKUP(80404,Trip[shape_id],Trip[shape_id],"Não encontrado")</f>
        <v/>
      </c>
      <c r="B12664" s="40" t="n">
        <v>-23.54314</v>
      </c>
      <c r="C12664" s="40" t="n">
        <v>-46.579378</v>
      </c>
      <c r="D12664" s="40" t="n">
        <v>336</v>
      </c>
      <c r="E12664" s="41" t="n">
        <v>11795.73</v>
      </c>
    </row>
    <row r="12665">
      <c r="A12665" s="42">
        <f>_xlfn.XLOOKUP(80404,Trip[shape_id],Trip[shape_id],"Não encontrado")</f>
        <v/>
      </c>
      <c r="B12665" s="43" t="n">
        <v>-23.543116</v>
      </c>
      <c r="C12665" s="43" t="n">
        <v>-46.579432</v>
      </c>
      <c r="D12665" s="43" t="n">
        <v>337</v>
      </c>
      <c r="E12665" s="44" t="n">
        <v>11801.852</v>
      </c>
    </row>
    <row r="12666">
      <c r="A12666" s="39">
        <f>_xlfn.XLOOKUP(80404,Trip[shape_id],Trip[shape_id],"Não encontrado")</f>
        <v/>
      </c>
      <c r="B12666" s="40" t="n">
        <v>-23.543097</v>
      </c>
      <c r="C12666" s="40" t="n">
        <v>-46.579512</v>
      </c>
      <c r="D12666" s="40" t="n">
        <v>338</v>
      </c>
      <c r="E12666" s="41" t="n">
        <v>11810.287</v>
      </c>
    </row>
    <row r="12667">
      <c r="A12667" s="42">
        <f>_xlfn.XLOOKUP(80404,Trip[shape_id],Trip[shape_id],"Não encontrado")</f>
        <v/>
      </c>
      <c r="B12667" s="43" t="n">
        <v>-23.54308</v>
      </c>
      <c r="C12667" s="43" t="n">
        <v>-46.57959</v>
      </c>
      <c r="D12667" s="43" t="n">
        <v>339</v>
      </c>
      <c r="E12667" s="44" t="n">
        <v>11818.471</v>
      </c>
    </row>
    <row r="12668">
      <c r="A12668" s="39">
        <f>_xlfn.XLOOKUP(80404,Trip[shape_id],Trip[shape_id],"Não encontrado")</f>
        <v/>
      </c>
      <c r="B12668" s="40" t="n">
        <v>-23.543072</v>
      </c>
      <c r="C12668" s="40" t="n">
        <v>-46.57971</v>
      </c>
      <c r="D12668" s="40" t="n">
        <v>340</v>
      </c>
      <c r="E12668" s="41" t="n">
        <v>11830.756</v>
      </c>
    </row>
    <row r="12669">
      <c r="A12669" s="42">
        <f>_xlfn.XLOOKUP(80404,Trip[shape_id],Trip[shape_id],"Não encontrado")</f>
        <v/>
      </c>
      <c r="B12669" s="43" t="n">
        <v>-23.543076</v>
      </c>
      <c r="C12669" s="43" t="n">
        <v>-46.579871</v>
      </c>
      <c r="D12669" s="43" t="n">
        <v>341</v>
      </c>
      <c r="E12669" s="44" t="n">
        <v>11847.201</v>
      </c>
    </row>
    <row r="12670">
      <c r="A12670" s="39">
        <f>_xlfn.XLOOKUP(80404,Trip[shape_id],Trip[shape_id],"Não encontrado")</f>
        <v/>
      </c>
      <c r="B12670" s="40" t="n">
        <v>-23.543085</v>
      </c>
      <c r="C12670" s="40" t="n">
        <v>-46.58014</v>
      </c>
      <c r="D12670" s="40" t="n">
        <v>342</v>
      </c>
      <c r="E12670" s="41" t="n">
        <v>11874.687</v>
      </c>
    </row>
    <row r="12671">
      <c r="A12671" s="42">
        <f>_xlfn.XLOOKUP(80404,Trip[shape_id],Trip[shape_id],"Não encontrado")</f>
        <v/>
      </c>
      <c r="B12671" s="43" t="n">
        <v>-23.543094</v>
      </c>
      <c r="C12671" s="43" t="n">
        <v>-46.580302</v>
      </c>
      <c r="D12671" s="43" t="n">
        <v>343</v>
      </c>
      <c r="E12671" s="44" t="n">
        <v>11891.258</v>
      </c>
    </row>
    <row r="12672">
      <c r="A12672" s="39">
        <f>_xlfn.XLOOKUP(80404,Trip[shape_id],Trip[shape_id],"Não encontrado")</f>
        <v/>
      </c>
      <c r="B12672" s="40" t="n">
        <v>-23.543095</v>
      </c>
      <c r="C12672" s="40" t="n">
        <v>-46.580356</v>
      </c>
      <c r="D12672" s="40" t="n">
        <v>344</v>
      </c>
      <c r="E12672" s="41" t="n">
        <v>11896.773</v>
      </c>
    </row>
    <row r="12673">
      <c r="A12673" s="42">
        <f>_xlfn.XLOOKUP(80404,Trip[shape_id],Trip[shape_id],"Não encontrado")</f>
        <v/>
      </c>
      <c r="B12673" s="43" t="n">
        <v>-23.5431</v>
      </c>
      <c r="C12673" s="43" t="n">
        <v>-46.580509</v>
      </c>
      <c r="D12673" s="43" t="n">
        <v>345</v>
      </c>
      <c r="E12673" s="44" t="n">
        <v>11912.406</v>
      </c>
    </row>
    <row r="12674">
      <c r="A12674" s="39">
        <f>_xlfn.XLOOKUP(80404,Trip[shape_id],Trip[shape_id],"Não encontrado")</f>
        <v/>
      </c>
      <c r="B12674" s="40" t="n">
        <v>-23.543108</v>
      </c>
      <c r="C12674" s="40" t="n">
        <v>-46.58073</v>
      </c>
      <c r="D12674" s="40" t="n">
        <v>346</v>
      </c>
      <c r="E12674" s="41" t="n">
        <v>11934.989</v>
      </c>
    </row>
    <row r="12675">
      <c r="A12675" s="42">
        <f>_xlfn.XLOOKUP(80404,Trip[shape_id],Trip[shape_id],"Não encontrado")</f>
        <v/>
      </c>
      <c r="B12675" s="43" t="n">
        <v>-23.543118</v>
      </c>
      <c r="C12675" s="43" t="n">
        <v>-46.580916</v>
      </c>
      <c r="D12675" s="43" t="n">
        <v>347</v>
      </c>
      <c r="E12675" s="44" t="n">
        <v>11954.014</v>
      </c>
    </row>
    <row r="12676">
      <c r="A12676" s="39">
        <f>_xlfn.XLOOKUP(80404,Trip[shape_id],Trip[shape_id],"Não encontrado")</f>
        <v/>
      </c>
      <c r="B12676" s="40" t="n">
        <v>-23.543123</v>
      </c>
      <c r="C12676" s="40" t="n">
        <v>-46.581028</v>
      </c>
      <c r="D12676" s="40" t="n">
        <v>348</v>
      </c>
      <c r="E12676" s="41" t="n">
        <v>11965.463</v>
      </c>
    </row>
    <row r="12677">
      <c r="A12677" s="42">
        <f>_xlfn.XLOOKUP(80404,Trip[shape_id],Trip[shape_id],"Não encontrado")</f>
        <v/>
      </c>
      <c r="B12677" s="43" t="n">
        <v>-23.543149</v>
      </c>
      <c r="C12677" s="43" t="n">
        <v>-46.581263</v>
      </c>
      <c r="D12677" s="43" t="n">
        <v>349</v>
      </c>
      <c r="E12677" s="44" t="n">
        <v>11989.631</v>
      </c>
    </row>
    <row r="12678">
      <c r="A12678" s="39">
        <f>_xlfn.XLOOKUP(80404,Trip[shape_id],Trip[shape_id],"Não encontrado")</f>
        <v/>
      </c>
      <c r="B12678" s="40" t="n">
        <v>-23.54317</v>
      </c>
      <c r="C12678" s="40" t="n">
        <v>-46.581364</v>
      </c>
      <c r="D12678" s="40" t="n">
        <v>350</v>
      </c>
      <c r="E12678" s="41" t="n">
        <v>12000.202</v>
      </c>
    </row>
    <row r="12679">
      <c r="A12679" s="42">
        <f>_xlfn.XLOOKUP(80404,Trip[shape_id],Trip[shape_id],"Não encontrado")</f>
        <v/>
      </c>
      <c r="B12679" s="43" t="n">
        <v>-23.543211</v>
      </c>
      <c r="C12679" s="43" t="n">
        <v>-46.581536</v>
      </c>
      <c r="D12679" s="43" t="n">
        <v>351</v>
      </c>
      <c r="E12679" s="44" t="n">
        <v>12018.342</v>
      </c>
    </row>
    <row r="12680">
      <c r="A12680" s="39">
        <f>_xlfn.XLOOKUP(80404,Trip[shape_id],Trip[shape_id],"Não encontrado")</f>
        <v/>
      </c>
      <c r="B12680" s="40" t="n">
        <v>-23.543286</v>
      </c>
      <c r="C12680" s="40" t="n">
        <v>-46.581666</v>
      </c>
      <c r="D12680" s="40" t="n">
        <v>352</v>
      </c>
      <c r="E12680" s="41" t="n">
        <v>12034.001</v>
      </c>
    </row>
    <row r="12681">
      <c r="A12681" s="42">
        <f>_xlfn.XLOOKUP(80404,Trip[shape_id],Trip[shape_id],"Não encontrado")</f>
        <v/>
      </c>
      <c r="B12681" s="43" t="n">
        <v>-23.543387</v>
      </c>
      <c r="C12681" s="43" t="n">
        <v>-46.581787</v>
      </c>
      <c r="D12681" s="43" t="n">
        <v>353</v>
      </c>
      <c r="E12681" s="44" t="n">
        <v>12050.668</v>
      </c>
    </row>
    <row r="12682">
      <c r="A12682" s="39">
        <f>_xlfn.XLOOKUP(80404,Trip[shape_id],Trip[shape_id],"Não encontrado")</f>
        <v/>
      </c>
      <c r="B12682" s="40" t="n">
        <v>-23.543467</v>
      </c>
      <c r="C12682" s="40" t="n">
        <v>-46.581883</v>
      </c>
      <c r="D12682" s="40" t="n">
        <v>354</v>
      </c>
      <c r="E12682" s="41" t="n">
        <v>12063.882</v>
      </c>
    </row>
    <row r="12683">
      <c r="A12683" s="42">
        <f>_xlfn.XLOOKUP(80404,Trip[shape_id],Trip[shape_id],"Não encontrado")</f>
        <v/>
      </c>
      <c r="B12683" s="43" t="n">
        <v>-23.54363</v>
      </c>
      <c r="C12683" s="43" t="n">
        <v>-46.582024</v>
      </c>
      <c r="D12683" s="43" t="n">
        <v>355</v>
      </c>
      <c r="E12683" s="44" t="n">
        <v>12086.973</v>
      </c>
    </row>
    <row r="12684">
      <c r="A12684" s="39">
        <f>_xlfn.XLOOKUP(80404,Trip[shape_id],Trip[shape_id],"Não encontrado")</f>
        <v/>
      </c>
      <c r="B12684" s="40" t="n">
        <v>-23.543695</v>
      </c>
      <c r="C12684" s="40" t="n">
        <v>-46.582137</v>
      </c>
      <c r="D12684" s="40" t="n">
        <v>356</v>
      </c>
      <c r="E12684" s="41" t="n">
        <v>12100.572</v>
      </c>
    </row>
    <row r="12685">
      <c r="A12685" s="42">
        <f>_xlfn.XLOOKUP(80404,Trip[shape_id],Trip[shape_id],"Não encontrado")</f>
        <v/>
      </c>
      <c r="B12685" s="43" t="n">
        <v>-23.543847</v>
      </c>
      <c r="C12685" s="43" t="n">
        <v>-46.582357</v>
      </c>
      <c r="D12685" s="43" t="n">
        <v>357</v>
      </c>
      <c r="E12685" s="44" t="n">
        <v>12128.644</v>
      </c>
    </row>
    <row r="12686">
      <c r="A12686" s="39">
        <f>_xlfn.XLOOKUP(80404,Trip[shape_id],Trip[shape_id],"Não encontrado")</f>
        <v/>
      </c>
      <c r="B12686" s="40" t="n">
        <v>-23.543886</v>
      </c>
      <c r="C12686" s="40" t="n">
        <v>-46.582422</v>
      </c>
      <c r="D12686" s="40" t="n">
        <v>358</v>
      </c>
      <c r="E12686" s="41" t="n">
        <v>12136.563</v>
      </c>
    </row>
    <row r="12687">
      <c r="A12687" s="42">
        <f>_xlfn.XLOOKUP(80404,Trip[shape_id],Trip[shape_id],"Não encontrado")</f>
        <v/>
      </c>
      <c r="B12687" s="43" t="n">
        <v>-23.543926</v>
      </c>
      <c r="C12687" s="43" t="n">
        <v>-46.582546</v>
      </c>
      <c r="D12687" s="43" t="n">
        <v>359</v>
      </c>
      <c r="E12687" s="44" t="n">
        <v>12149.977</v>
      </c>
    </row>
    <row r="12688">
      <c r="A12688" s="39">
        <f>_xlfn.XLOOKUP(80404,Trip[shape_id],Trip[shape_id],"Não encontrado")</f>
        <v/>
      </c>
      <c r="B12688" s="40" t="n">
        <v>-23.543936</v>
      </c>
      <c r="C12688" s="40" t="n">
        <v>-46.582701</v>
      </c>
      <c r="D12688" s="40" t="n">
        <v>360</v>
      </c>
      <c r="E12688" s="41" t="n">
        <v>12165.842</v>
      </c>
    </row>
    <row r="12689">
      <c r="A12689" s="42">
        <f>_xlfn.XLOOKUP(80404,Trip[shape_id],Trip[shape_id],"Não encontrado")</f>
        <v/>
      </c>
      <c r="B12689" s="43" t="n">
        <v>-23.543929</v>
      </c>
      <c r="C12689" s="43" t="n">
        <v>-46.582956</v>
      </c>
      <c r="D12689" s="43" t="n">
        <v>361</v>
      </c>
      <c r="E12689" s="44" t="n">
        <v>12191.891</v>
      </c>
    </row>
    <row r="12690">
      <c r="A12690" s="39">
        <f>_xlfn.XLOOKUP(80404,Trip[shape_id],Trip[shape_id],"Não encontrado")</f>
        <v/>
      </c>
      <c r="B12690" s="40" t="n">
        <v>-23.543905</v>
      </c>
      <c r="C12690" s="40" t="n">
        <v>-46.583317</v>
      </c>
      <c r="D12690" s="40" t="n">
        <v>362</v>
      </c>
      <c r="E12690" s="41" t="n">
        <v>12228.847</v>
      </c>
    </row>
    <row r="12691">
      <c r="A12691" s="42">
        <f>_xlfn.XLOOKUP(80404,Trip[shape_id],Trip[shape_id],"Não encontrado")</f>
        <v/>
      </c>
      <c r="B12691" s="43" t="n">
        <v>-23.543917</v>
      </c>
      <c r="C12691" s="43" t="n">
        <v>-46.583437</v>
      </c>
      <c r="D12691" s="43" t="n">
        <v>363</v>
      </c>
      <c r="E12691" s="44" t="n">
        <v>12241.172</v>
      </c>
    </row>
    <row r="12692">
      <c r="A12692" s="39">
        <f>_xlfn.XLOOKUP(80404,Trip[shape_id],Trip[shape_id],"Não encontrado")</f>
        <v/>
      </c>
      <c r="B12692" s="40" t="n">
        <v>-23.544446</v>
      </c>
      <c r="C12692" s="40" t="n">
        <v>-46.586102</v>
      </c>
      <c r="D12692" s="40" t="n">
        <v>364</v>
      </c>
      <c r="E12692" s="41" t="n">
        <v>12519.522</v>
      </c>
    </row>
    <row r="12693">
      <c r="A12693" s="42">
        <f>_xlfn.XLOOKUP(80404,Trip[shape_id],Trip[shape_id],"Não encontrado")</f>
        <v/>
      </c>
      <c r="B12693" s="43" t="n">
        <v>-23.544795</v>
      </c>
      <c r="C12693" s="43" t="n">
        <v>-46.587887</v>
      </c>
      <c r="D12693" s="43" t="n">
        <v>365</v>
      </c>
      <c r="E12693" s="44" t="n">
        <v>12705.836</v>
      </c>
    </row>
    <row r="12694">
      <c r="A12694" s="39">
        <f>_xlfn.XLOOKUP(80404,Trip[shape_id],Trip[shape_id],"Não encontrado")</f>
        <v/>
      </c>
      <c r="B12694" s="40" t="n">
        <v>-23.544904</v>
      </c>
      <c r="C12694" s="40" t="n">
        <v>-46.588416</v>
      </c>
      <c r="D12694" s="40" t="n">
        <v>366</v>
      </c>
      <c r="E12694" s="41" t="n">
        <v>12761.183</v>
      </c>
    </row>
    <row r="12695">
      <c r="A12695" s="42">
        <f>_xlfn.XLOOKUP(80404,Trip[shape_id],Trip[shape_id],"Não encontrado")</f>
        <v/>
      </c>
      <c r="B12695" s="43" t="n">
        <v>-23.544957</v>
      </c>
      <c r="C12695" s="43" t="n">
        <v>-46.588728</v>
      </c>
      <c r="D12695" s="43" t="n">
        <v>367</v>
      </c>
      <c r="E12695" s="44" t="n">
        <v>12793.576</v>
      </c>
    </row>
    <row r="12696">
      <c r="A12696" s="39">
        <f>_xlfn.XLOOKUP(80404,Trip[shape_id],Trip[shape_id],"Não encontrado")</f>
        <v/>
      </c>
      <c r="B12696" s="40" t="n">
        <v>-23.545025</v>
      </c>
      <c r="C12696" s="40" t="n">
        <v>-46.589044</v>
      </c>
      <c r="D12696" s="40" t="n">
        <v>368</v>
      </c>
      <c r="E12696" s="41" t="n">
        <v>12826.709</v>
      </c>
    </row>
    <row r="12697">
      <c r="A12697" s="42">
        <f>_xlfn.XLOOKUP(80404,Trip[shape_id],Trip[shape_id],"Não encontrado")</f>
        <v/>
      </c>
      <c r="B12697" s="43" t="n">
        <v>-23.545485</v>
      </c>
      <c r="C12697" s="43" t="n">
        <v>-46.591358</v>
      </c>
      <c r="D12697" s="43" t="n">
        <v>369</v>
      </c>
      <c r="E12697" s="44" t="n">
        <v>13068.413</v>
      </c>
    </row>
    <row r="12698">
      <c r="A12698" s="39">
        <f>_xlfn.XLOOKUP(80404,Trip[shape_id],Trip[shape_id],"Não encontrado")</f>
        <v/>
      </c>
      <c r="B12698" s="40" t="n">
        <v>-23.545537</v>
      </c>
      <c r="C12698" s="40" t="n">
        <v>-46.591608</v>
      </c>
      <c r="D12698" s="40" t="n">
        <v>370</v>
      </c>
      <c r="E12698" s="41" t="n">
        <v>13094.581</v>
      </c>
    </row>
    <row r="12699">
      <c r="A12699" s="42">
        <f>_xlfn.XLOOKUP(80404,Trip[shape_id],Trip[shape_id],"Não encontrado")</f>
        <v/>
      </c>
      <c r="B12699" s="43" t="n">
        <v>-23.545565</v>
      </c>
      <c r="C12699" s="43" t="n">
        <v>-46.591733</v>
      </c>
      <c r="D12699" s="43" t="n">
        <v>371</v>
      </c>
      <c r="E12699" s="44" t="n">
        <v>13107.716</v>
      </c>
    </row>
    <row r="12700">
      <c r="A12700" s="39">
        <f>_xlfn.XLOOKUP(80404,Trip[shape_id],Trip[shape_id],"Não encontrado")</f>
        <v/>
      </c>
      <c r="B12700" s="40" t="n">
        <v>-23.545588</v>
      </c>
      <c r="C12700" s="40" t="n">
        <v>-46.591894</v>
      </c>
      <c r="D12700" s="40" t="n">
        <v>372</v>
      </c>
      <c r="E12700" s="41" t="n">
        <v>13124.352</v>
      </c>
    </row>
    <row r="12701">
      <c r="A12701" s="42">
        <f>_xlfn.XLOOKUP(80404,Trip[shape_id],Trip[shape_id],"Não encontrado")</f>
        <v/>
      </c>
      <c r="B12701" s="43" t="n">
        <v>-23.545614</v>
      </c>
      <c r="C12701" s="43" t="n">
        <v>-46.592029</v>
      </c>
      <c r="D12701" s="43" t="n">
        <v>373</v>
      </c>
      <c r="E12701" s="44" t="n">
        <v>13138.434</v>
      </c>
    </row>
    <row r="12702">
      <c r="A12702" s="39">
        <f>_xlfn.XLOOKUP(80404,Trip[shape_id],Trip[shape_id],"Não encontrado")</f>
        <v/>
      </c>
      <c r="B12702" s="40" t="n">
        <v>-23.545596</v>
      </c>
      <c r="C12702" s="40" t="n">
        <v>-46.592167</v>
      </c>
      <c r="D12702" s="40" t="n">
        <v>374</v>
      </c>
      <c r="E12702" s="41" t="n">
        <v>13152.664</v>
      </c>
    </row>
    <row r="12703">
      <c r="A12703" s="42">
        <f>_xlfn.XLOOKUP(80404,Trip[shape_id],Trip[shape_id],"Não encontrado")</f>
        <v/>
      </c>
      <c r="B12703" s="43" t="n">
        <v>-23.545621</v>
      </c>
      <c r="C12703" s="43" t="n">
        <v>-46.592331</v>
      </c>
      <c r="D12703" s="43" t="n">
        <v>375</v>
      </c>
      <c r="E12703" s="44" t="n">
        <v>13169.637</v>
      </c>
    </row>
    <row r="12704">
      <c r="A12704" s="39">
        <f>_xlfn.XLOOKUP(80404,Trip[shape_id],Trip[shape_id],"Não encontrado")</f>
        <v/>
      </c>
      <c r="B12704" s="40" t="n">
        <v>-23.5455</v>
      </c>
      <c r="C12704" s="40" t="n">
        <v>-46.592446</v>
      </c>
      <c r="D12704" s="40" t="n">
        <v>376</v>
      </c>
      <c r="E12704" s="41" t="n">
        <v>13187.454</v>
      </c>
    </row>
    <row r="12705">
      <c r="A12705" s="42">
        <f>_xlfn.XLOOKUP(80404,Trip[shape_id],Trip[shape_id],"Não encontrado")</f>
        <v/>
      </c>
      <c r="B12705" s="43" t="n">
        <v>-23.545129</v>
      </c>
      <c r="C12705" s="43" t="n">
        <v>-46.592785</v>
      </c>
      <c r="D12705" s="43" t="n">
        <v>377</v>
      </c>
      <c r="E12705" s="44" t="n">
        <v>13241.18</v>
      </c>
    </row>
    <row r="12706">
      <c r="A12706" s="39">
        <f>_xlfn.XLOOKUP(80404,Trip[shape_id],Trip[shape_id],"Não encontrado")</f>
        <v/>
      </c>
      <c r="B12706" s="40" t="n">
        <v>-23.544785</v>
      </c>
      <c r="C12706" s="40" t="n">
        <v>-46.593099</v>
      </c>
      <c r="D12706" s="40" t="n">
        <v>378</v>
      </c>
      <c r="E12706" s="41" t="n">
        <v>13290.974</v>
      </c>
    </row>
    <row r="12707">
      <c r="A12707" s="42">
        <f>_xlfn.XLOOKUP(80404,Trip[shape_id],Trip[shape_id],"Não encontrado")</f>
        <v/>
      </c>
      <c r="B12707" s="43" t="n">
        <v>-23.544705</v>
      </c>
      <c r="C12707" s="43" t="n">
        <v>-46.593165</v>
      </c>
      <c r="D12707" s="43" t="n">
        <v>379</v>
      </c>
      <c r="E12707" s="44" t="n">
        <v>13302.105</v>
      </c>
    </row>
    <row r="12708">
      <c r="A12708" s="39">
        <f>_xlfn.XLOOKUP(80404,Trip[shape_id],Trip[shape_id],"Não encontrado")</f>
        <v/>
      </c>
      <c r="B12708" s="40" t="n">
        <v>-23.544523</v>
      </c>
      <c r="C12708" s="40" t="n">
        <v>-46.593299</v>
      </c>
      <c r="D12708" s="40" t="n">
        <v>380</v>
      </c>
      <c r="E12708" s="41" t="n">
        <v>13326.468</v>
      </c>
    </row>
    <row r="12709">
      <c r="A12709" s="42">
        <f>_xlfn.XLOOKUP(80404,Trip[shape_id],Trip[shape_id],"Não encontrado")</f>
        <v/>
      </c>
      <c r="B12709" s="43" t="n">
        <v>-23.54439</v>
      </c>
      <c r="C12709" s="43" t="n">
        <v>-46.593382</v>
      </c>
      <c r="D12709" s="43" t="n">
        <v>381</v>
      </c>
      <c r="E12709" s="44" t="n">
        <v>13343.462</v>
      </c>
    </row>
    <row r="12710">
      <c r="A12710" s="39">
        <f>_xlfn.XLOOKUP(80404,Trip[shape_id],Trip[shape_id],"Não encontrado")</f>
        <v/>
      </c>
      <c r="B12710" s="40" t="n">
        <v>-23.544143</v>
      </c>
      <c r="C12710" s="40" t="n">
        <v>-46.59349</v>
      </c>
      <c r="D12710" s="40" t="n">
        <v>382</v>
      </c>
      <c r="E12710" s="41" t="n">
        <v>13372.956</v>
      </c>
    </row>
    <row r="12711">
      <c r="A12711" s="42">
        <f>_xlfn.XLOOKUP(80404,Trip[shape_id],Trip[shape_id],"Não encontrado")</f>
        <v/>
      </c>
      <c r="B12711" s="43" t="n">
        <v>-23.543628</v>
      </c>
      <c r="C12711" s="43" t="n">
        <v>-46.593718</v>
      </c>
      <c r="D12711" s="43" t="n">
        <v>383</v>
      </c>
      <c r="E12711" s="44" t="n">
        <v>13434.562</v>
      </c>
    </row>
    <row r="12712">
      <c r="A12712" s="39">
        <f>_xlfn.XLOOKUP(80404,Trip[shape_id],Trip[shape_id],"Não encontrado")</f>
        <v/>
      </c>
      <c r="B12712" s="40" t="n">
        <v>-23.54333</v>
      </c>
      <c r="C12712" s="40" t="n">
        <v>-46.593842</v>
      </c>
      <c r="D12712" s="40" t="n">
        <v>384</v>
      </c>
      <c r="E12712" s="41" t="n">
        <v>13469.911</v>
      </c>
    </row>
    <row r="12713">
      <c r="A12713" s="42">
        <f>_xlfn.XLOOKUP(80404,Trip[shape_id],Trip[shape_id],"Não encontrado")</f>
        <v/>
      </c>
      <c r="B12713" s="43" t="n">
        <v>-23.542553</v>
      </c>
      <c r="C12713" s="43" t="n">
        <v>-46.594173</v>
      </c>
      <c r="D12713" s="43" t="n">
        <v>385</v>
      </c>
      <c r="E12713" s="44" t="n">
        <v>13562.364</v>
      </c>
    </row>
    <row r="12714">
      <c r="A12714" s="39">
        <f>_xlfn.XLOOKUP(80404,Trip[shape_id],Trip[shape_id],"Não encontrado")</f>
        <v/>
      </c>
      <c r="B12714" s="40" t="n">
        <v>-23.541914</v>
      </c>
      <c r="C12714" s="40" t="n">
        <v>-46.594438</v>
      </c>
      <c r="D12714" s="40" t="n">
        <v>386</v>
      </c>
      <c r="E12714" s="41" t="n">
        <v>13638.131</v>
      </c>
    </row>
    <row r="12715">
      <c r="A12715" s="42">
        <f>_xlfn.XLOOKUP(80404,Trip[shape_id],Trip[shape_id],"Não encontrado")</f>
        <v/>
      </c>
      <c r="B12715" s="43" t="n">
        <v>-23.541546</v>
      </c>
      <c r="C12715" s="43" t="n">
        <v>-46.594574</v>
      </c>
      <c r="D12715" s="43" t="n">
        <v>387</v>
      </c>
      <c r="E12715" s="44" t="n">
        <v>13681.188</v>
      </c>
    </row>
    <row r="12716">
      <c r="A12716" s="39">
        <f>_xlfn.XLOOKUP(80404,Trip[shape_id],Trip[shape_id],"Não encontrado")</f>
        <v/>
      </c>
      <c r="B12716" s="40" t="n">
        <v>-23.541508</v>
      </c>
      <c r="C12716" s="40" t="n">
        <v>-46.594504</v>
      </c>
      <c r="D12716" s="40" t="n">
        <v>388</v>
      </c>
      <c r="E12716" s="41" t="n">
        <v>13689.483</v>
      </c>
    </row>
    <row r="12717">
      <c r="A12717" s="42">
        <f>_xlfn.XLOOKUP(80404,Trip[shape_id],Trip[shape_id],"Não encontrado")</f>
        <v/>
      </c>
      <c r="B12717" s="43" t="n">
        <v>-23.541305</v>
      </c>
      <c r="C12717" s="43" t="n">
        <v>-46.593884</v>
      </c>
      <c r="D12717" s="43" t="n">
        <v>389</v>
      </c>
      <c r="E12717" s="44" t="n">
        <v>13756.665</v>
      </c>
    </row>
    <row r="12718">
      <c r="A12718" s="39">
        <f>_xlfn.XLOOKUP(80404,Trip[shape_id],Trip[shape_id],"Não encontrado")</f>
        <v/>
      </c>
      <c r="B12718" s="40" t="n">
        <v>-23.540252</v>
      </c>
      <c r="C12718" s="40" t="n">
        <v>-46.594376</v>
      </c>
      <c r="D12718" s="40" t="n">
        <v>390</v>
      </c>
      <c r="E12718" s="41" t="n">
        <v>13883.647</v>
      </c>
    </row>
    <row r="12719">
      <c r="A12719" s="42">
        <f>_xlfn.XLOOKUP(80404,Trip[shape_id],Trip[shape_id],"Não encontrado")</f>
        <v/>
      </c>
      <c r="B12719" s="43" t="n">
        <v>-23.540277</v>
      </c>
      <c r="C12719" s="43" t="n">
        <v>-46.594421</v>
      </c>
      <c r="D12719" s="43" t="n">
        <v>391</v>
      </c>
      <c r="E12719" s="44" t="n">
        <v>13889.012</v>
      </c>
    </row>
    <row r="12720">
      <c r="A12720" s="39">
        <f>_xlfn.XLOOKUP(80404,Trip[shape_id],Trip[shape_id],"Não encontrado")</f>
        <v/>
      </c>
      <c r="B12720" s="40" t="n">
        <v>-23.540577</v>
      </c>
      <c r="C12720" s="40" t="n">
        <v>-46.59498</v>
      </c>
      <c r="D12720" s="40" t="n">
        <v>392</v>
      </c>
      <c r="E12720" s="41" t="n">
        <v>13955.057</v>
      </c>
    </row>
    <row r="12721">
      <c r="A12721" s="42">
        <f>_xlfn.XLOOKUP(80404,Trip[shape_id],Trip[shape_id],"Não encontrado")</f>
        <v/>
      </c>
      <c r="B12721" s="43" t="n">
        <v>-23.541356</v>
      </c>
      <c r="C12721" s="43" t="n">
        <v>-46.596411</v>
      </c>
      <c r="D12721" s="43" t="n">
        <v>393</v>
      </c>
      <c r="E12721" s="44" t="n">
        <v>14124.745</v>
      </c>
    </row>
    <row r="12722">
      <c r="A12722" s="39">
        <f>_xlfn.XLOOKUP(80404,Trip[shape_id],Trip[shape_id],"Não encontrado")</f>
        <v/>
      </c>
      <c r="B12722" s="40" t="n">
        <v>-23.540273</v>
      </c>
      <c r="C12722" s="40" t="n">
        <v>-46.597398</v>
      </c>
      <c r="D12722" s="40" t="n">
        <v>394</v>
      </c>
      <c r="E12722" s="41" t="n">
        <v>14281.409</v>
      </c>
    </row>
    <row r="12723">
      <c r="A12723" s="42">
        <f>_xlfn.XLOOKUP(80404,Trip[shape_id],Trip[shape_id],"Não encontrado")</f>
        <v/>
      </c>
      <c r="B12723" s="43" t="n">
        <v>-23.540614</v>
      </c>
      <c r="C12723" s="43" t="n">
        <v>-46.598019</v>
      </c>
      <c r="D12723" s="43" t="n">
        <v>395</v>
      </c>
      <c r="E12723" s="44" t="n">
        <v>14355.214</v>
      </c>
    </row>
    <row r="12724">
      <c r="A12724" s="39">
        <f>_xlfn.XLOOKUP(80404,Trip[shape_id],Trip[shape_id],"Não encontrado")</f>
        <v/>
      </c>
      <c r="B12724" s="40" t="n">
        <v>-23.540575</v>
      </c>
      <c r="C12724" s="40" t="n">
        <v>-46.598084</v>
      </c>
      <c r="D12724" s="40" t="n">
        <v>396</v>
      </c>
      <c r="E12724" s="41" t="n">
        <v>14363.133</v>
      </c>
    </row>
    <row r="12725">
      <c r="A12725" s="42">
        <f>_xlfn.XLOOKUP(80404,Trip[shape_id],Trip[shape_id],"Não encontrado")</f>
        <v/>
      </c>
      <c r="B12725" s="43" t="n">
        <v>-23.540484</v>
      </c>
      <c r="C12725" s="43" t="n">
        <v>-46.59813</v>
      </c>
      <c r="D12725" s="43" t="n">
        <v>397</v>
      </c>
      <c r="E12725" s="44" t="n">
        <v>14374.252</v>
      </c>
    </row>
    <row r="12726">
      <c r="A12726" s="39">
        <f>_xlfn.XLOOKUP(80404,Trip[shape_id],Trip[shape_id],"Não encontrado")</f>
        <v/>
      </c>
      <c r="B12726" s="40" t="n">
        <v>-23.540303</v>
      </c>
      <c r="C12726" s="40" t="n">
        <v>-46.598199</v>
      </c>
      <c r="D12726" s="40" t="n">
        <v>398</v>
      </c>
      <c r="E12726" s="41" t="n">
        <v>14395.5</v>
      </c>
    </row>
    <row r="12727">
      <c r="A12727" s="42">
        <f>_xlfn.XLOOKUP(80404,Trip[shape_id],Trip[shape_id],"Não encontrado")</f>
        <v/>
      </c>
      <c r="B12727" s="43" t="n">
        <v>-23.539971</v>
      </c>
      <c r="C12727" s="43" t="n">
        <v>-46.598328</v>
      </c>
      <c r="D12727" s="43" t="n">
        <v>399</v>
      </c>
      <c r="E12727" s="44" t="n">
        <v>14434.558</v>
      </c>
    </row>
    <row r="12728">
      <c r="A12728" s="39">
        <f>_xlfn.XLOOKUP(80404,Trip[shape_id],Trip[shape_id],"Não encontrado")</f>
        <v/>
      </c>
      <c r="B12728" s="40" t="n">
        <v>-23.53971</v>
      </c>
      <c r="C12728" s="40" t="n">
        <v>-46.598414</v>
      </c>
      <c r="D12728" s="40" t="n">
        <v>400</v>
      </c>
      <c r="E12728" s="41" t="n">
        <v>14464.769</v>
      </c>
    </row>
    <row r="12729">
      <c r="A12729" s="42">
        <f>_xlfn.XLOOKUP(80404,Trip[shape_id],Trip[shape_id],"Não encontrado")</f>
        <v/>
      </c>
      <c r="B12729" s="43" t="n">
        <v>-23.539146</v>
      </c>
      <c r="C12729" s="43" t="n">
        <v>-46.59864</v>
      </c>
      <c r="D12729" s="43" t="n">
        <v>401</v>
      </c>
      <c r="E12729" s="44" t="n">
        <v>14531.359</v>
      </c>
    </row>
    <row r="12730">
      <c r="A12730" s="39">
        <f>_xlfn.XLOOKUP(80404,Trip[shape_id],Trip[shape_id],"Não encontrado")</f>
        <v/>
      </c>
      <c r="B12730" s="40" t="n">
        <v>-23.538205</v>
      </c>
      <c r="C12730" s="40" t="n">
        <v>-46.59899</v>
      </c>
      <c r="D12730" s="40" t="n">
        <v>402</v>
      </c>
      <c r="E12730" s="41" t="n">
        <v>14641.534</v>
      </c>
    </row>
    <row r="12731">
      <c r="A12731" s="42">
        <f>_xlfn.XLOOKUP(80404,Trip[shape_id],Trip[shape_id],"Não encontrado")</f>
        <v/>
      </c>
      <c r="B12731" s="43" t="n">
        <v>-23.538159</v>
      </c>
      <c r="C12731" s="43" t="n">
        <v>-46.598992</v>
      </c>
      <c r="D12731" s="43" t="n">
        <v>403</v>
      </c>
      <c r="E12731" s="44" t="n">
        <v>14646.633</v>
      </c>
    </row>
    <row r="12732">
      <c r="A12732" s="39">
        <f>_xlfn.XLOOKUP(80404,Trip[shape_id],Trip[shape_id],"Não encontrado")</f>
        <v/>
      </c>
      <c r="B12732" s="40" t="n">
        <v>-23.538087</v>
      </c>
      <c r="C12732" s="40" t="n">
        <v>-46.598964</v>
      </c>
      <c r="D12732" s="40" t="n">
        <v>404</v>
      </c>
      <c r="E12732" s="41" t="n">
        <v>14655.104</v>
      </c>
    </row>
    <row r="12733">
      <c r="A12733" s="42">
        <f>_xlfn.XLOOKUP(80404,Trip[shape_id],Trip[shape_id],"Não encontrado")</f>
        <v/>
      </c>
      <c r="B12733" s="43" t="n">
        <v>-23.538024</v>
      </c>
      <c r="C12733" s="43" t="n">
        <v>-46.598953</v>
      </c>
      <c r="D12733" s="43" t="n">
        <v>405</v>
      </c>
      <c r="E12733" s="44" t="n">
        <v>14670.224</v>
      </c>
    </row>
    <row r="12734">
      <c r="A12734" s="39">
        <f>_xlfn.XLOOKUP(80404,Trip[shape_id],Trip[shape_id],"Não encontrado")</f>
        <v/>
      </c>
      <c r="B12734" s="40" t="n">
        <v>-23.537953</v>
      </c>
      <c r="C12734" s="40" t="n">
        <v>-46.59897</v>
      </c>
      <c r="D12734" s="40" t="n">
        <v>406</v>
      </c>
      <c r="E12734" s="41" t="n">
        <v>14738.523</v>
      </c>
    </row>
    <row r="12735">
      <c r="A12735" s="42">
        <f>_xlfn.XLOOKUP(80404,Trip[shape_id],Trip[shape_id],"Não encontrado")</f>
        <v/>
      </c>
      <c r="B12735" s="43" t="n">
        <v>-23.537381</v>
      </c>
      <c r="C12735" s="43" t="n">
        <v>-46.59922</v>
      </c>
      <c r="D12735" s="43" t="n">
        <v>407</v>
      </c>
      <c r="E12735" s="44" t="n">
        <v>14772.682</v>
      </c>
    </row>
    <row r="12736">
      <c r="A12736" s="39">
        <f>_xlfn.XLOOKUP(80404,Trip[shape_id],Trip[shape_id],"Não encontrado")</f>
        <v/>
      </c>
      <c r="B12736" s="40" t="n">
        <v>-23.537098</v>
      </c>
      <c r="C12736" s="40" t="n">
        <v>-46.599353</v>
      </c>
      <c r="D12736" s="40" t="n">
        <v>408</v>
      </c>
      <c r="E12736" s="41" t="n">
        <v>14820.041</v>
      </c>
    </row>
    <row r="12737">
      <c r="A12737" s="42">
        <f>_xlfn.XLOOKUP(80404,Trip[shape_id],Trip[shape_id],"Não encontrado")</f>
        <v/>
      </c>
      <c r="B12737" s="43" t="n">
        <v>-23.536694</v>
      </c>
      <c r="C12737" s="43" t="n">
        <v>-46.599505</v>
      </c>
      <c r="D12737" s="43" t="n">
        <v>409</v>
      </c>
      <c r="E12737" s="44" t="n">
        <v>14820.041</v>
      </c>
    </row>
    <row r="12738">
      <c r="A12738" s="39">
        <f>_xlfn.XLOOKUP(80404,Trip[shape_id],Trip[shape_id],"Não encontrado")</f>
        <v/>
      </c>
      <c r="B12738" s="40" t="n">
        <v>-23.53658</v>
      </c>
      <c r="C12738" s="40" t="n">
        <v>-46.599546</v>
      </c>
      <c r="D12738" s="40" t="n">
        <v>410</v>
      </c>
      <c r="E12738" s="41" t="n">
        <v>14833.343</v>
      </c>
    </row>
    <row r="12739">
      <c r="A12739" s="42">
        <f>_xlfn.XLOOKUP(80404,Trip[shape_id],Trip[shape_id],"Não encontrado")</f>
        <v/>
      </c>
      <c r="B12739" s="43" t="n">
        <v>-23.535998</v>
      </c>
      <c r="C12739" s="43" t="n">
        <v>-46.599837</v>
      </c>
      <c r="D12739" s="43" t="n">
        <v>411</v>
      </c>
      <c r="E12739" s="44" t="n">
        <v>14904.319</v>
      </c>
    </row>
    <row r="12740">
      <c r="A12740" s="39">
        <f>_xlfn.XLOOKUP(80404,Trip[shape_id],Trip[shape_id],"Não encontrado")</f>
        <v/>
      </c>
      <c r="B12740" s="40" t="n">
        <v>-23.535136</v>
      </c>
      <c r="C12740" s="40" t="n">
        <v>-46.600229</v>
      </c>
      <c r="D12740" s="40" t="n">
        <v>412</v>
      </c>
      <c r="E12740" s="41" t="n">
        <v>15007.84</v>
      </c>
    </row>
    <row r="12741">
      <c r="A12741" s="42">
        <f>_xlfn.XLOOKUP(80404,Trip[shape_id],Trip[shape_id],"Não encontrado")</f>
        <v/>
      </c>
      <c r="B12741" s="43" t="n">
        <v>-23.534691</v>
      </c>
      <c r="C12741" s="43" t="n">
        <v>-46.600427</v>
      </c>
      <c r="D12741" s="43" t="n">
        <v>413</v>
      </c>
      <c r="E12741" s="44" t="n">
        <v>15140.132</v>
      </c>
    </row>
    <row r="12742">
      <c r="A12742" s="39">
        <f>_xlfn.XLOOKUP(80404,Trip[shape_id],Trip[shape_id],"Não encontrado")</f>
        <v/>
      </c>
      <c r="B12742" s="40" t="n">
        <v>-23.534031</v>
      </c>
      <c r="C12742" s="40" t="n">
        <v>-46.600721</v>
      </c>
      <c r="D12742" s="40" t="n">
        <v>414</v>
      </c>
      <c r="E12742" s="41" t="n">
        <v>15140.132</v>
      </c>
    </row>
    <row r="12743">
      <c r="A12743" s="42">
        <f>_xlfn.XLOOKUP(80404,Trip[shape_id],Trip[shape_id],"Não encontrado")</f>
        <v/>
      </c>
      <c r="B12743" s="43" t="n">
        <v>-23.533477</v>
      </c>
      <c r="C12743" s="43" t="n">
        <v>-46.600971</v>
      </c>
      <c r="D12743" s="43" t="n">
        <v>415</v>
      </c>
      <c r="E12743" s="44" t="n">
        <v>15206.587</v>
      </c>
    </row>
    <row r="12744">
      <c r="A12744" s="39">
        <f>_xlfn.XLOOKUP(80404,Trip[shape_id],Trip[shape_id],"Não encontrado")</f>
        <v/>
      </c>
      <c r="B12744" s="40" t="n">
        <v>-23.533383</v>
      </c>
      <c r="C12744" s="40" t="n">
        <v>-46.601012</v>
      </c>
      <c r="D12744" s="40" t="n">
        <v>416</v>
      </c>
      <c r="E12744" s="41" t="n">
        <v>15279.209</v>
      </c>
    </row>
    <row r="12745">
      <c r="A12745" s="42">
        <f>_xlfn.XLOOKUP(80404,Trip[shape_id],Trip[shape_id],"Não encontrado")</f>
        <v/>
      </c>
      <c r="B12745" s="43" t="n">
        <v>-23.53287</v>
      </c>
      <c r="C12745" s="43" t="n">
        <v>-46.60124</v>
      </c>
      <c r="D12745" s="43" t="n">
        <v>417</v>
      </c>
      <c r="E12745" s="44" t="n">
        <v>15279.209</v>
      </c>
    </row>
    <row r="12746">
      <c r="A12746" s="39">
        <f>_xlfn.XLOOKUP(80404,Trip[shape_id],Trip[shape_id],"Não encontrado")</f>
        <v/>
      </c>
      <c r="B12746" s="40" t="n">
        <v>-23.531553</v>
      </c>
      <c r="C12746" s="40" t="n">
        <v>-46.601807</v>
      </c>
      <c r="D12746" s="40" t="n">
        <v>418</v>
      </c>
      <c r="E12746" s="41" t="n">
        <v>15498.248</v>
      </c>
    </row>
    <row r="12747">
      <c r="A12747" s="42">
        <f>_xlfn.XLOOKUP(80404,Trip[shape_id],Trip[shape_id],"Não encontrado")</f>
        <v/>
      </c>
      <c r="B12747" s="43" t="n">
        <v>-23.531032</v>
      </c>
      <c r="C12747" s="43" t="n">
        <v>-46.602032</v>
      </c>
      <c r="D12747" s="43" t="n">
        <v>419</v>
      </c>
      <c r="E12747" s="44" t="n">
        <v>15498.248</v>
      </c>
    </row>
    <row r="12748">
      <c r="A12748" s="39">
        <f>_xlfn.XLOOKUP(80404,Trip[shape_id],Trip[shape_id],"Não encontrado")</f>
        <v/>
      </c>
      <c r="B12748" s="40" t="n">
        <v>-23.530861</v>
      </c>
      <c r="C12748" s="40" t="n">
        <v>-46.602105</v>
      </c>
      <c r="D12748" s="40" t="n">
        <v>420</v>
      </c>
      <c r="E12748" s="41" t="n">
        <v>15518.601</v>
      </c>
    </row>
    <row r="12749">
      <c r="A12749" s="42">
        <f>_xlfn.XLOOKUP(80404,Trip[shape_id],Trip[shape_id],"Não encontrado")</f>
        <v/>
      </c>
      <c r="B12749" s="43" t="n">
        <v>-23.530677</v>
      </c>
      <c r="C12749" s="43" t="n">
        <v>-46.602127</v>
      </c>
      <c r="D12749" s="43" t="n">
        <v>421</v>
      </c>
      <c r="E12749" s="44" t="n">
        <v>15539.103</v>
      </c>
    </row>
    <row r="12750">
      <c r="A12750" s="39">
        <f>_xlfn.XLOOKUP(80404,Trip[shape_id],Trip[shape_id],"Não encontrado")</f>
        <v/>
      </c>
      <c r="B12750" s="40" t="n">
        <v>-23.530861</v>
      </c>
      <c r="C12750" s="40" t="n">
        <v>-46.602105</v>
      </c>
      <c r="D12750" s="40" t="n">
        <v>422</v>
      </c>
      <c r="E12750" s="41" t="n">
        <v>15559.604</v>
      </c>
    </row>
    <row r="12751">
      <c r="A12751" s="42">
        <f>_xlfn.XLOOKUP(80404,Trip[shape_id],Trip[shape_id],"Não encontrado")</f>
        <v/>
      </c>
      <c r="B12751" s="43" t="n">
        <v>-23.530822</v>
      </c>
      <c r="C12751" s="43" t="n">
        <v>-46.601949</v>
      </c>
      <c r="D12751" s="43" t="n">
        <v>423</v>
      </c>
      <c r="E12751" s="44" t="n">
        <v>15658.139</v>
      </c>
    </row>
    <row r="12752">
      <c r="A12752" s="39">
        <f>_xlfn.XLOOKUP(80404,Trip[shape_id],Trip[shape_id],"Não encontrado")</f>
        <v/>
      </c>
      <c r="B12752" s="40" t="n">
        <v>-23.530693</v>
      </c>
      <c r="C12752" s="40" t="n">
        <v>-46.601158</v>
      </c>
      <c r="D12752" s="40" t="n">
        <v>424</v>
      </c>
      <c r="E12752" s="41" t="n">
        <v>15689.611</v>
      </c>
    </row>
    <row r="12753">
      <c r="A12753" s="42">
        <f>_xlfn.XLOOKUP(80404,Trip[shape_id],Trip[shape_id],"Não encontrado")</f>
        <v/>
      </c>
      <c r="B12753" s="43" t="n">
        <v>-23.530641</v>
      </c>
      <c r="C12753" s="43" t="n">
        <v>-46.600855</v>
      </c>
      <c r="D12753" s="43" t="n">
        <v>425</v>
      </c>
      <c r="E12753" s="44" t="n">
        <v>15723.572</v>
      </c>
    </row>
    <row r="12754">
      <c r="A12754" s="39">
        <f>_xlfn.XLOOKUP(80404,Trip[shape_id],Trip[shape_id],"Não encontrado")</f>
        <v/>
      </c>
      <c r="B12754" s="40" t="n">
        <v>-23.530603</v>
      </c>
      <c r="C12754" s="40" t="n">
        <v>-46.600525</v>
      </c>
      <c r="D12754" s="40" t="n">
        <v>426</v>
      </c>
      <c r="E12754" s="41" t="n">
        <v>15735.774</v>
      </c>
    </row>
    <row r="12755">
      <c r="A12755" s="42">
        <f>_xlfn.XLOOKUP(80404,Trip[shape_id],Trip[shape_id],"Não encontrado")</f>
        <v/>
      </c>
      <c r="B12755" s="43" t="n">
        <v>-23.530593</v>
      </c>
      <c r="C12755" s="43" t="n">
        <v>-46.600406</v>
      </c>
      <c r="D12755" s="43" t="n">
        <v>427</v>
      </c>
      <c r="E12755" s="44" t="n">
        <v>15735.774</v>
      </c>
    </row>
    <row r="12756">
      <c r="A12756" s="39">
        <f>_xlfn.XLOOKUP(80404,Trip[shape_id],Trip[shape_id],"Não encontrado")</f>
        <v/>
      </c>
      <c r="B12756" s="40" t="n">
        <v>-23.530593</v>
      </c>
      <c r="C12756" s="40" t="n">
        <v>-46.600281</v>
      </c>
      <c r="D12756" s="40" t="n">
        <v>428</v>
      </c>
      <c r="E12756" s="41" t="n">
        <v>15770.805</v>
      </c>
    </row>
    <row r="12757">
      <c r="A12757" s="42">
        <f>_xlfn.XLOOKUP(80404,Trip[shape_id],Trip[shape_id],"Não encontrado")</f>
        <v/>
      </c>
      <c r="B12757" s="43" t="n">
        <v>-23.530597</v>
      </c>
      <c r="C12757" s="43" t="n">
        <v>-46.600063</v>
      </c>
      <c r="D12757" s="43" t="n">
        <v>429</v>
      </c>
      <c r="E12757" s="44" t="n">
        <v>15796.336</v>
      </c>
    </row>
    <row r="12758">
      <c r="A12758" s="39">
        <f>_xlfn.XLOOKUP(80404,Trip[shape_id],Trip[shape_id],"Não encontrado")</f>
        <v/>
      </c>
      <c r="B12758" s="40" t="n">
        <v>-23.5306</v>
      </c>
      <c r="C12758" s="40" t="n">
        <v>-46.599813</v>
      </c>
      <c r="D12758" s="40" t="n">
        <v>430</v>
      </c>
      <c r="E12758" s="41" t="n">
        <v>15823.301</v>
      </c>
    </row>
    <row r="12759">
      <c r="A12759" s="42">
        <f>_xlfn.XLOOKUP(80404,Trip[shape_id],Trip[shape_id],"Não encontrado")</f>
        <v/>
      </c>
      <c r="B12759" s="43" t="n">
        <v>-23.530605</v>
      </c>
      <c r="C12759" s="43" t="n">
        <v>-46.599549</v>
      </c>
      <c r="D12759" s="43" t="n">
        <v>431</v>
      </c>
      <c r="E12759" s="44" t="n">
        <v>15839.748</v>
      </c>
    </row>
    <row r="12760">
      <c r="A12760" s="39">
        <f>_xlfn.XLOOKUP(80404,Trip[shape_id],Trip[shape_id],"Não encontrado")</f>
        <v/>
      </c>
      <c r="B12760" s="40" t="n">
        <v>-23.530588</v>
      </c>
      <c r="C12760" s="40" t="n">
        <v>-46.599389</v>
      </c>
      <c r="D12760" s="40" t="n">
        <v>432</v>
      </c>
      <c r="E12760" s="41" t="n">
        <v>15855.708</v>
      </c>
    </row>
    <row r="12761">
      <c r="A12761" s="42">
        <f>_xlfn.XLOOKUP(80404,Trip[shape_id],Trip[shape_id],"Não encontrado")</f>
        <v/>
      </c>
      <c r="B12761" s="43" t="n">
        <v>-23.530508</v>
      </c>
      <c r="C12761" s="43" t="n">
        <v>-46.599259</v>
      </c>
      <c r="D12761" s="43" t="n">
        <v>433</v>
      </c>
      <c r="E12761" s="44" t="n">
        <v>15855.708</v>
      </c>
    </row>
    <row r="12762">
      <c r="A12762" s="39">
        <f>_xlfn.XLOOKUP(80404,Trip[shape_id],Trip[shape_id],"Não encontrado")</f>
        <v/>
      </c>
      <c r="B12762" s="40" t="n">
        <v>-23.529985</v>
      </c>
      <c r="C12762" s="40" t="n">
        <v>-46.598802</v>
      </c>
      <c r="D12762" s="40" t="n">
        <v>434</v>
      </c>
      <c r="E12762" s="41" t="n">
        <v>16006.817</v>
      </c>
    </row>
    <row r="12763">
      <c r="A12763" s="42">
        <f>_xlfn.XLOOKUP(80404,Trip[shape_id],Trip[shape_id],"Não encontrado")</f>
        <v/>
      </c>
      <c r="B12763" s="43" t="n">
        <v>-23.529433</v>
      </c>
      <c r="C12763" s="43" t="n">
        <v>-46.598348</v>
      </c>
      <c r="D12763" s="43" t="n">
        <v>435</v>
      </c>
      <c r="E12763" s="44" t="n">
        <v>16006.817</v>
      </c>
    </row>
    <row r="12764">
      <c r="A12764" s="39">
        <f>_xlfn.XLOOKUP(80404,Trip[shape_id],Trip[shape_id],"Não encontrado")</f>
        <v/>
      </c>
      <c r="B12764" s="40" t="n">
        <v>-23.529163</v>
      </c>
      <c r="C12764" s="40" t="n">
        <v>-46.598142</v>
      </c>
      <c r="D12764" s="40" t="n">
        <v>436</v>
      </c>
      <c r="E12764" s="41" t="n">
        <v>16091.864</v>
      </c>
    </row>
    <row r="12765">
      <c r="A12765" s="42">
        <f>_xlfn.XLOOKUP(80404,Trip[shape_id],Trip[shape_id],"Não encontrado")</f>
        <v/>
      </c>
      <c r="B12765" s="43" t="n">
        <v>-23.528801</v>
      </c>
      <c r="C12765" s="43" t="n">
        <v>-46.597875</v>
      </c>
      <c r="D12765" s="43" t="n">
        <v>437</v>
      </c>
      <c r="E12765" s="44" t="n">
        <v>16091.864</v>
      </c>
    </row>
    <row r="12766">
      <c r="A12766" s="39">
        <f>_xlfn.XLOOKUP(80404,Trip[shape_id],Trip[shape_id],"Não encontrado")</f>
        <v/>
      </c>
      <c r="B12766" s="40" t="n">
        <v>-23.528639</v>
      </c>
      <c r="C12766" s="40" t="n">
        <v>-46.597752</v>
      </c>
      <c r="D12766" s="40" t="n">
        <v>438</v>
      </c>
      <c r="E12766" s="41" t="n">
        <v>16113.766</v>
      </c>
    </row>
    <row r="12767">
      <c r="A12767" s="42">
        <f>_xlfn.XLOOKUP(80404,Trip[shape_id],Trip[shape_id],"Não encontrado")</f>
        <v/>
      </c>
      <c r="B12767" s="43" t="n">
        <v>-23.528455</v>
      </c>
      <c r="C12767" s="43" t="n">
        <v>-46.597618</v>
      </c>
      <c r="D12767" s="43" t="n">
        <v>439</v>
      </c>
      <c r="E12767" s="44" t="n">
        <v>16138.313</v>
      </c>
    </row>
    <row r="12768">
      <c r="A12768" s="39">
        <f>_xlfn.XLOOKUP(80404,Trip[shape_id],Trip[shape_id],"Não encontrado")</f>
        <v/>
      </c>
      <c r="B12768" s="40" t="n">
        <v>-23.527959</v>
      </c>
      <c r="C12768" s="40" t="n">
        <v>-46.597229</v>
      </c>
      <c r="D12768" s="40" t="n">
        <v>440</v>
      </c>
      <c r="E12768" s="41" t="n">
        <v>16226.118</v>
      </c>
    </row>
    <row r="12769">
      <c r="A12769" s="42">
        <f>_xlfn.XLOOKUP(80404,Trip[shape_id],Trip[shape_id],"Não encontrado")</f>
        <v/>
      </c>
      <c r="B12769" s="43" t="n">
        <v>-23.527812</v>
      </c>
      <c r="C12769" s="43" t="n">
        <v>-46.597115</v>
      </c>
      <c r="D12769" s="43" t="n">
        <v>441</v>
      </c>
      <c r="E12769" s="44" t="n">
        <v>16226.118</v>
      </c>
    </row>
    <row r="12770">
      <c r="A12770" s="39">
        <f>_xlfn.XLOOKUP(80404,Trip[shape_id],Trip[shape_id],"Não encontrado")</f>
        <v/>
      </c>
      <c r="B12770" s="40" t="n">
        <v>-23.527392</v>
      </c>
      <c r="C12770" s="40" t="n">
        <v>-46.596787</v>
      </c>
      <c r="D12770" s="40" t="n">
        <v>442</v>
      </c>
      <c r="E12770" s="41" t="n">
        <v>16371.514</v>
      </c>
    </row>
    <row r="12771">
      <c r="A12771" s="42">
        <f>_xlfn.XLOOKUP(80404,Trip[shape_id],Trip[shape_id],"Não encontrado")</f>
        <v/>
      </c>
      <c r="B12771" s="43" t="n">
        <v>-23.526746</v>
      </c>
      <c r="C12771" s="43" t="n">
        <v>-46.596284</v>
      </c>
      <c r="D12771" s="43" t="n">
        <v>443</v>
      </c>
      <c r="E12771" s="44" t="n">
        <v>16443.123</v>
      </c>
    </row>
    <row r="12772">
      <c r="A12772" s="39">
        <f>_xlfn.XLOOKUP(80404,Trip[shape_id],Trip[shape_id],"Não encontrado")</f>
        <v/>
      </c>
      <c r="B12772" s="40" t="n">
        <v>-23.526231</v>
      </c>
      <c r="C12772" s="40" t="n">
        <v>-46.59586</v>
      </c>
      <c r="D12772" s="40" t="n">
        <v>444</v>
      </c>
      <c r="E12772" s="41" t="n">
        <v>16443.123</v>
      </c>
    </row>
    <row r="12773">
      <c r="A12773" s="42">
        <f>_xlfn.XLOOKUP(80404,Trip[shape_id],Trip[shape_id],"Não encontrado")</f>
        <v/>
      </c>
      <c r="B12773" s="43" t="n">
        <v>-23.526187</v>
      </c>
      <c r="C12773" s="43" t="n">
        <v>-46.595783</v>
      </c>
      <c r="D12773" s="43" t="n">
        <v>445</v>
      </c>
      <c r="E12773" s="44" t="n">
        <v>16452.373</v>
      </c>
    </row>
    <row r="12774">
      <c r="A12774" s="39">
        <f>_xlfn.XLOOKUP(80404,Trip[shape_id],Trip[shape_id],"Não encontrado")</f>
        <v/>
      </c>
      <c r="B12774" s="40" t="n">
        <v>-23.525285</v>
      </c>
      <c r="C12774" s="40" t="n">
        <v>-46.595069</v>
      </c>
      <c r="D12774" s="40" t="n">
        <v>446</v>
      </c>
      <c r="E12774" s="41" t="n">
        <v>16576.051</v>
      </c>
    </row>
    <row r="12775">
      <c r="A12775" s="42">
        <f>_xlfn.XLOOKUP(80404,Trip[shape_id],Trip[shape_id],"Não encontrado")</f>
        <v/>
      </c>
      <c r="B12775" s="43" t="n">
        <v>-23.52459</v>
      </c>
      <c r="C12775" s="43" t="n">
        <v>-46.594506</v>
      </c>
      <c r="D12775" s="43" t="n">
        <v>447</v>
      </c>
      <c r="E12775" s="44" t="n">
        <v>16719.932</v>
      </c>
    </row>
    <row r="12776">
      <c r="A12776" s="39">
        <f>_xlfn.XLOOKUP(80404,Trip[shape_id],Trip[shape_id],"Não encontrado")</f>
        <v/>
      </c>
      <c r="B12776" s="40" t="n">
        <v>-23.52424</v>
      </c>
      <c r="C12776" s="40" t="n">
        <v>-46.594232</v>
      </c>
      <c r="D12776" s="40" t="n">
        <v>448</v>
      </c>
      <c r="E12776" s="41" t="n">
        <v>16793.26</v>
      </c>
    </row>
    <row r="12777">
      <c r="A12777" s="42">
        <f>_xlfn.XLOOKUP(80404,Trip[shape_id],Trip[shape_id],"Não encontrado")</f>
        <v/>
      </c>
      <c r="B12777" s="43" t="n">
        <v>-23.523701</v>
      </c>
      <c r="C12777" s="43" t="n">
        <v>-46.593815</v>
      </c>
      <c r="D12777" s="43" t="n">
        <v>449</v>
      </c>
      <c r="E12777" s="44" t="n">
        <v>16793.26</v>
      </c>
    </row>
    <row r="12778">
      <c r="A12778" s="39">
        <f>_xlfn.XLOOKUP(80404,Trip[shape_id],Trip[shape_id],"Não encontrado")</f>
        <v/>
      </c>
      <c r="B12778" s="40" t="n">
        <v>-23.522471</v>
      </c>
      <c r="C12778" s="40" t="n">
        <v>-46.592852</v>
      </c>
      <c r="D12778" s="40" t="n">
        <v>450</v>
      </c>
      <c r="E12778" s="41" t="n">
        <v>16961.273</v>
      </c>
    </row>
    <row r="12779">
      <c r="A12779" s="42">
        <f>_xlfn.XLOOKUP(80404,Trip[shape_id],Trip[shape_id],"Não encontrado")</f>
        <v/>
      </c>
      <c r="B12779" s="43" t="n">
        <v>-23.521249</v>
      </c>
      <c r="C12779" s="43" t="n">
        <v>-46.591893</v>
      </c>
      <c r="D12779" s="43" t="n">
        <v>451</v>
      </c>
      <c r="E12779" s="44" t="n">
        <v>17128.33</v>
      </c>
    </row>
    <row r="12780">
      <c r="A12780" s="39">
        <f>_xlfn.XLOOKUP(80404,Trip[shape_id],Trip[shape_id],"Não encontrado")</f>
        <v/>
      </c>
      <c r="B12780" s="40" t="n">
        <v>-23.520738</v>
      </c>
      <c r="C12780" s="40" t="n">
        <v>-46.591499</v>
      </c>
      <c r="D12780" s="40" t="n">
        <v>452</v>
      </c>
      <c r="E12780" s="41" t="n">
        <v>17293.984</v>
      </c>
    </row>
    <row r="12781">
      <c r="A12781" s="42">
        <f>_xlfn.XLOOKUP(80404,Trip[shape_id],Trip[shape_id],"Não encontrado")</f>
        <v/>
      </c>
      <c r="B12781" s="43" t="n">
        <v>-23.520032</v>
      </c>
      <c r="C12781" s="43" t="n">
        <v>-46.59095</v>
      </c>
      <c r="D12781" s="43" t="n">
        <v>453</v>
      </c>
      <c r="E12781" s="44" t="n">
        <v>17293.984</v>
      </c>
    </row>
    <row r="12782">
      <c r="A12782" s="39">
        <f>_xlfn.XLOOKUP(80404,Trip[shape_id],Trip[shape_id],"Não encontrado")</f>
        <v/>
      </c>
      <c r="B12782" s="40" t="n">
        <v>-23.519479</v>
      </c>
      <c r="C12782" s="40" t="n">
        <v>-46.590507</v>
      </c>
      <c r="D12782" s="40" t="n">
        <v>454</v>
      </c>
      <c r="E12782" s="41" t="n">
        <v>17462.248</v>
      </c>
    </row>
    <row r="12783">
      <c r="A12783" s="42">
        <f>_xlfn.XLOOKUP(80404,Trip[shape_id],Trip[shape_id],"Não encontrado")</f>
        <v/>
      </c>
      <c r="B12783" s="43" t="n">
        <v>-23.5188</v>
      </c>
      <c r="C12783" s="43" t="n">
        <v>-46.589986</v>
      </c>
      <c r="D12783" s="43" t="n">
        <v>455</v>
      </c>
      <c r="E12783" s="44" t="n">
        <v>17462.248</v>
      </c>
    </row>
    <row r="12784">
      <c r="A12784" s="39">
        <f>_xlfn.XLOOKUP(80404,Trip[shape_id],Trip[shape_id],"Não encontrado")</f>
        <v/>
      </c>
      <c r="B12784" s="40" t="n">
        <v>-23.518642</v>
      </c>
      <c r="C12784" s="40" t="n">
        <v>-46.589855</v>
      </c>
      <c r="D12784" s="40" t="n">
        <v>456</v>
      </c>
      <c r="E12784" s="41" t="n">
        <v>17629.285</v>
      </c>
    </row>
    <row r="12785">
      <c r="A12785" s="42">
        <f>_xlfn.XLOOKUP(80404,Trip[shape_id],Trip[shape_id],"Não encontrado")</f>
        <v/>
      </c>
      <c r="B12785" s="43" t="n">
        <v>-23.517581</v>
      </c>
      <c r="C12785" s="43" t="n">
        <v>-46.589023</v>
      </c>
      <c r="D12785" s="43" t="n">
        <v>457</v>
      </c>
      <c r="E12785" s="44" t="n">
        <v>17629.285</v>
      </c>
    </row>
    <row r="12786">
      <c r="A12786" s="39">
        <f>_xlfn.XLOOKUP(80404,Trip[shape_id],Trip[shape_id],"Não encontrado")</f>
        <v/>
      </c>
      <c r="B12786" s="40" t="n">
        <v>-23.517552</v>
      </c>
      <c r="C12786" s="40" t="n">
        <v>-46.588994</v>
      </c>
      <c r="D12786" s="40" t="n">
        <v>458</v>
      </c>
      <c r="E12786" s="41" t="n">
        <v>17794.281</v>
      </c>
    </row>
    <row r="12787">
      <c r="A12787" s="42">
        <f>_xlfn.XLOOKUP(80404,Trip[shape_id],Trip[shape_id],"Não encontrado")</f>
        <v/>
      </c>
      <c r="B12787" s="43" t="n">
        <v>-23.516379</v>
      </c>
      <c r="C12787" s="43" t="n">
        <v>-46.588069</v>
      </c>
      <c r="D12787" s="43" t="n">
        <v>459</v>
      </c>
      <c r="E12787" s="44" t="n">
        <v>17794.281</v>
      </c>
    </row>
    <row r="12788">
      <c r="A12788" s="39">
        <f>_xlfn.XLOOKUP(80404,Trip[shape_id],Trip[shape_id],"Não encontrado")</f>
        <v/>
      </c>
      <c r="B12788" s="40" t="n">
        <v>-23.515923</v>
      </c>
      <c r="C12788" s="40" t="n">
        <v>-46.587717</v>
      </c>
      <c r="D12788" s="40" t="n">
        <v>460</v>
      </c>
      <c r="E12788" s="41" t="n">
        <v>17908.717</v>
      </c>
    </row>
    <row r="12789">
      <c r="A12789" s="42">
        <f>_xlfn.XLOOKUP(80404,Trip[shape_id],Trip[shape_id],"Não encontrado")</f>
        <v/>
      </c>
      <c r="B12789" s="43" t="n">
        <v>-23.515538</v>
      </c>
      <c r="C12789" s="43" t="n">
        <v>-46.587418</v>
      </c>
      <c r="D12789" s="43" t="n">
        <v>461</v>
      </c>
      <c r="E12789" s="44" t="n">
        <v>17908.717</v>
      </c>
    </row>
    <row r="12790">
      <c r="A12790" s="39">
        <f>_xlfn.XLOOKUP(80404,Trip[shape_id],Trip[shape_id],"Não encontrado")</f>
        <v/>
      </c>
      <c r="B12790" s="40" t="n">
        <v>-23.515141</v>
      </c>
      <c r="C12790" s="40" t="n">
        <v>-46.587092</v>
      </c>
      <c r="D12790" s="40" t="n">
        <v>462</v>
      </c>
      <c r="E12790" s="41" t="n">
        <v>17963.869</v>
      </c>
    </row>
    <row r="12791">
      <c r="A12791" s="42">
        <f>_xlfn.XLOOKUP(80404,Trip[shape_id],Trip[shape_id],"Não encontrado")</f>
        <v/>
      </c>
      <c r="B12791" s="43" t="n">
        <v>-23.514765</v>
      </c>
      <c r="C12791" s="43" t="n">
        <v>-46.586793</v>
      </c>
      <c r="D12791" s="43" t="n">
        <v>463</v>
      </c>
      <c r="E12791" s="44" t="n">
        <v>18015.508</v>
      </c>
    </row>
    <row r="12792">
      <c r="A12792" s="39">
        <f>_xlfn.XLOOKUP(80404,Trip[shape_id],Trip[shape_id],"Não encontrado")</f>
        <v/>
      </c>
      <c r="B12792" s="40" t="n">
        <v>-23.513915</v>
      </c>
      <c r="C12792" s="40" t="n">
        <v>-46.586142</v>
      </c>
      <c r="D12792" s="40" t="n">
        <v>464</v>
      </c>
      <c r="E12792" s="41" t="n">
        <v>18130.758</v>
      </c>
    </row>
    <row r="12793">
      <c r="A12793" s="42">
        <f>_xlfn.XLOOKUP(80404,Trip[shape_id],Trip[shape_id],"Não encontrado")</f>
        <v/>
      </c>
      <c r="B12793" s="43" t="n">
        <v>-23.51328</v>
      </c>
      <c r="C12793" s="43" t="n">
        <v>-46.585639</v>
      </c>
      <c r="D12793" s="43" t="n">
        <v>465</v>
      </c>
      <c r="E12793" s="44" t="n">
        <v>18297.674</v>
      </c>
    </row>
    <row r="12794">
      <c r="A12794" s="39">
        <f>_xlfn.XLOOKUP(80404,Trip[shape_id],Trip[shape_id],"Não encontrado")</f>
        <v/>
      </c>
      <c r="B12794" s="40" t="n">
        <v>-23.5127</v>
      </c>
      <c r="C12794" s="40" t="n">
        <v>-46.585175</v>
      </c>
      <c r="D12794" s="40" t="n">
        <v>466</v>
      </c>
      <c r="E12794" s="41" t="n">
        <v>18297.674</v>
      </c>
    </row>
    <row r="12795">
      <c r="A12795" s="42">
        <f>_xlfn.XLOOKUP(80404,Trip[shape_id],Trip[shape_id],"Não encontrado")</f>
        <v/>
      </c>
      <c r="B12795" s="43" t="n">
        <v>-23.512639</v>
      </c>
      <c r="C12795" s="43" t="n">
        <v>-46.585108</v>
      </c>
      <c r="D12795" s="43" t="n">
        <v>467</v>
      </c>
      <c r="E12795" s="44" t="n">
        <v>18311.047</v>
      </c>
    </row>
    <row r="12796">
      <c r="A12796" s="39">
        <f>_xlfn.XLOOKUP(80404,Trip[shape_id],Trip[shape_id],"Não encontrado")</f>
        <v/>
      </c>
      <c r="B12796" s="40" t="n">
        <v>-23.512624</v>
      </c>
      <c r="C12796" s="40" t="n">
        <v>-46.585075</v>
      </c>
      <c r="D12796" s="40" t="n">
        <v>468</v>
      </c>
      <c r="E12796" s="41" t="n">
        <v>18315.283</v>
      </c>
    </row>
    <row r="12797">
      <c r="A12797" s="42">
        <f>_xlfn.XLOOKUP(80404,Trip[shape_id],Trip[shape_id],"Não encontrado")</f>
        <v/>
      </c>
      <c r="B12797" s="43" t="n">
        <v>-23.512611</v>
      </c>
      <c r="C12797" s="43" t="n">
        <v>-46.585036</v>
      </c>
      <c r="D12797" s="43" t="n">
        <v>469</v>
      </c>
      <c r="E12797" s="44" t="n">
        <v>18315.283</v>
      </c>
    </row>
    <row r="12798">
      <c r="A12798" s="39">
        <f>_xlfn.XLOOKUP(80404,Trip[shape_id],Trip[shape_id],"Não encontrado")</f>
        <v/>
      </c>
      <c r="B12798" s="40" t="n">
        <v>-23.512558</v>
      </c>
      <c r="C12798" s="40" t="n">
        <v>-46.585164</v>
      </c>
      <c r="D12798" s="40" t="n">
        <v>470</v>
      </c>
      <c r="E12798" s="41" t="n">
        <v>18329.613</v>
      </c>
    </row>
    <row r="12799">
      <c r="A12799" s="42">
        <f>_xlfn.XLOOKUP(80404,Trip[shape_id],Trip[shape_id],"Não encontrado")</f>
        <v/>
      </c>
      <c r="B12799" s="43" t="n">
        <v>-23.512534</v>
      </c>
      <c r="C12799" s="43" t="n">
        <v>-46.585151</v>
      </c>
      <c r="D12799" s="43" t="n">
        <v>471</v>
      </c>
      <c r="E12799" s="44" t="n">
        <v>18337.74</v>
      </c>
    </row>
    <row r="12800">
      <c r="A12800" s="39">
        <f>_xlfn.XLOOKUP(80404,Trip[shape_id],Trip[shape_id],"Não encontrado")</f>
        <v/>
      </c>
      <c r="B12800" s="40" t="n">
        <v>-23.512489</v>
      </c>
      <c r="C12800" s="40" t="n">
        <v>-46.585138</v>
      </c>
      <c r="D12800" s="40" t="n">
        <v>472</v>
      </c>
      <c r="E12800" s="41" t="n">
        <v>18344.523</v>
      </c>
    </row>
    <row r="12801">
      <c r="A12801" s="42">
        <f>_xlfn.XLOOKUP(80404,Trip[shape_id],Trip[shape_id],"Não encontrado")</f>
        <v/>
      </c>
      <c r="B12801" s="43" t="n">
        <v>-23.512428</v>
      </c>
      <c r="C12801" s="43" t="n">
        <v>-46.585132</v>
      </c>
      <c r="D12801" s="43" t="n">
        <v>473</v>
      </c>
      <c r="E12801" s="44" t="n">
        <v>18351.859</v>
      </c>
    </row>
    <row r="12802">
      <c r="A12802" s="39">
        <f>_xlfn.XLOOKUP(80404,Trip[shape_id],Trip[shape_id],"Não encontrado")</f>
        <v/>
      </c>
      <c r="B12802" s="40" t="n">
        <v>-23.512362</v>
      </c>
      <c r="C12802" s="40" t="n">
        <v>-46.585138</v>
      </c>
      <c r="D12802" s="40" t="n">
        <v>474</v>
      </c>
      <c r="E12802" s="41" t="n">
        <v>18351.859</v>
      </c>
    </row>
    <row r="12803">
      <c r="A12803" s="42">
        <f>_xlfn.XLOOKUP(80404,Trip[shape_id],Trip[shape_id],"Não encontrado")</f>
        <v/>
      </c>
      <c r="B12803" s="43" t="n">
        <v>-23.512351</v>
      </c>
      <c r="C12803" s="43" t="n">
        <v>-46.585167</v>
      </c>
      <c r="D12803" s="43" t="n">
        <v>475</v>
      </c>
      <c r="E12803" s="44" t="n">
        <v>18365.918</v>
      </c>
    </row>
    <row r="12804">
      <c r="A12804" s="39">
        <f>_xlfn.XLOOKUP(80404,Trip[shape_id],Trip[shape_id],"Não encontrado")</f>
        <v/>
      </c>
      <c r="B12804" s="40" t="n">
        <v>-23.512313</v>
      </c>
      <c r="C12804" s="40" t="n">
        <v>-46.585265</v>
      </c>
      <c r="D12804" s="40" t="n">
        <v>476</v>
      </c>
      <c r="E12804" s="41" t="n">
        <v>18374.844</v>
      </c>
    </row>
    <row r="12805">
      <c r="A12805" s="42">
        <f>_xlfn.XLOOKUP(80404,Trip[shape_id],Trip[shape_id],"Não encontrado")</f>
        <v/>
      </c>
      <c r="B12805" s="43" t="n">
        <v>-23.512266</v>
      </c>
      <c r="C12805" s="43" t="n">
        <v>-46.585336</v>
      </c>
      <c r="D12805" s="43" t="n">
        <v>477</v>
      </c>
      <c r="E12805" s="44" t="n">
        <v>18374.844</v>
      </c>
    </row>
    <row r="12806">
      <c r="A12806" s="39">
        <f>_xlfn.XLOOKUP(80404,Trip[shape_id],Trip[shape_id],"Não encontrado")</f>
        <v/>
      </c>
      <c r="B12806" s="40" t="n">
        <v>-23.512006</v>
      </c>
      <c r="C12806" s="40" t="n">
        <v>-46.585725</v>
      </c>
      <c r="D12806" s="40" t="n">
        <v>478</v>
      </c>
      <c r="E12806" s="41" t="n">
        <v>18483.594</v>
      </c>
    </row>
    <row r="12807">
      <c r="A12807" s="42">
        <f>_xlfn.XLOOKUP(80404,Trip[shape_id],Trip[shape_id],"Não encontrado")</f>
        <v/>
      </c>
      <c r="B12807" s="43" t="n">
        <v>-23.511687</v>
      </c>
      <c r="C12807" s="43" t="n">
        <v>-46.586196</v>
      </c>
      <c r="D12807" s="43" t="n">
        <v>479</v>
      </c>
      <c r="E12807" s="44" t="n">
        <v>18516.338</v>
      </c>
    </row>
    <row r="12808">
      <c r="A12808" s="39">
        <f>_xlfn.XLOOKUP(80404,Trip[shape_id],Trip[shape_id],"Não encontrado")</f>
        <v/>
      </c>
      <c r="B12808" s="40" t="n">
        <v>-23.511514</v>
      </c>
      <c r="C12808" s="40" t="n">
        <v>-46.586456</v>
      </c>
      <c r="D12808" s="40" t="n">
        <v>480</v>
      </c>
      <c r="E12808" s="41" t="n">
        <v>18544.389</v>
      </c>
    </row>
    <row r="12809">
      <c r="A12809" s="42">
        <f>_xlfn.XLOOKUP(80404,Trip[shape_id],Trip[shape_id],"Não encontrado")</f>
        <v/>
      </c>
      <c r="B12809" s="43" t="n">
        <v>-23.511332</v>
      </c>
      <c r="C12809" s="43" t="n">
        <v>-46.586647</v>
      </c>
      <c r="D12809" s="43" t="n">
        <v>481</v>
      </c>
      <c r="E12809" s="44" t="n">
        <v>18573.064</v>
      </c>
    </row>
    <row r="12810">
      <c r="A12810" s="39">
        <f>_xlfn.XLOOKUP(80404,Trip[shape_id],Trip[shape_id],"Não encontrado")</f>
        <v/>
      </c>
      <c r="B12810" s="40" t="n">
        <v>-23.511106</v>
      </c>
      <c r="C12810" s="40" t="n">
        <v>-46.586784</v>
      </c>
      <c r="D12810" s="40" t="n">
        <v>482</v>
      </c>
      <c r="E12810" s="41" t="n">
        <v>18612.496</v>
      </c>
    </row>
    <row r="12811">
      <c r="A12811" s="42">
        <f>_xlfn.XLOOKUP(80404,Trip[shape_id],Trip[shape_id],"Não encontrado")</f>
        <v/>
      </c>
      <c r="B12811" s="43" t="n">
        <v>-23.510765</v>
      </c>
      <c r="C12811" s="43" t="n">
        <v>-46.586895</v>
      </c>
      <c r="D12811" s="43" t="n">
        <v>483</v>
      </c>
      <c r="E12811" s="44" t="n">
        <v>18655.414</v>
      </c>
    </row>
    <row r="12812">
      <c r="A12812" s="39">
        <f>_xlfn.XLOOKUP(80404,Trip[shape_id],Trip[shape_id],"Não encontrado")</f>
        <v/>
      </c>
      <c r="B12812" s="40" t="n">
        <v>-23.510409</v>
      </c>
      <c r="C12812" s="40" t="n">
        <v>-46.587061</v>
      </c>
      <c r="D12812" s="40" t="n">
        <v>484</v>
      </c>
      <c r="E12812" s="41" t="n">
        <v>18655.414</v>
      </c>
    </row>
    <row r="12813">
      <c r="A12813" s="42">
        <f>_xlfn.XLOOKUP(80404,Trip[shape_id],Trip[shape_id],"Não encontrado")</f>
        <v/>
      </c>
      <c r="B12813" s="43" t="n">
        <v>-23.510316</v>
      </c>
      <c r="C12813" s="43" t="n">
        <v>-46.587172</v>
      </c>
      <c r="D12813" s="43" t="n">
        <v>485</v>
      </c>
      <c r="E12813" s="44" t="n">
        <v>18703.559</v>
      </c>
    </row>
    <row r="12814">
      <c r="A12814" s="39">
        <f>_xlfn.XLOOKUP(80404,Trip[shape_id],Trip[shape_id],"Não encontrado")</f>
        <v/>
      </c>
      <c r="B12814" s="40" t="n">
        <v>-23.510143</v>
      </c>
      <c r="C12814" s="40" t="n">
        <v>-46.587433</v>
      </c>
      <c r="D12814" s="40" t="n">
        <v>486</v>
      </c>
      <c r="E12814" s="41" t="n">
        <v>18711.037</v>
      </c>
    </row>
    <row r="12815">
      <c r="A12815" s="42">
        <f>_xlfn.XLOOKUP(80404,Trip[shape_id],Trip[shape_id],"Não encontrado")</f>
        <v/>
      </c>
      <c r="B12815" s="43" t="n">
        <v>-23.510103</v>
      </c>
      <c r="C12815" s="43" t="n">
        <v>-46.587492</v>
      </c>
      <c r="D12815" s="43" t="n">
        <v>487</v>
      </c>
      <c r="E12815" s="44" t="n">
        <v>18714.941</v>
      </c>
    </row>
    <row r="12816">
      <c r="A12816" s="39">
        <f>_xlfn.XLOOKUP(80404,Trip[shape_id],Trip[shape_id],"Não encontrado")</f>
        <v/>
      </c>
      <c r="B12816" s="40" t="n">
        <v>-23.510079</v>
      </c>
      <c r="C12816" s="40" t="n">
        <v>-46.58752</v>
      </c>
      <c r="D12816" s="40" t="n">
        <v>488</v>
      </c>
      <c r="E12816" s="41" t="n">
        <v>18731.355</v>
      </c>
    </row>
    <row r="12817">
      <c r="A12817" s="42">
        <f>_xlfn.XLOOKUP(80404,Trip[shape_id],Trip[shape_id],"Não encontrado")</f>
        <v/>
      </c>
      <c r="B12817" s="43" t="n">
        <v>-23.509966</v>
      </c>
      <c r="C12817" s="43" t="n">
        <v>-46.587624</v>
      </c>
      <c r="D12817" s="43" t="n">
        <v>489</v>
      </c>
      <c r="E12817" s="44" t="n">
        <v>18731.355</v>
      </c>
    </row>
    <row r="12818">
      <c r="A12818" s="39">
        <f>_xlfn.XLOOKUP(80404,Trip[shape_id],Trip[shape_id],"Não encontrado")</f>
        <v/>
      </c>
      <c r="B12818" s="40" t="n">
        <v>-23.509777</v>
      </c>
      <c r="C12818" s="40" t="n">
        <v>-46.587664</v>
      </c>
      <c r="D12818" s="40" t="n">
        <v>490</v>
      </c>
      <c r="E12818" s="41" t="n">
        <v>18764.756</v>
      </c>
    </row>
    <row r="12819">
      <c r="A12819" s="42">
        <f>_xlfn.XLOOKUP(80404,Trip[shape_id],Trip[shape_id],"Não encontrado")</f>
        <v/>
      </c>
      <c r="B12819" s="43" t="n">
        <v>-23.509668</v>
      </c>
      <c r="C12819" s="43" t="n">
        <v>-46.587662</v>
      </c>
      <c r="D12819" s="43" t="n">
        <v>491</v>
      </c>
      <c r="E12819" s="44" t="n">
        <v>18773.957</v>
      </c>
    </row>
    <row r="12820">
      <c r="A12820" s="39">
        <f>_xlfn.XLOOKUP(80404,Trip[shape_id],Trip[shape_id],"Não encontrado")</f>
        <v/>
      </c>
      <c r="B12820" s="40" t="n">
        <v>-23.50959</v>
      </c>
      <c r="C12820" s="40" t="n">
        <v>-46.587631</v>
      </c>
      <c r="D12820" s="40" t="n">
        <v>492</v>
      </c>
      <c r="E12820" s="41" t="n">
        <v>18795.373</v>
      </c>
    </row>
    <row r="12821">
      <c r="A12821" s="42">
        <f>_xlfn.XLOOKUP(80404,Trip[shape_id],Trip[shape_id],"Não encontrado")</f>
        <v/>
      </c>
      <c r="B12821" s="43" t="n">
        <v>-23.509405</v>
      </c>
      <c r="C12821" s="43" t="n">
        <v>-46.58757</v>
      </c>
      <c r="D12821" s="43" t="n">
        <v>493</v>
      </c>
      <c r="E12821" s="44" t="n">
        <v>18845.611</v>
      </c>
    </row>
    <row r="12822">
      <c r="A12822" s="39">
        <f>_xlfn.XLOOKUP(80404,Trip[shape_id],Trip[shape_id],"Não encontrado")</f>
        <v/>
      </c>
      <c r="B12822" s="40" t="n">
        <v>-23.508973</v>
      </c>
      <c r="C12822" s="40" t="n">
        <v>-46.58742</v>
      </c>
      <c r="D12822" s="40" t="n">
        <v>494</v>
      </c>
      <c r="E12822" s="41" t="n">
        <v>18861.402</v>
      </c>
    </row>
    <row r="12823">
      <c r="A12823" s="42">
        <f>_xlfn.XLOOKUP(80404,Trip[shape_id],Trip[shape_id],"Não encontrado")</f>
        <v/>
      </c>
      <c r="B12823" s="43" t="n">
        <v>-23.508832</v>
      </c>
      <c r="C12823" s="43" t="n">
        <v>-46.587397</v>
      </c>
      <c r="D12823" s="43" t="n">
        <v>495</v>
      </c>
      <c r="E12823" s="44" t="n">
        <v>18874.816</v>
      </c>
    </row>
    <row r="12824">
      <c r="A12824" s="39">
        <f>_xlfn.XLOOKUP(80404,Trip[shape_id],Trip[shape_id],"Não encontrado")</f>
        <v/>
      </c>
      <c r="B12824" s="40" t="n">
        <v>-23.508715</v>
      </c>
      <c r="C12824" s="40" t="n">
        <v>-46.587431</v>
      </c>
      <c r="D12824" s="40" t="n">
        <v>496</v>
      </c>
      <c r="E12824" s="41" t="n">
        <v>18886.244</v>
      </c>
    </row>
    <row r="12825">
      <c r="A12825" s="42">
        <f>_xlfn.XLOOKUP(80404,Trip[shape_id],Trip[shape_id],"Não encontrado")</f>
        <v/>
      </c>
      <c r="B12825" s="43" t="n">
        <v>-23.508631</v>
      </c>
      <c r="C12825" s="43" t="n">
        <v>-46.587496</v>
      </c>
      <c r="D12825" s="43" t="n">
        <v>497</v>
      </c>
      <c r="E12825" s="44" t="n">
        <v>18886.244</v>
      </c>
    </row>
    <row r="12826">
      <c r="A12826" s="39">
        <f>_xlfn.XLOOKUP(80404,Trip[shape_id],Trip[shape_id],"Não encontrado")</f>
        <v/>
      </c>
      <c r="B12826" s="40" t="n">
        <v>-23.508592</v>
      </c>
      <c r="C12826" s="40" t="n">
        <v>-46.587531</v>
      </c>
      <c r="D12826" s="40" t="n">
        <v>498</v>
      </c>
      <c r="E12826" s="41" t="n">
        <v>18896.521</v>
      </c>
    </row>
    <row r="12827">
      <c r="A12827" s="42">
        <f>_xlfn.XLOOKUP(80404,Trip[shape_id],Trip[shape_id],"Não encontrado")</f>
        <v/>
      </c>
      <c r="B12827" s="43" t="n">
        <v>-23.50857</v>
      </c>
      <c r="C12827" s="43" t="n">
        <v>-46.58757</v>
      </c>
      <c r="D12827" s="43" t="n">
        <v>499</v>
      </c>
      <c r="E12827" s="44" t="n">
        <v>18901.834</v>
      </c>
    </row>
    <row r="12828">
      <c r="A12828" s="39">
        <f>_xlfn.XLOOKUP(80404,Trip[shape_id],Trip[shape_id],"Não encontrado")</f>
        <v/>
      </c>
      <c r="B12828" s="40" t="n">
        <v>-23.508543</v>
      </c>
      <c r="C12828" s="40" t="n">
        <v>-46.587613</v>
      </c>
      <c r="D12828" s="40" t="n">
        <v>500</v>
      </c>
      <c r="E12828" s="41" t="n">
        <v>18910.301</v>
      </c>
    </row>
    <row r="12829">
      <c r="A12829" s="42">
        <f>_xlfn.XLOOKUP(80404,Trip[shape_id],Trip[shape_id],"Não encontrado")</f>
        <v/>
      </c>
      <c r="B12829" s="43" t="n">
        <v>-23.508523</v>
      </c>
      <c r="C12829" s="43" t="n">
        <v>-46.587693</v>
      </c>
      <c r="D12829" s="43" t="n">
        <v>501</v>
      </c>
      <c r="E12829" s="44" t="n">
        <v>18916.611</v>
      </c>
    </row>
    <row r="12830">
      <c r="A12830" s="39">
        <f>_xlfn.XLOOKUP(80404,Trip[shape_id],Trip[shape_id],"Não encontrado")</f>
        <v/>
      </c>
      <c r="B12830" s="40" t="n">
        <v>-23.508514</v>
      </c>
      <c r="C12830" s="40" t="n">
        <v>-46.587754</v>
      </c>
      <c r="D12830" s="40" t="n">
        <v>502</v>
      </c>
      <c r="E12830" s="41" t="n">
        <v>18942.557</v>
      </c>
    </row>
    <row r="12831">
      <c r="A12831" s="42">
        <f>_xlfn.XLOOKUP(80404,Trip[shape_id],Trip[shape_id],"Não encontrado")</f>
        <v/>
      </c>
      <c r="B12831" s="43" t="n">
        <v>-23.508517</v>
      </c>
      <c r="C12831" s="43" t="n">
        <v>-46.588008</v>
      </c>
      <c r="D12831" s="43" t="n">
        <v>503</v>
      </c>
      <c r="E12831" s="44" t="n">
        <v>18992.924</v>
      </c>
    </row>
    <row r="12832">
      <c r="A12832" s="39">
        <f>_xlfn.XLOOKUP(80404,Trip[shape_id],Trip[shape_id],"Não encontrado")</f>
        <v/>
      </c>
      <c r="B12832" s="40" t="n">
        <v>-23.508528</v>
      </c>
      <c r="C12832" s="40" t="n">
        <v>-46.588501</v>
      </c>
      <c r="D12832" s="40" t="n">
        <v>504</v>
      </c>
      <c r="E12832" s="41" t="n">
        <v>18992.924</v>
      </c>
    </row>
    <row r="12833">
      <c r="A12833" s="42">
        <f>_xlfn.XLOOKUP(80404,Trip[shape_id],Trip[shape_id],"Não encontrado")</f>
        <v/>
      </c>
      <c r="B12833" s="43" t="n">
        <v>-23.508496</v>
      </c>
      <c r="C12833" s="43" t="n">
        <v>-46.588599</v>
      </c>
      <c r="D12833" s="43" t="n">
        <v>505</v>
      </c>
      <c r="E12833" s="44" t="n">
        <v>19011.123</v>
      </c>
    </row>
    <row r="12834">
      <c r="A12834" s="39">
        <f>_xlfn.XLOOKUP(80404,Trip[shape_id],Trip[shape_id],"Não encontrado")</f>
        <v/>
      </c>
      <c r="B12834" s="40" t="n">
        <v>-23.508457</v>
      </c>
      <c r="C12834" s="40" t="n">
        <v>-46.58866</v>
      </c>
      <c r="D12834" s="40" t="n">
        <v>506</v>
      </c>
      <c r="E12834" s="41" t="n">
        <v>19022.709</v>
      </c>
    </row>
    <row r="12835">
      <c r="A12835" s="42">
        <f>_xlfn.XLOOKUP(80404,Trip[shape_id],Trip[shape_id],"Não encontrado")</f>
        <v/>
      </c>
      <c r="B12835" s="43" t="n">
        <v>-23.508391</v>
      </c>
      <c r="C12835" s="43" t="n">
        <v>-46.588748</v>
      </c>
      <c r="D12835" s="43" t="n">
        <v>507</v>
      </c>
      <c r="E12835" s="44" t="n">
        <v>19039.377</v>
      </c>
    </row>
    <row r="12836">
      <c r="A12836" s="39">
        <f>_xlfn.XLOOKUP(80404,Trip[shape_id],Trip[shape_id],"Não encontrado")</f>
        <v/>
      </c>
      <c r="B12836" s="40" t="n">
        <v>-23.508289</v>
      </c>
      <c r="C12836" s="40" t="n">
        <v>-46.588868</v>
      </c>
      <c r="D12836" s="40" t="n">
        <v>508</v>
      </c>
      <c r="E12836" s="41" t="n">
        <v>19058.43</v>
      </c>
    </row>
    <row r="12837">
      <c r="A12837" s="42">
        <f>_xlfn.XLOOKUP(80404,Trip[shape_id],Trip[shape_id],"Não encontrado")</f>
        <v/>
      </c>
      <c r="B12837" s="43" t="n">
        <v>-23.508163</v>
      </c>
      <c r="C12837" s="43" t="n">
        <v>-46.588995</v>
      </c>
      <c r="D12837" s="43" t="n">
        <v>509</v>
      </c>
      <c r="E12837" s="44" t="n">
        <v>19067.635</v>
      </c>
    </row>
    <row r="12838">
      <c r="A12838" s="39">
        <f>_xlfn.XLOOKUP(80404,Trip[shape_id],Trip[shape_id],"Não encontrado")</f>
        <v/>
      </c>
      <c r="B12838" s="40" t="n">
        <v>-23.508084</v>
      </c>
      <c r="C12838" s="40" t="n">
        <v>-46.589023</v>
      </c>
      <c r="D12838" s="40" t="n">
        <v>510</v>
      </c>
      <c r="E12838" s="41" t="n">
        <v>19079.305</v>
      </c>
    </row>
    <row r="12839">
      <c r="A12839" s="42">
        <f>_xlfn.XLOOKUP(80404,Trip[shape_id],Trip[shape_id],"Não encontrado")</f>
        <v/>
      </c>
      <c r="B12839" s="43" t="n">
        <v>-23.507986</v>
      </c>
      <c r="C12839" s="43" t="n">
        <v>-46.589065</v>
      </c>
      <c r="D12839" s="43" t="n">
        <v>511</v>
      </c>
      <c r="E12839" s="44" t="n">
        <v>19089.166</v>
      </c>
    </row>
    <row r="12840">
      <c r="A12840" s="39">
        <f>_xlfn.XLOOKUP(80404,Trip[shape_id],Trip[shape_id],"Não encontrado")</f>
        <v/>
      </c>
      <c r="B12840" s="40" t="n">
        <v>-23.5079</v>
      </c>
      <c r="C12840" s="40" t="n">
        <v>-46.58909</v>
      </c>
      <c r="D12840" s="40" t="n">
        <v>512</v>
      </c>
      <c r="E12840" s="41" t="n">
        <v>19114.277</v>
      </c>
    </row>
    <row r="12841">
      <c r="A12841" s="42">
        <f>_xlfn.XLOOKUP(80404,Trip[shape_id],Trip[shape_id],"Não encontrado")</f>
        <v/>
      </c>
      <c r="B12841" s="43" t="n">
        <v>-23.507679</v>
      </c>
      <c r="C12841" s="43" t="n">
        <v>-46.589145</v>
      </c>
      <c r="D12841" s="43" t="n">
        <v>513</v>
      </c>
      <c r="E12841" s="44" t="n">
        <v>19152.209</v>
      </c>
    </row>
    <row r="12842">
      <c r="A12842" s="39">
        <f>_xlfn.XLOOKUP(80404,Trip[shape_id],Trip[shape_id],"Não encontrado")</f>
        <v/>
      </c>
      <c r="B12842" s="40" t="n">
        <v>-23.507343</v>
      </c>
      <c r="C12842" s="40" t="n">
        <v>-46.589217</v>
      </c>
      <c r="D12842" s="40" t="n">
        <v>514</v>
      </c>
      <c r="E12842" s="41" t="n">
        <v>19152.209</v>
      </c>
    </row>
    <row r="12843">
      <c r="A12843" s="42">
        <f>_xlfn.XLOOKUP(80404,Trip[shape_id],Trip[shape_id],"Não encontrado")</f>
        <v/>
      </c>
      <c r="B12843" s="43" t="n">
        <v>-23.507053</v>
      </c>
      <c r="C12843" s="43" t="n">
        <v>-46.589309</v>
      </c>
      <c r="D12843" s="43" t="n">
        <v>515</v>
      </c>
      <c r="E12843" s="44" t="n">
        <v>19185.674</v>
      </c>
    </row>
    <row r="12844">
      <c r="A12844" s="39">
        <f>_xlfn.XLOOKUP(80404,Trip[shape_id],Trip[shape_id],"Não encontrado")</f>
        <v/>
      </c>
      <c r="B12844" s="40" t="n">
        <v>-23.506979</v>
      </c>
      <c r="C12844" s="40" t="n">
        <v>-46.589213</v>
      </c>
      <c r="D12844" s="40" t="n">
        <v>516</v>
      </c>
      <c r="E12844" s="41" t="n">
        <v>19198.453</v>
      </c>
    </row>
    <row r="12845">
      <c r="A12845" s="42">
        <f>_xlfn.XLOOKUP(80404,Trip[shape_id],Trip[shape_id],"Não encontrado")</f>
        <v/>
      </c>
      <c r="B12845" s="43" t="n">
        <v>-23.506943</v>
      </c>
      <c r="C12845" s="43" t="n">
        <v>-46.589177</v>
      </c>
      <c r="D12845" s="43" t="n">
        <v>517</v>
      </c>
      <c r="E12845" s="44" t="n">
        <v>19203.877</v>
      </c>
    </row>
    <row r="12846">
      <c r="A12846" s="39">
        <f>_xlfn.XLOOKUP(80404,Trip[shape_id],Trip[shape_id],"Não encontrado")</f>
        <v/>
      </c>
      <c r="B12846" s="40" t="n">
        <v>-23.506867</v>
      </c>
      <c r="C12846" s="40" t="n">
        <v>-46.589125</v>
      </c>
      <c r="D12846" s="40" t="n">
        <v>518</v>
      </c>
      <c r="E12846" s="41" t="n">
        <v>19213.83</v>
      </c>
    </row>
    <row r="12847">
      <c r="A12847" s="42">
        <f>_xlfn.XLOOKUP(80404,Trip[shape_id],Trip[shape_id],"Não encontrado")</f>
        <v/>
      </c>
      <c r="B12847" s="43" t="n">
        <v>-23.506788</v>
      </c>
      <c r="C12847" s="43" t="n">
        <v>-46.589114</v>
      </c>
      <c r="D12847" s="43" t="n">
        <v>519</v>
      </c>
      <c r="E12847" s="44" t="n">
        <v>19222.65</v>
      </c>
    </row>
    <row r="12848">
      <c r="A12848" s="39">
        <f>_xlfn.XLOOKUP(80404,Trip[shape_id],Trip[shape_id],"Não encontrado")</f>
        <v/>
      </c>
      <c r="B12848" s="40" t="n">
        <v>-23.506698</v>
      </c>
      <c r="C12848" s="40" t="n">
        <v>-46.589109</v>
      </c>
      <c r="D12848" s="40" t="n">
        <v>520</v>
      </c>
      <c r="E12848" s="41" t="n">
        <v>19232.631</v>
      </c>
    </row>
    <row r="12849">
      <c r="A12849" s="42">
        <f>_xlfn.XLOOKUP(80404,Trip[shape_id],Trip[shape_id],"Não encontrado")</f>
        <v/>
      </c>
      <c r="B12849" s="43" t="n">
        <v>-23.506654</v>
      </c>
      <c r="C12849" s="43" t="n">
        <v>-46.589133</v>
      </c>
      <c r="D12849" s="43" t="n">
        <v>521</v>
      </c>
      <c r="E12849" s="44" t="n">
        <v>19238.084</v>
      </c>
    </row>
    <row r="12850">
      <c r="A12850" s="39">
        <f>_xlfn.XLOOKUP(80404,Trip[shape_id],Trip[shape_id],"Não encontrado")</f>
        <v/>
      </c>
      <c r="B12850" s="40" t="n">
        <v>-23.506595</v>
      </c>
      <c r="C12850" s="40" t="n">
        <v>-46.589195</v>
      </c>
      <c r="D12850" s="40" t="n">
        <v>522</v>
      </c>
      <c r="E12850" s="41" t="n">
        <v>19247.184</v>
      </c>
    </row>
    <row r="12851">
      <c r="A12851" s="42">
        <f>_xlfn.XLOOKUP(80404,Trip[shape_id],Trip[shape_id],"Não encontrado")</f>
        <v/>
      </c>
      <c r="B12851" s="43" t="n">
        <v>-23.506578</v>
      </c>
      <c r="C12851" s="43" t="n">
        <v>-46.58922</v>
      </c>
      <c r="D12851" s="43" t="n">
        <v>523</v>
      </c>
      <c r="E12851" s="44" t="n">
        <v>19250.355</v>
      </c>
    </row>
    <row r="12852">
      <c r="A12852" s="39">
        <f>_xlfn.XLOOKUP(80404,Trip[shape_id],Trip[shape_id],"Não encontrado")</f>
        <v/>
      </c>
      <c r="B12852" s="40" t="n">
        <v>-23.506553</v>
      </c>
      <c r="C12852" s="40" t="n">
        <v>-46.589293</v>
      </c>
      <c r="D12852" s="40" t="n">
        <v>524</v>
      </c>
      <c r="E12852" s="41" t="n">
        <v>19258.309</v>
      </c>
    </row>
    <row r="12853">
      <c r="A12853" s="42">
        <f>_xlfn.XLOOKUP(80404,Trip[shape_id],Trip[shape_id],"Não encontrado")</f>
        <v/>
      </c>
      <c r="B12853" s="43" t="n">
        <v>-23.506552</v>
      </c>
      <c r="C12853" s="43" t="n">
        <v>-46.589322</v>
      </c>
      <c r="D12853" s="43" t="n">
        <v>525</v>
      </c>
      <c r="E12853" s="44" t="n">
        <v>19261.271</v>
      </c>
    </row>
    <row r="12854">
      <c r="A12854" s="39">
        <f>_xlfn.XLOOKUP(80404,Trip[shape_id],Trip[shape_id],"Não encontrado")</f>
        <v/>
      </c>
      <c r="B12854" s="40" t="n">
        <v>-23.506555</v>
      </c>
      <c r="C12854" s="40" t="n">
        <v>-46.589405</v>
      </c>
      <c r="D12854" s="40" t="n">
        <v>526</v>
      </c>
      <c r="E12854" s="41" t="n">
        <v>19269.756</v>
      </c>
    </row>
    <row r="12855">
      <c r="A12855" s="42">
        <f>_xlfn.XLOOKUP(80404,Trip[shape_id],Trip[shape_id],"Não encontrado")</f>
        <v/>
      </c>
      <c r="B12855" s="43" t="n">
        <v>-23.506574</v>
      </c>
      <c r="C12855" s="43" t="n">
        <v>-46.589494</v>
      </c>
      <c r="D12855" s="43" t="n">
        <v>527</v>
      </c>
      <c r="E12855" s="44" t="n">
        <v>19279.086</v>
      </c>
    </row>
    <row r="12856">
      <c r="A12856" s="39">
        <f>_xlfn.XLOOKUP(80404,Trip[shape_id],Trip[shape_id],"Não encontrado")</f>
        <v/>
      </c>
      <c r="B12856" s="40" t="n">
        <v>-23.506632</v>
      </c>
      <c r="C12856" s="40" t="n">
        <v>-46.589573</v>
      </c>
      <c r="D12856" s="40" t="n">
        <v>528</v>
      </c>
      <c r="E12856" s="41" t="n">
        <v>19289.4</v>
      </c>
    </row>
    <row r="12857">
      <c r="A12857" s="42">
        <f>_xlfn.XLOOKUP(80404,Trip[shape_id],Trip[shape_id],"Não encontrado")</f>
        <v/>
      </c>
      <c r="B12857" s="43" t="n">
        <v>-23.506686</v>
      </c>
      <c r="C12857" s="43" t="n">
        <v>-46.589606</v>
      </c>
      <c r="D12857" s="43" t="n">
        <v>529</v>
      </c>
      <c r="E12857" s="44" t="n">
        <v>19296.266</v>
      </c>
    </row>
    <row r="12858">
      <c r="A12858" s="39">
        <f>_xlfn.XLOOKUP(80404,Trip[shape_id],Trip[shape_id],"Não encontrado")</f>
        <v/>
      </c>
      <c r="B12858" s="40" t="n">
        <v>-23.506508</v>
      </c>
      <c r="C12858" s="40" t="n">
        <v>-46.590165</v>
      </c>
      <c r="D12858" s="40" t="n">
        <v>530</v>
      </c>
      <c r="E12858" s="41" t="n">
        <v>19356.668</v>
      </c>
    </row>
    <row r="12859">
      <c r="A12859" s="42">
        <f>_xlfn.XLOOKUP(80404,Trip[shape_id],Trip[shape_id],"Não encontrado")</f>
        <v/>
      </c>
      <c r="B12859" s="43" t="n">
        <v>-23.506349</v>
      </c>
      <c r="C12859" s="43" t="n">
        <v>-46.590434</v>
      </c>
      <c r="D12859" s="43" t="n">
        <v>531</v>
      </c>
      <c r="E12859" s="44" t="n">
        <v>19413.389</v>
      </c>
    </row>
    <row r="12860">
      <c r="A12860" s="39">
        <f>_xlfn.XLOOKUP(80404,Trip[shape_id],Trip[shape_id],"Não encontrado")</f>
        <v/>
      </c>
      <c r="B12860" s="40" t="n">
        <v>-23.506224</v>
      </c>
      <c r="C12860" s="40" t="n">
        <v>-46.590627</v>
      </c>
      <c r="D12860" s="40" t="n">
        <v>532</v>
      </c>
      <c r="E12860" s="41" t="n">
        <v>19436.895</v>
      </c>
    </row>
    <row r="12861">
      <c r="A12861" s="42">
        <f>_xlfn.XLOOKUP(80404,Trip[shape_id],Trip[shape_id],"Não encontrado")</f>
        <v/>
      </c>
      <c r="B12861" s="43" t="n">
        <v>-23.506099</v>
      </c>
      <c r="C12861" s="43" t="n">
        <v>-46.590813</v>
      </c>
      <c r="D12861" s="43" t="n">
        <v>533</v>
      </c>
      <c r="E12861" s="44" t="n">
        <v>19471.006</v>
      </c>
    </row>
    <row r="12862">
      <c r="A12862" s="39">
        <f>_xlfn.XLOOKUP(80404,Trip[shape_id],Trip[shape_id],"Não encontrado")</f>
        <v/>
      </c>
      <c r="B12862" s="40" t="n">
        <v>-23.505861</v>
      </c>
      <c r="C12862" s="40" t="n">
        <v>-46.591025</v>
      </c>
      <c r="D12862" s="40" t="n">
        <v>534</v>
      </c>
      <c r="E12862" s="41" t="n">
        <v>19480.977</v>
      </c>
    </row>
    <row r="12863">
      <c r="A12863" s="42">
        <f>_xlfn.XLOOKUP(80404,Trip[shape_id],Trip[shape_id],"Não encontrado")</f>
        <v/>
      </c>
      <c r="B12863" s="43" t="n">
        <v>-23.505786</v>
      </c>
      <c r="C12863" s="43" t="n">
        <v>-46.591079</v>
      </c>
      <c r="D12863" s="43" t="n">
        <v>535</v>
      </c>
      <c r="E12863" s="44" t="n">
        <v>19511.209</v>
      </c>
    </row>
    <row r="12864">
      <c r="A12864" s="39">
        <f>_xlfn.XLOOKUP(80404,Trip[shape_id],Trip[shape_id],"Não encontrado")</f>
        <v/>
      </c>
      <c r="B12864" s="40" t="n">
        <v>-23.50556</v>
      </c>
      <c r="C12864" s="40" t="n">
        <v>-46.591245</v>
      </c>
      <c r="D12864" s="40" t="n">
        <v>536</v>
      </c>
      <c r="E12864" s="41" t="n">
        <v>19511.209</v>
      </c>
    </row>
    <row r="12865">
      <c r="A12865" s="42">
        <f>_xlfn.XLOOKUP(80404,Trip[shape_id],Trip[shape_id],"Não encontrado")</f>
        <v/>
      </c>
      <c r="B12865" s="43" t="n">
        <v>-23.505487</v>
      </c>
      <c r="C12865" s="43" t="n">
        <v>-46.591296</v>
      </c>
      <c r="D12865" s="43" t="n">
        <v>537</v>
      </c>
      <c r="E12865" s="44" t="n">
        <v>19562.938</v>
      </c>
    </row>
    <row r="12866">
      <c r="A12866" s="39">
        <f>_xlfn.XLOOKUP(80404,Trip[shape_id],Trip[shape_id],"Não encontrado")</f>
        <v/>
      </c>
      <c r="B12866" s="40" t="n">
        <v>-23.505151</v>
      </c>
      <c r="C12866" s="40" t="n">
        <v>-46.591489</v>
      </c>
      <c r="D12866" s="40" t="n">
        <v>538</v>
      </c>
      <c r="E12866" s="41" t="n">
        <v>19562.938</v>
      </c>
    </row>
    <row r="12867">
      <c r="A12867" s="42">
        <f>_xlfn.XLOOKUP(80404,Trip[shape_id],Trip[shape_id],"Não encontrado")</f>
        <v/>
      </c>
      <c r="B12867" s="43" t="n">
        <v>-23.504897</v>
      </c>
      <c r="C12867" s="43" t="n">
        <v>-46.591619</v>
      </c>
      <c r="D12867" s="43" t="n">
        <v>539</v>
      </c>
      <c r="E12867" s="44" t="n">
        <v>19624.912</v>
      </c>
    </row>
    <row r="12868">
      <c r="A12868" s="39">
        <f>_xlfn.XLOOKUP(80404,Trip[shape_id],Trip[shape_id],"Não encontrado")</f>
        <v/>
      </c>
      <c r="B12868" s="40" t="n">
        <v>-23.504654</v>
      </c>
      <c r="C12868" s="40" t="n">
        <v>-46.591767</v>
      </c>
      <c r="D12868" s="40" t="n">
        <v>540</v>
      </c>
      <c r="E12868" s="41" t="n">
        <v>19672.725</v>
      </c>
    </row>
    <row r="12869">
      <c r="A12869" s="42">
        <f>_xlfn.XLOOKUP(80404,Trip[shape_id],Trip[shape_id],"Não encontrado")</f>
        <v/>
      </c>
      <c r="B12869" s="43" t="n">
        <v>-23.504271</v>
      </c>
      <c r="C12869" s="43" t="n">
        <v>-46.591983</v>
      </c>
      <c r="D12869" s="43" t="n">
        <v>541</v>
      </c>
      <c r="E12869" s="44" t="n">
        <v>19683.871</v>
      </c>
    </row>
    <row r="12870">
      <c r="A12870" s="39">
        <f>_xlfn.XLOOKUP(80404,Trip[shape_id],Trip[shape_id],"Não encontrado")</f>
        <v/>
      </c>
      <c r="B12870" s="40" t="n">
        <v>-23.504177</v>
      </c>
      <c r="C12870" s="40" t="n">
        <v>-46.592022</v>
      </c>
      <c r="D12870" s="40" t="n">
        <v>542</v>
      </c>
      <c r="E12870" s="41" t="n">
        <v>19683.871</v>
      </c>
    </row>
    <row r="12871">
      <c r="A12871" s="42">
        <f>_xlfn.XLOOKUP(80404,Trip[shape_id],Trip[shape_id],"Não encontrado")</f>
        <v/>
      </c>
      <c r="B12871" s="43" t="n">
        <v>-23.504075</v>
      </c>
      <c r="C12871" s="43" t="n">
        <v>-46.59203</v>
      </c>
      <c r="D12871" s="43" t="n">
        <v>543</v>
      </c>
      <c r="E12871" s="44" t="n">
        <v>19707.604</v>
      </c>
    </row>
    <row r="12872">
      <c r="A12872" s="39">
        <f>_xlfn.XLOOKUP(80404,Trip[shape_id],Trip[shape_id],"Não encontrado")</f>
        <v/>
      </c>
      <c r="B12872" s="40" t="n">
        <v>-23.503963</v>
      </c>
      <c r="C12872" s="40" t="n">
        <v>-46.592028</v>
      </c>
      <c r="D12872" s="40" t="n">
        <v>544</v>
      </c>
      <c r="E12872" s="41" t="n">
        <v>19718.783</v>
      </c>
    </row>
    <row r="12873">
      <c r="A12873" s="42">
        <f>_xlfn.XLOOKUP(80404,Trip[shape_id],Trip[shape_id],"Não encontrado")</f>
        <v/>
      </c>
      <c r="B12873" s="43" t="n">
        <v>-23.503863</v>
      </c>
      <c r="C12873" s="43" t="n">
        <v>-46.592013</v>
      </c>
      <c r="D12873" s="43" t="n">
        <v>545</v>
      </c>
      <c r="E12873" s="44" t="n">
        <v>19727.254</v>
      </c>
    </row>
    <row r="12874">
      <c r="A12874" s="39">
        <f>_xlfn.XLOOKUP(80404,Trip[shape_id],Trip[shape_id],"Não encontrado")</f>
        <v/>
      </c>
      <c r="B12874" s="40" t="n">
        <v>-23.503791</v>
      </c>
      <c r="C12874" s="40" t="n">
        <v>-46.591985</v>
      </c>
      <c r="D12874" s="40" t="n">
        <v>546</v>
      </c>
      <c r="E12874" s="41" t="n">
        <v>19742.594</v>
      </c>
    </row>
    <row r="12875">
      <c r="A12875" s="42">
        <f>_xlfn.XLOOKUP(80404,Trip[shape_id],Trip[shape_id],"Não encontrado")</f>
        <v/>
      </c>
      <c r="B12875" s="43" t="n">
        <v>-23.503657</v>
      </c>
      <c r="C12875" s="43" t="n">
        <v>-46.591947</v>
      </c>
      <c r="D12875" s="43" t="n">
        <v>547</v>
      </c>
      <c r="E12875" s="44" t="n">
        <v>19757.701</v>
      </c>
    </row>
    <row r="12876">
      <c r="A12876" s="39">
        <f>_xlfn.XLOOKUP(80404,Trip[shape_id],Trip[shape_id],"Não encontrado")</f>
        <v/>
      </c>
      <c r="B12876" s="40" t="n">
        <v>-23.50353</v>
      </c>
      <c r="C12876" s="40" t="n">
        <v>-46.591893</v>
      </c>
      <c r="D12876" s="40" t="n">
        <v>548</v>
      </c>
      <c r="E12876" s="41" t="n">
        <v>19757.701</v>
      </c>
    </row>
    <row r="12877">
      <c r="A12877" s="42">
        <f>_xlfn.XLOOKUP(80404,Trip[shape_id],Trip[shape_id],"Não encontrado")</f>
        <v/>
      </c>
      <c r="B12877" s="43" t="n">
        <v>-23.503431</v>
      </c>
      <c r="C12877" s="43" t="n">
        <v>-46.59181</v>
      </c>
      <c r="D12877" s="43" t="n">
        <v>549</v>
      </c>
      <c r="E12877" s="44" t="n">
        <v>19794.926</v>
      </c>
    </row>
    <row r="12878">
      <c r="A12878" s="39">
        <f>_xlfn.XLOOKUP(80404,Trip[shape_id],Trip[shape_id],"Não encontrado")</f>
        <v/>
      </c>
      <c r="B12878" s="40" t="n">
        <v>-23.503275</v>
      </c>
      <c r="C12878" s="40" t="n">
        <v>-46.591656</v>
      </c>
      <c r="D12878" s="40" t="n">
        <v>550</v>
      </c>
      <c r="E12878" s="41" t="n">
        <v>19794.926</v>
      </c>
    </row>
    <row r="12879">
      <c r="A12879" s="42">
        <f>_xlfn.XLOOKUP(80404,Trip[shape_id],Trip[shape_id],"Não encontrado")</f>
        <v/>
      </c>
      <c r="B12879" s="43" t="n">
        <v>-23.503203</v>
      </c>
      <c r="C12879" s="43" t="n">
        <v>-46.59155</v>
      </c>
      <c r="D12879" s="43" t="n">
        <v>551</v>
      </c>
      <c r="E12879" s="44" t="n">
        <v>19808.373</v>
      </c>
    </row>
    <row r="12880">
      <c r="A12880" s="39">
        <f>_xlfn.XLOOKUP(80404,Trip[shape_id],Trip[shape_id],"Não encontrado")</f>
        <v/>
      </c>
      <c r="B12880" s="40" t="n">
        <v>-23.503028</v>
      </c>
      <c r="C12880" s="40" t="n">
        <v>-46.591386</v>
      </c>
      <c r="D12880" s="40" t="n">
        <v>552</v>
      </c>
      <c r="E12880" s="41" t="n">
        <v>19833.99</v>
      </c>
    </row>
    <row r="12881">
      <c r="A12881" s="42">
        <f>_xlfn.XLOOKUP(80404,Trip[shape_id],Trip[shape_id],"Não encontrado")</f>
        <v/>
      </c>
      <c r="B12881" s="43" t="n">
        <v>-23.502786</v>
      </c>
      <c r="C12881" s="43" t="n">
        <v>-46.591153</v>
      </c>
      <c r="D12881" s="43" t="n">
        <v>553</v>
      </c>
      <c r="E12881" s="44" t="n">
        <v>19912.088</v>
      </c>
    </row>
    <row r="12882">
      <c r="A12882" s="39">
        <f>_xlfn.XLOOKUP(80404,Trip[shape_id],Trip[shape_id],"Não encontrado")</f>
        <v/>
      </c>
      <c r="B12882" s="40" t="n">
        <v>-23.502482</v>
      </c>
      <c r="C12882" s="40" t="n">
        <v>-46.590903</v>
      </c>
      <c r="D12882" s="40" t="n">
        <v>554</v>
      </c>
      <c r="E12882" s="41" t="n">
        <v>19925.186</v>
      </c>
    </row>
    <row r="12883">
      <c r="A12883" s="42">
        <f>_xlfn.XLOOKUP(80404,Trip[shape_id],Trip[shape_id],"Não encontrado")</f>
        <v/>
      </c>
      <c r="B12883" s="43" t="n">
        <v>-23.502377</v>
      </c>
      <c r="C12883" s="43" t="n">
        <v>-46.590844</v>
      </c>
      <c r="D12883" s="43" t="n">
        <v>555</v>
      </c>
      <c r="E12883" s="44" t="n">
        <v>19925.186</v>
      </c>
    </row>
    <row r="12884">
      <c r="A12884" s="39">
        <f>_xlfn.XLOOKUP(80404,Trip[shape_id],Trip[shape_id],"Não encontrado")</f>
        <v/>
      </c>
      <c r="B12884" s="40" t="n">
        <v>-23.502126</v>
      </c>
      <c r="C12884" s="40" t="n">
        <v>-46.590685</v>
      </c>
      <c r="D12884" s="40" t="n">
        <v>556</v>
      </c>
      <c r="E12884" s="41" t="n">
        <v>19981.188</v>
      </c>
    </row>
    <row r="12885">
      <c r="A12885" s="42">
        <f>_xlfn.XLOOKUP(80404,Trip[shape_id],Trip[shape_id],"Não encontrado")</f>
        <v/>
      </c>
      <c r="B12885" s="43" t="n">
        <v>-23.501936</v>
      </c>
      <c r="C12885" s="43" t="n">
        <v>-46.590576</v>
      </c>
      <c r="D12885" s="43" t="n">
        <v>557</v>
      </c>
      <c r="E12885" s="44" t="n">
        <v>20001.49</v>
      </c>
    </row>
    <row r="12886">
      <c r="A12886" s="39">
        <f>_xlfn.XLOOKUP(80404,Trip[shape_id],Trip[shape_id],"Não encontrado")</f>
        <v/>
      </c>
      <c r="B12886" s="40" t="n">
        <v>-23.501767</v>
      </c>
      <c r="C12886" s="40" t="n">
        <v>-46.590499</v>
      </c>
      <c r="D12886" s="40" t="n">
        <v>558</v>
      </c>
      <c r="E12886" s="41" t="n">
        <v>20022.178</v>
      </c>
    </row>
    <row r="12887">
      <c r="A12887" s="42">
        <f>_xlfn.XLOOKUP(80404,Trip[shape_id],Trip[shape_id],"Não encontrado")</f>
        <v/>
      </c>
      <c r="B12887" s="43" t="n">
        <v>-23.501595</v>
      </c>
      <c r="C12887" s="43" t="n">
        <v>-46.59042</v>
      </c>
      <c r="D12887" s="43" t="n">
        <v>559</v>
      </c>
      <c r="E12887" s="44" t="n">
        <v>20039.248</v>
      </c>
    </row>
    <row r="12888">
      <c r="A12888" s="39">
        <f>_xlfn.XLOOKUP(80404,Trip[shape_id],Trip[shape_id],"Não encontrado")</f>
        <v/>
      </c>
      <c r="B12888" s="40" t="n">
        <v>-23.501453</v>
      </c>
      <c r="C12888" s="40" t="n">
        <v>-46.590355</v>
      </c>
      <c r="D12888" s="40" t="n">
        <v>560</v>
      </c>
      <c r="E12888" s="41" t="n">
        <v>20056.646</v>
      </c>
    </row>
    <row r="12889">
      <c r="A12889" s="42">
        <f>_xlfn.XLOOKUP(80404,Trip[shape_id],Trip[shape_id],"Não encontrado")</f>
        <v/>
      </c>
      <c r="B12889" s="43" t="n">
        <v>-23.501322</v>
      </c>
      <c r="C12889" s="43" t="n">
        <v>-46.590261</v>
      </c>
      <c r="D12889" s="43" t="n">
        <v>561</v>
      </c>
      <c r="E12889" s="44" t="n">
        <v>20076.191</v>
      </c>
    </row>
    <row r="12890">
      <c r="A12890" s="39">
        <f>_xlfn.XLOOKUP(80404,Trip[shape_id],Trip[shape_id],"Não encontrado")</f>
        <v/>
      </c>
      <c r="B12890" s="40" t="n">
        <v>-23.50119</v>
      </c>
      <c r="C12890" s="40" t="n">
        <v>-46.590134</v>
      </c>
      <c r="D12890" s="40" t="n">
        <v>562</v>
      </c>
      <c r="E12890" s="41" t="n">
        <v>20089.41</v>
      </c>
    </row>
    <row r="12891">
      <c r="A12891" s="42">
        <f>_xlfn.XLOOKUP(80404,Trip[shape_id],Trip[shape_id],"Não encontrado")</f>
        <v/>
      </c>
      <c r="B12891" s="43" t="n">
        <v>-23.501111</v>
      </c>
      <c r="C12891" s="43" t="n">
        <v>-46.590037</v>
      </c>
      <c r="D12891" s="43" t="n">
        <v>563</v>
      </c>
      <c r="E12891" s="44" t="n">
        <v>20089.41</v>
      </c>
    </row>
    <row r="12892">
      <c r="A12892" s="39">
        <f>_xlfn.XLOOKUP(80404,Trip[shape_id],Trip[shape_id],"Não encontrado")</f>
        <v/>
      </c>
      <c r="B12892" s="40" t="n">
        <v>-23.501068</v>
      </c>
      <c r="C12892" s="40" t="n">
        <v>-46.589983</v>
      </c>
      <c r="D12892" s="40" t="n">
        <v>564</v>
      </c>
      <c r="E12892" s="41" t="n">
        <v>20096.697</v>
      </c>
    </row>
    <row r="12893">
      <c r="A12893" s="42">
        <f>_xlfn.XLOOKUP(80404,Trip[shape_id],Trip[shape_id],"Não encontrado")</f>
        <v/>
      </c>
      <c r="B12893" s="43" t="n">
        <v>-23.500992</v>
      </c>
      <c r="C12893" s="43" t="n">
        <v>-46.589879</v>
      </c>
      <c r="D12893" s="43" t="n">
        <v>565</v>
      </c>
      <c r="E12893" s="44" t="n">
        <v>20110.25</v>
      </c>
    </row>
    <row r="12894">
      <c r="A12894" s="39">
        <f>_xlfn.XLOOKUP(80404,Trip[shape_id],Trip[shape_id],"Não encontrado")</f>
        <v/>
      </c>
      <c r="B12894" s="40" t="n">
        <v>-23.50093</v>
      </c>
      <c r="C12894" s="40" t="n">
        <v>-46.589801</v>
      </c>
      <c r="D12894" s="40" t="n">
        <v>566</v>
      </c>
      <c r="E12894" s="41" t="n">
        <v>20142.041</v>
      </c>
    </row>
    <row r="12895">
      <c r="A12895" s="42">
        <f>_xlfn.XLOOKUP(80404,Trip[shape_id],Trip[shape_id],"Não encontrado")</f>
        <v/>
      </c>
      <c r="B12895" s="43" t="n">
        <v>-23.500814</v>
      </c>
      <c r="C12895" s="43" t="n">
        <v>-46.589635</v>
      </c>
      <c r="D12895" s="43" t="n">
        <v>567</v>
      </c>
      <c r="E12895" s="44" t="n">
        <v>20142.041</v>
      </c>
    </row>
    <row r="12896">
      <c r="A12896" s="39">
        <f>_xlfn.XLOOKUP(80404,Trip[shape_id],Trip[shape_id],"Não encontrado")</f>
        <v/>
      </c>
      <c r="B12896" s="40" t="n">
        <v>-23.500701</v>
      </c>
      <c r="C12896" s="40" t="n">
        <v>-46.589652</v>
      </c>
      <c r="D12896" s="40" t="n">
        <v>568</v>
      </c>
      <c r="E12896" s="41" t="n">
        <v>20163.398</v>
      </c>
    </row>
    <row r="12897">
      <c r="A12897" s="42">
        <f>_xlfn.XLOOKUP(80404,Trip[shape_id],Trip[shape_id],"Não encontrado")</f>
        <v/>
      </c>
      <c r="B12897" s="43" t="n">
        <v>-23.500624</v>
      </c>
      <c r="C12897" s="43" t="n">
        <v>-46.589634</v>
      </c>
      <c r="D12897" s="43" t="n">
        <v>569</v>
      </c>
      <c r="E12897" s="44" t="n">
        <v>20175.141</v>
      </c>
    </row>
    <row r="12898">
      <c r="A12898" s="39">
        <f>_xlfn.XLOOKUP(80404,Trip[shape_id],Trip[shape_id],"Não encontrado")</f>
        <v/>
      </c>
      <c r="B12898" s="40" t="n">
        <v>-23.500533</v>
      </c>
      <c r="C12898" s="40" t="n">
        <v>-46.589575</v>
      </c>
      <c r="D12898" s="40" t="n">
        <v>570</v>
      </c>
      <c r="E12898" s="41" t="n">
        <v>20188.457</v>
      </c>
    </row>
    <row r="12899">
      <c r="A12899" s="42">
        <f>_xlfn.XLOOKUP(80404,Trip[shape_id],Trip[shape_id],"Não encontrado")</f>
        <v/>
      </c>
      <c r="B12899" s="43" t="n">
        <v>-23.500434</v>
      </c>
      <c r="C12899" s="43" t="n">
        <v>-46.589501</v>
      </c>
      <c r="D12899" s="43" t="n">
        <v>571</v>
      </c>
      <c r="E12899" s="44" t="n">
        <v>20206.408</v>
      </c>
    </row>
    <row r="12900">
      <c r="A12900" s="39">
        <f>_xlfn.XLOOKUP(80404,Trip[shape_id],Trip[shape_id],"Não encontrado")</f>
        <v/>
      </c>
      <c r="B12900" s="40" t="n">
        <v>-23.500321</v>
      </c>
      <c r="C12900" s="40" t="n">
        <v>-46.589375</v>
      </c>
      <c r="D12900" s="40" t="n">
        <v>572</v>
      </c>
      <c r="E12900" s="41" t="n">
        <v>20217.02</v>
      </c>
    </row>
    <row r="12901">
      <c r="A12901" s="42">
        <f>_xlfn.XLOOKUP(80404,Trip[shape_id],Trip[shape_id],"Não encontrado")</f>
        <v/>
      </c>
      <c r="B12901" s="43" t="n">
        <v>-23.500261</v>
      </c>
      <c r="C12901" s="43" t="n">
        <v>-46.589294</v>
      </c>
      <c r="D12901" s="43" t="n">
        <v>573</v>
      </c>
      <c r="E12901" s="44" t="n">
        <v>20229.086</v>
      </c>
    </row>
    <row r="12902">
      <c r="A12902" s="39">
        <f>_xlfn.XLOOKUP(80404,Trip[shape_id],Trip[shape_id],"Não encontrado")</f>
        <v/>
      </c>
      <c r="B12902" s="40" t="n">
        <v>-23.500203</v>
      </c>
      <c r="C12902" s="40" t="n">
        <v>-46.589194</v>
      </c>
      <c r="D12902" s="40" t="n">
        <v>574</v>
      </c>
      <c r="E12902" s="41" t="n">
        <v>20247.201</v>
      </c>
    </row>
    <row r="12903">
      <c r="A12903" s="42">
        <f>_xlfn.XLOOKUP(80404,Trip[shape_id],Trip[shape_id],"Não encontrado")</f>
        <v/>
      </c>
      <c r="B12903" s="43" t="n">
        <v>-23.500143</v>
      </c>
      <c r="C12903" s="43" t="n">
        <v>-46.589029</v>
      </c>
      <c r="D12903" s="43" t="n">
        <v>575</v>
      </c>
      <c r="E12903" s="44" t="n">
        <v>20296</v>
      </c>
    </row>
    <row r="12904">
      <c r="A12904" s="39">
        <f>_xlfn.XLOOKUP(80404,Trip[shape_id],Trip[shape_id],"Não encontrado")</f>
        <v/>
      </c>
      <c r="B12904" s="40" t="n">
        <v>-23.500024</v>
      </c>
      <c r="C12904" s="40" t="n">
        <v>-46.588569</v>
      </c>
      <c r="D12904" s="40" t="n">
        <v>576</v>
      </c>
      <c r="E12904" s="41" t="n">
        <v>20309.973</v>
      </c>
    </row>
    <row r="12905">
      <c r="A12905" s="42">
        <f>_xlfn.XLOOKUP(80404,Trip[shape_id],Trip[shape_id],"Não encontrado")</f>
        <v/>
      </c>
      <c r="B12905" s="43" t="n">
        <v>-23.499982</v>
      </c>
      <c r="C12905" s="43" t="n">
        <v>-46.58844</v>
      </c>
      <c r="D12905" s="43" t="n">
        <v>577</v>
      </c>
      <c r="E12905" s="44" t="n">
        <v>20326.561</v>
      </c>
    </row>
    <row r="12906">
      <c r="A12906" s="39">
        <f>_xlfn.XLOOKUP(80404,Trip[shape_id],Trip[shape_id],"Não encontrado")</f>
        <v/>
      </c>
      <c r="B12906" s="40" t="n">
        <v>-23.499911</v>
      </c>
      <c r="C12906" s="40" t="n">
        <v>-46.588297</v>
      </c>
      <c r="D12906" s="40" t="n">
        <v>578</v>
      </c>
      <c r="E12906" s="41" t="n">
        <v>20326.561</v>
      </c>
    </row>
    <row r="12907">
      <c r="A12907" s="42">
        <f>_xlfn.XLOOKUP(80404,Trip[shape_id],Trip[shape_id],"Não encontrado")</f>
        <v/>
      </c>
      <c r="B12907" s="43" t="n">
        <v>-23.499807</v>
      </c>
      <c r="C12907" s="43" t="n">
        <v>-46.58812</v>
      </c>
      <c r="D12907" s="43" t="n">
        <v>579</v>
      </c>
      <c r="E12907" s="44" t="n">
        <v>20370.895</v>
      </c>
    </row>
    <row r="12908">
      <c r="A12908" s="39">
        <f>_xlfn.XLOOKUP(80404,Trip[shape_id],Trip[shape_id],"Não encontrado")</f>
        <v/>
      </c>
      <c r="B12908" s="40" t="n">
        <v>-23.499636</v>
      </c>
      <c r="C12908" s="40" t="n">
        <v>-46.587994</v>
      </c>
      <c r="D12908" s="40" t="n">
        <v>580</v>
      </c>
      <c r="E12908" s="41" t="n">
        <v>20390.174</v>
      </c>
    </row>
    <row r="12909">
      <c r="A12909" s="42">
        <f>_xlfn.XLOOKUP(80404,Trip[shape_id],Trip[shape_id],"Não encontrado")</f>
        <v/>
      </c>
      <c r="B12909" s="43" t="n">
        <v>-23.499484</v>
      </c>
      <c r="C12909" s="43" t="n">
        <v>-46.587902</v>
      </c>
      <c r="D12909" s="43" t="n">
        <v>581</v>
      </c>
      <c r="E12909" s="44" t="n">
        <v>20417.875</v>
      </c>
    </row>
    <row r="12910">
      <c r="A12910" s="39">
        <f>_xlfn.XLOOKUP(80404,Trip[shape_id],Trip[shape_id],"Não encontrado")</f>
        <v/>
      </c>
      <c r="B12910" s="40" t="n">
        <v>-23.499275</v>
      </c>
      <c r="C12910" s="40" t="n">
        <v>-46.587753</v>
      </c>
      <c r="D12910" s="40" t="n">
        <v>582</v>
      </c>
      <c r="E12910" s="41" t="n">
        <v>20440.566</v>
      </c>
    </row>
    <row r="12911">
      <c r="A12911" s="42">
        <f>_xlfn.XLOOKUP(80404,Trip[shape_id],Trip[shape_id],"Não encontrado")</f>
        <v/>
      </c>
      <c r="B12911" s="43" t="n">
        <v>-23.499105</v>
      </c>
      <c r="C12911" s="43" t="n">
        <v>-46.587629</v>
      </c>
      <c r="D12911" s="43" t="n">
        <v>583</v>
      </c>
      <c r="E12911" s="44" t="n">
        <v>20440.566</v>
      </c>
    </row>
    <row r="12912">
      <c r="A12912" s="39">
        <f>_xlfn.XLOOKUP(80404,Trip[shape_id],Trip[shape_id],"Não encontrado")</f>
        <v/>
      </c>
      <c r="B12912" s="40" t="n">
        <v>-23.498894</v>
      </c>
      <c r="C12912" s="40" t="n">
        <v>-46.587452</v>
      </c>
      <c r="D12912" s="40" t="n">
        <v>584</v>
      </c>
      <c r="E12912" s="41" t="n">
        <v>20487.195</v>
      </c>
    </row>
    <row r="12913">
      <c r="A12913" s="42">
        <f>_xlfn.XLOOKUP(80404,Trip[shape_id],Trip[shape_id],"Não encontrado")</f>
        <v/>
      </c>
      <c r="B12913" s="43" t="n">
        <v>-23.498777</v>
      </c>
      <c r="C12913" s="43" t="n">
        <v>-46.587343</v>
      </c>
      <c r="D12913" s="43" t="n">
        <v>585</v>
      </c>
      <c r="E12913" s="44" t="n">
        <v>20511.277</v>
      </c>
    </row>
    <row r="12914">
      <c r="A12914" s="39">
        <f>_xlfn.XLOOKUP(80404,Trip[shape_id],Trip[shape_id],"Não encontrado")</f>
        <v/>
      </c>
      <c r="B12914" s="40" t="n">
        <v>-23.498647</v>
      </c>
      <c r="C12914" s="40" t="n">
        <v>-46.587154</v>
      </c>
      <c r="D12914" s="40" t="n">
        <v>586</v>
      </c>
      <c r="E12914" s="41" t="n">
        <v>20588.227</v>
      </c>
    </row>
    <row r="12915">
      <c r="A12915" s="42">
        <f>_xlfn.XLOOKUP(80404,Trip[shape_id],Trip[shape_id],"Não encontrado")</f>
        <v/>
      </c>
      <c r="B12915" s="43" t="n">
        <v>-23.498238</v>
      </c>
      <c r="C12915" s="43" t="n">
        <v>-46.586545</v>
      </c>
      <c r="D12915" s="43" t="n">
        <v>587</v>
      </c>
      <c r="E12915" s="44" t="n">
        <v>20588.227</v>
      </c>
    </row>
    <row r="12916">
      <c r="A12916" s="39">
        <f>_xlfn.XLOOKUP(80404,Trip[shape_id],Trip[shape_id],"Não encontrado")</f>
        <v/>
      </c>
      <c r="B12916" s="40" t="n">
        <v>-23.498009</v>
      </c>
      <c r="C12916" s="40" t="n">
        <v>-46.586306</v>
      </c>
      <c r="D12916" s="40" t="n">
        <v>588</v>
      </c>
      <c r="E12916" s="41" t="n">
        <v>20659.67</v>
      </c>
    </row>
    <row r="12917">
      <c r="A12917" s="42">
        <f>_xlfn.XLOOKUP(80404,Trip[shape_id],Trip[shape_id],"Não encontrado")</f>
        <v/>
      </c>
      <c r="B12917" s="43" t="n">
        <v>-23.497735</v>
      </c>
      <c r="C12917" s="43" t="n">
        <v>-46.586112</v>
      </c>
      <c r="D12917" s="43" t="n">
        <v>589</v>
      </c>
      <c r="E12917" s="44" t="n">
        <v>20670.982</v>
      </c>
    </row>
    <row r="12918">
      <c r="A12918" s="39">
        <f>_xlfn.XLOOKUP(80404,Trip[shape_id],Trip[shape_id],"Não encontrado")</f>
        <v/>
      </c>
      <c r="B12918" s="40" t="n">
        <v>-23.497651</v>
      </c>
      <c r="C12918" s="40" t="n">
        <v>-46.586049</v>
      </c>
      <c r="D12918" s="40" t="n">
        <v>590</v>
      </c>
      <c r="E12918" s="41" t="n">
        <v>20670.982</v>
      </c>
    </row>
    <row r="12919">
      <c r="A12919" s="42">
        <f>_xlfn.XLOOKUP(80404,Trip[shape_id],Trip[shape_id],"Não encontrado")</f>
        <v/>
      </c>
      <c r="B12919" s="43" t="n">
        <v>-23.49743</v>
      </c>
      <c r="C12919" s="43" t="n">
        <v>-46.585998</v>
      </c>
      <c r="D12919" s="43" t="n">
        <v>591</v>
      </c>
      <c r="E12919" s="44" t="n">
        <v>20713.795</v>
      </c>
    </row>
    <row r="12920">
      <c r="A12920" s="39">
        <f>_xlfn.XLOOKUP(80404,Trip[shape_id],Trip[shape_id],"Não encontrado")</f>
        <v/>
      </c>
      <c r="B12920" s="40" t="n">
        <v>-23.497277</v>
      </c>
      <c r="C12920" s="40" t="n">
        <v>-46.585945</v>
      </c>
      <c r="D12920" s="40" t="n">
        <v>592</v>
      </c>
      <c r="E12920" s="41" t="n">
        <v>20751.99</v>
      </c>
    </row>
    <row r="12921">
      <c r="A12921" s="42">
        <f>_xlfn.XLOOKUP(80404,Trip[shape_id],Trip[shape_id],"Não encontrado")</f>
        <v/>
      </c>
      <c r="B12921" s="43" t="n">
        <v>-23.496951</v>
      </c>
      <c r="C12921" s="43" t="n">
        <v>-46.585823</v>
      </c>
      <c r="D12921" s="43" t="n">
        <v>593</v>
      </c>
      <c r="E12921" s="44" t="n">
        <v>20751.99</v>
      </c>
    </row>
    <row r="12922">
      <c r="A12922" s="39">
        <f>_xlfn.XLOOKUP(80404,Trip[shape_id],Trip[shape_id],"Não encontrado")</f>
        <v/>
      </c>
      <c r="B12922" s="40" t="n">
        <v>-23.496709</v>
      </c>
      <c r="C12922" s="40" t="n">
        <v>-46.586497</v>
      </c>
      <c r="D12922" s="40" t="n">
        <v>594</v>
      </c>
      <c r="E12922" s="41" t="n">
        <v>20825.867</v>
      </c>
    </row>
    <row r="12923">
      <c r="A12923" s="42">
        <f>_xlfn.XLOOKUP(80404,Trip[shape_id],Trip[shape_id],"Não encontrado")</f>
        <v/>
      </c>
      <c r="B12923" s="43" t="n">
        <v>-23.496566</v>
      </c>
      <c r="C12923" s="43" t="n">
        <v>-46.586347</v>
      </c>
      <c r="D12923" s="43" t="n">
        <v>595</v>
      </c>
      <c r="E12923" s="44" t="n">
        <v>20847.902</v>
      </c>
    </row>
    <row r="12924">
      <c r="A12924" s="39">
        <f>_xlfn.XLOOKUP(80404,Trip[shape_id],Trip[shape_id],"Não encontrado")</f>
        <v/>
      </c>
      <c r="B12924" s="40" t="n">
        <v>-23.496163</v>
      </c>
      <c r="C12924" s="40" t="n">
        <v>-46.585925</v>
      </c>
      <c r="D12924" s="40" t="n">
        <v>596</v>
      </c>
      <c r="E12924" s="41" t="n">
        <v>20909.951</v>
      </c>
    </row>
    <row r="12925">
      <c r="A12925" s="42">
        <f>_xlfn.XLOOKUP(80404,Trip[shape_id],Trip[shape_id],"Não encontrado")</f>
        <v/>
      </c>
      <c r="B12925" s="43" t="n">
        <v>-23.49559</v>
      </c>
      <c r="C12925" s="43" t="n">
        <v>-46.585326</v>
      </c>
      <c r="D12925" s="43" t="n">
        <v>597</v>
      </c>
      <c r="E12925" s="44" t="n">
        <v>21047.279</v>
      </c>
    </row>
    <row r="12926">
      <c r="A12926" s="39">
        <f>_xlfn.XLOOKUP(80404,Trip[shape_id],Trip[shape_id],"Não encontrado")</f>
        <v/>
      </c>
      <c r="B12926" s="40" t="n">
        <v>-23.495272</v>
      </c>
      <c r="C12926" s="40" t="n">
        <v>-46.58499</v>
      </c>
      <c r="D12926" s="40" t="n">
        <v>598</v>
      </c>
      <c r="E12926" s="41" t="n">
        <v>21068.625</v>
      </c>
    </row>
    <row r="12927">
      <c r="A12927" s="42">
        <f>_xlfn.XLOOKUP(80404,Trip[shape_id],Trip[shape_id],"Não encontrado")</f>
        <v/>
      </c>
      <c r="B12927" s="43" t="n">
        <v>-23.495135</v>
      </c>
      <c r="C12927" s="43" t="n">
        <v>-46.584843</v>
      </c>
      <c r="D12927" s="43" t="n">
        <v>599</v>
      </c>
      <c r="E12927" s="44" t="n">
        <v>21068.625</v>
      </c>
    </row>
    <row r="12928">
      <c r="A12928" s="39">
        <f>_xlfn.XLOOKUP(80404,Trip[shape_id],Trip[shape_id],"Não encontrado")</f>
        <v/>
      </c>
      <c r="B12928" s="40" t="n">
        <v>-23.495093</v>
      </c>
      <c r="C12928" s="40" t="n">
        <v>-46.584693</v>
      </c>
      <c r="D12928" s="40" t="n">
        <v>600</v>
      </c>
      <c r="E12928" s="41" t="n">
        <v>21106.313</v>
      </c>
    </row>
    <row r="12929">
      <c r="A12929" s="42">
        <f>_xlfn.XLOOKUP(80404,Trip[shape_id],Trip[shape_id],"Não encontrado")</f>
        <v/>
      </c>
      <c r="B12929" s="43" t="n">
        <v>-23.495018</v>
      </c>
      <c r="C12929" s="43" t="n">
        <v>-46.584497</v>
      </c>
      <c r="D12929" s="43" t="n">
        <v>601</v>
      </c>
      <c r="E12929" s="44" t="n">
        <v>21116.908</v>
      </c>
    </row>
    <row r="12930">
      <c r="A12930" s="39">
        <f>_xlfn.XLOOKUP(80404,Trip[shape_id],Trip[shape_id],"Não encontrado")</f>
        <v/>
      </c>
      <c r="B12930" s="40" t="n">
        <v>-23.494956</v>
      </c>
      <c r="C12930" s="40" t="n">
        <v>-46.584418</v>
      </c>
      <c r="D12930" s="40" t="n">
        <v>602</v>
      </c>
      <c r="E12930" s="41" t="n">
        <v>21132.91</v>
      </c>
    </row>
    <row r="12931">
      <c r="A12931" s="42">
        <f>_xlfn.XLOOKUP(80404,Trip[shape_id],Trip[shape_id],"Não encontrado")</f>
        <v/>
      </c>
      <c r="B12931" s="43" t="n">
        <v>-23.494925</v>
      </c>
      <c r="C12931" s="43" t="n">
        <v>-46.584265</v>
      </c>
      <c r="D12931" s="43" t="n">
        <v>603</v>
      </c>
      <c r="E12931" s="44" t="n">
        <v>21132.91</v>
      </c>
    </row>
    <row r="12932">
      <c r="A12932" s="39">
        <f>_xlfn.XLOOKUP(80404,Trip[shape_id],Trip[shape_id],"Não encontrado")</f>
        <v/>
      </c>
      <c r="B12932" s="40" t="n">
        <v>-23.494873</v>
      </c>
      <c r="C12932" s="40" t="n">
        <v>-46.58397</v>
      </c>
      <c r="D12932" s="40" t="n">
        <v>604</v>
      </c>
      <c r="E12932" s="41" t="n">
        <v>21199.85</v>
      </c>
    </row>
    <row r="12933">
      <c r="A12933" s="42">
        <f>_xlfn.XLOOKUP(80404,Trip[shape_id],Trip[shape_id],"Não encontrado")</f>
        <v/>
      </c>
      <c r="B12933" s="43" t="n">
        <v>-23.494824</v>
      </c>
      <c r="C12933" s="43" t="n">
        <v>-46.583619</v>
      </c>
      <c r="D12933" s="43" t="n">
        <v>605</v>
      </c>
      <c r="E12933" s="44" t="n">
        <v>21199.85</v>
      </c>
    </row>
    <row r="12934">
      <c r="A12934" s="39">
        <f>_xlfn.XLOOKUP(80404,Trip[shape_id],Trip[shape_id],"Não encontrado")</f>
        <v/>
      </c>
      <c r="B12934" s="40" t="n">
        <v>-23.494744</v>
      </c>
      <c r="C12934" s="40" t="n">
        <v>-46.582984</v>
      </c>
      <c r="D12934" s="40" t="n">
        <v>606</v>
      </c>
      <c r="E12934" s="41" t="n">
        <v>21265.314</v>
      </c>
    </row>
    <row r="12935">
      <c r="A12935" s="42">
        <f>_xlfn.XLOOKUP(80404,Trip[shape_id],Trip[shape_id],"Não encontrado")</f>
        <v/>
      </c>
      <c r="B12935" s="43" t="n">
        <v>-23.494798</v>
      </c>
      <c r="C12935" s="43" t="n">
        <v>-46.58252</v>
      </c>
      <c r="D12935" s="43" t="n">
        <v>607</v>
      </c>
      <c r="E12935" s="44" t="n">
        <v>21422.729</v>
      </c>
    </row>
    <row r="12936">
      <c r="A12936" s="39">
        <f>_xlfn.XLOOKUP(80404,Trip[shape_id],Trip[shape_id],"Não encontrado")</f>
        <v/>
      </c>
      <c r="B12936" s="40" t="n">
        <v>-23.494954</v>
      </c>
      <c r="C12936" s="40" t="n">
        <v>-46.58146</v>
      </c>
      <c r="D12936" s="40" t="n">
        <v>608</v>
      </c>
      <c r="E12936" s="41" t="n">
        <v>21447.064</v>
      </c>
    </row>
    <row r="12937">
      <c r="A12937" s="42">
        <f>_xlfn.XLOOKUP(80404,Trip[shape_id],Trip[shape_id],"Não encontrado")</f>
        <v/>
      </c>
      <c r="B12937" s="43" t="n">
        <v>-23.494964</v>
      </c>
      <c r="C12937" s="43" t="n">
        <v>-46.581222</v>
      </c>
      <c r="D12937" s="43" t="n">
        <v>609</v>
      </c>
      <c r="E12937" s="44" t="n">
        <v>21447.064</v>
      </c>
    </row>
    <row r="12938">
      <c r="A12938" s="39">
        <f>_xlfn.XLOOKUP(80404,Trip[shape_id],Trip[shape_id],"Não encontrado")</f>
        <v/>
      </c>
      <c r="B12938" s="40" t="n">
        <v>-23.494983</v>
      </c>
      <c r="C12938" s="40" t="n">
        <v>-46.580865</v>
      </c>
      <c r="D12938" s="40" t="n">
        <v>610</v>
      </c>
      <c r="E12938" s="41" t="n">
        <v>21483.59</v>
      </c>
    </row>
    <row r="12939">
      <c r="A12939" s="42">
        <f>_xlfn.XLOOKUP(80404,Trip[shape_id],Trip[shape_id],"Não encontrado")</f>
        <v/>
      </c>
      <c r="B12939" s="43" t="n">
        <v>-23.494992</v>
      </c>
      <c r="C12939" s="43" t="n">
        <v>-46.580613</v>
      </c>
      <c r="D12939" s="43" t="n">
        <v>611</v>
      </c>
      <c r="E12939" s="44" t="n">
        <v>21509.35</v>
      </c>
    </row>
    <row r="12940">
      <c r="A12940" s="39">
        <f>_xlfn.XLOOKUP(80404,Trip[shape_id],Trip[shape_id],"Não encontrado")</f>
        <v/>
      </c>
      <c r="B12940" s="40" t="n">
        <v>-23.495001</v>
      </c>
      <c r="C12940" s="40" t="n">
        <v>-46.580326</v>
      </c>
      <c r="D12940" s="40" t="n">
        <v>612</v>
      </c>
      <c r="E12940" s="41" t="n">
        <v>21538.682</v>
      </c>
    </row>
    <row r="12941">
      <c r="A12941" s="42">
        <f>_xlfn.XLOOKUP(80404,Trip[shape_id],Trip[shape_id],"Não encontrado")</f>
        <v/>
      </c>
      <c r="B12941" s="43" t="n">
        <v>-23.495028</v>
      </c>
      <c r="C12941" s="43" t="n">
        <v>-46.579579</v>
      </c>
      <c r="D12941" s="43" t="n">
        <v>613</v>
      </c>
      <c r="E12941" s="44" t="n">
        <v>21615.043</v>
      </c>
    </row>
    <row r="12942">
      <c r="A12942" s="39">
        <f>_xlfn.XLOOKUP(80404,Trip[shape_id],Trip[shape_id],"Não encontrado")</f>
        <v/>
      </c>
      <c r="B12942" s="40" t="n">
        <v>-23.49503</v>
      </c>
      <c r="C12942" s="40" t="n">
        <v>-46.579507</v>
      </c>
      <c r="D12942" s="40" t="n">
        <v>614</v>
      </c>
      <c r="E12942" s="41" t="n">
        <v>21649.105</v>
      </c>
    </row>
    <row r="12943">
      <c r="A12943" s="42">
        <f>_xlfn.XLOOKUP(80404,Trip[shape_id],Trip[shape_id],"Não encontrado")</f>
        <v/>
      </c>
      <c r="B12943" s="43" t="n">
        <v>-23.495069</v>
      </c>
      <c r="C12943" s="43" t="n">
        <v>-46.579249</v>
      </c>
      <c r="D12943" s="43" t="n">
        <v>615</v>
      </c>
      <c r="E12943" s="44" t="n">
        <v>21649.105</v>
      </c>
    </row>
    <row r="12944">
      <c r="A12944" s="39">
        <f>_xlfn.XLOOKUP(80404,Trip[shape_id],Trip[shape_id],"Não encontrado")</f>
        <v/>
      </c>
      <c r="B12944" s="40" t="n">
        <v>-23.495193</v>
      </c>
      <c r="C12944" s="40" t="n">
        <v>-46.578434</v>
      </c>
      <c r="D12944" s="40" t="n">
        <v>616</v>
      </c>
      <c r="E12944" s="41" t="n">
        <v>21779.766</v>
      </c>
    </row>
    <row r="12945">
      <c r="A12945" s="42">
        <f>_xlfn.XLOOKUP(80404,Trip[shape_id],Trip[shape_id],"Não encontrado")</f>
        <v/>
      </c>
      <c r="B12945" s="43" t="n">
        <v>-23.495267</v>
      </c>
      <c r="C12945" s="43" t="n">
        <v>-46.577988</v>
      </c>
      <c r="D12945" s="43" t="n">
        <v>617</v>
      </c>
      <c r="E12945" s="44" t="n">
        <v>21779.766</v>
      </c>
    </row>
    <row r="12946">
      <c r="A12946" s="39">
        <f>_xlfn.XLOOKUP(80404,Trip[shape_id],Trip[shape_id],"Não encontrado")</f>
        <v/>
      </c>
      <c r="B12946" s="40" t="n">
        <v>-23.495281</v>
      </c>
      <c r="C12946" s="40" t="n">
        <v>-46.577882</v>
      </c>
      <c r="D12946" s="40" t="n">
        <v>618</v>
      </c>
      <c r="E12946" s="41" t="n">
        <v>21790.703</v>
      </c>
    </row>
    <row r="12947">
      <c r="A12947" s="42">
        <f>_xlfn.XLOOKUP(80404,Trip[shape_id],Trip[shape_id],"Não encontrado")</f>
        <v/>
      </c>
      <c r="B12947" s="43" t="n">
        <v>-23.495336</v>
      </c>
      <c r="C12947" s="43" t="n">
        <v>-46.57755</v>
      </c>
      <c r="D12947" s="43" t="n">
        <v>619</v>
      </c>
      <c r="E12947" s="44" t="n">
        <v>21849.275</v>
      </c>
    </row>
    <row r="12948">
      <c r="A12948" s="39">
        <f>_xlfn.XLOOKUP(80404,Trip[shape_id],Trip[shape_id],"Não encontrado")</f>
        <v/>
      </c>
      <c r="B12948" s="40" t="n">
        <v>-23.495402</v>
      </c>
      <c r="C12948" s="40" t="n">
        <v>-46.577325</v>
      </c>
      <c r="D12948" s="40" t="n">
        <v>620</v>
      </c>
      <c r="E12948" s="41" t="n">
        <v>21849.275</v>
      </c>
    </row>
    <row r="12949">
      <c r="A12949" s="42">
        <f>_xlfn.XLOOKUP(80404,Trip[shape_id],Trip[shape_id],"Não encontrado")</f>
        <v/>
      </c>
      <c r="B12949" s="43" t="n">
        <v>-23.495465</v>
      </c>
      <c r="C12949" s="43" t="n">
        <v>-46.577206</v>
      </c>
      <c r="D12949" s="43" t="n">
        <v>621</v>
      </c>
      <c r="E12949" s="44" t="n">
        <v>21863.291</v>
      </c>
    </row>
    <row r="12950">
      <c r="A12950" s="39">
        <f>_xlfn.XLOOKUP(80404,Trip[shape_id],Trip[shape_id],"Não encontrado")</f>
        <v/>
      </c>
      <c r="B12950" s="40" t="n">
        <v>-23.495538</v>
      </c>
      <c r="C12950" s="40" t="n">
        <v>-46.57706</v>
      </c>
      <c r="D12950" s="40" t="n">
        <v>622</v>
      </c>
      <c r="E12950" s="41" t="n">
        <v>21884.461</v>
      </c>
    </row>
    <row r="12951">
      <c r="A12951" s="42">
        <f>_xlfn.XLOOKUP(80404,Trip[shape_id],Trip[shape_id],"Não encontrado")</f>
        <v/>
      </c>
      <c r="B12951" s="43" t="n">
        <v>-23.495563</v>
      </c>
      <c r="C12951" s="43" t="n">
        <v>-46.577029</v>
      </c>
      <c r="D12951" s="43" t="n">
        <v>623</v>
      </c>
      <c r="E12951" s="44" t="n">
        <v>21884.461</v>
      </c>
    </row>
    <row r="12952">
      <c r="A12952" s="39">
        <f>_xlfn.XLOOKUP(80404,Trip[shape_id],Trip[shape_id],"Não encontrado")</f>
        <v/>
      </c>
      <c r="B12952" s="40" t="n">
        <v>-23.495781</v>
      </c>
      <c r="C12952" s="40" t="n">
        <v>-46.576792</v>
      </c>
      <c r="D12952" s="40" t="n">
        <v>624</v>
      </c>
      <c r="E12952" s="41" t="n">
        <v>21918.65</v>
      </c>
    </row>
    <row r="12953">
      <c r="A12953" s="42">
        <f>_xlfn.XLOOKUP(80404,Trip[shape_id],Trip[shape_id],"Não encontrado")</f>
        <v/>
      </c>
      <c r="B12953" s="43" t="n">
        <v>-23.49602</v>
      </c>
      <c r="C12953" s="43" t="n">
        <v>-46.576525</v>
      </c>
      <c r="D12953" s="43" t="n">
        <v>625</v>
      </c>
      <c r="E12953" s="44" t="n">
        <v>21998.195</v>
      </c>
    </row>
    <row r="12954">
      <c r="A12954" s="39">
        <f>_xlfn.XLOOKUP(80404,Trip[shape_id],Trip[shape_id],"Não encontrado")</f>
        <v/>
      </c>
      <c r="B12954" s="40" t="n">
        <v>-23.496282</v>
      </c>
      <c r="C12954" s="40" t="n">
        <v>-46.576234</v>
      </c>
      <c r="D12954" s="40" t="n">
        <v>626</v>
      </c>
      <c r="E12954" s="41" t="n">
        <v>21998.195</v>
      </c>
    </row>
    <row r="12955">
      <c r="A12955" s="42">
        <f>_xlfn.XLOOKUP(80404,Trip[shape_id],Trip[shape_id],"Não encontrado")</f>
        <v/>
      </c>
      <c r="B12955" s="43" t="n">
        <v>-23.496632</v>
      </c>
      <c r="C12955" s="43" t="n">
        <v>-46.575844</v>
      </c>
      <c r="D12955" s="43" t="n">
        <v>627</v>
      </c>
      <c r="E12955" s="44" t="n">
        <v>22053.777</v>
      </c>
    </row>
    <row r="12956">
      <c r="A12956" s="39">
        <f>_xlfn.XLOOKUP(80404,Trip[shape_id],Trip[shape_id],"Não encontrado")</f>
        <v/>
      </c>
      <c r="B12956" s="40" t="n">
        <v>-23.496551</v>
      </c>
      <c r="C12956" s="40" t="n">
        <v>-46.57576</v>
      </c>
      <c r="D12956" s="40" t="n">
        <v>628</v>
      </c>
      <c r="E12956" s="41" t="n">
        <v>22081.143</v>
      </c>
    </row>
    <row r="12957">
      <c r="A12957" s="42">
        <f>_xlfn.XLOOKUP(80404,Trip[shape_id],Trip[shape_id],"Não encontrado")</f>
        <v/>
      </c>
      <c r="B12957" s="43" t="n">
        <v>-23.496456</v>
      </c>
      <c r="C12957" s="43" t="n">
        <v>-46.575656</v>
      </c>
      <c r="D12957" s="43" t="n">
        <v>629</v>
      </c>
      <c r="E12957" s="44" t="n">
        <v>22081.143</v>
      </c>
    </row>
    <row r="12958">
      <c r="A12958" s="39">
        <f>_xlfn.XLOOKUP(80404,Trip[shape_id],Trip[shape_id],"Não encontrado")</f>
        <v/>
      </c>
      <c r="B12958" s="40" t="n">
        <v>-23.495973</v>
      </c>
      <c r="C12958" s="40" t="n">
        <v>-46.575733</v>
      </c>
      <c r="D12958" s="40" t="n">
        <v>630</v>
      </c>
      <c r="E12958" s="41" t="n">
        <v>22151.916</v>
      </c>
    </row>
    <row r="12959">
      <c r="A12959" s="42">
        <f>_xlfn.XLOOKUP(80404,Trip[shape_id],Trip[shape_id],"Não encontrado")</f>
        <v/>
      </c>
      <c r="B12959" s="43" t="n">
        <v>-23.49583</v>
      </c>
      <c r="C12959" s="43" t="n">
        <v>-46.575785</v>
      </c>
      <c r="D12959" s="43" t="n">
        <v>631</v>
      </c>
      <c r="E12959" s="44" t="n">
        <v>22168.469</v>
      </c>
    </row>
    <row r="12960">
      <c r="A12960" s="39">
        <f>_xlfn.XLOOKUP(80404,Trip[shape_id],Trip[shape_id],"Não encontrado")</f>
        <v/>
      </c>
      <c r="B12960" s="40" t="n">
        <v>-23.495699</v>
      </c>
      <c r="C12960" s="40" t="n">
        <v>-46.575863</v>
      </c>
      <c r="D12960" s="40" t="n">
        <v>632</v>
      </c>
      <c r="E12960" s="41" t="n">
        <v>22179.951</v>
      </c>
    </row>
    <row r="12961">
      <c r="A12961" s="42">
        <f>_xlfn.XLOOKUP(80404,Trip[shape_id],Trip[shape_id],"Não encontrado")</f>
        <v/>
      </c>
      <c r="B12961" s="43" t="n">
        <v>-23.495604</v>
      </c>
      <c r="C12961" s="43" t="n">
        <v>-46.575908</v>
      </c>
      <c r="D12961" s="43" t="n">
        <v>633</v>
      </c>
      <c r="E12961" s="44" t="n">
        <v>22179.951</v>
      </c>
    </row>
    <row r="12962">
      <c r="A12962" s="39">
        <f>_xlfn.XLOOKUP(80404,Trip[shape_id],Trip[shape_id],"Não encontrado")</f>
        <v/>
      </c>
      <c r="B12962" s="40" t="n">
        <v>-23.495483</v>
      </c>
      <c r="C12962" s="40" t="n">
        <v>-46.575936</v>
      </c>
      <c r="D12962" s="40" t="n">
        <v>634</v>
      </c>
      <c r="E12962" s="41" t="n">
        <v>22209.293</v>
      </c>
    </row>
    <row r="12963">
      <c r="A12963" s="42">
        <f>_xlfn.XLOOKUP(80404,Trip[shape_id],Trip[shape_id],"Não encontrado")</f>
        <v/>
      </c>
      <c r="B12963" s="43" t="n">
        <v>-23.495344</v>
      </c>
      <c r="C12963" s="43" t="n">
        <v>-46.575963</v>
      </c>
      <c r="D12963" s="43" t="n">
        <v>635</v>
      </c>
      <c r="E12963" s="44" t="n">
        <v>22226.748</v>
      </c>
    </row>
    <row r="12964">
      <c r="A12964" s="39">
        <f>_xlfn.XLOOKUP(80404,Trip[shape_id],Trip[shape_id],"Não encontrado")</f>
        <v/>
      </c>
      <c r="B12964" s="40" t="n">
        <v>-23.495187</v>
      </c>
      <c r="C12964" s="40" t="n">
        <v>-46.575948</v>
      </c>
      <c r="D12964" s="40" t="n">
        <v>636</v>
      </c>
      <c r="E12964" s="41" t="n">
        <v>22226.748</v>
      </c>
    </row>
    <row r="12965">
      <c r="A12965" s="42">
        <f>_xlfn.XLOOKUP(80404,Trip[shape_id],Trip[shape_id],"Não encontrado")</f>
        <v/>
      </c>
      <c r="B12965" s="43" t="n">
        <v>-23.495113</v>
      </c>
      <c r="C12965" s="43" t="n">
        <v>-46.575934</v>
      </c>
      <c r="D12965" s="43" t="n">
        <v>637</v>
      </c>
      <c r="E12965" s="44" t="n">
        <v>22245.736</v>
      </c>
    </row>
    <row r="12966">
      <c r="A12966" s="39">
        <f>_xlfn.XLOOKUP(80404,Trip[shape_id],Trip[shape_id],"Não encontrado")</f>
        <v/>
      </c>
      <c r="B12966" s="40" t="n">
        <v>-23.495021</v>
      </c>
      <c r="C12966" s="40" t="n">
        <v>-46.575903</v>
      </c>
      <c r="D12966" s="40" t="n">
        <v>638</v>
      </c>
      <c r="E12966" s="41" t="n">
        <v>22257.324</v>
      </c>
    </row>
    <row r="12967">
      <c r="A12967" s="42">
        <f>_xlfn.XLOOKUP(80404,Trip[shape_id],Trip[shape_id],"Não encontrado")</f>
        <v/>
      </c>
      <c r="B12967" s="43" t="n">
        <v>-23.49493</v>
      </c>
      <c r="C12967" s="43" t="n">
        <v>-46.575847</v>
      </c>
      <c r="D12967" s="43" t="n">
        <v>639</v>
      </c>
      <c r="E12967" s="44" t="n">
        <v>22268.02</v>
      </c>
    </row>
    <row r="12968">
      <c r="A12968" s="39">
        <f>_xlfn.XLOOKUP(80404,Trip[shape_id],Trip[shape_id],"Não encontrado")</f>
        <v/>
      </c>
      <c r="B12968" s="40" t="n">
        <v>-23.494849</v>
      </c>
      <c r="C12968" s="40" t="n">
        <v>-46.57579</v>
      </c>
      <c r="D12968" s="40" t="n">
        <v>640</v>
      </c>
      <c r="E12968" s="41" t="n">
        <v>22316.316</v>
      </c>
    </row>
    <row r="12969">
      <c r="A12969" s="42">
        <f>_xlfn.XLOOKUP(80404,Trip[shape_id],Trip[shape_id],"Não encontrado")</f>
        <v/>
      </c>
      <c r="B12969" s="43" t="n">
        <v>-23.494491</v>
      </c>
      <c r="C12969" s="43" t="n">
        <v>-46.57552</v>
      </c>
      <c r="D12969" s="43" t="n">
        <v>641</v>
      </c>
      <c r="E12969" s="44" t="n">
        <v>22316.316</v>
      </c>
    </row>
    <row r="12970">
      <c r="A12970" s="39">
        <f>_xlfn.XLOOKUP(80404,Trip[shape_id],Trip[shape_id],"Não encontrado")</f>
        <v/>
      </c>
      <c r="B12970" s="40" t="n">
        <v>-23.494086</v>
      </c>
      <c r="C12970" s="40" t="n">
        <v>-46.57521</v>
      </c>
      <c r="D12970" s="40" t="n">
        <v>642</v>
      </c>
      <c r="E12970" s="41" t="n">
        <v>22371.221</v>
      </c>
    </row>
    <row r="12971">
      <c r="A12971" s="42">
        <f>_xlfn.XLOOKUP(80404,Trip[shape_id],Trip[shape_id],"Não encontrado")</f>
        <v/>
      </c>
      <c r="B12971" s="43" t="n">
        <v>-23.493202</v>
      </c>
      <c r="C12971" s="43" t="n">
        <v>-46.574526</v>
      </c>
      <c r="D12971" s="43" t="n">
        <v>643</v>
      </c>
      <c r="E12971" s="44" t="n">
        <v>22491.498</v>
      </c>
    </row>
    <row r="12972">
      <c r="A12972" s="39">
        <f>_xlfn.XLOOKUP(80404,Trip[shape_id],Trip[shape_id],"Não encontrado")</f>
        <v/>
      </c>
      <c r="B12972" s="40" t="n">
        <v>-23.493065</v>
      </c>
      <c r="C12972" s="40" t="n">
        <v>-46.574393</v>
      </c>
      <c r="D12972" s="40" t="n">
        <v>644</v>
      </c>
      <c r="E12972" s="41" t="n">
        <v>22522.34</v>
      </c>
    </row>
    <row r="12973">
      <c r="A12973" s="42">
        <f>_xlfn.XLOOKUP(80404,Trip[shape_id],Trip[shape_id],"Não encontrado")</f>
        <v/>
      </c>
      <c r="B12973" s="43" t="n">
        <v>-23.493007</v>
      </c>
      <c r="C12973" s="43" t="n">
        <v>-46.574312</v>
      </c>
      <c r="D12973" s="43" t="n">
        <v>645</v>
      </c>
      <c r="E12973" s="44" t="n">
        <v>22522.34</v>
      </c>
    </row>
    <row r="12974">
      <c r="A12974" s="39">
        <f>_xlfn.XLOOKUP(80404,Trip[shape_id],Trip[shape_id],"Não encontrado")</f>
        <v/>
      </c>
      <c r="B12974" s="40" t="n">
        <v>-23.49293</v>
      </c>
      <c r="C12974" s="40" t="n">
        <v>-46.574148</v>
      </c>
      <c r="D12974" s="40" t="n">
        <v>646</v>
      </c>
      <c r="E12974" s="41" t="n">
        <v>22541.137</v>
      </c>
    </row>
    <row r="12975">
      <c r="A12975" s="42">
        <f>_xlfn.XLOOKUP(80404,Trip[shape_id],Trip[shape_id],"Não encontrado")</f>
        <v/>
      </c>
      <c r="B12975" s="43" t="n">
        <v>-23.492841</v>
      </c>
      <c r="C12975" s="43" t="n">
        <v>-46.574097</v>
      </c>
      <c r="D12975" s="43" t="n">
        <v>647</v>
      </c>
      <c r="E12975" s="44" t="n">
        <v>22557.168</v>
      </c>
    </row>
    <row r="12976">
      <c r="A12976" s="39">
        <f>_xlfn.XLOOKUP(80404,Trip[shape_id],Trip[shape_id],"Não encontrado")</f>
        <v/>
      </c>
      <c r="B12976" s="40" t="n">
        <v>-23.492804</v>
      </c>
      <c r="C12976" s="40" t="n">
        <v>-46.574071</v>
      </c>
      <c r="D12976" s="40" t="n">
        <v>648</v>
      </c>
      <c r="E12976" s="41" t="n">
        <v>22557.168</v>
      </c>
    </row>
    <row r="12977">
      <c r="A12977" s="42">
        <f>_xlfn.XLOOKUP(80404,Trip[shape_id],Trip[shape_id],"Não encontrado")</f>
        <v/>
      </c>
      <c r="B12977" s="43" t="n">
        <v>-23.492755</v>
      </c>
      <c r="C12977" s="43" t="n">
        <v>-46.574059</v>
      </c>
      <c r="D12977" s="43" t="n">
        <v>649</v>
      </c>
      <c r="E12977" s="44" t="n">
        <v>22562.732</v>
      </c>
    </row>
    <row r="12978">
      <c r="A12978" s="39">
        <f>_xlfn.XLOOKUP(80404,Trip[shape_id],Trip[shape_id],"Não encontrado")</f>
        <v/>
      </c>
      <c r="B12978" s="40" t="n">
        <v>-23.4927</v>
      </c>
      <c r="C12978" s="40" t="n">
        <v>-46.574062</v>
      </c>
      <c r="D12978" s="40" t="n">
        <v>650</v>
      </c>
      <c r="E12978" s="41" t="n">
        <v>22568.832</v>
      </c>
    </row>
    <row r="12979">
      <c r="A12979" s="42">
        <f>_xlfn.XLOOKUP(80404,Trip[shape_id],Trip[shape_id],"Não encontrado")</f>
        <v/>
      </c>
      <c r="B12979" s="43" t="n">
        <v>-23.492634</v>
      </c>
      <c r="C12979" s="43" t="n">
        <v>-46.574078</v>
      </c>
      <c r="D12979" s="43" t="n">
        <v>651</v>
      </c>
      <c r="E12979" s="44" t="n">
        <v>22576.322</v>
      </c>
    </row>
    <row r="12980">
      <c r="A12980" s="39">
        <f>_xlfn.XLOOKUP(80404,Trip[shape_id],Trip[shape_id],"Não encontrado")</f>
        <v/>
      </c>
      <c r="B12980" s="40" t="n">
        <v>-23.492435</v>
      </c>
      <c r="C12980" s="40" t="n">
        <v>-46.5742</v>
      </c>
      <c r="D12980" s="40" t="n">
        <v>652</v>
      </c>
      <c r="E12980" s="41" t="n">
        <v>22601.641</v>
      </c>
    </row>
    <row r="12981">
      <c r="A12981" s="42">
        <f>_xlfn.XLOOKUP(80404,Trip[shape_id],Trip[shape_id],"Não encontrado")</f>
        <v/>
      </c>
      <c r="B12981" s="43" t="n">
        <v>-23.492287</v>
      </c>
      <c r="C12981" s="43" t="n">
        <v>-46.574284</v>
      </c>
      <c r="D12981" s="43" t="n">
        <v>653</v>
      </c>
      <c r="E12981" s="44" t="n">
        <v>22620.143</v>
      </c>
    </row>
    <row r="12982">
      <c r="A12982" s="39">
        <f>_xlfn.XLOOKUP(80404,Trip[shape_id],Trip[shape_id],"Não encontrado")</f>
        <v/>
      </c>
      <c r="B12982" s="40" t="n">
        <v>-23.492137</v>
      </c>
      <c r="C12982" s="40" t="n">
        <v>-46.57437</v>
      </c>
      <c r="D12982" s="40" t="n">
        <v>654</v>
      </c>
      <c r="E12982" s="41" t="n">
        <v>22638.936</v>
      </c>
    </row>
    <row r="12983">
      <c r="A12983" s="42">
        <f>_xlfn.XLOOKUP(80404,Trip[shape_id],Trip[shape_id],"Não encontrado")</f>
        <v/>
      </c>
      <c r="B12983" s="43" t="n">
        <v>-23.491994</v>
      </c>
      <c r="C12983" s="43" t="n">
        <v>-46.574445</v>
      </c>
      <c r="D12983" s="43" t="n">
        <v>655</v>
      </c>
      <c r="E12983" s="44" t="n">
        <v>22664.379</v>
      </c>
    </row>
    <row r="12984">
      <c r="A12984" s="39">
        <f>_xlfn.XLOOKUP(80404,Trip[shape_id],Trip[shape_id],"Não encontrado")</f>
        <v/>
      </c>
      <c r="B12984" s="40" t="n">
        <v>-23.49193</v>
      </c>
      <c r="C12984" s="40" t="n">
        <v>-46.574478</v>
      </c>
      <c r="D12984" s="40" t="n">
        <v>656</v>
      </c>
      <c r="E12984" s="41" t="n">
        <v>22664.379</v>
      </c>
    </row>
    <row r="12985">
      <c r="A12985" s="42">
        <f>_xlfn.XLOOKUP(80404,Trip[shape_id],Trip[shape_id],"Não encontrado")</f>
        <v/>
      </c>
      <c r="B12985" s="43" t="n">
        <v>-23.491861</v>
      </c>
      <c r="C12985" s="43" t="n">
        <v>-46.574476</v>
      </c>
      <c r="D12985" s="43" t="n">
        <v>657</v>
      </c>
      <c r="E12985" s="44" t="n">
        <v>22710.133</v>
      </c>
    </row>
    <row r="12986">
      <c r="A12986" s="39">
        <f>_xlfn.XLOOKUP(80404,Trip[shape_id],Trip[shape_id],"Não encontrado")</f>
        <v/>
      </c>
      <c r="B12986" s="40" t="n">
        <v>-23.491517</v>
      </c>
      <c r="C12986" s="40" t="n">
        <v>-46.574467</v>
      </c>
      <c r="D12986" s="40" t="n">
        <v>658</v>
      </c>
      <c r="E12986" s="41" t="n">
        <v>22710.133</v>
      </c>
    </row>
    <row r="12987">
      <c r="A12987" s="42">
        <f>_xlfn.XLOOKUP(80404,Trip[shape_id],Trip[shape_id],"Não encontrado")</f>
        <v/>
      </c>
      <c r="B12987" s="43" t="n">
        <v>-23.490818</v>
      </c>
      <c r="C12987" s="43" t="n">
        <v>-46.574447</v>
      </c>
      <c r="D12987" s="43" t="n">
        <v>659</v>
      </c>
      <c r="E12987" s="44" t="n">
        <v>22787.574</v>
      </c>
    </row>
    <row r="12988">
      <c r="A12988" s="39">
        <f>_xlfn.XLOOKUP(80404,Trip[shape_id],Trip[shape_id],"Não encontrado")</f>
        <v/>
      </c>
      <c r="B12988" s="40" t="n">
        <v>-23.489984</v>
      </c>
      <c r="C12988" s="40" t="n">
        <v>-46.574429</v>
      </c>
      <c r="D12988" s="40" t="n">
        <v>660</v>
      </c>
      <c r="E12988" s="41" t="n">
        <v>22879.959</v>
      </c>
    </row>
    <row r="12989">
      <c r="A12989" s="42">
        <f>_xlfn.XLOOKUP(80404,Trip[shape_id],Trip[shape_id],"Não encontrado")</f>
        <v/>
      </c>
      <c r="B12989" s="43" t="n">
        <v>-23.489842</v>
      </c>
      <c r="C12989" s="43" t="n">
        <v>-46.57439</v>
      </c>
      <c r="D12989" s="43" t="n">
        <v>661</v>
      </c>
      <c r="E12989" s="44" t="n">
        <v>22901.75</v>
      </c>
    </row>
    <row r="12990">
      <c r="A12990" s="39">
        <f>_xlfn.XLOOKUP(80404,Trip[shape_id],Trip[shape_id],"Não encontrado")</f>
        <v/>
      </c>
      <c r="B12990" s="40" t="n">
        <v>-23.489796</v>
      </c>
      <c r="C12990" s="40" t="n">
        <v>-46.574368</v>
      </c>
      <c r="D12990" s="40" t="n">
        <v>662</v>
      </c>
      <c r="E12990" s="41" t="n">
        <v>22906.084</v>
      </c>
    </row>
    <row r="12991">
      <c r="A12991" s="42">
        <f>_xlfn.XLOOKUP(80404,Trip[shape_id],Trip[shape_id],"Não encontrado")</f>
        <v/>
      </c>
      <c r="B12991" s="43" t="n">
        <v>-23.489762</v>
      </c>
      <c r="C12991" s="43" t="n">
        <v>-46.574347</v>
      </c>
      <c r="D12991" s="43" t="n">
        <v>663</v>
      </c>
      <c r="E12991" s="44" t="n">
        <v>22911.172</v>
      </c>
    </row>
    <row r="12992">
      <c r="A12992" s="39">
        <f>_xlfn.XLOOKUP(80404,Trip[shape_id],Trip[shape_id],"Não encontrado")</f>
        <v/>
      </c>
      <c r="B12992" s="40" t="n">
        <v>-23.489724</v>
      </c>
      <c r="C12992" s="40" t="n">
        <v>-46.574319</v>
      </c>
      <c r="D12992" s="40" t="n">
        <v>664</v>
      </c>
      <c r="E12992" s="41" t="n">
        <v>22923.119</v>
      </c>
    </row>
    <row r="12993">
      <c r="A12993" s="42">
        <f>_xlfn.XLOOKUP(80404,Trip[shape_id],Trip[shape_id],"Não encontrado")</f>
        <v/>
      </c>
      <c r="B12993" s="43" t="n">
        <v>-23.489642</v>
      </c>
      <c r="C12993" s="43" t="n">
        <v>-46.574243</v>
      </c>
      <c r="D12993" s="43" t="n">
        <v>665</v>
      </c>
      <c r="E12993" s="44" t="n">
        <v>22923.119</v>
      </c>
    </row>
    <row r="12994">
      <c r="A12994" s="39">
        <f>_xlfn.XLOOKUP(80404,Trip[shape_id],Trip[shape_id],"Não encontrado")</f>
        <v/>
      </c>
      <c r="B12994" s="40" t="n">
        <v>-23.489552</v>
      </c>
      <c r="C12994" s="40" t="n">
        <v>-46.57414</v>
      </c>
      <c r="D12994" s="40" t="n">
        <v>666</v>
      </c>
      <c r="E12994" s="41" t="n">
        <v>22937.611</v>
      </c>
    </row>
    <row r="12995">
      <c r="A12995" s="42">
        <f>_xlfn.XLOOKUP(80404,Trip[shape_id],Trip[shape_id],"Não encontrado")</f>
        <v/>
      </c>
      <c r="B12995" s="43" t="n">
        <v>-23.489521</v>
      </c>
      <c r="C12995" s="43" t="n">
        <v>-46.574087</v>
      </c>
      <c r="D12995" s="43" t="n">
        <v>667</v>
      </c>
      <c r="E12995" s="44" t="n">
        <v>22950.523</v>
      </c>
    </row>
    <row r="12996">
      <c r="A12996" s="39">
        <f>_xlfn.XLOOKUP(80404,Trip[shape_id],Trip[shape_id],"Não encontrado")</f>
        <v/>
      </c>
      <c r="B12996" s="40" t="n">
        <v>-23.489499</v>
      </c>
      <c r="C12996" s="40" t="n">
        <v>-46.574028</v>
      </c>
      <c r="D12996" s="40" t="n">
        <v>668</v>
      </c>
      <c r="E12996" s="41" t="n">
        <v>22954.182</v>
      </c>
    </row>
    <row r="12997">
      <c r="A12997" s="42">
        <f>_xlfn.XLOOKUP(80404,Trip[shape_id],Trip[shape_id],"Não encontrado")</f>
        <v/>
      </c>
      <c r="B12997" s="43" t="n">
        <v>-23.489492</v>
      </c>
      <c r="C12997" s="43" t="n">
        <v>-46.573993</v>
      </c>
      <c r="D12997" s="43" t="n">
        <v>669</v>
      </c>
      <c r="E12997" s="44" t="n">
        <v>22957.875</v>
      </c>
    </row>
    <row r="12998">
      <c r="A12998" s="39">
        <f>_xlfn.XLOOKUP(80404,Trip[shape_id],Trip[shape_id],"Não encontrado")</f>
        <v/>
      </c>
      <c r="B12998" s="40" t="n">
        <v>-23.489489</v>
      </c>
      <c r="C12998" s="40" t="n">
        <v>-46.573957</v>
      </c>
      <c r="D12998" s="40" t="n">
        <v>670</v>
      </c>
      <c r="E12998" s="41" t="n">
        <v>22978.111</v>
      </c>
    </row>
    <row r="12999">
      <c r="A12999" s="42">
        <f>_xlfn.XLOOKUP(80404,Trip[shape_id],Trip[shape_id],"Não encontrado")</f>
        <v/>
      </c>
      <c r="B12999" s="43" t="n">
        <v>-23.489483</v>
      </c>
      <c r="C12999" s="43" t="n">
        <v>-46.573759</v>
      </c>
      <c r="D12999" s="43" t="n">
        <v>671</v>
      </c>
      <c r="E12999" s="44" t="n">
        <v>22978.111</v>
      </c>
    </row>
    <row r="13000">
      <c r="A13000" s="39">
        <f>_xlfn.XLOOKUP(80404,Trip[shape_id],Trip[shape_id],"Não encontrado")</f>
        <v/>
      </c>
      <c r="B13000" s="40" t="n">
        <v>-23.489462</v>
      </c>
      <c r="C13000" s="40" t="n">
        <v>-46.573167</v>
      </c>
      <c r="D13000" s="40" t="n">
        <v>672</v>
      </c>
      <c r="E13000" s="41" t="n">
        <v>23038.629</v>
      </c>
    </row>
    <row r="13001">
      <c r="A13001" s="42">
        <f>_xlfn.XLOOKUP(80404,Trip[shape_id],Trip[shape_id],"Não encontrado")</f>
        <v/>
      </c>
      <c r="B13001" s="43" t="n">
        <v>-23.489442</v>
      </c>
      <c r="C13001" s="43" t="n">
        <v>-46.572435</v>
      </c>
      <c r="D13001" s="43" t="n">
        <v>673</v>
      </c>
      <c r="E13001" s="44" t="n">
        <v>23113.436</v>
      </c>
    </row>
    <row r="13002">
      <c r="A13002" s="39">
        <f>_xlfn.XLOOKUP(80404,Trip[shape_id],Trip[shape_id],"Não encontrado")</f>
        <v/>
      </c>
      <c r="B13002" s="40" t="n">
        <v>-23.489421</v>
      </c>
      <c r="C13002" s="40" t="n">
        <v>-46.57178</v>
      </c>
      <c r="D13002" s="40" t="n">
        <v>674</v>
      </c>
      <c r="E13002" s="41" t="n">
        <v>23180.383</v>
      </c>
    </row>
    <row r="13003">
      <c r="A13003" s="42">
        <f>_xlfn.XLOOKUP(80404,Trip[shape_id],Trip[shape_id],"Não encontrado")</f>
        <v/>
      </c>
      <c r="B13003" s="43" t="n">
        <v>-23.489398</v>
      </c>
      <c r="C13003" s="43" t="n">
        <v>-46.571051</v>
      </c>
      <c r="D13003" s="43" t="n">
        <v>675</v>
      </c>
      <c r="E13003" s="44" t="n">
        <v>23254.893</v>
      </c>
    </row>
    <row r="13004">
      <c r="A13004" s="39">
        <f>_xlfn.XLOOKUP(80404,Trip[shape_id],Trip[shape_id],"Não encontrado")</f>
        <v/>
      </c>
      <c r="B13004" s="40" t="n">
        <v>-23.489392</v>
      </c>
      <c r="C13004" s="40" t="n">
        <v>-46.570837</v>
      </c>
      <c r="D13004" s="40" t="n">
        <v>676</v>
      </c>
      <c r="E13004" s="41" t="n">
        <v>23276.762</v>
      </c>
    </row>
    <row r="13005">
      <c r="A13005" s="42">
        <f>_xlfn.XLOOKUP(80404,Trip[shape_id],Trip[shape_id],"Não encontrado")</f>
        <v/>
      </c>
      <c r="B13005" s="43" t="n">
        <v>-23.489383</v>
      </c>
      <c r="C13005" s="43" t="n">
        <v>-46.570533</v>
      </c>
      <c r="D13005" s="43" t="n">
        <v>677</v>
      </c>
      <c r="E13005" s="44" t="n">
        <v>23323.984</v>
      </c>
    </row>
    <row r="13006">
      <c r="A13006" s="39">
        <f>_xlfn.XLOOKUP(80404,Trip[shape_id],Trip[shape_id],"Não encontrado")</f>
        <v/>
      </c>
      <c r="B13006" s="40" t="n">
        <v>-23.489377</v>
      </c>
      <c r="C13006" s="40" t="n">
        <v>-46.570375</v>
      </c>
      <c r="D13006" s="40" t="n">
        <v>678</v>
      </c>
      <c r="E13006" s="41" t="n">
        <v>23323.984</v>
      </c>
    </row>
    <row r="13007">
      <c r="A13007" s="42">
        <f>_xlfn.XLOOKUP(80404,Trip[shape_id],Trip[shape_id],"Não encontrado")</f>
        <v/>
      </c>
      <c r="B13007" s="43" t="n">
        <v>-23.489361</v>
      </c>
      <c r="C13007" s="43" t="n">
        <v>-46.569822</v>
      </c>
      <c r="D13007" s="43" t="n">
        <v>679</v>
      </c>
      <c r="E13007" s="44" t="n">
        <v>23380.5</v>
      </c>
    </row>
    <row r="13008">
      <c r="A13008" s="39">
        <f>_xlfn.XLOOKUP(80404,Trip[shape_id],Trip[shape_id],"Não encontrado")</f>
        <v/>
      </c>
      <c r="B13008" s="40" t="n">
        <v>-23.489363</v>
      </c>
      <c r="C13008" s="40" t="n">
        <v>-46.569655</v>
      </c>
      <c r="D13008" s="40" t="n">
        <v>680</v>
      </c>
      <c r="E13008" s="41" t="n">
        <v>23397.561</v>
      </c>
    </row>
    <row r="13009">
      <c r="A13009" s="42">
        <f>_xlfn.XLOOKUP(80404,Trip[shape_id],Trip[shape_id],"Não encontrado")</f>
        <v/>
      </c>
      <c r="B13009" s="43" t="n">
        <v>-23.48917</v>
      </c>
      <c r="C13009" s="43" t="n">
        <v>-46.56953</v>
      </c>
      <c r="D13009" s="43" t="n">
        <v>681</v>
      </c>
      <c r="E13009" s="44" t="n">
        <v>23422.459</v>
      </c>
    </row>
    <row r="13010">
      <c r="A13010" s="39">
        <f>_xlfn.XLOOKUP(80404,Trip[shape_id],Trip[shape_id],"Não encontrado")</f>
        <v/>
      </c>
      <c r="B13010" s="40" t="n">
        <v>-23.488767</v>
      </c>
      <c r="C13010" s="40" t="n">
        <v>-46.569283</v>
      </c>
      <c r="D13010" s="40" t="n">
        <v>682</v>
      </c>
      <c r="E13010" s="41" t="n">
        <v>23473.73</v>
      </c>
    </row>
    <row r="13011">
      <c r="A13011" s="42">
        <f>_xlfn.XLOOKUP(80404,Trip[shape_id],Trip[shape_id],"Não encontrado")</f>
        <v/>
      </c>
      <c r="B13011" s="43" t="n">
        <v>-23.488288</v>
      </c>
      <c r="C13011" s="43" t="n">
        <v>-46.568962</v>
      </c>
      <c r="D13011" s="43" t="n">
        <v>683</v>
      </c>
      <c r="E13011" s="44" t="n">
        <v>23536.096</v>
      </c>
    </row>
    <row r="13012">
      <c r="A13012" s="39">
        <f>_xlfn.XLOOKUP(80404,Trip[shape_id],Trip[shape_id],"Não encontrado")</f>
        <v/>
      </c>
      <c r="B13012" s="40" t="n">
        <v>-23.488175</v>
      </c>
      <c r="C13012" s="40" t="n">
        <v>-46.568907</v>
      </c>
      <c r="D13012" s="40" t="n">
        <v>684</v>
      </c>
      <c r="E13012" s="41" t="n">
        <v>23549.814</v>
      </c>
    </row>
    <row r="13013">
      <c r="A13013" s="42">
        <f>_xlfn.XLOOKUP(80404,Trip[shape_id],Trip[shape_id],"Não encontrado")</f>
        <v/>
      </c>
      <c r="B13013" s="43" t="n">
        <v>-23.487799</v>
      </c>
      <c r="C13013" s="43" t="n">
        <v>-46.56869</v>
      </c>
      <c r="D13013" s="43" t="n">
        <v>685</v>
      </c>
      <c r="E13013" s="44" t="n">
        <v>23596.988</v>
      </c>
    </row>
    <row r="13014">
      <c r="A13014" s="39">
        <f>_xlfn.XLOOKUP(80404,Trip[shape_id],Trip[shape_id],"Não encontrado")</f>
        <v/>
      </c>
      <c r="B13014" s="40" t="n">
        <v>-23.487305</v>
      </c>
      <c r="C13014" s="40" t="n">
        <v>-46.568383</v>
      </c>
      <c r="D13014" s="40" t="n">
        <v>686</v>
      </c>
      <c r="E13014" s="41" t="n">
        <v>23660.049</v>
      </c>
    </row>
    <row r="13015">
      <c r="A13015" s="42">
        <f>_xlfn.XLOOKUP(80404,Trip[shape_id],Trip[shape_id],"Não encontrado")</f>
        <v/>
      </c>
      <c r="B13015" s="43" t="n">
        <v>-23.487131</v>
      </c>
      <c r="C13015" s="43" t="n">
        <v>-46.568281</v>
      </c>
      <c r="D13015" s="43" t="n">
        <v>687</v>
      </c>
      <c r="E13015" s="44" t="n">
        <v>23681.957</v>
      </c>
    </row>
    <row r="13016">
      <c r="A13016" s="39">
        <f>_xlfn.XLOOKUP(80404,Trip[shape_id],Trip[shape_id],"Não encontrado")</f>
        <v/>
      </c>
      <c r="B13016" s="40" t="n">
        <v>-23.486861</v>
      </c>
      <c r="C13016" s="40" t="n">
        <v>-46.568367</v>
      </c>
      <c r="D13016" s="40" t="n">
        <v>688</v>
      </c>
      <c r="E13016" s="41" t="n">
        <v>23728.389</v>
      </c>
    </row>
    <row r="13017">
      <c r="A13017" s="42">
        <f>_xlfn.XLOOKUP(80404,Trip[shape_id],Trip[shape_id],"Não encontrado")</f>
        <v/>
      </c>
      <c r="B13017" s="43" t="n">
        <v>-23.486736</v>
      </c>
      <c r="C13017" s="43" t="n">
        <v>-46.56843</v>
      </c>
      <c r="D13017" s="43" t="n">
        <v>689</v>
      </c>
      <c r="E13017" s="44" t="n">
        <v>23728.389</v>
      </c>
    </row>
    <row r="13018">
      <c r="A13018" s="39">
        <f>_xlfn.XLOOKUP(80404,Trip[shape_id],Trip[shape_id],"Não encontrado")</f>
        <v/>
      </c>
      <c r="B13018" s="40" t="n">
        <v>-23.48668</v>
      </c>
      <c r="C13018" s="40" t="n">
        <v>-46.568461</v>
      </c>
      <c r="D13018" s="40" t="n">
        <v>690</v>
      </c>
      <c r="E13018" s="41" t="n">
        <v>23735.352</v>
      </c>
    </row>
    <row r="13019">
      <c r="A13019" s="42">
        <f>_xlfn.XLOOKUP(80404,Trip[shape_id],Trip[shape_id],"Não encontrado")</f>
        <v/>
      </c>
      <c r="B13019" s="43" t="n">
        <v>-23.486569</v>
      </c>
      <c r="C13019" s="43" t="n">
        <v>-46.568524</v>
      </c>
      <c r="D13019" s="43" t="n">
        <v>691</v>
      </c>
      <c r="E13019" s="44" t="n">
        <v>23749.227</v>
      </c>
    </row>
    <row r="13020">
      <c r="A13020" s="39">
        <f>_xlfn.XLOOKUP(80404,Trip[shape_id],Trip[shape_id],"Não encontrado")</f>
        <v/>
      </c>
      <c r="B13020" s="40" t="n">
        <v>-23.486069</v>
      </c>
      <c r="C13020" s="40" t="n">
        <v>-46.568798</v>
      </c>
      <c r="D13020" s="40" t="n">
        <v>692</v>
      </c>
      <c r="E13020" s="41" t="n">
        <v>23811.273</v>
      </c>
    </row>
    <row r="13021">
      <c r="A13021" s="42">
        <f>_xlfn.XLOOKUP(80404,Trip[shape_id],Trip[shape_id],"Não encontrado")</f>
        <v/>
      </c>
      <c r="B13021" s="43" t="n">
        <v>-23.48557</v>
      </c>
      <c r="C13021" s="43" t="n">
        <v>-46.56907</v>
      </c>
      <c r="D13021" s="43" t="n">
        <v>693</v>
      </c>
      <c r="E13021" s="44" t="n">
        <v>23873.129</v>
      </c>
    </row>
    <row r="13022">
      <c r="A13022" s="39">
        <f>_xlfn.XLOOKUP(80404,Trip[shape_id],Trip[shape_id],"Não encontrado")</f>
        <v/>
      </c>
      <c r="B13022" s="40" t="n">
        <v>-23.485068</v>
      </c>
      <c r="C13022" s="40" t="n">
        <v>-46.569357</v>
      </c>
      <c r="D13022" s="40" t="n">
        <v>694</v>
      </c>
      <c r="E13022" s="41" t="n">
        <v>23935.982</v>
      </c>
    </row>
    <row r="13023">
      <c r="A13023" s="42">
        <f>_xlfn.XLOOKUP(80404,Trip[shape_id],Trip[shape_id],"Não encontrado")</f>
        <v/>
      </c>
      <c r="B13023" s="43" t="n">
        <v>-23.484791</v>
      </c>
      <c r="C13023" s="43" t="n">
        <v>-46.56952</v>
      </c>
      <c r="D13023" s="43" t="n">
        <v>695</v>
      </c>
      <c r="E13023" s="44" t="n">
        <v>23970.889</v>
      </c>
    </row>
    <row r="13024">
      <c r="A13024" s="39">
        <f>_xlfn.XLOOKUP(80404,Trip[shape_id],Trip[shape_id],"Não encontrado")</f>
        <v/>
      </c>
      <c r="B13024" s="40" t="n">
        <v>-23.484376</v>
      </c>
      <c r="C13024" s="40" t="n">
        <v>-46.569747</v>
      </c>
      <c r="D13024" s="40" t="n">
        <v>696</v>
      </c>
      <c r="E13024" s="41" t="n">
        <v>24022.369</v>
      </c>
    </row>
    <row r="13025">
      <c r="A13025" s="42">
        <f>_xlfn.XLOOKUP(80404,Trip[shape_id],Trip[shape_id],"Não encontrado")</f>
        <v/>
      </c>
      <c r="B13025" s="43" t="n">
        <v>-23.483875</v>
      </c>
      <c r="C13025" s="43" t="n">
        <v>-46.570009</v>
      </c>
      <c r="D13025" s="43" t="n">
        <v>697</v>
      </c>
      <c r="E13025" s="44" t="n">
        <v>24083.973</v>
      </c>
    </row>
    <row r="13026">
      <c r="A13026" s="39">
        <f>_xlfn.XLOOKUP(80404,Trip[shape_id],Trip[shape_id],"Não encontrado")</f>
        <v/>
      </c>
      <c r="B13026" s="40" t="n">
        <v>-23.483271</v>
      </c>
      <c r="C13026" s="40" t="n">
        <v>-46.570356</v>
      </c>
      <c r="D13026" s="40" t="n">
        <v>698</v>
      </c>
      <c r="E13026" s="41" t="n">
        <v>24159.678</v>
      </c>
    </row>
    <row r="13027">
      <c r="A13027" s="42">
        <f>_xlfn.XLOOKUP(80404,Trip[shape_id],Trip[shape_id],"Não encontrado")</f>
        <v/>
      </c>
      <c r="B13027" s="43" t="n">
        <v>-23.482923</v>
      </c>
      <c r="C13027" s="43" t="n">
        <v>-46.570518</v>
      </c>
      <c r="D13027" s="43" t="n">
        <v>699</v>
      </c>
      <c r="E13027" s="44" t="n">
        <v>24201.621</v>
      </c>
    </row>
    <row r="13028">
      <c r="A13028" s="39">
        <f>_xlfn.XLOOKUP(80404,Trip[shape_id],Trip[shape_id],"Não encontrado")</f>
        <v/>
      </c>
      <c r="B13028" s="40" t="n">
        <v>-23.482629</v>
      </c>
      <c r="C13028" s="40" t="n">
        <v>-46.570697</v>
      </c>
      <c r="D13028" s="40" t="n">
        <v>700</v>
      </c>
      <c r="E13028" s="41" t="n">
        <v>24238.965</v>
      </c>
    </row>
    <row r="13029">
      <c r="A13029" s="42">
        <f>_xlfn.XLOOKUP(80404,Trip[shape_id],Trip[shape_id],"Não encontrado")</f>
        <v/>
      </c>
      <c r="B13029" s="43" t="n">
        <v>-23.482406</v>
      </c>
      <c r="C13029" s="43" t="n">
        <v>-46.570819</v>
      </c>
      <c r="D13029" s="43" t="n">
        <v>701</v>
      </c>
      <c r="E13029" s="44" t="n">
        <v>24266.629</v>
      </c>
    </row>
    <row r="13030">
      <c r="A13030" s="39">
        <f>_xlfn.XLOOKUP(80404,Trip[shape_id],Trip[shape_id],"Não encontrado")</f>
        <v/>
      </c>
      <c r="B13030" s="40" t="n">
        <v>-23.482316</v>
      </c>
      <c r="C13030" s="40" t="n">
        <v>-46.570867</v>
      </c>
      <c r="D13030" s="40" t="n">
        <v>702</v>
      </c>
      <c r="E13030" s="41" t="n">
        <v>24277.738</v>
      </c>
    </row>
    <row r="13031">
      <c r="A13031" s="42">
        <f>_xlfn.XLOOKUP(80404,Trip[shape_id],Trip[shape_id],"Não encontrado")</f>
        <v/>
      </c>
      <c r="B13031" s="43" t="n">
        <v>-23.482083</v>
      </c>
      <c r="C13031" s="43" t="n">
        <v>-46.571004</v>
      </c>
      <c r="D13031" s="43" t="n">
        <v>703</v>
      </c>
      <c r="E13031" s="44" t="n">
        <v>24307.094</v>
      </c>
    </row>
    <row r="13032">
      <c r="A13032" s="39">
        <f>_xlfn.XLOOKUP(80404,Trip[shape_id],Trip[shape_id],"Não encontrado")</f>
        <v/>
      </c>
      <c r="B13032" s="40" t="n">
        <v>-23.481661</v>
      </c>
      <c r="C13032" s="40" t="n">
        <v>-46.571226</v>
      </c>
      <c r="D13032" s="40" t="n">
        <v>704</v>
      </c>
      <c r="E13032" s="41" t="n">
        <v>24359.043</v>
      </c>
    </row>
    <row r="13033">
      <c r="A13033" s="42">
        <f>_xlfn.XLOOKUP(80404,Trip[shape_id],Trip[shape_id],"Não encontrado")</f>
        <v/>
      </c>
      <c r="B13033" s="43" t="n">
        <v>-23.481498</v>
      </c>
      <c r="C13033" s="43" t="n">
        <v>-46.571316</v>
      </c>
      <c r="D13033" s="43" t="n">
        <v>705</v>
      </c>
      <c r="E13033" s="44" t="n">
        <v>24379.301</v>
      </c>
    </row>
    <row r="13034">
      <c r="A13034" s="39">
        <f>_xlfn.XLOOKUP(80404,Trip[shape_id],Trip[shape_id],"Não encontrado")</f>
        <v/>
      </c>
      <c r="B13034" s="40" t="n">
        <v>-23.481226</v>
      </c>
      <c r="C13034" s="40" t="n">
        <v>-46.571471</v>
      </c>
      <c r="D13034" s="40" t="n">
        <v>706</v>
      </c>
      <c r="E13034" s="41" t="n">
        <v>24413.332</v>
      </c>
    </row>
    <row r="13035">
      <c r="A13035" s="42">
        <f>_xlfn.XLOOKUP(80404,Trip[shape_id],Trip[shape_id],"Não encontrado")</f>
        <v/>
      </c>
      <c r="B13035" s="43" t="n">
        <v>-23.481011</v>
      </c>
      <c r="C13035" s="43" t="n">
        <v>-46.571596</v>
      </c>
      <c r="D13035" s="43" t="n">
        <v>707</v>
      </c>
      <c r="E13035" s="44" t="n">
        <v>24440.352</v>
      </c>
    </row>
    <row r="13036">
      <c r="A13036" s="39">
        <f>_xlfn.XLOOKUP(80404,Trip[shape_id],Trip[shape_id],"Não encontrado")</f>
        <v/>
      </c>
      <c r="B13036" s="40" t="n">
        <v>-23.480968</v>
      </c>
      <c r="C13036" s="40" t="n">
        <v>-46.571624</v>
      </c>
      <c r="D13036" s="40" t="n">
        <v>708</v>
      </c>
      <c r="E13036" s="41" t="n">
        <v>24445.906</v>
      </c>
    </row>
    <row r="13037">
      <c r="A13037" s="42">
        <f>_xlfn.XLOOKUP(80404,Trip[shape_id],Trip[shape_id],"Não encontrado")</f>
        <v/>
      </c>
      <c r="B13037" s="43" t="n">
        <v>-23.480803</v>
      </c>
      <c r="C13037" s="43" t="n">
        <v>-46.571724</v>
      </c>
      <c r="D13037" s="43" t="n">
        <v>709</v>
      </c>
      <c r="E13037" s="44" t="n">
        <v>24466.842</v>
      </c>
    </row>
    <row r="13038">
      <c r="A13038" s="39">
        <f>_xlfn.XLOOKUP(80404,Trip[shape_id],Trip[shape_id],"Não encontrado")</f>
        <v/>
      </c>
      <c r="B13038" s="40" t="n">
        <v>-23.480643</v>
      </c>
      <c r="C13038" s="40" t="n">
        <v>-46.571802</v>
      </c>
      <c r="D13038" s="40" t="n">
        <v>710</v>
      </c>
      <c r="E13038" s="41" t="n">
        <v>24486.271</v>
      </c>
    </row>
    <row r="13039">
      <c r="A13039" s="42">
        <f>_xlfn.XLOOKUP(80404,Trip[shape_id],Trip[shape_id],"Não encontrado")</f>
        <v/>
      </c>
      <c r="B13039" s="43" t="n">
        <v>-23.48051</v>
      </c>
      <c r="C13039" s="43" t="n">
        <v>-46.571869</v>
      </c>
      <c r="D13039" s="43" t="n">
        <v>711</v>
      </c>
      <c r="E13039" s="44" t="n">
        <v>24502.514</v>
      </c>
    </row>
    <row r="13040">
      <c r="A13040" s="39">
        <f>_xlfn.XLOOKUP(80404,Trip[shape_id],Trip[shape_id],"Não encontrado")</f>
        <v/>
      </c>
      <c r="B13040" s="40" t="n">
        <v>-23.480103</v>
      </c>
      <c r="C13040" s="40" t="n">
        <v>-46.572106</v>
      </c>
      <c r="D13040" s="40" t="n">
        <v>712</v>
      </c>
      <c r="E13040" s="41" t="n">
        <v>24553.68</v>
      </c>
    </row>
    <row r="13041">
      <c r="A13041" s="42">
        <f>_xlfn.XLOOKUP(80404,Trip[shape_id],Trip[shape_id],"Não encontrado")</f>
        <v/>
      </c>
      <c r="B13041" s="43" t="n">
        <v>-23.479909</v>
      </c>
      <c r="C13041" s="43" t="n">
        <v>-46.572219</v>
      </c>
      <c r="D13041" s="43" t="n">
        <v>713</v>
      </c>
      <c r="E13041" s="44" t="n">
        <v>24578.07</v>
      </c>
    </row>
    <row r="13042">
      <c r="A13042" s="39">
        <f>_xlfn.XLOOKUP(80404,Trip[shape_id],Trip[shape_id],"Não encontrado")</f>
        <v/>
      </c>
      <c r="B13042" s="40" t="n">
        <v>-23.479525</v>
      </c>
      <c r="C13042" s="40" t="n">
        <v>-46.572419</v>
      </c>
      <c r="D13042" s="40" t="n">
        <v>714</v>
      </c>
      <c r="E13042" s="41" t="n">
        <v>24625.252</v>
      </c>
    </row>
    <row r="13043">
      <c r="A13043" s="42">
        <f>_xlfn.XLOOKUP(80404,Trip[shape_id],Trip[shape_id],"Não encontrado")</f>
        <v/>
      </c>
      <c r="B13043" s="43" t="n">
        <v>-23.47906</v>
      </c>
      <c r="C13043" s="43" t="n">
        <v>-46.572693</v>
      </c>
      <c r="D13043" s="43" t="n">
        <v>715</v>
      </c>
      <c r="E13043" s="44" t="n">
        <v>24706.668</v>
      </c>
    </row>
    <row r="13044">
      <c r="A13044" s="39">
        <f>_xlfn.XLOOKUP(80404,Trip[shape_id],Trip[shape_id],"Não encontrado")</f>
        <v/>
      </c>
      <c r="B13044" s="40" t="n">
        <v>-23.478883</v>
      </c>
      <c r="C13044" s="40" t="n">
        <v>-46.572807</v>
      </c>
      <c r="D13044" s="40" t="n">
        <v>716</v>
      </c>
      <c r="E13044" s="41" t="n">
        <v>24706.668</v>
      </c>
    </row>
    <row r="13045">
      <c r="A13045" s="42">
        <f>_xlfn.XLOOKUP(80404,Trip[shape_id],Trip[shape_id],"Não encontrado")</f>
        <v/>
      </c>
      <c r="B13045" s="43" t="n">
        <v>-23.478752</v>
      </c>
      <c r="C13045" s="43" t="n">
        <v>-46.572876</v>
      </c>
      <c r="D13045" s="43" t="n">
        <v>717</v>
      </c>
      <c r="E13045" s="44" t="n">
        <v>24722.799</v>
      </c>
    </row>
    <row r="13046">
      <c r="A13046" s="39">
        <f>_xlfn.XLOOKUP(80404,Trip[shape_id],Trip[shape_id],"Não encontrado")</f>
        <v/>
      </c>
      <c r="B13046" s="40" t="n">
        <v>-23.478547</v>
      </c>
      <c r="C13046" s="40" t="n">
        <v>-46.57299</v>
      </c>
      <c r="D13046" s="40" t="n">
        <v>718</v>
      </c>
      <c r="E13046" s="41" t="n">
        <v>24748.314</v>
      </c>
    </row>
    <row r="13047">
      <c r="A13047" s="42">
        <f>_xlfn.XLOOKUP(80404,Trip[shape_id],Trip[shape_id],"Não encontrado")</f>
        <v/>
      </c>
      <c r="B13047" s="43" t="n">
        <v>-23.478215</v>
      </c>
      <c r="C13047" s="43" t="n">
        <v>-46.573174</v>
      </c>
      <c r="D13047" s="43" t="n">
        <v>719</v>
      </c>
      <c r="E13047" s="44" t="n">
        <v>24789.609</v>
      </c>
    </row>
    <row r="13048">
      <c r="A13048" s="39">
        <f>_xlfn.XLOOKUP(80404,Trip[shape_id],Trip[shape_id],"Não encontrado")</f>
        <v/>
      </c>
      <c r="B13048" s="40" t="n">
        <v>-23.478168</v>
      </c>
      <c r="C13048" s="40" t="n">
        <v>-46.5732</v>
      </c>
      <c r="D13048" s="40" t="n">
        <v>720</v>
      </c>
      <c r="E13048" s="41" t="n">
        <v>24795.453</v>
      </c>
    </row>
    <row r="13049">
      <c r="A13049" s="42">
        <f>_xlfn.XLOOKUP(80404,Trip[shape_id],Trip[shape_id],"Não encontrado")</f>
        <v/>
      </c>
      <c r="B13049" s="43" t="n">
        <v>-23.477885</v>
      </c>
      <c r="C13049" s="43" t="n">
        <v>-46.573356</v>
      </c>
      <c r="D13049" s="43" t="n">
        <v>721</v>
      </c>
      <c r="E13049" s="44" t="n">
        <v>24834.898</v>
      </c>
    </row>
    <row r="13050">
      <c r="A13050" s="39">
        <f>_xlfn.XLOOKUP(80404,Trip[shape_id],Trip[shape_id],"Não encontrado")</f>
        <v/>
      </c>
      <c r="B13050" s="40" t="n">
        <v>-23.477851</v>
      </c>
      <c r="C13050" s="40" t="n">
        <v>-46.573376</v>
      </c>
      <c r="D13050" s="40" t="n">
        <v>722</v>
      </c>
      <c r="E13050" s="41" t="n">
        <v>24834.898</v>
      </c>
    </row>
    <row r="13051">
      <c r="A13051" s="42">
        <f>_xlfn.XLOOKUP(80404,Trip[shape_id],Trip[shape_id],"Não encontrado")</f>
        <v/>
      </c>
      <c r="B13051" s="43" t="n">
        <v>-23.477512</v>
      </c>
      <c r="C13051" s="43" t="n">
        <v>-46.573562</v>
      </c>
      <c r="D13051" s="43" t="n">
        <v>723</v>
      </c>
      <c r="E13051" s="44" t="n">
        <v>24884.572</v>
      </c>
    </row>
    <row r="13052">
      <c r="A13052" s="39">
        <f>_xlfn.XLOOKUP(80404,Trip[shape_id],Trip[shape_id],"Não encontrado")</f>
        <v/>
      </c>
      <c r="B13052" s="40" t="n">
        <v>-23.477451</v>
      </c>
      <c r="C13052" s="40" t="n">
        <v>-46.573596</v>
      </c>
      <c r="D13052" s="40" t="n">
        <v>724</v>
      </c>
      <c r="E13052" s="41" t="n">
        <v>24884.572</v>
      </c>
    </row>
    <row r="13053">
      <c r="A13053" s="42">
        <f>_xlfn.XLOOKUP(80404,Trip[shape_id],Trip[shape_id],"Não encontrado")</f>
        <v/>
      </c>
      <c r="B13053" s="43" t="n">
        <v>-23.47701</v>
      </c>
      <c r="C13053" s="43" t="n">
        <v>-46.57384</v>
      </c>
      <c r="D13053" s="43" t="n">
        <v>725</v>
      </c>
      <c r="E13053" s="44" t="n">
        <v>24939.406</v>
      </c>
    </row>
    <row r="13054">
      <c r="A13054" s="39">
        <f>_xlfn.XLOOKUP(80404,Trip[shape_id],Trip[shape_id],"Não encontrado")</f>
        <v/>
      </c>
      <c r="B13054" s="40" t="n">
        <v>-23.476929</v>
      </c>
      <c r="C13054" s="40" t="n">
        <v>-46.573667</v>
      </c>
      <c r="D13054" s="40" t="n">
        <v>726</v>
      </c>
      <c r="E13054" s="41" t="n">
        <v>24975.281</v>
      </c>
    </row>
    <row r="13055">
      <c r="A13055" s="42">
        <f>_xlfn.XLOOKUP(80404,Trip[shape_id],Trip[shape_id],"Não encontrado")</f>
        <v/>
      </c>
      <c r="B13055" s="43" t="n">
        <v>-23.476865</v>
      </c>
      <c r="C13055" s="43" t="n">
        <v>-46.573526</v>
      </c>
      <c r="D13055" s="43" t="n">
        <v>727</v>
      </c>
      <c r="E13055" s="44" t="n">
        <v>25048.463</v>
      </c>
    </row>
    <row r="13056">
      <c r="A13056" s="39">
        <f>_xlfn.XLOOKUP(80404,Trip[shape_id],Trip[shape_id],"Não encontrado")</f>
        <v/>
      </c>
      <c r="B13056" s="40" t="n">
        <v>-23.47657</v>
      </c>
      <c r="C13056" s="40" t="n">
        <v>-46.572885</v>
      </c>
      <c r="D13056" s="40" t="n">
        <v>728</v>
      </c>
      <c r="E13056" s="41" t="n">
        <v>25048.463</v>
      </c>
    </row>
    <row r="13057">
      <c r="A13057" s="42">
        <f>_xlfn.XLOOKUP(80404,Trip[shape_id],Trip[shape_id],"Não encontrado")</f>
        <v/>
      </c>
      <c r="B13057" s="43" t="n">
        <v>-23.476364</v>
      </c>
      <c r="C13057" s="43" t="n">
        <v>-46.572441</v>
      </c>
      <c r="D13057" s="43" t="n">
        <v>729</v>
      </c>
      <c r="E13057" s="44" t="n">
        <v>25099.236</v>
      </c>
    </row>
    <row r="13058">
      <c r="A13058" s="39">
        <f>_xlfn.XLOOKUP(80404,Trip[shape_id],Trip[shape_id],"Não encontrado")</f>
        <v/>
      </c>
      <c r="B13058" s="40" t="n">
        <v>-23.476129</v>
      </c>
      <c r="C13058" s="40" t="n">
        <v>-46.571924</v>
      </c>
      <c r="D13058" s="40" t="n">
        <v>730</v>
      </c>
      <c r="E13058" s="41" t="n">
        <v>25158.117</v>
      </c>
    </row>
    <row r="13059">
      <c r="A13059" s="42">
        <f>_xlfn.XLOOKUP(80404,Trip[shape_id],Trip[shape_id],"Não encontrado")</f>
        <v/>
      </c>
      <c r="B13059" s="43" t="n">
        <v>-23.475926</v>
      </c>
      <c r="C13059" s="43" t="n">
        <v>-46.571497</v>
      </c>
      <c r="D13059" s="43" t="n">
        <v>731</v>
      </c>
      <c r="E13059" s="44" t="n">
        <v>25207.191</v>
      </c>
    </row>
    <row r="13060">
      <c r="A13060" s="39">
        <f>_xlfn.XLOOKUP(80404,Trip[shape_id],Trip[shape_id],"Não encontrado")</f>
        <v/>
      </c>
      <c r="B13060" s="40" t="n">
        <v>-23.475899</v>
      </c>
      <c r="C13060" s="40" t="n">
        <v>-46.571444</v>
      </c>
      <c r="D13060" s="40" t="n">
        <v>732</v>
      </c>
      <c r="E13060" s="41" t="n">
        <v>25213.377</v>
      </c>
    </row>
    <row r="13061">
      <c r="A13061" s="42">
        <f>_xlfn.XLOOKUP(80404,Trip[shape_id],Trip[shape_id],"Não encontrado")</f>
        <v/>
      </c>
      <c r="B13061" s="43" t="n">
        <v>-23.475684</v>
      </c>
      <c r="C13061" s="43" t="n">
        <v>-46.570975</v>
      </c>
      <c r="D13061" s="43" t="n">
        <v>733</v>
      </c>
      <c r="E13061" s="44" t="n">
        <v>25266.881</v>
      </c>
    </row>
    <row r="13062">
      <c r="A13062" s="39">
        <f>_xlfn.XLOOKUP(80404,Trip[shape_id],Trip[shape_id],"Não encontrado")</f>
        <v/>
      </c>
      <c r="B13062" s="40" t="n">
        <v>-23.47547</v>
      </c>
      <c r="C13062" s="40" t="n">
        <v>-46.570534</v>
      </c>
      <c r="D13062" s="40" t="n">
        <v>734</v>
      </c>
      <c r="E13062" s="41" t="n">
        <v>25317.787</v>
      </c>
    </row>
    <row r="13063">
      <c r="A13063" s="42">
        <f>_xlfn.XLOOKUP(80404,Trip[shape_id],Trip[shape_id],"Não encontrado")</f>
        <v/>
      </c>
      <c r="B13063" s="43" t="n">
        <v>-23.475437</v>
      </c>
      <c r="C13063" s="43" t="n">
        <v>-46.569932</v>
      </c>
      <c r="D13063" s="43" t="n">
        <v>735</v>
      </c>
      <c r="E13063" s="44" t="n">
        <v>25379.396</v>
      </c>
    </row>
    <row r="13064">
      <c r="A13064" s="39">
        <f>_xlfn.XLOOKUP(80404,Trip[shape_id],Trip[shape_id],"Não encontrado")</f>
        <v/>
      </c>
      <c r="B13064" s="40" t="n">
        <v>-23.475336</v>
      </c>
      <c r="C13064" s="40" t="n">
        <v>-46.569993</v>
      </c>
      <c r="D13064" s="40" t="n">
        <v>736</v>
      </c>
      <c r="E13064" s="41" t="n">
        <v>25392.201</v>
      </c>
    </row>
    <row r="13065">
      <c r="A13065" s="42">
        <f>_xlfn.XLOOKUP(80404,Trip[shape_id],Trip[shape_id],"Não encontrado")</f>
        <v/>
      </c>
      <c r="B13065" s="43" t="n">
        <v>-23.475127</v>
      </c>
      <c r="C13065" s="43" t="n">
        <v>-46.570112</v>
      </c>
      <c r="D13065" s="43" t="n">
        <v>737</v>
      </c>
      <c r="E13065" s="44" t="n">
        <v>25418.346</v>
      </c>
    </row>
    <row r="13066">
      <c r="A13066" s="39">
        <f>_xlfn.XLOOKUP(80404,Trip[shape_id],Trip[shape_id],"Não encontrado")</f>
        <v/>
      </c>
      <c r="B13066" s="40" t="n">
        <v>-23.474636</v>
      </c>
      <c r="C13066" s="40" t="n">
        <v>-46.570395</v>
      </c>
      <c r="D13066" s="40" t="n">
        <v>738</v>
      </c>
      <c r="E13066" s="41" t="n">
        <v>25479.932</v>
      </c>
    </row>
    <row r="13067">
      <c r="A13067" s="42">
        <f>_xlfn.XLOOKUP(80404,Trip[shape_id],Trip[shape_id],"Não encontrado")</f>
        <v/>
      </c>
      <c r="B13067" s="43" t="n">
        <v>-23.474327</v>
      </c>
      <c r="C13067" s="43" t="n">
        <v>-46.570576</v>
      </c>
      <c r="D13067" s="43" t="n">
        <v>739</v>
      </c>
      <c r="E13067" s="44" t="n">
        <v>25518.83</v>
      </c>
    </row>
    <row r="13068">
      <c r="A13068" s="39">
        <f>_xlfn.XLOOKUP(80404,Trip[shape_id],Trip[shape_id],"Não encontrado")</f>
        <v/>
      </c>
      <c r="B13068" s="40" t="n">
        <v>-23.474026</v>
      </c>
      <c r="C13068" s="40" t="n">
        <v>-46.570749</v>
      </c>
      <c r="D13068" s="40" t="n">
        <v>740</v>
      </c>
      <c r="E13068" s="41" t="n">
        <v>25556.561</v>
      </c>
    </row>
    <row r="13069">
      <c r="A13069" s="42">
        <f>_xlfn.XLOOKUP(80404,Trip[shape_id],Trip[shape_id],"Não encontrado")</f>
        <v/>
      </c>
      <c r="B13069" s="43" t="n">
        <v>-23.473801</v>
      </c>
      <c r="C13069" s="43" t="n">
        <v>-46.570862</v>
      </c>
      <c r="D13069" s="43" t="n">
        <v>741</v>
      </c>
      <c r="E13069" s="44" t="n">
        <v>25584.023</v>
      </c>
    </row>
    <row r="13070">
      <c r="A13070" s="39">
        <f>_xlfn.XLOOKUP(80404,Trip[shape_id],Trip[shape_id],"Não encontrado")</f>
        <v/>
      </c>
      <c r="B13070" s="40" t="n">
        <v>-23.473453</v>
      </c>
      <c r="C13070" s="40" t="n">
        <v>-46.571062</v>
      </c>
      <c r="D13070" s="40" t="n">
        <v>742</v>
      </c>
      <c r="E13070" s="41" t="n">
        <v>25627.646</v>
      </c>
    </row>
    <row r="13071">
      <c r="A13071" s="42">
        <f>_xlfn.XLOOKUP(80404,Trip[shape_id],Trip[shape_id],"Não encontrado")</f>
        <v/>
      </c>
      <c r="B13071" s="43" t="n">
        <v>-23.473087</v>
      </c>
      <c r="C13071" s="43" t="n">
        <v>-46.571263</v>
      </c>
      <c r="D13071" s="43" t="n">
        <v>743</v>
      </c>
      <c r="E13071" s="44" t="n">
        <v>25673.086</v>
      </c>
    </row>
    <row r="13072">
      <c r="A13072" s="39">
        <f>_xlfn.XLOOKUP(80404,Trip[shape_id],Trip[shape_id],"Não encontrado")</f>
        <v/>
      </c>
      <c r="B13072" s="40" t="n">
        <v>-23.472671</v>
      </c>
      <c r="C13072" s="40" t="n">
        <v>-46.571487</v>
      </c>
      <c r="D13072" s="40" t="n">
        <v>744</v>
      </c>
      <c r="E13072" s="41" t="n">
        <v>25724.529</v>
      </c>
    </row>
    <row r="13073">
      <c r="A13073" s="42">
        <f>_xlfn.XLOOKUP(80404,Trip[shape_id],Trip[shape_id],"Não encontrado")</f>
        <v/>
      </c>
      <c r="B13073" s="43" t="n">
        <v>-23.472303</v>
      </c>
      <c r="C13073" s="43" t="n">
        <v>-46.571688</v>
      </c>
      <c r="D13073" s="43" t="n">
        <v>745</v>
      </c>
      <c r="E13073" s="44" t="n">
        <v>25770.166</v>
      </c>
    </row>
    <row r="13074">
      <c r="A13074" s="39">
        <f>_xlfn.XLOOKUP(80404,Trip[shape_id],Trip[shape_id],"Não encontrado")</f>
        <v/>
      </c>
      <c r="B13074" s="40" t="n">
        <v>-23.472232</v>
      </c>
      <c r="C13074" s="40" t="n">
        <v>-46.571722</v>
      </c>
      <c r="D13074" s="40" t="n">
        <v>746</v>
      </c>
      <c r="E13074" s="41" t="n">
        <v>25778.762</v>
      </c>
    </row>
    <row r="13075">
      <c r="A13075" s="42">
        <f>_xlfn.XLOOKUP(80404,Trip[shape_id],Trip[shape_id],"Não encontrado")</f>
        <v/>
      </c>
      <c r="B13075" s="43" t="n">
        <v>-23.471758</v>
      </c>
      <c r="C13075" s="43" t="n">
        <v>-46.571988</v>
      </c>
      <c r="D13075" s="43" t="n">
        <v>747</v>
      </c>
      <c r="E13075" s="44" t="n">
        <v>25837.875</v>
      </c>
    </row>
    <row r="13076">
      <c r="A13076" s="39">
        <f>_xlfn.XLOOKUP(80404,Trip[shape_id],Trip[shape_id],"Não encontrado")</f>
        <v/>
      </c>
      <c r="B13076" s="40" t="n">
        <v>-23.471018</v>
      </c>
      <c r="C13076" s="40" t="n">
        <v>-46.572391</v>
      </c>
      <c r="D13076" s="40" t="n">
        <v>748</v>
      </c>
      <c r="E13076" s="41" t="n">
        <v>25929.592</v>
      </c>
    </row>
    <row r="13077">
      <c r="A13077" s="42">
        <f>_xlfn.XLOOKUP(80404,Trip[shape_id],Trip[shape_id],"Não encontrado")</f>
        <v/>
      </c>
      <c r="B13077" s="43" t="n">
        <v>-23.470127</v>
      </c>
      <c r="C13077" s="43" t="n">
        <v>-46.572877</v>
      </c>
      <c r="D13077" s="43" t="n">
        <v>749</v>
      </c>
      <c r="E13077" s="44" t="n">
        <v>26040.059</v>
      </c>
    </row>
    <row r="13078">
      <c r="A13078" s="39">
        <f>_xlfn.XLOOKUP(80404,Trip[shape_id],Trip[shape_id],"Não encontrado")</f>
        <v/>
      </c>
      <c r="B13078" s="40" t="n">
        <v>-23.470194</v>
      </c>
      <c r="C13078" s="40" t="n">
        <v>-46.573024</v>
      </c>
      <c r="D13078" s="40" t="n">
        <v>750</v>
      </c>
      <c r="E13078" s="41" t="n">
        <v>26056.811</v>
      </c>
    </row>
    <row r="13079">
      <c r="A13079" s="42">
        <f>_xlfn.XLOOKUP(80404,Trip[shape_id],Trip[shape_id],"Não encontrado")</f>
        <v/>
      </c>
      <c r="B13079" s="43" t="n">
        <v>-23.470144</v>
      </c>
      <c r="C13079" s="43" t="n">
        <v>-46.573147</v>
      </c>
      <c r="D13079" s="43" t="n">
        <v>751</v>
      </c>
      <c r="E13079" s="44" t="n">
        <v>26070.543</v>
      </c>
    </row>
    <row r="13080">
      <c r="A13080" s="39">
        <f>_xlfn.XLOOKUP(80404,Trip[shape_id],Trip[shape_id],"Não encontrado")</f>
        <v/>
      </c>
      <c r="B13080" s="40" t="n">
        <v>-23.469903</v>
      </c>
      <c r="C13080" s="40" t="n">
        <v>-46.573743</v>
      </c>
      <c r="D13080" s="40" t="n">
        <v>752</v>
      </c>
      <c r="E13080" s="41" t="n">
        <v>26137.025</v>
      </c>
    </row>
    <row r="13081">
      <c r="A13081" s="42">
        <f>_xlfn.XLOOKUP(80404,Trip[shape_id],Trip[shape_id],"Não encontrado")</f>
        <v/>
      </c>
      <c r="B13081" s="43" t="n">
        <v>-23.469654</v>
      </c>
      <c r="C13081" s="43" t="n">
        <v>-46.574358</v>
      </c>
      <c r="D13081" s="43" t="n">
        <v>753</v>
      </c>
      <c r="E13081" s="44" t="n">
        <v>26205.643</v>
      </c>
    </row>
    <row r="13082">
      <c r="A13082" s="39">
        <f>_xlfn.XLOOKUP(80404,Trip[shape_id],Trip[shape_id],"Não encontrado")</f>
        <v/>
      </c>
      <c r="B13082" s="40" t="n">
        <v>-23.469467</v>
      </c>
      <c r="C13082" s="40" t="n">
        <v>-46.574948</v>
      </c>
      <c r="D13082" s="40" t="n">
        <v>754</v>
      </c>
      <c r="E13082" s="41" t="n">
        <v>26269.379</v>
      </c>
    </row>
    <row r="13083">
      <c r="A13083" s="42">
        <f>_xlfn.XLOOKUP(80404,Trip[shape_id],Trip[shape_id],"Não encontrado")</f>
        <v/>
      </c>
      <c r="B13083" s="43" t="n">
        <v>-23.469422</v>
      </c>
      <c r="C13083" s="43" t="n">
        <v>-46.575184</v>
      </c>
      <c r="D13083" s="43" t="n">
        <v>755</v>
      </c>
      <c r="E13083" s="44" t="n">
        <v>26294</v>
      </c>
    </row>
    <row r="13084">
      <c r="A13084" s="39">
        <f>_xlfn.XLOOKUP(80404,Trip[shape_id],Trip[shape_id],"Não encontrado")</f>
        <v/>
      </c>
      <c r="B13084" s="40" t="n">
        <v>-23.469329</v>
      </c>
      <c r="C13084" s="40" t="n">
        <v>-46.575677</v>
      </c>
      <c r="D13084" s="40" t="n">
        <v>756</v>
      </c>
      <c r="E13084" s="41" t="n">
        <v>26345.41</v>
      </c>
    </row>
    <row r="13085">
      <c r="A13085" s="42">
        <f>_xlfn.XLOOKUP(80404,Trip[shape_id],Trip[shape_id],"Não encontrado")</f>
        <v/>
      </c>
      <c r="B13085" s="43" t="n">
        <v>-23.469158</v>
      </c>
      <c r="C13085" s="43" t="n">
        <v>-46.576546</v>
      </c>
      <c r="D13085" s="43" t="n">
        <v>757</v>
      </c>
      <c r="E13085" s="44" t="n">
        <v>26436.189</v>
      </c>
    </row>
    <row r="13086">
      <c r="A13086" s="39">
        <f>_xlfn.XLOOKUP(80404,Trip[shape_id],Trip[shape_id],"Não encontrado")</f>
        <v/>
      </c>
      <c r="B13086" s="40" t="n">
        <v>-23.46902</v>
      </c>
      <c r="C13086" s="40" t="n">
        <v>-46.577264</v>
      </c>
      <c r="D13086" s="40" t="n">
        <v>758</v>
      </c>
      <c r="E13086" s="41" t="n">
        <v>26511.119</v>
      </c>
    </row>
    <row r="13087">
      <c r="A13087" s="42">
        <f>_xlfn.XLOOKUP(80404,Trip[shape_id],Trip[shape_id],"Não encontrado")</f>
        <v/>
      </c>
      <c r="B13087" s="43" t="n">
        <v>-23.468856</v>
      </c>
      <c r="C13087" s="43" t="n">
        <v>-46.578145</v>
      </c>
      <c r="D13087" s="43" t="n">
        <v>759</v>
      </c>
      <c r="E13087" s="44" t="n">
        <v>26602.941</v>
      </c>
    </row>
    <row r="13088">
      <c r="A13088" s="39">
        <f>_xlfn.XLOOKUP(80404,Trip[shape_id],Trip[shape_id],"Não encontrado")</f>
        <v/>
      </c>
      <c r="B13088" s="40" t="n">
        <v>-23.468758</v>
      </c>
      <c r="C13088" s="40" t="n">
        <v>-46.578679</v>
      </c>
      <c r="D13088" s="40" t="n">
        <v>760</v>
      </c>
      <c r="E13088" s="41" t="n">
        <v>26658.566</v>
      </c>
    </row>
    <row r="13089">
      <c r="A13089" s="42">
        <f>_xlfn.XLOOKUP(80404,Trip[shape_id],Trip[shape_id],"Não encontrado")</f>
        <v/>
      </c>
      <c r="B13089" s="43" t="n">
        <v>-23.468551</v>
      </c>
      <c r="C13089" s="43" t="n">
        <v>-46.579742</v>
      </c>
      <c r="D13089" s="43" t="n">
        <v>761</v>
      </c>
      <c r="E13089" s="44" t="n">
        <v>26769.561</v>
      </c>
    </row>
    <row r="13090">
      <c r="A13090" s="39">
        <f>_xlfn.XLOOKUP(80404,Trip[shape_id],Trip[shape_id],"Não encontrado")</f>
        <v/>
      </c>
      <c r="B13090" s="40" t="n">
        <v>-23.468429</v>
      </c>
      <c r="C13090" s="40" t="n">
        <v>-46.580352</v>
      </c>
      <c r="D13090" s="40" t="n">
        <v>762</v>
      </c>
      <c r="E13090" s="41" t="n">
        <v>26833.33</v>
      </c>
    </row>
    <row r="13091">
      <c r="A13091" s="42">
        <f>_xlfn.XLOOKUP(80404,Trip[shape_id],Trip[shape_id],"Não encontrado")</f>
        <v/>
      </c>
      <c r="B13091" s="43" t="n">
        <v>-23.46833</v>
      </c>
      <c r="C13091" s="43" t="n">
        <v>-46.580894</v>
      </c>
      <c r="D13091" s="43" t="n">
        <v>763</v>
      </c>
      <c r="E13091" s="44" t="n">
        <v>26889.779</v>
      </c>
    </row>
    <row r="13092">
      <c r="A13092" s="39">
        <f>_xlfn.XLOOKUP(80404,Trip[shape_id],Trip[shape_id],"Não encontrado")</f>
        <v/>
      </c>
      <c r="B13092" s="40" t="n">
        <v>-23.468096</v>
      </c>
      <c r="C13092" s="40" t="n">
        <v>-46.582073</v>
      </c>
      <c r="D13092" s="40" t="n">
        <v>764</v>
      </c>
      <c r="E13092" s="41" t="n">
        <v>27012.988</v>
      </c>
    </row>
    <row r="13093">
      <c r="A13093" s="42">
        <f>_xlfn.XLOOKUP(80404,Trip[shape_id],Trip[shape_id],"Não encontrado")</f>
        <v/>
      </c>
      <c r="B13093" s="43" t="n">
        <v>-23.468026</v>
      </c>
      <c r="C13093" s="43" t="n">
        <v>-46.582451</v>
      </c>
      <c r="D13093" s="43" t="n">
        <v>765</v>
      </c>
      <c r="E13093" s="44" t="n">
        <v>27052.377</v>
      </c>
    </row>
    <row r="13094">
      <c r="A13094" s="39">
        <f>_xlfn.XLOOKUP(80404,Trip[shape_id],Trip[shape_id],"Não encontrado")</f>
        <v/>
      </c>
      <c r="B13094" s="40" t="n">
        <v>-23.467896</v>
      </c>
      <c r="C13094" s="40" t="n">
        <v>-46.583133</v>
      </c>
      <c r="D13094" s="40" t="n">
        <v>766</v>
      </c>
      <c r="E13094" s="41" t="n">
        <v>27123.525</v>
      </c>
    </row>
    <row r="13095">
      <c r="A13095" s="42">
        <f>_xlfn.XLOOKUP(80404,Trip[shape_id],Trip[shape_id],"Não encontrado")</f>
        <v/>
      </c>
      <c r="B13095" s="43" t="n">
        <v>-23.467848</v>
      </c>
      <c r="C13095" s="43" t="n">
        <v>-46.583506</v>
      </c>
      <c r="D13095" s="43" t="n">
        <v>767</v>
      </c>
      <c r="E13095" s="44" t="n">
        <v>27162.002</v>
      </c>
    </row>
    <row r="13096">
      <c r="A13096" s="39">
        <f>_xlfn.XLOOKUP(80404,Trip[shape_id],Trip[shape_id],"Não encontrado")</f>
        <v/>
      </c>
      <c r="B13096" s="40" t="n">
        <v>-23.467723</v>
      </c>
      <c r="C13096" s="40" t="n">
        <v>-46.584182</v>
      </c>
      <c r="D13096" s="40" t="n">
        <v>768</v>
      </c>
      <c r="E13096" s="41" t="n">
        <v>27232.439</v>
      </c>
    </row>
    <row r="13097">
      <c r="A13097" s="42">
        <f>_xlfn.XLOOKUP(80404,Trip[shape_id],Trip[shape_id],"Não encontrado")</f>
        <v/>
      </c>
      <c r="B13097" s="43" t="n">
        <v>-23.466006</v>
      </c>
      <c r="C13097" s="43" t="n">
        <v>-46.583781</v>
      </c>
      <c r="D13097" s="43" t="n">
        <v>769</v>
      </c>
      <c r="E13097" s="44" t="n">
        <v>27426.961</v>
      </c>
    </row>
    <row r="13098">
      <c r="A13098" s="39">
        <f>_xlfn.XLOOKUP(80404,Trip[shape_id],Trip[shape_id],"Não encontrado")</f>
        <v/>
      </c>
      <c r="B13098" s="40" t="n">
        <v>-23.465646</v>
      </c>
      <c r="C13098" s="40" t="n">
        <v>-46.583711</v>
      </c>
      <c r="D13098" s="40" t="n">
        <v>770</v>
      </c>
      <c r="E13098" s="41" t="n">
        <v>27467.467</v>
      </c>
    </row>
    <row r="13099">
      <c r="A13099" s="42">
        <f>_xlfn.XLOOKUP(80404,Trip[shape_id],Trip[shape_id],"Não encontrado")</f>
        <v/>
      </c>
      <c r="B13099" s="43" t="n">
        <v>-23.464914</v>
      </c>
      <c r="C13099" s="43" t="n">
        <v>-46.583505</v>
      </c>
      <c r="D13099" s="43" t="n">
        <v>771</v>
      </c>
      <c r="E13099" s="44" t="n">
        <v>27551.225</v>
      </c>
    </row>
    <row r="13100">
      <c r="A13100" s="39">
        <f>_xlfn.XLOOKUP(80404,Trip[shape_id],Trip[shape_id],"Não encontrado")</f>
        <v/>
      </c>
      <c r="B13100" s="40" t="n">
        <v>-23.464824</v>
      </c>
      <c r="C13100" s="40" t="n">
        <v>-46.583479</v>
      </c>
      <c r="D13100" s="40" t="n">
        <v>772</v>
      </c>
      <c r="E13100" s="41" t="n">
        <v>27561.539</v>
      </c>
    </row>
    <row r="13101">
      <c r="A13101" s="42">
        <f>_xlfn.XLOOKUP(80404,Trip[shape_id],Trip[shape_id],"Não encontrado")</f>
        <v/>
      </c>
      <c r="B13101" s="43" t="n">
        <v>-23.464732</v>
      </c>
      <c r="C13101" s="43" t="n">
        <v>-46.583467</v>
      </c>
      <c r="D13101" s="43" t="n">
        <v>773</v>
      </c>
      <c r="E13101" s="44" t="n">
        <v>27571.801</v>
      </c>
    </row>
    <row r="13102">
      <c r="A13102" s="39">
        <f>_xlfn.XLOOKUP(80404,Trip[shape_id],Trip[shape_id],"Não encontrado")</f>
        <v/>
      </c>
      <c r="B13102" s="40" t="n">
        <v>-23.464586</v>
      </c>
      <c r="C13102" s="40" t="n">
        <v>-46.58332</v>
      </c>
      <c r="D13102" s="40" t="n">
        <v>774</v>
      </c>
      <c r="E13102" s="41" t="n">
        <v>27608.5</v>
      </c>
    </row>
    <row r="13103">
      <c r="A13103" s="42">
        <f>_xlfn.XLOOKUP(80404,Trip[shape_id],Trip[shape_id],"Não encontrado")</f>
        <v/>
      </c>
      <c r="B13103" s="43" t="n">
        <v>-23.464479</v>
      </c>
      <c r="C13103" s="43" t="n">
        <v>-46.583236</v>
      </c>
      <c r="D13103" s="43" t="n">
        <v>775</v>
      </c>
      <c r="E13103" s="44" t="n">
        <v>27608.5</v>
      </c>
    </row>
    <row r="13104">
      <c r="A13104" s="39">
        <f>_xlfn.XLOOKUP(80404,Trip[shape_id],Trip[shape_id],"Não encontrado")</f>
        <v/>
      </c>
      <c r="B13104" s="40" t="n">
        <v>-23.464409</v>
      </c>
      <c r="C13104" s="40" t="n">
        <v>-46.583184</v>
      </c>
      <c r="D13104" s="40" t="n">
        <v>776</v>
      </c>
      <c r="E13104" s="41" t="n">
        <v>27636.869</v>
      </c>
    </row>
    <row r="13105">
      <c r="A13105" s="42">
        <f>_xlfn.XLOOKUP(80404,Trip[shape_id],Trip[shape_id],"Não encontrado")</f>
        <v/>
      </c>
      <c r="B13105" s="43" t="n">
        <v>-23.464271</v>
      </c>
      <c r="C13105" s="43" t="n">
        <v>-46.583074</v>
      </c>
      <c r="D13105" s="43" t="n">
        <v>777</v>
      </c>
      <c r="E13105" s="44" t="n">
        <v>27636.869</v>
      </c>
    </row>
    <row r="13106">
      <c r="A13106" s="39">
        <f>_xlfn.XLOOKUP(80404,Trip[shape_id],Trip[shape_id],"Não encontrado")</f>
        <v/>
      </c>
      <c r="B13106" s="40" t="n">
        <v>-23.463997</v>
      </c>
      <c r="C13106" s="40" t="n">
        <v>-46.583128</v>
      </c>
      <c r="D13106" s="40" t="n">
        <v>778</v>
      </c>
      <c r="E13106" s="41" t="n">
        <v>27667.713</v>
      </c>
    </row>
    <row r="13107">
      <c r="A13107" s="42">
        <f>_xlfn.XLOOKUP(80404,Trip[shape_id],Trip[shape_id],"Não encontrado")</f>
        <v/>
      </c>
      <c r="B13107" s="43" t="n">
        <v>-23.463945</v>
      </c>
      <c r="C13107" s="43" t="n">
        <v>-46.583123</v>
      </c>
      <c r="D13107" s="43" t="n">
        <v>779</v>
      </c>
      <c r="E13107" s="44" t="n">
        <v>27673.494</v>
      </c>
    </row>
    <row r="13108">
      <c r="A13108" s="39">
        <f>_xlfn.XLOOKUP(80404,Trip[shape_id],Trip[shape_id],"Não encontrado")</f>
        <v/>
      </c>
      <c r="B13108" s="40" t="n">
        <v>-23.463933</v>
      </c>
      <c r="C13108" s="40" t="n">
        <v>-46.583303</v>
      </c>
      <c r="D13108" s="40" t="n">
        <v>780</v>
      </c>
      <c r="E13108" s="41" t="n">
        <v>27691.932</v>
      </c>
    </row>
    <row r="13109">
      <c r="A13109" s="42">
        <f>_xlfn.XLOOKUP(80404,Trip[shape_id],Trip[shape_id],"Não encontrado")</f>
        <v/>
      </c>
      <c r="B13109" s="43" t="n">
        <v>-23.46384</v>
      </c>
      <c r="C13109" s="43" t="n">
        <v>-46.583845</v>
      </c>
      <c r="D13109" s="43" t="n">
        <v>781</v>
      </c>
      <c r="E13109" s="44" t="n">
        <v>27748.258</v>
      </c>
    </row>
    <row r="13110">
      <c r="A13110" s="39">
        <f>_xlfn.XLOOKUP(80404,Trip[shape_id],Trip[shape_id],"Não encontrado")</f>
        <v/>
      </c>
      <c r="B13110" s="40" t="n">
        <v>-23.463769</v>
      </c>
      <c r="C13110" s="40" t="n">
        <v>-46.584274</v>
      </c>
      <c r="D13110" s="40" t="n">
        <v>782</v>
      </c>
      <c r="E13110" s="41" t="n">
        <v>27792.787</v>
      </c>
    </row>
    <row r="13111">
      <c r="A13111" s="42">
        <f>_xlfn.XLOOKUP(80404,Trip[shape_id],Trip[shape_id],"Não encontrado")</f>
        <v/>
      </c>
      <c r="B13111" s="43" t="n">
        <v>-23.463737</v>
      </c>
      <c r="C13111" s="43" t="n">
        <v>-46.584491</v>
      </c>
      <c r="D13111" s="43" t="n">
        <v>783</v>
      </c>
      <c r="E13111" s="44" t="n">
        <v>27815.238</v>
      </c>
    </row>
    <row r="13112">
      <c r="A13112" s="39">
        <f>_xlfn.XLOOKUP(80404,Trip[shape_id],Trip[shape_id],"Não encontrado")</f>
        <v/>
      </c>
      <c r="B13112" s="40" t="n">
        <v>-23.463757</v>
      </c>
      <c r="C13112" s="40" t="n">
        <v>-46.584584</v>
      </c>
      <c r="D13112" s="40" t="n">
        <v>784</v>
      </c>
      <c r="E13112" s="41" t="n">
        <v>27824.996</v>
      </c>
    </row>
    <row r="13113">
      <c r="A13113" s="42">
        <f>_xlfn.XLOOKUP(80404,Trip[shape_id],Trip[shape_id],"Não encontrado")</f>
        <v/>
      </c>
      <c r="B13113" s="43" t="n">
        <v>-23.463819</v>
      </c>
      <c r="C13113" s="43" t="n">
        <v>-46.584647</v>
      </c>
      <c r="D13113" s="43" t="n">
        <v>785</v>
      </c>
      <c r="E13113" s="44" t="n">
        <v>27834.408</v>
      </c>
    </row>
    <row r="13114">
      <c r="A13114" s="39">
        <f>_xlfn.XLOOKUP(80404,Trip[shape_id],Trip[shape_id],"Não encontrado")</f>
        <v/>
      </c>
      <c r="B13114" s="40" t="n">
        <v>-23.463903</v>
      </c>
      <c r="C13114" s="40" t="n">
        <v>-46.584708</v>
      </c>
      <c r="D13114" s="40" t="n">
        <v>786</v>
      </c>
      <c r="E13114" s="41" t="n">
        <v>27845.605</v>
      </c>
    </row>
    <row r="13115">
      <c r="A13115" s="42">
        <f>_xlfn.XLOOKUP(80404,Trip[shape_id],Trip[shape_id],"Não encontrado")</f>
        <v/>
      </c>
      <c r="B13115" s="43" t="n">
        <v>-23.463714</v>
      </c>
      <c r="C13115" s="43" t="n">
        <v>-46.584831</v>
      </c>
      <c r="D13115" s="43" t="n">
        <v>787</v>
      </c>
      <c r="E13115" s="44" t="n">
        <v>27870.02</v>
      </c>
    </row>
    <row r="13116">
      <c r="A13116" s="39">
        <f>_xlfn.XLOOKUP(80404,Trip[shape_id],Trip[shape_id],"Não encontrado")</f>
        <v/>
      </c>
      <c r="B13116" s="40" t="n">
        <v>-23.462679</v>
      </c>
      <c r="C13116" s="40" t="n">
        <v>-46.585433</v>
      </c>
      <c r="D13116" s="40" t="n">
        <v>788</v>
      </c>
      <c r="E13116" s="41" t="n">
        <v>28000.105</v>
      </c>
    </row>
    <row r="13117">
      <c r="A13117" s="42">
        <f>_xlfn.XLOOKUP(80404,Trip[shape_id],Trip[shape_id],"Não encontrado")</f>
        <v/>
      </c>
      <c r="B13117" s="43" t="n">
        <v>-23.46228</v>
      </c>
      <c r="C13117" s="43" t="n">
        <v>-46.585678</v>
      </c>
      <c r="D13117" s="43" t="n">
        <v>789</v>
      </c>
      <c r="E13117" s="44" t="n">
        <v>28067.883</v>
      </c>
    </row>
    <row r="13118">
      <c r="A13118" s="39">
        <f>_xlfn.XLOOKUP(80404,Trip[shape_id],Trip[shape_id],"Não encontrado")</f>
        <v/>
      </c>
      <c r="B13118" s="40" t="n">
        <v>-23.46214</v>
      </c>
      <c r="C13118" s="40" t="n">
        <v>-46.585746</v>
      </c>
      <c r="D13118" s="40" t="n">
        <v>790</v>
      </c>
      <c r="E13118" s="41" t="n">
        <v>28074.811</v>
      </c>
    </row>
    <row r="13119">
      <c r="A13119" s="42">
        <f>_xlfn.XLOOKUP(80404,Trip[shape_id],Trip[shape_id],"Não encontrado")</f>
        <v/>
      </c>
      <c r="B13119" s="43" t="n">
        <v>-23.462078</v>
      </c>
      <c r="C13119" s="43" t="n">
        <v>-46.585755</v>
      </c>
      <c r="D13119" s="43" t="n">
        <v>791</v>
      </c>
      <c r="E13119" s="44" t="n">
        <v>28074.811</v>
      </c>
    </row>
    <row r="13120">
      <c r="A13120" s="39">
        <f>_xlfn.XLOOKUP(80404,Trip[shape_id],Trip[shape_id],"Não encontrado")</f>
        <v/>
      </c>
      <c r="B13120" s="40" t="n">
        <v>-23.461755</v>
      </c>
      <c r="C13120" s="40" t="n">
        <v>-46.585778</v>
      </c>
      <c r="D13120" s="40" t="n">
        <v>792</v>
      </c>
      <c r="E13120" s="41" t="n">
        <v>28145.672</v>
      </c>
    </row>
    <row r="13121">
      <c r="A13121" s="42">
        <f>_xlfn.XLOOKUP(80404,Trip[shape_id],Trip[shape_id],"Não encontrado")</f>
        <v/>
      </c>
      <c r="B13121" s="43" t="n">
        <v>-23.461439</v>
      </c>
      <c r="C13121" s="43" t="n">
        <v>-46.585768</v>
      </c>
      <c r="D13121" s="43" t="n">
        <v>793</v>
      </c>
      <c r="E13121" s="44" t="n">
        <v>28177.986</v>
      </c>
    </row>
    <row r="13122">
      <c r="A13122" s="39">
        <f>_xlfn.XLOOKUP(80404,Trip[shape_id],Trip[shape_id],"Não encontrado")</f>
        <v/>
      </c>
      <c r="B13122" s="40" t="n">
        <v>-23.461148</v>
      </c>
      <c r="C13122" s="40" t="n">
        <v>-46.585745</v>
      </c>
      <c r="D13122" s="40" t="n">
        <v>794</v>
      </c>
      <c r="E13122" s="41" t="n">
        <v>28230.24</v>
      </c>
    </row>
    <row r="13123">
      <c r="A13123" s="42">
        <f>_xlfn.XLOOKUP(80404,Trip[shape_id],Trip[shape_id],"Não encontrado")</f>
        <v/>
      </c>
      <c r="B13123" s="43" t="n">
        <v>-23.460682</v>
      </c>
      <c r="C13123" s="43" t="n">
        <v>-46.585665</v>
      </c>
      <c r="D13123" s="43" t="n">
        <v>795</v>
      </c>
      <c r="E13123" s="44" t="n">
        <v>28253.598</v>
      </c>
    </row>
    <row r="13124">
      <c r="A13124" s="39">
        <f>_xlfn.XLOOKUP(80404,Trip[shape_id],Trip[shape_id],"Não encontrado")</f>
        <v/>
      </c>
      <c r="B13124" s="40" t="n">
        <v>-23.460476</v>
      </c>
      <c r="C13124" s="40" t="n">
        <v>-46.585616</v>
      </c>
      <c r="D13124" s="40" t="n">
        <v>796</v>
      </c>
      <c r="E13124" s="41" t="n">
        <v>28283.916</v>
      </c>
    </row>
    <row r="13125">
      <c r="A13125" s="42">
        <f>_xlfn.XLOOKUP(80404,Trip[shape_id],Trip[shape_id],"Não encontrado")</f>
        <v/>
      </c>
      <c r="B13125" s="43" t="n">
        <v>-23.460206</v>
      </c>
      <c r="C13125" s="43" t="n">
        <v>-46.585567</v>
      </c>
      <c r="D13125" s="43" t="n">
        <v>797</v>
      </c>
      <c r="E13125" s="44" t="n">
        <v>28306.555</v>
      </c>
    </row>
    <row r="13126">
      <c r="A13126" s="39">
        <f>_xlfn.XLOOKUP(80404,Trip[shape_id],Trip[shape_id],"Não encontrado")</f>
        <v/>
      </c>
      <c r="B13126" s="40" t="n">
        <v>-23.460002</v>
      </c>
      <c r="C13126" s="40" t="n">
        <v>-46.585553</v>
      </c>
      <c r="D13126" s="40" t="n">
        <v>798</v>
      </c>
      <c r="E13126" s="41" t="n">
        <v>28319.396</v>
      </c>
    </row>
    <row r="13127">
      <c r="A13127" s="42">
        <f>_xlfn.XLOOKUP(80404,Trip[shape_id],Trip[shape_id],"Não encontrado")</f>
        <v/>
      </c>
      <c r="B13127" s="43" t="n">
        <v>-23.459888</v>
      </c>
      <c r="C13127" s="43" t="n">
        <v>-46.585576</v>
      </c>
      <c r="D13127" s="43" t="n">
        <v>799</v>
      </c>
      <c r="E13127" s="44" t="n">
        <v>28333.928</v>
      </c>
    </row>
    <row r="13128">
      <c r="A13128" s="39">
        <f>_xlfn.XLOOKUP(80404,Trip[shape_id],Trip[shape_id],"Não encontrado")</f>
        <v/>
      </c>
      <c r="B13128" s="40" t="n">
        <v>-23.459757</v>
      </c>
      <c r="C13128" s="40" t="n">
        <v>-46.585584</v>
      </c>
      <c r="D13128" s="40" t="n">
        <v>800</v>
      </c>
      <c r="E13128" s="41" t="n">
        <v>28333.928</v>
      </c>
    </row>
    <row r="13129">
      <c r="A13129" s="42">
        <f>_xlfn.XLOOKUP(80404,Trip[shape_id],Trip[shape_id],"Não encontrado")</f>
        <v/>
      </c>
      <c r="B13129" s="43" t="n">
        <v>-23.459691</v>
      </c>
      <c r="C13129" s="43" t="n">
        <v>-46.585459</v>
      </c>
      <c r="D13129" s="43" t="n">
        <v>801</v>
      </c>
      <c r="E13129" s="44" t="n">
        <v>28354.994</v>
      </c>
    </row>
    <row r="13130">
      <c r="A13130" s="39">
        <f>_xlfn.XLOOKUP(80404,Trip[shape_id],Trip[shape_id],"Não encontrado")</f>
        <v/>
      </c>
      <c r="B13130" s="40" t="n">
        <v>-23.459676</v>
      </c>
      <c r="C13130" s="40" t="n">
        <v>-46.585399</v>
      </c>
      <c r="D13130" s="40" t="n">
        <v>802</v>
      </c>
      <c r="E13130" s="41" t="n">
        <v>28361.984</v>
      </c>
    </row>
    <row r="13131">
      <c r="A13131" s="42">
        <f>_xlfn.XLOOKUP(80404,Trip[shape_id],Trip[shape_id],"Não encontrado")</f>
        <v/>
      </c>
      <c r="B13131" s="43" t="n">
        <v>-23.459683</v>
      </c>
      <c r="C13131" s="43" t="n">
        <v>-46.585331</v>
      </c>
      <c r="D13131" s="43" t="n">
        <v>803</v>
      </c>
      <c r="E13131" s="44" t="n">
        <v>28375.182</v>
      </c>
    </row>
    <row r="13132">
      <c r="A13132" s="39">
        <f>_xlfn.XLOOKUP(80404,Trip[shape_id],Trip[shape_id],"Não encontrado")</f>
        <v/>
      </c>
      <c r="B13132" s="40" t="n">
        <v>-23.459713</v>
      </c>
      <c r="C13132" s="40" t="n">
        <v>-46.585206</v>
      </c>
      <c r="D13132" s="40" t="n">
        <v>804</v>
      </c>
      <c r="E13132" s="41" t="n">
        <v>28404.02</v>
      </c>
    </row>
    <row r="13133">
      <c r="A13133" s="42">
        <f>_xlfn.XLOOKUP(80404,Trip[shape_id],Trip[shape_id],"Não encontrado")</f>
        <v/>
      </c>
      <c r="B13133" s="43" t="n">
        <v>-23.459763</v>
      </c>
      <c r="C13133" s="43" t="n">
        <v>-46.584929</v>
      </c>
      <c r="D13133" s="43" t="n">
        <v>805</v>
      </c>
      <c r="E13133" s="44" t="n">
        <v>28404.02</v>
      </c>
    </row>
    <row r="13134">
      <c r="A13134" s="39">
        <f>_xlfn.XLOOKUP(80404,Trip[shape_id],Trip[shape_id],"Não encontrado")</f>
        <v/>
      </c>
      <c r="B13134" s="40" t="n">
        <v>-23.459785</v>
      </c>
      <c r="C13134" s="40" t="n">
        <v>-46.58476</v>
      </c>
      <c r="D13134" s="40" t="n">
        <v>806</v>
      </c>
      <c r="E13134" s="41" t="n">
        <v>28421.457</v>
      </c>
    </row>
    <row r="13135">
      <c r="A13135" s="42">
        <f>_xlfn.XLOOKUP(80404,Trip[shape_id],Trip[shape_id],"Não encontrado")</f>
        <v/>
      </c>
      <c r="B13135" s="43" t="n">
        <v>-23.459826</v>
      </c>
      <c r="C13135" s="43" t="n">
        <v>-46.584529</v>
      </c>
      <c r="D13135" s="43" t="n">
        <v>807</v>
      </c>
      <c r="E13135" s="44" t="n">
        <v>28445.492</v>
      </c>
    </row>
    <row r="13136">
      <c r="A13136" s="39">
        <f>_xlfn.XLOOKUP(80404,Trip[shape_id],Trip[shape_id],"Não encontrado")</f>
        <v/>
      </c>
      <c r="B13136" s="40" t="n">
        <v>-23.459966</v>
      </c>
      <c r="C13136" s="40" t="n">
        <v>-46.583822</v>
      </c>
      <c r="D13136" s="40" t="n">
        <v>808</v>
      </c>
      <c r="E13136" s="41" t="n">
        <v>28519.373</v>
      </c>
    </row>
    <row r="13137">
      <c r="A13137" s="42">
        <f>_xlfn.XLOOKUP(80404,Trip[shape_id],Trip[shape_id],"Não encontrado")</f>
        <v/>
      </c>
      <c r="B13137" s="43" t="n">
        <v>-23.459996</v>
      </c>
      <c r="C13137" s="43" t="n">
        <v>-46.583622</v>
      </c>
      <c r="D13137" s="43" t="n">
        <v>809</v>
      </c>
      <c r="E13137" s="44" t="n">
        <v>28540.076</v>
      </c>
    </row>
    <row r="13138">
      <c r="A13138" s="39">
        <f>_xlfn.XLOOKUP(80404,Trip[shape_id],Trip[shape_id],"Não encontrado")</f>
        <v/>
      </c>
      <c r="B13138" s="40" t="n">
        <v>-23.4604</v>
      </c>
      <c r="C13138" s="40" t="n">
        <v>-46.583336</v>
      </c>
      <c r="D13138" s="40" t="n">
        <v>810</v>
      </c>
      <c r="E13138" s="41" t="n">
        <v>28593.516</v>
      </c>
    </row>
    <row r="13139">
      <c r="A13139" s="42">
        <f>_xlfn.XLOOKUP(80404,Trip[shape_id],Trip[shape_id],"Não encontrado")</f>
        <v/>
      </c>
      <c r="B13139" s="43" t="n">
        <v>-23.460552</v>
      </c>
      <c r="C13139" s="43" t="n">
        <v>-46.5833</v>
      </c>
      <c r="D13139" s="43" t="n">
        <v>811</v>
      </c>
      <c r="E13139" s="44" t="n">
        <v>28610.746</v>
      </c>
    </row>
    <row r="13140">
      <c r="A13140" s="39">
        <f>_xlfn.XLOOKUP(80404,Trip[shape_id],Trip[shape_id],"Não encontrado")</f>
        <v/>
      </c>
      <c r="B13140" s="40" t="n">
        <v>-23.460743</v>
      </c>
      <c r="C13140" s="40" t="n">
        <v>-46.583178</v>
      </c>
      <c r="D13140" s="40" t="n">
        <v>812</v>
      </c>
      <c r="E13140" s="41" t="n">
        <v>28635.299</v>
      </c>
    </row>
    <row r="13141">
      <c r="A13141" s="42">
        <f>_xlfn.XLOOKUP(80404,Trip[shape_id],Trip[shape_id],"Não encontrado")</f>
        <v/>
      </c>
      <c r="B13141" s="43" t="n">
        <v>-23.460834</v>
      </c>
      <c r="C13141" s="43" t="n">
        <v>-46.583133</v>
      </c>
      <c r="D13141" s="43" t="n">
        <v>813</v>
      </c>
      <c r="E13141" s="44" t="n">
        <v>28646.377</v>
      </c>
    </row>
    <row r="13142">
      <c r="A13142" s="39">
        <f>_xlfn.XLOOKUP(80404,Trip[shape_id],Trip[shape_id],"Não encontrado")</f>
        <v/>
      </c>
      <c r="B13142" s="40" t="n">
        <v>-23.460967</v>
      </c>
      <c r="C13142" s="40" t="n">
        <v>-46.583074</v>
      </c>
      <c r="D13142" s="40" t="n">
        <v>814</v>
      </c>
      <c r="E13142" s="41" t="n">
        <v>28662.293</v>
      </c>
    </row>
    <row r="13143">
      <c r="A13143" s="42">
        <f>_xlfn.XLOOKUP(80404,Trip[shape_id],Trip[shape_id],"Não encontrado")</f>
        <v/>
      </c>
      <c r="B13143" s="43" t="n">
        <v>-23.461069</v>
      </c>
      <c r="C13143" s="43" t="n">
        <v>-46.583037</v>
      </c>
      <c r="D13143" s="43" t="n">
        <v>815</v>
      </c>
      <c r="E13143" s="44" t="n">
        <v>28674.205</v>
      </c>
    </row>
    <row r="13144">
      <c r="A13144" s="39">
        <f>_xlfn.XLOOKUP(80404,Trip[shape_id],Trip[shape_id],"Não encontrado")</f>
        <v/>
      </c>
      <c r="B13144" s="40" t="n">
        <v>-23.461146</v>
      </c>
      <c r="C13144" s="40" t="n">
        <v>-46.583006</v>
      </c>
      <c r="D13144" s="40" t="n">
        <v>816</v>
      </c>
      <c r="E13144" s="41" t="n">
        <v>28683.303</v>
      </c>
    </row>
    <row r="13145">
      <c r="A13145" s="42">
        <f>_xlfn.XLOOKUP(80404,Trip[shape_id],Trip[shape_id],"Não encontrado")</f>
        <v/>
      </c>
      <c r="B13145" s="43" t="n">
        <v>-23.461249</v>
      </c>
      <c r="C13145" s="43" t="n">
        <v>-46.582974</v>
      </c>
      <c r="D13145" s="43" t="n">
        <v>817</v>
      </c>
      <c r="E13145" s="44" t="n">
        <v>28695.17</v>
      </c>
    </row>
    <row r="13146">
      <c r="A13146" s="39">
        <f>_xlfn.XLOOKUP(80404,Trip[shape_id],Trip[shape_id],"Não encontrado")</f>
        <v/>
      </c>
      <c r="B13146" s="40" t="n">
        <v>-23.46141</v>
      </c>
      <c r="C13146" s="40" t="n">
        <v>-46.582934</v>
      </c>
      <c r="D13146" s="40" t="n">
        <v>818</v>
      </c>
      <c r="E13146" s="41" t="n">
        <v>28713.463</v>
      </c>
    </row>
    <row r="13147">
      <c r="A13147" s="42">
        <f>_xlfn.XLOOKUP(80404,Trip[shape_id],Trip[shape_id],"Não encontrado")</f>
        <v/>
      </c>
      <c r="B13147" s="43" t="n">
        <v>-23.461563</v>
      </c>
      <c r="C13147" s="43" t="n">
        <v>-46.582917</v>
      </c>
      <c r="D13147" s="43" t="n">
        <v>819</v>
      </c>
      <c r="E13147" s="44" t="n">
        <v>28730.496</v>
      </c>
    </row>
    <row r="13148">
      <c r="A13148" s="39">
        <f>_xlfn.XLOOKUP(80404,Trip[shape_id],Trip[shape_id],"Não encontrado")</f>
        <v/>
      </c>
      <c r="B13148" s="40" t="n">
        <v>-23.461635</v>
      </c>
      <c r="C13148" s="40" t="n">
        <v>-46.582889</v>
      </c>
      <c r="D13148" s="40" t="n">
        <v>820</v>
      </c>
      <c r="E13148" s="41" t="n">
        <v>28738.969</v>
      </c>
    </row>
    <row r="13149">
      <c r="A13149" s="42">
        <f>_xlfn.XLOOKUP(80404,Trip[shape_id],Trip[shape_id],"Não encontrado")</f>
        <v/>
      </c>
      <c r="B13149" s="43" t="n">
        <v>-23.461704</v>
      </c>
      <c r="C13149" s="43" t="n">
        <v>-46.582886</v>
      </c>
      <c r="D13149" s="43" t="n">
        <v>821</v>
      </c>
      <c r="E13149" s="44" t="n">
        <v>28746.617</v>
      </c>
    </row>
    <row r="13150">
      <c r="A13150" s="39">
        <f>_xlfn.XLOOKUP(80404,Trip[shape_id],Trip[shape_id],"Não encontrado")</f>
        <v/>
      </c>
      <c r="B13150" s="40" t="n">
        <v>-23.46176</v>
      </c>
      <c r="C13150" s="40" t="n">
        <v>-46.582887</v>
      </c>
      <c r="D13150" s="40" t="n">
        <v>822</v>
      </c>
      <c r="E13150" s="41" t="n">
        <v>28752.82</v>
      </c>
    </row>
    <row r="13151">
      <c r="A13151" s="42">
        <f>_xlfn.XLOOKUP(80404,Trip[shape_id],Trip[shape_id],"Não encontrado")</f>
        <v/>
      </c>
      <c r="B13151" s="43" t="n">
        <v>-23.461849</v>
      </c>
      <c r="C13151" s="43" t="n">
        <v>-46.582896</v>
      </c>
      <c r="D13151" s="43" t="n">
        <v>823</v>
      </c>
      <c r="E13151" s="44" t="n">
        <v>28762.719</v>
      </c>
    </row>
    <row r="13152">
      <c r="A13152" s="39">
        <f>_xlfn.XLOOKUP(81611,Trip[shape_id],Trip[shape_id],"Não encontrado")</f>
        <v/>
      </c>
      <c r="B13152" s="40" t="n">
        <v>-23.585265</v>
      </c>
      <c r="C13152" s="40" t="n">
        <v>-46.506402</v>
      </c>
      <c r="D13152" s="40" t="n">
        <v>1</v>
      </c>
      <c r="E13152" s="41" t="n">
        <v>6.650116</v>
      </c>
    </row>
    <row r="13153">
      <c r="A13153" s="42">
        <f>_xlfn.XLOOKUP(81611,Trip[shape_id],Trip[shape_id],"Não encontrado")</f>
        <v/>
      </c>
      <c r="B13153" s="43" t="n">
        <v>-23.585261</v>
      </c>
      <c r="C13153" s="43" t="n">
        <v>-46.506337</v>
      </c>
      <c r="D13153" s="43" t="n">
        <v>2</v>
      </c>
      <c r="E13153" s="44" t="n">
        <v>6.650116</v>
      </c>
    </row>
    <row r="13154">
      <c r="A13154" s="39">
        <f>_xlfn.XLOOKUP(81611,Trip[shape_id],Trip[shape_id],"Não encontrado")</f>
        <v/>
      </c>
      <c r="B13154" s="40" t="n">
        <v>-23.585243</v>
      </c>
      <c r="C13154" s="40" t="n">
        <v>-46.506153</v>
      </c>
      <c r="D13154" s="40" t="n">
        <v>3</v>
      </c>
      <c r="E13154" s="41" t="n">
        <v>38.910877</v>
      </c>
    </row>
    <row r="13155">
      <c r="A13155" s="42">
        <f>_xlfn.XLOOKUP(81611,Trip[shape_id],Trip[shape_id],"Não encontrado")</f>
        <v/>
      </c>
      <c r="B13155" s="43" t="n">
        <v>-23.585228</v>
      </c>
      <c r="C13155" s="43" t="n">
        <v>-46.506023</v>
      </c>
      <c r="D13155" s="43" t="n">
        <v>4</v>
      </c>
      <c r="E13155" s="44" t="n">
        <v>38.910877</v>
      </c>
    </row>
    <row r="13156">
      <c r="A13156" s="39">
        <f>_xlfn.XLOOKUP(81611,Trip[shape_id],Trip[shape_id],"Não encontrado")</f>
        <v/>
      </c>
      <c r="B13156" s="40" t="n">
        <v>-23.585211</v>
      </c>
      <c r="C13156" s="40" t="n">
        <v>-46.505885</v>
      </c>
      <c r="D13156" s="40" t="n">
        <v>5</v>
      </c>
      <c r="E13156" s="41" t="n">
        <v>53.122631</v>
      </c>
    </row>
    <row r="13157">
      <c r="A13157" s="42">
        <f>_xlfn.XLOOKUP(81611,Trip[shape_id],Trip[shape_id],"Não encontrado")</f>
        <v/>
      </c>
      <c r="B13157" s="43" t="n">
        <v>-23.585207</v>
      </c>
      <c r="C13157" s="43" t="n">
        <v>-46.505647</v>
      </c>
      <c r="D13157" s="43" t="n">
        <v>6</v>
      </c>
      <c r="E13157" s="44" t="n">
        <v>83.54969800000001</v>
      </c>
    </row>
    <row r="13158">
      <c r="A13158" s="39">
        <f>_xlfn.XLOOKUP(81611,Trip[shape_id],Trip[shape_id],"Não encontrado")</f>
        <v/>
      </c>
      <c r="B13158" s="40" t="n">
        <v>-23.585233</v>
      </c>
      <c r="C13158" s="40" t="n">
        <v>-46.505594</v>
      </c>
      <c r="D13158" s="40" t="n">
        <v>7</v>
      </c>
      <c r="E13158" s="41" t="n">
        <v>89.059189</v>
      </c>
    </row>
    <row r="13159">
      <c r="A13159" s="42">
        <f>_xlfn.XLOOKUP(81611,Trip[shape_id],Trip[shape_id],"Não encontrado")</f>
        <v/>
      </c>
      <c r="B13159" s="43" t="n">
        <v>-23.585278</v>
      </c>
      <c r="C13159" s="43" t="n">
        <v>-46.505571</v>
      </c>
      <c r="D13159" s="43" t="n">
        <v>8</v>
      </c>
      <c r="E13159" s="44" t="n">
        <v>95.37286400000001</v>
      </c>
    </row>
    <row r="13160">
      <c r="A13160" s="39">
        <f>_xlfn.XLOOKUP(81611,Trip[shape_id],Trip[shape_id],"Não encontrado")</f>
        <v/>
      </c>
      <c r="B13160" s="40" t="n">
        <v>-23.585335</v>
      </c>
      <c r="C13160" s="40" t="n">
        <v>-46.50557</v>
      </c>
      <c r="D13160" s="40" t="n">
        <v>9</v>
      </c>
      <c r="E13160" s="41" t="n">
        <v>134.23117</v>
      </c>
    </row>
    <row r="13161">
      <c r="A13161" s="42">
        <f>_xlfn.XLOOKUP(81611,Trip[shape_id],Trip[shape_id],"Não encontrado")</f>
        <v/>
      </c>
      <c r="B13161" s="43" t="n">
        <v>-23.585677</v>
      </c>
      <c r="C13161" s="43" t="n">
        <v>-46.505655</v>
      </c>
      <c r="D13161" s="43" t="n">
        <v>10</v>
      </c>
      <c r="E13161" s="44" t="n">
        <v>185.84164</v>
      </c>
    </row>
    <row r="13162">
      <c r="A13162" s="39">
        <f>_xlfn.XLOOKUP(81611,Trip[shape_id],Trip[shape_id],"Não encontrado")</f>
        <v/>
      </c>
      <c r="B13162" s="40" t="n">
        <v>-23.586131</v>
      </c>
      <c r="C13162" s="40" t="n">
        <v>-46.505769</v>
      </c>
      <c r="D13162" s="40" t="n">
        <v>11</v>
      </c>
      <c r="E13162" s="41" t="n">
        <v>212.77092</v>
      </c>
    </row>
    <row r="13163">
      <c r="A13163" s="42">
        <f>_xlfn.XLOOKUP(81611,Trip[shape_id],Trip[shape_id],"Não encontrado")</f>
        <v/>
      </c>
      <c r="B13163" s="43" t="n">
        <v>-23.586369</v>
      </c>
      <c r="C13163" s="43" t="n">
        <v>-46.505823</v>
      </c>
      <c r="D13163" s="43" t="n">
        <v>12</v>
      </c>
      <c r="E13163" s="44" t="n">
        <v>236.80458</v>
      </c>
    </row>
    <row r="13164">
      <c r="A13164" s="39">
        <f>_xlfn.XLOOKUP(81611,Trip[shape_id],Trip[shape_id],"Não encontrado")</f>
        <v/>
      </c>
      <c r="B13164" s="40" t="n">
        <v>-23.58658</v>
      </c>
      <c r="C13164" s="40" t="n">
        <v>-46.505878</v>
      </c>
      <c r="D13164" s="40" t="n">
        <v>13</v>
      </c>
      <c r="E13164" s="41" t="n">
        <v>256.42276</v>
      </c>
    </row>
    <row r="13165">
      <c r="A13165" s="42">
        <f>_xlfn.XLOOKUP(81611,Trip[shape_id],Trip[shape_id],"Não encontrado")</f>
        <v/>
      </c>
      <c r="B13165" s="43" t="n">
        <v>-23.58675</v>
      </c>
      <c r="C13165" s="43" t="n">
        <v>-46.505932</v>
      </c>
      <c r="D13165" s="43" t="n">
        <v>14</v>
      </c>
      <c r="E13165" s="44" t="n">
        <v>280.90115</v>
      </c>
    </row>
    <row r="13166">
      <c r="A13166" s="39">
        <f>_xlfn.XLOOKUP(81611,Trip[shape_id],Trip[shape_id],"Não encontrado")</f>
        <v/>
      </c>
      <c r="B13166" s="40" t="n">
        <v>-23.586959</v>
      </c>
      <c r="C13166" s="40" t="n">
        <v>-46.50601</v>
      </c>
      <c r="D13166" s="40" t="n">
        <v>15</v>
      </c>
      <c r="E13166" s="41" t="n">
        <v>322.72974</v>
      </c>
    </row>
    <row r="13167">
      <c r="A13167" s="42">
        <f>_xlfn.XLOOKUP(81611,Trip[shape_id],Trip[shape_id],"Não encontrado")</f>
        <v/>
      </c>
      <c r="B13167" s="43" t="n">
        <v>-23.587296</v>
      </c>
      <c r="C13167" s="43" t="n">
        <v>-46.506195</v>
      </c>
      <c r="D13167" s="43" t="n">
        <v>16</v>
      </c>
      <c r="E13167" s="44" t="n">
        <v>368.33826</v>
      </c>
    </row>
    <row r="13168">
      <c r="A13168" s="39">
        <f>_xlfn.XLOOKUP(81611,Trip[shape_id],Trip[shape_id],"Não encontrado")</f>
        <v/>
      </c>
      <c r="B13168" s="40" t="n">
        <v>-23.587657</v>
      </c>
      <c r="C13168" s="40" t="n">
        <v>-46.50641</v>
      </c>
      <c r="D13168" s="40" t="n">
        <v>17</v>
      </c>
      <c r="E13168" s="41" t="n">
        <v>368.33826</v>
      </c>
    </row>
    <row r="13169">
      <c r="A13169" s="42">
        <f>_xlfn.XLOOKUP(81611,Trip[shape_id],Trip[shape_id],"Não encontrado")</f>
        <v/>
      </c>
      <c r="B13169" s="43" t="n">
        <v>-23.587922</v>
      </c>
      <c r="C13169" s="43" t="n">
        <v>-46.506558</v>
      </c>
      <c r="D13169" s="43" t="n">
        <v>18</v>
      </c>
      <c r="E13169" s="44" t="n">
        <v>401.34744</v>
      </c>
    </row>
    <row r="13170">
      <c r="A13170" s="39">
        <f>_xlfn.XLOOKUP(81611,Trip[shape_id],Trip[shape_id],"Não encontrado")</f>
        <v/>
      </c>
      <c r="B13170" s="40" t="n">
        <v>-23.588143</v>
      </c>
      <c r="C13170" s="40" t="n">
        <v>-46.506683</v>
      </c>
      <c r="D13170" s="40" t="n">
        <v>19</v>
      </c>
      <c r="E13170" s="41" t="n">
        <v>428.94958</v>
      </c>
    </row>
    <row r="13171">
      <c r="A13171" s="42">
        <f>_xlfn.XLOOKUP(81611,Trip[shape_id],Trip[shape_id],"Não encontrado")</f>
        <v/>
      </c>
      <c r="B13171" s="43" t="n">
        <v>-23.588342</v>
      </c>
      <c r="C13171" s="43" t="n">
        <v>-46.506784</v>
      </c>
      <c r="D13171" s="43" t="n">
        <v>20</v>
      </c>
      <c r="E13171" s="44" t="n">
        <v>453.28128</v>
      </c>
    </row>
    <row r="13172">
      <c r="A13172" s="39">
        <f>_xlfn.XLOOKUP(81611,Trip[shape_id],Trip[shape_id],"Não encontrado")</f>
        <v/>
      </c>
      <c r="B13172" s="40" t="n">
        <v>-23.588552</v>
      </c>
      <c r="C13172" s="40" t="n">
        <v>-46.50687</v>
      </c>
      <c r="D13172" s="40" t="n">
        <v>21</v>
      </c>
      <c r="E13172" s="41" t="n">
        <v>525.47522</v>
      </c>
    </row>
    <row r="13173">
      <c r="A13173" s="42">
        <f>_xlfn.XLOOKUP(81611,Trip[shape_id],Trip[shape_id],"Não encontrado")</f>
        <v/>
      </c>
      <c r="B13173" s="43" t="n">
        <v>-23.58895</v>
      </c>
      <c r="C13173" s="43" t="n">
        <v>-46.507039</v>
      </c>
      <c r="D13173" s="43" t="n">
        <v>22</v>
      </c>
      <c r="E13173" s="44" t="n">
        <v>572.7542099999999</v>
      </c>
    </row>
    <row r="13174">
      <c r="A13174" s="39">
        <f>_xlfn.XLOOKUP(81611,Trip[shape_id],Trip[shape_id],"Não encontrado")</f>
        <v/>
      </c>
      <c r="B13174" s="40" t="n">
        <v>-23.58936</v>
      </c>
      <c r="C13174" s="40" t="n">
        <v>-46.507168</v>
      </c>
      <c r="D13174" s="40" t="n">
        <v>23</v>
      </c>
      <c r="E13174" s="41" t="n">
        <v>572.7542099999999</v>
      </c>
    </row>
    <row r="13175">
      <c r="A13175" s="42">
        <f>_xlfn.XLOOKUP(81611,Trip[shape_id],Trip[shape_id],"Não encontrado")</f>
        <v/>
      </c>
      <c r="B13175" s="43" t="n">
        <v>-23.589447</v>
      </c>
      <c r="C13175" s="43" t="n">
        <v>-46.507198</v>
      </c>
      <c r="D13175" s="43" t="n">
        <v>24</v>
      </c>
      <c r="E13175" s="44" t="n">
        <v>582.86438</v>
      </c>
    </row>
    <row r="13176">
      <c r="A13176" s="39">
        <f>_xlfn.XLOOKUP(81611,Trip[shape_id],Trip[shape_id],"Não encontrado")</f>
        <v/>
      </c>
      <c r="B13176" s="40" t="n">
        <v>-23.589833</v>
      </c>
      <c r="C13176" s="40" t="n">
        <v>-46.507315</v>
      </c>
      <c r="D13176" s="40" t="n">
        <v>25</v>
      </c>
      <c r="E13176" s="41" t="n">
        <v>627.25146</v>
      </c>
    </row>
    <row r="13177">
      <c r="A13177" s="42">
        <f>_xlfn.XLOOKUP(81611,Trip[shape_id],Trip[shape_id],"Não encontrado")</f>
        <v/>
      </c>
      <c r="B13177" s="43" t="n">
        <v>-23.589716</v>
      </c>
      <c r="C13177" s="43" t="n">
        <v>-46.5077</v>
      </c>
      <c r="D13177" s="43" t="n">
        <v>26</v>
      </c>
      <c r="E13177" s="44" t="n">
        <v>668.63037</v>
      </c>
    </row>
    <row r="13178">
      <c r="A13178" s="39">
        <f>_xlfn.XLOOKUP(81611,Trip[shape_id],Trip[shape_id],"Não encontrado")</f>
        <v/>
      </c>
      <c r="B13178" s="40" t="n">
        <v>-23.589641</v>
      </c>
      <c r="C13178" s="40" t="n">
        <v>-46.507959</v>
      </c>
      <c r="D13178" s="40" t="n">
        <v>27</v>
      </c>
      <c r="E13178" s="41" t="n">
        <v>696.34131</v>
      </c>
    </row>
    <row r="13179">
      <c r="A13179" s="42">
        <f>_xlfn.XLOOKUP(81611,Trip[shape_id],Trip[shape_id],"Não encontrado")</f>
        <v/>
      </c>
      <c r="B13179" s="43" t="n">
        <v>-23.589601</v>
      </c>
      <c r="C13179" s="43" t="n">
        <v>-46.50815</v>
      </c>
      <c r="D13179" s="43" t="n">
        <v>28</v>
      </c>
      <c r="E13179" s="44" t="n">
        <v>716.33392</v>
      </c>
    </row>
    <row r="13180">
      <c r="A13180" s="39">
        <f>_xlfn.XLOOKUP(81611,Trip[shape_id],Trip[shape_id],"Não encontrado")</f>
        <v/>
      </c>
      <c r="B13180" s="40" t="n">
        <v>-23.589588</v>
      </c>
      <c r="C13180" s="40" t="n">
        <v>-46.508242</v>
      </c>
      <c r="D13180" s="40" t="n">
        <v>29</v>
      </c>
      <c r="E13180" s="41" t="n">
        <v>725.83459</v>
      </c>
    </row>
    <row r="13181">
      <c r="A13181" s="42">
        <f>_xlfn.XLOOKUP(81611,Trip[shape_id],Trip[shape_id],"Não encontrado")</f>
        <v/>
      </c>
      <c r="B13181" s="43" t="n">
        <v>-23.589489</v>
      </c>
      <c r="C13181" s="43" t="n">
        <v>-46.508814</v>
      </c>
      <c r="D13181" s="43" t="n">
        <v>30</v>
      </c>
      <c r="E13181" s="44" t="n">
        <v>785.2403</v>
      </c>
    </row>
    <row r="13182">
      <c r="A13182" s="39">
        <f>_xlfn.XLOOKUP(81611,Trip[shape_id],Trip[shape_id],"Não encontrado")</f>
        <v/>
      </c>
      <c r="B13182" s="40" t="n">
        <v>-23.589457</v>
      </c>
      <c r="C13182" s="40" t="n">
        <v>-46.50903</v>
      </c>
      <c r="D13182" s="40" t="n">
        <v>31</v>
      </c>
      <c r="E13182" s="41" t="n">
        <v>807.57086</v>
      </c>
    </row>
    <row r="13183">
      <c r="A13183" s="42">
        <f>_xlfn.XLOOKUP(81611,Trip[shape_id],Trip[shape_id],"Não encontrado")</f>
        <v/>
      </c>
      <c r="B13183" s="43" t="n">
        <v>-23.589421</v>
      </c>
      <c r="C13183" s="43" t="n">
        <v>-46.509221</v>
      </c>
      <c r="D13183" s="43" t="n">
        <v>32</v>
      </c>
      <c r="E13183" s="44" t="n">
        <v>827.47021</v>
      </c>
    </row>
    <row r="13184">
      <c r="A13184" s="39">
        <f>_xlfn.XLOOKUP(81611,Trip[shape_id],Trip[shape_id],"Não encontrado")</f>
        <v/>
      </c>
      <c r="B13184" s="40" t="n">
        <v>-23.589401</v>
      </c>
      <c r="C13184" s="40" t="n">
        <v>-46.50932</v>
      </c>
      <c r="D13184" s="40" t="n">
        <v>33</v>
      </c>
      <c r="E13184" s="41" t="n">
        <v>837.81488</v>
      </c>
    </row>
    <row r="13185">
      <c r="A13185" s="42">
        <f>_xlfn.XLOOKUP(81611,Trip[shape_id],Trip[shape_id],"Não encontrado")</f>
        <v/>
      </c>
      <c r="B13185" s="43" t="n">
        <v>-23.589372</v>
      </c>
      <c r="C13185" s="43" t="n">
        <v>-46.509451</v>
      </c>
      <c r="D13185" s="43" t="n">
        <v>34</v>
      </c>
      <c r="E13185" s="44" t="n">
        <v>851.56659</v>
      </c>
    </row>
    <row r="13186">
      <c r="A13186" s="39">
        <f>_xlfn.XLOOKUP(81611,Trip[shape_id],Trip[shape_id],"Não encontrado")</f>
        <v/>
      </c>
      <c r="B13186" s="40" t="n">
        <v>-23.589265</v>
      </c>
      <c r="C13186" s="40" t="n">
        <v>-46.509777</v>
      </c>
      <c r="D13186" s="40" t="n">
        <v>35</v>
      </c>
      <c r="E13186" s="41" t="n">
        <v>886.8893399999999</v>
      </c>
    </row>
    <row r="13187">
      <c r="A13187" s="42">
        <f>_xlfn.XLOOKUP(81611,Trip[shape_id],Trip[shape_id],"Não encontrado")</f>
        <v/>
      </c>
      <c r="B13187" s="43" t="n">
        <v>-23.589239</v>
      </c>
      <c r="C13187" s="43" t="n">
        <v>-46.509844</v>
      </c>
      <c r="D13187" s="43" t="n">
        <v>36</v>
      </c>
      <c r="E13187" s="44" t="n">
        <v>894.30914</v>
      </c>
    </row>
    <row r="13188">
      <c r="A13188" s="39">
        <f>_xlfn.XLOOKUP(81611,Trip[shape_id],Trip[shape_id],"Não encontrado")</f>
        <v/>
      </c>
      <c r="B13188" s="40" t="n">
        <v>-23.589001</v>
      </c>
      <c r="C13188" s="40" t="n">
        <v>-46.509894</v>
      </c>
      <c r="D13188" s="40" t="n">
        <v>37</v>
      </c>
      <c r="E13188" s="41" t="n">
        <v>921.15778</v>
      </c>
    </row>
    <row r="13189">
      <c r="A13189" s="42">
        <f>_xlfn.XLOOKUP(81611,Trip[shape_id],Trip[shape_id],"Não encontrado")</f>
        <v/>
      </c>
      <c r="B13189" s="43" t="n">
        <v>-23.587932</v>
      </c>
      <c r="C13189" s="43" t="n">
        <v>-46.510145</v>
      </c>
      <c r="D13189" s="43" t="n">
        <v>38</v>
      </c>
      <c r="E13189" s="44" t="n">
        <v>1042.2924</v>
      </c>
    </row>
    <row r="13190">
      <c r="A13190" s="39">
        <f>_xlfn.XLOOKUP(81611,Trip[shape_id],Trip[shape_id],"Não encontrado")</f>
        <v/>
      </c>
      <c r="B13190" s="40" t="n">
        <v>-23.587464</v>
      </c>
      <c r="C13190" s="40" t="n">
        <v>-46.510265</v>
      </c>
      <c r="D13190" s="40" t="n">
        <v>39</v>
      </c>
      <c r="E13190" s="41" t="n">
        <v>1095.552</v>
      </c>
    </row>
    <row r="13191">
      <c r="A13191" s="42">
        <f>_xlfn.XLOOKUP(81611,Trip[shape_id],Trip[shape_id],"Não encontrado")</f>
        <v/>
      </c>
      <c r="B13191" s="43" t="n">
        <v>-23.586993</v>
      </c>
      <c r="C13191" s="43" t="n">
        <v>-46.510379</v>
      </c>
      <c r="D13191" s="43" t="n">
        <v>40</v>
      </c>
      <c r="E13191" s="44" t="n">
        <v>1148.9984</v>
      </c>
    </row>
    <row r="13192">
      <c r="A13192" s="39">
        <f>_xlfn.XLOOKUP(81611,Trip[shape_id],Trip[shape_id],"Não encontrado")</f>
        <v/>
      </c>
      <c r="B13192" s="40" t="n">
        <v>-23.586534</v>
      </c>
      <c r="C13192" s="40" t="n">
        <v>-46.510489</v>
      </c>
      <c r="D13192" s="40" t="n">
        <v>41</v>
      </c>
      <c r="E13192" s="41" t="n">
        <v>1201.059</v>
      </c>
    </row>
    <row r="13193">
      <c r="A13193" s="42">
        <f>_xlfn.XLOOKUP(81611,Trip[shape_id],Trip[shape_id],"Não encontrado")</f>
        <v/>
      </c>
      <c r="B13193" s="43" t="n">
        <v>-23.585991</v>
      </c>
      <c r="C13193" s="43" t="n">
        <v>-46.510608</v>
      </c>
      <c r="D13193" s="43" t="n">
        <v>42</v>
      </c>
      <c r="E13193" s="44" t="n">
        <v>1262.412</v>
      </c>
    </row>
    <row r="13194">
      <c r="A13194" s="39">
        <f>_xlfn.XLOOKUP(81611,Trip[shape_id],Trip[shape_id],"Não encontrado")</f>
        <v/>
      </c>
      <c r="B13194" s="40" t="n">
        <v>-23.585743</v>
      </c>
      <c r="C13194" s="40" t="n">
        <v>-46.510671</v>
      </c>
      <c r="D13194" s="40" t="n">
        <v>43</v>
      </c>
      <c r="E13194" s="41" t="n">
        <v>1290.6215</v>
      </c>
    </row>
    <row r="13195">
      <c r="A13195" s="42">
        <f>_xlfn.XLOOKUP(81611,Trip[shape_id],Trip[shape_id],"Não encontrado")</f>
        <v/>
      </c>
      <c r="B13195" s="43" t="n">
        <v>-23.585573</v>
      </c>
      <c r="C13195" s="43" t="n">
        <v>-46.510707</v>
      </c>
      <c r="D13195" s="43" t="n">
        <v>44</v>
      </c>
      <c r="E13195" s="44" t="n">
        <v>1309.8048</v>
      </c>
    </row>
    <row r="13196">
      <c r="A13196" s="39">
        <f>_xlfn.XLOOKUP(81611,Trip[shape_id],Trip[shape_id],"Não encontrado")</f>
        <v/>
      </c>
      <c r="B13196" s="40" t="n">
        <v>-23.585102</v>
      </c>
      <c r="C13196" s="40" t="n">
        <v>-46.510831</v>
      </c>
      <c r="D13196" s="40" t="n">
        <v>45</v>
      </c>
      <c r="E13196" s="41" t="n">
        <v>1363.4828</v>
      </c>
    </row>
    <row r="13197">
      <c r="A13197" s="42">
        <f>_xlfn.XLOOKUP(81611,Trip[shape_id],Trip[shape_id],"Não encontrado")</f>
        <v/>
      </c>
      <c r="B13197" s="43" t="n">
        <v>-23.584863</v>
      </c>
      <c r="C13197" s="43" t="n">
        <v>-46.510886</v>
      </c>
      <c r="D13197" s="43" t="n">
        <v>46</v>
      </c>
      <c r="E13197" s="44" t="n">
        <v>1390.5413</v>
      </c>
    </row>
    <row r="13198">
      <c r="A13198" s="39">
        <f>_xlfn.XLOOKUP(81611,Trip[shape_id],Trip[shape_id],"Não encontrado")</f>
        <v/>
      </c>
      <c r="B13198" s="40" t="n">
        <v>-23.584732</v>
      </c>
      <c r="C13198" s="40" t="n">
        <v>-46.5107</v>
      </c>
      <c r="D13198" s="40" t="n">
        <v>47</v>
      </c>
      <c r="E13198" s="41" t="n">
        <v>1414.4363</v>
      </c>
    </row>
    <row r="13199">
      <c r="A13199" s="42">
        <f>_xlfn.XLOOKUP(81611,Trip[shape_id],Trip[shape_id],"Não encontrado")</f>
        <v/>
      </c>
      <c r="B13199" s="43" t="n">
        <v>-23.584648</v>
      </c>
      <c r="C13199" s="43" t="n">
        <v>-46.510417</v>
      </c>
      <c r="D13199" s="43" t="n">
        <v>48</v>
      </c>
      <c r="E13199" s="44" t="n">
        <v>1453.6414</v>
      </c>
    </row>
    <row r="13200">
      <c r="A13200" s="39">
        <f>_xlfn.XLOOKUP(81611,Trip[shape_id],Trip[shape_id],"Não encontrado")</f>
        <v/>
      </c>
      <c r="B13200" s="40" t="n">
        <v>-23.584594</v>
      </c>
      <c r="C13200" s="40" t="n">
        <v>-46.510353</v>
      </c>
      <c r="D13200" s="40" t="n">
        <v>49</v>
      </c>
      <c r="E13200" s="41" t="n">
        <v>1463.3541</v>
      </c>
    </row>
    <row r="13201">
      <c r="A13201" s="42">
        <f>_xlfn.XLOOKUP(81611,Trip[shape_id],Trip[shape_id],"Não encontrado")</f>
        <v/>
      </c>
      <c r="B13201" s="43" t="n">
        <v>-23.584589</v>
      </c>
      <c r="C13201" s="43" t="n">
        <v>-46.510258</v>
      </c>
      <c r="D13201" s="43" t="n">
        <v>50</v>
      </c>
      <c r="E13201" s="44" t="n">
        <v>1473.2178</v>
      </c>
    </row>
    <row r="13202">
      <c r="A13202" s="39">
        <f>_xlfn.XLOOKUP(81611,Trip[shape_id],Trip[shape_id],"Não encontrado")</f>
        <v/>
      </c>
      <c r="B13202" s="40" t="n">
        <v>-23.584534</v>
      </c>
      <c r="C13202" s="40" t="n">
        <v>-46.510182</v>
      </c>
      <c r="D13202" s="40" t="n">
        <v>51</v>
      </c>
      <c r="E13202" s="41" t="n">
        <v>1481.8937</v>
      </c>
    </row>
    <row r="13203">
      <c r="A13203" s="42">
        <f>_xlfn.XLOOKUP(81611,Trip[shape_id],Trip[shape_id],"Não encontrado")</f>
        <v/>
      </c>
      <c r="B13203" s="43" t="n">
        <v>-23.584487</v>
      </c>
      <c r="C13203" s="43" t="n">
        <v>-46.510114</v>
      </c>
      <c r="D13203" s="43" t="n">
        <v>52</v>
      </c>
      <c r="E13203" s="44" t="n">
        <v>1483.9203</v>
      </c>
    </row>
    <row r="13204">
      <c r="A13204" s="39">
        <f>_xlfn.XLOOKUP(81611,Trip[shape_id],Trip[shape_id],"Não encontrado")</f>
        <v/>
      </c>
      <c r="B13204" s="40" t="n">
        <v>-23.584474</v>
      </c>
      <c r="C13204" s="40" t="n">
        <v>-46.5101</v>
      </c>
      <c r="D13204" s="40" t="n">
        <v>53</v>
      </c>
      <c r="E13204" s="41" t="n">
        <v>1483.9203</v>
      </c>
    </row>
    <row r="13205">
      <c r="A13205" s="42">
        <f>_xlfn.XLOOKUP(81611,Trip[shape_id],Trip[shape_id],"Não encontrado")</f>
        <v/>
      </c>
      <c r="B13205" s="43" t="n">
        <v>-23.584446</v>
      </c>
      <c r="C13205" s="43" t="n">
        <v>-46.510018</v>
      </c>
      <c r="D13205" s="43" t="n">
        <v>54</v>
      </c>
      <c r="E13205" s="44" t="n">
        <v>1499.7074</v>
      </c>
    </row>
    <row r="13206">
      <c r="A13206" s="39">
        <f>_xlfn.XLOOKUP(81611,Trip[shape_id],Trip[shape_id],"Não encontrado")</f>
        <v/>
      </c>
      <c r="B13206" s="40" t="n">
        <v>-23.584441</v>
      </c>
      <c r="C13206" s="40" t="n">
        <v>-46.509951</v>
      </c>
      <c r="D13206" s="40" t="n">
        <v>55</v>
      </c>
      <c r="E13206" s="41" t="n">
        <v>1522.0219</v>
      </c>
    </row>
    <row r="13207">
      <c r="A13207" s="42">
        <f>_xlfn.XLOOKUP(81611,Trip[shape_id],Trip[shape_id],"Não encontrado")</f>
        <v/>
      </c>
      <c r="B13207" s="43" t="n">
        <v>-23.584426</v>
      </c>
      <c r="C13207" s="43" t="n">
        <v>-46.509733</v>
      </c>
      <c r="D13207" s="43" t="n">
        <v>56</v>
      </c>
      <c r="E13207" s="44" t="n">
        <v>1522.0219</v>
      </c>
    </row>
    <row r="13208">
      <c r="A13208" s="39">
        <f>_xlfn.XLOOKUP(81611,Trip[shape_id],Trip[shape_id],"Não encontrado")</f>
        <v/>
      </c>
      <c r="B13208" s="40" t="n">
        <v>-23.584274</v>
      </c>
      <c r="C13208" s="40" t="n">
        <v>-46.509758</v>
      </c>
      <c r="D13208" s="40" t="n">
        <v>57</v>
      </c>
      <c r="E13208" s="41" t="n">
        <v>1539.0485</v>
      </c>
    </row>
    <row r="13209">
      <c r="A13209" s="42">
        <f>_xlfn.XLOOKUP(81611,Trip[shape_id],Trip[shape_id],"Não encontrado")</f>
        <v/>
      </c>
      <c r="B13209" s="43" t="n">
        <v>-23.584198</v>
      </c>
      <c r="C13209" s="43" t="n">
        <v>-46.509771</v>
      </c>
      <c r="D13209" s="43" t="n">
        <v>58</v>
      </c>
      <c r="E13209" s="44" t="n">
        <v>1547.5692</v>
      </c>
    </row>
    <row r="13210">
      <c r="A13210" s="39">
        <f>_xlfn.XLOOKUP(81611,Trip[shape_id],Trip[shape_id],"Não encontrado")</f>
        <v/>
      </c>
      <c r="B13210" s="40" t="n">
        <v>-23.584046</v>
      </c>
      <c r="C13210" s="40" t="n">
        <v>-46.509781</v>
      </c>
      <c r="D13210" s="40" t="n">
        <v>59</v>
      </c>
      <c r="E13210" s="41" t="n">
        <v>1564.4343</v>
      </c>
    </row>
    <row r="13211">
      <c r="A13211" s="42">
        <f>_xlfn.XLOOKUP(81611,Trip[shape_id],Trip[shape_id],"Não encontrado")</f>
        <v/>
      </c>
      <c r="B13211" s="43" t="n">
        <v>-23.583954</v>
      </c>
      <c r="C13211" s="43" t="n">
        <v>-46.50979</v>
      </c>
      <c r="D13211" s="43" t="n">
        <v>60</v>
      </c>
      <c r="E13211" s="44" t="n">
        <v>1574.6649</v>
      </c>
    </row>
    <row r="13212">
      <c r="A13212" s="39">
        <f>_xlfn.XLOOKUP(81611,Trip[shape_id],Trip[shape_id],"Não encontrado")</f>
        <v/>
      </c>
      <c r="B13212" s="40" t="n">
        <v>-23.583879</v>
      </c>
      <c r="C13212" s="40" t="n">
        <v>-46.50979</v>
      </c>
      <c r="D13212" s="40" t="n">
        <v>61</v>
      </c>
      <c r="E13212" s="41" t="n">
        <v>1582.9716</v>
      </c>
    </row>
    <row r="13213">
      <c r="A13213" s="42">
        <f>_xlfn.XLOOKUP(81611,Trip[shape_id],Trip[shape_id],"Não encontrado")</f>
        <v/>
      </c>
      <c r="B13213" s="43" t="n">
        <v>-23.583732</v>
      </c>
      <c r="C13213" s="43" t="n">
        <v>-46.509784</v>
      </c>
      <c r="D13213" s="43" t="n">
        <v>62</v>
      </c>
      <c r="E13213" s="44" t="n">
        <v>1599.2639</v>
      </c>
    </row>
    <row r="13214">
      <c r="A13214" s="39">
        <f>_xlfn.XLOOKUP(81611,Trip[shape_id],Trip[shape_id],"Não encontrado")</f>
        <v/>
      </c>
      <c r="B13214" s="40" t="n">
        <v>-23.583279</v>
      </c>
      <c r="C13214" s="40" t="n">
        <v>-46.50973</v>
      </c>
      <c r="D13214" s="40" t="n">
        <v>63</v>
      </c>
      <c r="E13214" s="41" t="n">
        <v>1649.7366</v>
      </c>
    </row>
    <row r="13215">
      <c r="A13215" s="42">
        <f>_xlfn.XLOOKUP(81611,Trip[shape_id],Trip[shape_id],"Não encontrado")</f>
        <v/>
      </c>
      <c r="B13215" s="43" t="n">
        <v>-23.583206</v>
      </c>
      <c r="C13215" s="43" t="n">
        <v>-46.509717</v>
      </c>
      <c r="D13215" s="43" t="n">
        <v>64</v>
      </c>
      <c r="E13215" s="44" t="n">
        <v>1657.9294</v>
      </c>
    </row>
    <row r="13216">
      <c r="A13216" s="39">
        <f>_xlfn.XLOOKUP(81611,Trip[shape_id],Trip[shape_id],"Não encontrado")</f>
        <v/>
      </c>
      <c r="B13216" s="40" t="n">
        <v>-23.583076</v>
      </c>
      <c r="C13216" s="40" t="n">
        <v>-46.509697</v>
      </c>
      <c r="D13216" s="40" t="n">
        <v>65</v>
      </c>
      <c r="E13216" s="41" t="n">
        <v>1672.4712</v>
      </c>
    </row>
    <row r="13217">
      <c r="A13217" s="42">
        <f>_xlfn.XLOOKUP(81611,Trip[shape_id],Trip[shape_id],"Não encontrado")</f>
        <v/>
      </c>
      <c r="B13217" s="43" t="n">
        <v>-23.582852</v>
      </c>
      <c r="C13217" s="43" t="n">
        <v>-46.509694</v>
      </c>
      <c r="D13217" s="43" t="n">
        <v>66</v>
      </c>
      <c r="E13217" s="44" t="n">
        <v>1697.2816</v>
      </c>
    </row>
    <row r="13218">
      <c r="A13218" s="39">
        <f>_xlfn.XLOOKUP(81611,Trip[shape_id],Trip[shape_id],"Não encontrado")</f>
        <v/>
      </c>
      <c r="B13218" s="40" t="n">
        <v>-23.582331</v>
      </c>
      <c r="C13218" s="40" t="n">
        <v>-46.509719</v>
      </c>
      <c r="D13218" s="40" t="n">
        <v>67</v>
      </c>
      <c r="E13218" s="41" t="n">
        <v>1755.04</v>
      </c>
    </row>
    <row r="13219">
      <c r="A13219" s="42">
        <f>_xlfn.XLOOKUP(81611,Trip[shape_id],Trip[shape_id],"Não encontrado")</f>
        <v/>
      </c>
      <c r="B13219" s="43" t="n">
        <v>-23.582077</v>
      </c>
      <c r="C13219" s="43" t="n">
        <v>-46.509736</v>
      </c>
      <c r="D13219" s="43" t="n">
        <v>68</v>
      </c>
      <c r="E13219" s="44" t="n">
        <v>1783.2246</v>
      </c>
    </row>
    <row r="13220">
      <c r="A13220" s="39">
        <f>_xlfn.XLOOKUP(81611,Trip[shape_id],Trip[shape_id],"Não encontrado")</f>
        <v/>
      </c>
      <c r="B13220" s="40" t="n">
        <v>-23.581797</v>
      </c>
      <c r="C13220" s="40" t="n">
        <v>-46.509746</v>
      </c>
      <c r="D13220" s="40" t="n">
        <v>69</v>
      </c>
      <c r="E13220" s="41" t="n">
        <v>1814.2521</v>
      </c>
    </row>
    <row r="13221">
      <c r="A13221" s="42">
        <f>_xlfn.XLOOKUP(81611,Trip[shape_id],Trip[shape_id],"Não encontrado")</f>
        <v/>
      </c>
      <c r="B13221" s="43" t="n">
        <v>-23.581528</v>
      </c>
      <c r="C13221" s="43" t="n">
        <v>-46.509751</v>
      </c>
      <c r="D13221" s="43" t="n">
        <v>70</v>
      </c>
      <c r="E13221" s="44" t="n">
        <v>1844.0488</v>
      </c>
    </row>
    <row r="13222">
      <c r="A13222" s="39">
        <f>_xlfn.XLOOKUP(81611,Trip[shape_id],Trip[shape_id],"Não encontrado")</f>
        <v/>
      </c>
      <c r="B13222" s="40" t="n">
        <v>-23.581237</v>
      </c>
      <c r="C13222" s="40" t="n">
        <v>-46.509762</v>
      </c>
      <c r="D13222" s="40" t="n">
        <v>71</v>
      </c>
      <c r="E13222" s="41" t="n">
        <v>1876.2974</v>
      </c>
    </row>
    <row r="13223">
      <c r="A13223" s="42">
        <f>_xlfn.XLOOKUP(81611,Trip[shape_id],Trip[shape_id],"Não encontrado")</f>
        <v/>
      </c>
      <c r="B13223" s="43" t="n">
        <v>-23.580874</v>
      </c>
      <c r="C13223" s="43" t="n">
        <v>-46.509783</v>
      </c>
      <c r="D13223" s="43" t="n">
        <v>72</v>
      </c>
      <c r="E13223" s="44" t="n">
        <v>1916.5575</v>
      </c>
    </row>
    <row r="13224">
      <c r="A13224" s="39">
        <f>_xlfn.XLOOKUP(81611,Trip[shape_id],Trip[shape_id],"Não encontrado")</f>
        <v/>
      </c>
      <c r="B13224" s="40" t="n">
        <v>-23.580657</v>
      </c>
      <c r="C13224" s="40" t="n">
        <v>-46.50979</v>
      </c>
      <c r="D13224" s="40" t="n">
        <v>73</v>
      </c>
      <c r="E13224" s="41" t="n">
        <v>1940.6013</v>
      </c>
    </row>
    <row r="13225">
      <c r="A13225" s="42">
        <f>_xlfn.XLOOKUP(81611,Trip[shape_id],Trip[shape_id],"Não encontrado")</f>
        <v/>
      </c>
      <c r="B13225" s="43" t="n">
        <v>-23.580344</v>
      </c>
      <c r="C13225" s="43" t="n">
        <v>-46.509802</v>
      </c>
      <c r="D13225" s="43" t="n">
        <v>74</v>
      </c>
      <c r="E13225" s="44" t="n">
        <v>1975.2883</v>
      </c>
    </row>
    <row r="13226">
      <c r="A13226" s="39">
        <f>_xlfn.XLOOKUP(81611,Trip[shape_id],Trip[shape_id],"Não encontrado")</f>
        <v/>
      </c>
      <c r="B13226" s="40" t="n">
        <v>-23.58036</v>
      </c>
      <c r="C13226" s="40" t="n">
        <v>-46.509673</v>
      </c>
      <c r="D13226" s="40" t="n">
        <v>75</v>
      </c>
      <c r="E13226" s="41" t="n">
        <v>2008.9136</v>
      </c>
    </row>
    <row r="13227">
      <c r="A13227" s="42">
        <f>_xlfn.XLOOKUP(81611,Trip[shape_id],Trip[shape_id],"Não encontrado")</f>
        <v/>
      </c>
      <c r="B13227" s="43" t="n">
        <v>-23.580369</v>
      </c>
      <c r="C13227" s="43" t="n">
        <v>-46.509474</v>
      </c>
      <c r="D13227" s="43" t="n">
        <v>76</v>
      </c>
      <c r="E13227" s="44" t="n">
        <v>2028.347</v>
      </c>
    </row>
    <row r="13228">
      <c r="A13228" s="39">
        <f>_xlfn.XLOOKUP(81611,Trip[shape_id],Trip[shape_id],"Não encontrado")</f>
        <v/>
      </c>
      <c r="B13228" s="40" t="n">
        <v>-23.580358</v>
      </c>
      <c r="C13228" s="40" t="n">
        <v>-46.509284</v>
      </c>
      <c r="D13228" s="40" t="n">
        <v>77</v>
      </c>
      <c r="E13228" s="41" t="n">
        <v>2028.347</v>
      </c>
    </row>
    <row r="13229">
      <c r="A13229" s="42">
        <f>_xlfn.XLOOKUP(81611,Trip[shape_id],Trip[shape_id],"Não encontrado")</f>
        <v/>
      </c>
      <c r="B13229" s="43" t="n">
        <v>-23.580332</v>
      </c>
      <c r="C13229" s="43" t="n">
        <v>-46.509149</v>
      </c>
      <c r="D13229" s="43" t="n">
        <v>78</v>
      </c>
      <c r="E13229" s="44" t="n">
        <v>2042.4257</v>
      </c>
    </row>
    <row r="13230">
      <c r="A13230" s="39">
        <f>_xlfn.XLOOKUP(81611,Trip[shape_id],Trip[shape_id],"Não encontrado")</f>
        <v/>
      </c>
      <c r="B13230" s="40" t="n">
        <v>-23.580316</v>
      </c>
      <c r="C13230" s="40" t="n">
        <v>-46.509039</v>
      </c>
      <c r="D13230" s="40" t="n">
        <v>79</v>
      </c>
      <c r="E13230" s="41" t="n">
        <v>2053.7935</v>
      </c>
    </row>
    <row r="13231">
      <c r="A13231" s="42">
        <f>_xlfn.XLOOKUP(81611,Trip[shape_id],Trip[shape_id],"Não encontrado")</f>
        <v/>
      </c>
      <c r="B13231" s="43" t="n">
        <v>-23.5803</v>
      </c>
      <c r="C13231" s="43" t="n">
        <v>-46.508957</v>
      </c>
      <c r="D13231" s="43" t="n">
        <v>80</v>
      </c>
      <c r="E13231" s="44" t="n">
        <v>2062.3494</v>
      </c>
    </row>
    <row r="13232">
      <c r="A13232" s="39">
        <f>_xlfn.XLOOKUP(81611,Trip[shape_id],Trip[shape_id],"Não encontrado")</f>
        <v/>
      </c>
      <c r="B13232" s="40" t="n">
        <v>-23.580294</v>
      </c>
      <c r="C13232" s="40" t="n">
        <v>-46.508913</v>
      </c>
      <c r="D13232" s="40" t="n">
        <v>81</v>
      </c>
      <c r="E13232" s="41" t="n">
        <v>2066.8892</v>
      </c>
    </row>
    <row r="13233">
      <c r="A13233" s="42">
        <f>_xlfn.XLOOKUP(81611,Trip[shape_id],Trip[shape_id],"Não encontrado")</f>
        <v/>
      </c>
      <c r="B13233" s="43" t="n">
        <v>-23.580218</v>
      </c>
      <c r="C13233" s="43" t="n">
        <v>-46.508523</v>
      </c>
      <c r="D13233" s="43" t="n">
        <v>82</v>
      </c>
      <c r="E13233" s="44" t="n">
        <v>2116.8789</v>
      </c>
    </row>
    <row r="13234">
      <c r="A13234" s="39">
        <f>_xlfn.XLOOKUP(81611,Trip[shape_id],Trip[shape_id],"Não encontrado")</f>
        <v/>
      </c>
      <c r="B13234" s="40" t="n">
        <v>-23.580205</v>
      </c>
      <c r="C13234" s="40" t="n">
        <v>-46.508433</v>
      </c>
      <c r="D13234" s="40" t="n">
        <v>83</v>
      </c>
      <c r="E13234" s="41" t="n">
        <v>2116.8789</v>
      </c>
    </row>
    <row r="13235">
      <c r="A13235" s="42">
        <f>_xlfn.XLOOKUP(81611,Trip[shape_id],Trip[shape_id],"Não encontrado")</f>
        <v/>
      </c>
      <c r="B13235" s="43" t="n">
        <v>-23.580194</v>
      </c>
      <c r="C13235" s="43" t="n">
        <v>-46.508361</v>
      </c>
      <c r="D13235" s="43" t="n">
        <v>84</v>
      </c>
      <c r="E13235" s="44" t="n">
        <v>2149.03</v>
      </c>
    </row>
    <row r="13236">
      <c r="A13236" s="39">
        <f>_xlfn.XLOOKUP(81611,Trip[shape_id],Trip[shape_id],"Não encontrado")</f>
        <v/>
      </c>
      <c r="B13236" s="40" t="n">
        <v>-23.580174</v>
      </c>
      <c r="C13236" s="40" t="n">
        <v>-46.50812</v>
      </c>
      <c r="D13236" s="40" t="n">
        <v>85</v>
      </c>
      <c r="E13236" s="41" t="n">
        <v>2149.03</v>
      </c>
    </row>
    <row r="13237">
      <c r="A13237" s="42">
        <f>_xlfn.XLOOKUP(81611,Trip[shape_id],Trip[shape_id],"Não encontrado")</f>
        <v/>
      </c>
      <c r="B13237" s="43" t="n">
        <v>-23.580163</v>
      </c>
      <c r="C13237" s="43" t="n">
        <v>-46.507942</v>
      </c>
      <c r="D13237" s="43" t="n">
        <v>86</v>
      </c>
      <c r="E13237" s="44" t="n">
        <v>2201.6265</v>
      </c>
    </row>
    <row r="13238">
      <c r="A13238" s="39">
        <f>_xlfn.XLOOKUP(81611,Trip[shape_id],Trip[shape_id],"Não encontrado")</f>
        <v/>
      </c>
      <c r="B13238" s="40" t="n">
        <v>-23.580141</v>
      </c>
      <c r="C13238" s="40" t="n">
        <v>-46.507606</v>
      </c>
      <c r="D13238" s="40" t="n">
        <v>87</v>
      </c>
      <c r="E13238" s="41" t="n">
        <v>2201.6265</v>
      </c>
    </row>
    <row r="13239">
      <c r="A13239" s="42">
        <f>_xlfn.XLOOKUP(81611,Trip[shape_id],Trip[shape_id],"Não encontrado")</f>
        <v/>
      </c>
      <c r="B13239" s="43" t="n">
        <v>-23.580123</v>
      </c>
      <c r="C13239" s="43" t="n">
        <v>-46.507123</v>
      </c>
      <c r="D13239" s="43" t="n">
        <v>88</v>
      </c>
      <c r="E13239" s="44" t="n">
        <v>2250.9712</v>
      </c>
    </row>
    <row r="13240">
      <c r="A13240" s="39">
        <f>_xlfn.XLOOKUP(81611,Trip[shape_id],Trip[shape_id],"Não encontrado")</f>
        <v/>
      </c>
      <c r="B13240" s="40" t="n">
        <v>-23.579998</v>
      </c>
      <c r="C13240" s="40" t="n">
        <v>-46.507133</v>
      </c>
      <c r="D13240" s="40" t="n">
        <v>89</v>
      </c>
      <c r="E13240" s="41" t="n">
        <v>2264.853</v>
      </c>
    </row>
    <row r="13241">
      <c r="A13241" s="42">
        <f>_xlfn.XLOOKUP(81611,Trip[shape_id],Trip[shape_id],"Não encontrado")</f>
        <v/>
      </c>
      <c r="B13241" s="43" t="n">
        <v>-23.580005</v>
      </c>
      <c r="C13241" s="43" t="n">
        <v>-46.507274</v>
      </c>
      <c r="D13241" s="43" t="n">
        <v>90</v>
      </c>
      <c r="E13241" s="44" t="n">
        <v>2279.2673</v>
      </c>
    </row>
    <row r="13242">
      <c r="A13242" s="39">
        <f>_xlfn.XLOOKUP(81611,Trip[shape_id],Trip[shape_id],"Não encontrado")</f>
        <v/>
      </c>
      <c r="B13242" s="40" t="n">
        <v>-23.580045</v>
      </c>
      <c r="C13242" s="40" t="n">
        <v>-46.507632</v>
      </c>
      <c r="D13242" s="40" t="n">
        <v>91</v>
      </c>
      <c r="E13242" s="41" t="n">
        <v>2316.0791</v>
      </c>
    </row>
    <row r="13243">
      <c r="A13243" s="42">
        <f>_xlfn.XLOOKUP(81611,Trip[shape_id],Trip[shape_id],"Não encontrado")</f>
        <v/>
      </c>
      <c r="B13243" s="43" t="n">
        <v>-23.580091</v>
      </c>
      <c r="C13243" s="43" t="n">
        <v>-46.50807</v>
      </c>
      <c r="D13243" s="43" t="n">
        <v>92</v>
      </c>
      <c r="E13243" s="44" t="n">
        <v>2361.0791</v>
      </c>
    </row>
    <row r="13244">
      <c r="A13244" s="39">
        <f>_xlfn.XLOOKUP(81611,Trip[shape_id],Trip[shape_id],"Não encontrado")</f>
        <v/>
      </c>
      <c r="B13244" s="40" t="n">
        <v>-23.580131</v>
      </c>
      <c r="C13244" s="40" t="n">
        <v>-46.508441</v>
      </c>
      <c r="D13244" s="40" t="n">
        <v>93</v>
      </c>
      <c r="E13244" s="41" t="n">
        <v>2399.2087</v>
      </c>
    </row>
    <row r="13245">
      <c r="A13245" s="42">
        <f>_xlfn.XLOOKUP(81611,Trip[shape_id],Trip[shape_id],"Não encontrado")</f>
        <v/>
      </c>
      <c r="B13245" s="43" t="n">
        <v>-23.580153</v>
      </c>
      <c r="C13245" s="43" t="n">
        <v>-46.508609</v>
      </c>
      <c r="D13245" s="43" t="n">
        <v>94</v>
      </c>
      <c r="E13245" s="44" t="n">
        <v>2416.5305</v>
      </c>
    </row>
    <row r="13246">
      <c r="A13246" s="39">
        <f>_xlfn.XLOOKUP(81611,Trip[shape_id],Trip[shape_id],"Não encontrado")</f>
        <v/>
      </c>
      <c r="B13246" s="40" t="n">
        <v>-23.580177</v>
      </c>
      <c r="C13246" s="40" t="n">
        <v>-46.508873</v>
      </c>
      <c r="D13246" s="40" t="n">
        <v>95</v>
      </c>
      <c r="E13246" s="41" t="n">
        <v>2443.6101</v>
      </c>
    </row>
    <row r="13247">
      <c r="A13247" s="42">
        <f>_xlfn.XLOOKUP(81611,Trip[shape_id],Trip[shape_id],"Não encontrado")</f>
        <v/>
      </c>
      <c r="B13247" s="43" t="n">
        <v>-23.580185</v>
      </c>
      <c r="C13247" s="43" t="n">
        <v>-46.508999</v>
      </c>
      <c r="D13247" s="43" t="n">
        <v>96</v>
      </c>
      <c r="E13247" s="44" t="n">
        <v>2456.5027</v>
      </c>
    </row>
    <row r="13248">
      <c r="A13248" s="39">
        <f>_xlfn.XLOOKUP(81611,Trip[shape_id],Trip[shape_id],"Não encontrado")</f>
        <v/>
      </c>
      <c r="B13248" s="40" t="n">
        <v>-23.580179</v>
      </c>
      <c r="C13248" s="40" t="n">
        <v>-46.509045</v>
      </c>
      <c r="D13248" s="40" t="n">
        <v>97</v>
      </c>
      <c r="E13248" s="41" t="n">
        <v>2461.2449</v>
      </c>
    </row>
    <row r="13249">
      <c r="A13249" s="42">
        <f>_xlfn.XLOOKUP(81611,Trip[shape_id],Trip[shape_id],"Não encontrado")</f>
        <v/>
      </c>
      <c r="B13249" s="43" t="n">
        <v>-23.580163</v>
      </c>
      <c r="C13249" s="43" t="n">
        <v>-46.509156</v>
      </c>
      <c r="D13249" s="43" t="n">
        <v>98</v>
      </c>
      <c r="E13249" s="44" t="n">
        <v>2472.7131</v>
      </c>
    </row>
    <row r="13250">
      <c r="A13250" s="39">
        <f>_xlfn.XLOOKUP(81611,Trip[shape_id],Trip[shape_id],"Não encontrado")</f>
        <v/>
      </c>
      <c r="B13250" s="40" t="n">
        <v>-23.580136</v>
      </c>
      <c r="C13250" s="40" t="n">
        <v>-46.509284</v>
      </c>
      <c r="D13250" s="40" t="n">
        <v>99</v>
      </c>
      <c r="E13250" s="41" t="n">
        <v>2486.1172</v>
      </c>
    </row>
    <row r="13251">
      <c r="A13251" s="42">
        <f>_xlfn.XLOOKUP(81611,Trip[shape_id],Trip[shape_id],"Não encontrado")</f>
        <v/>
      </c>
      <c r="B13251" s="43" t="n">
        <v>-23.580122</v>
      </c>
      <c r="C13251" s="43" t="n">
        <v>-46.509343</v>
      </c>
      <c r="D13251" s="43" t="n">
        <v>100</v>
      </c>
      <c r="E13251" s="44" t="n">
        <v>2492.3367</v>
      </c>
    </row>
    <row r="13252">
      <c r="A13252" s="39">
        <f>_xlfn.XLOOKUP(81611,Trip[shape_id],Trip[shape_id],"Não encontrado")</f>
        <v/>
      </c>
      <c r="B13252" s="40" t="n">
        <v>-23.580113</v>
      </c>
      <c r="C13252" s="40" t="n">
        <v>-46.509476</v>
      </c>
      <c r="D13252" s="40" t="n">
        <v>101</v>
      </c>
      <c r="E13252" s="41" t="n">
        <v>2505.9497</v>
      </c>
    </row>
    <row r="13253">
      <c r="A13253" s="42">
        <f>_xlfn.XLOOKUP(81611,Trip[shape_id],Trip[shape_id],"Não encontrado")</f>
        <v/>
      </c>
      <c r="B13253" s="43" t="n">
        <v>-23.580006</v>
      </c>
      <c r="C13253" s="43" t="n">
        <v>-46.509809</v>
      </c>
      <c r="D13253" s="43" t="n">
        <v>102</v>
      </c>
      <c r="E13253" s="44" t="n">
        <v>2541.9485</v>
      </c>
    </row>
    <row r="13254">
      <c r="A13254" s="39">
        <f>_xlfn.XLOOKUP(81611,Trip[shape_id],Trip[shape_id],"Não encontrado")</f>
        <v/>
      </c>
      <c r="B13254" s="40" t="n">
        <v>-23.579803</v>
      </c>
      <c r="C13254" s="40" t="n">
        <v>-46.510391</v>
      </c>
      <c r="D13254" s="40" t="n">
        <v>103</v>
      </c>
      <c r="E13254" s="41" t="n">
        <v>2605.4705</v>
      </c>
    </row>
    <row r="13255">
      <c r="A13255" s="42">
        <f>_xlfn.XLOOKUP(81611,Trip[shape_id],Trip[shape_id],"Não encontrado")</f>
        <v/>
      </c>
      <c r="B13255" s="43" t="n">
        <v>-23.579767</v>
      </c>
      <c r="C13255" s="43" t="n">
        <v>-46.510452</v>
      </c>
      <c r="D13255" s="43" t="n">
        <v>104</v>
      </c>
      <c r="E13255" s="44" t="n">
        <v>2612.8643</v>
      </c>
    </row>
    <row r="13256">
      <c r="A13256" s="39">
        <f>_xlfn.XLOOKUP(81611,Trip[shape_id],Trip[shape_id],"Não encontrado")</f>
        <v/>
      </c>
      <c r="B13256" s="40" t="n">
        <v>-23.579741</v>
      </c>
      <c r="C13256" s="40" t="n">
        <v>-46.510528</v>
      </c>
      <c r="D13256" s="40" t="n">
        <v>105</v>
      </c>
      <c r="E13256" s="41" t="n">
        <v>2621.1394</v>
      </c>
    </row>
    <row r="13257">
      <c r="A13257" s="42">
        <f>_xlfn.XLOOKUP(81611,Trip[shape_id],Trip[shape_id],"Não encontrado")</f>
        <v/>
      </c>
      <c r="B13257" s="43" t="n">
        <v>-23.579583</v>
      </c>
      <c r="C13257" s="43" t="n">
        <v>-46.511022</v>
      </c>
      <c r="D13257" s="43" t="n">
        <v>106</v>
      </c>
      <c r="E13257" s="44" t="n">
        <v>2674.5166</v>
      </c>
    </row>
    <row r="13258">
      <c r="A13258" s="39">
        <f>_xlfn.XLOOKUP(81611,Trip[shape_id],Trip[shape_id],"Não encontrado")</f>
        <v/>
      </c>
      <c r="B13258" s="40" t="n">
        <v>-23.579502</v>
      </c>
      <c r="C13258" s="40" t="n">
        <v>-46.51132</v>
      </c>
      <c r="D13258" s="40" t="n">
        <v>107</v>
      </c>
      <c r="E13258" s="41" t="n">
        <v>2706.2314</v>
      </c>
    </row>
    <row r="13259">
      <c r="A13259" s="42">
        <f>_xlfn.XLOOKUP(81611,Trip[shape_id],Trip[shape_id],"Não encontrado")</f>
        <v/>
      </c>
      <c r="B13259" s="43" t="n">
        <v>-23.579448</v>
      </c>
      <c r="C13259" s="43" t="n">
        <v>-46.511549</v>
      </c>
      <c r="D13259" s="43" t="n">
        <v>108</v>
      </c>
      <c r="E13259" s="44" t="n">
        <v>2730.3608</v>
      </c>
    </row>
    <row r="13260">
      <c r="A13260" s="39">
        <f>_xlfn.XLOOKUP(81611,Trip[shape_id],Trip[shape_id],"Não encontrado")</f>
        <v/>
      </c>
      <c r="B13260" s="40" t="n">
        <v>-23.579412</v>
      </c>
      <c r="C13260" s="40" t="n">
        <v>-46.511795</v>
      </c>
      <c r="D13260" s="40" t="n">
        <v>109</v>
      </c>
      <c r="E13260" s="41" t="n">
        <v>2755.7869</v>
      </c>
    </row>
    <row r="13261">
      <c r="A13261" s="42">
        <f>_xlfn.XLOOKUP(81611,Trip[shape_id],Trip[shape_id],"Não encontrado")</f>
        <v/>
      </c>
      <c r="B13261" s="43" t="n">
        <v>-23.579401</v>
      </c>
      <c r="C13261" s="43" t="n">
        <v>-46.511994</v>
      </c>
      <c r="D13261" s="43" t="n">
        <v>110</v>
      </c>
      <c r="E13261" s="44" t="n">
        <v>2776.1372</v>
      </c>
    </row>
    <row r="13262">
      <c r="A13262" s="39">
        <f>_xlfn.XLOOKUP(81611,Trip[shape_id],Trip[shape_id],"Não encontrado")</f>
        <v/>
      </c>
      <c r="B13262" s="40" t="n">
        <v>-23.579396</v>
      </c>
      <c r="C13262" s="40" t="n">
        <v>-46.512053</v>
      </c>
      <c r="D13262" s="40" t="n">
        <v>111</v>
      </c>
      <c r="E13262" s="41" t="n">
        <v>2782.1855</v>
      </c>
    </row>
    <row r="13263">
      <c r="A13263" s="42">
        <f>_xlfn.XLOOKUP(81611,Trip[shape_id],Trip[shape_id],"Não encontrado")</f>
        <v/>
      </c>
      <c r="B13263" s="43" t="n">
        <v>-23.579391</v>
      </c>
      <c r="C13263" s="43" t="n">
        <v>-46.512189</v>
      </c>
      <c r="D13263" s="43" t="n">
        <v>112</v>
      </c>
      <c r="E13263" s="44" t="n">
        <v>2796.0791</v>
      </c>
    </row>
    <row r="13264">
      <c r="A13264" s="39">
        <f>_xlfn.XLOOKUP(81611,Trip[shape_id],Trip[shape_id],"Não encontrado")</f>
        <v/>
      </c>
      <c r="B13264" s="40" t="n">
        <v>-23.579384</v>
      </c>
      <c r="C13264" s="40" t="n">
        <v>-46.512359</v>
      </c>
      <c r="D13264" s="40" t="n">
        <v>113</v>
      </c>
      <c r="E13264" s="41" t="n">
        <v>2813.45</v>
      </c>
    </row>
    <row r="13265">
      <c r="A13265" s="42">
        <f>_xlfn.XLOOKUP(81611,Trip[shape_id],Trip[shape_id],"Não encontrado")</f>
        <v/>
      </c>
      <c r="B13265" s="43" t="n">
        <v>-23.579364</v>
      </c>
      <c r="C13265" s="43" t="n">
        <v>-46.512435</v>
      </c>
      <c r="D13265" s="43" t="n">
        <v>114</v>
      </c>
      <c r="E13265" s="44" t="n">
        <v>2821.5183</v>
      </c>
    </row>
    <row r="13266">
      <c r="A13266" s="39">
        <f>_xlfn.XLOOKUP(81611,Trip[shape_id],Trip[shape_id],"Não encontrado")</f>
        <v/>
      </c>
      <c r="B13266" s="40" t="n">
        <v>-23.579312</v>
      </c>
      <c r="C13266" s="40" t="n">
        <v>-46.512561</v>
      </c>
      <c r="D13266" s="40" t="n">
        <v>115</v>
      </c>
      <c r="E13266" s="41" t="n">
        <v>2835.6111</v>
      </c>
    </row>
    <row r="13267">
      <c r="A13267" s="42">
        <f>_xlfn.XLOOKUP(81611,Trip[shape_id],Trip[shape_id],"Não encontrado")</f>
        <v/>
      </c>
      <c r="B13267" s="43" t="n">
        <v>-23.579225</v>
      </c>
      <c r="C13267" s="43" t="n">
        <v>-46.512679</v>
      </c>
      <c r="D13267" s="43" t="n">
        <v>116</v>
      </c>
      <c r="E13267" s="44" t="n">
        <v>2851.0359</v>
      </c>
    </row>
    <row r="13268">
      <c r="A13268" s="39">
        <f>_xlfn.XLOOKUP(81611,Trip[shape_id],Trip[shape_id],"Não encontrado")</f>
        <v/>
      </c>
      <c r="B13268" s="40" t="n">
        <v>-23.578958</v>
      </c>
      <c r="C13268" s="40" t="n">
        <v>-46.513029</v>
      </c>
      <c r="D13268" s="40" t="n">
        <v>117</v>
      </c>
      <c r="E13268" s="41" t="n">
        <v>2897.4138</v>
      </c>
    </row>
    <row r="13269">
      <c r="A13269" s="42">
        <f>_xlfn.XLOOKUP(81611,Trip[shape_id],Trip[shape_id],"Não encontrado")</f>
        <v/>
      </c>
      <c r="B13269" s="43" t="n">
        <v>-23.578882</v>
      </c>
      <c r="C13269" s="43" t="n">
        <v>-46.513133</v>
      </c>
      <c r="D13269" s="43" t="n">
        <v>118</v>
      </c>
      <c r="E13269" s="44" t="n">
        <v>2910.9624</v>
      </c>
    </row>
    <row r="13270">
      <c r="A13270" s="39">
        <f>_xlfn.XLOOKUP(81611,Trip[shape_id],Trip[shape_id],"Não encontrado")</f>
        <v/>
      </c>
      <c r="B13270" s="40" t="n">
        <v>-23.578743</v>
      </c>
      <c r="C13270" s="40" t="n">
        <v>-46.513295</v>
      </c>
      <c r="D13270" s="40" t="n">
        <v>119</v>
      </c>
      <c r="E13270" s="41" t="n">
        <v>2933.5559</v>
      </c>
    </row>
    <row r="13271">
      <c r="A13271" s="42">
        <f>_xlfn.XLOOKUP(81611,Trip[shape_id],Trip[shape_id],"Não encontrado")</f>
        <v/>
      </c>
      <c r="B13271" s="43" t="n">
        <v>-23.578607</v>
      </c>
      <c r="C13271" s="43" t="n">
        <v>-46.513484</v>
      </c>
      <c r="D13271" s="43" t="n">
        <v>120</v>
      </c>
      <c r="E13271" s="44" t="n">
        <v>2958.0325</v>
      </c>
    </row>
    <row r="13272">
      <c r="A13272" s="39">
        <f>_xlfn.XLOOKUP(81611,Trip[shape_id],Trip[shape_id],"Não encontrado")</f>
        <v/>
      </c>
      <c r="B13272" s="40" t="n">
        <v>-23.578478</v>
      </c>
      <c r="C13272" s="40" t="n">
        <v>-46.513653</v>
      </c>
      <c r="D13272" s="40" t="n">
        <v>121</v>
      </c>
      <c r="E13272" s="41" t="n">
        <v>2980.4321</v>
      </c>
    </row>
    <row r="13273">
      <c r="A13273" s="42">
        <f>_xlfn.XLOOKUP(81611,Trip[shape_id],Trip[shape_id],"Não encontrado")</f>
        <v/>
      </c>
      <c r="B13273" s="43" t="n">
        <v>-23.578205</v>
      </c>
      <c r="C13273" s="43" t="n">
        <v>-46.514024</v>
      </c>
      <c r="D13273" s="43" t="n">
        <v>122</v>
      </c>
      <c r="E13273" s="44" t="n">
        <v>3028.8931</v>
      </c>
    </row>
    <row r="13274">
      <c r="A13274" s="39">
        <f>_xlfn.XLOOKUP(81611,Trip[shape_id],Trip[shape_id],"Não encontrado")</f>
        <v/>
      </c>
      <c r="B13274" s="40" t="n">
        <v>-23.578035</v>
      </c>
      <c r="C13274" s="40" t="n">
        <v>-46.514222</v>
      </c>
      <c r="D13274" s="40" t="n">
        <v>123</v>
      </c>
      <c r="E13274" s="41" t="n">
        <v>3056.5156</v>
      </c>
    </row>
    <row r="13275">
      <c r="A13275" s="42">
        <f>_xlfn.XLOOKUP(81611,Trip[shape_id],Trip[shape_id],"Não encontrado")</f>
        <v/>
      </c>
      <c r="B13275" s="43" t="n">
        <v>-23.577821</v>
      </c>
      <c r="C13275" s="43" t="n">
        <v>-46.514442</v>
      </c>
      <c r="D13275" s="43" t="n">
        <v>124</v>
      </c>
      <c r="E13275" s="44" t="n">
        <v>3089.1665</v>
      </c>
    </row>
    <row r="13276">
      <c r="A13276" s="39">
        <f>_xlfn.XLOOKUP(81611,Trip[shape_id],Trip[shape_id],"Não encontrado")</f>
        <v/>
      </c>
      <c r="B13276" s="40" t="n">
        <v>-23.577419</v>
      </c>
      <c r="C13276" s="40" t="n">
        <v>-46.51489</v>
      </c>
      <c r="D13276" s="40" t="n">
        <v>125</v>
      </c>
      <c r="E13276" s="41" t="n">
        <v>3152.9919</v>
      </c>
    </row>
    <row r="13277">
      <c r="A13277" s="42">
        <f>_xlfn.XLOOKUP(81611,Trip[shape_id],Trip[shape_id],"Não encontrado")</f>
        <v/>
      </c>
      <c r="B13277" s="43" t="n">
        <v>-23.577326</v>
      </c>
      <c r="C13277" s="43" t="n">
        <v>-46.515013</v>
      </c>
      <c r="D13277" s="43" t="n">
        <v>126</v>
      </c>
      <c r="E13277" s="44" t="n">
        <v>3169.2319</v>
      </c>
    </row>
    <row r="13278">
      <c r="A13278" s="39">
        <f>_xlfn.XLOOKUP(81611,Trip[shape_id],Trip[shape_id],"Não encontrado")</f>
        <v/>
      </c>
      <c r="B13278" s="40" t="n">
        <v>-23.577286</v>
      </c>
      <c r="C13278" s="40" t="n">
        <v>-46.515079</v>
      </c>
      <c r="D13278" s="40" t="n">
        <v>127</v>
      </c>
      <c r="E13278" s="41" t="n">
        <v>3177.2952</v>
      </c>
    </row>
    <row r="13279">
      <c r="A13279" s="42">
        <f>_xlfn.XLOOKUP(81611,Trip[shape_id],Trip[shape_id],"Não encontrado")</f>
        <v/>
      </c>
      <c r="B13279" s="43" t="n">
        <v>-23.577224</v>
      </c>
      <c r="C13279" s="43" t="n">
        <v>-46.515207</v>
      </c>
      <c r="D13279" s="43" t="n">
        <v>128</v>
      </c>
      <c r="E13279" s="44" t="n">
        <v>3192.0559</v>
      </c>
    </row>
    <row r="13280">
      <c r="A13280" s="39">
        <f>_xlfn.XLOOKUP(81611,Trip[shape_id],Trip[shape_id],"Não encontrado")</f>
        <v/>
      </c>
      <c r="B13280" s="40" t="n">
        <v>-23.577171</v>
      </c>
      <c r="C13280" s="40" t="n">
        <v>-46.515342</v>
      </c>
      <c r="D13280" s="40" t="n">
        <v>129</v>
      </c>
      <c r="E13280" s="41" t="n">
        <v>3207.0347</v>
      </c>
    </row>
    <row r="13281">
      <c r="A13281" s="42">
        <f>_xlfn.XLOOKUP(81611,Trip[shape_id],Trip[shape_id],"Não encontrado")</f>
        <v/>
      </c>
      <c r="B13281" s="43" t="n">
        <v>-23.577114</v>
      </c>
      <c r="C13281" s="43" t="n">
        <v>-46.515578</v>
      </c>
      <c r="D13281" s="43" t="n">
        <v>130</v>
      </c>
      <c r="E13281" s="44" t="n">
        <v>3231.9395</v>
      </c>
    </row>
    <row r="13282">
      <c r="A13282" s="39">
        <f>_xlfn.XLOOKUP(81611,Trip[shape_id],Trip[shape_id],"Não encontrado")</f>
        <v/>
      </c>
      <c r="B13282" s="40" t="n">
        <v>-23.576993</v>
      </c>
      <c r="C13282" s="40" t="n">
        <v>-46.516075</v>
      </c>
      <c r="D13282" s="40" t="n">
        <v>131</v>
      </c>
      <c r="E13282" s="41" t="n">
        <v>3284.4141</v>
      </c>
    </row>
    <row r="13283">
      <c r="A13283" s="42">
        <f>_xlfn.XLOOKUP(81611,Trip[shape_id],Trip[shape_id],"Não encontrado")</f>
        <v/>
      </c>
      <c r="B13283" s="43" t="n">
        <v>-23.57691</v>
      </c>
      <c r="C13283" s="43" t="n">
        <v>-46.516367</v>
      </c>
      <c r="D13283" s="43" t="n">
        <v>132</v>
      </c>
      <c r="E13283" s="44" t="n">
        <v>3315.6069</v>
      </c>
    </row>
    <row r="13284">
      <c r="A13284" s="39">
        <f>_xlfn.XLOOKUP(81611,Trip[shape_id],Trip[shape_id],"Não encontrado")</f>
        <v/>
      </c>
      <c r="B13284" s="40" t="n">
        <v>-23.576857</v>
      </c>
      <c r="C13284" s="40" t="n">
        <v>-46.516519</v>
      </c>
      <c r="D13284" s="40" t="n">
        <v>133</v>
      </c>
      <c r="E13284" s="41" t="n">
        <v>3332.1965</v>
      </c>
    </row>
    <row r="13285">
      <c r="A13285" s="42">
        <f>_xlfn.XLOOKUP(81611,Trip[shape_id],Trip[shape_id],"Não encontrado")</f>
        <v/>
      </c>
      <c r="B13285" s="43" t="n">
        <v>-23.576722</v>
      </c>
      <c r="C13285" s="43" t="n">
        <v>-46.516808</v>
      </c>
      <c r="D13285" s="43" t="n">
        <v>134</v>
      </c>
      <c r="E13285" s="44" t="n">
        <v>3365.2708</v>
      </c>
    </row>
    <row r="13286">
      <c r="A13286" s="39">
        <f>_xlfn.XLOOKUP(81611,Trip[shape_id],Trip[shape_id],"Não encontrado")</f>
        <v/>
      </c>
      <c r="B13286" s="40" t="n">
        <v>-23.576712</v>
      </c>
      <c r="C13286" s="40" t="n">
        <v>-46.516838</v>
      </c>
      <c r="D13286" s="40" t="n">
        <v>135</v>
      </c>
      <c r="E13286" s="41" t="n">
        <v>3368.5261</v>
      </c>
    </row>
    <row r="13287">
      <c r="A13287" s="42">
        <f>_xlfn.XLOOKUP(81611,Trip[shape_id],Trip[shape_id],"Não encontrado")</f>
        <v/>
      </c>
      <c r="B13287" s="43" t="n">
        <v>-23.576669</v>
      </c>
      <c r="C13287" s="43" t="n">
        <v>-46.516965</v>
      </c>
      <c r="D13287" s="43" t="n">
        <v>136</v>
      </c>
      <c r="E13287" s="44" t="n">
        <v>3382.3376</v>
      </c>
    </row>
    <row r="13288">
      <c r="A13288" s="39">
        <f>_xlfn.XLOOKUP(81611,Trip[shape_id],Trip[shape_id],"Não encontrado")</f>
        <v/>
      </c>
      <c r="B13288" s="40" t="n">
        <v>-23.57658</v>
      </c>
      <c r="C13288" s="40" t="n">
        <v>-46.517218</v>
      </c>
      <c r="D13288" s="40" t="n">
        <v>137</v>
      </c>
      <c r="E13288" s="41" t="n">
        <v>3409.9814</v>
      </c>
    </row>
    <row r="13289">
      <c r="A13289" s="42">
        <f>_xlfn.XLOOKUP(81611,Trip[shape_id],Trip[shape_id],"Não encontrado")</f>
        <v/>
      </c>
      <c r="B13289" s="43" t="n">
        <v>-23.576477</v>
      </c>
      <c r="C13289" s="43" t="n">
        <v>-46.517553</v>
      </c>
      <c r="D13289" s="43" t="n">
        <v>138</v>
      </c>
      <c r="E13289" s="44" t="n">
        <v>3446.0313</v>
      </c>
    </row>
    <row r="13290">
      <c r="A13290" s="39">
        <f>_xlfn.XLOOKUP(81611,Trip[shape_id],Trip[shape_id],"Não encontrado")</f>
        <v/>
      </c>
      <c r="B13290" s="40" t="n">
        <v>-23.576408</v>
      </c>
      <c r="C13290" s="40" t="n">
        <v>-46.517821</v>
      </c>
      <c r="D13290" s="40" t="n">
        <v>139</v>
      </c>
      <c r="E13290" s="41" t="n">
        <v>3474.4363</v>
      </c>
    </row>
    <row r="13291">
      <c r="A13291" s="42">
        <f>_xlfn.XLOOKUP(81611,Trip[shape_id],Trip[shape_id],"Não encontrado")</f>
        <v/>
      </c>
      <c r="B13291" s="43" t="n">
        <v>-23.576328</v>
      </c>
      <c r="C13291" s="43" t="n">
        <v>-46.518175</v>
      </c>
      <c r="D13291" s="43" t="n">
        <v>140</v>
      </c>
      <c r="E13291" s="44" t="n">
        <v>3511.6438</v>
      </c>
    </row>
    <row r="13292">
      <c r="A13292" s="39">
        <f>_xlfn.XLOOKUP(81611,Trip[shape_id],Trip[shape_id],"Não encontrado")</f>
        <v/>
      </c>
      <c r="B13292" s="40" t="n">
        <v>-23.576291</v>
      </c>
      <c r="C13292" s="40" t="n">
        <v>-46.518395</v>
      </c>
      <c r="D13292" s="40" t="n">
        <v>141</v>
      </c>
      <c r="E13292" s="41" t="n">
        <v>3534.4727</v>
      </c>
    </row>
    <row r="13293">
      <c r="A13293" s="42">
        <f>_xlfn.XLOOKUP(81611,Trip[shape_id],Trip[shape_id],"Não encontrado")</f>
        <v/>
      </c>
      <c r="B13293" s="43" t="n">
        <v>-23.576262</v>
      </c>
      <c r="C13293" s="43" t="n">
        <v>-46.518585</v>
      </c>
      <c r="D13293" s="43" t="n">
        <v>142</v>
      </c>
      <c r="E13293" s="44" t="n">
        <v>3554.1326</v>
      </c>
    </row>
    <row r="13294">
      <c r="A13294" s="39">
        <f>_xlfn.XLOOKUP(81611,Trip[shape_id],Trip[shape_id],"Não encontrado")</f>
        <v/>
      </c>
      <c r="B13294" s="40" t="n">
        <v>-23.576234</v>
      </c>
      <c r="C13294" s="40" t="n">
        <v>-46.518789</v>
      </c>
      <c r="D13294" s="40" t="n">
        <v>143</v>
      </c>
      <c r="E13294" s="41" t="n">
        <v>3575.1868</v>
      </c>
    </row>
    <row r="13295">
      <c r="A13295" s="42">
        <f>_xlfn.XLOOKUP(81611,Trip[shape_id],Trip[shape_id],"Não encontrado")</f>
        <v/>
      </c>
      <c r="B13295" s="43" t="n">
        <v>-23.576231</v>
      </c>
      <c r="C13295" s="43" t="n">
        <v>-46.518855</v>
      </c>
      <c r="D13295" s="43" t="n">
        <v>144</v>
      </c>
      <c r="E13295" s="44" t="n">
        <v>3581.9326</v>
      </c>
    </row>
    <row r="13296">
      <c r="A13296" s="39">
        <f>_xlfn.XLOOKUP(81611,Trip[shape_id],Trip[shape_id],"Não encontrado")</f>
        <v/>
      </c>
      <c r="B13296" s="40" t="n">
        <v>-23.576194</v>
      </c>
      <c r="C13296" s="40" t="n">
        <v>-46.519184</v>
      </c>
      <c r="D13296" s="40" t="n">
        <v>145</v>
      </c>
      <c r="E13296" s="41" t="n">
        <v>3615.7668</v>
      </c>
    </row>
    <row r="13297">
      <c r="A13297" s="42">
        <f>_xlfn.XLOOKUP(81611,Trip[shape_id],Trip[shape_id],"Não encontrado")</f>
        <v/>
      </c>
      <c r="B13297" s="43" t="n">
        <v>-23.576183</v>
      </c>
      <c r="C13297" s="43" t="n">
        <v>-46.519348</v>
      </c>
      <c r="D13297" s="43" t="n">
        <v>146</v>
      </c>
      <c r="E13297" s="44" t="n">
        <v>3632.5527</v>
      </c>
    </row>
    <row r="13298">
      <c r="A13298" s="39">
        <f>_xlfn.XLOOKUP(81611,Trip[shape_id],Trip[shape_id],"Não encontrado")</f>
        <v/>
      </c>
      <c r="B13298" s="40" t="n">
        <v>-23.576163</v>
      </c>
      <c r="C13298" s="40" t="n">
        <v>-46.519597</v>
      </c>
      <c r="D13298" s="40" t="n">
        <v>147</v>
      </c>
      <c r="E13298" s="41" t="n">
        <v>3658.0676</v>
      </c>
    </row>
    <row r="13299">
      <c r="A13299" s="42">
        <f>_xlfn.XLOOKUP(81611,Trip[shape_id],Trip[shape_id],"Não encontrado")</f>
        <v/>
      </c>
      <c r="B13299" s="43" t="n">
        <v>-23.576162</v>
      </c>
      <c r="C13299" s="43" t="n">
        <v>-46.519626</v>
      </c>
      <c r="D13299" s="43" t="n">
        <v>148</v>
      </c>
      <c r="E13299" s="44" t="n">
        <v>3661.0308</v>
      </c>
    </row>
    <row r="13300">
      <c r="A13300" s="39">
        <f>_xlfn.XLOOKUP(81611,Trip[shape_id],Trip[shape_id],"Não encontrado")</f>
        <v/>
      </c>
      <c r="B13300" s="40" t="n">
        <v>-23.576138</v>
      </c>
      <c r="C13300" s="40" t="n">
        <v>-46.519843</v>
      </c>
      <c r="D13300" s="40" t="n">
        <v>149</v>
      </c>
      <c r="E13300" s="41" t="n">
        <v>3683.3413</v>
      </c>
    </row>
    <row r="13301">
      <c r="A13301" s="42">
        <f>_xlfn.XLOOKUP(81611,Trip[shape_id],Trip[shape_id],"Não encontrado")</f>
        <v/>
      </c>
      <c r="B13301" s="43" t="n">
        <v>-23.576138</v>
      </c>
      <c r="C13301" s="43" t="n">
        <v>-46.519913</v>
      </c>
      <c r="D13301" s="43" t="n">
        <v>150</v>
      </c>
      <c r="E13301" s="44" t="n">
        <v>3690.4866</v>
      </c>
    </row>
    <row r="13302">
      <c r="A13302" s="39">
        <f>_xlfn.XLOOKUP(81611,Trip[shape_id],Trip[shape_id],"Não encontrado")</f>
        <v/>
      </c>
      <c r="B13302" s="40" t="n">
        <v>-23.57614</v>
      </c>
      <c r="C13302" s="40" t="n">
        <v>-46.51997</v>
      </c>
      <c r="D13302" s="40" t="n">
        <v>151</v>
      </c>
      <c r="E13302" s="41" t="n">
        <v>3696.3098</v>
      </c>
    </row>
    <row r="13303">
      <c r="A13303" s="42">
        <f>_xlfn.XLOOKUP(81611,Trip[shape_id],Trip[shape_id],"Não encontrado")</f>
        <v/>
      </c>
      <c r="B13303" s="43" t="n">
        <v>-23.57614</v>
      </c>
      <c r="C13303" s="43" t="n">
        <v>-46.520029</v>
      </c>
      <c r="D13303" s="43" t="n">
        <v>152</v>
      </c>
      <c r="E13303" s="44" t="n">
        <v>3702.3328</v>
      </c>
    </row>
    <row r="13304">
      <c r="A13304" s="39">
        <f>_xlfn.XLOOKUP(81611,Trip[shape_id],Trip[shape_id],"Não encontrado")</f>
        <v/>
      </c>
      <c r="B13304" s="40" t="n">
        <v>-23.576167</v>
      </c>
      <c r="C13304" s="40" t="n">
        <v>-46.52018</v>
      </c>
      <c r="D13304" s="40" t="n">
        <v>153</v>
      </c>
      <c r="E13304" s="41" t="n">
        <v>3718.0347</v>
      </c>
    </row>
    <row r="13305">
      <c r="A13305" s="42">
        <f>_xlfn.XLOOKUP(81611,Trip[shape_id],Trip[shape_id],"Não encontrado")</f>
        <v/>
      </c>
      <c r="B13305" s="43" t="n">
        <v>-23.576191</v>
      </c>
      <c r="C13305" s="43" t="n">
        <v>-46.52032</v>
      </c>
      <c r="D13305" s="43" t="n">
        <v>154</v>
      </c>
      <c r="E13305" s="44" t="n">
        <v>3732.5713</v>
      </c>
    </row>
    <row r="13306">
      <c r="A13306" s="39">
        <f>_xlfn.XLOOKUP(81611,Trip[shape_id],Trip[shape_id],"Não encontrado")</f>
        <v/>
      </c>
      <c r="B13306" s="40" t="n">
        <v>-23.57622</v>
      </c>
      <c r="C13306" s="40" t="n">
        <v>-46.520453</v>
      </c>
      <c r="D13306" s="40" t="n">
        <v>155</v>
      </c>
      <c r="E13306" s="41" t="n">
        <v>3746.5232</v>
      </c>
    </row>
    <row r="13307">
      <c r="A13307" s="42">
        <f>_xlfn.XLOOKUP(81611,Trip[shape_id],Trip[shape_id],"Não encontrado")</f>
        <v/>
      </c>
      <c r="B13307" s="43" t="n">
        <v>-23.576238</v>
      </c>
      <c r="C13307" s="43" t="n">
        <v>-46.52056</v>
      </c>
      <c r="D13307" s="43" t="n">
        <v>156</v>
      </c>
      <c r="E13307" s="44" t="n">
        <v>3757.6262</v>
      </c>
    </row>
    <row r="13308">
      <c r="A13308" s="39">
        <f>_xlfn.XLOOKUP(81611,Trip[shape_id],Trip[shape_id],"Não encontrado")</f>
        <v/>
      </c>
      <c r="B13308" s="40" t="n">
        <v>-23.576283</v>
      </c>
      <c r="C13308" s="40" t="n">
        <v>-46.520746</v>
      </c>
      <c r="D13308" s="40" t="n">
        <v>157</v>
      </c>
      <c r="E13308" s="41" t="n">
        <v>3777.2566</v>
      </c>
    </row>
    <row r="13309">
      <c r="A13309" s="42">
        <f>_xlfn.XLOOKUP(81611,Trip[shape_id],Trip[shape_id],"Não encontrado")</f>
        <v/>
      </c>
      <c r="B13309" s="43" t="n">
        <v>-23.576373</v>
      </c>
      <c r="C13309" s="43" t="n">
        <v>-46.521075</v>
      </c>
      <c r="D13309" s="43" t="n">
        <v>158</v>
      </c>
      <c r="E13309" s="44" t="n">
        <v>3812.2896</v>
      </c>
    </row>
    <row r="13310">
      <c r="A13310" s="39">
        <f>_xlfn.XLOOKUP(81611,Trip[shape_id],Trip[shape_id],"Não encontrado")</f>
        <v/>
      </c>
      <c r="B13310" s="40" t="n">
        <v>-23.576447</v>
      </c>
      <c r="C13310" s="40" t="n">
        <v>-46.521291</v>
      </c>
      <c r="D13310" s="40" t="n">
        <v>159</v>
      </c>
      <c r="E13310" s="41" t="n">
        <v>3835.813</v>
      </c>
    </row>
    <row r="13311">
      <c r="A13311" s="42">
        <f>_xlfn.XLOOKUP(81611,Trip[shape_id],Trip[shape_id],"Não encontrado")</f>
        <v/>
      </c>
      <c r="B13311" s="43" t="n">
        <v>-23.576486</v>
      </c>
      <c r="C13311" s="43" t="n">
        <v>-46.521393</v>
      </c>
      <c r="D13311" s="43" t="n">
        <v>160</v>
      </c>
      <c r="E13311" s="44" t="n">
        <v>3847.0859</v>
      </c>
    </row>
    <row r="13312">
      <c r="A13312" s="39">
        <f>_xlfn.XLOOKUP(81611,Trip[shape_id],Trip[shape_id],"Não encontrado")</f>
        <v/>
      </c>
      <c r="B13312" s="40" t="n">
        <v>-23.576513</v>
      </c>
      <c r="C13312" s="40" t="n">
        <v>-46.521499</v>
      </c>
      <c r="D13312" s="40" t="n">
        <v>161</v>
      </c>
      <c r="E13312" s="41" t="n">
        <v>3858.3123</v>
      </c>
    </row>
    <row r="13313">
      <c r="A13313" s="42">
        <f>_xlfn.XLOOKUP(81611,Trip[shape_id],Trip[shape_id],"Não encontrado")</f>
        <v/>
      </c>
      <c r="B13313" s="43" t="n">
        <v>-23.576565</v>
      </c>
      <c r="C13313" s="43" t="n">
        <v>-46.521681</v>
      </c>
      <c r="D13313" s="43" t="n">
        <v>162</v>
      </c>
      <c r="E13313" s="44" t="n">
        <v>3877.7634</v>
      </c>
    </row>
    <row r="13314">
      <c r="A13314" s="39">
        <f>_xlfn.XLOOKUP(81611,Trip[shape_id],Trip[shape_id],"Não encontrado")</f>
        <v/>
      </c>
      <c r="B13314" s="40" t="n">
        <v>-23.57661</v>
      </c>
      <c r="C13314" s="40" t="n">
        <v>-46.521857</v>
      </c>
      <c r="D13314" s="40" t="n">
        <v>163</v>
      </c>
      <c r="E13314" s="41" t="n">
        <v>3896.4082</v>
      </c>
    </row>
    <row r="13315">
      <c r="A13315" s="42">
        <f>_xlfn.XLOOKUP(81611,Trip[shape_id],Trip[shape_id],"Não encontrado")</f>
        <v/>
      </c>
      <c r="B13315" s="43" t="n">
        <v>-23.576632</v>
      </c>
      <c r="C13315" s="43" t="n">
        <v>-46.521995</v>
      </c>
      <c r="D13315" s="43" t="n">
        <v>164</v>
      </c>
      <c r="E13315" s="44" t="n">
        <v>3910.7043</v>
      </c>
    </row>
    <row r="13316">
      <c r="A13316" s="39">
        <f>_xlfn.XLOOKUP(81611,Trip[shape_id],Trip[shape_id],"Não encontrado")</f>
        <v/>
      </c>
      <c r="B13316" s="40" t="n">
        <v>-23.57665</v>
      </c>
      <c r="C13316" s="40" t="n">
        <v>-46.522106</v>
      </c>
      <c r="D13316" s="40" t="n">
        <v>165</v>
      </c>
      <c r="E13316" s="41" t="n">
        <v>3922.2092</v>
      </c>
    </row>
    <row r="13317">
      <c r="A13317" s="42">
        <f>_xlfn.XLOOKUP(81611,Trip[shape_id],Trip[shape_id],"Não encontrado")</f>
        <v/>
      </c>
      <c r="B13317" s="43" t="n">
        <v>-23.576662</v>
      </c>
      <c r="C13317" s="43" t="n">
        <v>-46.522221</v>
      </c>
      <c r="D13317" s="43" t="n">
        <v>166</v>
      </c>
      <c r="E13317" s="44" t="n">
        <v>3934.0239</v>
      </c>
    </row>
    <row r="13318">
      <c r="A13318" s="39">
        <f>_xlfn.XLOOKUP(81611,Trip[shape_id],Trip[shape_id],"Não encontrado")</f>
        <v/>
      </c>
      <c r="B13318" s="40" t="n">
        <v>-23.576675</v>
      </c>
      <c r="C13318" s="40" t="n">
        <v>-46.52232</v>
      </c>
      <c r="D13318" s="40" t="n">
        <v>167</v>
      </c>
      <c r="E13318" s="41" t="n">
        <v>3944.2322</v>
      </c>
    </row>
    <row r="13319">
      <c r="A13319" s="42">
        <f>_xlfn.XLOOKUP(81611,Trip[shape_id],Trip[shape_id],"Não encontrado")</f>
        <v/>
      </c>
      <c r="B13319" s="43" t="n">
        <v>-23.576686</v>
      </c>
      <c r="C13319" s="43" t="n">
        <v>-46.522467</v>
      </c>
      <c r="D13319" s="43" t="n">
        <v>168</v>
      </c>
      <c r="E13319" s="44" t="n">
        <v>3959.2876</v>
      </c>
    </row>
    <row r="13320">
      <c r="A13320" s="39">
        <f>_xlfn.XLOOKUP(81611,Trip[shape_id],Trip[shape_id],"Não encontrado")</f>
        <v/>
      </c>
      <c r="B13320" s="40" t="n">
        <v>-23.576692</v>
      </c>
      <c r="C13320" s="40" t="n">
        <v>-46.522718</v>
      </c>
      <c r="D13320" s="40" t="n">
        <v>169</v>
      </c>
      <c r="E13320" s="41" t="n">
        <v>3984.9189</v>
      </c>
    </row>
    <row r="13321">
      <c r="A13321" s="42">
        <f>_xlfn.XLOOKUP(81611,Trip[shape_id],Trip[shape_id],"Não encontrado")</f>
        <v/>
      </c>
      <c r="B13321" s="43" t="n">
        <v>-23.576699</v>
      </c>
      <c r="C13321" s="43" t="n">
        <v>-46.522817</v>
      </c>
      <c r="D13321" s="43" t="n">
        <v>170</v>
      </c>
      <c r="E13321" s="44" t="n">
        <v>3995.0549</v>
      </c>
    </row>
    <row r="13322">
      <c r="A13322" s="39">
        <f>_xlfn.XLOOKUP(81611,Trip[shape_id],Trip[shape_id],"Não encontrado")</f>
        <v/>
      </c>
      <c r="B13322" s="40" t="n">
        <v>-23.576704</v>
      </c>
      <c r="C13322" s="40" t="n">
        <v>-46.522901</v>
      </c>
      <c r="D13322" s="40" t="n">
        <v>171</v>
      </c>
      <c r="E13322" s="41" t="n">
        <v>4003.6475</v>
      </c>
    </row>
    <row r="13323">
      <c r="A13323" s="42">
        <f>_xlfn.XLOOKUP(81611,Trip[shape_id],Trip[shape_id],"Não encontrado")</f>
        <v/>
      </c>
      <c r="B13323" s="43" t="n">
        <v>-23.576737</v>
      </c>
      <c r="C13323" s="43" t="n">
        <v>-46.523157</v>
      </c>
      <c r="D13323" s="43" t="n">
        <v>172</v>
      </c>
      <c r="E13323" s="44" t="n">
        <v>4030.0347</v>
      </c>
    </row>
    <row r="13324">
      <c r="A13324" s="39">
        <f>_xlfn.XLOOKUP(81611,Trip[shape_id],Trip[shape_id],"Não encontrado")</f>
        <v/>
      </c>
      <c r="B13324" s="40" t="n">
        <v>-23.576768</v>
      </c>
      <c r="C13324" s="40" t="n">
        <v>-46.523328</v>
      </c>
      <c r="D13324" s="40" t="n">
        <v>173</v>
      </c>
      <c r="E13324" s="41" t="n">
        <v>4047.8252</v>
      </c>
    </row>
    <row r="13325">
      <c r="A13325" s="42">
        <f>_xlfn.XLOOKUP(81611,Trip[shape_id],Trip[shape_id],"Não encontrado")</f>
        <v/>
      </c>
      <c r="B13325" s="43" t="n">
        <v>-23.576859</v>
      </c>
      <c r="C13325" s="43" t="n">
        <v>-46.52367</v>
      </c>
      <c r="D13325" s="43" t="n">
        <v>174</v>
      </c>
      <c r="E13325" s="44" t="n">
        <v>4084.1628</v>
      </c>
    </row>
    <row r="13326">
      <c r="A13326" s="39">
        <f>_xlfn.XLOOKUP(81611,Trip[shape_id],Trip[shape_id],"Não encontrado")</f>
        <v/>
      </c>
      <c r="B13326" s="40" t="n">
        <v>-23.576915</v>
      </c>
      <c r="C13326" s="40" t="n">
        <v>-46.523853</v>
      </c>
      <c r="D13326" s="40" t="n">
        <v>175</v>
      </c>
      <c r="E13326" s="41" t="n">
        <v>4103.8462</v>
      </c>
    </row>
    <row r="13327">
      <c r="A13327" s="42">
        <f>_xlfn.XLOOKUP(81611,Trip[shape_id],Trip[shape_id],"Não encontrado")</f>
        <v/>
      </c>
      <c r="B13327" s="43" t="n">
        <v>-23.576986</v>
      </c>
      <c r="C13327" s="43" t="n">
        <v>-46.524054</v>
      </c>
      <c r="D13327" s="43" t="n">
        <v>176</v>
      </c>
      <c r="E13327" s="44" t="n">
        <v>4125.8198</v>
      </c>
    </row>
    <row r="13328">
      <c r="A13328" s="39">
        <f>_xlfn.XLOOKUP(81611,Trip[shape_id],Trip[shape_id],"Não encontrado")</f>
        <v/>
      </c>
      <c r="B13328" s="40" t="n">
        <v>-23.577051</v>
      </c>
      <c r="C13328" s="40" t="n">
        <v>-46.524211</v>
      </c>
      <c r="D13328" s="40" t="n">
        <v>177</v>
      </c>
      <c r="E13328" s="41" t="n">
        <v>4143.3892</v>
      </c>
    </row>
    <row r="13329">
      <c r="A13329" s="42">
        <f>_xlfn.XLOOKUP(81611,Trip[shape_id],Trip[shape_id],"Não encontrado")</f>
        <v/>
      </c>
      <c r="B13329" s="43" t="n">
        <v>-23.577131</v>
      </c>
      <c r="C13329" s="43" t="n">
        <v>-46.524382</v>
      </c>
      <c r="D13329" s="43" t="n">
        <v>178</v>
      </c>
      <c r="E13329" s="44" t="n">
        <v>4162.9653</v>
      </c>
    </row>
    <row r="13330">
      <c r="A13330" s="39">
        <f>_xlfn.XLOOKUP(81611,Trip[shape_id],Trip[shape_id],"Não encontrado")</f>
        <v/>
      </c>
      <c r="B13330" s="40" t="n">
        <v>-23.57724</v>
      </c>
      <c r="C13330" s="40" t="n">
        <v>-46.524535</v>
      </c>
      <c r="D13330" s="40" t="n">
        <v>179</v>
      </c>
      <c r="E13330" s="41" t="n">
        <v>4182.7056</v>
      </c>
    </row>
    <row r="13331">
      <c r="A13331" s="42">
        <f>_xlfn.XLOOKUP(81611,Trip[shape_id],Trip[shape_id],"Não encontrado")</f>
        <v/>
      </c>
      <c r="B13331" s="43" t="n">
        <v>-23.577448</v>
      </c>
      <c r="C13331" s="43" t="n">
        <v>-46.524801</v>
      </c>
      <c r="D13331" s="43" t="n">
        <v>180</v>
      </c>
      <c r="E13331" s="44" t="n">
        <v>4218.3145</v>
      </c>
    </row>
    <row r="13332">
      <c r="A13332" s="39">
        <f>_xlfn.XLOOKUP(81611,Trip[shape_id],Trip[shape_id],"Não encontrado")</f>
        <v/>
      </c>
      <c r="B13332" s="40" t="n">
        <v>-23.577567</v>
      </c>
      <c r="C13332" s="40" t="n">
        <v>-46.52496</v>
      </c>
      <c r="D13332" s="40" t="n">
        <v>181</v>
      </c>
      <c r="E13332" s="41" t="n">
        <v>4239.2227</v>
      </c>
    </row>
    <row r="13333">
      <c r="A13333" s="42">
        <f>_xlfn.XLOOKUP(81611,Trip[shape_id],Trip[shape_id],"Não encontrado")</f>
        <v/>
      </c>
      <c r="B13333" s="43" t="n">
        <v>-23.577445</v>
      </c>
      <c r="C13333" s="43" t="n">
        <v>-46.525368</v>
      </c>
      <c r="D13333" s="43" t="n">
        <v>182</v>
      </c>
      <c r="E13333" s="44" t="n">
        <v>4283.0088</v>
      </c>
    </row>
    <row r="13334">
      <c r="A13334" s="39">
        <f>_xlfn.XLOOKUP(81611,Trip[shape_id],Trip[shape_id],"Não encontrado")</f>
        <v/>
      </c>
      <c r="B13334" s="40" t="n">
        <v>-23.577174</v>
      </c>
      <c r="C13334" s="40" t="n">
        <v>-46.52582</v>
      </c>
      <c r="D13334" s="40" t="n">
        <v>183</v>
      </c>
      <c r="E13334" s="41" t="n">
        <v>4338.0522</v>
      </c>
    </row>
    <row r="13335">
      <c r="A13335" s="42">
        <f>_xlfn.XLOOKUP(81611,Trip[shape_id],Trip[shape_id],"Não encontrado")</f>
        <v/>
      </c>
      <c r="B13335" s="43" t="n">
        <v>-23.57707</v>
      </c>
      <c r="C13335" s="43" t="n">
        <v>-46.525987</v>
      </c>
      <c r="D13335" s="43" t="n">
        <v>184</v>
      </c>
      <c r="E13335" s="44" t="n">
        <v>4358.6265</v>
      </c>
    </row>
    <row r="13336">
      <c r="A13336" s="39">
        <f>_xlfn.XLOOKUP(81611,Trip[shape_id],Trip[shape_id],"Não encontrado")</f>
        <v/>
      </c>
      <c r="B13336" s="40" t="n">
        <v>-23.576832</v>
      </c>
      <c r="C13336" s="40" t="n">
        <v>-46.526372</v>
      </c>
      <c r="D13336" s="40" t="n">
        <v>185</v>
      </c>
      <c r="E13336" s="41" t="n">
        <v>4405.9487</v>
      </c>
    </row>
    <row r="13337">
      <c r="A13337" s="42">
        <f>_xlfn.XLOOKUP(81611,Trip[shape_id],Trip[shape_id],"Não encontrado")</f>
        <v/>
      </c>
      <c r="B13337" s="43" t="n">
        <v>-23.576644</v>
      </c>
      <c r="C13337" s="43" t="n">
        <v>-46.526691</v>
      </c>
      <c r="D13337" s="43" t="n">
        <v>186</v>
      </c>
      <c r="E13337" s="44" t="n">
        <v>4444.6006</v>
      </c>
    </row>
    <row r="13338">
      <c r="A13338" s="39">
        <f>_xlfn.XLOOKUP(81611,Trip[shape_id],Trip[shape_id],"Não encontrado")</f>
        <v/>
      </c>
      <c r="B13338" s="40" t="n">
        <v>-23.576533</v>
      </c>
      <c r="C13338" s="40" t="n">
        <v>-46.526982</v>
      </c>
      <c r="D13338" s="40" t="n">
        <v>187</v>
      </c>
      <c r="E13338" s="41" t="n">
        <v>4476.7495</v>
      </c>
    </row>
    <row r="13339">
      <c r="A13339" s="42">
        <f>_xlfn.XLOOKUP(81611,Trip[shape_id],Trip[shape_id],"Não encontrado")</f>
        <v/>
      </c>
      <c r="B13339" s="43" t="n">
        <v>-23.576461</v>
      </c>
      <c r="C13339" s="43" t="n">
        <v>-46.52717</v>
      </c>
      <c r="D13339" s="43" t="n">
        <v>188</v>
      </c>
      <c r="E13339" s="44" t="n">
        <v>4497.5317</v>
      </c>
    </row>
    <row r="13340">
      <c r="A13340" s="39">
        <f>_xlfn.XLOOKUP(81611,Trip[shape_id],Trip[shape_id],"Não encontrado")</f>
        <v/>
      </c>
      <c r="B13340" s="40" t="n">
        <v>-23.576409</v>
      </c>
      <c r="C13340" s="40" t="n">
        <v>-46.527386</v>
      </c>
      <c r="D13340" s="40" t="n">
        <v>189</v>
      </c>
      <c r="E13340" s="41" t="n">
        <v>4520.3208</v>
      </c>
    </row>
    <row r="13341">
      <c r="A13341" s="42">
        <f>_xlfn.XLOOKUP(81611,Trip[shape_id],Trip[shape_id],"Não encontrado")</f>
        <v/>
      </c>
      <c r="B13341" s="43" t="n">
        <v>-23.576184</v>
      </c>
      <c r="C13341" s="43" t="n">
        <v>-46.528231</v>
      </c>
      <c r="D13341" s="43" t="n">
        <v>190</v>
      </c>
      <c r="E13341" s="44" t="n">
        <v>4610.1074</v>
      </c>
    </row>
    <row r="13342">
      <c r="A13342" s="39">
        <f>_xlfn.XLOOKUP(81611,Trip[shape_id],Trip[shape_id],"Não encontrado")</f>
        <v/>
      </c>
      <c r="B13342" s="40" t="n">
        <v>-23.576038</v>
      </c>
      <c r="C13342" s="40" t="n">
        <v>-46.52877</v>
      </c>
      <c r="D13342" s="40" t="n">
        <v>191</v>
      </c>
      <c r="E13342" s="41" t="n">
        <v>4667.4565</v>
      </c>
    </row>
    <row r="13343">
      <c r="A13343" s="42">
        <f>_xlfn.XLOOKUP(81611,Trip[shape_id],Trip[shape_id],"Não encontrado")</f>
        <v/>
      </c>
      <c r="B13343" s="43" t="n">
        <v>-23.575884</v>
      </c>
      <c r="C13343" s="43" t="n">
        <v>-46.528747</v>
      </c>
      <c r="D13343" s="43" t="n">
        <v>192</v>
      </c>
      <c r="E13343" s="44" t="n">
        <v>4684.6733</v>
      </c>
    </row>
    <row r="13344">
      <c r="A13344" s="39">
        <f>_xlfn.XLOOKUP(81611,Trip[shape_id],Trip[shape_id],"Não encontrado")</f>
        <v/>
      </c>
      <c r="B13344" s="40" t="n">
        <v>-23.575732</v>
      </c>
      <c r="C13344" s="40" t="n">
        <v>-46.528735</v>
      </c>
      <c r="D13344" s="40" t="n">
        <v>193</v>
      </c>
      <c r="E13344" s="41" t="n">
        <v>4701.5522</v>
      </c>
    </row>
    <row r="13345">
      <c r="A13345" s="42">
        <f>_xlfn.XLOOKUP(81611,Trip[shape_id],Trip[shape_id],"Não encontrado")</f>
        <v/>
      </c>
      <c r="B13345" s="43" t="n">
        <v>-23.57563</v>
      </c>
      <c r="C13345" s="43" t="n">
        <v>-46.528747</v>
      </c>
      <c r="D13345" s="43" t="n">
        <v>194</v>
      </c>
      <c r="E13345" s="44" t="n">
        <v>4712.915</v>
      </c>
    </row>
    <row r="13346">
      <c r="A13346" s="39">
        <f>_xlfn.XLOOKUP(81611,Trip[shape_id],Trip[shape_id],"Não encontrado")</f>
        <v/>
      </c>
      <c r="B13346" s="40" t="n">
        <v>-23.575571</v>
      </c>
      <c r="C13346" s="40" t="n">
        <v>-46.52877</v>
      </c>
      <c r="D13346" s="40" t="n">
        <v>195</v>
      </c>
      <c r="E13346" s="41" t="n">
        <v>4719.8584</v>
      </c>
    </row>
    <row r="13347">
      <c r="A13347" s="42">
        <f>_xlfn.XLOOKUP(81611,Trip[shape_id],Trip[shape_id],"Não encontrado")</f>
        <v/>
      </c>
      <c r="B13347" s="43" t="n">
        <v>-23.575488</v>
      </c>
      <c r="C13347" s="43" t="n">
        <v>-46.528846</v>
      </c>
      <c r="D13347" s="43" t="n">
        <v>196</v>
      </c>
      <c r="E13347" s="44" t="n">
        <v>4731.8877</v>
      </c>
    </row>
    <row r="13348">
      <c r="A13348" s="39">
        <f>_xlfn.XLOOKUP(81611,Trip[shape_id],Trip[shape_id],"Não encontrado")</f>
        <v/>
      </c>
      <c r="B13348" s="40" t="n">
        <v>-23.575467</v>
      </c>
      <c r="C13348" s="40" t="n">
        <v>-46.528882</v>
      </c>
      <c r="D13348" s="40" t="n">
        <v>197</v>
      </c>
      <c r="E13348" s="41" t="n">
        <v>4736.2373</v>
      </c>
    </row>
    <row r="13349">
      <c r="A13349" s="42">
        <f>_xlfn.XLOOKUP(81611,Trip[shape_id],Trip[shape_id],"Não encontrado")</f>
        <v/>
      </c>
      <c r="B13349" s="43" t="n">
        <v>-23.57508</v>
      </c>
      <c r="C13349" s="43" t="n">
        <v>-46.529478</v>
      </c>
      <c r="D13349" s="43" t="n">
        <v>198</v>
      </c>
      <c r="E13349" s="44" t="n">
        <v>4810.6602</v>
      </c>
    </row>
    <row r="13350">
      <c r="A13350" s="39">
        <f>_xlfn.XLOOKUP(81611,Trip[shape_id],Trip[shape_id],"Não encontrado")</f>
        <v/>
      </c>
      <c r="B13350" s="40" t="n">
        <v>-23.574854</v>
      </c>
      <c r="C13350" s="40" t="n">
        <v>-46.529837</v>
      </c>
      <c r="D13350" s="40" t="n">
        <v>199</v>
      </c>
      <c r="E13350" s="41" t="n">
        <v>4855.04</v>
      </c>
    </row>
    <row r="13351">
      <c r="A13351" s="42">
        <f>_xlfn.XLOOKUP(81611,Trip[shape_id],Trip[shape_id],"Não encontrado")</f>
        <v/>
      </c>
      <c r="B13351" s="43" t="n">
        <v>-23.574674</v>
      </c>
      <c r="C13351" s="43" t="n">
        <v>-46.530115</v>
      </c>
      <c r="D13351" s="43" t="n">
        <v>200</v>
      </c>
      <c r="E13351" s="44" t="n">
        <v>4889.7212</v>
      </c>
    </row>
    <row r="13352">
      <c r="A13352" s="39">
        <f>_xlfn.XLOOKUP(81611,Trip[shape_id],Trip[shape_id],"Não encontrado")</f>
        <v/>
      </c>
      <c r="B13352" s="40" t="n">
        <v>-23.574559</v>
      </c>
      <c r="C13352" s="40" t="n">
        <v>-46.530331</v>
      </c>
      <c r="D13352" s="40" t="n">
        <v>201</v>
      </c>
      <c r="E13352" s="41" t="n">
        <v>4915.1855</v>
      </c>
    </row>
    <row r="13353">
      <c r="A13353" s="42">
        <f>_xlfn.XLOOKUP(81611,Trip[shape_id],Trip[shape_id],"Não encontrado")</f>
        <v/>
      </c>
      <c r="B13353" s="43" t="n">
        <v>-23.574378</v>
      </c>
      <c r="C13353" s="43" t="n">
        <v>-46.530694</v>
      </c>
      <c r="D13353" s="43" t="n">
        <v>202</v>
      </c>
      <c r="E13353" s="44" t="n">
        <v>4957.3164</v>
      </c>
    </row>
    <row r="13354">
      <c r="A13354" s="39">
        <f>_xlfn.XLOOKUP(81611,Trip[shape_id],Trip[shape_id],"Não encontrado")</f>
        <v/>
      </c>
      <c r="B13354" s="40" t="n">
        <v>-23.574145</v>
      </c>
      <c r="C13354" s="40" t="n">
        <v>-46.531156</v>
      </c>
      <c r="D13354" s="40" t="n">
        <v>203</v>
      </c>
      <c r="E13354" s="41" t="n">
        <v>5011.0771</v>
      </c>
    </row>
    <row r="13355">
      <c r="A13355" s="42">
        <f>_xlfn.XLOOKUP(81611,Trip[shape_id],Trip[shape_id],"Não encontrado")</f>
        <v/>
      </c>
      <c r="B13355" s="43" t="n">
        <v>-23.57399</v>
      </c>
      <c r="C13355" s="43" t="n">
        <v>-46.531458</v>
      </c>
      <c r="D13355" s="43" t="n">
        <v>204</v>
      </c>
      <c r="E13355" s="44" t="n">
        <v>5046.3638</v>
      </c>
    </row>
    <row r="13356">
      <c r="A13356" s="39">
        <f>_xlfn.XLOOKUP(81611,Trip[shape_id],Trip[shape_id],"Não encontrado")</f>
        <v/>
      </c>
      <c r="B13356" s="40" t="n">
        <v>-23.573956</v>
      </c>
      <c r="C13356" s="40" t="n">
        <v>-46.531523</v>
      </c>
      <c r="D13356" s="40" t="n">
        <v>205</v>
      </c>
      <c r="E13356" s="41" t="n">
        <v>5053.9927</v>
      </c>
    </row>
    <row r="13357">
      <c r="A13357" s="42">
        <f>_xlfn.XLOOKUP(81611,Trip[shape_id],Trip[shape_id],"Não encontrado")</f>
        <v/>
      </c>
      <c r="B13357" s="43" t="n">
        <v>-23.573867</v>
      </c>
      <c r="C13357" s="43" t="n">
        <v>-46.531707</v>
      </c>
      <c r="D13357" s="43" t="n">
        <v>206</v>
      </c>
      <c r="E13357" s="44" t="n">
        <v>5075.2051</v>
      </c>
    </row>
    <row r="13358">
      <c r="A13358" s="39">
        <f>_xlfn.XLOOKUP(81611,Trip[shape_id],Trip[shape_id],"Não encontrado")</f>
        <v/>
      </c>
      <c r="B13358" s="40" t="n">
        <v>-23.573866</v>
      </c>
      <c r="C13358" s="40" t="n">
        <v>-46.531736</v>
      </c>
      <c r="D13358" s="40" t="n">
        <v>207</v>
      </c>
      <c r="E13358" s="41" t="n">
        <v>5078.168</v>
      </c>
    </row>
    <row r="13359">
      <c r="A13359" s="42">
        <f>_xlfn.XLOOKUP(81611,Trip[shape_id],Trip[shape_id],"Não encontrado")</f>
        <v/>
      </c>
      <c r="B13359" s="43" t="n">
        <v>-23.573866</v>
      </c>
      <c r="C13359" s="43" t="n">
        <v>-46.531801</v>
      </c>
      <c r="D13359" s="43" t="n">
        <v>208</v>
      </c>
      <c r="E13359" s="44" t="n">
        <v>5084.8032</v>
      </c>
    </row>
    <row r="13360">
      <c r="A13360" s="39">
        <f>_xlfn.XLOOKUP(81611,Trip[shape_id],Trip[shape_id],"Não encontrado")</f>
        <v/>
      </c>
      <c r="B13360" s="40" t="n">
        <v>-23.573864</v>
      </c>
      <c r="C13360" s="40" t="n">
        <v>-46.531901</v>
      </c>
      <c r="D13360" s="40" t="n">
        <v>209</v>
      </c>
      <c r="E13360" s="41" t="n">
        <v>5095.0137</v>
      </c>
    </row>
    <row r="13361">
      <c r="A13361" s="42">
        <f>_xlfn.XLOOKUP(81611,Trip[shape_id],Trip[shape_id],"Não encontrado")</f>
        <v/>
      </c>
      <c r="B13361" s="43" t="n">
        <v>-23.573835</v>
      </c>
      <c r="C13361" s="43" t="n">
        <v>-46.532025</v>
      </c>
      <c r="D13361" s="43" t="n">
        <v>210</v>
      </c>
      <c r="E13361" s="44" t="n">
        <v>5108.0732</v>
      </c>
    </row>
    <row r="13362">
      <c r="A13362" s="39">
        <f>_xlfn.XLOOKUP(81611,Trip[shape_id],Trip[shape_id],"Não encontrado")</f>
        <v/>
      </c>
      <c r="B13362" s="40" t="n">
        <v>-23.573815</v>
      </c>
      <c r="C13362" s="40" t="n">
        <v>-46.532118</v>
      </c>
      <c r="D13362" s="40" t="n">
        <v>211</v>
      </c>
      <c r="E13362" s="41" t="n">
        <v>5117.8218</v>
      </c>
    </row>
    <row r="13363">
      <c r="A13363" s="42">
        <f>_xlfn.XLOOKUP(81611,Trip[shape_id],Trip[shape_id],"Não encontrado")</f>
        <v/>
      </c>
      <c r="B13363" s="43" t="n">
        <v>-23.573792</v>
      </c>
      <c r="C13363" s="43" t="n">
        <v>-46.532229</v>
      </c>
      <c r="D13363" s="43" t="n">
        <v>212</v>
      </c>
      <c r="E13363" s="44" t="n">
        <v>5129.4355</v>
      </c>
    </row>
    <row r="13364">
      <c r="A13364" s="39">
        <f>_xlfn.XLOOKUP(81611,Trip[shape_id],Trip[shape_id],"Não encontrado")</f>
        <v/>
      </c>
      <c r="B13364" s="40" t="n">
        <v>-23.573764</v>
      </c>
      <c r="C13364" s="40" t="n">
        <v>-46.532285</v>
      </c>
      <c r="D13364" s="40" t="n">
        <v>213</v>
      </c>
      <c r="E13364" s="41" t="n">
        <v>5135.939</v>
      </c>
    </row>
    <row r="13365">
      <c r="A13365" s="42">
        <f>_xlfn.XLOOKUP(81611,Trip[shape_id],Trip[shape_id],"Não encontrado")</f>
        <v/>
      </c>
      <c r="B13365" s="43" t="n">
        <v>-23.573734</v>
      </c>
      <c r="C13365" s="43" t="n">
        <v>-46.532338</v>
      </c>
      <c r="D13365" s="43" t="n">
        <v>214</v>
      </c>
      <c r="E13365" s="44" t="n">
        <v>5142.2886</v>
      </c>
    </row>
    <row r="13366">
      <c r="A13366" s="39">
        <f>_xlfn.XLOOKUP(81611,Trip[shape_id],Trip[shape_id],"Não encontrado")</f>
        <v/>
      </c>
      <c r="B13366" s="40" t="n">
        <v>-23.573676</v>
      </c>
      <c r="C13366" s="40" t="n">
        <v>-46.532424</v>
      </c>
      <c r="D13366" s="40" t="n">
        <v>215</v>
      </c>
      <c r="E13366" s="41" t="n">
        <v>5153.1665</v>
      </c>
    </row>
    <row r="13367">
      <c r="A13367" s="42">
        <f>_xlfn.XLOOKUP(81611,Trip[shape_id],Trip[shape_id],"Não encontrado")</f>
        <v/>
      </c>
      <c r="B13367" s="43" t="n">
        <v>-23.573618</v>
      </c>
      <c r="C13367" s="43" t="n">
        <v>-46.532506</v>
      </c>
      <c r="D13367" s="43" t="n">
        <v>216</v>
      </c>
      <c r="E13367" s="44" t="n">
        <v>5163.7183</v>
      </c>
    </row>
    <row r="13368">
      <c r="A13368" s="39">
        <f>_xlfn.XLOOKUP(81611,Trip[shape_id],Trip[shape_id],"Não encontrado")</f>
        <v/>
      </c>
      <c r="B13368" s="40" t="n">
        <v>-23.573597</v>
      </c>
      <c r="C13368" s="40" t="n">
        <v>-46.53253</v>
      </c>
      <c r="D13368" s="40" t="n">
        <v>217</v>
      </c>
      <c r="E13368" s="41" t="n">
        <v>5167.0952</v>
      </c>
    </row>
    <row r="13369">
      <c r="A13369" s="42">
        <f>_xlfn.XLOOKUP(81611,Trip[shape_id],Trip[shape_id],"Não encontrado")</f>
        <v/>
      </c>
      <c r="B13369" s="43" t="n">
        <v>-23.5735</v>
      </c>
      <c r="C13369" s="43" t="n">
        <v>-46.532636</v>
      </c>
      <c r="D13369" s="43" t="n">
        <v>218</v>
      </c>
      <c r="E13369" s="44" t="n">
        <v>5182.3433</v>
      </c>
    </row>
    <row r="13370">
      <c r="A13370" s="39">
        <f>_xlfn.XLOOKUP(81611,Trip[shape_id],Trip[shape_id],"Não encontrado")</f>
        <v/>
      </c>
      <c r="B13370" s="40" t="n">
        <v>-23.573406</v>
      </c>
      <c r="C13370" s="40" t="n">
        <v>-46.532727</v>
      </c>
      <c r="D13370" s="40" t="n">
        <v>219</v>
      </c>
      <c r="E13370" s="41" t="n">
        <v>5196.2959</v>
      </c>
    </row>
    <row r="13371">
      <c r="A13371" s="42">
        <f>_xlfn.XLOOKUP(81611,Trip[shape_id],Trip[shape_id],"Não encontrado")</f>
        <v/>
      </c>
      <c r="B13371" s="43" t="n">
        <v>-23.57319</v>
      </c>
      <c r="C13371" s="43" t="n">
        <v>-46.532925</v>
      </c>
      <c r="D13371" s="43" t="n">
        <v>220</v>
      </c>
      <c r="E13371" s="44" t="n">
        <v>5227.6143</v>
      </c>
    </row>
    <row r="13372">
      <c r="A13372" s="39">
        <f>_xlfn.XLOOKUP(81611,Trip[shape_id],Trip[shape_id],"Não encontrado")</f>
        <v/>
      </c>
      <c r="B13372" s="40" t="n">
        <v>-23.573027</v>
      </c>
      <c r="C13372" s="40" t="n">
        <v>-46.5331</v>
      </c>
      <c r="D13372" s="40" t="n">
        <v>221</v>
      </c>
      <c r="E13372" s="41" t="n">
        <v>5253.0122</v>
      </c>
    </row>
    <row r="13373">
      <c r="A13373" s="42">
        <f>_xlfn.XLOOKUP(81611,Trip[shape_id],Trip[shape_id],"Não encontrado")</f>
        <v/>
      </c>
      <c r="B13373" s="43" t="n">
        <v>-23.573011</v>
      </c>
      <c r="C13373" s="43" t="n">
        <v>-46.533117</v>
      </c>
      <c r="D13373" s="43" t="n">
        <v>222</v>
      </c>
      <c r="E13373" s="44" t="n">
        <v>5255.4941</v>
      </c>
    </row>
    <row r="13374">
      <c r="A13374" s="39">
        <f>_xlfn.XLOOKUP(81611,Trip[shape_id],Trip[shape_id],"Não encontrado")</f>
        <v/>
      </c>
      <c r="B13374" s="40" t="n">
        <v>-23.573014</v>
      </c>
      <c r="C13374" s="40" t="n">
        <v>-46.533172</v>
      </c>
      <c r="D13374" s="40" t="n">
        <v>223</v>
      </c>
      <c r="E13374" s="41" t="n">
        <v>5261.1187</v>
      </c>
    </row>
    <row r="13375">
      <c r="A13375" s="42">
        <f>_xlfn.XLOOKUP(81611,Trip[shape_id],Trip[shape_id],"Não encontrado")</f>
        <v/>
      </c>
      <c r="B13375" s="43" t="n">
        <v>-23.573014</v>
      </c>
      <c r="C13375" s="43" t="n">
        <v>-46.533302</v>
      </c>
      <c r="D13375" s="43" t="n">
        <v>224</v>
      </c>
      <c r="E13375" s="44" t="n">
        <v>5274.3896</v>
      </c>
    </row>
    <row r="13376">
      <c r="A13376" s="39">
        <f>_xlfn.XLOOKUP(81611,Trip[shape_id],Trip[shape_id],"Não encontrado")</f>
        <v/>
      </c>
      <c r="B13376" s="40" t="n">
        <v>-23.573013</v>
      </c>
      <c r="C13376" s="40" t="n">
        <v>-46.533396</v>
      </c>
      <c r="D13376" s="40" t="n">
        <v>225</v>
      </c>
      <c r="E13376" s="41" t="n">
        <v>5283.9863</v>
      </c>
    </row>
    <row r="13377">
      <c r="A13377" s="42">
        <f>_xlfn.XLOOKUP(81611,Trip[shape_id],Trip[shape_id],"Não encontrado")</f>
        <v/>
      </c>
      <c r="B13377" s="43" t="n">
        <v>-23.573004</v>
      </c>
      <c r="C13377" s="43" t="n">
        <v>-46.533601</v>
      </c>
      <c r="D13377" s="43" t="n">
        <v>226</v>
      </c>
      <c r="E13377" s="44" t="n">
        <v>5304.937</v>
      </c>
    </row>
    <row r="13378">
      <c r="A13378" s="39">
        <f>_xlfn.XLOOKUP(81611,Trip[shape_id],Trip[shape_id],"Não encontrado")</f>
        <v/>
      </c>
      <c r="B13378" s="40" t="n">
        <v>-23.572972</v>
      </c>
      <c r="C13378" s="40" t="n">
        <v>-46.533783</v>
      </c>
      <c r="D13378" s="40" t="n">
        <v>227</v>
      </c>
      <c r="E13378" s="41" t="n">
        <v>5323.8516</v>
      </c>
    </row>
    <row r="13379">
      <c r="A13379" s="42">
        <f>_xlfn.XLOOKUP(81611,Trip[shape_id],Trip[shape_id],"Não encontrado")</f>
        <v/>
      </c>
      <c r="B13379" s="43" t="n">
        <v>-23.572943</v>
      </c>
      <c r="C13379" s="43" t="n">
        <v>-46.533909</v>
      </c>
      <c r="D13379" s="43" t="n">
        <v>228</v>
      </c>
      <c r="E13379" s="44" t="n">
        <v>5337.1089</v>
      </c>
    </row>
    <row r="13380">
      <c r="A13380" s="39">
        <f>_xlfn.XLOOKUP(81611,Trip[shape_id],Trip[shape_id],"Não encontrado")</f>
        <v/>
      </c>
      <c r="B13380" s="40" t="n">
        <v>-23.572922</v>
      </c>
      <c r="C13380" s="40" t="n">
        <v>-46.534001</v>
      </c>
      <c r="D13380" s="40" t="n">
        <v>229</v>
      </c>
      <c r="E13380" s="41" t="n">
        <v>5346.7847</v>
      </c>
    </row>
    <row r="13381">
      <c r="A13381" s="42">
        <f>_xlfn.XLOOKUP(81611,Trip[shape_id],Trip[shape_id],"Não encontrado")</f>
        <v/>
      </c>
      <c r="B13381" s="43" t="n">
        <v>-23.572879</v>
      </c>
      <c r="C13381" s="43" t="n">
        <v>-46.534127</v>
      </c>
      <c r="D13381" s="43" t="n">
        <v>230</v>
      </c>
      <c r="E13381" s="44" t="n">
        <v>5360.501</v>
      </c>
    </row>
    <row r="13382">
      <c r="A13382" s="39">
        <f>_xlfn.XLOOKUP(81611,Trip[shape_id],Trip[shape_id],"Não encontrado")</f>
        <v/>
      </c>
      <c r="B13382" s="40" t="n">
        <v>-23.572847</v>
      </c>
      <c r="C13382" s="40" t="n">
        <v>-46.534197</v>
      </c>
      <c r="D13382" s="40" t="n">
        <v>231</v>
      </c>
      <c r="E13382" s="41" t="n">
        <v>5368.4775</v>
      </c>
    </row>
    <row r="13383">
      <c r="A13383" s="42">
        <f>_xlfn.XLOOKUP(81611,Trip[shape_id],Trip[shape_id],"Não encontrado")</f>
        <v/>
      </c>
      <c r="B13383" s="43" t="n">
        <v>-23.572746</v>
      </c>
      <c r="C13383" s="43" t="n">
        <v>-46.53444</v>
      </c>
      <c r="D13383" s="43" t="n">
        <v>232</v>
      </c>
      <c r="E13383" s="44" t="n">
        <v>5395.6895</v>
      </c>
    </row>
    <row r="13384">
      <c r="A13384" s="39">
        <f>_xlfn.XLOOKUP(81611,Trip[shape_id],Trip[shape_id],"Não encontrado")</f>
        <v/>
      </c>
      <c r="B13384" s="40" t="n">
        <v>-23.572661</v>
      </c>
      <c r="C13384" s="40" t="n">
        <v>-46.534615</v>
      </c>
      <c r="D13384" s="40" t="n">
        <v>233</v>
      </c>
      <c r="E13384" s="41" t="n">
        <v>5415.8828</v>
      </c>
    </row>
    <row r="13385">
      <c r="A13385" s="42">
        <f>_xlfn.XLOOKUP(81611,Trip[shape_id],Trip[shape_id],"Não encontrado")</f>
        <v/>
      </c>
      <c r="B13385" s="43" t="n">
        <v>-23.571741</v>
      </c>
      <c r="C13385" s="43" t="n">
        <v>-46.536594</v>
      </c>
      <c r="D13385" s="43" t="n">
        <v>234</v>
      </c>
      <c r="E13385" s="44" t="n">
        <v>5642.1499</v>
      </c>
    </row>
    <row r="13386">
      <c r="A13386" s="39">
        <f>_xlfn.XLOOKUP(81611,Trip[shape_id],Trip[shape_id],"Não encontrado")</f>
        <v/>
      </c>
      <c r="B13386" s="40" t="n">
        <v>-23.571564</v>
      </c>
      <c r="C13386" s="40" t="n">
        <v>-46.53696</v>
      </c>
      <c r="D13386" s="40" t="n">
        <v>235</v>
      </c>
      <c r="E13386" s="41" t="n">
        <v>5684.3438</v>
      </c>
    </row>
    <row r="13387">
      <c r="A13387" s="42">
        <f>_xlfn.XLOOKUP(81611,Trip[shape_id],Trip[shape_id],"Não encontrado")</f>
        <v/>
      </c>
      <c r="B13387" s="43" t="n">
        <v>-23.571403</v>
      </c>
      <c r="C13387" s="43" t="n">
        <v>-46.537344</v>
      </c>
      <c r="D13387" s="43" t="n">
        <v>236</v>
      </c>
      <c r="E13387" s="44" t="n">
        <v>5727.4097</v>
      </c>
    </row>
    <row r="13388">
      <c r="A13388" s="39">
        <f>_xlfn.XLOOKUP(81611,Trip[shape_id],Trip[shape_id],"Não encontrado")</f>
        <v/>
      </c>
      <c r="B13388" s="40" t="n">
        <v>-23.571247</v>
      </c>
      <c r="C13388" s="40" t="n">
        <v>-46.537712</v>
      </c>
      <c r="D13388" s="40" t="n">
        <v>237</v>
      </c>
      <c r="E13388" s="41" t="n">
        <v>5768.7598</v>
      </c>
    </row>
    <row r="13389">
      <c r="A13389" s="42">
        <f>_xlfn.XLOOKUP(81611,Trip[shape_id],Trip[shape_id],"Não encontrado")</f>
        <v/>
      </c>
      <c r="B13389" s="43" t="n">
        <v>-23.571126</v>
      </c>
      <c r="C13389" s="43" t="n">
        <v>-46.538052</v>
      </c>
      <c r="D13389" s="43" t="n">
        <v>238</v>
      </c>
      <c r="E13389" s="44" t="n">
        <v>5805.9663</v>
      </c>
    </row>
    <row r="13390">
      <c r="A13390" s="39">
        <f>_xlfn.XLOOKUP(81611,Trip[shape_id],Trip[shape_id],"Não encontrado")</f>
        <v/>
      </c>
      <c r="B13390" s="40" t="n">
        <v>-23.570938</v>
      </c>
      <c r="C13390" s="40" t="n">
        <v>-46.538579</v>
      </c>
      <c r="D13390" s="40" t="n">
        <v>239</v>
      </c>
      <c r="E13390" s="41" t="n">
        <v>5863.6543</v>
      </c>
    </row>
    <row r="13391">
      <c r="A13391" s="42">
        <f>_xlfn.XLOOKUP(81611,Trip[shape_id],Trip[shape_id],"Não encontrado")</f>
        <v/>
      </c>
      <c r="B13391" s="43" t="n">
        <v>-23.570873</v>
      </c>
      <c r="C13391" s="43" t="n">
        <v>-46.538764</v>
      </c>
      <c r="D13391" s="43" t="n">
        <v>240</v>
      </c>
      <c r="E13391" s="44" t="n">
        <v>5883.8657</v>
      </c>
    </row>
    <row r="13392">
      <c r="A13392" s="39">
        <f>_xlfn.XLOOKUP(81611,Trip[shape_id],Trip[shape_id],"Não encontrado")</f>
        <v/>
      </c>
      <c r="B13392" s="40" t="n">
        <v>-23.570763</v>
      </c>
      <c r="C13392" s="40" t="n">
        <v>-46.539081</v>
      </c>
      <c r="D13392" s="40" t="n">
        <v>241</v>
      </c>
      <c r="E13392" s="41" t="n">
        <v>5918.4443</v>
      </c>
    </row>
    <row r="13393">
      <c r="A13393" s="42">
        <f>_xlfn.XLOOKUP(81611,Trip[shape_id],Trip[shape_id],"Não encontrado")</f>
        <v/>
      </c>
      <c r="B13393" s="43" t="n">
        <v>-23.570552</v>
      </c>
      <c r="C13393" s="43" t="n">
        <v>-46.539682</v>
      </c>
      <c r="D13393" s="43" t="n">
        <v>242</v>
      </c>
      <c r="E13393" s="44" t="n">
        <v>5984.0981</v>
      </c>
    </row>
    <row r="13394">
      <c r="A13394" s="39">
        <f>_xlfn.XLOOKUP(81611,Trip[shape_id],Trip[shape_id],"Não encontrado")</f>
        <v/>
      </c>
      <c r="B13394" s="40" t="n">
        <v>-23.570354</v>
      </c>
      <c r="C13394" s="40" t="n">
        <v>-46.540257</v>
      </c>
      <c r="D13394" s="40" t="n">
        <v>243</v>
      </c>
      <c r="E13394" s="41" t="n">
        <v>6046.7603</v>
      </c>
    </row>
    <row r="13395">
      <c r="A13395" s="42">
        <f>_xlfn.XLOOKUP(81611,Trip[shape_id],Trip[shape_id],"Não encontrado")</f>
        <v/>
      </c>
      <c r="B13395" s="43" t="n">
        <v>-23.570307</v>
      </c>
      <c r="C13395" s="43" t="n">
        <v>-46.540339</v>
      </c>
      <c r="D13395" s="43" t="n">
        <v>244</v>
      </c>
      <c r="E13395" s="44" t="n">
        <v>6056.6177</v>
      </c>
    </row>
    <row r="13396">
      <c r="A13396" s="39">
        <f>_xlfn.XLOOKUP(81611,Trip[shape_id],Trip[shape_id],"Não encontrado")</f>
        <v/>
      </c>
      <c r="B13396" s="40" t="n">
        <v>-23.570263</v>
      </c>
      <c r="C13396" s="40" t="n">
        <v>-46.540403</v>
      </c>
      <c r="D13396" s="40" t="n">
        <v>245</v>
      </c>
      <c r="E13396" s="41" t="n">
        <v>6064.7686</v>
      </c>
    </row>
    <row r="13397">
      <c r="A13397" s="42">
        <f>_xlfn.XLOOKUP(81611,Trip[shape_id],Trip[shape_id],"Não encontrado")</f>
        <v/>
      </c>
      <c r="B13397" s="43" t="n">
        <v>-23.57016</v>
      </c>
      <c r="C13397" s="43" t="n">
        <v>-46.540536</v>
      </c>
      <c r="D13397" s="43" t="n">
        <v>246</v>
      </c>
      <c r="E13397" s="44" t="n">
        <v>6082.502</v>
      </c>
    </row>
    <row r="13398">
      <c r="A13398" s="39">
        <f>_xlfn.XLOOKUP(81611,Trip[shape_id],Trip[shape_id],"Não encontrado")</f>
        <v/>
      </c>
      <c r="B13398" s="40" t="n">
        <v>-23.570053</v>
      </c>
      <c r="C13398" s="40" t="n">
        <v>-46.540579</v>
      </c>
      <c r="D13398" s="40" t="n">
        <v>247</v>
      </c>
      <c r="E13398" s="41" t="n">
        <v>6095.1392</v>
      </c>
    </row>
    <row r="13399">
      <c r="A13399" s="42">
        <f>_xlfn.XLOOKUP(81611,Trip[shape_id],Trip[shape_id],"Não encontrado")</f>
        <v/>
      </c>
      <c r="B13399" s="43" t="n">
        <v>-23.569965</v>
      </c>
      <c r="C13399" s="43" t="n">
        <v>-46.540602</v>
      </c>
      <c r="D13399" s="43" t="n">
        <v>248</v>
      </c>
      <c r="E13399" s="44" t="n">
        <v>6105.1646</v>
      </c>
    </row>
    <row r="13400">
      <c r="A13400" s="39">
        <f>_xlfn.XLOOKUP(81611,Trip[shape_id],Trip[shape_id],"Não encontrado")</f>
        <v/>
      </c>
      <c r="B13400" s="40" t="n">
        <v>-23.569934</v>
      </c>
      <c r="C13400" s="40" t="n">
        <v>-46.540602</v>
      </c>
      <c r="D13400" s="40" t="n">
        <v>249</v>
      </c>
      <c r="E13400" s="41" t="n">
        <v>6108.5972</v>
      </c>
    </row>
    <row r="13401">
      <c r="A13401" s="42">
        <f>_xlfn.XLOOKUP(81611,Trip[shape_id],Trip[shape_id],"Não encontrado")</f>
        <v/>
      </c>
      <c r="B13401" s="43" t="n">
        <v>-23.569877</v>
      </c>
      <c r="C13401" s="43" t="n">
        <v>-46.540603</v>
      </c>
      <c r="D13401" s="43" t="n">
        <v>250</v>
      </c>
      <c r="E13401" s="44" t="n">
        <v>6114.9106</v>
      </c>
    </row>
    <row r="13402">
      <c r="A13402" s="39">
        <f>_xlfn.XLOOKUP(81611,Trip[shape_id],Trip[shape_id],"Não encontrado")</f>
        <v/>
      </c>
      <c r="B13402" s="40" t="n">
        <v>-23.569777</v>
      </c>
      <c r="C13402" s="40" t="n">
        <v>-46.54057</v>
      </c>
      <c r="D13402" s="40" t="n">
        <v>251</v>
      </c>
      <c r="E13402" s="41" t="n">
        <v>6126.4868</v>
      </c>
    </row>
    <row r="13403">
      <c r="A13403" s="42">
        <f>_xlfn.XLOOKUP(81611,Trip[shape_id],Trip[shape_id],"Não encontrado")</f>
        <v/>
      </c>
      <c r="B13403" s="43" t="n">
        <v>-23.569472</v>
      </c>
      <c r="C13403" s="43" t="n">
        <v>-46.540373</v>
      </c>
      <c r="D13403" s="43" t="n">
        <v>252</v>
      </c>
      <c r="E13403" s="44" t="n">
        <v>6165.7998</v>
      </c>
    </row>
    <row r="13404">
      <c r="A13404" s="39">
        <f>_xlfn.XLOOKUP(81611,Trip[shape_id],Trip[shape_id],"Não encontrado")</f>
        <v/>
      </c>
      <c r="B13404" s="40" t="n">
        <v>-23.569375</v>
      </c>
      <c r="C13404" s="40" t="n">
        <v>-46.54035</v>
      </c>
      <c r="D13404" s="40" t="n">
        <v>253</v>
      </c>
      <c r="E13404" s="41" t="n">
        <v>6176.7964</v>
      </c>
    </row>
    <row r="13405">
      <c r="A13405" s="42">
        <f>_xlfn.XLOOKUP(81611,Trip[shape_id],Trip[shape_id],"Não encontrado")</f>
        <v/>
      </c>
      <c r="B13405" s="43" t="n">
        <v>-23.569201</v>
      </c>
      <c r="C13405" s="43" t="n">
        <v>-46.540315</v>
      </c>
      <c r="D13405" s="43" t="n">
        <v>254</v>
      </c>
      <c r="E13405" s="44" t="n">
        <v>6196.3955</v>
      </c>
    </row>
    <row r="13406">
      <c r="A13406" s="39">
        <f>_xlfn.XLOOKUP(81611,Trip[shape_id],Trip[shape_id],"Não encontrado")</f>
        <v/>
      </c>
      <c r="B13406" s="40" t="n">
        <v>-23.569113</v>
      </c>
      <c r="C13406" s="40" t="n">
        <v>-46.540361</v>
      </c>
      <c r="D13406" s="40" t="n">
        <v>255</v>
      </c>
      <c r="E13406" s="41" t="n">
        <v>6207.2139</v>
      </c>
    </row>
    <row r="13407">
      <c r="A13407" s="42">
        <f>_xlfn.XLOOKUP(81611,Trip[shape_id],Trip[shape_id],"Não encontrado")</f>
        <v/>
      </c>
      <c r="B13407" s="43" t="n">
        <v>-23.568965</v>
      </c>
      <c r="C13407" s="43" t="n">
        <v>-46.540437</v>
      </c>
      <c r="D13407" s="43" t="n">
        <v>256</v>
      </c>
      <c r="E13407" s="44" t="n">
        <v>6225.3486</v>
      </c>
    </row>
    <row r="13408">
      <c r="A13408" s="39">
        <f>_xlfn.XLOOKUP(81611,Trip[shape_id],Trip[shape_id],"Não encontrado")</f>
        <v/>
      </c>
      <c r="B13408" s="40" t="n">
        <v>-23.568771</v>
      </c>
      <c r="C13408" s="40" t="n">
        <v>-46.540466</v>
      </c>
      <c r="D13408" s="40" t="n">
        <v>257</v>
      </c>
      <c r="E13408" s="41" t="n">
        <v>6247.0376</v>
      </c>
    </row>
    <row r="13409">
      <c r="A13409" s="42">
        <f>_xlfn.XLOOKUP(81611,Trip[shape_id],Trip[shape_id],"Não encontrado")</f>
        <v/>
      </c>
      <c r="B13409" s="43" t="n">
        <v>-23.568666</v>
      </c>
      <c r="C13409" s="43" t="n">
        <v>-46.540466</v>
      </c>
      <c r="D13409" s="43" t="n">
        <v>258</v>
      </c>
      <c r="E13409" s="44" t="n">
        <v>6258.6665</v>
      </c>
    </row>
    <row r="13410">
      <c r="A13410" s="39">
        <f>_xlfn.XLOOKUP(81611,Trip[shape_id],Trip[shape_id],"Não encontrado")</f>
        <v/>
      </c>
      <c r="B13410" s="40" t="n">
        <v>-23.568505</v>
      </c>
      <c r="C13410" s="40" t="n">
        <v>-46.540462</v>
      </c>
      <c r="D13410" s="40" t="n">
        <v>259</v>
      </c>
      <c r="E13410" s="41" t="n">
        <v>6276.502</v>
      </c>
    </row>
    <row r="13411">
      <c r="A13411" s="42">
        <f>_xlfn.XLOOKUP(81611,Trip[shape_id],Trip[shape_id],"Não encontrado")</f>
        <v/>
      </c>
      <c r="B13411" s="43" t="n">
        <v>-23.56801</v>
      </c>
      <c r="C13411" s="43" t="n">
        <v>-46.540378</v>
      </c>
      <c r="D13411" s="43" t="n">
        <v>260</v>
      </c>
      <c r="E13411" s="44" t="n">
        <v>6331.9907</v>
      </c>
    </row>
    <row r="13412">
      <c r="A13412" s="39">
        <f>_xlfn.XLOOKUP(81611,Trip[shape_id],Trip[shape_id],"Não encontrado")</f>
        <v/>
      </c>
      <c r="B13412" s="40" t="n">
        <v>-23.567356</v>
      </c>
      <c r="C13412" s="40" t="n">
        <v>-46.540199</v>
      </c>
      <c r="D13412" s="40" t="n">
        <v>261</v>
      </c>
      <c r="E13412" s="41" t="n">
        <v>6406.6924</v>
      </c>
    </row>
    <row r="13413">
      <c r="A13413" s="42">
        <f>_xlfn.XLOOKUP(81611,Trip[shape_id],Trip[shape_id],"Não encontrado")</f>
        <v/>
      </c>
      <c r="B13413" s="43" t="n">
        <v>-23.567285</v>
      </c>
      <c r="C13413" s="43" t="n">
        <v>-46.54024</v>
      </c>
      <c r="D13413" s="43" t="n">
        <v>262</v>
      </c>
      <c r="E13413" s="44" t="n">
        <v>6415.6006</v>
      </c>
    </row>
    <row r="13414">
      <c r="A13414" s="39">
        <f>_xlfn.XLOOKUP(81611,Trip[shape_id],Trip[shape_id],"Não encontrado")</f>
        <v/>
      </c>
      <c r="B13414" s="40" t="n">
        <v>-23.567235</v>
      </c>
      <c r="C13414" s="40" t="n">
        <v>-46.540282</v>
      </c>
      <c r="D13414" s="40" t="n">
        <v>263</v>
      </c>
      <c r="E13414" s="41" t="n">
        <v>6422.6045</v>
      </c>
    </row>
    <row r="13415">
      <c r="A13415" s="42">
        <f>_xlfn.XLOOKUP(81611,Trip[shape_id],Trip[shape_id],"Não encontrado")</f>
        <v/>
      </c>
      <c r="B13415" s="43" t="n">
        <v>-23.567198</v>
      </c>
      <c r="C13415" s="43" t="n">
        <v>-46.540351</v>
      </c>
      <c r="D13415" s="43" t="n">
        <v>264</v>
      </c>
      <c r="E13415" s="44" t="n">
        <v>6430.7534</v>
      </c>
    </row>
    <row r="13416">
      <c r="A13416" s="39">
        <f>_xlfn.XLOOKUP(81611,Trip[shape_id],Trip[shape_id],"Não encontrado")</f>
        <v/>
      </c>
      <c r="B13416" s="40" t="n">
        <v>-23.567174</v>
      </c>
      <c r="C13416" s="40" t="n">
        <v>-46.54041</v>
      </c>
      <c r="D13416" s="40" t="n">
        <v>265</v>
      </c>
      <c r="E13416" s="41" t="n">
        <v>6437.3364</v>
      </c>
    </row>
    <row r="13417">
      <c r="A13417" s="42">
        <f>_xlfn.XLOOKUP(81611,Trip[shape_id],Trip[shape_id],"Não encontrado")</f>
        <v/>
      </c>
      <c r="B13417" s="43" t="n">
        <v>-23.56729</v>
      </c>
      <c r="C13417" s="43" t="n">
        <v>-46.540711</v>
      </c>
      <c r="D13417" s="43" t="n">
        <v>266</v>
      </c>
      <c r="E13417" s="44" t="n">
        <v>6470.6431</v>
      </c>
    </row>
    <row r="13418">
      <c r="A13418" s="39">
        <f>_xlfn.XLOOKUP(81611,Trip[shape_id],Trip[shape_id],"Não encontrado")</f>
        <v/>
      </c>
      <c r="B13418" s="40" t="n">
        <v>-23.567328</v>
      </c>
      <c r="C13418" s="40" t="n">
        <v>-46.540864</v>
      </c>
      <c r="D13418" s="40" t="n">
        <v>267</v>
      </c>
      <c r="E13418" s="41" t="n">
        <v>6486.8198</v>
      </c>
    </row>
    <row r="13419">
      <c r="A13419" s="42">
        <f>_xlfn.XLOOKUP(81611,Trip[shape_id],Trip[shape_id],"Não encontrado")</f>
        <v/>
      </c>
      <c r="B13419" s="43" t="n">
        <v>-23.567352</v>
      </c>
      <c r="C13419" s="43" t="n">
        <v>-46.541015</v>
      </c>
      <c r="D13419" s="43" t="n">
        <v>268</v>
      </c>
      <c r="E13419" s="44" t="n">
        <v>6502.4624</v>
      </c>
    </row>
    <row r="13420">
      <c r="A13420" s="39">
        <f>_xlfn.XLOOKUP(81611,Trip[shape_id],Trip[shape_id],"Não encontrado")</f>
        <v/>
      </c>
      <c r="B13420" s="40" t="n">
        <v>-23.567362</v>
      </c>
      <c r="C13420" s="40" t="n">
        <v>-46.541103</v>
      </c>
      <c r="D13420" s="40" t="n">
        <v>269</v>
      </c>
      <c r="E13420" s="41" t="n">
        <v>6511.5146</v>
      </c>
    </row>
    <row r="13421">
      <c r="A13421" s="42">
        <f>_xlfn.XLOOKUP(81611,Trip[shape_id],Trip[shape_id],"Não encontrado")</f>
        <v/>
      </c>
      <c r="B13421" s="43" t="n">
        <v>-23.56737</v>
      </c>
      <c r="C13421" s="43" t="n">
        <v>-46.541221</v>
      </c>
      <c r="D13421" s="43" t="n">
        <v>270</v>
      </c>
      <c r="E13421" s="44" t="n">
        <v>6523.5933</v>
      </c>
    </row>
    <row r="13422">
      <c r="A13422" s="39">
        <f>_xlfn.XLOOKUP(81611,Trip[shape_id],Trip[shape_id],"Não encontrado")</f>
        <v/>
      </c>
      <c r="B13422" s="40" t="n">
        <v>-23.567366</v>
      </c>
      <c r="C13422" s="40" t="n">
        <v>-46.541335</v>
      </c>
      <c r="D13422" s="40" t="n">
        <v>271</v>
      </c>
      <c r="E13422" s="41" t="n">
        <v>6535.2397</v>
      </c>
    </row>
    <row r="13423">
      <c r="A13423" s="42">
        <f>_xlfn.XLOOKUP(81611,Trip[shape_id],Trip[shape_id],"Não encontrado")</f>
        <v/>
      </c>
      <c r="B13423" s="43" t="n">
        <v>-23.567351</v>
      </c>
      <c r="C13423" s="43" t="n">
        <v>-46.541517</v>
      </c>
      <c r="D13423" s="43" t="n">
        <v>272</v>
      </c>
      <c r="E13423" s="44" t="n">
        <v>6553.894</v>
      </c>
    </row>
    <row r="13424">
      <c r="A13424" s="39">
        <f>_xlfn.XLOOKUP(81611,Trip[shape_id],Trip[shape_id],"Não encontrado")</f>
        <v/>
      </c>
      <c r="B13424" s="40" t="n">
        <v>-23.567333</v>
      </c>
      <c r="C13424" s="40" t="n">
        <v>-46.541773</v>
      </c>
      <c r="D13424" s="40" t="n">
        <v>273</v>
      </c>
      <c r="E13424" s="41" t="n">
        <v>6580.105</v>
      </c>
    </row>
    <row r="13425">
      <c r="A13425" s="42">
        <f>_xlfn.XLOOKUP(81611,Trip[shape_id],Trip[shape_id],"Não encontrado")</f>
        <v/>
      </c>
      <c r="B13425" s="43" t="n">
        <v>-23.567089</v>
      </c>
      <c r="C13425" s="43" t="n">
        <v>-46.541758</v>
      </c>
      <c r="D13425" s="43" t="n">
        <v>274</v>
      </c>
      <c r="E13425" s="44" t="n">
        <v>6607.1719</v>
      </c>
    </row>
    <row r="13426">
      <c r="A13426" s="39">
        <f>_xlfn.XLOOKUP(81611,Trip[shape_id],Trip[shape_id],"Não encontrado")</f>
        <v/>
      </c>
      <c r="B13426" s="40" t="n">
        <v>-23.566673</v>
      </c>
      <c r="C13426" s="40" t="n">
        <v>-46.541746</v>
      </c>
      <c r="D13426" s="40" t="n">
        <v>275</v>
      </c>
      <c r="E13426" s="41" t="n">
        <v>6653.2612</v>
      </c>
    </row>
    <row r="13427">
      <c r="A13427" s="42">
        <f>_xlfn.XLOOKUP(81611,Trip[shape_id],Trip[shape_id],"Não encontrado")</f>
        <v/>
      </c>
      <c r="B13427" s="43" t="n">
        <v>-23.566455</v>
      </c>
      <c r="C13427" s="43" t="n">
        <v>-46.541754</v>
      </c>
      <c r="D13427" s="43" t="n">
        <v>276</v>
      </c>
      <c r="E13427" s="44" t="n">
        <v>6677.4189</v>
      </c>
    </row>
    <row r="13428">
      <c r="A13428" s="39">
        <f>_xlfn.XLOOKUP(81611,Trip[shape_id],Trip[shape_id],"Não encontrado")</f>
        <v/>
      </c>
      <c r="B13428" s="40" t="n">
        <v>-23.56609</v>
      </c>
      <c r="C13428" s="40" t="n">
        <v>-46.541806</v>
      </c>
      <c r="D13428" s="40" t="n">
        <v>277</v>
      </c>
      <c r="E13428" s="41" t="n">
        <v>6718.1904</v>
      </c>
    </row>
    <row r="13429">
      <c r="A13429" s="42">
        <f>_xlfn.XLOOKUP(81611,Trip[shape_id],Trip[shape_id],"Não encontrado")</f>
        <v/>
      </c>
      <c r="B13429" s="43" t="n">
        <v>-23.565879</v>
      </c>
      <c r="C13429" s="43" t="n">
        <v>-46.541858</v>
      </c>
      <c r="D13429" s="43" t="n">
        <v>278</v>
      </c>
      <c r="E13429" s="44" t="n">
        <v>6742.1543</v>
      </c>
    </row>
    <row r="13430">
      <c r="A13430" s="39">
        <f>_xlfn.XLOOKUP(81611,Trip[shape_id],Trip[shape_id],"Não encontrado")</f>
        <v/>
      </c>
      <c r="B13430" s="40" t="n">
        <v>-23.565826</v>
      </c>
      <c r="C13430" s="40" t="n">
        <v>-46.54188</v>
      </c>
      <c r="D13430" s="40" t="n">
        <v>279</v>
      </c>
      <c r="E13430" s="41" t="n">
        <v>6748.439</v>
      </c>
    </row>
    <row r="13431">
      <c r="A13431" s="42">
        <f>_xlfn.XLOOKUP(81611,Trip[shape_id],Trip[shape_id],"Não encontrado")</f>
        <v/>
      </c>
      <c r="B13431" s="43" t="n">
        <v>-23.565638</v>
      </c>
      <c r="C13431" s="43" t="n">
        <v>-46.541962</v>
      </c>
      <c r="D13431" s="43" t="n">
        <v>280</v>
      </c>
      <c r="E13431" s="44" t="n">
        <v>6770.8799</v>
      </c>
    </row>
    <row r="13432">
      <c r="A13432" s="39">
        <f>_xlfn.XLOOKUP(81611,Trip[shape_id],Trip[shape_id],"Não encontrado")</f>
        <v/>
      </c>
      <c r="B13432" s="40" t="n">
        <v>-23.565499</v>
      </c>
      <c r="C13432" s="40" t="n">
        <v>-46.542044</v>
      </c>
      <c r="D13432" s="40" t="n">
        <v>281</v>
      </c>
      <c r="E13432" s="41" t="n">
        <v>6788.4033</v>
      </c>
    </row>
    <row r="13433">
      <c r="A13433" s="42">
        <f>_xlfn.XLOOKUP(81611,Trip[shape_id],Trip[shape_id],"Não encontrado")</f>
        <v/>
      </c>
      <c r="B13433" s="43" t="n">
        <v>-23.565118</v>
      </c>
      <c r="C13433" s="43" t="n">
        <v>-46.542249</v>
      </c>
      <c r="D13433" s="43" t="n">
        <v>282</v>
      </c>
      <c r="E13433" s="44" t="n">
        <v>6835.5049</v>
      </c>
    </row>
    <row r="13434">
      <c r="A13434" s="39">
        <f>_xlfn.XLOOKUP(81611,Trip[shape_id],Trip[shape_id],"Não encontrado")</f>
        <v/>
      </c>
      <c r="B13434" s="40" t="n">
        <v>-23.564865</v>
      </c>
      <c r="C13434" s="40" t="n">
        <v>-46.542407</v>
      </c>
      <c r="D13434" s="40" t="n">
        <v>283</v>
      </c>
      <c r="E13434" s="41" t="n">
        <v>6867.8364</v>
      </c>
    </row>
    <row r="13435">
      <c r="A13435" s="42">
        <f>_xlfn.XLOOKUP(81611,Trip[shape_id],Trip[shape_id],"Não encontrado")</f>
        <v/>
      </c>
      <c r="B13435" s="43" t="n">
        <v>-23.564345</v>
      </c>
      <c r="C13435" s="43" t="n">
        <v>-46.542782</v>
      </c>
      <c r="D13435" s="43" t="n">
        <v>284</v>
      </c>
      <c r="E13435" s="44" t="n">
        <v>6936.9912</v>
      </c>
    </row>
    <row r="13436">
      <c r="A13436" s="39">
        <f>_xlfn.XLOOKUP(81611,Trip[shape_id],Trip[shape_id],"Não encontrado")</f>
        <v/>
      </c>
      <c r="B13436" s="40" t="n">
        <v>-23.564227</v>
      </c>
      <c r="C13436" s="40" t="n">
        <v>-46.542821</v>
      </c>
      <c r="D13436" s="40" t="n">
        <v>285</v>
      </c>
      <c r="E13436" s="41" t="n">
        <v>6975.4082</v>
      </c>
    </row>
    <row r="13437">
      <c r="A13437" s="42">
        <f>_xlfn.XLOOKUP(81611,Trip[shape_id],Trip[shape_id],"Não encontrado")</f>
        <v/>
      </c>
      <c r="B13437" s="43" t="n">
        <v>-23.564016</v>
      </c>
      <c r="C13437" s="43" t="n">
        <v>-46.542901</v>
      </c>
      <c r="D13437" s="43" t="n">
        <v>286</v>
      </c>
      <c r="E13437" s="44" t="n">
        <v>6992.3574</v>
      </c>
    </row>
    <row r="13438">
      <c r="A13438" s="39">
        <f>_xlfn.XLOOKUP(81611,Trip[shape_id],Trip[shape_id],"Não encontrado")</f>
        <v/>
      </c>
      <c r="B13438" s="40" t="n">
        <v>-23.563865</v>
      </c>
      <c r="C13438" s="40" t="n">
        <v>-46.542928</v>
      </c>
      <c r="D13438" s="40" t="n">
        <v>287</v>
      </c>
      <c r="E13438" s="41" t="n">
        <v>6997.5986</v>
      </c>
    </row>
    <row r="13439">
      <c r="A13439" s="42">
        <f>_xlfn.XLOOKUP(81611,Trip[shape_id],Trip[shape_id],"Não encontrado")</f>
        <v/>
      </c>
      <c r="B13439" s="43" t="n">
        <v>-23.563818</v>
      </c>
      <c r="C13439" s="43" t="n">
        <v>-46.542934</v>
      </c>
      <c r="D13439" s="43" t="n">
        <v>288</v>
      </c>
      <c r="E13439" s="44" t="n">
        <v>7013.248</v>
      </c>
    </row>
    <row r="13440">
      <c r="A13440" s="39">
        <f>_xlfn.XLOOKUP(81611,Trip[shape_id],Trip[shape_id],"Não encontrado")</f>
        <v/>
      </c>
      <c r="B13440" s="40" t="n">
        <v>-23.563677</v>
      </c>
      <c r="C13440" s="40" t="n">
        <v>-46.542944</v>
      </c>
      <c r="D13440" s="40" t="n">
        <v>289</v>
      </c>
      <c r="E13440" s="41" t="n">
        <v>7018.9106</v>
      </c>
    </row>
    <row r="13441">
      <c r="A13441" s="42">
        <f>_xlfn.XLOOKUP(81611,Trip[shape_id],Trip[shape_id],"Não encontrado")</f>
        <v/>
      </c>
      <c r="B13441" s="43" t="n">
        <v>-23.563626</v>
      </c>
      <c r="C13441" s="43" t="n">
        <v>-46.54294</v>
      </c>
      <c r="D13441" s="43" t="n">
        <v>290</v>
      </c>
      <c r="E13441" s="44" t="n">
        <v>7053.8789</v>
      </c>
    </row>
    <row r="13442">
      <c r="A13442" s="39">
        <f>_xlfn.XLOOKUP(81611,Trip[shape_id],Trip[shape_id],"Não encontrado")</f>
        <v/>
      </c>
      <c r="B13442" s="40" t="n">
        <v>-23.563316</v>
      </c>
      <c r="C13442" s="40" t="n">
        <v>-46.542875</v>
      </c>
      <c r="D13442" s="40" t="n">
        <v>291</v>
      </c>
      <c r="E13442" s="41" t="n">
        <v>7053.8789</v>
      </c>
    </row>
    <row r="13443">
      <c r="A13443" s="42">
        <f>_xlfn.XLOOKUP(81611,Trip[shape_id],Trip[shape_id],"Não encontrado")</f>
        <v/>
      </c>
      <c r="B13443" s="43" t="n">
        <v>-23.563148</v>
      </c>
      <c r="C13443" s="43" t="n">
        <v>-46.542743</v>
      </c>
      <c r="D13443" s="43" t="n">
        <v>292</v>
      </c>
      <c r="E13443" s="44" t="n">
        <v>7085.1992</v>
      </c>
    </row>
    <row r="13444">
      <c r="A13444" s="39">
        <f>_xlfn.XLOOKUP(81611,Trip[shape_id],Trip[shape_id],"Não encontrado")</f>
        <v/>
      </c>
      <c r="B13444" s="40" t="n">
        <v>-23.563087</v>
      </c>
      <c r="C13444" s="40" t="n">
        <v>-46.542695</v>
      </c>
      <c r="D13444" s="40" t="n">
        <v>293</v>
      </c>
      <c r="E13444" s="41" t="n">
        <v>7098.5654</v>
      </c>
    </row>
    <row r="13445">
      <c r="A13445" s="42">
        <f>_xlfn.XLOOKUP(81611,Trip[shape_id],Trip[shape_id],"Não encontrado")</f>
        <v/>
      </c>
      <c r="B13445" s="43" t="n">
        <v>-23.563003</v>
      </c>
      <c r="C13445" s="43" t="n">
        <v>-46.542601</v>
      </c>
      <c r="D13445" s="43" t="n">
        <v>294</v>
      </c>
      <c r="E13445" s="44" t="n">
        <v>7098.5654</v>
      </c>
    </row>
    <row r="13446">
      <c r="A13446" s="39">
        <f>_xlfn.XLOOKUP(81611,Trip[shape_id],Trip[shape_id],"Não encontrado")</f>
        <v/>
      </c>
      <c r="B13446" s="40" t="n">
        <v>-23.562952</v>
      </c>
      <c r="C13446" s="40" t="n">
        <v>-46.54249</v>
      </c>
      <c r="D13446" s="40" t="n">
        <v>295</v>
      </c>
      <c r="E13446" s="41" t="n">
        <v>7127.915</v>
      </c>
    </row>
    <row r="13447">
      <c r="A13447" s="42">
        <f>_xlfn.XLOOKUP(81611,Trip[shape_id],Trip[shape_id],"Não encontrado")</f>
        <v/>
      </c>
      <c r="B13447" s="43" t="n">
        <v>-23.562835</v>
      </c>
      <c r="C13447" s="43" t="n">
        <v>-46.542387</v>
      </c>
      <c r="D13447" s="43" t="n">
        <v>296</v>
      </c>
      <c r="E13447" s="44" t="n">
        <v>7258.2085</v>
      </c>
    </row>
    <row r="13448">
      <c r="A13448" s="39">
        <f>_xlfn.XLOOKUP(81611,Trip[shape_id],Trip[shape_id],"Não encontrado")</f>
        <v/>
      </c>
      <c r="B13448" s="40" t="n">
        <v>-23.56197</v>
      </c>
      <c r="C13448" s="40" t="n">
        <v>-46.541522</v>
      </c>
      <c r="D13448" s="40" t="n">
        <v>297</v>
      </c>
      <c r="E13448" s="41" t="n">
        <v>7277.5029</v>
      </c>
    </row>
    <row r="13449">
      <c r="A13449" s="42">
        <f>_xlfn.XLOOKUP(81611,Trip[shape_id],Trip[shape_id],"Não encontrado")</f>
        <v/>
      </c>
      <c r="B13449" s="43" t="n">
        <v>-23.561854</v>
      </c>
      <c r="C13449" s="43" t="n">
        <v>-46.541381</v>
      </c>
      <c r="D13449" s="43" t="n">
        <v>298</v>
      </c>
      <c r="E13449" s="44" t="n">
        <v>7286.8296</v>
      </c>
    </row>
    <row r="13450">
      <c r="A13450" s="39">
        <f>_xlfn.XLOOKUP(81611,Trip[shape_id],Trip[shape_id],"Não encontrado")</f>
        <v/>
      </c>
      <c r="B13450" s="40" t="n">
        <v>-23.561801</v>
      </c>
      <c r="C13450" s="40" t="n">
        <v>-46.54131</v>
      </c>
      <c r="D13450" s="40" t="n">
        <v>299</v>
      </c>
      <c r="E13450" s="41" t="n">
        <v>7303.54</v>
      </c>
    </row>
    <row r="13451">
      <c r="A13451" s="42">
        <f>_xlfn.XLOOKUP(81611,Trip[shape_id],Trip[shape_id],"Não encontrado")</f>
        <v/>
      </c>
      <c r="B13451" s="43" t="n">
        <v>-23.561731</v>
      </c>
      <c r="C13451" s="43" t="n">
        <v>-46.541165</v>
      </c>
      <c r="D13451" s="43" t="n">
        <v>300</v>
      </c>
      <c r="E13451" s="44" t="n">
        <v>7308.269</v>
      </c>
    </row>
    <row r="13452">
      <c r="A13452" s="39">
        <f>_xlfn.XLOOKUP(81611,Trip[shape_id],Trip[shape_id],"Não encontrado")</f>
        <v/>
      </c>
      <c r="B13452" s="40" t="n">
        <v>-23.561726</v>
      </c>
      <c r="C13452" s="40" t="n">
        <v>-46.541119</v>
      </c>
      <c r="D13452" s="40" t="n">
        <v>301</v>
      </c>
      <c r="E13452" s="41" t="n">
        <v>7308.269</v>
      </c>
    </row>
    <row r="13453">
      <c r="A13453" s="42">
        <f>_xlfn.XLOOKUP(81611,Trip[shape_id],Trip[shape_id],"Não encontrado")</f>
        <v/>
      </c>
      <c r="B13453" s="43" t="n">
        <v>-23.561685</v>
      </c>
      <c r="C13453" s="43" t="n">
        <v>-46.540938</v>
      </c>
      <c r="D13453" s="43" t="n">
        <v>302</v>
      </c>
      <c r="E13453" s="44" t="n">
        <v>7336.2783</v>
      </c>
    </row>
    <row r="13454">
      <c r="A13454" s="39">
        <f>_xlfn.XLOOKUP(81611,Trip[shape_id],Trip[shape_id],"Não encontrado")</f>
        <v/>
      </c>
      <c r="B13454" s="40" t="n">
        <v>-23.561673</v>
      </c>
      <c r="C13454" s="40" t="n">
        <v>-46.540851</v>
      </c>
      <c r="D13454" s="40" t="n">
        <v>303</v>
      </c>
      <c r="E13454" s="41" t="n">
        <v>7355.1772</v>
      </c>
    </row>
    <row r="13455">
      <c r="A13455" s="42">
        <f>_xlfn.XLOOKUP(81611,Trip[shape_id],Trip[shape_id],"Não encontrado")</f>
        <v/>
      </c>
      <c r="B13455" s="43" t="n">
        <v>-23.561667</v>
      </c>
      <c r="C13455" s="43" t="n">
        <v>-46.540666</v>
      </c>
      <c r="D13455" s="43" t="n">
        <v>304</v>
      </c>
      <c r="E13455" s="44" t="n">
        <v>7355.1772</v>
      </c>
    </row>
    <row r="13456">
      <c r="A13456" s="39">
        <f>_xlfn.XLOOKUP(81611,Trip[shape_id],Trip[shape_id],"Não encontrado")</f>
        <v/>
      </c>
      <c r="B13456" s="40" t="n">
        <v>-23.561218</v>
      </c>
      <c r="C13456" s="40" t="n">
        <v>-46.540603</v>
      </c>
      <c r="D13456" s="40" t="n">
        <v>305</v>
      </c>
      <c r="E13456" s="41" t="n">
        <v>7405.3188</v>
      </c>
    </row>
    <row r="13457">
      <c r="A13457" s="42">
        <f>_xlfn.XLOOKUP(81611,Trip[shape_id],Trip[shape_id],"Não encontrado")</f>
        <v/>
      </c>
      <c r="B13457" s="43" t="n">
        <v>-23.560936</v>
      </c>
      <c r="C13457" s="43" t="n">
        <v>-46.540715</v>
      </c>
      <c r="D13457" s="43" t="n">
        <v>306</v>
      </c>
      <c r="E13457" s="44" t="n">
        <v>7438.5781</v>
      </c>
    </row>
    <row r="13458">
      <c r="A13458" s="39">
        <f>_xlfn.XLOOKUP(81611,Trip[shape_id],Trip[shape_id],"Não encontrado")</f>
        <v/>
      </c>
      <c r="B13458" s="40" t="n">
        <v>-23.560165</v>
      </c>
      <c r="C13458" s="40" t="n">
        <v>-46.541017</v>
      </c>
      <c r="D13458" s="40" t="n">
        <v>307</v>
      </c>
      <c r="E13458" s="41" t="n">
        <v>7529.3638</v>
      </c>
    </row>
    <row r="13459">
      <c r="A13459" s="42">
        <f>_xlfn.XLOOKUP(81611,Trip[shape_id],Trip[shape_id],"Não encontrado")</f>
        <v/>
      </c>
      <c r="B13459" s="43" t="n">
        <v>-23.559872</v>
      </c>
      <c r="C13459" s="43" t="n">
        <v>-46.541129</v>
      </c>
      <c r="D13459" s="43" t="n">
        <v>308</v>
      </c>
      <c r="E13459" s="44" t="n">
        <v>7563.77</v>
      </c>
    </row>
    <row r="13460">
      <c r="A13460" s="39">
        <f>_xlfn.XLOOKUP(81611,Trip[shape_id],Trip[shape_id],"Não encontrado")</f>
        <v/>
      </c>
      <c r="B13460" s="40" t="n">
        <v>-23.558399</v>
      </c>
      <c r="C13460" s="40" t="n">
        <v>-46.541697</v>
      </c>
      <c r="D13460" s="40" t="n">
        <v>309</v>
      </c>
      <c r="E13460" s="41" t="n">
        <v>7736.9077</v>
      </c>
    </row>
    <row r="13461">
      <c r="A13461" s="42">
        <f>_xlfn.XLOOKUP(81611,Trip[shape_id],Trip[shape_id],"Não encontrado")</f>
        <v/>
      </c>
      <c r="B13461" s="43" t="n">
        <v>-23.558121</v>
      </c>
      <c r="C13461" s="43" t="n">
        <v>-46.541806</v>
      </c>
      <c r="D13461" s="43" t="n">
        <v>310</v>
      </c>
      <c r="E13461" s="44" t="n">
        <v>7769.646</v>
      </c>
    </row>
    <row r="13462">
      <c r="A13462" s="39">
        <f>_xlfn.XLOOKUP(81611,Trip[shape_id],Trip[shape_id],"Não encontrado")</f>
        <v/>
      </c>
      <c r="B13462" s="40" t="n">
        <v>-23.557869</v>
      </c>
      <c r="C13462" s="40" t="n">
        <v>-46.541895</v>
      </c>
      <c r="D13462" s="40" t="n">
        <v>311</v>
      </c>
      <c r="E13462" s="41" t="n">
        <v>7798.9976</v>
      </c>
    </row>
    <row r="13463">
      <c r="A13463" s="42">
        <f>_xlfn.XLOOKUP(81611,Trip[shape_id],Trip[shape_id],"Não encontrado")</f>
        <v/>
      </c>
      <c r="B13463" s="43" t="n">
        <v>-23.557786</v>
      </c>
      <c r="C13463" s="43" t="n">
        <v>-46.541925</v>
      </c>
      <c r="D13463" s="43" t="n">
        <v>312</v>
      </c>
      <c r="E13463" s="44" t="n">
        <v>7808.6865</v>
      </c>
    </row>
    <row r="13464">
      <c r="A13464" s="39">
        <f>_xlfn.XLOOKUP(81611,Trip[shape_id],Trip[shape_id],"Não encontrado")</f>
        <v/>
      </c>
      <c r="B13464" s="40" t="n">
        <v>-23.557741</v>
      </c>
      <c r="C13464" s="40" t="n">
        <v>-46.541943</v>
      </c>
      <c r="D13464" s="40" t="n">
        <v>313</v>
      </c>
      <c r="E13464" s="41" t="n">
        <v>7813.999</v>
      </c>
    </row>
    <row r="13465">
      <c r="A13465" s="42">
        <f>_xlfn.XLOOKUP(81611,Trip[shape_id],Trip[shape_id],"Não encontrado")</f>
        <v/>
      </c>
      <c r="B13465" s="43" t="n">
        <v>-23.557497</v>
      </c>
      <c r="C13465" s="43" t="n">
        <v>-46.542039</v>
      </c>
      <c r="D13465" s="43" t="n">
        <v>314</v>
      </c>
      <c r="E13465" s="44" t="n">
        <v>7842.7451</v>
      </c>
    </row>
    <row r="13466">
      <c r="A13466" s="39">
        <f>_xlfn.XLOOKUP(81611,Trip[shape_id],Trip[shape_id],"Não encontrado")</f>
        <v/>
      </c>
      <c r="B13466" s="40" t="n">
        <v>-23.556188</v>
      </c>
      <c r="C13466" s="40" t="n">
        <v>-46.542556</v>
      </c>
      <c r="D13466" s="40" t="n">
        <v>315</v>
      </c>
      <c r="E13466" s="41" t="n">
        <v>7997.0298</v>
      </c>
    </row>
    <row r="13467">
      <c r="A13467" s="42">
        <f>_xlfn.XLOOKUP(81611,Trip[shape_id],Trip[shape_id],"Não encontrado")</f>
        <v/>
      </c>
      <c r="B13467" s="43" t="n">
        <v>-23.55575</v>
      </c>
      <c r="C13467" s="43" t="n">
        <v>-46.542721</v>
      </c>
      <c r="D13467" s="43" t="n">
        <v>316</v>
      </c>
      <c r="E13467" s="44" t="n">
        <v>8048.3809</v>
      </c>
    </row>
    <row r="13468">
      <c r="A13468" s="39">
        <f>_xlfn.XLOOKUP(81611,Trip[shape_id],Trip[shape_id],"Não encontrado")</f>
        <v/>
      </c>
      <c r="B13468" s="40" t="n">
        <v>-23.555658</v>
      </c>
      <c r="C13468" s="40" t="n">
        <v>-46.5427</v>
      </c>
      <c r="D13468" s="40" t="n">
        <v>317</v>
      </c>
      <c r="E13468" s="41" t="n">
        <v>8058.7935</v>
      </c>
    </row>
    <row r="13469">
      <c r="A13469" s="42">
        <f>_xlfn.XLOOKUP(81611,Trip[shape_id],Trip[shape_id],"Não encontrado")</f>
        <v/>
      </c>
      <c r="B13469" s="43" t="n">
        <v>-23.555626</v>
      </c>
      <c r="C13469" s="43" t="n">
        <v>-46.542773</v>
      </c>
      <c r="D13469" s="43" t="n">
        <v>318</v>
      </c>
      <c r="E13469" s="44" t="n">
        <v>8067.0464</v>
      </c>
    </row>
    <row r="13470">
      <c r="A13470" s="39">
        <f>_xlfn.XLOOKUP(81611,Trip[shape_id],Trip[shape_id],"Não encontrado")</f>
        <v/>
      </c>
      <c r="B13470" s="40" t="n">
        <v>-23.5555</v>
      </c>
      <c r="C13470" s="40" t="n">
        <v>-46.542824</v>
      </c>
      <c r="D13470" s="40" t="n">
        <v>319</v>
      </c>
      <c r="E13470" s="41" t="n">
        <v>8081.9409</v>
      </c>
    </row>
    <row r="13471">
      <c r="A13471" s="42">
        <f>_xlfn.XLOOKUP(81611,Trip[shape_id],Trip[shape_id],"Não encontrado")</f>
        <v/>
      </c>
      <c r="B13471" s="43" t="n">
        <v>-23.555349</v>
      </c>
      <c r="C13471" s="43" t="n">
        <v>-46.542882</v>
      </c>
      <c r="D13471" s="43" t="n">
        <v>320</v>
      </c>
      <c r="E13471" s="44" t="n">
        <v>8099.6821</v>
      </c>
    </row>
    <row r="13472">
      <c r="A13472" s="39">
        <f>_xlfn.XLOOKUP(81611,Trip[shape_id],Trip[shape_id],"Não encontrado")</f>
        <v/>
      </c>
      <c r="B13472" s="40" t="n">
        <v>-23.55517</v>
      </c>
      <c r="C13472" s="40" t="n">
        <v>-46.542957</v>
      </c>
      <c r="D13472" s="40" t="n">
        <v>321</v>
      </c>
      <c r="E13472" s="41" t="n">
        <v>8120.9341</v>
      </c>
    </row>
    <row r="13473">
      <c r="A13473" s="42">
        <f>_xlfn.XLOOKUP(81611,Trip[shape_id],Trip[shape_id],"Não encontrado")</f>
        <v/>
      </c>
      <c r="B13473" s="43" t="n">
        <v>-23.554954</v>
      </c>
      <c r="C13473" s="43" t="n">
        <v>-46.543033</v>
      </c>
      <c r="D13473" s="43" t="n">
        <v>322</v>
      </c>
      <c r="E13473" s="44" t="n">
        <v>8146.0835</v>
      </c>
    </row>
    <row r="13474">
      <c r="A13474" s="39">
        <f>_xlfn.XLOOKUP(81611,Trip[shape_id],Trip[shape_id],"Não encontrado")</f>
        <v/>
      </c>
      <c r="B13474" s="40" t="n">
        <v>-23.553737</v>
      </c>
      <c r="C13474" s="40" t="n">
        <v>-46.543509</v>
      </c>
      <c r="D13474" s="40" t="n">
        <v>323</v>
      </c>
      <c r="E13474" s="41" t="n">
        <v>8289.362300000001</v>
      </c>
    </row>
    <row r="13475">
      <c r="A13475" s="42">
        <f>_xlfn.XLOOKUP(81611,Trip[shape_id],Trip[shape_id],"Não encontrado")</f>
        <v/>
      </c>
      <c r="B13475" s="43" t="n">
        <v>-23.553596</v>
      </c>
      <c r="C13475" s="43" t="n">
        <v>-46.543567</v>
      </c>
      <c r="D13475" s="43" t="n">
        <v>324</v>
      </c>
      <c r="E13475" s="44" t="n">
        <v>8306.0635</v>
      </c>
    </row>
    <row r="13476">
      <c r="A13476" s="39">
        <f>_xlfn.XLOOKUP(81611,Trip[shape_id],Trip[shape_id],"Não encontrado")</f>
        <v/>
      </c>
      <c r="B13476" s="40" t="n">
        <v>-23.553492</v>
      </c>
      <c r="C13476" s="40" t="n">
        <v>-46.543563</v>
      </c>
      <c r="D13476" s="40" t="n">
        <v>325</v>
      </c>
      <c r="E13476" s="41" t="n">
        <v>8317.588900000001</v>
      </c>
    </row>
    <row r="13477">
      <c r="A13477" s="42">
        <f>_xlfn.XLOOKUP(81611,Trip[shape_id],Trip[shape_id],"Não encontrado")</f>
        <v/>
      </c>
      <c r="B13477" s="43" t="n">
        <v>-23.553194</v>
      </c>
      <c r="C13477" s="43" t="n">
        <v>-46.543422</v>
      </c>
      <c r="D13477" s="43" t="n">
        <v>326</v>
      </c>
      <c r="E13477" s="44" t="n">
        <v>8353.5957</v>
      </c>
    </row>
    <row r="13478">
      <c r="A13478" s="39">
        <f>_xlfn.XLOOKUP(81611,Trip[shape_id],Trip[shape_id],"Não encontrado")</f>
        <v/>
      </c>
      <c r="B13478" s="40" t="n">
        <v>-23.553018</v>
      </c>
      <c r="C13478" s="40" t="n">
        <v>-46.543324</v>
      </c>
      <c r="D13478" s="40" t="n">
        <v>327</v>
      </c>
      <c r="E13478" s="41" t="n">
        <v>8375.5059</v>
      </c>
    </row>
    <row r="13479">
      <c r="A13479" s="42">
        <f>_xlfn.XLOOKUP(81611,Trip[shape_id],Trip[shape_id],"Não encontrado")</f>
        <v/>
      </c>
      <c r="B13479" s="43" t="n">
        <v>-23.55208</v>
      </c>
      <c r="C13479" s="43" t="n">
        <v>-46.542834</v>
      </c>
      <c r="D13479" s="43" t="n">
        <v>328</v>
      </c>
      <c r="E13479" s="44" t="n">
        <v>8490.809600000001</v>
      </c>
    </row>
    <row r="13480">
      <c r="A13480" s="39">
        <f>_xlfn.XLOOKUP(81611,Trip[shape_id],Trip[shape_id],"Não encontrado")</f>
        <v/>
      </c>
      <c r="B13480" s="40" t="n">
        <v>-23.551134</v>
      </c>
      <c r="C13480" s="40" t="n">
        <v>-46.542337</v>
      </c>
      <c r="D13480" s="40" t="n">
        <v>329</v>
      </c>
      <c r="E13480" s="41" t="n">
        <v>8607.2227</v>
      </c>
    </row>
    <row r="13481">
      <c r="A13481" s="42">
        <f>_xlfn.XLOOKUP(81611,Trip[shape_id],Trip[shape_id],"Não encontrado")</f>
        <v/>
      </c>
      <c r="B13481" s="43" t="n">
        <v>-23.550196</v>
      </c>
      <c r="C13481" s="43" t="n">
        <v>-46.541853</v>
      </c>
      <c r="D13481" s="43" t="n">
        <v>330</v>
      </c>
      <c r="E13481" s="44" t="n">
        <v>8722.262699999999</v>
      </c>
    </row>
    <row r="13482">
      <c r="A13482" s="39">
        <f>_xlfn.XLOOKUP(81611,Trip[shape_id],Trip[shape_id],"Não encontrado")</f>
        <v/>
      </c>
      <c r="B13482" s="40" t="n">
        <v>-23.549693</v>
      </c>
      <c r="C13482" s="40" t="n">
        <v>-46.541586</v>
      </c>
      <c r="D13482" s="40" t="n">
        <v>331</v>
      </c>
      <c r="E13482" s="41" t="n">
        <v>8784.2832</v>
      </c>
    </row>
    <row r="13483">
      <c r="A13483" s="42">
        <f>_xlfn.XLOOKUP(81611,Trip[shape_id],Trip[shape_id],"Não encontrado")</f>
        <v/>
      </c>
      <c r="B13483" s="43" t="n">
        <v>-23.549261</v>
      </c>
      <c r="C13483" s="43" t="n">
        <v>-46.541358</v>
      </c>
      <c r="D13483" s="43" t="n">
        <v>332</v>
      </c>
      <c r="E13483" s="44" t="n">
        <v>8837.4912</v>
      </c>
    </row>
    <row r="13484">
      <c r="A13484" s="39">
        <f>_xlfn.XLOOKUP(81611,Trip[shape_id],Trip[shape_id],"Não encontrado")</f>
        <v/>
      </c>
      <c r="B13484" s="40" t="n">
        <v>-23.548317</v>
      </c>
      <c r="C13484" s="40" t="n">
        <v>-46.540856</v>
      </c>
      <c r="D13484" s="40" t="n">
        <v>333</v>
      </c>
      <c r="E13484" s="41" t="n">
        <v>8953.9287</v>
      </c>
    </row>
    <row r="13485">
      <c r="A13485" s="42">
        <f>_xlfn.XLOOKUP(81611,Trip[shape_id],Trip[shape_id],"Não encontrado")</f>
        <v/>
      </c>
      <c r="B13485" s="43" t="n">
        <v>-23.547329</v>
      </c>
      <c r="C13485" s="43" t="n">
        <v>-46.540328</v>
      </c>
      <c r="D13485" s="43" t="n">
        <v>334</v>
      </c>
      <c r="E13485" s="44" t="n">
        <v>9075.911099999999</v>
      </c>
    </row>
    <row r="13486">
      <c r="A13486" s="39">
        <f>_xlfn.XLOOKUP(81611,Trip[shape_id],Trip[shape_id],"Não encontrado")</f>
        <v/>
      </c>
      <c r="B13486" s="40" t="n">
        <v>-23.546865</v>
      </c>
      <c r="C13486" s="40" t="n">
        <v>-46.541359</v>
      </c>
      <c r="D13486" s="40" t="n">
        <v>335</v>
      </c>
      <c r="E13486" s="41" t="n">
        <v>9193.054700000001</v>
      </c>
    </row>
    <row r="13487">
      <c r="A13487" s="42">
        <f>_xlfn.XLOOKUP(81611,Trip[shape_id],Trip[shape_id],"Não encontrado")</f>
        <v/>
      </c>
      <c r="B13487" s="43" t="n">
        <v>-23.546626</v>
      </c>
      <c r="C13487" s="43" t="n">
        <v>-46.5419</v>
      </c>
      <c r="D13487" s="43" t="n">
        <v>336</v>
      </c>
      <c r="E13487" s="44" t="n">
        <v>9254.3076</v>
      </c>
    </row>
    <row r="13488">
      <c r="A13488" s="39">
        <f>_xlfn.XLOOKUP(81611,Trip[shape_id],Trip[shape_id],"Não encontrado")</f>
        <v/>
      </c>
      <c r="B13488" s="40" t="n">
        <v>-23.546519</v>
      </c>
      <c r="C13488" s="40" t="n">
        <v>-46.542155</v>
      </c>
      <c r="D13488" s="40" t="n">
        <v>337</v>
      </c>
      <c r="E13488" s="41" t="n">
        <v>9282.9141</v>
      </c>
    </row>
    <row r="13489">
      <c r="A13489" s="42">
        <f>_xlfn.XLOOKUP(81611,Trip[shape_id],Trip[shape_id],"Não encontrado")</f>
        <v/>
      </c>
      <c r="B13489" s="43" t="n">
        <v>-23.546416</v>
      </c>
      <c r="C13489" s="43" t="n">
        <v>-46.542382</v>
      </c>
      <c r="D13489" s="43" t="n">
        <v>338</v>
      </c>
      <c r="E13489" s="44" t="n">
        <v>9308.747100000001</v>
      </c>
    </row>
    <row r="13490">
      <c r="A13490" s="39">
        <f>_xlfn.XLOOKUP(81611,Trip[shape_id],Trip[shape_id],"Não encontrado")</f>
        <v/>
      </c>
      <c r="B13490" s="40" t="n">
        <v>-23.546084</v>
      </c>
      <c r="C13490" s="40" t="n">
        <v>-46.543114</v>
      </c>
      <c r="D13490" s="40" t="n">
        <v>339</v>
      </c>
      <c r="E13490" s="41" t="n">
        <v>9392.043</v>
      </c>
    </row>
    <row r="13491">
      <c r="A13491" s="42">
        <f>_xlfn.XLOOKUP(81611,Trip[shape_id],Trip[shape_id],"Não encontrado")</f>
        <v/>
      </c>
      <c r="B13491" s="43" t="n">
        <v>-23.545951</v>
      </c>
      <c r="C13491" s="43" t="n">
        <v>-46.54341</v>
      </c>
      <c r="D13491" s="43" t="n">
        <v>340</v>
      </c>
      <c r="E13491" s="44" t="n">
        <v>9425.665000000001</v>
      </c>
    </row>
    <row r="13492">
      <c r="A13492" s="39">
        <f>_xlfn.XLOOKUP(81611,Trip[shape_id],Trip[shape_id],"Não encontrado")</f>
        <v/>
      </c>
      <c r="B13492" s="40" t="n">
        <v>-23.545841</v>
      </c>
      <c r="C13492" s="40" t="n">
        <v>-46.543671</v>
      </c>
      <c r="D13492" s="40" t="n">
        <v>341</v>
      </c>
      <c r="E13492" s="41" t="n">
        <v>9454.9678</v>
      </c>
    </row>
    <row r="13493">
      <c r="A13493" s="42">
        <f>_xlfn.XLOOKUP(81611,Trip[shape_id],Trip[shape_id],"Não encontrado")</f>
        <v/>
      </c>
      <c r="B13493" s="43" t="n">
        <v>-23.545813</v>
      </c>
      <c r="C13493" s="43" t="n">
        <v>-46.543732</v>
      </c>
      <c r="D13493" s="43" t="n">
        <v>342</v>
      </c>
      <c r="E13493" s="44" t="n">
        <v>9461.925800000001</v>
      </c>
    </row>
    <row r="13494">
      <c r="A13494" s="39">
        <f>_xlfn.XLOOKUP(81611,Trip[shape_id],Trip[shape_id],"Não encontrado")</f>
        <v/>
      </c>
      <c r="B13494" s="40" t="n">
        <v>-23.545585</v>
      </c>
      <c r="C13494" s="40" t="n">
        <v>-46.544211</v>
      </c>
      <c r="D13494" s="40" t="n">
        <v>343</v>
      </c>
      <c r="E13494" s="41" t="n">
        <v>9516.968800000001</v>
      </c>
    </row>
    <row r="13495">
      <c r="A13495" s="42">
        <f>_xlfn.XLOOKUP(81611,Trip[shape_id],Trip[shape_id],"Não encontrado")</f>
        <v/>
      </c>
      <c r="B13495" s="43" t="n">
        <v>-23.545387</v>
      </c>
      <c r="C13495" s="43" t="n">
        <v>-46.544677</v>
      </c>
      <c r="D13495" s="43" t="n">
        <v>344</v>
      </c>
      <c r="E13495" s="44" t="n">
        <v>9569.3604</v>
      </c>
    </row>
    <row r="13496">
      <c r="A13496" s="39">
        <f>_xlfn.XLOOKUP(81611,Trip[shape_id],Trip[shape_id],"Não encontrado")</f>
        <v/>
      </c>
      <c r="B13496" s="40" t="n">
        <v>-23.545239</v>
      </c>
      <c r="C13496" s="40" t="n">
        <v>-46.545041</v>
      </c>
      <c r="D13496" s="40" t="n">
        <v>345</v>
      </c>
      <c r="E13496" s="41" t="n">
        <v>9609.981400000001</v>
      </c>
    </row>
    <row r="13497">
      <c r="A13497" s="42">
        <f>_xlfn.XLOOKUP(81611,Trip[shape_id],Trip[shape_id],"Não encontrado")</f>
        <v/>
      </c>
      <c r="B13497" s="43" t="n">
        <v>-23.54506</v>
      </c>
      <c r="C13497" s="43" t="n">
        <v>-46.545381</v>
      </c>
      <c r="D13497" s="43" t="n">
        <v>346</v>
      </c>
      <c r="E13497" s="44" t="n">
        <v>9649.959000000001</v>
      </c>
    </row>
    <row r="13498">
      <c r="A13498" s="39">
        <f>_xlfn.XLOOKUP(81611,Trip[shape_id],Trip[shape_id],"Não encontrado")</f>
        <v/>
      </c>
      <c r="B13498" s="40" t="n">
        <v>-23.545004</v>
      </c>
      <c r="C13498" s="40" t="n">
        <v>-46.545469</v>
      </c>
      <c r="D13498" s="40" t="n">
        <v>347</v>
      </c>
      <c r="E13498" s="41" t="n">
        <v>9660.877</v>
      </c>
    </row>
    <row r="13499">
      <c r="A13499" s="42">
        <f>_xlfn.XLOOKUP(81611,Trip[shape_id],Trip[shape_id],"Não encontrado")</f>
        <v/>
      </c>
      <c r="B13499" s="43" t="n">
        <v>-23.544944</v>
      </c>
      <c r="C13499" s="43" t="n">
        <v>-46.545533</v>
      </c>
      <c r="D13499" s="43" t="n">
        <v>348</v>
      </c>
      <c r="E13499" s="44" t="n">
        <v>9670.1973</v>
      </c>
    </row>
    <row r="13500">
      <c r="A13500" s="39">
        <f>_xlfn.XLOOKUP(81611,Trip[shape_id],Trip[shape_id],"Não encontrado")</f>
        <v/>
      </c>
      <c r="B13500" s="40" t="n">
        <v>-23.544556</v>
      </c>
      <c r="C13500" s="40" t="n">
        <v>-46.545821</v>
      </c>
      <c r="D13500" s="40" t="n">
        <v>349</v>
      </c>
      <c r="E13500" s="41" t="n">
        <v>9722.267599999999</v>
      </c>
    </row>
    <row r="13501">
      <c r="A13501" s="42">
        <f>_xlfn.XLOOKUP(81611,Trip[shape_id],Trip[shape_id],"Não encontrado")</f>
        <v/>
      </c>
      <c r="B13501" s="43" t="n">
        <v>-23.544117</v>
      </c>
      <c r="C13501" s="43" t="n">
        <v>-46.546146</v>
      </c>
      <c r="D13501" s="43" t="n">
        <v>350</v>
      </c>
      <c r="E13501" s="44" t="n">
        <v>9781.132799999999</v>
      </c>
    </row>
    <row r="13502">
      <c r="A13502" s="39">
        <f>_xlfn.XLOOKUP(81611,Trip[shape_id],Trip[shape_id],"Não encontrado")</f>
        <v/>
      </c>
      <c r="B13502" s="40" t="n">
        <v>-23.543956</v>
      </c>
      <c r="C13502" s="40" t="n">
        <v>-46.546253</v>
      </c>
      <c r="D13502" s="40" t="n">
        <v>351</v>
      </c>
      <c r="E13502" s="41" t="n">
        <v>9802.044900000001</v>
      </c>
    </row>
    <row r="13503">
      <c r="A13503" s="42">
        <f>_xlfn.XLOOKUP(81611,Trip[shape_id],Trip[shape_id],"Não encontrado")</f>
        <v/>
      </c>
      <c r="B13503" s="43" t="n">
        <v>-23.543497</v>
      </c>
      <c r="C13503" s="43" t="n">
        <v>-46.546597</v>
      </c>
      <c r="D13503" s="43" t="n">
        <v>352</v>
      </c>
      <c r="E13503" s="44" t="n">
        <v>9863.834999999999</v>
      </c>
    </row>
    <row r="13504">
      <c r="A13504" s="39">
        <f>_xlfn.XLOOKUP(81611,Trip[shape_id],Trip[shape_id],"Não encontrado")</f>
        <v/>
      </c>
      <c r="B13504" s="40" t="n">
        <v>-23.543427</v>
      </c>
      <c r="C13504" s="40" t="n">
        <v>-46.546657</v>
      </c>
      <c r="D13504" s="40" t="n">
        <v>353</v>
      </c>
      <c r="E13504" s="41" t="n">
        <v>9873.7158</v>
      </c>
    </row>
    <row r="13505">
      <c r="A13505" s="42">
        <f>_xlfn.XLOOKUP(81611,Trip[shape_id],Trip[shape_id],"Não encontrado")</f>
        <v/>
      </c>
      <c r="B13505" s="43" t="n">
        <v>-23.54334</v>
      </c>
      <c r="C13505" s="43" t="n">
        <v>-46.546769</v>
      </c>
      <c r="D13505" s="43" t="n">
        <v>354</v>
      </c>
      <c r="E13505" s="44" t="n">
        <v>9888.669900000001</v>
      </c>
    </row>
    <row r="13506">
      <c r="A13506" s="39">
        <f>_xlfn.XLOOKUP(81611,Trip[shape_id],Trip[shape_id],"Não encontrado")</f>
        <v/>
      </c>
      <c r="B13506" s="40" t="n">
        <v>-23.54327</v>
      </c>
      <c r="C13506" s="40" t="n">
        <v>-46.54687</v>
      </c>
      <c r="D13506" s="40" t="n">
        <v>355</v>
      </c>
      <c r="E13506" s="41" t="n">
        <v>9901.5723</v>
      </c>
    </row>
    <row r="13507">
      <c r="A13507" s="42">
        <f>_xlfn.XLOOKUP(81611,Trip[shape_id],Trip[shape_id],"Não encontrado")</f>
        <v/>
      </c>
      <c r="B13507" s="43" t="n">
        <v>-23.543191</v>
      </c>
      <c r="C13507" s="43" t="n">
        <v>-46.547059</v>
      </c>
      <c r="D13507" s="43" t="n">
        <v>356</v>
      </c>
      <c r="E13507" s="44" t="n">
        <v>9922.760700000001</v>
      </c>
    </row>
    <row r="13508">
      <c r="A13508" s="39">
        <f>_xlfn.XLOOKUP(81611,Trip[shape_id],Trip[shape_id],"Não encontrado")</f>
        <v/>
      </c>
      <c r="B13508" s="40" t="n">
        <v>-23.542867</v>
      </c>
      <c r="C13508" s="40" t="n">
        <v>-46.54793</v>
      </c>
      <c r="D13508" s="40" t="n">
        <v>357</v>
      </c>
      <c r="E13508" s="41" t="n">
        <v>10018.663</v>
      </c>
    </row>
    <row r="13509">
      <c r="A13509" s="42">
        <f>_xlfn.XLOOKUP(81611,Trip[shape_id],Trip[shape_id],"Não encontrado")</f>
        <v/>
      </c>
      <c r="B13509" s="43" t="n">
        <v>-23.542868</v>
      </c>
      <c r="C13509" s="43" t="n">
        <v>-46.548095</v>
      </c>
      <c r="D13509" s="43" t="n">
        <v>358</v>
      </c>
      <c r="E13509" s="44" t="n">
        <v>10035.512</v>
      </c>
    </row>
    <row r="13510">
      <c r="A13510" s="39">
        <f>_xlfn.XLOOKUP(81611,Trip[shape_id],Trip[shape_id],"Não encontrado")</f>
        <v/>
      </c>
      <c r="B13510" s="40" t="n">
        <v>-23.54277</v>
      </c>
      <c r="C13510" s="40" t="n">
        <v>-46.548106</v>
      </c>
      <c r="D13510" s="40" t="n">
        <v>359</v>
      </c>
      <c r="E13510" s="41" t="n">
        <v>10046.423</v>
      </c>
    </row>
    <row r="13511">
      <c r="A13511" s="42">
        <f>_xlfn.XLOOKUP(81611,Trip[shape_id],Trip[shape_id],"Não encontrado")</f>
        <v/>
      </c>
      <c r="B13511" s="43" t="n">
        <v>-23.542471</v>
      </c>
      <c r="C13511" s="43" t="n">
        <v>-46.548263</v>
      </c>
      <c r="D13511" s="43" t="n">
        <v>360</v>
      </c>
      <c r="E13511" s="44" t="n">
        <v>10083.214</v>
      </c>
    </row>
    <row r="13512">
      <c r="A13512" s="39">
        <f>_xlfn.XLOOKUP(81611,Trip[shape_id],Trip[shape_id],"Não encontrado")</f>
        <v/>
      </c>
      <c r="B13512" s="40" t="n">
        <v>-23.542336</v>
      </c>
      <c r="C13512" s="40" t="n">
        <v>-46.54833</v>
      </c>
      <c r="D13512" s="40" t="n">
        <v>361</v>
      </c>
      <c r="E13512" s="41" t="n">
        <v>10099.656</v>
      </c>
    </row>
    <row r="13513">
      <c r="A13513" s="42">
        <f>_xlfn.XLOOKUP(81611,Trip[shape_id],Trip[shape_id],"Não encontrado")</f>
        <v/>
      </c>
      <c r="B13513" s="43" t="n">
        <v>-23.542134</v>
      </c>
      <c r="C13513" s="43" t="n">
        <v>-46.548563</v>
      </c>
      <c r="D13513" s="43" t="n">
        <v>362</v>
      </c>
      <c r="E13513" s="44" t="n">
        <v>10132.313</v>
      </c>
    </row>
    <row r="13514">
      <c r="A13514" s="39">
        <f>_xlfn.XLOOKUP(81611,Trip[shape_id],Trip[shape_id],"Não encontrado")</f>
        <v/>
      </c>
      <c r="B13514" s="40" t="n">
        <v>-23.541359</v>
      </c>
      <c r="C13514" s="40" t="n">
        <v>-46.549561</v>
      </c>
      <c r="D13514" s="40" t="n">
        <v>363</v>
      </c>
      <c r="E13514" s="41" t="n">
        <v>10265.549</v>
      </c>
    </row>
    <row r="13515">
      <c r="A13515" s="42">
        <f>_xlfn.XLOOKUP(81611,Trip[shape_id],Trip[shape_id],"Não encontrado")</f>
        <v/>
      </c>
      <c r="B13515" s="43" t="n">
        <v>-23.541125</v>
      </c>
      <c r="C13515" s="43" t="n">
        <v>-46.549856</v>
      </c>
      <c r="D13515" s="43" t="n">
        <v>364</v>
      </c>
      <c r="E13515" s="44" t="n">
        <v>10305.285</v>
      </c>
    </row>
    <row r="13516">
      <c r="A13516" s="39">
        <f>_xlfn.XLOOKUP(81611,Trip[shape_id],Trip[shape_id],"Não encontrado")</f>
        <v/>
      </c>
      <c r="B13516" s="40" t="n">
        <v>-23.541028</v>
      </c>
      <c r="C13516" s="40" t="n">
        <v>-46.549949</v>
      </c>
      <c r="D13516" s="40" t="n">
        <v>365</v>
      </c>
      <c r="E13516" s="41" t="n">
        <v>10319.623</v>
      </c>
    </row>
    <row r="13517">
      <c r="A13517" s="42">
        <f>_xlfn.XLOOKUP(81611,Trip[shape_id],Trip[shape_id],"Não encontrado")</f>
        <v/>
      </c>
      <c r="B13517" s="43" t="n">
        <v>-23.54097</v>
      </c>
      <c r="C13517" s="43" t="n">
        <v>-46.550018</v>
      </c>
      <c r="D13517" s="43" t="n">
        <v>366</v>
      </c>
      <c r="E13517" s="44" t="n">
        <v>10329.157</v>
      </c>
    </row>
    <row r="13518">
      <c r="A13518" s="39">
        <f>_xlfn.XLOOKUP(81611,Trip[shape_id],Trip[shape_id],"Não encontrado")</f>
        <v/>
      </c>
      <c r="B13518" s="40" t="n">
        <v>-23.540888</v>
      </c>
      <c r="C13518" s="40" t="n">
        <v>-46.550129</v>
      </c>
      <c r="D13518" s="40" t="n">
        <v>367</v>
      </c>
      <c r="E13518" s="41" t="n">
        <v>10343.681</v>
      </c>
    </row>
    <row r="13519">
      <c r="A13519" s="42">
        <f>_xlfn.XLOOKUP(81611,Trip[shape_id],Trip[shape_id],"Não encontrado")</f>
        <v/>
      </c>
      <c r="B13519" s="43" t="n">
        <v>-23.5408</v>
      </c>
      <c r="C13519" s="43" t="n">
        <v>-46.550316</v>
      </c>
      <c r="D13519" s="43" t="n">
        <v>368</v>
      </c>
      <c r="E13519" s="44" t="n">
        <v>10365.118</v>
      </c>
    </row>
    <row r="13520">
      <c r="A13520" s="39">
        <f>_xlfn.XLOOKUP(81611,Trip[shape_id],Trip[shape_id],"Não encontrado")</f>
        <v/>
      </c>
      <c r="B13520" s="40" t="n">
        <v>-23.540709</v>
      </c>
      <c r="C13520" s="40" t="n">
        <v>-46.550497</v>
      </c>
      <c r="D13520" s="40" t="n">
        <v>369</v>
      </c>
      <c r="E13520" s="41" t="n">
        <v>10386.17</v>
      </c>
    </row>
    <row r="13521">
      <c r="A13521" s="42">
        <f>_xlfn.XLOOKUP(81611,Trip[shape_id],Trip[shape_id],"Não encontrado")</f>
        <v/>
      </c>
      <c r="B13521" s="43" t="n">
        <v>-23.540702</v>
      </c>
      <c r="C13521" s="43" t="n">
        <v>-46.550521</v>
      </c>
      <c r="D13521" s="43" t="n">
        <v>370</v>
      </c>
      <c r="E13521" s="44" t="n">
        <v>10388.74</v>
      </c>
    </row>
    <row r="13522">
      <c r="A13522" s="39">
        <f>_xlfn.XLOOKUP(81611,Trip[shape_id],Trip[shape_id],"Não encontrado")</f>
        <v/>
      </c>
      <c r="B13522" s="40" t="n">
        <v>-23.54049</v>
      </c>
      <c r="C13522" s="40" t="n">
        <v>-46.550966</v>
      </c>
      <c r="D13522" s="40" t="n">
        <v>371</v>
      </c>
      <c r="E13522" s="41" t="n">
        <v>10439.887</v>
      </c>
    </row>
    <row r="13523">
      <c r="A13523" s="42">
        <f>_xlfn.XLOOKUP(81611,Trip[shape_id],Trip[shape_id],"Não encontrado")</f>
        <v/>
      </c>
      <c r="B13523" s="43" t="n">
        <v>-23.540564</v>
      </c>
      <c r="C13523" s="43" t="n">
        <v>-46.551322</v>
      </c>
      <c r="D13523" s="43" t="n">
        <v>372</v>
      </c>
      <c r="E13523" s="44" t="n">
        <v>10477.15</v>
      </c>
    </row>
    <row r="13524">
      <c r="A13524" s="39">
        <f>_xlfn.XLOOKUP(81611,Trip[shape_id],Trip[shape_id],"Não encontrado")</f>
        <v/>
      </c>
      <c r="B13524" s="40" t="n">
        <v>-23.540694</v>
      </c>
      <c r="C13524" s="40" t="n">
        <v>-46.551963</v>
      </c>
      <c r="D13524" s="40" t="n">
        <v>373</v>
      </c>
      <c r="E13524" s="41" t="n">
        <v>10544.168</v>
      </c>
    </row>
    <row r="13525">
      <c r="A13525" s="42">
        <f>_xlfn.XLOOKUP(81611,Trip[shape_id],Trip[shape_id],"Não encontrado")</f>
        <v/>
      </c>
      <c r="B13525" s="43" t="n">
        <v>-23.540765</v>
      </c>
      <c r="C13525" s="43" t="n">
        <v>-46.552331</v>
      </c>
      <c r="D13525" s="43" t="n">
        <v>374</v>
      </c>
      <c r="E13525" s="44" t="n">
        <v>10582.559</v>
      </c>
    </row>
    <row r="13526">
      <c r="A13526" s="39">
        <f>_xlfn.XLOOKUP(81611,Trip[shape_id],Trip[shape_id],"Não encontrado")</f>
        <v/>
      </c>
      <c r="B13526" s="40" t="n">
        <v>-23.540955</v>
      </c>
      <c r="C13526" s="40" t="n">
        <v>-46.553314</v>
      </c>
      <c r="D13526" s="40" t="n">
        <v>375</v>
      </c>
      <c r="E13526" s="41" t="n">
        <v>10685.114</v>
      </c>
    </row>
    <row r="13527">
      <c r="A13527" s="42">
        <f>_xlfn.XLOOKUP(81611,Trip[shape_id],Trip[shape_id],"Não encontrado")</f>
        <v/>
      </c>
      <c r="B13527" s="43" t="n">
        <v>-23.541091</v>
      </c>
      <c r="C13527" s="43" t="n">
        <v>-46.554019</v>
      </c>
      <c r="D13527" s="43" t="n">
        <v>376</v>
      </c>
      <c r="E13527" s="44" t="n">
        <v>10758.66</v>
      </c>
    </row>
    <row r="13528">
      <c r="A13528" s="39">
        <f>_xlfn.XLOOKUP(81611,Trip[shape_id],Trip[shape_id],"Não encontrado")</f>
        <v/>
      </c>
      <c r="B13528" s="40" t="n">
        <v>-23.541246</v>
      </c>
      <c r="C13528" s="40" t="n">
        <v>-46.554823</v>
      </c>
      <c r="D13528" s="40" t="n">
        <v>377</v>
      </c>
      <c r="E13528" s="41" t="n">
        <v>10842.531</v>
      </c>
    </row>
    <row r="13529">
      <c r="A13529" s="42">
        <f>_xlfn.XLOOKUP(81611,Trip[shape_id],Trip[shape_id],"Não encontrado")</f>
        <v/>
      </c>
      <c r="B13529" s="43" t="n">
        <v>-23.541386</v>
      </c>
      <c r="C13529" s="43" t="n">
        <v>-46.555558</v>
      </c>
      <c r="D13529" s="43" t="n">
        <v>378</v>
      </c>
      <c r="E13529" s="44" t="n">
        <v>10919.166</v>
      </c>
    </row>
    <row r="13530">
      <c r="A13530" s="39">
        <f>_xlfn.XLOOKUP(81611,Trip[shape_id],Trip[shape_id],"Não encontrado")</f>
        <v/>
      </c>
      <c r="B13530" s="40" t="n">
        <v>-23.541666</v>
      </c>
      <c r="C13530" s="40" t="n">
        <v>-46.557019</v>
      </c>
      <c r="D13530" s="40" t="n">
        <v>379</v>
      </c>
      <c r="E13530" s="41" t="n">
        <v>11071.536</v>
      </c>
    </row>
    <row r="13531">
      <c r="A13531" s="42">
        <f>_xlfn.XLOOKUP(81611,Trip[shape_id],Trip[shape_id],"Não encontrado")</f>
        <v/>
      </c>
      <c r="B13531" s="43" t="n">
        <v>-23.541868</v>
      </c>
      <c r="C13531" s="43" t="n">
        <v>-46.558074</v>
      </c>
      <c r="D13531" s="43" t="n">
        <v>380</v>
      </c>
      <c r="E13531" s="44" t="n">
        <v>11181.56</v>
      </c>
    </row>
    <row r="13532">
      <c r="A13532" s="39">
        <f>_xlfn.XLOOKUP(81611,Trip[shape_id],Trip[shape_id],"Não encontrado")</f>
        <v/>
      </c>
      <c r="B13532" s="40" t="n">
        <v>-23.541952</v>
      </c>
      <c r="C13532" s="40" t="n">
        <v>-46.558511</v>
      </c>
      <c r="D13532" s="40" t="n">
        <v>381</v>
      </c>
      <c r="E13532" s="41" t="n">
        <v>11227.141</v>
      </c>
    </row>
    <row r="13533">
      <c r="A13533" s="42">
        <f>_xlfn.XLOOKUP(81611,Trip[shape_id],Trip[shape_id],"Não encontrado")</f>
        <v/>
      </c>
      <c r="B13533" s="43" t="n">
        <v>-23.542049</v>
      </c>
      <c r="C13533" s="43" t="n">
        <v>-46.558998</v>
      </c>
      <c r="D13533" s="43" t="n">
        <v>382</v>
      </c>
      <c r="E13533" s="44" t="n">
        <v>11278.015</v>
      </c>
    </row>
    <row r="13534">
      <c r="A13534" s="39">
        <f>_xlfn.XLOOKUP(81611,Trip[shape_id],Trip[shape_id],"Não encontrado")</f>
        <v/>
      </c>
      <c r="B13534" s="40" t="n">
        <v>-23.54208</v>
      </c>
      <c r="C13534" s="40" t="n">
        <v>-46.559133</v>
      </c>
      <c r="D13534" s="40" t="n">
        <v>383</v>
      </c>
      <c r="E13534" s="41" t="n">
        <v>11292.221</v>
      </c>
    </row>
    <row r="13535">
      <c r="A13535" s="42">
        <f>_xlfn.XLOOKUP(81611,Trip[shape_id],Trip[shape_id],"Não encontrado")</f>
        <v/>
      </c>
      <c r="B13535" s="43" t="n">
        <v>-23.542166</v>
      </c>
      <c r="C13535" s="43" t="n">
        <v>-46.559577</v>
      </c>
      <c r="D13535" s="43" t="n">
        <v>384</v>
      </c>
      <c r="E13535" s="44" t="n">
        <v>11338.547</v>
      </c>
    </row>
    <row r="13536">
      <c r="A13536" s="39">
        <f>_xlfn.XLOOKUP(81611,Trip[shape_id],Trip[shape_id],"Não encontrado")</f>
        <v/>
      </c>
      <c r="B13536" s="40" t="n">
        <v>-23.542236</v>
      </c>
      <c r="C13536" s="40" t="n">
        <v>-46.559965</v>
      </c>
      <c r="D13536" s="40" t="n">
        <v>385</v>
      </c>
      <c r="E13536" s="41" t="n">
        <v>11378.916</v>
      </c>
    </row>
    <row r="13537">
      <c r="A13537" s="42">
        <f>_xlfn.XLOOKUP(81611,Trip[shape_id],Trip[shape_id],"Não encontrado")</f>
        <v/>
      </c>
      <c r="B13537" s="43" t="n">
        <v>-23.542438</v>
      </c>
      <c r="C13537" s="43" t="n">
        <v>-46.56098</v>
      </c>
      <c r="D13537" s="43" t="n">
        <v>386</v>
      </c>
      <c r="E13537" s="44" t="n">
        <v>11484.943</v>
      </c>
    </row>
    <row r="13538">
      <c r="A13538" s="39">
        <f>_xlfn.XLOOKUP(81611,Trip[shape_id],Trip[shape_id],"Não encontrado")</f>
        <v/>
      </c>
      <c r="B13538" s="40" t="n">
        <v>-23.542571</v>
      </c>
      <c r="C13538" s="40" t="n">
        <v>-46.561657</v>
      </c>
      <c r="D13538" s="40" t="n">
        <v>387</v>
      </c>
      <c r="E13538" s="41" t="n">
        <v>11555.622</v>
      </c>
    </row>
    <row r="13539">
      <c r="A13539" s="42">
        <f>_xlfn.XLOOKUP(81611,Trip[shape_id],Trip[shape_id],"Não encontrado")</f>
        <v/>
      </c>
      <c r="B13539" s="43" t="n">
        <v>-23.542806</v>
      </c>
      <c r="C13539" s="43" t="n">
        <v>-46.562845</v>
      </c>
      <c r="D13539" s="43" t="n">
        <v>388</v>
      </c>
      <c r="E13539" s="44" t="n">
        <v>11679.688</v>
      </c>
    </row>
    <row r="13540">
      <c r="A13540" s="39">
        <f>_xlfn.XLOOKUP(81611,Trip[shape_id],Trip[shape_id],"Não encontrado")</f>
        <v/>
      </c>
      <c r="B13540" s="40" t="n">
        <v>-23.542963</v>
      </c>
      <c r="C13540" s="40" t="n">
        <v>-46.563626</v>
      </c>
      <c r="D13540" s="40" t="n">
        <v>389</v>
      </c>
      <c r="E13540" s="41" t="n">
        <v>11761.308</v>
      </c>
    </row>
    <row r="13541">
      <c r="A13541" s="42">
        <f>_xlfn.XLOOKUP(81611,Trip[shape_id],Trip[shape_id],"Não encontrado")</f>
        <v/>
      </c>
      <c r="B13541" s="43" t="n">
        <v>-23.54308</v>
      </c>
      <c r="C13541" s="43" t="n">
        <v>-46.564217</v>
      </c>
      <c r="D13541" s="43" t="n">
        <v>390</v>
      </c>
      <c r="E13541" s="44" t="n">
        <v>11823.029</v>
      </c>
    </row>
    <row r="13542">
      <c r="A13542" s="39">
        <f>_xlfn.XLOOKUP(81611,Trip[shape_id],Trip[shape_id],"Não encontrado")</f>
        <v/>
      </c>
      <c r="B13542" s="40" t="n">
        <v>-23.543238</v>
      </c>
      <c r="C13542" s="40" t="n">
        <v>-46.565017</v>
      </c>
      <c r="D13542" s="40" t="n">
        <v>391</v>
      </c>
      <c r="E13542" s="41" t="n">
        <v>11906.568</v>
      </c>
    </row>
    <row r="13543">
      <c r="A13543" s="42">
        <f>_xlfn.XLOOKUP(81611,Trip[shape_id],Trip[shape_id],"Não encontrado")</f>
        <v/>
      </c>
      <c r="B13543" s="43" t="n">
        <v>-23.543398</v>
      </c>
      <c r="C13543" s="43" t="n">
        <v>-46.565801</v>
      </c>
      <c r="D13543" s="43" t="n">
        <v>392</v>
      </c>
      <c r="E13543" s="44" t="n">
        <v>11988.559</v>
      </c>
    </row>
    <row r="13544">
      <c r="A13544" s="39">
        <f>_xlfn.XLOOKUP(81611,Trip[shape_id],Trip[shape_id],"Não encontrado")</f>
        <v/>
      </c>
      <c r="B13544" s="40" t="n">
        <v>-23.543587</v>
      </c>
      <c r="C13544" s="40" t="n">
        <v>-46.566755</v>
      </c>
      <c r="D13544" s="40" t="n">
        <v>393</v>
      </c>
      <c r="E13544" s="41" t="n">
        <v>12088.192</v>
      </c>
    </row>
    <row r="13545">
      <c r="A13545" s="42">
        <f>_xlfn.XLOOKUP(81611,Trip[shape_id],Trip[shape_id],"Não encontrado")</f>
        <v/>
      </c>
      <c r="B13545" s="43" t="n">
        <v>-23.543435</v>
      </c>
      <c r="C13545" s="43" t="n">
        <v>-46.566793</v>
      </c>
      <c r="D13545" s="43" t="n">
        <v>394</v>
      </c>
      <c r="E13545" s="44" t="n">
        <v>12105.468</v>
      </c>
    </row>
    <row r="13546">
      <c r="A13546" s="39">
        <f>_xlfn.XLOOKUP(81611,Trip[shape_id],Trip[shape_id],"Não encontrado")</f>
        <v/>
      </c>
      <c r="B13546" s="40" t="n">
        <v>-23.543386</v>
      </c>
      <c r="C13546" s="40" t="n">
        <v>-46.566803</v>
      </c>
      <c r="D13546" s="40" t="n">
        <v>395</v>
      </c>
      <c r="E13546" s="41" t="n">
        <v>12110.989</v>
      </c>
    </row>
    <row r="13547">
      <c r="A13547" s="42">
        <f>_xlfn.XLOOKUP(81611,Trip[shape_id],Trip[shape_id],"Não encontrado")</f>
        <v/>
      </c>
      <c r="B13547" s="43" t="n">
        <v>-23.543067</v>
      </c>
      <c r="C13547" s="43" t="n">
        <v>-46.566881</v>
      </c>
      <c r="D13547" s="43" t="n">
        <v>396</v>
      </c>
      <c r="E13547" s="44" t="n">
        <v>12147.206</v>
      </c>
    </row>
    <row r="13548">
      <c r="A13548" s="39">
        <f>_xlfn.XLOOKUP(81611,Trip[shape_id],Trip[shape_id],"Não encontrado")</f>
        <v/>
      </c>
      <c r="B13548" s="40" t="n">
        <v>-23.543267</v>
      </c>
      <c r="C13548" s="40" t="n">
        <v>-46.567942</v>
      </c>
      <c r="D13548" s="40" t="n">
        <v>397</v>
      </c>
      <c r="E13548" s="41" t="n">
        <v>12257.783</v>
      </c>
    </row>
    <row r="13549">
      <c r="A13549" s="42">
        <f>_xlfn.XLOOKUP(81611,Trip[shape_id],Trip[shape_id],"Não encontrado")</f>
        <v/>
      </c>
      <c r="B13549" s="43" t="n">
        <v>-23.543566</v>
      </c>
      <c r="C13549" s="43" t="n">
        <v>-46.569443</v>
      </c>
      <c r="D13549" s="43" t="n">
        <v>398</v>
      </c>
      <c r="E13549" s="44" t="n">
        <v>12414.583</v>
      </c>
    </row>
    <row r="13550">
      <c r="A13550" s="39">
        <f>_xlfn.XLOOKUP(81611,Trip[shape_id],Trip[shape_id],"Não encontrado")</f>
        <v/>
      </c>
      <c r="B13550" s="40" t="n">
        <v>-23.543682</v>
      </c>
      <c r="C13550" s="40" t="n">
        <v>-46.570073</v>
      </c>
      <c r="D13550" s="40" t="n">
        <v>399</v>
      </c>
      <c r="E13550" s="41" t="n">
        <v>12480.181</v>
      </c>
    </row>
    <row r="13551">
      <c r="A13551" s="42">
        <f>_xlfn.XLOOKUP(81611,Trip[shape_id],Trip[shape_id],"Não encontrado")</f>
        <v/>
      </c>
      <c r="B13551" s="43" t="n">
        <v>-23.543718</v>
      </c>
      <c r="C13551" s="43" t="n">
        <v>-46.570252</v>
      </c>
      <c r="D13551" s="43" t="n">
        <v>400</v>
      </c>
      <c r="E13551" s="44" t="n">
        <v>12498.888</v>
      </c>
    </row>
    <row r="13552">
      <c r="A13552" s="39">
        <f>_xlfn.XLOOKUP(81611,Trip[shape_id],Trip[shape_id],"Não encontrado")</f>
        <v/>
      </c>
      <c r="B13552" s="40" t="n">
        <v>-23.54374</v>
      </c>
      <c r="C13552" s="40" t="n">
        <v>-46.570326</v>
      </c>
      <c r="D13552" s="40" t="n">
        <v>401</v>
      </c>
      <c r="E13552" s="41" t="n">
        <v>12506.827</v>
      </c>
    </row>
    <row r="13553">
      <c r="A13553" s="42">
        <f>_xlfn.XLOOKUP(81611,Trip[shape_id],Trip[shape_id],"Não encontrado")</f>
        <v/>
      </c>
      <c r="B13553" s="43" t="n">
        <v>-23.543767</v>
      </c>
      <c r="C13553" s="43" t="n">
        <v>-46.570411</v>
      </c>
      <c r="D13553" s="43" t="n">
        <v>402</v>
      </c>
      <c r="E13553" s="44" t="n">
        <v>12516.007</v>
      </c>
    </row>
    <row r="13554">
      <c r="A13554" s="39">
        <f>_xlfn.XLOOKUP(81611,Trip[shape_id],Trip[shape_id],"Não encontrado")</f>
        <v/>
      </c>
      <c r="B13554" s="40" t="n">
        <v>-23.543782</v>
      </c>
      <c r="C13554" s="40" t="n">
        <v>-46.570572</v>
      </c>
      <c r="D13554" s="40" t="n">
        <v>403</v>
      </c>
      <c r="E13554" s="41" t="n">
        <v>12532.53</v>
      </c>
    </row>
    <row r="13555">
      <c r="A13555" s="42">
        <f>_xlfn.XLOOKUP(81611,Trip[shape_id],Trip[shape_id],"Não encontrado")</f>
        <v/>
      </c>
      <c r="B13555" s="43" t="n">
        <v>-23.543844</v>
      </c>
      <c r="C13555" s="43" t="n">
        <v>-46.570895</v>
      </c>
      <c r="D13555" s="43" t="n">
        <v>404</v>
      </c>
      <c r="E13555" s="44" t="n">
        <v>12566.219</v>
      </c>
    </row>
    <row r="13556">
      <c r="A13556" s="39">
        <f>_xlfn.XLOOKUP(81611,Trip[shape_id],Trip[shape_id],"Não encontrado")</f>
        <v/>
      </c>
      <c r="B13556" s="40" t="n">
        <v>-23.543945</v>
      </c>
      <c r="C13556" s="40" t="n">
        <v>-46.571429</v>
      </c>
      <c r="D13556" s="40" t="n">
        <v>405</v>
      </c>
      <c r="E13556" s="41" t="n">
        <v>12621.88</v>
      </c>
    </row>
    <row r="13557">
      <c r="A13557" s="42">
        <f>_xlfn.XLOOKUP(81611,Trip[shape_id],Trip[shape_id],"Não encontrado")</f>
        <v/>
      </c>
      <c r="B13557" s="43" t="n">
        <v>-23.544056</v>
      </c>
      <c r="C13557" s="43" t="n">
        <v>-46.571985</v>
      </c>
      <c r="D13557" s="43" t="n">
        <v>406</v>
      </c>
      <c r="E13557" s="44" t="n">
        <v>12679.967</v>
      </c>
    </row>
    <row r="13558">
      <c r="A13558" s="39">
        <f>_xlfn.XLOOKUP(81611,Trip[shape_id],Trip[shape_id],"Não encontrado")</f>
        <v/>
      </c>
      <c r="B13558" s="40" t="n">
        <v>-23.544125</v>
      </c>
      <c r="C13558" s="40" t="n">
        <v>-46.572333</v>
      </c>
      <c r="D13558" s="40" t="n">
        <v>407</v>
      </c>
      <c r="E13558" s="41" t="n">
        <v>12716.313</v>
      </c>
    </row>
    <row r="13559">
      <c r="A13559" s="42">
        <f>_xlfn.XLOOKUP(81611,Trip[shape_id],Trip[shape_id],"Não encontrado")</f>
        <v/>
      </c>
      <c r="B13559" s="43" t="n">
        <v>-23.544218</v>
      </c>
      <c r="C13559" s="43" t="n">
        <v>-46.572843</v>
      </c>
      <c r="D13559" s="43" t="n">
        <v>408</v>
      </c>
      <c r="E13559" s="44" t="n">
        <v>12769.396</v>
      </c>
    </row>
    <row r="13560">
      <c r="A13560" s="39">
        <f>_xlfn.XLOOKUP(81611,Trip[shape_id],Trip[shape_id],"Não encontrado")</f>
        <v/>
      </c>
      <c r="B13560" s="40" t="n">
        <v>-23.544915</v>
      </c>
      <c r="C13560" s="40" t="n">
        <v>-46.572707</v>
      </c>
      <c r="D13560" s="40" t="n">
        <v>409</v>
      </c>
      <c r="E13560" s="41" t="n">
        <v>12847.828</v>
      </c>
    </row>
    <row r="13561">
      <c r="A13561" s="42">
        <f>_xlfn.XLOOKUP(81611,Trip[shape_id],Trip[shape_id],"Não encontrado")</f>
        <v/>
      </c>
      <c r="B13561" s="43" t="n">
        <v>-23.544948</v>
      </c>
      <c r="C13561" s="43" t="n">
        <v>-46.572875</v>
      </c>
      <c r="D13561" s="43" t="n">
        <v>410</v>
      </c>
      <c r="E13561" s="44" t="n">
        <v>12865.367</v>
      </c>
    </row>
    <row r="13562">
      <c r="A13562" s="39">
        <f>_xlfn.XLOOKUP(81611,Trip[shape_id],Trip[shape_id],"Não encontrado")</f>
        <v/>
      </c>
      <c r="B13562" s="40" t="n">
        <v>-23.54505</v>
      </c>
      <c r="C13562" s="40" t="n">
        <v>-46.573422</v>
      </c>
      <c r="D13562" s="40" t="n">
        <v>411</v>
      </c>
      <c r="E13562" s="41" t="n">
        <v>12922.351</v>
      </c>
    </row>
    <row r="13563">
      <c r="A13563" s="42">
        <f>_xlfn.XLOOKUP(81611,Trip[shape_id],Trip[shape_id],"Não encontrado")</f>
        <v/>
      </c>
      <c r="B13563" s="43" t="n">
        <v>-23.545134</v>
      </c>
      <c r="C13563" s="43" t="n">
        <v>-46.573853</v>
      </c>
      <c r="D13563" s="43" t="n">
        <v>412</v>
      </c>
      <c r="E13563" s="44" t="n">
        <v>12967.331</v>
      </c>
    </row>
    <row r="13564">
      <c r="A13564" s="39">
        <f>_xlfn.XLOOKUP(81611,Trip[shape_id],Trip[shape_id],"Não encontrado")</f>
        <v/>
      </c>
      <c r="B13564" s="40" t="n">
        <v>-23.545168</v>
      </c>
      <c r="C13564" s="40" t="n">
        <v>-46.574035</v>
      </c>
      <c r="D13564" s="40" t="n">
        <v>413</v>
      </c>
      <c r="E13564" s="41" t="n">
        <v>12986.292</v>
      </c>
    </row>
    <row r="13565">
      <c r="A13565" s="42">
        <f>_xlfn.XLOOKUP(81611,Trip[shape_id],Trip[shape_id],"Não encontrado")</f>
        <v/>
      </c>
      <c r="B13565" s="43" t="n">
        <v>-23.545178</v>
      </c>
      <c r="C13565" s="43" t="n">
        <v>-46.574072</v>
      </c>
      <c r="D13565" s="43" t="n">
        <v>414</v>
      </c>
      <c r="E13565" s="44" t="n">
        <v>12990.229</v>
      </c>
    </row>
    <row r="13566">
      <c r="A13566" s="39">
        <f>_xlfn.XLOOKUP(81611,Trip[shape_id],Trip[shape_id],"Não encontrado")</f>
        <v/>
      </c>
      <c r="B13566" s="40" t="n">
        <v>-23.545183</v>
      </c>
      <c r="C13566" s="40" t="n">
        <v>-46.574112</v>
      </c>
      <c r="D13566" s="40" t="n">
        <v>415</v>
      </c>
      <c r="E13566" s="41" t="n">
        <v>12994.35</v>
      </c>
    </row>
    <row r="13567">
      <c r="A13567" s="42">
        <f>_xlfn.XLOOKUP(81611,Trip[shape_id],Trip[shape_id],"Não encontrado")</f>
        <v/>
      </c>
      <c r="B13567" s="43" t="n">
        <v>-23.545237</v>
      </c>
      <c r="C13567" s="43" t="n">
        <v>-46.574395</v>
      </c>
      <c r="D13567" s="43" t="n">
        <v>416</v>
      </c>
      <c r="E13567" s="44" t="n">
        <v>13023.858</v>
      </c>
    </row>
    <row r="13568">
      <c r="A13568" s="39">
        <f>_xlfn.XLOOKUP(81611,Trip[shape_id],Trip[shape_id],"Não encontrado")</f>
        <v/>
      </c>
      <c r="B13568" s="40" t="n">
        <v>-23.545355</v>
      </c>
      <c r="C13568" s="40" t="n">
        <v>-46.575025</v>
      </c>
      <c r="D13568" s="40" t="n">
        <v>417</v>
      </c>
      <c r="E13568" s="41" t="n">
        <v>13089.499</v>
      </c>
    </row>
    <row r="13569">
      <c r="A13569" s="42">
        <f>_xlfn.XLOOKUP(81611,Trip[shape_id],Trip[shape_id],"Não encontrado")</f>
        <v/>
      </c>
      <c r="B13569" s="43" t="n">
        <v>-23.545375</v>
      </c>
      <c r="C13569" s="43" t="n">
        <v>-46.575124</v>
      </c>
      <c r="D13569" s="43" t="n">
        <v>418</v>
      </c>
      <c r="E13569" s="44" t="n">
        <v>13099.848</v>
      </c>
    </row>
    <row r="13570">
      <c r="A13570" s="39">
        <f>_xlfn.XLOOKUP(81611,Trip[shape_id],Trip[shape_id],"Não encontrado")</f>
        <v/>
      </c>
      <c r="B13570" s="40" t="n">
        <v>-23.54539</v>
      </c>
      <c r="C13570" s="40" t="n">
        <v>-46.575198</v>
      </c>
      <c r="D13570" s="40" t="n">
        <v>419</v>
      </c>
      <c r="E13570" s="41" t="n">
        <v>13107.584</v>
      </c>
    </row>
    <row r="13571">
      <c r="A13571" s="42">
        <f>_xlfn.XLOOKUP(81611,Trip[shape_id],Trip[shape_id],"Não encontrado")</f>
        <v/>
      </c>
      <c r="B13571" s="43" t="n">
        <v>-23.545384</v>
      </c>
      <c r="C13571" s="43" t="n">
        <v>-46.575288</v>
      </c>
      <c r="D13571" s="43" t="n">
        <v>420</v>
      </c>
      <c r="E13571" s="44" t="n">
        <v>13116.798</v>
      </c>
    </row>
    <row r="13572">
      <c r="A13572" s="39">
        <f>_xlfn.XLOOKUP(81611,Trip[shape_id],Trip[shape_id],"Não encontrado")</f>
        <v/>
      </c>
      <c r="B13572" s="40" t="n">
        <v>-23.545353</v>
      </c>
      <c r="C13572" s="40" t="n">
        <v>-46.575383</v>
      </c>
      <c r="D13572" s="40" t="n">
        <v>421</v>
      </c>
      <c r="E13572" s="41" t="n">
        <v>13127.087</v>
      </c>
    </row>
    <row r="13573">
      <c r="A13573" s="42">
        <f>_xlfn.XLOOKUP(81611,Trip[shape_id],Trip[shape_id],"Não encontrado")</f>
        <v/>
      </c>
      <c r="B13573" s="43" t="n">
        <v>-23.545347</v>
      </c>
      <c r="C13573" s="43" t="n">
        <v>-46.575398</v>
      </c>
      <c r="D13573" s="43" t="n">
        <v>422</v>
      </c>
      <c r="E13573" s="44" t="n">
        <v>13128.754</v>
      </c>
    </row>
    <row r="13574">
      <c r="A13574" s="39">
        <f>_xlfn.XLOOKUP(81611,Trip[shape_id],Trip[shape_id],"Não encontrado")</f>
        <v/>
      </c>
      <c r="B13574" s="40" t="n">
        <v>-23.545227</v>
      </c>
      <c r="C13574" s="40" t="n">
        <v>-46.57558</v>
      </c>
      <c r="D13574" s="40" t="n">
        <v>423</v>
      </c>
      <c r="E13574" s="41" t="n">
        <v>13151.601</v>
      </c>
    </row>
    <row r="13575">
      <c r="A13575" s="42">
        <f>_xlfn.XLOOKUP(81611,Trip[shape_id],Trip[shape_id],"Não encontrado")</f>
        <v/>
      </c>
      <c r="B13575" s="43" t="n">
        <v>-23.54519</v>
      </c>
      <c r="C13575" s="43" t="n">
        <v>-46.575639</v>
      </c>
      <c r="D13575" s="43" t="n">
        <v>424</v>
      </c>
      <c r="E13575" s="44" t="n">
        <v>13158.887</v>
      </c>
    </row>
    <row r="13576">
      <c r="A13576" s="39">
        <f>_xlfn.XLOOKUP(81611,Trip[shape_id],Trip[shape_id],"Não encontrado")</f>
        <v/>
      </c>
      <c r="B13576" s="40" t="n">
        <v>-23.544686</v>
      </c>
      <c r="C13576" s="40" t="n">
        <v>-46.576471</v>
      </c>
      <c r="D13576" s="40" t="n">
        <v>425</v>
      </c>
      <c r="E13576" s="41" t="n">
        <v>13260.536</v>
      </c>
    </row>
    <row r="13577">
      <c r="A13577" s="42">
        <f>_xlfn.XLOOKUP(81611,Trip[shape_id],Trip[shape_id],"Não encontrado")</f>
        <v/>
      </c>
      <c r="B13577" s="43" t="n">
        <v>-23.544018</v>
      </c>
      <c r="C13577" s="43" t="n">
        <v>-46.576641</v>
      </c>
      <c r="D13577" s="43" t="n">
        <v>426</v>
      </c>
      <c r="E13577" s="44" t="n">
        <v>13336.527</v>
      </c>
    </row>
    <row r="13578">
      <c r="A13578" s="39">
        <f>_xlfn.XLOOKUP(81611,Trip[shape_id],Trip[shape_id],"Não encontrado")</f>
        <v/>
      </c>
      <c r="B13578" s="40" t="n">
        <v>-23.54301</v>
      </c>
      <c r="C13578" s="40" t="n">
        <v>-46.576888</v>
      </c>
      <c r="D13578" s="40" t="n">
        <v>427</v>
      </c>
      <c r="E13578" s="41" t="n">
        <v>13450.979</v>
      </c>
    </row>
    <row r="13579">
      <c r="A13579" s="42">
        <f>_xlfn.XLOOKUP(81611,Trip[shape_id],Trip[shape_id],"Não encontrado")</f>
        <v/>
      </c>
      <c r="B13579" s="43" t="n">
        <v>-23.54252</v>
      </c>
      <c r="C13579" s="43" t="n">
        <v>-46.577004</v>
      </c>
      <c r="D13579" s="43" t="n">
        <v>428</v>
      </c>
      <c r="E13579" s="44" t="n">
        <v>13506.524</v>
      </c>
    </row>
    <row r="13580">
      <c r="A13580" s="39">
        <f>_xlfn.XLOOKUP(81611,Trip[shape_id],Trip[shape_id],"Não encontrado")</f>
        <v/>
      </c>
      <c r="B13580" s="40" t="n">
        <v>-23.542287</v>
      </c>
      <c r="C13580" s="40" t="n">
        <v>-46.57706</v>
      </c>
      <c r="D13580" s="40" t="n">
        <v>429</v>
      </c>
      <c r="E13580" s="41" t="n">
        <v>13532.956</v>
      </c>
    </row>
    <row r="13581">
      <c r="A13581" s="42">
        <f>_xlfn.XLOOKUP(81611,Trip[shape_id],Trip[shape_id],"Não encontrado")</f>
        <v/>
      </c>
      <c r="B13581" s="43" t="n">
        <v>-23.542237</v>
      </c>
      <c r="C13581" s="43" t="n">
        <v>-46.577092</v>
      </c>
      <c r="D13581" s="43" t="n">
        <v>430</v>
      </c>
      <c r="E13581" s="44" t="n">
        <v>13539.386</v>
      </c>
    </row>
    <row r="13582">
      <c r="A13582" s="39">
        <f>_xlfn.XLOOKUP(81611,Trip[shape_id],Trip[shape_id],"Não encontrado")</f>
        <v/>
      </c>
      <c r="B13582" s="40" t="n">
        <v>-23.542224</v>
      </c>
      <c r="C13582" s="40" t="n">
        <v>-46.577119</v>
      </c>
      <c r="D13582" s="40" t="n">
        <v>431</v>
      </c>
      <c r="E13582" s="41" t="n">
        <v>13542.496</v>
      </c>
    </row>
    <row r="13583">
      <c r="A13583" s="42">
        <f>_xlfn.XLOOKUP(81611,Trip[shape_id],Trip[shape_id],"Não encontrado")</f>
        <v/>
      </c>
      <c r="B13583" s="43" t="n">
        <v>-23.542214</v>
      </c>
      <c r="C13583" s="43" t="n">
        <v>-46.577152</v>
      </c>
      <c r="D13583" s="43" t="n">
        <v>432</v>
      </c>
      <c r="E13583" s="44" t="n">
        <v>13546.044</v>
      </c>
    </row>
    <row r="13584">
      <c r="A13584" s="39">
        <f>_xlfn.XLOOKUP(81611,Trip[shape_id],Trip[shape_id],"Não encontrado")</f>
        <v/>
      </c>
      <c r="B13584" s="40" t="n">
        <v>-23.542403</v>
      </c>
      <c r="C13584" s="40" t="n">
        <v>-46.577988</v>
      </c>
      <c r="D13584" s="40" t="n">
        <v>433</v>
      </c>
      <c r="E13584" s="41" t="n">
        <v>13633.936</v>
      </c>
    </row>
    <row r="13585">
      <c r="A13585" s="42">
        <f>_xlfn.XLOOKUP(81611,Trip[shape_id],Trip[shape_id],"Não encontrado")</f>
        <v/>
      </c>
      <c r="B13585" s="43" t="n">
        <v>-23.542355</v>
      </c>
      <c r="C13585" s="43" t="n">
        <v>-46.578038</v>
      </c>
      <c r="D13585" s="43" t="n">
        <v>434</v>
      </c>
      <c r="E13585" s="44" t="n">
        <v>13647.613</v>
      </c>
    </row>
    <row r="13586">
      <c r="A13586" s="39">
        <f>_xlfn.XLOOKUP(81611,Trip[shape_id],Trip[shape_id],"Não encontrado")</f>
        <v/>
      </c>
      <c r="B13586" s="40" t="n">
        <v>-23.542317</v>
      </c>
      <c r="C13586" s="40" t="n">
        <v>-46.578084</v>
      </c>
      <c r="D13586" s="40" t="n">
        <v>435</v>
      </c>
      <c r="E13586" s="41" t="n">
        <v>13672.726</v>
      </c>
    </row>
    <row r="13587">
      <c r="A13587" s="42">
        <f>_xlfn.XLOOKUP(81611,Trip[shape_id],Trip[shape_id],"Não encontrado")</f>
        <v/>
      </c>
      <c r="B13587" s="43" t="n">
        <v>-23.542096</v>
      </c>
      <c r="C13587" s="43" t="n">
        <v>-46.578139</v>
      </c>
      <c r="D13587" s="43" t="n">
        <v>436</v>
      </c>
      <c r="E13587" s="44" t="n">
        <v>13730.848</v>
      </c>
    </row>
    <row r="13588">
      <c r="A13588" s="39">
        <f>_xlfn.XLOOKUP(81611,Trip[shape_id],Trip[shape_id],"Não encontrado")</f>
        <v/>
      </c>
      <c r="B13588" s="40" t="n">
        <v>-23.541583</v>
      </c>
      <c r="C13588" s="40" t="n">
        <v>-46.578259</v>
      </c>
      <c r="D13588" s="40" t="n">
        <v>437</v>
      </c>
      <c r="E13588" s="41" t="n">
        <v>13730.848</v>
      </c>
    </row>
    <row r="13589">
      <c r="A13589" s="42">
        <f>_xlfn.XLOOKUP(81611,Trip[shape_id],Trip[shape_id],"Não encontrado")</f>
        <v/>
      </c>
      <c r="B13589" s="43" t="n">
        <v>-23.541508</v>
      </c>
      <c r="C13589" s="43" t="n">
        <v>-46.578298</v>
      </c>
      <c r="D13589" s="43" t="n">
        <v>438</v>
      </c>
      <c r="E13589" s="44" t="n">
        <v>13740.06</v>
      </c>
    </row>
    <row r="13590">
      <c r="A13590" s="39">
        <f>_xlfn.XLOOKUP(81611,Trip[shape_id],Trip[shape_id],"Não encontrado")</f>
        <v/>
      </c>
      <c r="B13590" s="40" t="n">
        <v>-23.541461</v>
      </c>
      <c r="C13590" s="40" t="n">
        <v>-46.578066</v>
      </c>
      <c r="D13590" s="40" t="n">
        <v>439</v>
      </c>
      <c r="E13590" s="41" t="n">
        <v>13818.979</v>
      </c>
    </row>
    <row r="13591">
      <c r="A13591" s="42">
        <f>_xlfn.XLOOKUP(81611,Trip[shape_id],Trip[shape_id],"Não encontrado")</f>
        <v/>
      </c>
      <c r="B13591" s="43" t="n">
        <v>-23.541273</v>
      </c>
      <c r="C13591" s="43" t="n">
        <v>-46.577571</v>
      </c>
      <c r="D13591" s="43" t="n">
        <v>440</v>
      </c>
      <c r="E13591" s="44" t="n">
        <v>13852.104</v>
      </c>
    </row>
    <row r="13592">
      <c r="A13592" s="39">
        <f>_xlfn.XLOOKUP(81611,Trip[shape_id],Trip[shape_id],"Não encontrado")</f>
        <v/>
      </c>
      <c r="B13592" s="40" t="n">
        <v>-23.541157</v>
      </c>
      <c r="C13592" s="40" t="n">
        <v>-46.577272</v>
      </c>
      <c r="D13592" s="40" t="n">
        <v>441</v>
      </c>
      <c r="E13592" s="41" t="n">
        <v>13852.104</v>
      </c>
    </row>
    <row r="13593">
      <c r="A13593" s="42">
        <f>_xlfn.XLOOKUP(81611,Trip[shape_id],Trip[shape_id],"Não encontrado")</f>
        <v/>
      </c>
      <c r="B13593" s="43" t="n">
        <v>-23.541105</v>
      </c>
      <c r="C13593" s="43" t="n">
        <v>-46.577142</v>
      </c>
      <c r="D13593" s="43" t="n">
        <v>442</v>
      </c>
      <c r="E13593" s="44" t="n">
        <v>13877.745</v>
      </c>
    </row>
    <row r="13594">
      <c r="A13594" s="39">
        <f>_xlfn.XLOOKUP(81611,Trip[shape_id],Trip[shape_id],"Não encontrado")</f>
        <v/>
      </c>
      <c r="B13594" s="40" t="n">
        <v>-23.54108</v>
      </c>
      <c r="C13594" s="40" t="n">
        <v>-46.577036</v>
      </c>
      <c r="D13594" s="40" t="n">
        <v>443</v>
      </c>
      <c r="E13594" s="41" t="n">
        <v>13877.745</v>
      </c>
    </row>
    <row r="13595">
      <c r="A13595" s="42">
        <f>_xlfn.XLOOKUP(81611,Trip[shape_id],Trip[shape_id],"Não encontrado")</f>
        <v/>
      </c>
      <c r="B13595" s="43" t="n">
        <v>-23.54105</v>
      </c>
      <c r="C13595" s="43" t="n">
        <v>-46.576894</v>
      </c>
      <c r="D13595" s="43" t="n">
        <v>444</v>
      </c>
      <c r="E13595" s="44" t="n">
        <v>13892.62</v>
      </c>
    </row>
    <row r="13596">
      <c r="A13596" s="39">
        <f>_xlfn.XLOOKUP(81611,Trip[shape_id],Trip[shape_id],"Não encontrado")</f>
        <v/>
      </c>
      <c r="B13596" s="40" t="n">
        <v>-23.541028</v>
      </c>
      <c r="C13596" s="40" t="n">
        <v>-46.57678</v>
      </c>
      <c r="D13596" s="40" t="n">
        <v>445</v>
      </c>
      <c r="E13596" s="41" t="n">
        <v>13904.513</v>
      </c>
    </row>
    <row r="13597">
      <c r="A13597" s="42">
        <f>_xlfn.XLOOKUP(81611,Trip[shape_id],Trip[shape_id],"Não encontrado")</f>
        <v/>
      </c>
      <c r="B13597" s="43" t="n">
        <v>-23.541013</v>
      </c>
      <c r="C13597" s="43" t="n">
        <v>-46.576704</v>
      </c>
      <c r="D13597" s="43" t="n">
        <v>446</v>
      </c>
      <c r="E13597" s="44" t="n">
        <v>13912.448</v>
      </c>
    </row>
    <row r="13598">
      <c r="A13598" s="39">
        <f>_xlfn.XLOOKUP(81611,Trip[shape_id],Trip[shape_id],"Não encontrado")</f>
        <v/>
      </c>
      <c r="B13598" s="40" t="n">
        <v>-23.540987</v>
      </c>
      <c r="C13598" s="40" t="n">
        <v>-46.576582</v>
      </c>
      <c r="D13598" s="40" t="n">
        <v>447</v>
      </c>
      <c r="E13598" s="41" t="n">
        <v>13925.234</v>
      </c>
    </row>
    <row r="13599">
      <c r="A13599" s="42">
        <f>_xlfn.XLOOKUP(81612,Trip[shape_id],Trip[shape_id],"Não encontrado")</f>
        <v/>
      </c>
      <c r="B13599" s="43" t="n">
        <v>-23.541013</v>
      </c>
      <c r="C13599" s="43" t="n">
        <v>-46.576704</v>
      </c>
      <c r="D13599" s="43" t="n">
        <v>1</v>
      </c>
      <c r="E13599" s="44" t="n">
        <v>12.786122</v>
      </c>
    </row>
    <row r="13600">
      <c r="A13600" s="39">
        <f>_xlfn.XLOOKUP(81612,Trip[shape_id],Trip[shape_id],"Não encontrado")</f>
        <v/>
      </c>
      <c r="B13600" s="40" t="n">
        <v>-23.540987</v>
      </c>
      <c r="C13600" s="40" t="n">
        <v>-46.576582</v>
      </c>
      <c r="D13600" s="40" t="n">
        <v>2</v>
      </c>
      <c r="E13600" s="41" t="n">
        <v>12.786122</v>
      </c>
    </row>
    <row r="13601">
      <c r="A13601" s="42">
        <f>_xlfn.XLOOKUP(81612,Trip[shape_id],Trip[shape_id],"Não encontrado")</f>
        <v/>
      </c>
      <c r="B13601" s="43" t="n">
        <v>-23.540974</v>
      </c>
      <c r="C13601" s="43" t="n">
        <v>-46.576517</v>
      </c>
      <c r="D13601" s="43" t="n">
        <v>3</v>
      </c>
      <c r="E13601" s="44" t="n">
        <v>19.577911</v>
      </c>
    </row>
    <row r="13602">
      <c r="A13602" s="39">
        <f>_xlfn.XLOOKUP(81612,Trip[shape_id],Trip[shape_id],"Não encontrado")</f>
        <v/>
      </c>
      <c r="B13602" s="40" t="n">
        <v>-23.540951</v>
      </c>
      <c r="C13602" s="40" t="n">
        <v>-46.576406</v>
      </c>
      <c r="D13602" s="40" t="n">
        <v>4</v>
      </c>
      <c r="E13602" s="41" t="n">
        <v>31.194759</v>
      </c>
    </row>
    <row r="13603">
      <c r="A13603" s="42">
        <f>_xlfn.XLOOKUP(81612,Trip[shape_id],Trip[shape_id],"Não encontrado")</f>
        <v/>
      </c>
      <c r="B13603" s="43" t="n">
        <v>-23.54094</v>
      </c>
      <c r="C13603" s="43" t="n">
        <v>-46.576349</v>
      </c>
      <c r="D13603" s="43" t="n">
        <v>5</v>
      </c>
      <c r="E13603" s="44" t="n">
        <v>37.141563</v>
      </c>
    </row>
    <row r="13604">
      <c r="A13604" s="39">
        <f>_xlfn.XLOOKUP(81612,Trip[shape_id],Trip[shape_id],"Não encontrado")</f>
        <v/>
      </c>
      <c r="B13604" s="40" t="n">
        <v>-23.54092</v>
      </c>
      <c r="C13604" s="40" t="n">
        <v>-46.576254</v>
      </c>
      <c r="D13604" s="40" t="n">
        <v>6</v>
      </c>
      <c r="E13604" s="41" t="n">
        <v>47.091896</v>
      </c>
    </row>
    <row r="13605">
      <c r="A13605" s="42">
        <f>_xlfn.XLOOKUP(81612,Trip[shape_id],Trip[shape_id],"Não encontrado")</f>
        <v/>
      </c>
      <c r="B13605" s="43" t="n">
        <v>-23.5409</v>
      </c>
      <c r="C13605" s="43" t="n">
        <v>-46.57616</v>
      </c>
      <c r="D13605" s="43" t="n">
        <v>7</v>
      </c>
      <c r="E13605" s="44" t="n">
        <v>56.94278</v>
      </c>
    </row>
    <row r="13606">
      <c r="A13606" s="39">
        <f>_xlfn.XLOOKUP(81612,Trip[shape_id],Trip[shape_id],"Não encontrado")</f>
        <v/>
      </c>
      <c r="B13606" s="40" t="n">
        <v>-23.540876</v>
      </c>
      <c r="C13606" s="40" t="n">
        <v>-46.576038</v>
      </c>
      <c r="D13606" s="40" t="n">
        <v>8</v>
      </c>
      <c r="E13606" s="41" t="n">
        <v>69.680336</v>
      </c>
    </row>
    <row r="13607">
      <c r="A13607" s="42">
        <f>_xlfn.XLOOKUP(81612,Trip[shape_id],Trip[shape_id],"Não encontrado")</f>
        <v/>
      </c>
      <c r="B13607" s="43" t="n">
        <v>-23.540855</v>
      </c>
      <c r="C13607" s="43" t="n">
        <v>-46.575941</v>
      </c>
      <c r="D13607" s="43" t="n">
        <v>9</v>
      </c>
      <c r="E13607" s="44" t="n">
        <v>79.854057</v>
      </c>
    </row>
    <row r="13608">
      <c r="A13608" s="39">
        <f>_xlfn.XLOOKUP(81612,Trip[shape_id],Trip[shape_id],"Não encontrado")</f>
        <v/>
      </c>
      <c r="B13608" s="40" t="n">
        <v>-23.540827</v>
      </c>
      <c r="C13608" s="40" t="n">
        <v>-46.575811</v>
      </c>
      <c r="D13608" s="40" t="n">
        <v>10</v>
      </c>
      <c r="E13608" s="41" t="n">
        <v>93.485817</v>
      </c>
    </row>
    <row r="13609">
      <c r="A13609" s="42">
        <f>_xlfn.XLOOKUP(81612,Trip[shape_id],Trip[shape_id],"Não encontrado")</f>
        <v/>
      </c>
      <c r="B13609" s="43" t="n">
        <v>-23.540807</v>
      </c>
      <c r="C13609" s="43" t="n">
        <v>-46.575694</v>
      </c>
      <c r="D13609" s="43" t="n">
        <v>11</v>
      </c>
      <c r="E13609" s="44" t="n">
        <v>105.63589</v>
      </c>
    </row>
    <row r="13610">
      <c r="A13610" s="39">
        <f>_xlfn.XLOOKUP(81612,Trip[shape_id],Trip[shape_id],"Não encontrado")</f>
        <v/>
      </c>
      <c r="B13610" s="40" t="n">
        <v>-23.540799</v>
      </c>
      <c r="C13610" s="40" t="n">
        <v>-46.575646</v>
      </c>
      <c r="D13610" s="40" t="n">
        <v>12</v>
      </c>
      <c r="E13610" s="41" t="n">
        <v>114.25201</v>
      </c>
    </row>
    <row r="13611">
      <c r="A13611" s="42">
        <f>_xlfn.XLOOKUP(81612,Trip[shape_id],Trip[shape_id],"Não encontrado")</f>
        <v/>
      </c>
      <c r="B13611" s="43" t="n">
        <v>-23.540793</v>
      </c>
      <c r="C13611" s="43" t="n">
        <v>-46.575611</v>
      </c>
      <c r="D13611" s="43" t="n">
        <v>13</v>
      </c>
      <c r="E13611" s="44" t="n">
        <v>118.55302</v>
      </c>
    </row>
    <row r="13612">
      <c r="A13612" s="39">
        <f>_xlfn.XLOOKUP(81612,Trip[shape_id],Trip[shape_id],"Não encontrado")</f>
        <v/>
      </c>
      <c r="B13612" s="40" t="n">
        <v>-23.54079</v>
      </c>
      <c r="C13612" s="40" t="n">
        <v>-46.575569</v>
      </c>
      <c r="D13612" s="40" t="n">
        <v>14</v>
      </c>
      <c r="E13612" s="41" t="n">
        <v>122.23151</v>
      </c>
    </row>
    <row r="13613">
      <c r="A13613" s="42">
        <f>_xlfn.XLOOKUP(81612,Trip[shape_id],Trip[shape_id],"Não encontrado")</f>
        <v/>
      </c>
      <c r="B13613" s="43" t="n">
        <v>-23.540791</v>
      </c>
      <c r="C13613" s="43" t="n">
        <v>-46.575533</v>
      </c>
      <c r="D13613" s="43" t="n">
        <v>15</v>
      </c>
      <c r="E13613" s="44" t="n">
        <v>122.23151</v>
      </c>
    </row>
    <row r="13614">
      <c r="A13614" s="39">
        <f>_xlfn.XLOOKUP(81612,Trip[shape_id],Trip[shape_id],"Não encontrado")</f>
        <v/>
      </c>
      <c r="B13614" s="40" t="n">
        <v>-23.540812</v>
      </c>
      <c r="C13614" s="40" t="n">
        <v>-46.575508</v>
      </c>
      <c r="D13614" s="40" t="n">
        <v>16</v>
      </c>
      <c r="E13614" s="41" t="n">
        <v>125.68533</v>
      </c>
    </row>
    <row r="13615">
      <c r="A13615" s="42">
        <f>_xlfn.XLOOKUP(81612,Trip[shape_id],Trip[shape_id],"Não encontrado")</f>
        <v/>
      </c>
      <c r="B13615" s="43" t="n">
        <v>-23.540845</v>
      </c>
      <c r="C13615" s="43" t="n">
        <v>-46.575489</v>
      </c>
      <c r="D13615" s="43" t="n">
        <v>17</v>
      </c>
      <c r="E13615" s="44" t="n">
        <v>129.82333</v>
      </c>
    </row>
    <row r="13616">
      <c r="A13616" s="39">
        <f>_xlfn.XLOOKUP(81612,Trip[shape_id],Trip[shape_id],"Não encontrado")</f>
        <v/>
      </c>
      <c r="B13616" s="40" t="n">
        <v>-23.540883</v>
      </c>
      <c r="C13616" s="40" t="n">
        <v>-46.575482</v>
      </c>
      <c r="D13616" s="40" t="n">
        <v>18</v>
      </c>
      <c r="E13616" s="41" t="n">
        <v>134.09164</v>
      </c>
    </row>
    <row r="13617">
      <c r="A13617" s="42">
        <f>_xlfn.XLOOKUP(81612,Trip[shape_id],Trip[shape_id],"Não encontrado")</f>
        <v/>
      </c>
      <c r="B13617" s="43" t="n">
        <v>-23.540911</v>
      </c>
      <c r="C13617" s="43" t="n">
        <v>-46.575485</v>
      </c>
      <c r="D13617" s="43" t="n">
        <v>19</v>
      </c>
      <c r="E13617" s="44" t="n">
        <v>137.2092</v>
      </c>
    </row>
    <row r="13618">
      <c r="A13618" s="39">
        <f>_xlfn.XLOOKUP(81612,Trip[shape_id],Trip[shape_id],"Não encontrado")</f>
        <v/>
      </c>
      <c r="B13618" s="40" t="n">
        <v>-23.540933</v>
      </c>
      <c r="C13618" s="40" t="n">
        <v>-46.575495</v>
      </c>
      <c r="D13618" s="40" t="n">
        <v>20</v>
      </c>
      <c r="E13618" s="41" t="n">
        <v>139.8504</v>
      </c>
    </row>
    <row r="13619">
      <c r="A13619" s="42">
        <f>_xlfn.XLOOKUP(81612,Trip[shape_id],Trip[shape_id],"Não encontrado")</f>
        <v/>
      </c>
      <c r="B13619" s="43" t="n">
        <v>-23.540959</v>
      </c>
      <c r="C13619" s="43" t="n">
        <v>-46.575519</v>
      </c>
      <c r="D13619" s="43" t="n">
        <v>21</v>
      </c>
      <c r="E13619" s="44" t="n">
        <v>143.63158</v>
      </c>
    </row>
    <row r="13620">
      <c r="A13620" s="39">
        <f>_xlfn.XLOOKUP(81612,Trip[shape_id],Trip[shape_id],"Não encontrado")</f>
        <v/>
      </c>
      <c r="B13620" s="40" t="n">
        <v>-23.54097</v>
      </c>
      <c r="C13620" s="40" t="n">
        <v>-46.575551</v>
      </c>
      <c r="D13620" s="40" t="n">
        <v>22</v>
      </c>
      <c r="E13620" s="41" t="n">
        <v>147.11984</v>
      </c>
    </row>
    <row r="13621">
      <c r="A13621" s="42">
        <f>_xlfn.XLOOKUP(81612,Trip[shape_id],Trip[shape_id],"Não encontrado")</f>
        <v/>
      </c>
      <c r="B13621" s="43" t="n">
        <v>-23.541002</v>
      </c>
      <c r="C13621" s="43" t="n">
        <v>-46.575702</v>
      </c>
      <c r="D13621" s="43" t="n">
        <v>23</v>
      </c>
      <c r="E13621" s="44" t="n">
        <v>162.94025</v>
      </c>
    </row>
    <row r="13622">
      <c r="A13622" s="39">
        <f>_xlfn.XLOOKUP(81612,Trip[shape_id],Trip[shape_id],"Não encontrado")</f>
        <v/>
      </c>
      <c r="B13622" s="40" t="n">
        <v>-23.541024</v>
      </c>
      <c r="C13622" s="40" t="n">
        <v>-46.575813</v>
      </c>
      <c r="D13622" s="40" t="n">
        <v>24</v>
      </c>
      <c r="E13622" s="41" t="n">
        <v>174.5331</v>
      </c>
    </row>
    <row r="13623">
      <c r="A13623" s="42">
        <f>_xlfn.XLOOKUP(81612,Trip[shape_id],Trip[shape_id],"Não encontrado")</f>
        <v/>
      </c>
      <c r="B13623" s="43" t="n">
        <v>-23.541053</v>
      </c>
      <c r="C13623" s="43" t="n">
        <v>-46.575923</v>
      </c>
      <c r="D13623" s="43" t="n">
        <v>25</v>
      </c>
      <c r="E13623" s="44" t="n">
        <v>186.2157</v>
      </c>
    </row>
    <row r="13624">
      <c r="A13624" s="39">
        <f>_xlfn.XLOOKUP(81612,Trip[shape_id],Trip[shape_id],"Não encontrado")</f>
        <v/>
      </c>
      <c r="B13624" s="40" t="n">
        <v>-23.541085</v>
      </c>
      <c r="C13624" s="40" t="n">
        <v>-46.576048</v>
      </c>
      <c r="D13624" s="40" t="n">
        <v>26</v>
      </c>
      <c r="E13624" s="41" t="n">
        <v>199.46237</v>
      </c>
    </row>
    <row r="13625">
      <c r="A13625" s="42">
        <f>_xlfn.XLOOKUP(81612,Trip[shape_id],Trip[shape_id],"Não encontrado")</f>
        <v/>
      </c>
      <c r="B13625" s="43" t="n">
        <v>-23.541116</v>
      </c>
      <c r="C13625" s="43" t="n">
        <v>-46.576182</v>
      </c>
      <c r="D13625" s="43" t="n">
        <v>27</v>
      </c>
      <c r="E13625" s="44" t="n">
        <v>213.56912</v>
      </c>
    </row>
    <row r="13626">
      <c r="A13626" s="39">
        <f>_xlfn.XLOOKUP(81612,Trip[shape_id],Trip[shape_id],"Não encontrado")</f>
        <v/>
      </c>
      <c r="B13626" s="40" t="n">
        <v>-23.541147</v>
      </c>
      <c r="C13626" s="40" t="n">
        <v>-46.576312</v>
      </c>
      <c r="D13626" s="40" t="n">
        <v>28</v>
      </c>
      <c r="E13626" s="41" t="n">
        <v>227.28038</v>
      </c>
    </row>
    <row r="13627">
      <c r="A13627" s="42">
        <f>_xlfn.XLOOKUP(81612,Trip[shape_id],Trip[shape_id],"Não encontrado")</f>
        <v/>
      </c>
      <c r="B13627" s="43" t="n">
        <v>-23.541183</v>
      </c>
      <c r="C13627" s="43" t="n">
        <v>-46.576467</v>
      </c>
      <c r="D13627" s="43" t="n">
        <v>29</v>
      </c>
      <c r="E13627" s="44" t="n">
        <v>243.60156</v>
      </c>
    </row>
    <row r="13628">
      <c r="A13628" s="39">
        <f>_xlfn.XLOOKUP(81612,Trip[shape_id],Trip[shape_id],"Não encontrado")</f>
        <v/>
      </c>
      <c r="B13628" s="40" t="n">
        <v>-23.541212</v>
      </c>
      <c r="C13628" s="40" t="n">
        <v>-46.576591</v>
      </c>
      <c r="D13628" s="40" t="n">
        <v>30</v>
      </c>
      <c r="E13628" s="41" t="n">
        <v>256.664</v>
      </c>
    </row>
    <row r="13629">
      <c r="A13629" s="42">
        <f>_xlfn.XLOOKUP(81612,Trip[shape_id],Trip[shape_id],"Não encontrado")</f>
        <v/>
      </c>
      <c r="B13629" s="43" t="n">
        <v>-23.541246</v>
      </c>
      <c r="C13629" s="43" t="n">
        <v>-46.576742</v>
      </c>
      <c r="D13629" s="43" t="n">
        <v>31</v>
      </c>
      <c r="E13629" s="44" t="n">
        <v>272.53543</v>
      </c>
    </row>
    <row r="13630">
      <c r="A13630" s="39">
        <f>_xlfn.XLOOKUP(81612,Trip[shape_id],Trip[shape_id],"Não encontrado")</f>
        <v/>
      </c>
      <c r="B13630" s="40" t="n">
        <v>-23.541257</v>
      </c>
      <c r="C13630" s="40" t="n">
        <v>-46.576787</v>
      </c>
      <c r="D13630" s="40" t="n">
        <v>32</v>
      </c>
      <c r="E13630" s="41" t="n">
        <v>277.28854</v>
      </c>
    </row>
    <row r="13631">
      <c r="A13631" s="42">
        <f>_xlfn.XLOOKUP(81612,Trip[shape_id],Trip[shape_id],"Não encontrado")</f>
        <v/>
      </c>
      <c r="B13631" s="43" t="n">
        <v>-23.541281</v>
      </c>
      <c r="C13631" s="43" t="n">
        <v>-46.576906</v>
      </c>
      <c r="D13631" s="43" t="n">
        <v>33</v>
      </c>
      <c r="E13631" s="44" t="n">
        <v>289.72687</v>
      </c>
    </row>
    <row r="13632">
      <c r="A13632" s="39">
        <f>_xlfn.XLOOKUP(81612,Trip[shape_id],Trip[shape_id],"Não encontrado")</f>
        <v/>
      </c>
      <c r="B13632" s="40" t="n">
        <v>-23.541286</v>
      </c>
      <c r="C13632" s="40" t="n">
        <v>-46.576963</v>
      </c>
      <c r="D13632" s="40" t="n">
        <v>34</v>
      </c>
      <c r="E13632" s="41" t="n">
        <v>295.57312</v>
      </c>
    </row>
    <row r="13633">
      <c r="A13633" s="42">
        <f>_xlfn.XLOOKUP(81612,Trip[shape_id],Trip[shape_id],"Não encontrado")</f>
        <v/>
      </c>
      <c r="B13633" s="43" t="n">
        <v>-23.541281</v>
      </c>
      <c r="C13633" s="43" t="n">
        <v>-46.577003</v>
      </c>
      <c r="D13633" s="43" t="n">
        <v>35</v>
      </c>
      <c r="E13633" s="44" t="n">
        <v>299.69382</v>
      </c>
    </row>
    <row r="13634">
      <c r="A13634" s="39">
        <f>_xlfn.XLOOKUP(81612,Trip[shape_id],Trip[shape_id],"Não encontrado")</f>
        <v/>
      </c>
      <c r="B13634" s="40" t="n">
        <v>-23.541263</v>
      </c>
      <c r="C13634" s="40" t="n">
        <v>-46.577035</v>
      </c>
      <c r="D13634" s="40" t="n">
        <v>36</v>
      </c>
      <c r="E13634" s="41" t="n">
        <v>303.52094</v>
      </c>
    </row>
    <row r="13635">
      <c r="A13635" s="42">
        <f>_xlfn.XLOOKUP(81612,Trip[shape_id],Trip[shape_id],"Não encontrado")</f>
        <v/>
      </c>
      <c r="B13635" s="43" t="n">
        <v>-23.541231</v>
      </c>
      <c r="C13635" s="43" t="n">
        <v>-46.577065</v>
      </c>
      <c r="D13635" s="43" t="n">
        <v>37</v>
      </c>
      <c r="E13635" s="44" t="n">
        <v>308.20615</v>
      </c>
    </row>
    <row r="13636">
      <c r="A13636" s="39">
        <f>_xlfn.XLOOKUP(81612,Trip[shape_id],Trip[shape_id],"Não encontrado")</f>
        <v/>
      </c>
      <c r="B13636" s="40" t="n">
        <v>-23.541192</v>
      </c>
      <c r="C13636" s="40" t="n">
        <v>-46.577081</v>
      </c>
      <c r="D13636" s="40" t="n">
        <v>38</v>
      </c>
      <c r="E13636" s="41" t="n">
        <v>312.82355</v>
      </c>
    </row>
    <row r="13637">
      <c r="A13637" s="42">
        <f>_xlfn.XLOOKUP(81612,Trip[shape_id],Trip[shape_id],"Não encontrado")</f>
        <v/>
      </c>
      <c r="B13637" s="43" t="n">
        <v>-23.541153</v>
      </c>
      <c r="C13637" s="43" t="n">
        <v>-46.577086</v>
      </c>
      <c r="D13637" s="43" t="n">
        <v>39</v>
      </c>
      <c r="E13637" s="44" t="n">
        <v>317.17297</v>
      </c>
    </row>
    <row r="13638">
      <c r="A13638" s="39">
        <f>_xlfn.XLOOKUP(81612,Trip[shape_id],Trip[shape_id],"Não encontrado")</f>
        <v/>
      </c>
      <c r="B13638" s="40" t="n">
        <v>-23.541131</v>
      </c>
      <c r="C13638" s="40" t="n">
        <v>-46.577078</v>
      </c>
      <c r="D13638" s="40" t="n">
        <v>40</v>
      </c>
      <c r="E13638" s="41" t="n">
        <v>319.74136</v>
      </c>
    </row>
    <row r="13639">
      <c r="A13639" s="42">
        <f>_xlfn.XLOOKUP(81612,Trip[shape_id],Trip[shape_id],"Não encontrado")</f>
        <v/>
      </c>
      <c r="B13639" s="43" t="n">
        <v>-23.541101</v>
      </c>
      <c r="C13639" s="43" t="n">
        <v>-46.577058</v>
      </c>
      <c r="D13639" s="43" t="n">
        <v>41</v>
      </c>
      <c r="E13639" s="44" t="n">
        <v>323.64047</v>
      </c>
    </row>
    <row r="13640">
      <c r="A13640" s="39">
        <f>_xlfn.XLOOKUP(81612,Trip[shape_id],Trip[shape_id],"Não encontrado")</f>
        <v/>
      </c>
      <c r="B13640" s="40" t="n">
        <v>-23.54108</v>
      </c>
      <c r="C13640" s="40" t="n">
        <v>-46.577036</v>
      </c>
      <c r="D13640" s="40" t="n">
        <v>42</v>
      </c>
      <c r="E13640" s="41" t="n">
        <v>326.87274</v>
      </c>
    </row>
    <row r="13641">
      <c r="A13641" s="42">
        <f>_xlfn.XLOOKUP(81612,Trip[shape_id],Trip[shape_id],"Não encontrado")</f>
        <v/>
      </c>
      <c r="B13641" s="43" t="n">
        <v>-23.54106</v>
      </c>
      <c r="C13641" s="43" t="n">
        <v>-46.57703</v>
      </c>
      <c r="D13641" s="43" t="n">
        <v>43</v>
      </c>
      <c r="E13641" s="44" t="n">
        <v>329.17133</v>
      </c>
    </row>
    <row r="13642">
      <c r="A13642" s="39">
        <f>_xlfn.XLOOKUP(81612,Trip[shape_id],Trip[shape_id],"Não encontrado")</f>
        <v/>
      </c>
      <c r="B13642" s="40" t="n">
        <v>-23.541033</v>
      </c>
      <c r="C13642" s="40" t="n">
        <v>-46.577013</v>
      </c>
      <c r="D13642" s="40" t="n">
        <v>44</v>
      </c>
      <c r="E13642" s="41" t="n">
        <v>332.6301</v>
      </c>
    </row>
    <row r="13643">
      <c r="A13643" s="42">
        <f>_xlfn.XLOOKUP(81612,Trip[shape_id],Trip[shape_id],"Não encontrado")</f>
        <v/>
      </c>
      <c r="B13643" s="43" t="n">
        <v>-23.541002</v>
      </c>
      <c r="C13643" s="43" t="n">
        <v>-46.576953</v>
      </c>
      <c r="D13643" s="43" t="n">
        <v>45</v>
      </c>
      <c r="E13643" s="44" t="n">
        <v>339.65329</v>
      </c>
    </row>
    <row r="13644">
      <c r="A13644" s="39">
        <f>_xlfn.XLOOKUP(81612,Trip[shape_id],Trip[shape_id],"Não encontrado")</f>
        <v/>
      </c>
      <c r="B13644" s="40" t="n">
        <v>-23.540959</v>
      </c>
      <c r="C13644" s="40" t="n">
        <v>-46.576741</v>
      </c>
      <c r="D13644" s="40" t="n">
        <v>46</v>
      </c>
      <c r="E13644" s="41" t="n">
        <v>361.81812</v>
      </c>
    </row>
    <row r="13645">
      <c r="A13645" s="42">
        <f>_xlfn.XLOOKUP(81612,Trip[shape_id],Trip[shape_id],"Não encontrado")</f>
        <v/>
      </c>
      <c r="B13645" s="43" t="n">
        <v>-23.540824</v>
      </c>
      <c r="C13645" s="43" t="n">
        <v>-46.576064</v>
      </c>
      <c r="D13645" s="43" t="n">
        <v>47</v>
      </c>
      <c r="E13645" s="44" t="n">
        <v>456.67584</v>
      </c>
    </row>
    <row r="13646">
      <c r="A13646" s="39">
        <f>_xlfn.XLOOKUP(81612,Trip[shape_id],Trip[shape_id],"Não encontrado")</f>
        <v/>
      </c>
      <c r="B13646" s="40" t="n">
        <v>-23.540778</v>
      </c>
      <c r="C13646" s="40" t="n">
        <v>-46.575833</v>
      </c>
      <c r="D13646" s="40" t="n">
        <v>48</v>
      </c>
      <c r="E13646" s="41" t="n">
        <v>472.4718</v>
      </c>
    </row>
    <row r="13647">
      <c r="A13647" s="42">
        <f>_xlfn.XLOOKUP(81612,Trip[shape_id],Trip[shape_id],"Não encontrado")</f>
        <v/>
      </c>
      <c r="B13647" s="43" t="n">
        <v>-23.540747</v>
      </c>
      <c r="C13647" s="43" t="n">
        <v>-46.575682</v>
      </c>
      <c r="D13647" s="43" t="n">
        <v>49</v>
      </c>
      <c r="E13647" s="44" t="n">
        <v>480.20837</v>
      </c>
    </row>
    <row r="13648">
      <c r="A13648" s="39">
        <f>_xlfn.XLOOKUP(81612,Trip[shape_id],Trip[shape_id],"Não encontrado")</f>
        <v/>
      </c>
      <c r="B13648" s="40" t="n">
        <v>-23.540732</v>
      </c>
      <c r="C13648" s="40" t="n">
        <v>-46.575608</v>
      </c>
      <c r="D13648" s="40" t="n">
        <v>50</v>
      </c>
      <c r="E13648" s="41" t="n">
        <v>490.45743</v>
      </c>
    </row>
    <row r="13649">
      <c r="A13649" s="42">
        <f>_xlfn.XLOOKUP(81612,Trip[shape_id],Trip[shape_id],"Não encontrado")</f>
        <v/>
      </c>
      <c r="B13649" s="43" t="n">
        <v>-23.540712</v>
      </c>
      <c r="C13649" s="43" t="n">
        <v>-46.57551</v>
      </c>
      <c r="D13649" s="43" t="n">
        <v>51</v>
      </c>
      <c r="E13649" s="44" t="n">
        <v>497.99939</v>
      </c>
    </row>
    <row r="13650">
      <c r="A13650" s="39">
        <f>_xlfn.XLOOKUP(81612,Trip[shape_id],Trip[shape_id],"Não encontrado")</f>
        <v/>
      </c>
      <c r="B13650" s="40" t="n">
        <v>-23.540678</v>
      </c>
      <c r="C13650" s="40" t="n">
        <v>-46.575446</v>
      </c>
      <c r="D13650" s="40" t="n">
        <v>52</v>
      </c>
      <c r="E13650" s="41" t="n">
        <v>497.99939</v>
      </c>
    </row>
    <row r="13651">
      <c r="A13651" s="42">
        <f>_xlfn.XLOOKUP(81612,Trip[shape_id],Trip[shape_id],"Não encontrado")</f>
        <v/>
      </c>
      <c r="B13651" s="43" t="n">
        <v>-23.540543</v>
      </c>
      <c r="C13651" s="43" t="n">
        <v>-46.574834</v>
      </c>
      <c r="D13651" s="43" t="n">
        <v>53</v>
      </c>
      <c r="E13651" s="44" t="n">
        <v>562.25427</v>
      </c>
    </row>
    <row r="13652">
      <c r="A13652" s="39">
        <f>_xlfn.XLOOKUP(81612,Trip[shape_id],Trip[shape_id],"Não encontrado")</f>
        <v/>
      </c>
      <c r="B13652" s="40" t="n">
        <v>-23.540451</v>
      </c>
      <c r="C13652" s="40" t="n">
        <v>-46.574528</v>
      </c>
      <c r="D13652" s="40" t="n">
        <v>54</v>
      </c>
      <c r="E13652" s="41" t="n">
        <v>633.93909</v>
      </c>
    </row>
    <row r="13653">
      <c r="A13653" s="42">
        <f>_xlfn.XLOOKUP(81612,Trip[shape_id],Trip[shape_id],"Não encontrado")</f>
        <v/>
      </c>
      <c r="B13653" s="43" t="n">
        <v>-23.540328</v>
      </c>
      <c r="C13653" s="43" t="n">
        <v>-46.574172</v>
      </c>
      <c r="D13653" s="43" t="n">
        <v>55</v>
      </c>
      <c r="E13653" s="44" t="n">
        <v>633.93909</v>
      </c>
    </row>
    <row r="13654">
      <c r="A13654" s="39">
        <f>_xlfn.XLOOKUP(81612,Trip[shape_id],Trip[shape_id],"Não encontrado")</f>
        <v/>
      </c>
      <c r="B13654" s="40" t="n">
        <v>-23.540228</v>
      </c>
      <c r="C13654" s="40" t="n">
        <v>-46.5739</v>
      </c>
      <c r="D13654" s="40" t="n">
        <v>56</v>
      </c>
      <c r="E13654" s="41" t="n">
        <v>731.28687</v>
      </c>
    </row>
    <row r="13655">
      <c r="A13655" s="42">
        <f>_xlfn.XLOOKUP(81612,Trip[shape_id],Trip[shape_id],"Não encontrado")</f>
        <v/>
      </c>
      <c r="B13655" s="43" t="n">
        <v>-23.540013</v>
      </c>
      <c r="C13655" s="43" t="n">
        <v>-46.573282</v>
      </c>
      <c r="D13655" s="43" t="n">
        <v>57</v>
      </c>
      <c r="E13655" s="44" t="n">
        <v>731.28687</v>
      </c>
    </row>
    <row r="13656">
      <c r="A13656" s="39">
        <f>_xlfn.XLOOKUP(81612,Trip[shape_id],Trip[shape_id],"Não encontrado")</f>
        <v/>
      </c>
      <c r="B13656" s="40" t="n">
        <v>-23.53971</v>
      </c>
      <c r="C13656" s="40" t="n">
        <v>-46.572412</v>
      </c>
      <c r="D13656" s="40" t="n">
        <v>58</v>
      </c>
      <c r="E13656" s="41" t="n">
        <v>826.24976</v>
      </c>
    </row>
    <row r="13657">
      <c r="A13657" s="42">
        <f>_xlfn.XLOOKUP(81612,Trip[shape_id],Trip[shape_id],"Não encontrado")</f>
        <v/>
      </c>
      <c r="B13657" s="43" t="n">
        <v>-23.539635</v>
      </c>
      <c r="C13657" s="43" t="n">
        <v>-46.57218</v>
      </c>
      <c r="D13657" s="43" t="n">
        <v>59</v>
      </c>
      <c r="E13657" s="44" t="n">
        <v>887.43677</v>
      </c>
    </row>
    <row r="13658">
      <c r="A13658" s="39">
        <f>_xlfn.XLOOKUP(81612,Trip[shape_id],Trip[shape_id],"Não encontrado")</f>
        <v/>
      </c>
      <c r="B13658" s="40" t="n">
        <v>-23.539553</v>
      </c>
      <c r="C13658" s="40" t="n">
        <v>-46.571838</v>
      </c>
      <c r="D13658" s="40" t="n">
        <v>60</v>
      </c>
      <c r="E13658" s="41" t="n">
        <v>922.58636</v>
      </c>
    </row>
    <row r="13659">
      <c r="A13659" s="42">
        <f>_xlfn.XLOOKUP(81612,Trip[shape_id],Trip[shape_id],"Não encontrado")</f>
        <v/>
      </c>
      <c r="B13659" s="43" t="n">
        <v>-23.53948</v>
      </c>
      <c r="C13659" s="43" t="n">
        <v>-46.571503</v>
      </c>
      <c r="D13659" s="43" t="n">
        <v>61</v>
      </c>
      <c r="E13659" s="44" t="n">
        <v>922.58636</v>
      </c>
    </row>
    <row r="13660">
      <c r="A13660" s="39">
        <f>_xlfn.XLOOKUP(81612,Trip[shape_id],Trip[shape_id],"Não encontrado")</f>
        <v/>
      </c>
      <c r="B13660" s="40" t="n">
        <v>-23.539453</v>
      </c>
      <c r="C13660" s="40" t="n">
        <v>-46.571359</v>
      </c>
      <c r="D13660" s="40" t="n">
        <v>62</v>
      </c>
      <c r="E13660" s="41" t="n">
        <v>937.591</v>
      </c>
    </row>
    <row r="13661">
      <c r="A13661" s="42">
        <f>_xlfn.XLOOKUP(81612,Trip[shape_id],Trip[shape_id],"Não encontrado")</f>
        <v/>
      </c>
      <c r="B13661" s="43" t="n">
        <v>-23.539452</v>
      </c>
      <c r="C13661" s="43" t="n">
        <v>-46.571309</v>
      </c>
      <c r="D13661" s="43" t="n">
        <v>63</v>
      </c>
      <c r="E13661" s="44" t="n">
        <v>942.69855</v>
      </c>
    </row>
    <row r="13662">
      <c r="A13662" s="39">
        <f>_xlfn.XLOOKUP(81612,Trip[shape_id],Trip[shape_id],"Não encontrado")</f>
        <v/>
      </c>
      <c r="B13662" s="40" t="n">
        <v>-23.539299</v>
      </c>
      <c r="C13662" s="40" t="n">
        <v>-46.570423</v>
      </c>
      <c r="D13662" s="40" t="n">
        <v>64</v>
      </c>
      <c r="E13662" s="41" t="n">
        <v>1034.7418</v>
      </c>
    </row>
    <row r="13663">
      <c r="A13663" s="42">
        <f>_xlfn.XLOOKUP(81612,Trip[shape_id],Trip[shape_id],"Não encontrado")</f>
        <v/>
      </c>
      <c r="B13663" s="43" t="n">
        <v>-23.539173</v>
      </c>
      <c r="C13663" s="43" t="n">
        <v>-46.569555</v>
      </c>
      <c r="D13663" s="43" t="n">
        <v>65</v>
      </c>
      <c r="E13663" s="44" t="n">
        <v>1124.4658</v>
      </c>
    </row>
    <row r="13664">
      <c r="A13664" s="39">
        <f>_xlfn.XLOOKUP(81612,Trip[shape_id],Trip[shape_id],"Não encontrado")</f>
        <v/>
      </c>
      <c r="B13664" s="40" t="n">
        <v>-23.539031</v>
      </c>
      <c r="C13664" s="40" t="n">
        <v>-46.56893</v>
      </c>
      <c r="D13664" s="40" t="n">
        <v>66</v>
      </c>
      <c r="E13664" s="41" t="n">
        <v>1190.1943</v>
      </c>
    </row>
    <row r="13665">
      <c r="A13665" s="42">
        <f>_xlfn.XLOOKUP(81612,Trip[shape_id],Trip[shape_id],"Não encontrado")</f>
        <v/>
      </c>
      <c r="B13665" s="43" t="n">
        <v>-23.538912</v>
      </c>
      <c r="C13665" s="43" t="n">
        <v>-46.568331</v>
      </c>
      <c r="D13665" s="43" t="n">
        <v>67</v>
      </c>
      <c r="E13665" s="44" t="n">
        <v>1252.7626</v>
      </c>
    </row>
    <row r="13666">
      <c r="A13666" s="39">
        <f>_xlfn.XLOOKUP(81612,Trip[shape_id],Trip[shape_id],"Não encontrado")</f>
        <v/>
      </c>
      <c r="B13666" s="40" t="n">
        <v>-23.538839</v>
      </c>
      <c r="C13666" s="40" t="n">
        <v>-46.567871</v>
      </c>
      <c r="D13666" s="40" t="n">
        <v>68</v>
      </c>
      <c r="E13666" s="41" t="n">
        <v>1300.4243</v>
      </c>
    </row>
    <row r="13667">
      <c r="A13667" s="42">
        <f>_xlfn.XLOOKUP(81612,Trip[shape_id],Trip[shape_id],"Não encontrado")</f>
        <v/>
      </c>
      <c r="B13667" s="43" t="n">
        <v>-23.538786</v>
      </c>
      <c r="C13667" s="43" t="n">
        <v>-46.567487</v>
      </c>
      <c r="D13667" s="43" t="n">
        <v>69</v>
      </c>
      <c r="E13667" s="44" t="n">
        <v>1340.0719</v>
      </c>
    </row>
    <row r="13668">
      <c r="A13668" s="39">
        <f>_xlfn.XLOOKUP(81612,Trip[shape_id],Trip[shape_id],"Não encontrado")</f>
        <v/>
      </c>
      <c r="B13668" s="40" t="n">
        <v>-23.538756</v>
      </c>
      <c r="C13668" s="40" t="n">
        <v>-46.567265</v>
      </c>
      <c r="D13668" s="40" t="n">
        <v>70</v>
      </c>
      <c r="E13668" s="41" t="n">
        <v>1362.9829</v>
      </c>
    </row>
    <row r="13669">
      <c r="A13669" s="42">
        <f>_xlfn.XLOOKUP(81612,Trip[shape_id],Trip[shape_id],"Não encontrado")</f>
        <v/>
      </c>
      <c r="B13669" s="43" t="n">
        <v>-23.538715</v>
      </c>
      <c r="C13669" s="43" t="n">
        <v>-46.566802</v>
      </c>
      <c r="D13669" s="43" t="n">
        <v>71</v>
      </c>
      <c r="E13669" s="44" t="n">
        <v>1410.478</v>
      </c>
    </row>
    <row r="13670">
      <c r="A13670" s="39">
        <f>_xlfn.XLOOKUP(81612,Trip[shape_id],Trip[shape_id],"Não encontrado")</f>
        <v/>
      </c>
      <c r="B13670" s="40" t="n">
        <v>-23.538707</v>
      </c>
      <c r="C13670" s="40" t="n">
        <v>-46.566149</v>
      </c>
      <c r="D13670" s="40" t="n">
        <v>72</v>
      </c>
      <c r="E13670" s="41" t="n">
        <v>1477.1626</v>
      </c>
    </row>
    <row r="13671">
      <c r="A13671" s="42">
        <f>_xlfn.XLOOKUP(81612,Trip[shape_id],Trip[shape_id],"Não encontrado")</f>
        <v/>
      </c>
      <c r="B13671" s="43" t="n">
        <v>-23.538701</v>
      </c>
      <c r="C13671" s="43" t="n">
        <v>-46.566043</v>
      </c>
      <c r="D13671" s="43" t="n">
        <v>73</v>
      </c>
      <c r="E13671" s="44" t="n">
        <v>1488.0063</v>
      </c>
    </row>
    <row r="13672">
      <c r="A13672" s="39">
        <f>_xlfn.XLOOKUP(81612,Trip[shape_id],Trip[shape_id],"Não encontrado")</f>
        <v/>
      </c>
      <c r="B13672" s="40" t="n">
        <v>-23.538705</v>
      </c>
      <c r="C13672" s="40" t="n">
        <v>-46.565831</v>
      </c>
      <c r="D13672" s="40" t="n">
        <v>74</v>
      </c>
      <c r="E13672" s="41" t="n">
        <v>1509.6583</v>
      </c>
    </row>
    <row r="13673">
      <c r="A13673" s="42">
        <f>_xlfn.XLOOKUP(81612,Trip[shape_id],Trip[shape_id],"Não encontrado")</f>
        <v/>
      </c>
      <c r="B13673" s="43" t="n">
        <v>-23.538691</v>
      </c>
      <c r="C13673" s="43" t="n">
        <v>-46.565679</v>
      </c>
      <c r="D13673" s="43" t="n">
        <v>75</v>
      </c>
      <c r="E13673" s="44" t="n">
        <v>1525.2563</v>
      </c>
    </row>
    <row r="13674">
      <c r="A13674" s="39">
        <f>_xlfn.XLOOKUP(81612,Trip[shape_id],Trip[shape_id],"Não encontrado")</f>
        <v/>
      </c>
      <c r="B13674" s="40" t="n">
        <v>-23.538673</v>
      </c>
      <c r="C13674" s="40" t="n">
        <v>-46.565576</v>
      </c>
      <c r="D13674" s="40" t="n">
        <v>76</v>
      </c>
      <c r="E13674" s="41" t="n">
        <v>1535.9609</v>
      </c>
    </row>
    <row r="13675">
      <c r="A13675" s="42">
        <f>_xlfn.XLOOKUP(81612,Trip[shape_id],Trip[shape_id],"Não encontrado")</f>
        <v/>
      </c>
      <c r="B13675" s="43" t="n">
        <v>-23.538668</v>
      </c>
      <c r="C13675" s="43" t="n">
        <v>-46.565519</v>
      </c>
      <c r="D13675" s="43" t="n">
        <v>77</v>
      </c>
      <c r="E13675" s="44" t="n">
        <v>1541.8073</v>
      </c>
    </row>
    <row r="13676">
      <c r="A13676" s="39">
        <f>_xlfn.XLOOKUP(81612,Trip[shape_id],Trip[shape_id],"Não encontrado")</f>
        <v/>
      </c>
      <c r="B13676" s="40" t="n">
        <v>-23.538616</v>
      </c>
      <c r="C13676" s="40" t="n">
        <v>-46.565254</v>
      </c>
      <c r="D13676" s="40" t="n">
        <v>78</v>
      </c>
      <c r="E13676" s="41" t="n">
        <v>1569.4729</v>
      </c>
    </row>
    <row r="13677">
      <c r="A13677" s="42">
        <f>_xlfn.XLOOKUP(81612,Trip[shape_id],Trip[shape_id],"Não encontrado")</f>
        <v/>
      </c>
      <c r="B13677" s="43" t="n">
        <v>-23.53858</v>
      </c>
      <c r="C13677" s="43" t="n">
        <v>-46.565056</v>
      </c>
      <c r="D13677" s="43" t="n">
        <v>79</v>
      </c>
      <c r="E13677" s="44" t="n">
        <v>1590.0806</v>
      </c>
    </row>
    <row r="13678">
      <c r="A13678" s="39">
        <f>_xlfn.XLOOKUP(81612,Trip[shape_id],Trip[shape_id],"Não encontrado")</f>
        <v/>
      </c>
      <c r="B13678" s="40" t="n">
        <v>-23.538525</v>
      </c>
      <c r="C13678" s="40" t="n">
        <v>-46.564782</v>
      </c>
      <c r="D13678" s="40" t="n">
        <v>80</v>
      </c>
      <c r="E13678" s="41" t="n">
        <v>1618.7146</v>
      </c>
    </row>
    <row r="13679">
      <c r="A13679" s="42">
        <f>_xlfn.XLOOKUP(81612,Trip[shape_id],Trip[shape_id],"Não encontrado")</f>
        <v/>
      </c>
      <c r="B13679" s="43" t="n">
        <v>-23.538435</v>
      </c>
      <c r="C13679" s="43" t="n">
        <v>-46.564351</v>
      </c>
      <c r="D13679" s="43" t="n">
        <v>81</v>
      </c>
      <c r="E13679" s="44" t="n">
        <v>1663.8392</v>
      </c>
    </row>
    <row r="13680">
      <c r="A13680" s="39">
        <f>_xlfn.XLOOKUP(81612,Trip[shape_id],Trip[shape_id],"Não encontrado")</f>
        <v/>
      </c>
      <c r="B13680" s="40" t="n">
        <v>-23.538135</v>
      </c>
      <c r="C13680" s="40" t="n">
        <v>-46.562807</v>
      </c>
      <c r="D13680" s="40" t="n">
        <v>82</v>
      </c>
      <c r="E13680" s="41" t="n">
        <v>1824.9624</v>
      </c>
    </row>
    <row r="13681">
      <c r="A13681" s="42">
        <f>_xlfn.XLOOKUP(81612,Trip[shape_id],Trip[shape_id],"Não encontrado")</f>
        <v/>
      </c>
      <c r="B13681" s="43" t="n">
        <v>-23.538111</v>
      </c>
      <c r="C13681" s="43" t="n">
        <v>-46.562667</v>
      </c>
      <c r="D13681" s="43" t="n">
        <v>83</v>
      </c>
      <c r="E13681" s="44" t="n">
        <v>1839.5033</v>
      </c>
    </row>
    <row r="13682">
      <c r="A13682" s="39">
        <f>_xlfn.XLOOKUP(81612,Trip[shape_id],Trip[shape_id],"Não encontrado")</f>
        <v/>
      </c>
      <c r="B13682" s="40" t="n">
        <v>-23.538054</v>
      </c>
      <c r="C13682" s="40" t="n">
        <v>-46.562436</v>
      </c>
      <c r="D13682" s="40" t="n">
        <v>84</v>
      </c>
      <c r="E13682" s="41" t="n">
        <v>1863.9213</v>
      </c>
    </row>
    <row r="13683">
      <c r="A13683" s="42">
        <f>_xlfn.XLOOKUP(81612,Trip[shape_id],Trip[shape_id],"Não encontrado")</f>
        <v/>
      </c>
      <c r="B13683" s="43" t="n">
        <v>-23.537995</v>
      </c>
      <c r="C13683" s="43" t="n">
        <v>-46.562238</v>
      </c>
      <c r="D13683" s="43" t="n">
        <v>85</v>
      </c>
      <c r="E13683" s="44" t="n">
        <v>1885.1692</v>
      </c>
    </row>
    <row r="13684">
      <c r="A13684" s="39">
        <f>_xlfn.XLOOKUP(81612,Trip[shape_id],Trip[shape_id],"Não encontrado")</f>
        <v/>
      </c>
      <c r="B13684" s="40" t="n">
        <v>-23.537919</v>
      </c>
      <c r="C13684" s="40" t="n">
        <v>-46.562044</v>
      </c>
      <c r="D13684" s="40" t="n">
        <v>86</v>
      </c>
      <c r="E13684" s="41" t="n">
        <v>1906.693</v>
      </c>
    </row>
    <row r="13685">
      <c r="A13685" s="42">
        <f>_xlfn.XLOOKUP(81612,Trip[shape_id],Trip[shape_id],"Não encontrado")</f>
        <v/>
      </c>
      <c r="B13685" s="43" t="n">
        <v>-23.537827</v>
      </c>
      <c r="C13685" s="43" t="n">
        <v>-46.56192</v>
      </c>
      <c r="D13685" s="43" t="n">
        <v>87</v>
      </c>
      <c r="E13685" s="44" t="n">
        <v>1922.9457</v>
      </c>
    </row>
    <row r="13686">
      <c r="A13686" s="39">
        <f>_xlfn.XLOOKUP(81612,Trip[shape_id],Trip[shape_id],"Não encontrado")</f>
        <v/>
      </c>
      <c r="B13686" s="40" t="n">
        <v>-23.537598</v>
      </c>
      <c r="C13686" s="40" t="n">
        <v>-46.560986</v>
      </c>
      <c r="D13686" s="40" t="n">
        <v>88</v>
      </c>
      <c r="E13686" s="41" t="n">
        <v>2021.6329</v>
      </c>
    </row>
    <row r="13687">
      <c r="A13687" s="42">
        <f>_xlfn.XLOOKUP(81612,Trip[shape_id],Trip[shape_id],"Não encontrado")</f>
        <v/>
      </c>
      <c r="B13687" s="43" t="n">
        <v>-23.537406</v>
      </c>
      <c r="C13687" s="43" t="n">
        <v>-46.560287</v>
      </c>
      <c r="D13687" s="43" t="n">
        <v>89</v>
      </c>
      <c r="E13687" s="44" t="n">
        <v>2096.1094</v>
      </c>
    </row>
    <row r="13688">
      <c r="A13688" s="39">
        <f>_xlfn.XLOOKUP(81612,Trip[shape_id],Trip[shape_id],"Não encontrado")</f>
        <v/>
      </c>
      <c r="B13688" s="40" t="n">
        <v>-23.53718</v>
      </c>
      <c r="C13688" s="40" t="n">
        <v>-46.559118</v>
      </c>
      <c r="D13688" s="40" t="n">
        <v>90</v>
      </c>
      <c r="E13688" s="41" t="n">
        <v>2218.0745</v>
      </c>
    </row>
    <row r="13689">
      <c r="A13689" s="42">
        <f>_xlfn.XLOOKUP(81612,Trip[shape_id],Trip[shape_id],"Não encontrado")</f>
        <v/>
      </c>
      <c r="B13689" s="43" t="n">
        <v>-23.53699</v>
      </c>
      <c r="C13689" s="43" t="n">
        <v>-46.558222</v>
      </c>
      <c r="D13689" s="43" t="n">
        <v>91</v>
      </c>
      <c r="E13689" s="44" t="n">
        <v>2311.9558</v>
      </c>
    </row>
    <row r="13690">
      <c r="A13690" s="39">
        <f>_xlfn.XLOOKUP(81612,Trip[shape_id],Trip[shape_id],"Não encontrado")</f>
        <v/>
      </c>
      <c r="B13690" s="40" t="n">
        <v>-23.536879</v>
      </c>
      <c r="C13690" s="40" t="n">
        <v>-46.557693</v>
      </c>
      <c r="D13690" s="40" t="n">
        <v>92</v>
      </c>
      <c r="E13690" s="41" t="n">
        <v>2367.3545</v>
      </c>
    </row>
    <row r="13691">
      <c r="A13691" s="42">
        <f>_xlfn.XLOOKUP(81612,Trip[shape_id],Trip[shape_id],"Não encontrado")</f>
        <v/>
      </c>
      <c r="B13691" s="43" t="n">
        <v>-23.536944</v>
      </c>
      <c r="C13691" s="43" t="n">
        <v>-46.557447</v>
      </c>
      <c r="D13691" s="43" t="n">
        <v>93</v>
      </c>
      <c r="E13691" s="44" t="n">
        <v>2407.5215</v>
      </c>
    </row>
    <row r="13692">
      <c r="A13692" s="39">
        <f>_xlfn.XLOOKUP(81612,Trip[shape_id],Trip[shape_id],"Não encontrado")</f>
        <v/>
      </c>
      <c r="B13692" s="40" t="n">
        <v>-23.536976</v>
      </c>
      <c r="C13692" s="40" t="n">
        <v>-46.557314</v>
      </c>
      <c r="D13692" s="40" t="n">
        <v>94</v>
      </c>
      <c r="E13692" s="41" t="n">
        <v>2417.3997</v>
      </c>
    </row>
    <row r="13693">
      <c r="A13693" s="42">
        <f>_xlfn.XLOOKUP(81612,Trip[shape_id],Trip[shape_id],"Não encontrado")</f>
        <v/>
      </c>
      <c r="B13693" s="43" t="n">
        <v>-23.537015</v>
      </c>
      <c r="C13693" s="43" t="n">
        <v>-46.557227</v>
      </c>
      <c r="D13693" s="43" t="n">
        <v>95</v>
      </c>
      <c r="E13693" s="44" t="n">
        <v>2428.9263</v>
      </c>
    </row>
    <row r="13694">
      <c r="A13694" s="39">
        <f>_xlfn.XLOOKUP(81612,Trip[shape_id],Trip[shape_id],"Não encontrado")</f>
        <v/>
      </c>
      <c r="B13694" s="40" t="n">
        <v>-23.537065</v>
      </c>
      <c r="C13694" s="40" t="n">
        <v>-46.557128</v>
      </c>
      <c r="D13694" s="40" t="n">
        <v>96</v>
      </c>
      <c r="E13694" s="41" t="n">
        <v>2454.7957</v>
      </c>
    </row>
    <row r="13695">
      <c r="A13695" s="42">
        <f>_xlfn.XLOOKUP(81612,Trip[shape_id],Trip[shape_id],"Não encontrado")</f>
        <v/>
      </c>
      <c r="B13695" s="43" t="n">
        <v>-23.537213</v>
      </c>
      <c r="C13695" s="43" t="n">
        <v>-46.556932</v>
      </c>
      <c r="D13695" s="43" t="n">
        <v>97</v>
      </c>
      <c r="E13695" s="44" t="n">
        <v>2454.7957</v>
      </c>
    </row>
    <row r="13696">
      <c r="A13696" s="39">
        <f>_xlfn.XLOOKUP(81612,Trip[shape_id],Trip[shape_id],"Não encontrado")</f>
        <v/>
      </c>
      <c r="B13696" s="40" t="n">
        <v>-23.537845</v>
      </c>
      <c r="C13696" s="40" t="n">
        <v>-46.556082</v>
      </c>
      <c r="D13696" s="40" t="n">
        <v>98</v>
      </c>
      <c r="E13696" s="41" t="n">
        <v>2566.2979</v>
      </c>
    </row>
    <row r="13697">
      <c r="A13697" s="42">
        <f>_xlfn.XLOOKUP(81612,Trip[shape_id],Trip[shape_id],"Não encontrado")</f>
        <v/>
      </c>
      <c r="B13697" s="43" t="n">
        <v>-23.537878</v>
      </c>
      <c r="C13697" s="43" t="n">
        <v>-46.555797</v>
      </c>
      <c r="D13697" s="43" t="n">
        <v>99</v>
      </c>
      <c r="E13697" s="44" t="n">
        <v>2595.6282</v>
      </c>
    </row>
    <row r="13698">
      <c r="A13698" s="39">
        <f>_xlfn.XLOOKUP(81612,Trip[shape_id],Trip[shape_id],"Não encontrado")</f>
        <v/>
      </c>
      <c r="B13698" s="40" t="n">
        <v>-23.538465</v>
      </c>
      <c r="C13698" s="40" t="n">
        <v>-46.555012</v>
      </c>
      <c r="D13698" s="40" t="n">
        <v>100</v>
      </c>
      <c r="E13698" s="41" t="n">
        <v>2743.5012</v>
      </c>
    </row>
    <row r="13699">
      <c r="A13699" s="42">
        <f>_xlfn.XLOOKUP(81612,Trip[shape_id],Trip[shape_id],"Não encontrado")</f>
        <v/>
      </c>
      <c r="B13699" s="43" t="n">
        <v>-23.538721</v>
      </c>
      <c r="C13699" s="43" t="n">
        <v>-46.554674</v>
      </c>
      <c r="D13699" s="43" t="n">
        <v>101</v>
      </c>
      <c r="E13699" s="44" t="n">
        <v>2743.5012</v>
      </c>
    </row>
    <row r="13700">
      <c r="A13700" s="39">
        <f>_xlfn.XLOOKUP(81612,Trip[shape_id],Trip[shape_id],"Não encontrado")</f>
        <v/>
      </c>
      <c r="B13700" s="40" t="n">
        <v>-23.53877</v>
      </c>
      <c r="C13700" s="40" t="n">
        <v>-46.554601</v>
      </c>
      <c r="D13700" s="40" t="n">
        <v>102</v>
      </c>
      <c r="E13700" s="41" t="n">
        <v>2766.041</v>
      </c>
    </row>
    <row r="13701">
      <c r="A13701" s="42">
        <f>_xlfn.XLOOKUP(81612,Trip[shape_id],Trip[shape_id],"Não encontrado")</f>
        <v/>
      </c>
      <c r="B13701" s="43" t="n">
        <v>-23.538825</v>
      </c>
      <c r="C13701" s="43" t="n">
        <v>-46.554485</v>
      </c>
      <c r="D13701" s="43" t="n">
        <v>103</v>
      </c>
      <c r="E13701" s="44" t="n">
        <v>2766.041</v>
      </c>
    </row>
    <row r="13702">
      <c r="A13702" s="39">
        <f>_xlfn.XLOOKUP(81612,Trip[shape_id],Trip[shape_id],"Não encontrado")</f>
        <v/>
      </c>
      <c r="B13702" s="40" t="n">
        <v>-23.539345</v>
      </c>
      <c r="C13702" s="40" t="n">
        <v>-46.553382</v>
      </c>
      <c r="D13702" s="40" t="n">
        <v>104</v>
      </c>
      <c r="E13702" s="41" t="n">
        <v>2892.5393</v>
      </c>
    </row>
    <row r="13703">
      <c r="A13703" s="42">
        <f>_xlfn.XLOOKUP(81612,Trip[shape_id],Trip[shape_id],"Não encontrado")</f>
        <v/>
      </c>
      <c r="B13703" s="43" t="n">
        <v>-23.539663</v>
      </c>
      <c r="C13703" s="43" t="n">
        <v>-46.552654</v>
      </c>
      <c r="D13703" s="43" t="n">
        <v>105</v>
      </c>
      <c r="E13703" s="44" t="n">
        <v>2974.7969</v>
      </c>
    </row>
    <row r="13704">
      <c r="A13704" s="39">
        <f>_xlfn.XLOOKUP(81612,Trip[shape_id],Trip[shape_id],"Não encontrado")</f>
        <v/>
      </c>
      <c r="B13704" s="40" t="n">
        <v>-23.54007</v>
      </c>
      <c r="C13704" s="40" t="n">
        <v>-46.551838</v>
      </c>
      <c r="D13704" s="40" t="n">
        <v>106</v>
      </c>
      <c r="E13704" s="41" t="n">
        <v>3069.5303</v>
      </c>
    </row>
    <row r="13705">
      <c r="A13705" s="42">
        <f>_xlfn.XLOOKUP(81612,Trip[shape_id],Trip[shape_id],"Não encontrado")</f>
        <v/>
      </c>
      <c r="B13705" s="43" t="n">
        <v>-23.54049</v>
      </c>
      <c r="C13705" s="43" t="n">
        <v>-46.550966</v>
      </c>
      <c r="D13705" s="43" t="n">
        <v>107</v>
      </c>
      <c r="E13705" s="44" t="n">
        <v>3169.9883</v>
      </c>
    </row>
    <row r="13706">
      <c r="A13706" s="39">
        <f>_xlfn.XLOOKUP(81612,Trip[shape_id],Trip[shape_id],"Não encontrado")</f>
        <v/>
      </c>
      <c r="B13706" s="40" t="n">
        <v>-23.540702</v>
      </c>
      <c r="C13706" s="40" t="n">
        <v>-46.550521</v>
      </c>
      <c r="D13706" s="40" t="n">
        <v>108</v>
      </c>
      <c r="E13706" s="41" t="n">
        <v>3223.7056</v>
      </c>
    </row>
    <row r="13707">
      <c r="A13707" s="42">
        <f>_xlfn.XLOOKUP(81612,Trip[shape_id],Trip[shape_id],"Não encontrado")</f>
        <v/>
      </c>
      <c r="B13707" s="43" t="n">
        <v>-23.540709</v>
      </c>
      <c r="C13707" s="43" t="n">
        <v>-46.550497</v>
      </c>
      <c r="D13707" s="43" t="n">
        <v>109</v>
      </c>
      <c r="E13707" s="44" t="n">
        <v>3223.7056</v>
      </c>
    </row>
    <row r="13708">
      <c r="A13708" s="39">
        <f>_xlfn.XLOOKUP(81612,Trip[shape_id],Trip[shape_id],"Não encontrado")</f>
        <v/>
      </c>
      <c r="B13708" s="40" t="n">
        <v>-23.5408</v>
      </c>
      <c r="C13708" s="40" t="n">
        <v>-46.550316</v>
      </c>
      <c r="D13708" s="40" t="n">
        <v>110</v>
      </c>
      <c r="E13708" s="41" t="n">
        <v>3244.7568</v>
      </c>
    </row>
    <row r="13709">
      <c r="A13709" s="42">
        <f>_xlfn.XLOOKUP(81612,Trip[shape_id],Trip[shape_id],"Não encontrado")</f>
        <v/>
      </c>
      <c r="B13709" s="43" t="n">
        <v>-23.540921</v>
      </c>
      <c r="C13709" s="43" t="n">
        <v>-46.550167</v>
      </c>
      <c r="D13709" s="43" t="n">
        <v>111</v>
      </c>
      <c r="E13709" s="44" t="n">
        <v>3276.5308</v>
      </c>
    </row>
    <row r="13710">
      <c r="A13710" s="39">
        <f>_xlfn.XLOOKUP(81612,Trip[shape_id],Trip[shape_id],"Não encontrado")</f>
        <v/>
      </c>
      <c r="B13710" s="40" t="n">
        <v>-23.54101</v>
      </c>
      <c r="C13710" s="40" t="n">
        <v>-46.550109</v>
      </c>
      <c r="D13710" s="40" t="n">
        <v>112</v>
      </c>
      <c r="E13710" s="41" t="n">
        <v>3290.7314</v>
      </c>
    </row>
    <row r="13711">
      <c r="A13711" s="42">
        <f>_xlfn.XLOOKUP(81612,Trip[shape_id],Trip[shape_id],"Não encontrado")</f>
        <v/>
      </c>
      <c r="B13711" s="43" t="n">
        <v>-23.54113</v>
      </c>
      <c r="C13711" s="43" t="n">
        <v>-46.55006</v>
      </c>
      <c r="D13711" s="43" t="n">
        <v>113</v>
      </c>
      <c r="E13711" s="44" t="n">
        <v>3324.2703</v>
      </c>
    </row>
    <row r="13712">
      <c r="A13712" s="39">
        <f>_xlfn.XLOOKUP(81612,Trip[shape_id],Trip[shape_id],"Não encontrado")</f>
        <v/>
      </c>
      <c r="B13712" s="40" t="n">
        <v>-23.541423</v>
      </c>
      <c r="C13712" s="40" t="n">
        <v>-46.549977</v>
      </c>
      <c r="D13712" s="40" t="n">
        <v>114</v>
      </c>
      <c r="E13712" s="41" t="n">
        <v>3362.0029</v>
      </c>
    </row>
    <row r="13713">
      <c r="A13713" s="42">
        <f>_xlfn.XLOOKUP(81612,Trip[shape_id],Trip[shape_id],"Não encontrado")</f>
        <v/>
      </c>
      <c r="B13713" s="43" t="n">
        <v>-23.541752</v>
      </c>
      <c r="C13713" s="43" t="n">
        <v>-46.549881</v>
      </c>
      <c r="D13713" s="43" t="n">
        <v>115</v>
      </c>
      <c r="E13713" s="44" t="n">
        <v>3362.0029</v>
      </c>
    </row>
    <row r="13714">
      <c r="A13714" s="39">
        <f>_xlfn.XLOOKUP(81612,Trip[shape_id],Trip[shape_id],"Não encontrado")</f>
        <v/>
      </c>
      <c r="B13714" s="40" t="n">
        <v>-23.542185</v>
      </c>
      <c r="C13714" s="40" t="n">
        <v>-46.549767</v>
      </c>
      <c r="D13714" s="40" t="n">
        <v>116</v>
      </c>
      <c r="E13714" s="41" t="n">
        <v>3434.6267</v>
      </c>
    </row>
    <row r="13715">
      <c r="A13715" s="42">
        <f>_xlfn.XLOOKUP(81612,Trip[shape_id],Trip[shape_id],"Não encontrado")</f>
        <v/>
      </c>
      <c r="B13715" s="43" t="n">
        <v>-23.542388</v>
      </c>
      <c r="C13715" s="43" t="n">
        <v>-46.549708</v>
      </c>
      <c r="D13715" s="43" t="n">
        <v>117</v>
      </c>
      <c r="E13715" s="44" t="n">
        <v>3434.6267</v>
      </c>
    </row>
    <row r="13716">
      <c r="A13716" s="39">
        <f>_xlfn.XLOOKUP(81612,Trip[shape_id],Trip[shape_id],"Não encontrado")</f>
        <v/>
      </c>
      <c r="B13716" s="40" t="n">
        <v>-23.543168</v>
      </c>
      <c r="C13716" s="40" t="n">
        <v>-46.549517</v>
      </c>
      <c r="D13716" s="40" t="n">
        <v>118</v>
      </c>
      <c r="E13716" s="41" t="n">
        <v>3523.187</v>
      </c>
    </row>
    <row r="13717">
      <c r="A13717" s="42">
        <f>_xlfn.XLOOKUP(81612,Trip[shape_id],Trip[shape_id],"Não encontrado")</f>
        <v/>
      </c>
      <c r="B13717" s="43" t="n">
        <v>-23.543072</v>
      </c>
      <c r="C13717" s="43" t="n">
        <v>-46.549073</v>
      </c>
      <c r="D13717" s="43" t="n">
        <v>119</v>
      </c>
      <c r="E13717" s="44" t="n">
        <v>3569.7529</v>
      </c>
    </row>
    <row r="13718">
      <c r="A13718" s="39">
        <f>_xlfn.XLOOKUP(81612,Trip[shape_id],Trip[shape_id],"Não encontrado")</f>
        <v/>
      </c>
      <c r="B13718" s="40" t="n">
        <v>-23.542868</v>
      </c>
      <c r="C13718" s="40" t="n">
        <v>-46.548095</v>
      </c>
      <c r="D13718" s="40" t="n">
        <v>120</v>
      </c>
      <c r="E13718" s="41" t="n">
        <v>3672.1384</v>
      </c>
    </row>
    <row r="13719">
      <c r="A13719" s="42">
        <f>_xlfn.XLOOKUP(81612,Trip[shape_id],Trip[shape_id],"Não encontrado")</f>
        <v/>
      </c>
      <c r="B13719" s="43" t="n">
        <v>-23.542867</v>
      </c>
      <c r="C13719" s="43" t="n">
        <v>-46.54793</v>
      </c>
      <c r="D13719" s="43" t="n">
        <v>121</v>
      </c>
      <c r="E13719" s="44" t="n">
        <v>3784.8889</v>
      </c>
    </row>
    <row r="13720">
      <c r="A13720" s="39">
        <f>_xlfn.XLOOKUP(81612,Trip[shape_id],Trip[shape_id],"Não encontrado")</f>
        <v/>
      </c>
      <c r="B13720" s="40" t="n">
        <v>-23.543191</v>
      </c>
      <c r="C13720" s="40" t="n">
        <v>-46.547059</v>
      </c>
      <c r="D13720" s="40" t="n">
        <v>122</v>
      </c>
      <c r="E13720" s="41" t="n">
        <v>3806.0779</v>
      </c>
    </row>
    <row r="13721">
      <c r="A13721" s="42">
        <f>_xlfn.XLOOKUP(81612,Trip[shape_id],Trip[shape_id],"Não encontrado")</f>
        <v/>
      </c>
      <c r="B13721" s="43" t="n">
        <v>-23.54327</v>
      </c>
      <c r="C13721" s="43" t="n">
        <v>-46.54687</v>
      </c>
      <c r="D13721" s="43" t="n">
        <v>123</v>
      </c>
      <c r="E13721" s="44" t="n">
        <v>3818.98</v>
      </c>
    </row>
    <row r="13722">
      <c r="A13722" s="39">
        <f>_xlfn.XLOOKUP(81612,Trip[shape_id],Trip[shape_id],"Não encontrado")</f>
        <v/>
      </c>
      <c r="B13722" s="40" t="n">
        <v>-23.54334</v>
      </c>
      <c r="C13722" s="40" t="n">
        <v>-46.546769</v>
      </c>
      <c r="D13722" s="40" t="n">
        <v>124</v>
      </c>
      <c r="E13722" s="41" t="n">
        <v>3833.9338</v>
      </c>
    </row>
    <row r="13723">
      <c r="A13723" s="42">
        <f>_xlfn.XLOOKUP(81612,Trip[shape_id],Trip[shape_id],"Não encontrado")</f>
        <v/>
      </c>
      <c r="B13723" s="43" t="n">
        <v>-23.543427</v>
      </c>
      <c r="C13723" s="43" t="n">
        <v>-46.546657</v>
      </c>
      <c r="D13723" s="43" t="n">
        <v>125</v>
      </c>
      <c r="E13723" s="44" t="n">
        <v>3833.9338</v>
      </c>
    </row>
    <row r="13724">
      <c r="A13724" s="39">
        <f>_xlfn.XLOOKUP(81612,Trip[shape_id],Trip[shape_id],"Não encontrado")</f>
        <v/>
      </c>
      <c r="B13724" s="40" t="n">
        <v>-23.543497</v>
      </c>
      <c r="C13724" s="40" t="n">
        <v>-46.546597</v>
      </c>
      <c r="D13724" s="40" t="n">
        <v>126</v>
      </c>
      <c r="E13724" s="41" t="n">
        <v>3905.6042</v>
      </c>
    </row>
    <row r="13725">
      <c r="A13725" s="42">
        <f>_xlfn.XLOOKUP(81612,Trip[shape_id],Trip[shape_id],"Não encontrado")</f>
        <v/>
      </c>
      <c r="B13725" s="43" t="n">
        <v>-23.543956</v>
      </c>
      <c r="C13725" s="43" t="n">
        <v>-46.546253</v>
      </c>
      <c r="D13725" s="43" t="n">
        <v>127</v>
      </c>
      <c r="E13725" s="44" t="n">
        <v>3905.6042</v>
      </c>
    </row>
    <row r="13726">
      <c r="A13726" s="39">
        <f>_xlfn.XLOOKUP(81612,Trip[shape_id],Trip[shape_id],"Não encontrado")</f>
        <v/>
      </c>
      <c r="B13726" s="40" t="n">
        <v>-23.544117</v>
      </c>
      <c r="C13726" s="40" t="n">
        <v>-46.546146</v>
      </c>
      <c r="D13726" s="40" t="n">
        <v>128</v>
      </c>
      <c r="E13726" s="41" t="n">
        <v>3926.5161</v>
      </c>
    </row>
    <row r="13727">
      <c r="A13727" s="42">
        <f>_xlfn.XLOOKUP(81612,Trip[shape_id],Trip[shape_id],"Não encontrado")</f>
        <v/>
      </c>
      <c r="B13727" s="43" t="n">
        <v>-23.544556</v>
      </c>
      <c r="C13727" s="43" t="n">
        <v>-46.545821</v>
      </c>
      <c r="D13727" s="43" t="n">
        <v>129</v>
      </c>
      <c r="E13727" s="44" t="n">
        <v>3985.3816</v>
      </c>
    </row>
    <row r="13728">
      <c r="A13728" s="39">
        <f>_xlfn.XLOOKUP(81612,Trip[shape_id],Trip[shape_id],"Não encontrado")</f>
        <v/>
      </c>
      <c r="B13728" s="40" t="n">
        <v>-23.544944</v>
      </c>
      <c r="C13728" s="40" t="n">
        <v>-46.545533</v>
      </c>
      <c r="D13728" s="40" t="n">
        <v>130</v>
      </c>
      <c r="E13728" s="41" t="n">
        <v>4037.4519</v>
      </c>
    </row>
    <row r="13729">
      <c r="A13729" s="42">
        <f>_xlfn.XLOOKUP(81612,Trip[shape_id],Trip[shape_id],"Não encontrado")</f>
        <v/>
      </c>
      <c r="B13729" s="43" t="n">
        <v>-23.545004</v>
      </c>
      <c r="C13729" s="43" t="n">
        <v>-46.545469</v>
      </c>
      <c r="D13729" s="43" t="n">
        <v>131</v>
      </c>
      <c r="E13729" s="44" t="n">
        <v>4057.6897</v>
      </c>
    </row>
    <row r="13730">
      <c r="A13730" s="39">
        <f>_xlfn.XLOOKUP(81612,Trip[shape_id],Trip[shape_id],"Não encontrado")</f>
        <v/>
      </c>
      <c r="B13730" s="40" t="n">
        <v>-23.54506</v>
      </c>
      <c r="C13730" s="40" t="n">
        <v>-46.545381</v>
      </c>
      <c r="D13730" s="40" t="n">
        <v>132</v>
      </c>
      <c r="E13730" s="41" t="n">
        <v>4097.6675</v>
      </c>
    </row>
    <row r="13731">
      <c r="A13731" s="42">
        <f>_xlfn.XLOOKUP(81612,Trip[shape_id],Trip[shape_id],"Não encontrado")</f>
        <v/>
      </c>
      <c r="B13731" s="43" t="n">
        <v>-23.545239</v>
      </c>
      <c r="C13731" s="43" t="n">
        <v>-46.545041</v>
      </c>
      <c r="D13731" s="43" t="n">
        <v>133</v>
      </c>
      <c r="E13731" s="44" t="n">
        <v>4138.2881</v>
      </c>
    </row>
    <row r="13732">
      <c r="A13732" s="39">
        <f>_xlfn.XLOOKUP(81612,Trip[shape_id],Trip[shape_id],"Não encontrado")</f>
        <v/>
      </c>
      <c r="B13732" s="40" t="n">
        <v>-23.545387</v>
      </c>
      <c r="C13732" s="40" t="n">
        <v>-46.544677</v>
      </c>
      <c r="D13732" s="40" t="n">
        <v>134</v>
      </c>
      <c r="E13732" s="41" t="n">
        <v>4190.6797</v>
      </c>
    </row>
    <row r="13733">
      <c r="A13733" s="42">
        <f>_xlfn.XLOOKUP(81612,Trip[shape_id],Trip[shape_id],"Não encontrado")</f>
        <v/>
      </c>
      <c r="B13733" s="43" t="n">
        <v>-23.545585</v>
      </c>
      <c r="C13733" s="43" t="n">
        <v>-46.544211</v>
      </c>
      <c r="D13733" s="43" t="n">
        <v>135</v>
      </c>
      <c r="E13733" s="44" t="n">
        <v>4190.6797</v>
      </c>
    </row>
    <row r="13734">
      <c r="A13734" s="39">
        <f>_xlfn.XLOOKUP(81612,Trip[shape_id],Trip[shape_id],"Não encontrado")</f>
        <v/>
      </c>
      <c r="B13734" s="40" t="n">
        <v>-23.545813</v>
      </c>
      <c r="C13734" s="40" t="n">
        <v>-46.543732</v>
      </c>
      <c r="D13734" s="40" t="n">
        <v>136</v>
      </c>
      <c r="E13734" s="41" t="n">
        <v>4252.6802</v>
      </c>
    </row>
    <row r="13735">
      <c r="A13735" s="42">
        <f>_xlfn.XLOOKUP(81612,Trip[shape_id],Trip[shape_id],"Não encontrado")</f>
        <v/>
      </c>
      <c r="B13735" s="43" t="n">
        <v>-23.545841</v>
      </c>
      <c r="C13735" s="43" t="n">
        <v>-46.543671</v>
      </c>
      <c r="D13735" s="43" t="n">
        <v>137</v>
      </c>
      <c r="E13735" s="44" t="n">
        <v>4281.9824</v>
      </c>
    </row>
    <row r="13736">
      <c r="A13736" s="39">
        <f>_xlfn.XLOOKUP(81612,Trip[shape_id],Trip[shape_id],"Não encontrado")</f>
        <v/>
      </c>
      <c r="B13736" s="40" t="n">
        <v>-23.545951</v>
      </c>
      <c r="C13736" s="40" t="n">
        <v>-46.54341</v>
      </c>
      <c r="D13736" s="40" t="n">
        <v>138</v>
      </c>
      <c r="E13736" s="41" t="n">
        <v>4281.9824</v>
      </c>
    </row>
    <row r="13737">
      <c r="A13737" s="42">
        <f>_xlfn.XLOOKUP(81612,Trip[shape_id],Trip[shape_id],"Não encontrado")</f>
        <v/>
      </c>
      <c r="B13737" s="43" t="n">
        <v>-23.546084</v>
      </c>
      <c r="C13737" s="43" t="n">
        <v>-46.543114</v>
      </c>
      <c r="D13737" s="43" t="n">
        <v>139</v>
      </c>
      <c r="E13737" s="44" t="n">
        <v>4398.8999</v>
      </c>
    </row>
    <row r="13738">
      <c r="A13738" s="39">
        <f>_xlfn.XLOOKUP(81612,Trip[shape_id],Trip[shape_id],"Não encontrado")</f>
        <v/>
      </c>
      <c r="B13738" s="40" t="n">
        <v>-23.546416</v>
      </c>
      <c r="C13738" s="40" t="n">
        <v>-46.542382</v>
      </c>
      <c r="D13738" s="40" t="n">
        <v>140</v>
      </c>
      <c r="E13738" s="41" t="n">
        <v>4398.8999</v>
      </c>
    </row>
    <row r="13739">
      <c r="A13739" s="42">
        <f>_xlfn.XLOOKUP(81612,Trip[shape_id],Trip[shape_id],"Não encontrado")</f>
        <v/>
      </c>
      <c r="B13739" s="43" t="n">
        <v>-23.546519</v>
      </c>
      <c r="C13739" s="43" t="n">
        <v>-46.542155</v>
      </c>
      <c r="D13739" s="43" t="n">
        <v>141</v>
      </c>
      <c r="E13739" s="44" t="n">
        <v>4453.3398</v>
      </c>
    </row>
    <row r="13740">
      <c r="A13740" s="39">
        <f>_xlfn.XLOOKUP(81612,Trip[shape_id],Trip[shape_id],"Não encontrado")</f>
        <v/>
      </c>
      <c r="B13740" s="40" t="n">
        <v>-23.546626</v>
      </c>
      <c r="C13740" s="40" t="n">
        <v>-46.5419</v>
      </c>
      <c r="D13740" s="40" t="n">
        <v>142</v>
      </c>
      <c r="E13740" s="41" t="n">
        <v>4453.3398</v>
      </c>
    </row>
    <row r="13741">
      <c r="A13741" s="42">
        <f>_xlfn.XLOOKUP(81612,Trip[shape_id],Trip[shape_id],"Não encontrado")</f>
        <v/>
      </c>
      <c r="B13741" s="43" t="n">
        <v>-23.546865</v>
      </c>
      <c r="C13741" s="43" t="n">
        <v>-46.541359</v>
      </c>
      <c r="D13741" s="43" t="n">
        <v>143</v>
      </c>
      <c r="E13741" s="44" t="n">
        <v>4514.5933</v>
      </c>
    </row>
    <row r="13742">
      <c r="A13742" s="39">
        <f>_xlfn.XLOOKUP(81612,Trip[shape_id],Trip[shape_id],"Não encontrado")</f>
        <v/>
      </c>
      <c r="B13742" s="40" t="n">
        <v>-23.547329</v>
      </c>
      <c r="C13742" s="40" t="n">
        <v>-46.540328</v>
      </c>
      <c r="D13742" s="40" t="n">
        <v>144</v>
      </c>
      <c r="E13742" s="41" t="n">
        <v>4631.7368</v>
      </c>
    </row>
    <row r="13743">
      <c r="A13743" s="42">
        <f>_xlfn.XLOOKUP(81612,Trip[shape_id],Trip[shape_id],"Não encontrado")</f>
        <v/>
      </c>
      <c r="B13743" s="43" t="n">
        <v>-23.547368</v>
      </c>
      <c r="C13743" s="43" t="n">
        <v>-46.540261</v>
      </c>
      <c r="D13743" s="43" t="n">
        <v>145</v>
      </c>
      <c r="E13743" s="44" t="n">
        <v>4722.2231</v>
      </c>
    </row>
    <row r="13744">
      <c r="A13744" s="39">
        <f>_xlfn.XLOOKUP(81612,Trip[shape_id],Trip[shape_id],"Não encontrado")</f>
        <v/>
      </c>
      <c r="B13744" s="40" t="n">
        <v>-23.547689</v>
      </c>
      <c r="C13744" s="40" t="n">
        <v>-46.539533</v>
      </c>
      <c r="D13744" s="40" t="n">
        <v>146</v>
      </c>
      <c r="E13744" s="41" t="n">
        <v>4748.9844</v>
      </c>
    </row>
    <row r="13745">
      <c r="A13745" s="42">
        <f>_xlfn.XLOOKUP(81612,Trip[shape_id],Trip[shape_id],"Não encontrado")</f>
        <v/>
      </c>
      <c r="B13745" s="43" t="n">
        <v>-23.547796</v>
      </c>
      <c r="C13745" s="43" t="n">
        <v>-46.539298</v>
      </c>
      <c r="D13745" s="43" t="n">
        <v>147</v>
      </c>
      <c r="E13745" s="44" t="n">
        <v>4748.9844</v>
      </c>
    </row>
    <row r="13746">
      <c r="A13746" s="39">
        <f>_xlfn.XLOOKUP(81612,Trip[shape_id],Trip[shape_id],"Não encontrado")</f>
        <v/>
      </c>
      <c r="B13746" s="40" t="n">
        <v>-23.548324</v>
      </c>
      <c r="C13746" s="40" t="n">
        <v>-46.539601</v>
      </c>
      <c r="D13746" s="40" t="n">
        <v>148</v>
      </c>
      <c r="E13746" s="41" t="n">
        <v>4815.1406</v>
      </c>
    </row>
    <row r="13747">
      <c r="A13747" s="42">
        <f>_xlfn.XLOOKUP(81612,Trip[shape_id],Trip[shape_id],"Não encontrado")</f>
        <v/>
      </c>
      <c r="B13747" s="43" t="n">
        <v>-23.548538</v>
      </c>
      <c r="C13747" s="43" t="n">
        <v>-46.539714</v>
      </c>
      <c r="D13747" s="43" t="n">
        <v>149</v>
      </c>
      <c r="E13747" s="44" t="n">
        <v>4841.5005</v>
      </c>
    </row>
    <row r="13748">
      <c r="A13748" s="39">
        <f>_xlfn.XLOOKUP(81612,Trip[shape_id],Trip[shape_id],"Não encontrado")</f>
        <v/>
      </c>
      <c r="B13748" s="40" t="n">
        <v>-23.54877</v>
      </c>
      <c r="C13748" s="40" t="n">
        <v>-46.539844</v>
      </c>
      <c r="D13748" s="40" t="n">
        <v>150</v>
      </c>
      <c r="E13748" s="41" t="n">
        <v>4870.4209</v>
      </c>
    </row>
    <row r="13749">
      <c r="A13749" s="42">
        <f>_xlfn.XLOOKUP(81612,Trip[shape_id],Trip[shape_id],"Não encontrado")</f>
        <v/>
      </c>
      <c r="B13749" s="43" t="n">
        <v>-23.548317</v>
      </c>
      <c r="C13749" s="43" t="n">
        <v>-46.540856</v>
      </c>
      <c r="D13749" s="43" t="n">
        <v>151</v>
      </c>
      <c r="E13749" s="44" t="n">
        <v>4985.2856</v>
      </c>
    </row>
    <row r="13750">
      <c r="A13750" s="39">
        <f>_xlfn.XLOOKUP(81612,Trip[shape_id],Trip[shape_id],"Não encontrado")</f>
        <v/>
      </c>
      <c r="B13750" s="40" t="n">
        <v>-23.549261</v>
      </c>
      <c r="C13750" s="40" t="n">
        <v>-46.541358</v>
      </c>
      <c r="D13750" s="40" t="n">
        <v>152</v>
      </c>
      <c r="E13750" s="41" t="n">
        <v>5101.7236</v>
      </c>
    </row>
    <row r="13751">
      <c r="A13751" s="42">
        <f>_xlfn.XLOOKUP(81612,Trip[shape_id],Trip[shape_id],"Não encontrado")</f>
        <v/>
      </c>
      <c r="B13751" s="43" t="n">
        <v>-23.549693</v>
      </c>
      <c r="C13751" s="43" t="n">
        <v>-46.541586</v>
      </c>
      <c r="D13751" s="43" t="n">
        <v>153</v>
      </c>
      <c r="E13751" s="44" t="n">
        <v>5154.9312</v>
      </c>
    </row>
    <row r="13752">
      <c r="A13752" s="39">
        <f>_xlfn.XLOOKUP(81612,Trip[shape_id],Trip[shape_id],"Não encontrado")</f>
        <v/>
      </c>
      <c r="B13752" s="40" t="n">
        <v>-23.550196</v>
      </c>
      <c r="C13752" s="40" t="n">
        <v>-46.541853</v>
      </c>
      <c r="D13752" s="40" t="n">
        <v>154</v>
      </c>
      <c r="E13752" s="41" t="n">
        <v>5216.9521</v>
      </c>
    </row>
    <row r="13753">
      <c r="A13753" s="42">
        <f>_xlfn.XLOOKUP(81612,Trip[shape_id],Trip[shape_id],"Não encontrado")</f>
        <v/>
      </c>
      <c r="B13753" s="43" t="n">
        <v>-23.551134</v>
      </c>
      <c r="C13753" s="43" t="n">
        <v>-46.542337</v>
      </c>
      <c r="D13753" s="43" t="n">
        <v>155</v>
      </c>
      <c r="E13753" s="44" t="n">
        <v>5331.9922</v>
      </c>
    </row>
    <row r="13754">
      <c r="A13754" s="39">
        <f>_xlfn.XLOOKUP(81612,Trip[shape_id],Trip[shape_id],"Não encontrado")</f>
        <v/>
      </c>
      <c r="B13754" s="40" t="n">
        <v>-23.55208</v>
      </c>
      <c r="C13754" s="40" t="n">
        <v>-46.542834</v>
      </c>
      <c r="D13754" s="40" t="n">
        <v>156</v>
      </c>
      <c r="E13754" s="41" t="n">
        <v>5448.4053</v>
      </c>
    </row>
    <row r="13755">
      <c r="A13755" s="42">
        <f>_xlfn.XLOOKUP(81612,Trip[shape_id],Trip[shape_id],"Não encontrado")</f>
        <v/>
      </c>
      <c r="B13755" s="43" t="n">
        <v>-23.553018</v>
      </c>
      <c r="C13755" s="43" t="n">
        <v>-46.543324</v>
      </c>
      <c r="D13755" s="43" t="n">
        <v>157</v>
      </c>
      <c r="E13755" s="44" t="n">
        <v>5563.7095</v>
      </c>
    </row>
    <row r="13756">
      <c r="A13756" s="39">
        <f>_xlfn.XLOOKUP(81612,Trip[shape_id],Trip[shape_id],"Não encontrado")</f>
        <v/>
      </c>
      <c r="B13756" s="40" t="n">
        <v>-23.553194</v>
      </c>
      <c r="C13756" s="40" t="n">
        <v>-46.543422</v>
      </c>
      <c r="D13756" s="40" t="n">
        <v>158</v>
      </c>
      <c r="E13756" s="41" t="n">
        <v>5621.627</v>
      </c>
    </row>
    <row r="13757">
      <c r="A13757" s="42">
        <f>_xlfn.XLOOKUP(81612,Trip[shape_id],Trip[shape_id],"Não encontrado")</f>
        <v/>
      </c>
      <c r="B13757" s="43" t="n">
        <v>-23.553492</v>
      </c>
      <c r="C13757" s="43" t="n">
        <v>-46.543563</v>
      </c>
      <c r="D13757" s="43" t="n">
        <v>159</v>
      </c>
      <c r="E13757" s="44" t="n">
        <v>5633.1519</v>
      </c>
    </row>
    <row r="13758">
      <c r="A13758" s="39">
        <f>_xlfn.XLOOKUP(81612,Trip[shape_id],Trip[shape_id],"Não encontrado")</f>
        <v/>
      </c>
      <c r="B13758" s="40" t="n">
        <v>-23.553596</v>
      </c>
      <c r="C13758" s="40" t="n">
        <v>-46.543567</v>
      </c>
      <c r="D13758" s="40" t="n">
        <v>160</v>
      </c>
      <c r="E13758" s="41" t="n">
        <v>5649.853</v>
      </c>
    </row>
    <row r="13759">
      <c r="A13759" s="42">
        <f>_xlfn.XLOOKUP(81612,Trip[shape_id],Trip[shape_id],"Não encontrado")</f>
        <v/>
      </c>
      <c r="B13759" s="43" t="n">
        <v>-23.553737</v>
      </c>
      <c r="C13759" s="43" t="n">
        <v>-46.543509</v>
      </c>
      <c r="D13759" s="43" t="n">
        <v>161</v>
      </c>
      <c r="E13759" s="44" t="n">
        <v>5649.853</v>
      </c>
    </row>
    <row r="13760">
      <c r="A13760" s="39">
        <f>_xlfn.XLOOKUP(81612,Trip[shape_id],Trip[shape_id],"Não encontrado")</f>
        <v/>
      </c>
      <c r="B13760" s="40" t="n">
        <v>-23.554954</v>
      </c>
      <c r="C13760" s="40" t="n">
        <v>-46.543033</v>
      </c>
      <c r="D13760" s="40" t="n">
        <v>162</v>
      </c>
      <c r="E13760" s="41" t="n">
        <v>5793.1318</v>
      </c>
    </row>
    <row r="13761">
      <c r="A13761" s="42">
        <f>_xlfn.XLOOKUP(81612,Trip[shape_id],Trip[shape_id],"Não encontrado")</f>
        <v/>
      </c>
      <c r="B13761" s="43" t="n">
        <v>-23.55517</v>
      </c>
      <c r="C13761" s="43" t="n">
        <v>-46.542957</v>
      </c>
      <c r="D13761" s="43" t="n">
        <v>163</v>
      </c>
      <c r="E13761" s="44" t="n">
        <v>5839.5332</v>
      </c>
    </row>
    <row r="13762">
      <c r="A13762" s="39">
        <f>_xlfn.XLOOKUP(81612,Trip[shape_id],Trip[shape_id],"Não encontrado")</f>
        <v/>
      </c>
      <c r="B13762" s="40" t="n">
        <v>-23.555349</v>
      </c>
      <c r="C13762" s="40" t="n">
        <v>-46.542882</v>
      </c>
      <c r="D13762" s="40" t="n">
        <v>164</v>
      </c>
      <c r="E13762" s="41" t="n">
        <v>5857.2744</v>
      </c>
    </row>
    <row r="13763">
      <c r="A13763" s="42">
        <f>_xlfn.XLOOKUP(81612,Trip[shape_id],Trip[shape_id],"Não encontrado")</f>
        <v/>
      </c>
      <c r="B13763" s="43" t="n">
        <v>-23.5555</v>
      </c>
      <c r="C13763" s="43" t="n">
        <v>-46.542824</v>
      </c>
      <c r="D13763" s="43" t="n">
        <v>165</v>
      </c>
      <c r="E13763" s="44" t="n">
        <v>5872.1689</v>
      </c>
    </row>
    <row r="13764">
      <c r="A13764" s="39">
        <f>_xlfn.XLOOKUP(81612,Trip[shape_id],Trip[shape_id],"Não encontrado")</f>
        <v/>
      </c>
      <c r="B13764" s="40" t="n">
        <v>-23.555626</v>
      </c>
      <c r="C13764" s="40" t="n">
        <v>-46.542773</v>
      </c>
      <c r="D13764" s="40" t="n">
        <v>166</v>
      </c>
      <c r="E13764" s="41" t="n">
        <v>5880.4219</v>
      </c>
    </row>
    <row r="13765">
      <c r="A13765" s="42">
        <f>_xlfn.XLOOKUP(81612,Trip[shape_id],Trip[shape_id],"Não encontrado")</f>
        <v/>
      </c>
      <c r="B13765" s="43" t="n">
        <v>-23.555658</v>
      </c>
      <c r="C13765" s="43" t="n">
        <v>-46.5427</v>
      </c>
      <c r="D13765" s="43" t="n">
        <v>167</v>
      </c>
      <c r="E13765" s="44" t="n">
        <v>5890.8345</v>
      </c>
    </row>
    <row r="13766">
      <c r="A13766" s="39">
        <f>_xlfn.XLOOKUP(81612,Trip[shape_id],Trip[shape_id],"Não encontrado")</f>
        <v/>
      </c>
      <c r="B13766" s="40" t="n">
        <v>-23.55575</v>
      </c>
      <c r="C13766" s="40" t="n">
        <v>-46.542721</v>
      </c>
      <c r="D13766" s="40" t="n">
        <v>168</v>
      </c>
      <c r="E13766" s="41" t="n">
        <v>5942.1855</v>
      </c>
    </row>
    <row r="13767">
      <c r="A13767" s="42">
        <f>_xlfn.XLOOKUP(81612,Trip[shape_id],Trip[shape_id],"Não encontrado")</f>
        <v/>
      </c>
      <c r="B13767" s="43" t="n">
        <v>-23.556188</v>
      </c>
      <c r="C13767" s="43" t="n">
        <v>-46.542556</v>
      </c>
      <c r="D13767" s="43" t="n">
        <v>169</v>
      </c>
      <c r="E13767" s="44" t="n">
        <v>5942.1855</v>
      </c>
    </row>
    <row r="13768">
      <c r="A13768" s="39">
        <f>_xlfn.XLOOKUP(81612,Trip[shape_id],Trip[shape_id],"Não encontrado")</f>
        <v/>
      </c>
      <c r="B13768" s="40" t="n">
        <v>-23.557497</v>
      </c>
      <c r="C13768" s="40" t="n">
        <v>-46.542039</v>
      </c>
      <c r="D13768" s="40" t="n">
        <v>170</v>
      </c>
      <c r="E13768" s="41" t="n">
        <v>6096.4702</v>
      </c>
    </row>
    <row r="13769">
      <c r="A13769" s="42">
        <f>_xlfn.XLOOKUP(81612,Trip[shape_id],Trip[shape_id],"Não encontrado")</f>
        <v/>
      </c>
      <c r="B13769" s="43" t="n">
        <v>-23.557741</v>
      </c>
      <c r="C13769" s="43" t="n">
        <v>-46.541943</v>
      </c>
      <c r="D13769" s="43" t="n">
        <v>171</v>
      </c>
      <c r="E13769" s="44" t="n">
        <v>6130.5288</v>
      </c>
    </row>
    <row r="13770">
      <c r="A13770" s="39">
        <f>_xlfn.XLOOKUP(81612,Trip[shape_id],Trip[shape_id],"Não encontrado")</f>
        <v/>
      </c>
      <c r="B13770" s="40" t="n">
        <v>-23.557786</v>
      </c>
      <c r="C13770" s="40" t="n">
        <v>-46.541925</v>
      </c>
      <c r="D13770" s="40" t="n">
        <v>172</v>
      </c>
      <c r="E13770" s="41" t="n">
        <v>6140.2178</v>
      </c>
    </row>
    <row r="13771">
      <c r="A13771" s="42">
        <f>_xlfn.XLOOKUP(81612,Trip[shape_id],Trip[shape_id],"Não encontrado")</f>
        <v/>
      </c>
      <c r="B13771" s="43" t="n">
        <v>-23.557869</v>
      </c>
      <c r="C13771" s="43" t="n">
        <v>-46.541895</v>
      </c>
      <c r="D13771" s="43" t="n">
        <v>173</v>
      </c>
      <c r="E13771" s="44" t="n">
        <v>6169.5693</v>
      </c>
    </row>
    <row r="13772">
      <c r="A13772" s="39">
        <f>_xlfn.XLOOKUP(81612,Trip[shape_id],Trip[shape_id],"Não encontrado")</f>
        <v/>
      </c>
      <c r="B13772" s="40" t="n">
        <v>-23.558121</v>
      </c>
      <c r="C13772" s="40" t="n">
        <v>-46.541806</v>
      </c>
      <c r="D13772" s="40" t="n">
        <v>174</v>
      </c>
      <c r="E13772" s="41" t="n">
        <v>6169.5693</v>
      </c>
    </row>
    <row r="13773">
      <c r="A13773" s="42">
        <f>_xlfn.XLOOKUP(81612,Trip[shape_id],Trip[shape_id],"Não encontrado")</f>
        <v/>
      </c>
      <c r="B13773" s="43" t="n">
        <v>-23.558399</v>
      </c>
      <c r="C13773" s="43" t="n">
        <v>-46.541697</v>
      </c>
      <c r="D13773" s="43" t="n">
        <v>175</v>
      </c>
      <c r="E13773" s="44" t="n">
        <v>6202.3076</v>
      </c>
    </row>
    <row r="13774">
      <c r="A13774" s="39">
        <f>_xlfn.XLOOKUP(81612,Trip[shape_id],Trip[shape_id],"Não encontrado")</f>
        <v/>
      </c>
      <c r="B13774" s="40" t="n">
        <v>-23.559872</v>
      </c>
      <c r="C13774" s="40" t="n">
        <v>-46.541129</v>
      </c>
      <c r="D13774" s="40" t="n">
        <v>176</v>
      </c>
      <c r="E13774" s="41" t="n">
        <v>6375.4453</v>
      </c>
    </row>
    <row r="13775">
      <c r="A13775" s="42">
        <f>_xlfn.XLOOKUP(81612,Trip[shape_id],Trip[shape_id],"Não encontrado")</f>
        <v/>
      </c>
      <c r="B13775" s="43" t="n">
        <v>-23.560165</v>
      </c>
      <c r="C13775" s="43" t="n">
        <v>-46.541017</v>
      </c>
      <c r="D13775" s="43" t="n">
        <v>177</v>
      </c>
      <c r="E13775" s="44" t="n">
        <v>6409.8516</v>
      </c>
    </row>
    <row r="13776">
      <c r="A13776" s="39">
        <f>_xlfn.XLOOKUP(81612,Trip[shape_id],Trip[shape_id],"Não encontrado")</f>
        <v/>
      </c>
      <c r="B13776" s="40" t="n">
        <v>-23.560936</v>
      </c>
      <c r="C13776" s="40" t="n">
        <v>-46.540715</v>
      </c>
      <c r="D13776" s="40" t="n">
        <v>178</v>
      </c>
      <c r="E13776" s="41" t="n">
        <v>6533.8965</v>
      </c>
    </row>
    <row r="13777">
      <c r="A13777" s="42">
        <f>_xlfn.XLOOKUP(81612,Trip[shape_id],Trip[shape_id],"Não encontrado")</f>
        <v/>
      </c>
      <c r="B13777" s="43" t="n">
        <v>-23.561218</v>
      </c>
      <c r="C13777" s="43" t="n">
        <v>-46.540603</v>
      </c>
      <c r="D13777" s="43" t="n">
        <v>179</v>
      </c>
      <c r="E13777" s="44" t="n">
        <v>6533.8965</v>
      </c>
    </row>
    <row r="13778">
      <c r="A13778" s="39">
        <f>_xlfn.XLOOKUP(81612,Trip[shape_id],Trip[shape_id],"Não encontrado")</f>
        <v/>
      </c>
      <c r="B13778" s="40" t="n">
        <v>-23.561667</v>
      </c>
      <c r="C13778" s="40" t="n">
        <v>-46.540666</v>
      </c>
      <c r="D13778" s="40" t="n">
        <v>180</v>
      </c>
      <c r="E13778" s="41" t="n">
        <v>6584.0381</v>
      </c>
    </row>
    <row r="13779">
      <c r="A13779" s="42">
        <f>_xlfn.XLOOKUP(81612,Trip[shape_id],Trip[shape_id],"Não encontrado")</f>
        <v/>
      </c>
      <c r="B13779" s="43" t="n">
        <v>-23.561673</v>
      </c>
      <c r="C13779" s="43" t="n">
        <v>-46.540851</v>
      </c>
      <c r="D13779" s="43" t="n">
        <v>181</v>
      </c>
      <c r="E13779" s="44" t="n">
        <v>6602.937</v>
      </c>
    </row>
    <row r="13780">
      <c r="A13780" s="39">
        <f>_xlfn.XLOOKUP(81612,Trip[shape_id],Trip[shape_id],"Não encontrado")</f>
        <v/>
      </c>
      <c r="B13780" s="40" t="n">
        <v>-23.561685</v>
      </c>
      <c r="C13780" s="40" t="n">
        <v>-46.540938</v>
      </c>
      <c r="D13780" s="40" t="n">
        <v>182</v>
      </c>
      <c r="E13780" s="41" t="n">
        <v>6611.918</v>
      </c>
    </row>
    <row r="13781">
      <c r="A13781" s="42">
        <f>_xlfn.XLOOKUP(81612,Trip[shape_id],Trip[shape_id],"Não encontrado")</f>
        <v/>
      </c>
      <c r="B13781" s="43" t="n">
        <v>-23.561726</v>
      </c>
      <c r="C13781" s="43" t="n">
        <v>-46.541119</v>
      </c>
      <c r="D13781" s="43" t="n">
        <v>183</v>
      </c>
      <c r="E13781" s="44" t="n">
        <v>6630.9463</v>
      </c>
    </row>
    <row r="13782">
      <c r="A13782" s="39">
        <f>_xlfn.XLOOKUP(81612,Trip[shape_id],Trip[shape_id],"Não encontrado")</f>
        <v/>
      </c>
      <c r="B13782" s="40" t="n">
        <v>-23.561731</v>
      </c>
      <c r="C13782" s="40" t="n">
        <v>-46.541165</v>
      </c>
      <c r="D13782" s="40" t="n">
        <v>184</v>
      </c>
      <c r="E13782" s="41" t="n">
        <v>6635.6753</v>
      </c>
    </row>
    <row r="13783">
      <c r="A13783" s="42">
        <f>_xlfn.XLOOKUP(81612,Trip[shape_id],Trip[shape_id],"Não encontrado")</f>
        <v/>
      </c>
      <c r="B13783" s="43" t="n">
        <v>-23.561801</v>
      </c>
      <c r="C13783" s="43" t="n">
        <v>-46.54131</v>
      </c>
      <c r="D13783" s="43" t="n">
        <v>185</v>
      </c>
      <c r="E13783" s="44" t="n">
        <v>6652.3857</v>
      </c>
    </row>
    <row r="13784">
      <c r="A13784" s="39">
        <f>_xlfn.XLOOKUP(81612,Trip[shape_id],Trip[shape_id],"Não encontrado")</f>
        <v/>
      </c>
      <c r="B13784" s="40" t="n">
        <v>-23.561854</v>
      </c>
      <c r="C13784" s="40" t="n">
        <v>-46.541381</v>
      </c>
      <c r="D13784" s="40" t="n">
        <v>186</v>
      </c>
      <c r="E13784" s="41" t="n">
        <v>6661.7124</v>
      </c>
    </row>
    <row r="13785">
      <c r="A13785" s="42">
        <f>_xlfn.XLOOKUP(81612,Trip[shape_id],Trip[shape_id],"Não encontrado")</f>
        <v/>
      </c>
      <c r="B13785" s="43" t="n">
        <v>-23.56197</v>
      </c>
      <c r="C13785" s="43" t="n">
        <v>-46.541522</v>
      </c>
      <c r="D13785" s="43" t="n">
        <v>187</v>
      </c>
      <c r="E13785" s="44" t="n">
        <v>6681.0068</v>
      </c>
    </row>
    <row r="13786">
      <c r="A13786" s="39">
        <f>_xlfn.XLOOKUP(81612,Trip[shape_id],Trip[shape_id],"Não encontrado")</f>
        <v/>
      </c>
      <c r="B13786" s="40" t="n">
        <v>-23.562835</v>
      </c>
      <c r="C13786" s="40" t="n">
        <v>-46.542387</v>
      </c>
      <c r="D13786" s="40" t="n">
        <v>188</v>
      </c>
      <c r="E13786" s="41" t="n">
        <v>6811.3003</v>
      </c>
    </row>
    <row r="13787">
      <c r="A13787" s="42">
        <f>_xlfn.XLOOKUP(81612,Trip[shape_id],Trip[shape_id],"Não encontrado")</f>
        <v/>
      </c>
      <c r="B13787" s="43" t="n">
        <v>-23.562952</v>
      </c>
      <c r="C13787" s="43" t="n">
        <v>-46.54249</v>
      </c>
      <c r="D13787" s="43" t="n">
        <v>189</v>
      </c>
      <c r="E13787" s="44" t="n">
        <v>6827.9883</v>
      </c>
    </row>
    <row r="13788">
      <c r="A13788" s="39">
        <f>_xlfn.XLOOKUP(81612,Trip[shape_id],Trip[shape_id],"Não encontrado")</f>
        <v/>
      </c>
      <c r="B13788" s="40" t="n">
        <v>-23.563003</v>
      </c>
      <c r="C13788" s="40" t="n">
        <v>-46.542601</v>
      </c>
      <c r="D13788" s="40" t="n">
        <v>190</v>
      </c>
      <c r="E13788" s="41" t="n">
        <v>6840.6499</v>
      </c>
    </row>
    <row r="13789">
      <c r="A13789" s="42">
        <f>_xlfn.XLOOKUP(81612,Trip[shape_id],Trip[shape_id],"Não encontrado")</f>
        <v/>
      </c>
      <c r="B13789" s="43" t="n">
        <v>-23.563087</v>
      </c>
      <c r="C13789" s="43" t="n">
        <v>-46.542695</v>
      </c>
      <c r="D13789" s="43" t="n">
        <v>191</v>
      </c>
      <c r="E13789" s="44" t="n">
        <v>6854.0161</v>
      </c>
    </row>
    <row r="13790">
      <c r="A13790" s="39">
        <f>_xlfn.XLOOKUP(81612,Trip[shape_id],Trip[shape_id],"Não encontrado")</f>
        <v/>
      </c>
      <c r="B13790" s="40" t="n">
        <v>-23.563148</v>
      </c>
      <c r="C13790" s="40" t="n">
        <v>-46.542743</v>
      </c>
      <c r="D13790" s="40" t="n">
        <v>192</v>
      </c>
      <c r="E13790" s="41" t="n">
        <v>6862.3623</v>
      </c>
    </row>
    <row r="13791">
      <c r="A13791" s="42">
        <f>_xlfn.XLOOKUP(81612,Trip[shape_id],Trip[shape_id],"Não encontrado")</f>
        <v/>
      </c>
      <c r="B13791" s="43" t="n">
        <v>-23.563316</v>
      </c>
      <c r="C13791" s="43" t="n">
        <v>-46.542875</v>
      </c>
      <c r="D13791" s="43" t="n">
        <v>193</v>
      </c>
      <c r="E13791" s="44" t="n">
        <v>6885.3364</v>
      </c>
    </row>
    <row r="13792">
      <c r="A13792" s="39">
        <f>_xlfn.XLOOKUP(81612,Trip[shape_id],Trip[shape_id],"Não encontrado")</f>
        <v/>
      </c>
      <c r="B13792" s="40" t="n">
        <v>-23.563495</v>
      </c>
      <c r="C13792" s="40" t="n">
        <v>-46.543073</v>
      </c>
      <c r="D13792" s="40" t="n">
        <v>194</v>
      </c>
      <c r="E13792" s="41" t="n">
        <v>6913.6494</v>
      </c>
    </row>
    <row r="13793">
      <c r="A13793" s="42">
        <f>_xlfn.XLOOKUP(81612,Trip[shape_id],Trip[shape_id],"Não encontrado")</f>
        <v/>
      </c>
      <c r="B13793" s="43" t="n">
        <v>-23.563685</v>
      </c>
      <c r="C13793" s="43" t="n">
        <v>-46.543333</v>
      </c>
      <c r="D13793" s="43" t="n">
        <v>195</v>
      </c>
      <c r="E13793" s="44" t="n">
        <v>6947.5225</v>
      </c>
    </row>
    <row r="13794">
      <c r="A13794" s="39">
        <f>_xlfn.XLOOKUP(81612,Trip[shape_id],Trip[shape_id],"Não encontrado")</f>
        <v/>
      </c>
      <c r="B13794" s="40" t="n">
        <v>-23.563819</v>
      </c>
      <c r="C13794" s="40" t="n">
        <v>-46.543537</v>
      </c>
      <c r="D13794" s="40" t="n">
        <v>196</v>
      </c>
      <c r="E13794" s="41" t="n">
        <v>6973.0957</v>
      </c>
    </row>
    <row r="13795">
      <c r="A13795" s="42">
        <f>_xlfn.XLOOKUP(81612,Trip[shape_id],Trip[shape_id],"Não encontrado")</f>
        <v/>
      </c>
      <c r="B13795" s="43" t="n">
        <v>-23.563946</v>
      </c>
      <c r="C13795" s="43" t="n">
        <v>-46.543764</v>
      </c>
      <c r="D13795" s="43" t="n">
        <v>197</v>
      </c>
      <c r="E13795" s="44" t="n">
        <v>7000.2051</v>
      </c>
    </row>
    <row r="13796">
      <c r="A13796" s="39">
        <f>_xlfn.XLOOKUP(81612,Trip[shape_id],Trip[shape_id],"Não encontrado")</f>
        <v/>
      </c>
      <c r="B13796" s="40" t="n">
        <v>-23.564082</v>
      </c>
      <c r="C13796" s="40" t="n">
        <v>-46.544031</v>
      </c>
      <c r="D13796" s="40" t="n">
        <v>198</v>
      </c>
      <c r="E13796" s="41" t="n">
        <v>7031.3481</v>
      </c>
    </row>
    <row r="13797">
      <c r="A13797" s="42">
        <f>_xlfn.XLOOKUP(81612,Trip[shape_id],Trip[shape_id],"Não encontrado")</f>
        <v/>
      </c>
      <c r="B13797" s="43" t="n">
        <v>-23.564288</v>
      </c>
      <c r="C13797" s="43" t="n">
        <v>-46.544387</v>
      </c>
      <c r="D13797" s="43" t="n">
        <v>199</v>
      </c>
      <c r="E13797" s="44" t="n">
        <v>7074.2603</v>
      </c>
    </row>
    <row r="13798">
      <c r="A13798" s="39">
        <f>_xlfn.XLOOKUP(81612,Trip[shape_id],Trip[shape_id],"Não encontrado")</f>
        <v/>
      </c>
      <c r="B13798" s="40" t="n">
        <v>-23.564436</v>
      </c>
      <c r="C13798" s="40" t="n">
        <v>-46.544594</v>
      </c>
      <c r="D13798" s="40" t="n">
        <v>200</v>
      </c>
      <c r="E13798" s="41" t="n">
        <v>7101.0049</v>
      </c>
    </row>
    <row r="13799">
      <c r="A13799" s="42">
        <f>_xlfn.XLOOKUP(81612,Trip[shape_id],Trip[shape_id],"Não encontrado")</f>
        <v/>
      </c>
      <c r="B13799" s="43" t="n">
        <v>-23.564474</v>
      </c>
      <c r="C13799" s="43" t="n">
        <v>-46.544633</v>
      </c>
      <c r="D13799" s="43" t="n">
        <v>201</v>
      </c>
      <c r="E13799" s="44" t="n">
        <v>7106.7979</v>
      </c>
    </row>
    <row r="13800">
      <c r="A13800" s="39">
        <f>_xlfn.XLOOKUP(81612,Trip[shape_id],Trip[shape_id],"Não encontrado")</f>
        <v/>
      </c>
      <c r="B13800" s="40" t="n">
        <v>-23.564543</v>
      </c>
      <c r="C13800" s="40" t="n">
        <v>-46.544739</v>
      </c>
      <c r="D13800" s="40" t="n">
        <v>202</v>
      </c>
      <c r="E13800" s="41" t="n">
        <v>7120.0454</v>
      </c>
    </row>
    <row r="13801">
      <c r="A13801" s="42">
        <f>_xlfn.XLOOKUP(81612,Trip[shape_id],Trip[shape_id],"Não encontrado")</f>
        <v/>
      </c>
      <c r="B13801" s="43" t="n">
        <v>-23.564688</v>
      </c>
      <c r="C13801" s="43" t="n">
        <v>-46.545097</v>
      </c>
      <c r="D13801" s="43" t="n">
        <v>203</v>
      </c>
      <c r="E13801" s="44" t="n">
        <v>7159.9668</v>
      </c>
    </row>
    <row r="13802">
      <c r="A13802" s="39">
        <f>_xlfn.XLOOKUP(81612,Trip[shape_id],Trip[shape_id],"Não encontrado")</f>
        <v/>
      </c>
      <c r="B13802" s="40" t="n">
        <v>-23.564725</v>
      </c>
      <c r="C13802" s="40" t="n">
        <v>-46.545274</v>
      </c>
      <c r="D13802" s="40" t="n">
        <v>204</v>
      </c>
      <c r="E13802" s="41" t="n">
        <v>7178.4956</v>
      </c>
    </row>
    <row r="13803">
      <c r="A13803" s="42">
        <f>_xlfn.XLOOKUP(81612,Trip[shape_id],Trip[shape_id],"Não encontrado")</f>
        <v/>
      </c>
      <c r="B13803" s="43" t="n">
        <v>-23.564748</v>
      </c>
      <c r="C13803" s="43" t="n">
        <v>-46.545463</v>
      </c>
      <c r="D13803" s="43" t="n">
        <v>205</v>
      </c>
      <c r="E13803" s="44" t="n">
        <v>7197.958</v>
      </c>
    </row>
    <row r="13804">
      <c r="A13804" s="39">
        <f>_xlfn.XLOOKUP(81612,Trip[shape_id],Trip[shape_id],"Não encontrado")</f>
        <v/>
      </c>
      <c r="B13804" s="40" t="n">
        <v>-23.564745</v>
      </c>
      <c r="C13804" s="40" t="n">
        <v>-46.545712</v>
      </c>
      <c r="D13804" s="40" t="n">
        <v>206</v>
      </c>
      <c r="E13804" s="41" t="n">
        <v>7223.3809</v>
      </c>
    </row>
    <row r="13805">
      <c r="A13805" s="42">
        <f>_xlfn.XLOOKUP(81612,Trip[shape_id],Trip[shape_id],"Não encontrado")</f>
        <v/>
      </c>
      <c r="B13805" s="43" t="n">
        <v>-23.564745</v>
      </c>
      <c r="C13805" s="43" t="n">
        <v>-46.545917</v>
      </c>
      <c r="D13805" s="43" t="n">
        <v>207</v>
      </c>
      <c r="E13805" s="44" t="n">
        <v>7244.3096</v>
      </c>
    </row>
    <row r="13806">
      <c r="A13806" s="39">
        <f>_xlfn.XLOOKUP(81612,Trip[shape_id],Trip[shape_id],"Não encontrado")</f>
        <v/>
      </c>
      <c r="B13806" s="40" t="n">
        <v>-23.564767</v>
      </c>
      <c r="C13806" s="40" t="n">
        <v>-46.546037</v>
      </c>
      <c r="D13806" s="40" t="n">
        <v>208</v>
      </c>
      <c r="E13806" s="41" t="n">
        <v>7256.8003</v>
      </c>
    </row>
    <row r="13807">
      <c r="A13807" s="42">
        <f>_xlfn.XLOOKUP(81612,Trip[shape_id],Trip[shape_id],"Não encontrado")</f>
        <v/>
      </c>
      <c r="B13807" s="43" t="n">
        <v>-23.565066</v>
      </c>
      <c r="C13807" s="43" t="n">
        <v>-46.545558</v>
      </c>
      <c r="D13807" s="43" t="n">
        <v>209</v>
      </c>
      <c r="E13807" s="44" t="n">
        <v>7327.5596</v>
      </c>
    </row>
    <row r="13808">
      <c r="A13808" s="39">
        <f>_xlfn.XLOOKUP(81612,Trip[shape_id],Trip[shape_id],"Não encontrado")</f>
        <v/>
      </c>
      <c r="B13808" s="40" t="n">
        <v>-23.565129</v>
      </c>
      <c r="C13808" s="40" t="n">
        <v>-46.545466</v>
      </c>
      <c r="D13808" s="40" t="n">
        <v>210</v>
      </c>
      <c r="E13808" s="41" t="n">
        <v>7327.5596</v>
      </c>
    </row>
    <row r="13809">
      <c r="A13809" s="42">
        <f>_xlfn.XLOOKUP(81612,Trip[shape_id],Trip[shape_id],"Não encontrado")</f>
        <v/>
      </c>
      <c r="B13809" s="43" t="n">
        <v>-23.56529</v>
      </c>
      <c r="C13809" s="43" t="n">
        <v>-46.545294</v>
      </c>
      <c r="D13809" s="43" t="n">
        <v>211</v>
      </c>
      <c r="E13809" s="44" t="n">
        <v>7352.5854</v>
      </c>
    </row>
    <row r="13810">
      <c r="A13810" s="39">
        <f>_xlfn.XLOOKUP(81612,Trip[shape_id],Trip[shape_id],"Não encontrado")</f>
        <v/>
      </c>
      <c r="B13810" s="40" t="n">
        <v>-23.565479</v>
      </c>
      <c r="C13810" s="40" t="n">
        <v>-46.545116</v>
      </c>
      <c r="D13810" s="40" t="n">
        <v>212</v>
      </c>
      <c r="E13810" s="41" t="n">
        <v>7380.3052</v>
      </c>
    </row>
    <row r="13811">
      <c r="A13811" s="42">
        <f>_xlfn.XLOOKUP(81612,Trip[shape_id],Trip[shape_id],"Não encontrado")</f>
        <v/>
      </c>
      <c r="B13811" s="43" t="n">
        <v>-23.565745</v>
      </c>
      <c r="C13811" s="43" t="n">
        <v>-46.544917</v>
      </c>
      <c r="D13811" s="43" t="n">
        <v>213</v>
      </c>
      <c r="E13811" s="44" t="n">
        <v>7416.0913</v>
      </c>
    </row>
    <row r="13812">
      <c r="A13812" s="39">
        <f>_xlfn.XLOOKUP(81612,Trip[shape_id],Trip[shape_id],"Não encontrado")</f>
        <v/>
      </c>
      <c r="B13812" s="40" t="n">
        <v>-23.56598</v>
      </c>
      <c r="C13812" s="40" t="n">
        <v>-46.544726</v>
      </c>
      <c r="D13812" s="40" t="n">
        <v>214</v>
      </c>
      <c r="E13812" s="41" t="n">
        <v>7448.6123</v>
      </c>
    </row>
    <row r="13813">
      <c r="A13813" s="42">
        <f>_xlfn.XLOOKUP(81612,Trip[shape_id],Trip[shape_id],"Não encontrado")</f>
        <v/>
      </c>
      <c r="B13813" s="43" t="n">
        <v>-23.566871</v>
      </c>
      <c r="C13813" s="43" t="n">
        <v>-46.543981</v>
      </c>
      <c r="D13813" s="43" t="n">
        <v>215</v>
      </c>
      <c r="E13813" s="44" t="n">
        <v>7573.2012</v>
      </c>
    </row>
    <row r="13814">
      <c r="A13814" s="39">
        <f>_xlfn.XLOOKUP(81612,Trip[shape_id],Trip[shape_id],"Não encontrado")</f>
        <v/>
      </c>
      <c r="B13814" s="40" t="n">
        <v>-23.56695</v>
      </c>
      <c r="C13814" s="40" t="n">
        <v>-46.543871</v>
      </c>
      <c r="D13814" s="40" t="n">
        <v>216</v>
      </c>
      <c r="E13814" s="41" t="n">
        <v>7600.5054</v>
      </c>
    </row>
    <row r="13815">
      <c r="A13815" s="42">
        <f>_xlfn.XLOOKUP(81612,Trip[shape_id],Trip[shape_id],"Não encontrado")</f>
        <v/>
      </c>
      <c r="B13815" s="43" t="n">
        <v>-23.567027</v>
      </c>
      <c r="C13815" s="43" t="n">
        <v>-46.543774</v>
      </c>
      <c r="D13815" s="43" t="n">
        <v>217</v>
      </c>
      <c r="E13815" s="44" t="n">
        <v>7610.1406</v>
      </c>
    </row>
    <row r="13816">
      <c r="A13816" s="39">
        <f>_xlfn.XLOOKUP(81612,Trip[shape_id],Trip[shape_id],"Não encontrado")</f>
        <v/>
      </c>
      <c r="B13816" s="40" t="n">
        <v>-23.567081</v>
      </c>
      <c r="C13816" s="40" t="n">
        <v>-46.5437</v>
      </c>
      <c r="D13816" s="40" t="n">
        <v>218</v>
      </c>
      <c r="E13816" s="41" t="n">
        <v>7610.1406</v>
      </c>
    </row>
    <row r="13817">
      <c r="A13817" s="42">
        <f>_xlfn.XLOOKUP(81612,Trip[shape_id],Trip[shape_id],"Não encontrado")</f>
        <v/>
      </c>
      <c r="B13817" s="43" t="n">
        <v>-23.567138</v>
      </c>
      <c r="C13817" s="43" t="n">
        <v>-46.543599</v>
      </c>
      <c r="D13817" s="43" t="n">
        <v>219</v>
      </c>
      <c r="E13817" s="44" t="n">
        <v>7634.8867</v>
      </c>
    </row>
    <row r="13818">
      <c r="A13818" s="39">
        <f>_xlfn.XLOOKUP(81612,Trip[shape_id],Trip[shape_id],"Não encontrado")</f>
        <v/>
      </c>
      <c r="B13818" s="40" t="n">
        <v>-23.567185</v>
      </c>
      <c r="C13818" s="40" t="n">
        <v>-46.543486</v>
      </c>
      <c r="D13818" s="40" t="n">
        <v>220</v>
      </c>
      <c r="E13818" s="41" t="n">
        <v>7644.5298</v>
      </c>
    </row>
    <row r="13819">
      <c r="A13819" s="42">
        <f>_xlfn.XLOOKUP(81612,Trip[shape_id],Trip[shape_id],"Não encontrado")</f>
        <v/>
      </c>
      <c r="B13819" s="43" t="n">
        <v>-23.567221</v>
      </c>
      <c r="C13819" s="43" t="n">
        <v>-46.5434</v>
      </c>
      <c r="D13819" s="43" t="n">
        <v>221</v>
      </c>
      <c r="E13819" s="44" t="n">
        <v>7644.5298</v>
      </c>
    </row>
    <row r="13820">
      <c r="A13820" s="39">
        <f>_xlfn.XLOOKUP(81612,Trip[shape_id],Trip[shape_id],"Não encontrado")</f>
        <v/>
      </c>
      <c r="B13820" s="40" t="n">
        <v>-23.567284</v>
      </c>
      <c r="C13820" s="40" t="n">
        <v>-46.543132</v>
      </c>
      <c r="D13820" s="40" t="n">
        <v>222</v>
      </c>
      <c r="E13820" s="41" t="n">
        <v>7682.3237</v>
      </c>
    </row>
    <row r="13821">
      <c r="A13821" s="42">
        <f>_xlfn.XLOOKUP(81612,Trip[shape_id],Trip[shape_id],"Não encontrado")</f>
        <v/>
      </c>
      <c r="B13821" s="43" t="n">
        <v>-23.567294</v>
      </c>
      <c r="C13821" s="43" t="n">
        <v>-46.543039</v>
      </c>
      <c r="D13821" s="43" t="n">
        <v>223</v>
      </c>
      <c r="E13821" s="44" t="n">
        <v>7682.3237</v>
      </c>
    </row>
    <row r="13822">
      <c r="A13822" s="39">
        <f>_xlfn.XLOOKUP(81612,Trip[shape_id],Trip[shape_id],"Não encontrado")</f>
        <v/>
      </c>
      <c r="B13822" s="40" t="n">
        <v>-23.567359</v>
      </c>
      <c r="C13822" s="40" t="n">
        <v>-46.542193</v>
      </c>
      <c r="D13822" s="40" t="n">
        <v>224</v>
      </c>
      <c r="E13822" s="41" t="n">
        <v>7768.9907</v>
      </c>
    </row>
    <row r="13823">
      <c r="A13823" s="42">
        <f>_xlfn.XLOOKUP(81612,Trip[shape_id],Trip[shape_id],"Não encontrado")</f>
        <v/>
      </c>
      <c r="B13823" s="43" t="n">
        <v>-23.567362</v>
      </c>
      <c r="C13823" s="43" t="n">
        <v>-46.542027</v>
      </c>
      <c r="D13823" s="43" t="n">
        <v>225</v>
      </c>
      <c r="E13823" s="44" t="n">
        <v>7785.9404</v>
      </c>
    </row>
    <row r="13824">
      <c r="A13824" s="39">
        <f>_xlfn.XLOOKUP(81612,Trip[shape_id],Trip[shape_id],"Não encontrado")</f>
        <v/>
      </c>
      <c r="B13824" s="40" t="n">
        <v>-23.567473</v>
      </c>
      <c r="C13824" s="40" t="n">
        <v>-46.541706</v>
      </c>
      <c r="D13824" s="40" t="n">
        <v>226</v>
      </c>
      <c r="E13824" s="41" t="n">
        <v>7838.8125</v>
      </c>
    </row>
    <row r="13825">
      <c r="A13825" s="42">
        <f>_xlfn.XLOOKUP(81612,Trip[shape_id],Trip[shape_id],"Não encontrado")</f>
        <v/>
      </c>
      <c r="B13825" s="43" t="n">
        <v>-23.567548</v>
      </c>
      <c r="C13825" s="43" t="n">
        <v>-46.541551</v>
      </c>
      <c r="D13825" s="43" t="n">
        <v>227</v>
      </c>
      <c r="E13825" s="44" t="n">
        <v>7838.8125</v>
      </c>
    </row>
    <row r="13826">
      <c r="A13826" s="39">
        <f>_xlfn.XLOOKUP(81612,Trip[shape_id],Trip[shape_id],"Não encontrado")</f>
        <v/>
      </c>
      <c r="B13826" s="40" t="n">
        <v>-23.567591</v>
      </c>
      <c r="C13826" s="40" t="n">
        <v>-46.541475</v>
      </c>
      <c r="D13826" s="40" t="n">
        <v>228</v>
      </c>
      <c r="E13826" s="41" t="n">
        <v>7867.0654</v>
      </c>
    </row>
    <row r="13827">
      <c r="A13827" s="42">
        <f>_xlfn.XLOOKUP(81612,Trip[shape_id],Trip[shape_id],"Não encontrado")</f>
        <v/>
      </c>
      <c r="B13827" s="43" t="n">
        <v>-23.567687</v>
      </c>
      <c r="C13827" s="43" t="n">
        <v>-46.541319</v>
      </c>
      <c r="D13827" s="43" t="n">
        <v>229</v>
      </c>
      <c r="E13827" s="44" t="n">
        <v>7875.0986</v>
      </c>
    </row>
    <row r="13828">
      <c r="A13828" s="39">
        <f>_xlfn.XLOOKUP(81612,Trip[shape_id],Trip[shape_id],"Não encontrado")</f>
        <v/>
      </c>
      <c r="B13828" s="40" t="n">
        <v>-23.567735</v>
      </c>
      <c r="C13828" s="40" t="n">
        <v>-46.54126</v>
      </c>
      <c r="D13828" s="40" t="n">
        <v>230</v>
      </c>
      <c r="E13828" s="41" t="n">
        <v>7894.2793</v>
      </c>
    </row>
    <row r="13829">
      <c r="A13829" s="42">
        <f>_xlfn.XLOOKUP(81612,Trip[shape_id],Trip[shape_id],"Não encontrado")</f>
        <v/>
      </c>
      <c r="B13829" s="43" t="n">
        <v>-23.567844</v>
      </c>
      <c r="C13829" s="43" t="n">
        <v>-46.541114</v>
      </c>
      <c r="D13829" s="43" t="n">
        <v>231</v>
      </c>
      <c r="E13829" s="44" t="n">
        <v>7917.4321</v>
      </c>
    </row>
    <row r="13830">
      <c r="A13830" s="39">
        <f>_xlfn.XLOOKUP(81612,Trip[shape_id],Trip[shape_id],"Não encontrado")</f>
        <v/>
      </c>
      <c r="B13830" s="40" t="n">
        <v>-23.568007</v>
      </c>
      <c r="C13830" s="40" t="n">
        <v>-46.540972</v>
      </c>
      <c r="D13830" s="40" t="n">
        <v>232</v>
      </c>
      <c r="E13830" s="41" t="n">
        <v>7927.791</v>
      </c>
    </row>
    <row r="13831">
      <c r="A13831" s="42">
        <f>_xlfn.XLOOKUP(81612,Trip[shape_id],Trip[shape_id],"Não encontrado")</f>
        <v/>
      </c>
      <c r="B13831" s="43" t="n">
        <v>-23.568085</v>
      </c>
      <c r="C13831" s="43" t="n">
        <v>-46.540916</v>
      </c>
      <c r="D13831" s="43" t="n">
        <v>233</v>
      </c>
      <c r="E13831" s="44" t="n">
        <v>7938.6494</v>
      </c>
    </row>
    <row r="13832">
      <c r="A13832" s="39">
        <f>_xlfn.XLOOKUP(81612,Trip[shape_id],Trip[shape_id],"Não encontrado")</f>
        <v/>
      </c>
      <c r="B13832" s="40" t="n">
        <v>-23.56817</v>
      </c>
      <c r="C13832" s="40" t="n">
        <v>-46.540863</v>
      </c>
      <c r="D13832" s="40" t="n">
        <v>234</v>
      </c>
      <c r="E13832" s="41" t="n">
        <v>7977.0737</v>
      </c>
    </row>
    <row r="13833">
      <c r="A13833" s="42">
        <f>_xlfn.XLOOKUP(81612,Trip[shape_id],Trip[shape_id],"Não encontrado")</f>
        <v/>
      </c>
      <c r="B13833" s="43" t="n">
        <v>-23.56848</v>
      </c>
      <c r="C13833" s="43" t="n">
        <v>-46.540694</v>
      </c>
      <c r="D13833" s="43" t="n">
        <v>235</v>
      </c>
      <c r="E13833" s="44" t="n">
        <v>8036.8535</v>
      </c>
    </row>
    <row r="13834">
      <c r="A13834" s="39">
        <f>_xlfn.XLOOKUP(81612,Trip[shape_id],Trip[shape_id],"Não encontrado")</f>
        <v/>
      </c>
      <c r="B13834" s="40" t="n">
        <v>-23.568965</v>
      </c>
      <c r="C13834" s="40" t="n">
        <v>-46.540437</v>
      </c>
      <c r="D13834" s="40" t="n">
        <v>236</v>
      </c>
      <c r="E13834" s="41" t="n">
        <v>8036.8535</v>
      </c>
    </row>
    <row r="13835">
      <c r="A13835" s="42">
        <f>_xlfn.XLOOKUP(81612,Trip[shape_id],Trip[shape_id],"Não encontrado")</f>
        <v/>
      </c>
      <c r="B13835" s="43" t="n">
        <v>-23.569113</v>
      </c>
      <c r="C13835" s="43" t="n">
        <v>-46.540361</v>
      </c>
      <c r="D13835" s="43" t="n">
        <v>237</v>
      </c>
      <c r="E13835" s="44" t="n">
        <v>8065.8066</v>
      </c>
    </row>
    <row r="13836">
      <c r="A13836" s="39">
        <f>_xlfn.XLOOKUP(81612,Trip[shape_id],Trip[shape_id],"Não encontrado")</f>
        <v/>
      </c>
      <c r="B13836" s="40" t="n">
        <v>-23.569201</v>
      </c>
      <c r="C13836" s="40" t="n">
        <v>-46.540315</v>
      </c>
      <c r="D13836" s="40" t="n">
        <v>238</v>
      </c>
      <c r="E13836" s="41" t="n">
        <v>8065.8066</v>
      </c>
    </row>
    <row r="13837">
      <c r="A13837" s="42">
        <f>_xlfn.XLOOKUP(81612,Trip[shape_id],Trip[shape_id],"Não encontrado")</f>
        <v/>
      </c>
      <c r="B13837" s="43" t="n">
        <v>-23.569375</v>
      </c>
      <c r="C13837" s="43" t="n">
        <v>-46.54035</v>
      </c>
      <c r="D13837" s="43" t="n">
        <v>239</v>
      </c>
      <c r="E13837" s="44" t="n">
        <v>8096.4023</v>
      </c>
    </row>
    <row r="13838">
      <c r="A13838" s="39">
        <f>_xlfn.XLOOKUP(81612,Trip[shape_id],Trip[shape_id],"Não encontrado")</f>
        <v/>
      </c>
      <c r="B13838" s="40" t="n">
        <v>-23.569472</v>
      </c>
      <c r="C13838" s="40" t="n">
        <v>-46.540373</v>
      </c>
      <c r="D13838" s="40" t="n">
        <v>240</v>
      </c>
      <c r="E13838" s="41" t="n">
        <v>8096.4023</v>
      </c>
    </row>
    <row r="13839">
      <c r="A13839" s="42">
        <f>_xlfn.XLOOKUP(81612,Trip[shape_id],Trip[shape_id],"Não encontrado")</f>
        <v/>
      </c>
      <c r="B13839" s="43" t="n">
        <v>-23.569777</v>
      </c>
      <c r="C13839" s="43" t="n">
        <v>-46.54057</v>
      </c>
      <c r="D13839" s="43" t="n">
        <v>241</v>
      </c>
      <c r="E13839" s="44" t="n">
        <v>8147.2915</v>
      </c>
    </row>
    <row r="13840">
      <c r="A13840" s="39">
        <f>_xlfn.XLOOKUP(81612,Trip[shape_id],Trip[shape_id],"Não encontrado")</f>
        <v/>
      </c>
      <c r="B13840" s="40" t="n">
        <v>-23.569877</v>
      </c>
      <c r="C13840" s="40" t="n">
        <v>-46.540603</v>
      </c>
      <c r="D13840" s="40" t="n">
        <v>242</v>
      </c>
      <c r="E13840" s="41" t="n">
        <v>8153.605</v>
      </c>
    </row>
    <row r="13841">
      <c r="A13841" s="42">
        <f>_xlfn.XLOOKUP(81612,Trip[shape_id],Trip[shape_id],"Não encontrado")</f>
        <v/>
      </c>
      <c r="B13841" s="43" t="n">
        <v>-23.569934</v>
      </c>
      <c r="C13841" s="43" t="n">
        <v>-46.540602</v>
      </c>
      <c r="D13841" s="43" t="n">
        <v>243</v>
      </c>
      <c r="E13841" s="44" t="n">
        <v>8157.0376</v>
      </c>
    </row>
    <row r="13842">
      <c r="A13842" s="39">
        <f>_xlfn.XLOOKUP(81612,Trip[shape_id],Trip[shape_id],"Não encontrado")</f>
        <v/>
      </c>
      <c r="B13842" s="40" t="n">
        <v>-23.569965</v>
      </c>
      <c r="C13842" s="40" t="n">
        <v>-46.540602</v>
      </c>
      <c r="D13842" s="40" t="n">
        <v>244</v>
      </c>
      <c r="E13842" s="41" t="n">
        <v>8167.063</v>
      </c>
    </row>
    <row r="13843">
      <c r="A13843" s="42">
        <f>_xlfn.XLOOKUP(81612,Trip[shape_id],Trip[shape_id],"Não encontrado")</f>
        <v/>
      </c>
      <c r="B13843" s="43" t="n">
        <v>-23.570053</v>
      </c>
      <c r="C13843" s="43" t="n">
        <v>-46.540579</v>
      </c>
      <c r="D13843" s="43" t="n">
        <v>245</v>
      </c>
      <c r="E13843" s="44" t="n">
        <v>8179.7002</v>
      </c>
    </row>
    <row r="13844">
      <c r="A13844" s="39">
        <f>_xlfn.XLOOKUP(81612,Trip[shape_id],Trip[shape_id],"Não encontrado")</f>
        <v/>
      </c>
      <c r="B13844" s="40" t="n">
        <v>-23.57016</v>
      </c>
      <c r="C13844" s="40" t="n">
        <v>-46.540536</v>
      </c>
      <c r="D13844" s="40" t="n">
        <v>246</v>
      </c>
      <c r="E13844" s="41" t="n">
        <v>8179.7002</v>
      </c>
    </row>
    <row r="13845">
      <c r="A13845" s="42">
        <f>_xlfn.XLOOKUP(81612,Trip[shape_id],Trip[shape_id],"Não encontrado")</f>
        <v/>
      </c>
      <c r="B13845" s="43" t="n">
        <v>-23.570263</v>
      </c>
      <c r="C13845" s="43" t="n">
        <v>-46.540403</v>
      </c>
      <c r="D13845" s="43" t="n">
        <v>247</v>
      </c>
      <c r="E13845" s="44" t="n">
        <v>8205.584999999999</v>
      </c>
    </row>
    <row r="13846">
      <c r="A13846" s="39">
        <f>_xlfn.XLOOKUP(81612,Trip[shape_id],Trip[shape_id],"Não encontrado")</f>
        <v/>
      </c>
      <c r="B13846" s="40" t="n">
        <v>-23.570307</v>
      </c>
      <c r="C13846" s="40" t="n">
        <v>-46.540339</v>
      </c>
      <c r="D13846" s="40" t="n">
        <v>248</v>
      </c>
      <c r="E13846" s="41" t="n">
        <v>8215.4424</v>
      </c>
    </row>
    <row r="13847">
      <c r="A13847" s="42">
        <f>_xlfn.XLOOKUP(81612,Trip[shape_id],Trip[shape_id],"Não encontrado")</f>
        <v/>
      </c>
      <c r="B13847" s="43" t="n">
        <v>-23.570354</v>
      </c>
      <c r="C13847" s="43" t="n">
        <v>-46.540257</v>
      </c>
      <c r="D13847" s="43" t="n">
        <v>249</v>
      </c>
      <c r="E13847" s="44" t="n">
        <v>8215.4424</v>
      </c>
    </row>
    <row r="13848">
      <c r="A13848" s="39">
        <f>_xlfn.XLOOKUP(81612,Trip[shape_id],Trip[shape_id],"Não encontrado")</f>
        <v/>
      </c>
      <c r="B13848" s="40" t="n">
        <v>-23.570552</v>
      </c>
      <c r="C13848" s="40" t="n">
        <v>-46.539682</v>
      </c>
      <c r="D13848" s="40" t="n">
        <v>250</v>
      </c>
      <c r="E13848" s="41" t="n">
        <v>8343.757799999999</v>
      </c>
    </row>
    <row r="13849">
      <c r="A13849" s="42">
        <f>_xlfn.XLOOKUP(81612,Trip[shape_id],Trip[shape_id],"Não encontrado")</f>
        <v/>
      </c>
      <c r="B13849" s="43" t="n">
        <v>-23.570763</v>
      </c>
      <c r="C13849" s="43" t="n">
        <v>-46.539081</v>
      </c>
      <c r="D13849" s="43" t="n">
        <v>251</v>
      </c>
      <c r="E13849" s="44" t="n">
        <v>8378.3359</v>
      </c>
    </row>
    <row r="13850">
      <c r="A13850" s="39">
        <f>_xlfn.XLOOKUP(81612,Trip[shape_id],Trip[shape_id],"Não encontrado")</f>
        <v/>
      </c>
      <c r="B13850" s="40" t="n">
        <v>-23.570873</v>
      </c>
      <c r="C13850" s="40" t="n">
        <v>-46.538764</v>
      </c>
      <c r="D13850" s="40" t="n">
        <v>252</v>
      </c>
      <c r="E13850" s="41" t="n">
        <v>8378.3359</v>
      </c>
    </row>
    <row r="13851">
      <c r="A13851" s="42">
        <f>_xlfn.XLOOKUP(81612,Trip[shape_id],Trip[shape_id],"Não encontrado")</f>
        <v/>
      </c>
      <c r="B13851" s="43" t="n">
        <v>-23.570938</v>
      </c>
      <c r="C13851" s="43" t="n">
        <v>-46.538579</v>
      </c>
      <c r="D13851" s="43" t="n">
        <v>253</v>
      </c>
      <c r="E13851" s="44" t="n">
        <v>8456.2354</v>
      </c>
    </row>
    <row r="13852">
      <c r="A13852" s="39">
        <f>_xlfn.XLOOKUP(81612,Trip[shape_id],Trip[shape_id],"Não encontrado")</f>
        <v/>
      </c>
      <c r="B13852" s="40" t="n">
        <v>-23.571126</v>
      </c>
      <c r="C13852" s="40" t="n">
        <v>-46.538052</v>
      </c>
      <c r="D13852" s="40" t="n">
        <v>254</v>
      </c>
      <c r="E13852" s="41" t="n">
        <v>8493.4414</v>
      </c>
    </row>
    <row r="13853">
      <c r="A13853" s="42">
        <f>_xlfn.XLOOKUP(81612,Trip[shape_id],Trip[shape_id],"Não encontrado")</f>
        <v/>
      </c>
      <c r="B13853" s="43" t="n">
        <v>-23.571247</v>
      </c>
      <c r="C13853" s="43" t="n">
        <v>-46.537712</v>
      </c>
      <c r="D13853" s="43" t="n">
        <v>255</v>
      </c>
      <c r="E13853" s="44" t="n">
        <v>8534.790999999999</v>
      </c>
    </row>
    <row r="13854">
      <c r="A13854" s="39">
        <f>_xlfn.XLOOKUP(81612,Trip[shape_id],Trip[shape_id],"Não encontrado")</f>
        <v/>
      </c>
      <c r="B13854" s="40" t="n">
        <v>-23.571403</v>
      </c>
      <c r="C13854" s="40" t="n">
        <v>-46.537344</v>
      </c>
      <c r="D13854" s="40" t="n">
        <v>256</v>
      </c>
      <c r="E13854" s="41" t="n">
        <v>8534.790999999999</v>
      </c>
    </row>
    <row r="13855">
      <c r="A13855" s="42">
        <f>_xlfn.XLOOKUP(81612,Trip[shape_id],Trip[shape_id],"Não encontrado")</f>
        <v/>
      </c>
      <c r="B13855" s="43" t="n">
        <v>-23.571564</v>
      </c>
      <c r="C13855" s="43" t="n">
        <v>-46.53696</v>
      </c>
      <c r="D13855" s="43" t="n">
        <v>257</v>
      </c>
      <c r="E13855" s="44" t="n">
        <v>8577.856400000001</v>
      </c>
    </row>
    <row r="13856">
      <c r="A13856" s="39">
        <f>_xlfn.XLOOKUP(81612,Trip[shape_id],Trip[shape_id],"Não encontrado")</f>
        <v/>
      </c>
      <c r="B13856" s="40" t="n">
        <v>-23.571741</v>
      </c>
      <c r="C13856" s="40" t="n">
        <v>-46.536594</v>
      </c>
      <c r="D13856" s="40" t="n">
        <v>258</v>
      </c>
      <c r="E13856" s="41" t="n">
        <v>8620.049800000001</v>
      </c>
    </row>
    <row r="13857">
      <c r="A13857" s="42">
        <f>_xlfn.XLOOKUP(81612,Trip[shape_id],Trip[shape_id],"Não encontrado")</f>
        <v/>
      </c>
      <c r="B13857" s="43" t="n">
        <v>-23.572661</v>
      </c>
      <c r="C13857" s="43" t="n">
        <v>-46.534615</v>
      </c>
      <c r="D13857" s="43" t="n">
        <v>259</v>
      </c>
      <c r="E13857" s="44" t="n">
        <v>8846.3164</v>
      </c>
    </row>
    <row r="13858">
      <c r="A13858" s="39">
        <f>_xlfn.XLOOKUP(81612,Trip[shape_id],Trip[shape_id],"Não encontrado")</f>
        <v/>
      </c>
      <c r="B13858" s="40" t="n">
        <v>-23.572746</v>
      </c>
      <c r="C13858" s="40" t="n">
        <v>-46.53444</v>
      </c>
      <c r="D13858" s="40" t="n">
        <v>260</v>
      </c>
      <c r="E13858" s="41" t="n">
        <v>8893.7217</v>
      </c>
    </row>
    <row r="13859">
      <c r="A13859" s="42">
        <f>_xlfn.XLOOKUP(81612,Trip[shape_id],Trip[shape_id],"Não encontrado")</f>
        <v/>
      </c>
      <c r="B13859" s="43" t="n">
        <v>-23.572847</v>
      </c>
      <c r="C13859" s="43" t="n">
        <v>-46.534197</v>
      </c>
      <c r="D13859" s="43" t="n">
        <v>261</v>
      </c>
      <c r="E13859" s="44" t="n">
        <v>8901.698200000001</v>
      </c>
    </row>
    <row r="13860">
      <c r="A13860" s="39">
        <f>_xlfn.XLOOKUP(81612,Trip[shape_id],Trip[shape_id],"Não encontrado")</f>
        <v/>
      </c>
      <c r="B13860" s="40" t="n">
        <v>-23.572879</v>
      </c>
      <c r="C13860" s="40" t="n">
        <v>-46.534127</v>
      </c>
      <c r="D13860" s="40" t="n">
        <v>262</v>
      </c>
      <c r="E13860" s="41" t="n">
        <v>8915.4141</v>
      </c>
    </row>
    <row r="13861">
      <c r="A13861" s="42">
        <f>_xlfn.XLOOKUP(81612,Trip[shape_id],Trip[shape_id],"Não encontrado")</f>
        <v/>
      </c>
      <c r="B13861" s="43" t="n">
        <v>-23.572922</v>
      </c>
      <c r="C13861" s="43" t="n">
        <v>-46.534001</v>
      </c>
      <c r="D13861" s="43" t="n">
        <v>263</v>
      </c>
      <c r="E13861" s="44" t="n">
        <v>8925.0898</v>
      </c>
    </row>
    <row r="13862">
      <c r="A13862" s="39">
        <f>_xlfn.XLOOKUP(81612,Trip[shape_id],Trip[shape_id],"Não encontrado")</f>
        <v/>
      </c>
      <c r="B13862" s="40" t="n">
        <v>-23.572943</v>
      </c>
      <c r="C13862" s="40" t="n">
        <v>-46.533909</v>
      </c>
      <c r="D13862" s="40" t="n">
        <v>264</v>
      </c>
      <c r="E13862" s="41" t="n">
        <v>8925.0898</v>
      </c>
    </row>
    <row r="13863">
      <c r="A13863" s="42">
        <f>_xlfn.XLOOKUP(81612,Trip[shape_id],Trip[shape_id],"Não encontrado")</f>
        <v/>
      </c>
      <c r="B13863" s="43" t="n">
        <v>-23.572972</v>
      </c>
      <c r="C13863" s="43" t="n">
        <v>-46.533783</v>
      </c>
      <c r="D13863" s="43" t="n">
        <v>265</v>
      </c>
      <c r="E13863" s="44" t="n">
        <v>8957.261699999999</v>
      </c>
    </row>
    <row r="13864">
      <c r="A13864" s="39">
        <f>_xlfn.XLOOKUP(81612,Trip[shape_id],Trip[shape_id],"Não encontrado")</f>
        <v/>
      </c>
      <c r="B13864" s="40" t="n">
        <v>-23.573004</v>
      </c>
      <c r="C13864" s="40" t="n">
        <v>-46.533601</v>
      </c>
      <c r="D13864" s="40" t="n">
        <v>266</v>
      </c>
      <c r="E13864" s="41" t="n">
        <v>8978.2129</v>
      </c>
    </row>
    <row r="13865">
      <c r="A13865" s="42">
        <f>_xlfn.XLOOKUP(81612,Trip[shape_id],Trip[shape_id],"Não encontrado")</f>
        <v/>
      </c>
      <c r="B13865" s="43" t="n">
        <v>-23.573013</v>
      </c>
      <c r="C13865" s="43" t="n">
        <v>-46.533396</v>
      </c>
      <c r="D13865" s="43" t="n">
        <v>267</v>
      </c>
      <c r="E13865" s="44" t="n">
        <v>8987.809600000001</v>
      </c>
    </row>
    <row r="13866">
      <c r="A13866" s="39">
        <f>_xlfn.XLOOKUP(81612,Trip[shape_id],Trip[shape_id],"Não encontrado")</f>
        <v/>
      </c>
      <c r="B13866" s="40" t="n">
        <v>-23.573014</v>
      </c>
      <c r="C13866" s="40" t="n">
        <v>-46.533302</v>
      </c>
      <c r="D13866" s="40" t="n">
        <v>268</v>
      </c>
      <c r="E13866" s="41" t="n">
        <v>8987.809600000001</v>
      </c>
    </row>
    <row r="13867">
      <c r="A13867" s="42">
        <f>_xlfn.XLOOKUP(81612,Trip[shape_id],Trip[shape_id],"Não encontrado")</f>
        <v/>
      </c>
      <c r="B13867" s="43" t="n">
        <v>-23.573014</v>
      </c>
      <c r="C13867" s="43" t="n">
        <v>-46.533172</v>
      </c>
      <c r="D13867" s="43" t="n">
        <v>269</v>
      </c>
      <c r="E13867" s="44" t="n">
        <v>9006.705099999999</v>
      </c>
    </row>
    <row r="13868">
      <c r="A13868" s="39">
        <f>_xlfn.XLOOKUP(81612,Trip[shape_id],Trip[shape_id],"Não encontrado")</f>
        <v/>
      </c>
      <c r="B13868" s="40" t="n">
        <v>-23.573011</v>
      </c>
      <c r="C13868" s="40" t="n">
        <v>-46.533117</v>
      </c>
      <c r="D13868" s="40" t="n">
        <v>270</v>
      </c>
      <c r="E13868" s="41" t="n">
        <v>9006.705099999999</v>
      </c>
    </row>
    <row r="13869">
      <c r="A13869" s="42">
        <f>_xlfn.XLOOKUP(81612,Trip[shape_id],Trip[shape_id],"Não encontrado")</f>
        <v/>
      </c>
      <c r="B13869" s="43" t="n">
        <v>-23.573027</v>
      </c>
      <c r="C13869" s="43" t="n">
        <v>-46.5331</v>
      </c>
      <c r="D13869" s="43" t="n">
        <v>271</v>
      </c>
      <c r="E13869" s="44" t="n">
        <v>9009.1875</v>
      </c>
    </row>
    <row r="13870">
      <c r="A13870" s="39">
        <f>_xlfn.XLOOKUP(81612,Trip[shape_id],Trip[shape_id],"Não encontrado")</f>
        <v/>
      </c>
      <c r="B13870" s="40" t="n">
        <v>-23.573135</v>
      </c>
      <c r="C13870" s="40" t="n">
        <v>-46.533063</v>
      </c>
      <c r="D13870" s="40" t="n">
        <v>272</v>
      </c>
      <c r="E13870" s="41" t="n">
        <v>9021.7305</v>
      </c>
    </row>
    <row r="13871">
      <c r="A13871" s="42">
        <f>_xlfn.XLOOKUP(81612,Trip[shape_id],Trip[shape_id],"Não encontrado")</f>
        <v/>
      </c>
      <c r="B13871" s="43" t="n">
        <v>-23.573203</v>
      </c>
      <c r="C13871" s="43" t="n">
        <v>-46.533041</v>
      </c>
      <c r="D13871" s="43" t="n">
        <v>273</v>
      </c>
      <c r="E13871" s="44" t="n">
        <v>9029.588900000001</v>
      </c>
    </row>
    <row r="13872">
      <c r="A13872" s="39">
        <f>_xlfn.XLOOKUP(81612,Trip[shape_id],Trip[shape_id],"Não encontrado")</f>
        <v/>
      </c>
      <c r="B13872" s="40" t="n">
        <v>-23.573272</v>
      </c>
      <c r="C13872" s="40" t="n">
        <v>-46.53303</v>
      </c>
      <c r="D13872" s="40" t="n">
        <v>274</v>
      </c>
      <c r="E13872" s="41" t="n">
        <v>9037.3135</v>
      </c>
    </row>
    <row r="13873">
      <c r="A13873" s="42">
        <f>_xlfn.XLOOKUP(81612,Trip[shape_id],Trip[shape_id],"Não encontrado")</f>
        <v/>
      </c>
      <c r="B13873" s="43" t="n">
        <v>-23.573301</v>
      </c>
      <c r="C13873" s="43" t="n">
        <v>-46.533026</v>
      </c>
      <c r="D13873" s="43" t="n">
        <v>275</v>
      </c>
      <c r="E13873" s="44" t="n">
        <v>9040.549800000001</v>
      </c>
    </row>
    <row r="13874">
      <c r="A13874" s="39">
        <f>_xlfn.XLOOKUP(81612,Trip[shape_id],Trip[shape_id],"Não encontrado")</f>
        <v/>
      </c>
      <c r="B13874" s="40" t="n">
        <v>-23.573427</v>
      </c>
      <c r="C13874" s="40" t="n">
        <v>-46.533047</v>
      </c>
      <c r="D13874" s="40" t="n">
        <v>276</v>
      </c>
      <c r="E13874" s="41" t="n">
        <v>9054.668900000001</v>
      </c>
    </row>
    <row r="13875">
      <c r="A13875" s="42">
        <f>_xlfn.XLOOKUP(81612,Trip[shape_id],Trip[shape_id],"Não encontrado")</f>
        <v/>
      </c>
      <c r="B13875" s="43" t="n">
        <v>-23.573507</v>
      </c>
      <c r="C13875" s="43" t="n">
        <v>-46.533073</v>
      </c>
      <c r="D13875" s="43" t="n">
        <v>277</v>
      </c>
      <c r="E13875" s="44" t="n">
        <v>9063.918</v>
      </c>
    </row>
    <row r="13876">
      <c r="A13876" s="39">
        <f>_xlfn.XLOOKUP(81612,Trip[shape_id],Trip[shape_id],"Não encontrado")</f>
        <v/>
      </c>
      <c r="B13876" s="40" t="n">
        <v>-23.573579</v>
      </c>
      <c r="C13876" s="40" t="n">
        <v>-46.533105</v>
      </c>
      <c r="D13876" s="40" t="n">
        <v>278</v>
      </c>
      <c r="E13876" s="41" t="n">
        <v>9072.5352</v>
      </c>
    </row>
    <row r="13877">
      <c r="A13877" s="42">
        <f>_xlfn.XLOOKUP(81612,Trip[shape_id],Trip[shape_id],"Não encontrado")</f>
        <v/>
      </c>
      <c r="B13877" s="43" t="n">
        <v>-23.573807</v>
      </c>
      <c r="C13877" s="43" t="n">
        <v>-46.533232</v>
      </c>
      <c r="D13877" s="43" t="n">
        <v>279</v>
      </c>
      <c r="E13877" s="44" t="n">
        <v>9100.919900000001</v>
      </c>
    </row>
    <row r="13878">
      <c r="A13878" s="39">
        <f>_xlfn.XLOOKUP(81612,Trip[shape_id],Trip[shape_id],"Não encontrado")</f>
        <v/>
      </c>
      <c r="B13878" s="40" t="n">
        <v>-23.574419</v>
      </c>
      <c r="C13878" s="40" t="n">
        <v>-46.533625</v>
      </c>
      <c r="D13878" s="40" t="n">
        <v>280</v>
      </c>
      <c r="E13878" s="41" t="n">
        <v>9179.6836</v>
      </c>
    </row>
    <row r="13879">
      <c r="A13879" s="42">
        <f>_xlfn.XLOOKUP(81612,Trip[shape_id],Trip[shape_id],"Não encontrado")</f>
        <v/>
      </c>
      <c r="B13879" s="43" t="n">
        <v>-23.574502</v>
      </c>
      <c r="C13879" s="43" t="n">
        <v>-46.533677</v>
      </c>
      <c r="D13879" s="43" t="n">
        <v>281</v>
      </c>
      <c r="E13879" s="44" t="n">
        <v>9190.2988</v>
      </c>
    </row>
    <row r="13880">
      <c r="A13880" s="39">
        <f>_xlfn.XLOOKUP(81612,Trip[shape_id],Trip[shape_id],"Não encontrado")</f>
        <v/>
      </c>
      <c r="B13880" s="40" t="n">
        <v>-23.574589</v>
      </c>
      <c r="C13880" s="40" t="n">
        <v>-46.533692</v>
      </c>
      <c r="D13880" s="40" t="n">
        <v>282</v>
      </c>
      <c r="E13880" s="41" t="n">
        <v>9200.055700000001</v>
      </c>
    </row>
    <row r="13881">
      <c r="A13881" s="42">
        <f>_xlfn.XLOOKUP(81612,Trip[shape_id],Trip[shape_id],"Não encontrado")</f>
        <v/>
      </c>
      <c r="B13881" s="43" t="n">
        <v>-23.574625</v>
      </c>
      <c r="C13881" s="43" t="n">
        <v>-46.533685</v>
      </c>
      <c r="D13881" s="43" t="n">
        <v>283</v>
      </c>
      <c r="E13881" s="44" t="n">
        <v>9204.1055</v>
      </c>
    </row>
    <row r="13882">
      <c r="A13882" s="39">
        <f>_xlfn.XLOOKUP(81612,Trip[shape_id],Trip[shape_id],"Não encontrado")</f>
        <v/>
      </c>
      <c r="B13882" s="40" t="n">
        <v>-23.574651</v>
      </c>
      <c r="C13882" s="40" t="n">
        <v>-46.533668</v>
      </c>
      <c r="D13882" s="40" t="n">
        <v>284</v>
      </c>
      <c r="E13882" s="41" t="n">
        <v>9212.794900000001</v>
      </c>
    </row>
    <row r="13883">
      <c r="A13883" s="42">
        <f>_xlfn.XLOOKUP(81612,Trip[shape_id],Trip[shape_id],"Não encontrado")</f>
        <v/>
      </c>
      <c r="B13883" s="43" t="n">
        <v>-23.574689</v>
      </c>
      <c r="C13883" s="43" t="n">
        <v>-46.533636</v>
      </c>
      <c r="D13883" s="43" t="n">
        <v>285</v>
      </c>
      <c r="E13883" s="44" t="n">
        <v>9226.045899999999</v>
      </c>
    </row>
    <row r="13884">
      <c r="A13884" s="39">
        <f>_xlfn.XLOOKUP(81612,Trip[shape_id],Trip[shape_id],"Não encontrado")</f>
        <v/>
      </c>
      <c r="B13884" s="40" t="n">
        <v>-23.574763</v>
      </c>
      <c r="C13884" s="40" t="n">
        <v>-46.533534</v>
      </c>
      <c r="D13884" s="40" t="n">
        <v>286</v>
      </c>
      <c r="E13884" s="41" t="n">
        <v>9240.6055</v>
      </c>
    </row>
    <row r="13885">
      <c r="A13885" s="42">
        <f>_xlfn.XLOOKUP(81612,Trip[shape_id],Trip[shape_id],"Não encontrado")</f>
        <v/>
      </c>
      <c r="B13885" s="43" t="n">
        <v>-23.574842</v>
      </c>
      <c r="C13885" s="43" t="n">
        <v>-46.53342</v>
      </c>
      <c r="D13885" s="43" t="n">
        <v>287</v>
      </c>
      <c r="E13885" s="44" t="n">
        <v>9252.117200000001</v>
      </c>
    </row>
    <row r="13886">
      <c r="A13886" s="39">
        <f>_xlfn.XLOOKUP(81612,Trip[shape_id],Trip[shape_id],"Não encontrado")</f>
        <v/>
      </c>
      <c r="B13886" s="40" t="n">
        <v>-23.574898</v>
      </c>
      <c r="C13886" s="40" t="n">
        <v>-46.533325</v>
      </c>
      <c r="D13886" s="40" t="n">
        <v>288</v>
      </c>
      <c r="E13886" s="41" t="n">
        <v>9252.117200000001</v>
      </c>
    </row>
    <row r="13887">
      <c r="A13887" s="42">
        <f>_xlfn.XLOOKUP(81612,Trip[shape_id],Trip[shape_id],"Não encontrado")</f>
        <v/>
      </c>
      <c r="B13887" s="43" t="n">
        <v>-23.575011</v>
      </c>
      <c r="C13887" s="43" t="n">
        <v>-46.533036</v>
      </c>
      <c r="D13887" s="43" t="n">
        <v>289</v>
      </c>
      <c r="E13887" s="44" t="n">
        <v>9312.0137</v>
      </c>
    </row>
    <row r="13888">
      <c r="A13888" s="39">
        <f>_xlfn.XLOOKUP(81612,Trip[shape_id],Trip[shape_id],"Não encontrado")</f>
        <v/>
      </c>
      <c r="B13888" s="40" t="n">
        <v>-23.57509</v>
      </c>
      <c r="C13888" s="40" t="n">
        <v>-46.532777</v>
      </c>
      <c r="D13888" s="40" t="n">
        <v>290</v>
      </c>
      <c r="E13888" s="41" t="n">
        <v>9312.0137</v>
      </c>
    </row>
    <row r="13889">
      <c r="A13889" s="42">
        <f>_xlfn.XLOOKUP(81612,Trip[shape_id],Trip[shape_id],"Não encontrado")</f>
        <v/>
      </c>
      <c r="B13889" s="43" t="n">
        <v>-23.575192</v>
      </c>
      <c r="C13889" s="43" t="n">
        <v>-46.532471</v>
      </c>
      <c r="D13889" s="43" t="n">
        <v>291</v>
      </c>
      <c r="E13889" s="44" t="n">
        <v>9379.737300000001</v>
      </c>
    </row>
    <row r="13890">
      <c r="A13890" s="39">
        <f>_xlfn.XLOOKUP(81612,Trip[shape_id],Trip[shape_id],"Não encontrado")</f>
        <v/>
      </c>
      <c r="B13890" s="40" t="n">
        <v>-23.575305</v>
      </c>
      <c r="C13890" s="40" t="n">
        <v>-46.532156</v>
      </c>
      <c r="D13890" s="40" t="n">
        <v>292</v>
      </c>
      <c r="E13890" s="41" t="n">
        <v>9423.483399999999</v>
      </c>
    </row>
    <row r="13891">
      <c r="A13891" s="42">
        <f>_xlfn.XLOOKUP(81612,Trip[shape_id],Trip[shape_id],"Não encontrado")</f>
        <v/>
      </c>
      <c r="B13891" s="43" t="n">
        <v>-23.575407</v>
      </c>
      <c r="C13891" s="43" t="n">
        <v>-46.531742</v>
      </c>
      <c r="D13891" s="43" t="n">
        <v>293</v>
      </c>
      <c r="E13891" s="44" t="n">
        <v>9423.483399999999</v>
      </c>
    </row>
    <row r="13892">
      <c r="A13892" s="39">
        <f>_xlfn.XLOOKUP(81612,Trip[shape_id],Trip[shape_id],"Não encontrado")</f>
        <v/>
      </c>
      <c r="B13892" s="40" t="n">
        <v>-23.575434</v>
      </c>
      <c r="C13892" s="40" t="n">
        <v>-46.531655</v>
      </c>
      <c r="D13892" s="40" t="n">
        <v>294</v>
      </c>
      <c r="E13892" s="41" t="n">
        <v>9464.040999999999</v>
      </c>
    </row>
    <row r="13893">
      <c r="A13893" s="42">
        <f>_xlfn.XLOOKUP(81612,Trip[shape_id],Trip[shape_id],"Não encontrado")</f>
        <v/>
      </c>
      <c r="B13893" s="43" t="n">
        <v>-23.575533</v>
      </c>
      <c r="C13893" s="43" t="n">
        <v>-46.531369</v>
      </c>
      <c r="D13893" s="43" t="n">
        <v>295</v>
      </c>
      <c r="E13893" s="44" t="n">
        <v>9476.940399999999</v>
      </c>
    </row>
    <row r="13894">
      <c r="A13894" s="39">
        <f>_xlfn.XLOOKUP(81612,Trip[shape_id],Trip[shape_id],"Não encontrado")</f>
        <v/>
      </c>
      <c r="B13894" s="40" t="n">
        <v>-23.575577</v>
      </c>
      <c r="C13894" s="40" t="n">
        <v>-46.531252</v>
      </c>
      <c r="D13894" s="40" t="n">
        <v>296</v>
      </c>
      <c r="E13894" s="41" t="n">
        <v>9486.363300000001</v>
      </c>
    </row>
    <row r="13895">
      <c r="A13895" s="42">
        <f>_xlfn.XLOOKUP(81612,Trip[shape_id],Trip[shape_id],"Não encontrado")</f>
        <v/>
      </c>
      <c r="B13895" s="43" t="n">
        <v>-23.575621</v>
      </c>
      <c r="C13895" s="43" t="n">
        <v>-46.531173</v>
      </c>
      <c r="D13895" s="43" t="n">
        <v>297</v>
      </c>
      <c r="E13895" s="44" t="n">
        <v>9494.135700000001</v>
      </c>
    </row>
    <row r="13896">
      <c r="A13896" s="39">
        <f>_xlfn.XLOOKUP(81612,Trip[shape_id],Trip[shape_id],"Não encontrado")</f>
        <v/>
      </c>
      <c r="B13896" s="40" t="n">
        <v>-23.575663</v>
      </c>
      <c r="C13896" s="40" t="n">
        <v>-46.531112</v>
      </c>
      <c r="D13896" s="40" t="n">
        <v>298</v>
      </c>
      <c r="E13896" s="41" t="n">
        <v>9494.135700000001</v>
      </c>
    </row>
    <row r="13897">
      <c r="A13897" s="42">
        <f>_xlfn.XLOOKUP(81612,Trip[shape_id],Trip[shape_id],"Não encontrado")</f>
        <v/>
      </c>
      <c r="B13897" s="43" t="n">
        <v>-23.575862</v>
      </c>
      <c r="C13897" s="43" t="n">
        <v>-46.530734</v>
      </c>
      <c r="D13897" s="43" t="n">
        <v>299</v>
      </c>
      <c r="E13897" s="44" t="n">
        <v>9547.1152</v>
      </c>
    </row>
    <row r="13898">
      <c r="A13898" s="39">
        <f>_xlfn.XLOOKUP(81612,Trip[shape_id],Trip[shape_id],"Não encontrado")</f>
        <v/>
      </c>
      <c r="B13898" s="40" t="n">
        <v>-23.575898</v>
      </c>
      <c r="C13898" s="40" t="n">
        <v>-46.53066</v>
      </c>
      <c r="D13898" s="40" t="n">
        <v>300</v>
      </c>
      <c r="E13898" s="41" t="n">
        <v>9556.1963</v>
      </c>
    </row>
    <row r="13899">
      <c r="A13899" s="42">
        <f>_xlfn.XLOOKUP(81612,Trip[shape_id],Trip[shape_id],"Não encontrado")</f>
        <v/>
      </c>
      <c r="B13899" s="43" t="n">
        <v>-23.575925</v>
      </c>
      <c r="C13899" s="43" t="n">
        <v>-46.530576</v>
      </c>
      <c r="D13899" s="43" t="n">
        <v>301</v>
      </c>
      <c r="E13899" s="44" t="n">
        <v>9565.051799999999</v>
      </c>
    </row>
    <row r="13900">
      <c r="A13900" s="39">
        <f>_xlfn.XLOOKUP(81612,Trip[shape_id],Trip[shape_id],"Não encontrado")</f>
        <v/>
      </c>
      <c r="B13900" s="40" t="n">
        <v>-23.575941</v>
      </c>
      <c r="C13900" s="40" t="n">
        <v>-46.530491</v>
      </c>
      <c r="D13900" s="40" t="n">
        <v>302</v>
      </c>
      <c r="E13900" s="41" t="n">
        <v>9605.208000000001</v>
      </c>
    </row>
    <row r="13901">
      <c r="A13901" s="42">
        <f>_xlfn.XLOOKUP(81612,Trip[shape_id],Trip[shape_id],"Não encontrado")</f>
        <v/>
      </c>
      <c r="B13901" s="43" t="n">
        <v>-23.576006</v>
      </c>
      <c r="C13901" s="43" t="n">
        <v>-46.530104</v>
      </c>
      <c r="D13901" s="43" t="n">
        <v>303</v>
      </c>
      <c r="E13901" s="44" t="n">
        <v>9635.477500000001</v>
      </c>
    </row>
    <row r="13902">
      <c r="A13902" s="39">
        <f>_xlfn.XLOOKUP(81612,Trip[shape_id],Trip[shape_id],"Não encontrado")</f>
        <v/>
      </c>
      <c r="B13902" s="40" t="n">
        <v>-23.576063</v>
      </c>
      <c r="C13902" s="40" t="n">
        <v>-46.529814</v>
      </c>
      <c r="D13902" s="40" t="n">
        <v>304</v>
      </c>
      <c r="E13902" s="41" t="n">
        <v>9635.477500000001</v>
      </c>
    </row>
    <row r="13903">
      <c r="A13903" s="42">
        <f>_xlfn.XLOOKUP(81612,Trip[shape_id],Trip[shape_id],"Não encontrado")</f>
        <v/>
      </c>
      <c r="B13903" s="43" t="n">
        <v>-23.576141</v>
      </c>
      <c r="C13903" s="43" t="n">
        <v>-46.529385</v>
      </c>
      <c r="D13903" s="43" t="n">
        <v>305</v>
      </c>
      <c r="E13903" s="44" t="n">
        <v>9680.114299999999</v>
      </c>
    </row>
    <row r="13904">
      <c r="A13904" s="39">
        <f>_xlfn.XLOOKUP(81612,Trip[shape_id],Trip[shape_id],"Não encontrado")</f>
        <v/>
      </c>
      <c r="B13904" s="40" t="n">
        <v>-23.576146</v>
      </c>
      <c r="C13904" s="40" t="n">
        <v>-46.529305</v>
      </c>
      <c r="D13904" s="40" t="n">
        <v>306</v>
      </c>
      <c r="E13904" s="41" t="n">
        <v>9694.5303</v>
      </c>
    </row>
    <row r="13905">
      <c r="A13905" s="42">
        <f>_xlfn.XLOOKUP(81612,Trip[shape_id],Trip[shape_id],"Não encontrado")</f>
        <v/>
      </c>
      <c r="B13905" s="43" t="n">
        <v>-23.576144</v>
      </c>
      <c r="C13905" s="43" t="n">
        <v>-46.529244</v>
      </c>
      <c r="D13905" s="43" t="n">
        <v>307</v>
      </c>
      <c r="E13905" s="44" t="n">
        <v>9702.237300000001</v>
      </c>
    </row>
    <row r="13906">
      <c r="A13906" s="39">
        <f>_xlfn.XLOOKUP(81612,Trip[shape_id],Trip[shape_id],"Não encontrado")</f>
        <v/>
      </c>
      <c r="B13906" s="40" t="n">
        <v>-23.576136</v>
      </c>
      <c r="C13906" s="40" t="n">
        <v>-46.529169</v>
      </c>
      <c r="D13906" s="40" t="n">
        <v>308</v>
      </c>
      <c r="E13906" s="41" t="n">
        <v>9710.450199999999</v>
      </c>
    </row>
    <row r="13907">
      <c r="A13907" s="42">
        <f>_xlfn.XLOOKUP(81612,Trip[shape_id],Trip[shape_id],"Não encontrado")</f>
        <v/>
      </c>
      <c r="B13907" s="43" t="n">
        <v>-23.576122</v>
      </c>
      <c r="C13907" s="43" t="n">
        <v>-46.52909</v>
      </c>
      <c r="D13907" s="43" t="n">
        <v>309</v>
      </c>
      <c r="E13907" s="44" t="n">
        <v>9710.450199999999</v>
      </c>
    </row>
    <row r="13908">
      <c r="A13908" s="39">
        <f>_xlfn.XLOOKUP(81612,Trip[shape_id],Trip[shape_id],"Não encontrado")</f>
        <v/>
      </c>
      <c r="B13908" s="40" t="n">
        <v>-23.576083</v>
      </c>
      <c r="C13908" s="40" t="n">
        <v>-46.528929</v>
      </c>
      <c r="D13908" s="40" t="n">
        <v>310</v>
      </c>
      <c r="E13908" s="41" t="n">
        <v>9744.421899999999</v>
      </c>
    </row>
    <row r="13909">
      <c r="A13909" s="42">
        <f>_xlfn.XLOOKUP(81612,Trip[shape_id],Trip[shape_id],"Não encontrado")</f>
        <v/>
      </c>
      <c r="B13909" s="43" t="n">
        <v>-23.576038</v>
      </c>
      <c r="C13909" s="43" t="n">
        <v>-46.52877</v>
      </c>
      <c r="D13909" s="43" t="n">
        <v>311</v>
      </c>
      <c r="E13909" s="44" t="n">
        <v>9744.421899999999</v>
      </c>
    </row>
    <row r="13910">
      <c r="A13910" s="39">
        <f>_xlfn.XLOOKUP(81612,Trip[shape_id],Trip[shape_id],"Não encontrado")</f>
        <v/>
      </c>
      <c r="B13910" s="40" t="n">
        <v>-23.576184</v>
      </c>
      <c r="C13910" s="40" t="n">
        <v>-46.528231</v>
      </c>
      <c r="D13910" s="40" t="n">
        <v>312</v>
      </c>
      <c r="E13910" s="41" t="n">
        <v>9801.771500000001</v>
      </c>
    </row>
    <row r="13911">
      <c r="A13911" s="42">
        <f>_xlfn.XLOOKUP(81612,Trip[shape_id],Trip[shape_id],"Não encontrado")</f>
        <v/>
      </c>
      <c r="B13911" s="43" t="n">
        <v>-23.576409</v>
      </c>
      <c r="C13911" s="43" t="n">
        <v>-46.527386</v>
      </c>
      <c r="D13911" s="43" t="n">
        <v>313</v>
      </c>
      <c r="E13911" s="44" t="n">
        <v>9891.5586</v>
      </c>
    </row>
    <row r="13912">
      <c r="A13912" s="39">
        <f>_xlfn.XLOOKUP(81612,Trip[shape_id],Trip[shape_id],"Não encontrado")</f>
        <v/>
      </c>
      <c r="B13912" s="40" t="n">
        <v>-23.576461</v>
      </c>
      <c r="C13912" s="40" t="n">
        <v>-46.52717</v>
      </c>
      <c r="D13912" s="40" t="n">
        <v>314</v>
      </c>
      <c r="E13912" s="41" t="n">
        <v>9935.1299</v>
      </c>
    </row>
    <row r="13913">
      <c r="A13913" s="42">
        <f>_xlfn.XLOOKUP(81612,Trip[shape_id],Trip[shape_id],"Não encontrado")</f>
        <v/>
      </c>
      <c r="B13913" s="43" t="n">
        <v>-23.576533</v>
      </c>
      <c r="C13913" s="43" t="n">
        <v>-46.526982</v>
      </c>
      <c r="D13913" s="43" t="n">
        <v>315</v>
      </c>
      <c r="E13913" s="44" t="n">
        <v>9967.2793</v>
      </c>
    </row>
    <row r="13914">
      <c r="A13914" s="39">
        <f>_xlfn.XLOOKUP(81612,Trip[shape_id],Trip[shape_id],"Não encontrado")</f>
        <v/>
      </c>
      <c r="B13914" s="40" t="n">
        <v>-23.576644</v>
      </c>
      <c r="C13914" s="40" t="n">
        <v>-46.526691</v>
      </c>
      <c r="D13914" s="40" t="n">
        <v>316</v>
      </c>
      <c r="E13914" s="41" t="n">
        <v>10005.931</v>
      </c>
    </row>
    <row r="13915">
      <c r="A13915" s="42">
        <f>_xlfn.XLOOKUP(81612,Trip[shape_id],Trip[shape_id],"Não encontrado")</f>
        <v/>
      </c>
      <c r="B13915" s="43" t="n">
        <v>-23.576832</v>
      </c>
      <c r="C13915" s="43" t="n">
        <v>-46.526372</v>
      </c>
      <c r="D13915" s="43" t="n">
        <v>317</v>
      </c>
      <c r="E13915" s="44" t="n">
        <v>10053.253</v>
      </c>
    </row>
    <row r="13916">
      <c r="A13916" s="39">
        <f>_xlfn.XLOOKUP(81612,Trip[shape_id],Trip[shape_id],"Não encontrado")</f>
        <v/>
      </c>
      <c r="B13916" s="40" t="n">
        <v>-23.57707</v>
      </c>
      <c r="C13916" s="40" t="n">
        <v>-46.525987</v>
      </c>
      <c r="D13916" s="40" t="n">
        <v>318</v>
      </c>
      <c r="E13916" s="41" t="n">
        <v>10073.827</v>
      </c>
    </row>
    <row r="13917">
      <c r="A13917" s="42">
        <f>_xlfn.XLOOKUP(81612,Trip[shape_id],Trip[shape_id],"Não encontrado")</f>
        <v/>
      </c>
      <c r="B13917" s="43" t="n">
        <v>-23.577174</v>
      </c>
      <c r="C13917" s="43" t="n">
        <v>-46.52582</v>
      </c>
      <c r="D13917" s="43" t="n">
        <v>319</v>
      </c>
      <c r="E13917" s="44" t="n">
        <v>10073.827</v>
      </c>
    </row>
    <row r="13918">
      <c r="A13918" s="39">
        <f>_xlfn.XLOOKUP(81612,Trip[shape_id],Trip[shape_id],"Não encontrado")</f>
        <v/>
      </c>
      <c r="B13918" s="40" t="n">
        <v>-23.577445</v>
      </c>
      <c r="C13918" s="40" t="n">
        <v>-46.525368</v>
      </c>
      <c r="D13918" s="40" t="n">
        <v>320</v>
      </c>
      <c r="E13918" s="41" t="n">
        <v>10128.871</v>
      </c>
    </row>
    <row r="13919">
      <c r="A13919" s="42">
        <f>_xlfn.XLOOKUP(81612,Trip[shape_id],Trip[shape_id],"Não encontrado")</f>
        <v/>
      </c>
      <c r="B13919" s="43" t="n">
        <v>-23.577567</v>
      </c>
      <c r="C13919" s="43" t="n">
        <v>-46.52496</v>
      </c>
      <c r="D13919" s="43" t="n">
        <v>321</v>
      </c>
      <c r="E13919" s="44" t="n">
        <v>10172.657</v>
      </c>
    </row>
    <row r="13920">
      <c r="A13920" s="39">
        <f>_xlfn.XLOOKUP(81612,Trip[shape_id],Trip[shape_id],"Não encontrado")</f>
        <v/>
      </c>
      <c r="B13920" s="40" t="n">
        <v>-23.577448</v>
      </c>
      <c r="C13920" s="40" t="n">
        <v>-46.524801</v>
      </c>
      <c r="D13920" s="40" t="n">
        <v>322</v>
      </c>
      <c r="E13920" s="41" t="n">
        <v>10229.175</v>
      </c>
    </row>
    <row r="13921">
      <c r="A13921" s="42">
        <f>_xlfn.XLOOKUP(81612,Trip[shape_id],Trip[shape_id],"Não encontrado")</f>
        <v/>
      </c>
      <c r="B13921" s="43" t="n">
        <v>-23.57724</v>
      </c>
      <c r="C13921" s="43" t="n">
        <v>-46.524535</v>
      </c>
      <c r="D13921" s="43" t="n">
        <v>323</v>
      </c>
      <c r="E13921" s="44" t="n">
        <v>10248.915</v>
      </c>
    </row>
    <row r="13922">
      <c r="A13922" s="39">
        <f>_xlfn.XLOOKUP(81612,Trip[shape_id],Trip[shape_id],"Não encontrado")</f>
        <v/>
      </c>
      <c r="B13922" s="40" t="n">
        <v>-23.577131</v>
      </c>
      <c r="C13922" s="40" t="n">
        <v>-46.524382</v>
      </c>
      <c r="D13922" s="40" t="n">
        <v>324</v>
      </c>
      <c r="E13922" s="41" t="n">
        <v>10248.915</v>
      </c>
    </row>
    <row r="13923">
      <c r="A13923" s="42">
        <f>_xlfn.XLOOKUP(81612,Trip[shape_id],Trip[shape_id],"Não encontrado")</f>
        <v/>
      </c>
      <c r="B13923" s="43" t="n">
        <v>-23.577051</v>
      </c>
      <c r="C13923" s="43" t="n">
        <v>-46.524211</v>
      </c>
      <c r="D13923" s="43" t="n">
        <v>325</v>
      </c>
      <c r="E13923" s="44" t="n">
        <v>10286.061</v>
      </c>
    </row>
    <row r="13924">
      <c r="A13924" s="39">
        <f>_xlfn.XLOOKUP(81612,Trip[shape_id],Trip[shape_id],"Não encontrado")</f>
        <v/>
      </c>
      <c r="B13924" s="40" t="n">
        <v>-23.576986</v>
      </c>
      <c r="C13924" s="40" t="n">
        <v>-46.524054</v>
      </c>
      <c r="D13924" s="40" t="n">
        <v>326</v>
      </c>
      <c r="E13924" s="41" t="n">
        <v>10286.061</v>
      </c>
    </row>
    <row r="13925">
      <c r="A13925" s="42">
        <f>_xlfn.XLOOKUP(81612,Trip[shape_id],Trip[shape_id],"Não encontrado")</f>
        <v/>
      </c>
      <c r="B13925" s="43" t="n">
        <v>-23.576915</v>
      </c>
      <c r="C13925" s="43" t="n">
        <v>-46.523853</v>
      </c>
      <c r="D13925" s="43" t="n">
        <v>327</v>
      </c>
      <c r="E13925" s="44" t="n">
        <v>10308.034</v>
      </c>
    </row>
    <row r="13926">
      <c r="A13926" s="39">
        <f>_xlfn.XLOOKUP(81612,Trip[shape_id],Trip[shape_id],"Não encontrado")</f>
        <v/>
      </c>
      <c r="B13926" s="40" t="n">
        <v>-23.576859</v>
      </c>
      <c r="C13926" s="40" t="n">
        <v>-46.52367</v>
      </c>
      <c r="D13926" s="40" t="n">
        <v>328</v>
      </c>
      <c r="E13926" s="41" t="n">
        <v>10364.056</v>
      </c>
    </row>
    <row r="13927">
      <c r="A13927" s="42">
        <f>_xlfn.XLOOKUP(81612,Trip[shape_id],Trip[shape_id],"Não encontrado")</f>
        <v/>
      </c>
      <c r="B13927" s="43" t="n">
        <v>-23.576768</v>
      </c>
      <c r="C13927" s="43" t="n">
        <v>-46.523328</v>
      </c>
      <c r="D13927" s="43" t="n">
        <v>329</v>
      </c>
      <c r="E13927" s="44" t="n">
        <v>10381.846</v>
      </c>
    </row>
    <row r="13928">
      <c r="A13928" s="39">
        <f>_xlfn.XLOOKUP(81612,Trip[shape_id],Trip[shape_id],"Não encontrado")</f>
        <v/>
      </c>
      <c r="B13928" s="40" t="n">
        <v>-23.576737</v>
      </c>
      <c r="C13928" s="40" t="n">
        <v>-46.523157</v>
      </c>
      <c r="D13928" s="40" t="n">
        <v>330</v>
      </c>
      <c r="E13928" s="41" t="n">
        <v>10408.233</v>
      </c>
    </row>
    <row r="13929">
      <c r="A13929" s="42">
        <f>_xlfn.XLOOKUP(81612,Trip[shape_id],Trip[shape_id],"Não encontrado")</f>
        <v/>
      </c>
      <c r="B13929" s="43" t="n">
        <v>-23.576704</v>
      </c>
      <c r="C13929" s="43" t="n">
        <v>-46.522901</v>
      </c>
      <c r="D13929" s="43" t="n">
        <v>331</v>
      </c>
      <c r="E13929" s="44" t="n">
        <v>10416.826</v>
      </c>
    </row>
    <row r="13930">
      <c r="A13930" s="39">
        <f>_xlfn.XLOOKUP(81612,Trip[shape_id],Trip[shape_id],"Não encontrado")</f>
        <v/>
      </c>
      <c r="B13930" s="40" t="n">
        <v>-23.576699</v>
      </c>
      <c r="C13930" s="40" t="n">
        <v>-46.522817</v>
      </c>
      <c r="D13930" s="40" t="n">
        <v>332</v>
      </c>
      <c r="E13930" s="41" t="n">
        <v>10416.826</v>
      </c>
    </row>
    <row r="13931">
      <c r="A13931" s="42">
        <f>_xlfn.XLOOKUP(81612,Trip[shape_id],Trip[shape_id],"Não encontrado")</f>
        <v/>
      </c>
      <c r="B13931" s="43" t="n">
        <v>-23.576692</v>
      </c>
      <c r="C13931" s="43" t="n">
        <v>-46.522718</v>
      </c>
      <c r="D13931" s="43" t="n">
        <v>333</v>
      </c>
      <c r="E13931" s="44" t="n">
        <v>10452.593</v>
      </c>
    </row>
    <row r="13932">
      <c r="A13932" s="39">
        <f>_xlfn.XLOOKUP(81612,Trip[shape_id],Trip[shape_id],"Não encontrado")</f>
        <v/>
      </c>
      <c r="B13932" s="40" t="n">
        <v>-23.576686</v>
      </c>
      <c r="C13932" s="40" t="n">
        <v>-46.522467</v>
      </c>
      <c r="D13932" s="40" t="n">
        <v>334</v>
      </c>
      <c r="E13932" s="41" t="n">
        <v>10452.593</v>
      </c>
    </row>
    <row r="13933">
      <c r="A13933" s="42">
        <f>_xlfn.XLOOKUP(81612,Trip[shape_id],Trip[shape_id],"Não encontrado")</f>
        <v/>
      </c>
      <c r="B13933" s="43" t="n">
        <v>-23.576675</v>
      </c>
      <c r="C13933" s="43" t="n">
        <v>-46.52232</v>
      </c>
      <c r="D13933" s="43" t="n">
        <v>335</v>
      </c>
      <c r="E13933" s="44" t="n">
        <v>10477.856</v>
      </c>
    </row>
    <row r="13934">
      <c r="A13934" s="39">
        <f>_xlfn.XLOOKUP(81612,Trip[shape_id],Trip[shape_id],"Não encontrado")</f>
        <v/>
      </c>
      <c r="B13934" s="40" t="n">
        <v>-23.576662</v>
      </c>
      <c r="C13934" s="40" t="n">
        <v>-46.522221</v>
      </c>
      <c r="D13934" s="40" t="n">
        <v>336</v>
      </c>
      <c r="E13934" s="41" t="n">
        <v>10489.671</v>
      </c>
    </row>
    <row r="13935">
      <c r="A13935" s="42">
        <f>_xlfn.XLOOKUP(81612,Trip[shape_id],Trip[shape_id],"Não encontrado")</f>
        <v/>
      </c>
      <c r="B13935" s="43" t="n">
        <v>-23.57665</v>
      </c>
      <c r="C13935" s="43" t="n">
        <v>-46.522106</v>
      </c>
      <c r="D13935" s="43" t="n">
        <v>337</v>
      </c>
      <c r="E13935" s="44" t="n">
        <v>10501.176</v>
      </c>
    </row>
    <row r="13936">
      <c r="A13936" s="39">
        <f>_xlfn.XLOOKUP(81612,Trip[shape_id],Trip[shape_id],"Não encontrado")</f>
        <v/>
      </c>
      <c r="B13936" s="40" t="n">
        <v>-23.576632</v>
      </c>
      <c r="C13936" s="40" t="n">
        <v>-46.521995</v>
      </c>
      <c r="D13936" s="40" t="n">
        <v>338</v>
      </c>
      <c r="E13936" s="41" t="n">
        <v>10515.472</v>
      </c>
    </row>
    <row r="13937">
      <c r="A13937" s="42">
        <f>_xlfn.XLOOKUP(81612,Trip[shape_id],Trip[shape_id],"Não encontrado")</f>
        <v/>
      </c>
      <c r="B13937" s="43" t="n">
        <v>-23.57661</v>
      </c>
      <c r="C13937" s="43" t="n">
        <v>-46.521857</v>
      </c>
      <c r="D13937" s="43" t="n">
        <v>339</v>
      </c>
      <c r="E13937" s="44" t="n">
        <v>10534.116</v>
      </c>
    </row>
    <row r="13938">
      <c r="A13938" s="39">
        <f>_xlfn.XLOOKUP(81612,Trip[shape_id],Trip[shape_id],"Não encontrado")</f>
        <v/>
      </c>
      <c r="B13938" s="40" t="n">
        <v>-23.576565</v>
      </c>
      <c r="C13938" s="40" t="n">
        <v>-46.521681</v>
      </c>
      <c r="D13938" s="40" t="n">
        <v>340</v>
      </c>
      <c r="E13938" s="41" t="n">
        <v>10553.567</v>
      </c>
    </row>
    <row r="13939">
      <c r="A13939" s="42">
        <f>_xlfn.XLOOKUP(81612,Trip[shape_id],Trip[shape_id],"Não encontrado")</f>
        <v/>
      </c>
      <c r="B13939" s="43" t="n">
        <v>-23.576513</v>
      </c>
      <c r="C13939" s="43" t="n">
        <v>-46.521499</v>
      </c>
      <c r="D13939" s="43" t="n">
        <v>341</v>
      </c>
      <c r="E13939" s="44" t="n">
        <v>10564.794</v>
      </c>
    </row>
    <row r="13940">
      <c r="A13940" s="39">
        <f>_xlfn.XLOOKUP(81612,Trip[shape_id],Trip[shape_id],"Não encontrado")</f>
        <v/>
      </c>
      <c r="B13940" s="40" t="n">
        <v>-23.576486</v>
      </c>
      <c r="C13940" s="40" t="n">
        <v>-46.521393</v>
      </c>
      <c r="D13940" s="40" t="n">
        <v>342</v>
      </c>
      <c r="E13940" s="41" t="n">
        <v>10564.794</v>
      </c>
    </row>
    <row r="13941">
      <c r="A13941" s="42">
        <f>_xlfn.XLOOKUP(81612,Trip[shape_id],Trip[shape_id],"Não encontrado")</f>
        <v/>
      </c>
      <c r="B13941" s="43" t="n">
        <v>-23.576447</v>
      </c>
      <c r="C13941" s="43" t="n">
        <v>-46.521291</v>
      </c>
      <c r="D13941" s="43" t="n">
        <v>343</v>
      </c>
      <c r="E13941" s="44" t="n">
        <v>10576.066</v>
      </c>
    </row>
    <row r="13942">
      <c r="A13942" s="39">
        <f>_xlfn.XLOOKUP(81612,Trip[shape_id],Trip[shape_id],"Não encontrado")</f>
        <v/>
      </c>
      <c r="B13942" s="40" t="n">
        <v>-23.576484</v>
      </c>
      <c r="C13942" s="40" t="n">
        <v>-46.520913</v>
      </c>
      <c r="D13942" s="40" t="n">
        <v>344</v>
      </c>
      <c r="E13942" s="41" t="n">
        <v>10622.656</v>
      </c>
    </row>
    <row r="13943">
      <c r="A13943" s="42">
        <f>_xlfn.XLOOKUP(81612,Trip[shape_id],Trip[shape_id],"Não encontrado")</f>
        <v/>
      </c>
      <c r="B13943" s="43" t="n">
        <v>-23.57649</v>
      </c>
      <c r="C13943" s="43" t="n">
        <v>-46.520837</v>
      </c>
      <c r="D13943" s="43" t="n">
        <v>345</v>
      </c>
      <c r="E13943" s="44" t="n">
        <v>10634.806</v>
      </c>
    </row>
    <row r="13944">
      <c r="A13944" s="39">
        <f>_xlfn.XLOOKUP(81612,Trip[shape_id],Trip[shape_id],"Não encontrado")</f>
        <v/>
      </c>
      <c r="B13944" s="40" t="n">
        <v>-23.576492</v>
      </c>
      <c r="C13944" s="40" t="n">
        <v>-46.520718</v>
      </c>
      <c r="D13944" s="40" t="n">
        <v>346</v>
      </c>
      <c r="E13944" s="41" t="n">
        <v>10634.806</v>
      </c>
    </row>
    <row r="13945">
      <c r="A13945" s="42">
        <f>_xlfn.XLOOKUP(81612,Trip[shape_id],Trip[shape_id],"Não encontrado")</f>
        <v/>
      </c>
      <c r="B13945" s="43" t="n">
        <v>-23.576494</v>
      </c>
      <c r="C13945" s="43" t="n">
        <v>-46.520672</v>
      </c>
      <c r="D13945" s="43" t="n">
        <v>347</v>
      </c>
      <c r="E13945" s="44" t="n">
        <v>10646.246</v>
      </c>
    </row>
    <row r="13946">
      <c r="A13946" s="39">
        <f>_xlfn.XLOOKUP(81612,Trip[shape_id],Trip[shape_id],"Não encontrado")</f>
        <v/>
      </c>
      <c r="B13946" s="40" t="n">
        <v>-23.576492</v>
      </c>
      <c r="C13946" s="40" t="n">
        <v>-46.520606</v>
      </c>
      <c r="D13946" s="40" t="n">
        <v>348</v>
      </c>
      <c r="E13946" s="41" t="n">
        <v>10651.813</v>
      </c>
    </row>
    <row r="13947">
      <c r="A13947" s="42">
        <f>_xlfn.XLOOKUP(81612,Trip[shape_id],Trip[shape_id],"Não encontrado")</f>
        <v/>
      </c>
      <c r="B13947" s="43" t="n">
        <v>-23.576485</v>
      </c>
      <c r="C13947" s="43" t="n">
        <v>-46.520552</v>
      </c>
      <c r="D13947" s="43" t="n">
        <v>349</v>
      </c>
      <c r="E13947" s="44" t="n">
        <v>10651.813</v>
      </c>
    </row>
    <row r="13948">
      <c r="A13948" s="39">
        <f>_xlfn.XLOOKUP(81612,Trip[shape_id],Trip[shape_id],"Não encontrado")</f>
        <v/>
      </c>
      <c r="B13948" s="40" t="n">
        <v>-23.57647</v>
      </c>
      <c r="C13948" s="40" t="n">
        <v>-46.5204</v>
      </c>
      <c r="D13948" s="40" t="n">
        <v>350</v>
      </c>
      <c r="E13948" s="41" t="n">
        <v>10667.417</v>
      </c>
    </row>
    <row r="13949">
      <c r="A13949" s="42">
        <f>_xlfn.XLOOKUP(81612,Trip[shape_id],Trip[shape_id],"Não encontrado")</f>
        <v/>
      </c>
      <c r="B13949" s="43" t="n">
        <v>-23.576417</v>
      </c>
      <c r="C13949" s="43" t="n">
        <v>-46.520249</v>
      </c>
      <c r="D13949" s="43" t="n">
        <v>351</v>
      </c>
      <c r="E13949" s="44" t="n">
        <v>10695.917</v>
      </c>
    </row>
    <row r="13950">
      <c r="A13950" s="39">
        <f>_xlfn.XLOOKUP(81612,Trip[shape_id],Trip[shape_id],"Não encontrado")</f>
        <v/>
      </c>
      <c r="B13950" s="40" t="n">
        <v>-23.576372</v>
      </c>
      <c r="C13950" s="40" t="n">
        <v>-46.520142</v>
      </c>
      <c r="D13950" s="40" t="n">
        <v>352</v>
      </c>
      <c r="E13950" s="41" t="n">
        <v>10701.248</v>
      </c>
    </row>
    <row r="13951">
      <c r="A13951" s="42">
        <f>_xlfn.XLOOKUP(81612,Trip[shape_id],Trip[shape_id],"Não encontrado")</f>
        <v/>
      </c>
      <c r="B13951" s="43" t="n">
        <v>-23.576351</v>
      </c>
      <c r="C13951" s="43" t="n">
        <v>-46.520095</v>
      </c>
      <c r="D13951" s="43" t="n">
        <v>353</v>
      </c>
      <c r="E13951" s="44" t="n">
        <v>10701.248</v>
      </c>
    </row>
    <row r="13952">
      <c r="A13952" s="39">
        <f>_xlfn.XLOOKUP(81612,Trip[shape_id],Trip[shape_id],"Não encontrado")</f>
        <v/>
      </c>
      <c r="B13952" s="40" t="n">
        <v>-23.576258</v>
      </c>
      <c r="C13952" s="40" t="n">
        <v>-46.519899</v>
      </c>
      <c r="D13952" s="40" t="n">
        <v>354</v>
      </c>
      <c r="E13952" s="41" t="n">
        <v>10735.436</v>
      </c>
    </row>
    <row r="13953">
      <c r="A13953" s="42">
        <f>_xlfn.XLOOKUP(81612,Trip[shape_id],Trip[shape_id],"Não encontrado")</f>
        <v/>
      </c>
      <c r="B13953" s="43" t="n">
        <v>-23.576212</v>
      </c>
      <c r="C13953" s="43" t="n">
        <v>-46.519796</v>
      </c>
      <c r="D13953" s="43" t="n">
        <v>355</v>
      </c>
      <c r="E13953" s="44" t="n">
        <v>10753.651</v>
      </c>
    </row>
    <row r="13954">
      <c r="A13954" s="39">
        <f>_xlfn.XLOOKUP(81612,Trip[shape_id],Trip[shape_id],"Não encontrado")</f>
        <v/>
      </c>
      <c r="B13954" s="40" t="n">
        <v>-23.576162</v>
      </c>
      <c r="C13954" s="40" t="n">
        <v>-46.519626</v>
      </c>
      <c r="D13954" s="40" t="n">
        <v>356</v>
      </c>
      <c r="E13954" s="41" t="n">
        <v>10753.651</v>
      </c>
    </row>
    <row r="13955">
      <c r="A13955" s="42">
        <f>_xlfn.XLOOKUP(81612,Trip[shape_id],Trip[shape_id],"Não encontrado")</f>
        <v/>
      </c>
      <c r="B13955" s="43" t="n">
        <v>-23.576163</v>
      </c>
      <c r="C13955" s="43" t="n">
        <v>-46.519597</v>
      </c>
      <c r="D13955" s="43" t="n">
        <v>357</v>
      </c>
      <c r="E13955" s="44" t="n">
        <v>10782.129</v>
      </c>
    </row>
    <row r="13956">
      <c r="A13956" s="39">
        <f>_xlfn.XLOOKUP(81612,Trip[shape_id],Trip[shape_id],"Não encontrado")</f>
        <v/>
      </c>
      <c r="B13956" s="40" t="n">
        <v>-23.576183</v>
      </c>
      <c r="C13956" s="40" t="n">
        <v>-46.519348</v>
      </c>
      <c r="D13956" s="40" t="n">
        <v>358</v>
      </c>
      <c r="E13956" s="41" t="n">
        <v>10798.915</v>
      </c>
    </row>
    <row r="13957">
      <c r="A13957" s="42">
        <f>_xlfn.XLOOKUP(81612,Trip[shape_id],Trip[shape_id],"Não encontrado")</f>
        <v/>
      </c>
      <c r="B13957" s="43" t="n">
        <v>-23.576194</v>
      </c>
      <c r="C13957" s="43" t="n">
        <v>-46.519184</v>
      </c>
      <c r="D13957" s="43" t="n">
        <v>359</v>
      </c>
      <c r="E13957" s="44" t="n">
        <v>10798.915</v>
      </c>
    </row>
    <row r="13958">
      <c r="A13958" s="39">
        <f>_xlfn.XLOOKUP(81612,Trip[shape_id],Trip[shape_id],"Não encontrado")</f>
        <v/>
      </c>
      <c r="B13958" s="40" t="n">
        <v>-23.576231</v>
      </c>
      <c r="C13958" s="40" t="n">
        <v>-46.518855</v>
      </c>
      <c r="D13958" s="40" t="n">
        <v>360</v>
      </c>
      <c r="E13958" s="41" t="n">
        <v>10832.749</v>
      </c>
    </row>
    <row r="13959">
      <c r="A13959" s="42">
        <f>_xlfn.XLOOKUP(81612,Trip[shape_id],Trip[shape_id],"Não encontrado")</f>
        <v/>
      </c>
      <c r="B13959" s="43" t="n">
        <v>-23.576234</v>
      </c>
      <c r="C13959" s="43" t="n">
        <v>-46.518789</v>
      </c>
      <c r="D13959" s="43" t="n">
        <v>361</v>
      </c>
      <c r="E13959" s="44" t="n">
        <v>10860.55</v>
      </c>
    </row>
    <row r="13960">
      <c r="A13960" s="39">
        <f>_xlfn.XLOOKUP(81612,Trip[shape_id],Trip[shape_id],"Não encontrado")</f>
        <v/>
      </c>
      <c r="B13960" s="40" t="n">
        <v>-23.576262</v>
      </c>
      <c r="C13960" s="40" t="n">
        <v>-46.518585</v>
      </c>
      <c r="D13960" s="40" t="n">
        <v>362</v>
      </c>
      <c r="E13960" s="41" t="n">
        <v>10860.55</v>
      </c>
    </row>
    <row r="13961">
      <c r="A13961" s="42">
        <f>_xlfn.XLOOKUP(81612,Trip[shape_id],Trip[shape_id],"Não encontrado")</f>
        <v/>
      </c>
      <c r="B13961" s="43" t="n">
        <v>-23.576291</v>
      </c>
      <c r="C13961" s="43" t="n">
        <v>-46.518395</v>
      </c>
      <c r="D13961" s="43" t="n">
        <v>363</v>
      </c>
      <c r="E13961" s="44" t="n">
        <v>10903.039</v>
      </c>
    </row>
    <row r="13962">
      <c r="A13962" s="39">
        <f>_xlfn.XLOOKUP(81612,Trip[shape_id],Trip[shape_id],"Não encontrado")</f>
        <v/>
      </c>
      <c r="B13962" s="40" t="n">
        <v>-23.576328</v>
      </c>
      <c r="C13962" s="40" t="n">
        <v>-46.518175</v>
      </c>
      <c r="D13962" s="40" t="n">
        <v>364</v>
      </c>
      <c r="E13962" s="41" t="n">
        <v>10903.039</v>
      </c>
    </row>
    <row r="13963">
      <c r="A13963" s="42">
        <f>_xlfn.XLOOKUP(81612,Trip[shape_id],Trip[shape_id],"Não encontrado")</f>
        <v/>
      </c>
      <c r="B13963" s="43" t="n">
        <v>-23.576408</v>
      </c>
      <c r="C13963" s="43" t="n">
        <v>-46.517821</v>
      </c>
      <c r="D13963" s="43" t="n">
        <v>365</v>
      </c>
      <c r="E13963" s="44" t="n">
        <v>10968.651</v>
      </c>
    </row>
    <row r="13964">
      <c r="A13964" s="39">
        <f>_xlfn.XLOOKUP(81612,Trip[shape_id],Trip[shape_id],"Não encontrado")</f>
        <v/>
      </c>
      <c r="B13964" s="40" t="n">
        <v>-23.576477</v>
      </c>
      <c r="C13964" s="40" t="n">
        <v>-46.517553</v>
      </c>
      <c r="D13964" s="40" t="n">
        <v>366</v>
      </c>
      <c r="E13964" s="41" t="n">
        <v>10968.651</v>
      </c>
    </row>
    <row r="13965">
      <c r="A13965" s="42">
        <f>_xlfn.XLOOKUP(81612,Trip[shape_id],Trip[shape_id],"Não encontrado")</f>
        <v/>
      </c>
      <c r="B13965" s="43" t="n">
        <v>-23.57658</v>
      </c>
      <c r="C13965" s="43" t="n">
        <v>-46.517218</v>
      </c>
      <c r="D13965" s="43" t="n">
        <v>367</v>
      </c>
      <c r="E13965" s="44" t="n">
        <v>11032.345</v>
      </c>
    </row>
    <row r="13966">
      <c r="A13966" s="39">
        <f>_xlfn.XLOOKUP(81612,Trip[shape_id],Trip[shape_id],"Não encontrado")</f>
        <v/>
      </c>
      <c r="B13966" s="40" t="n">
        <v>-23.576669</v>
      </c>
      <c r="C13966" s="40" t="n">
        <v>-46.516965</v>
      </c>
      <c r="D13966" s="40" t="n">
        <v>368</v>
      </c>
      <c r="E13966" s="41" t="n">
        <v>11032.345</v>
      </c>
    </row>
    <row r="13967">
      <c r="A13967" s="42">
        <f>_xlfn.XLOOKUP(81612,Trip[shape_id],Trip[shape_id],"Não encontrado")</f>
        <v/>
      </c>
      <c r="B13967" s="43" t="n">
        <v>-23.576712</v>
      </c>
      <c r="C13967" s="43" t="n">
        <v>-46.516838</v>
      </c>
      <c r="D13967" s="43" t="n">
        <v>369</v>
      </c>
      <c r="E13967" s="44" t="n">
        <v>11049.412</v>
      </c>
    </row>
    <row r="13968">
      <c r="A13968" s="39">
        <f>_xlfn.XLOOKUP(81612,Trip[shape_id],Trip[shape_id],"Não encontrado")</f>
        <v/>
      </c>
      <c r="B13968" s="40" t="n">
        <v>-23.576722</v>
      </c>
      <c r="C13968" s="40" t="n">
        <v>-46.516808</v>
      </c>
      <c r="D13968" s="40" t="n">
        <v>370</v>
      </c>
      <c r="E13968" s="41" t="n">
        <v>11049.412</v>
      </c>
    </row>
    <row r="13969">
      <c r="A13969" s="42">
        <f>_xlfn.XLOOKUP(81612,Trip[shape_id],Trip[shape_id],"Não encontrado")</f>
        <v/>
      </c>
      <c r="B13969" s="43" t="n">
        <v>-23.576857</v>
      </c>
      <c r="C13969" s="43" t="n">
        <v>-46.516519</v>
      </c>
      <c r="D13969" s="43" t="n">
        <v>371</v>
      </c>
      <c r="E13969" s="44" t="n">
        <v>11082.486</v>
      </c>
    </row>
    <row r="13970">
      <c r="A13970" s="39">
        <f>_xlfn.XLOOKUP(81612,Trip[shape_id],Trip[shape_id],"Não encontrado")</f>
        <v/>
      </c>
      <c r="B13970" s="40" t="n">
        <v>-23.57691</v>
      </c>
      <c r="C13970" s="40" t="n">
        <v>-46.516367</v>
      </c>
      <c r="D13970" s="40" t="n">
        <v>372</v>
      </c>
      <c r="E13970" s="41" t="n">
        <v>11099.076</v>
      </c>
    </row>
    <row r="13971">
      <c r="A13971" s="42">
        <f>_xlfn.XLOOKUP(81612,Trip[shape_id],Trip[shape_id],"Não encontrado")</f>
        <v/>
      </c>
      <c r="B13971" s="43" t="n">
        <v>-23.576993</v>
      </c>
      <c r="C13971" s="43" t="n">
        <v>-46.516075</v>
      </c>
      <c r="D13971" s="43" t="n">
        <v>373</v>
      </c>
      <c r="E13971" s="44" t="n">
        <v>11182.744</v>
      </c>
    </row>
    <row r="13972">
      <c r="A13972" s="39">
        <f>_xlfn.XLOOKUP(81612,Trip[shape_id],Trip[shape_id],"Não encontrado")</f>
        <v/>
      </c>
      <c r="B13972" s="40" t="n">
        <v>-23.577114</v>
      </c>
      <c r="C13972" s="40" t="n">
        <v>-46.515578</v>
      </c>
      <c r="D13972" s="40" t="n">
        <v>374</v>
      </c>
      <c r="E13972" s="41" t="n">
        <v>11182.744</v>
      </c>
    </row>
    <row r="13973">
      <c r="A13973" s="42">
        <f>_xlfn.XLOOKUP(81612,Trip[shape_id],Trip[shape_id],"Não encontrado")</f>
        <v/>
      </c>
      <c r="B13973" s="43" t="n">
        <v>-23.577171</v>
      </c>
      <c r="C13973" s="43" t="n">
        <v>-46.515342</v>
      </c>
      <c r="D13973" s="43" t="n">
        <v>375</v>
      </c>
      <c r="E13973" s="44" t="n">
        <v>11222.627</v>
      </c>
    </row>
    <row r="13974">
      <c r="A13974" s="39">
        <f>_xlfn.XLOOKUP(81612,Trip[shape_id],Trip[shape_id],"Não encontrado")</f>
        <v/>
      </c>
      <c r="B13974" s="40" t="n">
        <v>-23.577224</v>
      </c>
      <c r="C13974" s="40" t="n">
        <v>-46.515207</v>
      </c>
      <c r="D13974" s="40" t="n">
        <v>376</v>
      </c>
      <c r="E13974" s="41" t="n">
        <v>11237.388</v>
      </c>
    </row>
    <row r="13975">
      <c r="A13975" s="42">
        <f>_xlfn.XLOOKUP(81612,Trip[shape_id],Trip[shape_id],"Não encontrado")</f>
        <v/>
      </c>
      <c r="B13975" s="43" t="n">
        <v>-23.577286</v>
      </c>
      <c r="C13975" s="43" t="n">
        <v>-46.515079</v>
      </c>
      <c r="D13975" s="43" t="n">
        <v>377</v>
      </c>
      <c r="E13975" s="44" t="n">
        <v>11245.451</v>
      </c>
    </row>
    <row r="13976">
      <c r="A13976" s="39">
        <f>_xlfn.XLOOKUP(81612,Trip[shape_id],Trip[shape_id],"Não encontrado")</f>
        <v/>
      </c>
      <c r="B13976" s="40" t="n">
        <v>-23.577326</v>
      </c>
      <c r="C13976" s="40" t="n">
        <v>-46.515013</v>
      </c>
      <c r="D13976" s="40" t="n">
        <v>378</v>
      </c>
      <c r="E13976" s="41" t="n">
        <v>11261.691</v>
      </c>
    </row>
    <row r="13977">
      <c r="A13977" s="42">
        <f>_xlfn.XLOOKUP(81612,Trip[shape_id],Trip[shape_id],"Não encontrado")</f>
        <v/>
      </c>
      <c r="B13977" s="43" t="n">
        <v>-23.577419</v>
      </c>
      <c r="C13977" s="43" t="n">
        <v>-46.51489</v>
      </c>
      <c r="D13977" s="43" t="n">
        <v>379</v>
      </c>
      <c r="E13977" s="44" t="n">
        <v>11325.517</v>
      </c>
    </row>
    <row r="13978">
      <c r="A13978" s="39">
        <f>_xlfn.XLOOKUP(81612,Trip[shape_id],Trip[shape_id],"Não encontrado")</f>
        <v/>
      </c>
      <c r="B13978" s="40" t="n">
        <v>-23.577821</v>
      </c>
      <c r="C13978" s="40" t="n">
        <v>-46.514442</v>
      </c>
      <c r="D13978" s="40" t="n">
        <v>380</v>
      </c>
      <c r="E13978" s="41" t="n">
        <v>11325.517</v>
      </c>
    </row>
    <row r="13979">
      <c r="A13979" s="42">
        <f>_xlfn.XLOOKUP(81612,Trip[shape_id],Trip[shape_id],"Não encontrado")</f>
        <v/>
      </c>
      <c r="B13979" s="43" t="n">
        <v>-23.578035</v>
      </c>
      <c r="C13979" s="43" t="n">
        <v>-46.514222</v>
      </c>
      <c r="D13979" s="43" t="n">
        <v>381</v>
      </c>
      <c r="E13979" s="44" t="n">
        <v>11385.791</v>
      </c>
    </row>
    <row r="13980">
      <c r="A13980" s="39">
        <f>_xlfn.XLOOKUP(81612,Trip[shape_id],Trip[shape_id],"Não encontrado")</f>
        <v/>
      </c>
      <c r="B13980" s="40" t="n">
        <v>-23.578205</v>
      </c>
      <c r="C13980" s="40" t="n">
        <v>-46.514024</v>
      </c>
      <c r="D13980" s="40" t="n">
        <v>382</v>
      </c>
      <c r="E13980" s="41" t="n">
        <v>11385.791</v>
      </c>
    </row>
    <row r="13981">
      <c r="A13981" s="42">
        <f>_xlfn.XLOOKUP(81612,Trip[shape_id],Trip[shape_id],"Não encontrado")</f>
        <v/>
      </c>
      <c r="B13981" s="43" t="n">
        <v>-23.578478</v>
      </c>
      <c r="C13981" s="43" t="n">
        <v>-46.513653</v>
      </c>
      <c r="D13981" s="43" t="n">
        <v>383</v>
      </c>
      <c r="E13981" s="44" t="n">
        <v>11434.252</v>
      </c>
    </row>
    <row r="13982">
      <c r="A13982" s="39">
        <f>_xlfn.XLOOKUP(81612,Trip[shape_id],Trip[shape_id],"Não encontrado")</f>
        <v/>
      </c>
      <c r="B13982" s="40" t="n">
        <v>-23.578607</v>
      </c>
      <c r="C13982" s="40" t="n">
        <v>-46.513484</v>
      </c>
      <c r="D13982" s="40" t="n">
        <v>384</v>
      </c>
      <c r="E13982" s="41" t="n">
        <v>11481.128</v>
      </c>
    </row>
    <row r="13983">
      <c r="A13983" s="42">
        <f>_xlfn.XLOOKUP(81612,Trip[shape_id],Trip[shape_id],"Não encontrado")</f>
        <v/>
      </c>
      <c r="B13983" s="43" t="n">
        <v>-23.578743</v>
      </c>
      <c r="C13983" s="43" t="n">
        <v>-46.513295</v>
      </c>
      <c r="D13983" s="43" t="n">
        <v>385</v>
      </c>
      <c r="E13983" s="44" t="n">
        <v>11481.128</v>
      </c>
    </row>
    <row r="13984">
      <c r="A13984" s="39">
        <f>_xlfn.XLOOKUP(81612,Trip[shape_id],Trip[shape_id],"Não encontrado")</f>
        <v/>
      </c>
      <c r="B13984" s="40" t="n">
        <v>-23.578882</v>
      </c>
      <c r="C13984" s="40" t="n">
        <v>-46.513133</v>
      </c>
      <c r="D13984" s="40" t="n">
        <v>386</v>
      </c>
      <c r="E13984" s="41" t="n">
        <v>11517.271</v>
      </c>
    </row>
    <row r="13985">
      <c r="A13985" s="42">
        <f>_xlfn.XLOOKUP(81612,Trip[shape_id],Trip[shape_id],"Não encontrado")</f>
        <v/>
      </c>
      <c r="B13985" s="43" t="n">
        <v>-23.578958</v>
      </c>
      <c r="C13985" s="43" t="n">
        <v>-46.513029</v>
      </c>
      <c r="D13985" s="43" t="n">
        <v>387</v>
      </c>
      <c r="E13985" s="44" t="n">
        <v>11563.648</v>
      </c>
    </row>
    <row r="13986">
      <c r="A13986" s="39">
        <f>_xlfn.XLOOKUP(81612,Trip[shape_id],Trip[shape_id],"Não encontrado")</f>
        <v/>
      </c>
      <c r="B13986" s="40" t="n">
        <v>-23.579225</v>
      </c>
      <c r="C13986" s="40" t="n">
        <v>-46.512679</v>
      </c>
      <c r="D13986" s="40" t="n">
        <v>388</v>
      </c>
      <c r="E13986" s="41" t="n">
        <v>11579.073</v>
      </c>
    </row>
    <row r="13987">
      <c r="A13987" s="42">
        <f>_xlfn.XLOOKUP(81612,Trip[shape_id],Trip[shape_id],"Não encontrado")</f>
        <v/>
      </c>
      <c r="B13987" s="43" t="n">
        <v>-23.579312</v>
      </c>
      <c r="C13987" s="43" t="n">
        <v>-46.512561</v>
      </c>
      <c r="D13987" s="43" t="n">
        <v>389</v>
      </c>
      <c r="E13987" s="44" t="n">
        <v>11593.166</v>
      </c>
    </row>
    <row r="13988">
      <c r="A13988" s="39">
        <f>_xlfn.XLOOKUP(81612,Trip[shape_id],Trip[shape_id],"Não encontrado")</f>
        <v/>
      </c>
      <c r="B13988" s="40" t="n">
        <v>-23.579364</v>
      </c>
      <c r="C13988" s="40" t="n">
        <v>-46.512435</v>
      </c>
      <c r="D13988" s="40" t="n">
        <v>390</v>
      </c>
      <c r="E13988" s="41" t="n">
        <v>11593.166</v>
      </c>
    </row>
    <row r="13989">
      <c r="A13989" s="42">
        <f>_xlfn.XLOOKUP(81612,Trip[shape_id],Trip[shape_id],"Não encontrado")</f>
        <v/>
      </c>
      <c r="B13989" s="43" t="n">
        <v>-23.579384</v>
      </c>
      <c r="C13989" s="43" t="n">
        <v>-46.512359</v>
      </c>
      <c r="D13989" s="43" t="n">
        <v>391</v>
      </c>
      <c r="E13989" s="44" t="n">
        <v>11618.605</v>
      </c>
    </row>
    <row r="13990">
      <c r="A13990" s="39">
        <f>_xlfn.XLOOKUP(81612,Trip[shape_id],Trip[shape_id],"Não encontrado")</f>
        <v/>
      </c>
      <c r="B13990" s="40" t="n">
        <v>-23.579391</v>
      </c>
      <c r="C13990" s="40" t="n">
        <v>-46.512189</v>
      </c>
      <c r="D13990" s="40" t="n">
        <v>392</v>
      </c>
      <c r="E13990" s="41" t="n">
        <v>11618.605</v>
      </c>
    </row>
    <row r="13991">
      <c r="A13991" s="42">
        <f>_xlfn.XLOOKUP(81612,Trip[shape_id],Trip[shape_id],"Não encontrado")</f>
        <v/>
      </c>
      <c r="B13991" s="43" t="n">
        <v>-23.579396</v>
      </c>
      <c r="C13991" s="43" t="n">
        <v>-46.512053</v>
      </c>
      <c r="D13991" s="43" t="n">
        <v>393</v>
      </c>
      <c r="E13991" s="44" t="n">
        <v>11638.547</v>
      </c>
    </row>
    <row r="13992">
      <c r="A13992" s="39">
        <f>_xlfn.XLOOKUP(81612,Trip[shape_id],Trip[shape_id],"Não encontrado")</f>
        <v/>
      </c>
      <c r="B13992" s="40" t="n">
        <v>-23.579401</v>
      </c>
      <c r="C13992" s="40" t="n">
        <v>-46.511994</v>
      </c>
      <c r="D13992" s="40" t="n">
        <v>394</v>
      </c>
      <c r="E13992" s="41" t="n">
        <v>11658.897</v>
      </c>
    </row>
    <row r="13993">
      <c r="A13993" s="42">
        <f>_xlfn.XLOOKUP(81612,Trip[shape_id],Trip[shape_id],"Não encontrado")</f>
        <v/>
      </c>
      <c r="B13993" s="43" t="n">
        <v>-23.579412</v>
      </c>
      <c r="C13993" s="43" t="n">
        <v>-46.511795</v>
      </c>
      <c r="D13993" s="43" t="n">
        <v>395</v>
      </c>
      <c r="E13993" s="44" t="n">
        <v>11658.897</v>
      </c>
    </row>
    <row r="13994">
      <c r="A13994" s="39">
        <f>_xlfn.XLOOKUP(81612,Trip[shape_id],Trip[shape_id],"Não encontrado")</f>
        <v/>
      </c>
      <c r="B13994" s="40" t="n">
        <v>-23.579448</v>
      </c>
      <c r="C13994" s="40" t="n">
        <v>-46.511549</v>
      </c>
      <c r="D13994" s="40" t="n">
        <v>396</v>
      </c>
      <c r="E13994" s="41" t="n">
        <v>11684.323</v>
      </c>
    </row>
    <row r="13995">
      <c r="A13995" s="42">
        <f>_xlfn.XLOOKUP(81612,Trip[shape_id],Trip[shape_id],"Não encontrado")</f>
        <v/>
      </c>
      <c r="B13995" s="43" t="n">
        <v>-23.579502</v>
      </c>
      <c r="C13995" s="43" t="n">
        <v>-46.51132</v>
      </c>
      <c r="D13995" s="43" t="n">
        <v>397</v>
      </c>
      <c r="E13995" s="44" t="n">
        <v>11740.167</v>
      </c>
    </row>
    <row r="13996">
      <c r="A13996" s="39">
        <f>_xlfn.XLOOKUP(81612,Trip[shape_id],Trip[shape_id],"Não encontrado")</f>
        <v/>
      </c>
      <c r="B13996" s="40" t="n">
        <v>-23.579583</v>
      </c>
      <c r="C13996" s="40" t="n">
        <v>-46.511022</v>
      </c>
      <c r="D13996" s="40" t="n">
        <v>398</v>
      </c>
      <c r="E13996" s="41" t="n">
        <v>11740.167</v>
      </c>
    </row>
    <row r="13997">
      <c r="A13997" s="42">
        <f>_xlfn.XLOOKUP(81612,Trip[shape_id],Trip[shape_id],"Não encontrado")</f>
        <v/>
      </c>
      <c r="B13997" s="43" t="n">
        <v>-23.579741</v>
      </c>
      <c r="C13997" s="43" t="n">
        <v>-46.510528</v>
      </c>
      <c r="D13997" s="43" t="n">
        <v>399</v>
      </c>
      <c r="E13997" s="44" t="n">
        <v>11793.544</v>
      </c>
    </row>
    <row r="13998">
      <c r="A13998" s="39">
        <f>_xlfn.XLOOKUP(81612,Trip[shape_id],Trip[shape_id],"Não encontrado")</f>
        <v/>
      </c>
      <c r="B13998" s="40" t="n">
        <v>-23.579767</v>
      </c>
      <c r="C13998" s="40" t="n">
        <v>-46.510452</v>
      </c>
      <c r="D13998" s="40" t="n">
        <v>400</v>
      </c>
      <c r="E13998" s="41" t="n">
        <v>11801.819</v>
      </c>
    </row>
    <row r="13999">
      <c r="A13999" s="42">
        <f>_xlfn.XLOOKUP(81612,Trip[shape_id],Trip[shape_id],"Não encontrado")</f>
        <v/>
      </c>
      <c r="B13999" s="43" t="n">
        <v>-23.579803</v>
      </c>
      <c r="C13999" s="43" t="n">
        <v>-46.510391</v>
      </c>
      <c r="D13999" s="43" t="n">
        <v>401</v>
      </c>
      <c r="E13999" s="44" t="n">
        <v>11809.213</v>
      </c>
    </row>
    <row r="14000">
      <c r="A14000" s="39">
        <f>_xlfn.XLOOKUP(81612,Trip[shape_id],Trip[shape_id],"Não encontrado")</f>
        <v/>
      </c>
      <c r="B14000" s="40" t="n">
        <v>-23.580006</v>
      </c>
      <c r="C14000" s="40" t="n">
        <v>-46.509809</v>
      </c>
      <c r="D14000" s="40" t="n">
        <v>402</v>
      </c>
      <c r="E14000" s="41" t="n">
        <v>11872.735</v>
      </c>
    </row>
    <row r="14001">
      <c r="A14001" s="42">
        <f>_xlfn.XLOOKUP(81612,Trip[shape_id],Trip[shape_id],"Não encontrado")</f>
        <v/>
      </c>
      <c r="B14001" s="43" t="n">
        <v>-23.580344</v>
      </c>
      <c r="C14001" s="43" t="n">
        <v>-46.509802</v>
      </c>
      <c r="D14001" s="43" t="n">
        <v>403</v>
      </c>
      <c r="E14001" s="44" t="n">
        <v>11910.177</v>
      </c>
    </row>
    <row r="14002">
      <c r="A14002" s="39">
        <f>_xlfn.XLOOKUP(81612,Trip[shape_id],Trip[shape_id],"Não encontrado")</f>
        <v/>
      </c>
      <c r="B14002" s="40" t="n">
        <v>-23.580657</v>
      </c>
      <c r="C14002" s="40" t="n">
        <v>-46.50979</v>
      </c>
      <c r="D14002" s="40" t="n">
        <v>404</v>
      </c>
      <c r="E14002" s="41" t="n">
        <v>11968.908</v>
      </c>
    </row>
    <row r="14003">
      <c r="A14003" s="42">
        <f>_xlfn.XLOOKUP(81612,Trip[shape_id],Trip[shape_id],"Não encontrado")</f>
        <v/>
      </c>
      <c r="B14003" s="43" t="n">
        <v>-23.580874</v>
      </c>
      <c r="C14003" s="43" t="n">
        <v>-46.509783</v>
      </c>
      <c r="D14003" s="43" t="n">
        <v>405</v>
      </c>
      <c r="E14003" s="44" t="n">
        <v>11968.908</v>
      </c>
    </row>
    <row r="14004">
      <c r="A14004" s="39">
        <f>_xlfn.XLOOKUP(81612,Trip[shape_id],Trip[shape_id],"Não encontrado")</f>
        <v/>
      </c>
      <c r="B14004" s="40" t="n">
        <v>-23.581237</v>
      </c>
      <c r="C14004" s="40" t="n">
        <v>-46.509762</v>
      </c>
      <c r="D14004" s="40" t="n">
        <v>406</v>
      </c>
      <c r="E14004" s="41" t="n">
        <v>12041.417</v>
      </c>
    </row>
    <row r="14005">
      <c r="A14005" s="42">
        <f>_xlfn.XLOOKUP(81612,Trip[shape_id],Trip[shape_id],"Não encontrado")</f>
        <v/>
      </c>
      <c r="B14005" s="43" t="n">
        <v>-23.581528</v>
      </c>
      <c r="C14005" s="43" t="n">
        <v>-46.509751</v>
      </c>
      <c r="D14005" s="43" t="n">
        <v>407</v>
      </c>
      <c r="E14005" s="44" t="n">
        <v>12041.417</v>
      </c>
    </row>
    <row r="14006">
      <c r="A14006" s="39">
        <f>_xlfn.XLOOKUP(81612,Trip[shape_id],Trip[shape_id],"Não encontrado")</f>
        <v/>
      </c>
      <c r="B14006" s="40" t="n">
        <v>-23.581797</v>
      </c>
      <c r="C14006" s="40" t="n">
        <v>-46.509746</v>
      </c>
      <c r="D14006" s="40" t="n">
        <v>408</v>
      </c>
      <c r="E14006" s="41" t="n">
        <v>12071.214</v>
      </c>
    </row>
    <row r="14007">
      <c r="A14007" s="42">
        <f>_xlfn.XLOOKUP(81612,Trip[shape_id],Trip[shape_id],"Não encontrado")</f>
        <v/>
      </c>
      <c r="B14007" s="43" t="n">
        <v>-23.582077</v>
      </c>
      <c r="C14007" s="43" t="n">
        <v>-46.509736</v>
      </c>
      <c r="D14007" s="43" t="n">
        <v>409</v>
      </c>
      <c r="E14007" s="44" t="n">
        <v>12130.426</v>
      </c>
    </row>
    <row r="14008">
      <c r="A14008" s="39">
        <f>_xlfn.XLOOKUP(81612,Trip[shape_id],Trip[shape_id],"Não encontrado")</f>
        <v/>
      </c>
      <c r="B14008" s="40" t="n">
        <v>-23.582331</v>
      </c>
      <c r="C14008" s="40" t="n">
        <v>-46.509719</v>
      </c>
      <c r="D14008" s="40" t="n">
        <v>410</v>
      </c>
      <c r="E14008" s="41" t="n">
        <v>12130.426</v>
      </c>
    </row>
    <row r="14009">
      <c r="A14009" s="42">
        <f>_xlfn.XLOOKUP(81612,Trip[shape_id],Trip[shape_id],"Não encontrado")</f>
        <v/>
      </c>
      <c r="B14009" s="43" t="n">
        <v>-23.582852</v>
      </c>
      <c r="C14009" s="43" t="n">
        <v>-46.509694</v>
      </c>
      <c r="D14009" s="43" t="n">
        <v>411</v>
      </c>
      <c r="E14009" s="44" t="n">
        <v>12188.185</v>
      </c>
    </row>
    <row r="14010">
      <c r="A14010" s="39">
        <f>_xlfn.XLOOKUP(81612,Trip[shape_id],Trip[shape_id],"Não encontrado")</f>
        <v/>
      </c>
      <c r="B14010" s="40" t="n">
        <v>-23.583076</v>
      </c>
      <c r="C14010" s="40" t="n">
        <v>-46.509697</v>
      </c>
      <c r="D14010" s="40" t="n">
        <v>412</v>
      </c>
      <c r="E14010" s="41" t="n">
        <v>12227.537</v>
      </c>
    </row>
    <row r="14011">
      <c r="A14011" s="42">
        <f>_xlfn.XLOOKUP(81612,Trip[shape_id],Trip[shape_id],"Não encontrado")</f>
        <v/>
      </c>
      <c r="B14011" s="43" t="n">
        <v>-23.583206</v>
      </c>
      <c r="C14011" s="43" t="n">
        <v>-46.509717</v>
      </c>
      <c r="D14011" s="43" t="n">
        <v>413</v>
      </c>
      <c r="E14011" s="44" t="n">
        <v>12235.73</v>
      </c>
    </row>
    <row r="14012">
      <c r="A14012" s="39">
        <f>_xlfn.XLOOKUP(81612,Trip[shape_id],Trip[shape_id],"Não encontrado")</f>
        <v/>
      </c>
      <c r="B14012" s="40" t="n">
        <v>-23.583279</v>
      </c>
      <c r="C14012" s="40" t="n">
        <v>-46.50973</v>
      </c>
      <c r="D14012" s="40" t="n">
        <v>414</v>
      </c>
      <c r="E14012" s="41" t="n">
        <v>12235.73</v>
      </c>
    </row>
    <row r="14013">
      <c r="A14013" s="42">
        <f>_xlfn.XLOOKUP(81612,Trip[shape_id],Trip[shape_id],"Não encontrado")</f>
        <v/>
      </c>
      <c r="B14013" s="43" t="n">
        <v>-23.583732</v>
      </c>
      <c r="C14013" s="43" t="n">
        <v>-46.509784</v>
      </c>
      <c r="D14013" s="43" t="n">
        <v>415</v>
      </c>
      <c r="E14013" s="44" t="n">
        <v>12302.495</v>
      </c>
    </row>
    <row r="14014">
      <c r="A14014" s="39">
        <f>_xlfn.XLOOKUP(81612,Trip[shape_id],Trip[shape_id],"Não encontrado")</f>
        <v/>
      </c>
      <c r="B14014" s="40" t="n">
        <v>-23.583879</v>
      </c>
      <c r="C14014" s="40" t="n">
        <v>-46.50979</v>
      </c>
      <c r="D14014" s="40" t="n">
        <v>416</v>
      </c>
      <c r="E14014" s="41" t="n">
        <v>12310.802</v>
      </c>
    </row>
    <row r="14015">
      <c r="A14015" s="42">
        <f>_xlfn.XLOOKUP(81612,Trip[shape_id],Trip[shape_id],"Não encontrado")</f>
        <v/>
      </c>
      <c r="B14015" s="43" t="n">
        <v>-23.583954</v>
      </c>
      <c r="C14015" s="43" t="n">
        <v>-46.50979</v>
      </c>
      <c r="D14015" s="43" t="n">
        <v>417</v>
      </c>
      <c r="E14015" s="44" t="n">
        <v>12321.032</v>
      </c>
    </row>
    <row r="14016">
      <c r="A14016" s="39">
        <f>_xlfn.XLOOKUP(81612,Trip[shape_id],Trip[shape_id],"Não encontrado")</f>
        <v/>
      </c>
      <c r="B14016" s="40" t="n">
        <v>-23.584046</v>
      </c>
      <c r="C14016" s="40" t="n">
        <v>-46.509781</v>
      </c>
      <c r="D14016" s="40" t="n">
        <v>418</v>
      </c>
      <c r="E14016" s="41" t="n">
        <v>12337.897</v>
      </c>
    </row>
    <row r="14017">
      <c r="A14017" s="42">
        <f>_xlfn.XLOOKUP(81612,Trip[shape_id],Trip[shape_id],"Não encontrado")</f>
        <v/>
      </c>
      <c r="B14017" s="43" t="n">
        <v>-23.584198</v>
      </c>
      <c r="C14017" s="43" t="n">
        <v>-46.509771</v>
      </c>
      <c r="D14017" s="43" t="n">
        <v>419</v>
      </c>
      <c r="E14017" s="44" t="n">
        <v>12346.418</v>
      </c>
    </row>
    <row r="14018">
      <c r="A14018" s="39">
        <f>_xlfn.XLOOKUP(81612,Trip[shape_id],Trip[shape_id],"Não encontrado")</f>
        <v/>
      </c>
      <c r="B14018" s="40" t="n">
        <v>-23.584274</v>
      </c>
      <c r="C14018" s="40" t="n">
        <v>-46.509758</v>
      </c>
      <c r="D14018" s="40" t="n">
        <v>420</v>
      </c>
      <c r="E14018" s="41" t="n">
        <v>12346.418</v>
      </c>
    </row>
    <row r="14019">
      <c r="A14019" s="42">
        <f>_xlfn.XLOOKUP(81612,Trip[shape_id],Trip[shape_id],"Não encontrado")</f>
        <v/>
      </c>
      <c r="B14019" s="43" t="n">
        <v>-23.584426</v>
      </c>
      <c r="C14019" s="43" t="n">
        <v>-46.509733</v>
      </c>
      <c r="D14019" s="43" t="n">
        <v>421</v>
      </c>
      <c r="E14019" s="44" t="n">
        <v>12363.444</v>
      </c>
    </row>
    <row r="14020">
      <c r="A14020" s="39">
        <f>_xlfn.XLOOKUP(81612,Trip[shape_id],Trip[shape_id],"Não encontrado")</f>
        <v/>
      </c>
      <c r="B14020" s="40" t="n">
        <v>-23.584441</v>
      </c>
      <c r="C14020" s="40" t="n">
        <v>-46.509951</v>
      </c>
      <c r="D14020" s="40" t="n">
        <v>422</v>
      </c>
      <c r="E14020" s="41" t="n">
        <v>12385.759</v>
      </c>
    </row>
    <row r="14021">
      <c r="A14021" s="42">
        <f>_xlfn.XLOOKUP(81612,Trip[shape_id],Trip[shape_id],"Não encontrado")</f>
        <v/>
      </c>
      <c r="B14021" s="43" t="n">
        <v>-23.584446</v>
      </c>
      <c r="C14021" s="43" t="n">
        <v>-46.510018</v>
      </c>
      <c r="D14021" s="43" t="n">
        <v>423</v>
      </c>
      <c r="E14021" s="44" t="n">
        <v>12392.62</v>
      </c>
    </row>
    <row r="14022">
      <c r="A14022" s="39">
        <f>_xlfn.XLOOKUP(81612,Trip[shape_id],Trip[shape_id],"Não encontrado")</f>
        <v/>
      </c>
      <c r="B14022" s="40" t="n">
        <v>-23.584474</v>
      </c>
      <c r="C14022" s="40" t="n">
        <v>-46.5101</v>
      </c>
      <c r="D14022" s="40" t="n">
        <v>424</v>
      </c>
      <c r="E14022" s="41" t="n">
        <v>12401.546</v>
      </c>
    </row>
    <row r="14023">
      <c r="A14023" s="42">
        <f>_xlfn.XLOOKUP(81612,Trip[shape_id],Trip[shape_id],"Não encontrado")</f>
        <v/>
      </c>
      <c r="B14023" s="43" t="n">
        <v>-23.584487</v>
      </c>
      <c r="C14023" s="43" t="n">
        <v>-46.510114</v>
      </c>
      <c r="D14023" s="43" t="n">
        <v>425</v>
      </c>
      <c r="E14023" s="44" t="n">
        <v>12403.572</v>
      </c>
    </row>
    <row r="14024">
      <c r="A14024" s="39">
        <f>_xlfn.XLOOKUP(81612,Trip[shape_id],Trip[shape_id],"Não encontrado")</f>
        <v/>
      </c>
      <c r="B14024" s="40" t="n">
        <v>-23.584534</v>
      </c>
      <c r="C14024" s="40" t="n">
        <v>-46.510182</v>
      </c>
      <c r="D14024" s="40" t="n">
        <v>426</v>
      </c>
      <c r="E14024" s="41" t="n">
        <v>12412.248</v>
      </c>
    </row>
    <row r="14025">
      <c r="A14025" s="42">
        <f>_xlfn.XLOOKUP(81612,Trip[shape_id],Trip[shape_id],"Não encontrado")</f>
        <v/>
      </c>
      <c r="B14025" s="43" t="n">
        <v>-23.584589</v>
      </c>
      <c r="C14025" s="43" t="n">
        <v>-46.510258</v>
      </c>
      <c r="D14025" s="43" t="n">
        <v>427</v>
      </c>
      <c r="E14025" s="44" t="n">
        <v>12422.111</v>
      </c>
    </row>
    <row r="14026">
      <c r="A14026" s="39">
        <f>_xlfn.XLOOKUP(81612,Trip[shape_id],Trip[shape_id],"Não encontrado")</f>
        <v/>
      </c>
      <c r="B14026" s="40" t="n">
        <v>-23.584594</v>
      </c>
      <c r="C14026" s="40" t="n">
        <v>-46.510353</v>
      </c>
      <c r="D14026" s="40" t="n">
        <v>428</v>
      </c>
      <c r="E14026" s="41" t="n">
        <v>12431.824</v>
      </c>
    </row>
    <row r="14027">
      <c r="A14027" s="42">
        <f>_xlfn.XLOOKUP(81612,Trip[shape_id],Trip[shape_id],"Não encontrado")</f>
        <v/>
      </c>
      <c r="B14027" s="43" t="n">
        <v>-23.584648</v>
      </c>
      <c r="C14027" s="43" t="n">
        <v>-46.510417</v>
      </c>
      <c r="D14027" s="43" t="n">
        <v>429</v>
      </c>
      <c r="E14027" s="44" t="n">
        <v>12440.681</v>
      </c>
    </row>
    <row r="14028">
      <c r="A14028" s="39">
        <f>_xlfn.XLOOKUP(81612,Trip[shape_id],Trip[shape_id],"Não encontrado")</f>
        <v/>
      </c>
      <c r="B14028" s="40" t="n">
        <v>-23.584732</v>
      </c>
      <c r="C14028" s="40" t="n">
        <v>-46.5107</v>
      </c>
      <c r="D14028" s="40" t="n">
        <v>430</v>
      </c>
      <c r="E14028" s="41" t="n">
        <v>12471.029</v>
      </c>
    </row>
    <row r="14029">
      <c r="A14029" s="42">
        <f>_xlfn.XLOOKUP(81612,Trip[shape_id],Trip[shape_id],"Não encontrado")</f>
        <v/>
      </c>
      <c r="B14029" s="43" t="n">
        <v>-23.584863</v>
      </c>
      <c r="C14029" s="43" t="n">
        <v>-46.510886</v>
      </c>
      <c r="D14029" s="43" t="n">
        <v>431</v>
      </c>
      <c r="E14029" s="44" t="n">
        <v>12494.924</v>
      </c>
    </row>
    <row r="14030">
      <c r="A14030" s="39">
        <f>_xlfn.XLOOKUP(81612,Trip[shape_id],Trip[shape_id],"Não encontrado")</f>
        <v/>
      </c>
      <c r="B14030" s="40" t="n">
        <v>-23.585102</v>
      </c>
      <c r="C14030" s="40" t="n">
        <v>-46.510831</v>
      </c>
      <c r="D14030" s="40" t="n">
        <v>432</v>
      </c>
      <c r="E14030" s="41" t="n">
        <v>12521.982</v>
      </c>
    </row>
    <row r="14031">
      <c r="A14031" s="42">
        <f>_xlfn.XLOOKUP(81612,Trip[shape_id],Trip[shape_id],"Não encontrado")</f>
        <v/>
      </c>
      <c r="B14031" s="43" t="n">
        <v>-23.585573</v>
      </c>
      <c r="C14031" s="43" t="n">
        <v>-46.510707</v>
      </c>
      <c r="D14031" s="43" t="n">
        <v>433</v>
      </c>
      <c r="E14031" s="44" t="n">
        <v>12575.66</v>
      </c>
    </row>
    <row r="14032">
      <c r="A14032" s="39">
        <f>_xlfn.XLOOKUP(81612,Trip[shape_id],Trip[shape_id],"Não encontrado")</f>
        <v/>
      </c>
      <c r="B14032" s="40" t="n">
        <v>-23.585743</v>
      </c>
      <c r="C14032" s="40" t="n">
        <v>-46.510671</v>
      </c>
      <c r="D14032" s="40" t="n">
        <v>434</v>
      </c>
      <c r="E14032" s="41" t="n">
        <v>12594.844</v>
      </c>
    </row>
    <row r="14033">
      <c r="A14033" s="42">
        <f>_xlfn.XLOOKUP(81612,Trip[shape_id],Trip[shape_id],"Não encontrado")</f>
        <v/>
      </c>
      <c r="B14033" s="43" t="n">
        <v>-23.585991</v>
      </c>
      <c r="C14033" s="43" t="n">
        <v>-46.510608</v>
      </c>
      <c r="D14033" s="43" t="n">
        <v>435</v>
      </c>
      <c r="E14033" s="44" t="n">
        <v>12623.054</v>
      </c>
    </row>
    <row r="14034">
      <c r="A14034" s="39">
        <f>_xlfn.XLOOKUP(81612,Trip[shape_id],Trip[shape_id],"Não encontrado")</f>
        <v/>
      </c>
      <c r="B14034" s="40" t="n">
        <v>-23.586534</v>
      </c>
      <c r="C14034" s="40" t="n">
        <v>-46.510489</v>
      </c>
      <c r="D14034" s="40" t="n">
        <v>436</v>
      </c>
      <c r="E14034" s="41" t="n">
        <v>12684.406</v>
      </c>
    </row>
    <row r="14035">
      <c r="A14035" s="42">
        <f>_xlfn.XLOOKUP(81612,Trip[shape_id],Trip[shape_id],"Não encontrado")</f>
        <v/>
      </c>
      <c r="B14035" s="43" t="n">
        <v>-23.586993</v>
      </c>
      <c r="C14035" s="43" t="n">
        <v>-46.510379</v>
      </c>
      <c r="D14035" s="43" t="n">
        <v>437</v>
      </c>
      <c r="E14035" s="44" t="n">
        <v>12736.467</v>
      </c>
    </row>
    <row r="14036">
      <c r="A14036" s="39">
        <f>_xlfn.XLOOKUP(81612,Trip[shape_id],Trip[shape_id],"Não encontrado")</f>
        <v/>
      </c>
      <c r="B14036" s="40" t="n">
        <v>-23.587464</v>
      </c>
      <c r="C14036" s="40" t="n">
        <v>-46.510265</v>
      </c>
      <c r="D14036" s="40" t="n">
        <v>438</v>
      </c>
      <c r="E14036" s="41" t="n">
        <v>12789.913</v>
      </c>
    </row>
    <row r="14037">
      <c r="A14037" s="42">
        <f>_xlfn.XLOOKUP(81612,Trip[shape_id],Trip[shape_id],"Não encontrado")</f>
        <v/>
      </c>
      <c r="B14037" s="43" t="n">
        <v>-23.587932</v>
      </c>
      <c r="C14037" s="43" t="n">
        <v>-46.510145</v>
      </c>
      <c r="D14037" s="43" t="n">
        <v>439</v>
      </c>
      <c r="E14037" s="44" t="n">
        <v>12843.173</v>
      </c>
    </row>
    <row r="14038">
      <c r="A14038" s="39">
        <f>_xlfn.XLOOKUP(81612,Trip[shape_id],Trip[shape_id],"Não encontrado")</f>
        <v/>
      </c>
      <c r="B14038" s="40" t="n">
        <v>-23.589001</v>
      </c>
      <c r="C14038" s="40" t="n">
        <v>-46.509894</v>
      </c>
      <c r="D14038" s="40" t="n">
        <v>440</v>
      </c>
      <c r="E14038" s="41" t="n">
        <v>12991.156</v>
      </c>
    </row>
    <row r="14039">
      <c r="A14039" s="42">
        <f>_xlfn.XLOOKUP(81612,Trip[shape_id],Trip[shape_id],"Não encontrado")</f>
        <v/>
      </c>
      <c r="B14039" s="43" t="n">
        <v>-23.589239</v>
      </c>
      <c r="C14039" s="43" t="n">
        <v>-46.509844</v>
      </c>
      <c r="D14039" s="43" t="n">
        <v>441</v>
      </c>
      <c r="E14039" s="44" t="n">
        <v>12991.156</v>
      </c>
    </row>
    <row r="14040">
      <c r="A14040" s="39">
        <f>_xlfn.XLOOKUP(81612,Trip[shape_id],Trip[shape_id],"Não encontrado")</f>
        <v/>
      </c>
      <c r="B14040" s="40" t="n">
        <v>-23.589265</v>
      </c>
      <c r="C14040" s="40" t="n">
        <v>-46.509777</v>
      </c>
      <c r="D14040" s="40" t="n">
        <v>442</v>
      </c>
      <c r="E14040" s="41" t="n">
        <v>13033.899</v>
      </c>
    </row>
    <row r="14041">
      <c r="A14041" s="42">
        <f>_xlfn.XLOOKUP(81612,Trip[shape_id],Trip[shape_id],"Não encontrado")</f>
        <v/>
      </c>
      <c r="B14041" s="43" t="n">
        <v>-23.589372</v>
      </c>
      <c r="C14041" s="43" t="n">
        <v>-46.509451</v>
      </c>
      <c r="D14041" s="43" t="n">
        <v>443</v>
      </c>
      <c r="E14041" s="44" t="n">
        <v>13047.651</v>
      </c>
    </row>
    <row r="14042">
      <c r="A14042" s="39">
        <f>_xlfn.XLOOKUP(81612,Trip[shape_id],Trip[shape_id],"Não encontrado")</f>
        <v/>
      </c>
      <c r="B14042" s="40" t="n">
        <v>-23.589401</v>
      </c>
      <c r="C14042" s="40" t="n">
        <v>-46.50932</v>
      </c>
      <c r="D14042" s="40" t="n">
        <v>444</v>
      </c>
      <c r="E14042" s="41" t="n">
        <v>13057.996</v>
      </c>
    </row>
    <row r="14043">
      <c r="A14043" s="42">
        <f>_xlfn.XLOOKUP(81612,Trip[shape_id],Trip[shape_id],"Não encontrado")</f>
        <v/>
      </c>
      <c r="B14043" s="43" t="n">
        <v>-23.589421</v>
      </c>
      <c r="C14043" s="43" t="n">
        <v>-46.509221</v>
      </c>
      <c r="D14043" s="43" t="n">
        <v>445</v>
      </c>
      <c r="E14043" s="44" t="n">
        <v>13057.996</v>
      </c>
    </row>
    <row r="14044">
      <c r="A14044" s="39">
        <f>_xlfn.XLOOKUP(81612,Trip[shape_id],Trip[shape_id],"Não encontrado")</f>
        <v/>
      </c>
      <c r="B14044" s="40" t="n">
        <v>-23.589457</v>
      </c>
      <c r="C14044" s="40" t="n">
        <v>-46.50903</v>
      </c>
      <c r="D14044" s="40" t="n">
        <v>446</v>
      </c>
      <c r="E14044" s="41" t="n">
        <v>13100.227</v>
      </c>
    </row>
    <row r="14045">
      <c r="A14045" s="42">
        <f>_xlfn.XLOOKUP(81612,Trip[shape_id],Trip[shape_id],"Não encontrado")</f>
        <v/>
      </c>
      <c r="B14045" s="43" t="n">
        <v>-23.589489</v>
      </c>
      <c r="C14045" s="43" t="n">
        <v>-46.508814</v>
      </c>
      <c r="D14045" s="43" t="n">
        <v>447</v>
      </c>
      <c r="E14045" s="44" t="n">
        <v>13100.227</v>
      </c>
    </row>
    <row r="14046">
      <c r="A14046" s="39">
        <f>_xlfn.XLOOKUP(81612,Trip[shape_id],Trip[shape_id],"Não encontrado")</f>
        <v/>
      </c>
      <c r="B14046" s="40" t="n">
        <v>-23.589327</v>
      </c>
      <c r="C14046" s="40" t="n">
        <v>-46.508802</v>
      </c>
      <c r="D14046" s="40" t="n">
        <v>448</v>
      </c>
      <c r="E14046" s="41" t="n">
        <v>13152.188</v>
      </c>
    </row>
    <row r="14047">
      <c r="A14047" s="42">
        <f>_xlfn.XLOOKUP(81612,Trip[shape_id],Trip[shape_id],"Não encontrado")</f>
        <v/>
      </c>
      <c r="B14047" s="43" t="n">
        <v>-23.589022</v>
      </c>
      <c r="C14047" s="43" t="n">
        <v>-46.508838</v>
      </c>
      <c r="D14047" s="43" t="n">
        <v>449</v>
      </c>
      <c r="E14047" s="44" t="n">
        <v>13161.038</v>
      </c>
    </row>
    <row r="14048">
      <c r="A14048" s="39">
        <f>_xlfn.XLOOKUP(81612,Trip[shape_id],Trip[shape_id],"Não encontrado")</f>
        <v/>
      </c>
      <c r="B14048" s="40" t="n">
        <v>-23.588943</v>
      </c>
      <c r="C14048" s="40" t="n">
        <v>-46.508851</v>
      </c>
      <c r="D14048" s="40" t="n">
        <v>450</v>
      </c>
      <c r="E14048" s="41" t="n">
        <v>13179.534</v>
      </c>
    </row>
    <row r="14049">
      <c r="A14049" s="42">
        <f>_xlfn.XLOOKUP(81612,Trip[shape_id],Trip[shape_id],"Não encontrado")</f>
        <v/>
      </c>
      <c r="B14049" s="43" t="n">
        <v>-23.588778</v>
      </c>
      <c r="C14049" s="43" t="n">
        <v>-46.508879</v>
      </c>
      <c r="D14049" s="43" t="n">
        <v>451</v>
      </c>
      <c r="E14049" s="44" t="n">
        <v>13192.323</v>
      </c>
    </row>
    <row r="14050">
      <c r="A14050" s="39">
        <f>_xlfn.XLOOKUP(81612,Trip[shape_id],Trip[shape_id],"Não encontrado")</f>
        <v/>
      </c>
      <c r="B14050" s="40" t="n">
        <v>-23.588664</v>
      </c>
      <c r="C14050" s="40" t="n">
        <v>-46.508899</v>
      </c>
      <c r="D14050" s="40" t="n">
        <v>452</v>
      </c>
      <c r="E14050" s="41" t="n">
        <v>13242.502</v>
      </c>
    </row>
    <row r="14051">
      <c r="A14051" s="42">
        <f>_xlfn.XLOOKUP(81612,Trip[shape_id],Trip[shape_id],"Não encontrado")</f>
        <v/>
      </c>
      <c r="B14051" s="43" t="n">
        <v>-23.588213</v>
      </c>
      <c r="C14051" s="43" t="n">
        <v>-46.508946</v>
      </c>
      <c r="D14051" s="43" t="n">
        <v>453</v>
      </c>
      <c r="E14051" s="44" t="n">
        <v>13261.851</v>
      </c>
    </row>
    <row r="14052">
      <c r="A14052" s="39">
        <f>_xlfn.XLOOKUP(81612,Trip[shape_id],Trip[shape_id],"Não encontrado")</f>
        <v/>
      </c>
      <c r="B14052" s="40" t="n">
        <v>-23.588039</v>
      </c>
      <c r="C14052" s="40" t="n">
        <v>-46.508963</v>
      </c>
      <c r="D14052" s="40" t="n">
        <v>454</v>
      </c>
      <c r="E14052" s="41" t="n">
        <v>13263.288</v>
      </c>
    </row>
    <row r="14053">
      <c r="A14053" s="42">
        <f>_xlfn.XLOOKUP(81612,Trip[shape_id],Trip[shape_id],"Não encontrado")</f>
        <v/>
      </c>
      <c r="B14053" s="43" t="n">
        <v>-23.588026</v>
      </c>
      <c r="C14053" s="43" t="n">
        <v>-46.508963</v>
      </c>
      <c r="D14053" s="43" t="n">
        <v>455</v>
      </c>
      <c r="E14053" s="44" t="n">
        <v>13279.244</v>
      </c>
    </row>
    <row r="14054">
      <c r="A14054" s="39">
        <f>_xlfn.XLOOKUP(81612,Trip[shape_id],Trip[shape_id],"Não encontrado")</f>
        <v/>
      </c>
      <c r="B14054" s="40" t="n">
        <v>-23.587882</v>
      </c>
      <c r="C14054" s="40" t="n">
        <v>-46.508958</v>
      </c>
      <c r="D14054" s="40" t="n">
        <v>456</v>
      </c>
      <c r="E14054" s="41" t="n">
        <v>13279.244</v>
      </c>
    </row>
    <row r="14055">
      <c r="A14055" s="42">
        <f>_xlfn.XLOOKUP(81612,Trip[shape_id],Trip[shape_id],"Não encontrado")</f>
        <v/>
      </c>
      <c r="B14055" s="43" t="n">
        <v>-23.587783</v>
      </c>
      <c r="C14055" s="43" t="n">
        <v>-46.508944</v>
      </c>
      <c r="D14055" s="43" t="n">
        <v>457</v>
      </c>
      <c r="E14055" s="44" t="n">
        <v>13296.665</v>
      </c>
    </row>
    <row r="14056">
      <c r="A14056" s="39">
        <f>_xlfn.XLOOKUP(81612,Trip[shape_id],Trip[shape_id],"Não encontrado")</f>
        <v/>
      </c>
      <c r="B14056" s="40" t="n">
        <v>-23.587727</v>
      </c>
      <c r="C14056" s="40" t="n">
        <v>-46.50893</v>
      </c>
      <c r="D14056" s="40" t="n">
        <v>458</v>
      </c>
      <c r="E14056" s="41" t="n">
        <v>13296.665</v>
      </c>
    </row>
    <row r="14057">
      <c r="A14057" s="42">
        <f>_xlfn.XLOOKUP(81612,Trip[shape_id],Trip[shape_id],"Não encontrado")</f>
        <v/>
      </c>
      <c r="B14057" s="43" t="n">
        <v>-23.587244</v>
      </c>
      <c r="C14057" s="43" t="n">
        <v>-46.50881</v>
      </c>
      <c r="D14057" s="43" t="n">
        <v>459</v>
      </c>
      <c r="E14057" s="44" t="n">
        <v>13351.543</v>
      </c>
    </row>
    <row r="14058">
      <c r="A14058" s="39">
        <f>_xlfn.XLOOKUP(81612,Trip[shape_id],Trip[shape_id],"Não encontrado")</f>
        <v/>
      </c>
      <c r="B14058" s="40" t="n">
        <v>-23.586806</v>
      </c>
      <c r="C14058" s="40" t="n">
        <v>-46.508706</v>
      </c>
      <c r="D14058" s="40" t="n">
        <v>460</v>
      </c>
      <c r="E14058" s="41" t="n">
        <v>13421.766</v>
      </c>
    </row>
    <row r="14059">
      <c r="A14059" s="42">
        <f>_xlfn.XLOOKUP(81612,Trip[shape_id],Trip[shape_id],"Não encontrado")</f>
        <v/>
      </c>
      <c r="B14059" s="43" t="n">
        <v>-23.586625</v>
      </c>
      <c r="C14059" s="43" t="n">
        <v>-46.508661</v>
      </c>
      <c r="D14059" s="43" t="n">
        <v>461</v>
      </c>
      <c r="E14059" s="44" t="n">
        <v>13421.766</v>
      </c>
    </row>
    <row r="14060">
      <c r="A14060" s="39">
        <f>_xlfn.XLOOKUP(81612,Trip[shape_id],Trip[shape_id],"Não encontrado")</f>
        <v/>
      </c>
      <c r="B14060" s="40" t="n">
        <v>-23.586502</v>
      </c>
      <c r="C14060" s="40" t="n">
        <v>-46.508629</v>
      </c>
      <c r="D14060" s="40" t="n">
        <v>462</v>
      </c>
      <c r="E14060" s="41" t="n">
        <v>13435.774</v>
      </c>
    </row>
    <row r="14061">
      <c r="A14061" s="42">
        <f>_xlfn.XLOOKUP(81612,Trip[shape_id],Trip[shape_id],"Não encontrado")</f>
        <v/>
      </c>
      <c r="B14061" s="43" t="n">
        <v>-23.586193</v>
      </c>
      <c r="C14061" s="43" t="n">
        <v>-46.508555</v>
      </c>
      <c r="D14061" s="43" t="n">
        <v>463</v>
      </c>
      <c r="E14061" s="44" t="n">
        <v>13517.492</v>
      </c>
    </row>
    <row r="14062">
      <c r="A14062" s="39">
        <f>_xlfn.XLOOKUP(81612,Trip[shape_id],Trip[shape_id],"Não encontrado")</f>
        <v/>
      </c>
      <c r="B14062" s="40" t="n">
        <v>-23.585782</v>
      </c>
      <c r="C14062" s="40" t="n">
        <v>-46.508454</v>
      </c>
      <c r="D14062" s="40" t="n">
        <v>464</v>
      </c>
      <c r="E14062" s="41" t="n">
        <v>13546.219</v>
      </c>
    </row>
    <row r="14063">
      <c r="A14063" s="42">
        <f>_xlfn.XLOOKUP(81612,Trip[shape_id],Trip[shape_id],"Não encontrado")</f>
        <v/>
      </c>
      <c r="B14063" s="43" t="n">
        <v>-23.585529</v>
      </c>
      <c r="C14063" s="43" t="n">
        <v>-46.508392</v>
      </c>
      <c r="D14063" s="43" t="n">
        <v>465</v>
      </c>
      <c r="E14063" s="44" t="n">
        <v>13552.795</v>
      </c>
    </row>
    <row r="14064">
      <c r="A14064" s="39">
        <f>_xlfn.XLOOKUP(81612,Trip[shape_id],Trip[shape_id],"Não encontrado")</f>
        <v/>
      </c>
      <c r="B14064" s="40" t="n">
        <v>-23.585478</v>
      </c>
      <c r="C14064" s="40" t="n">
        <v>-46.508359</v>
      </c>
      <c r="D14064" s="40" t="n">
        <v>466</v>
      </c>
      <c r="E14064" s="41" t="n">
        <v>13557.413</v>
      </c>
    </row>
    <row r="14065">
      <c r="A14065" s="42">
        <f>_xlfn.XLOOKUP(81612,Trip[shape_id],Trip[shape_id],"Não encontrado")</f>
        <v/>
      </c>
      <c r="B14065" s="43" t="n">
        <v>-23.585454</v>
      </c>
      <c r="C14065" s="43" t="n">
        <v>-46.508322</v>
      </c>
      <c r="D14065" s="43" t="n">
        <v>467</v>
      </c>
      <c r="E14065" s="44" t="n">
        <v>13572.45</v>
      </c>
    </row>
    <row r="14066">
      <c r="A14066" s="39">
        <f>_xlfn.XLOOKUP(81612,Trip[shape_id],Trip[shape_id],"Não encontrado")</f>
        <v/>
      </c>
      <c r="B14066" s="40" t="n">
        <v>-23.58543</v>
      </c>
      <c r="C14066" s="40" t="n">
        <v>-46.508177</v>
      </c>
      <c r="D14066" s="40" t="n">
        <v>468</v>
      </c>
      <c r="E14066" s="41" t="n">
        <v>13601.422</v>
      </c>
    </row>
    <row r="14067">
      <c r="A14067" s="42">
        <f>_xlfn.XLOOKUP(81612,Trip[shape_id],Trip[shape_id],"Não encontrado")</f>
        <v/>
      </c>
      <c r="B14067" s="43" t="n">
        <v>-23.58541</v>
      </c>
      <c r="C14067" s="43" t="n">
        <v>-46.507894</v>
      </c>
      <c r="D14067" s="43" t="n">
        <v>469</v>
      </c>
      <c r="E14067" s="44" t="n">
        <v>13601.422</v>
      </c>
    </row>
    <row r="14068">
      <c r="A14068" s="39">
        <f>_xlfn.XLOOKUP(81612,Trip[shape_id],Trip[shape_id],"Não encontrado")</f>
        <v/>
      </c>
      <c r="B14068" s="40" t="n">
        <v>-23.585362</v>
      </c>
      <c r="C14068" s="40" t="n">
        <v>-46.507427</v>
      </c>
      <c r="D14068" s="40" t="n">
        <v>470</v>
      </c>
      <c r="E14068" s="41" t="n">
        <v>13649.387</v>
      </c>
    </row>
    <row r="14069">
      <c r="A14069" s="42">
        <f>_xlfn.XLOOKUP(81612,Trip[shape_id],Trip[shape_id],"Não encontrado")</f>
        <v/>
      </c>
      <c r="B14069" s="43" t="n">
        <v>-23.585316</v>
      </c>
      <c r="C14069" s="43" t="n">
        <v>-46.506955</v>
      </c>
      <c r="D14069" s="43" t="n">
        <v>471</v>
      </c>
      <c r="E14069" s="44" t="n">
        <v>13697.835</v>
      </c>
    </row>
    <row r="14070">
      <c r="A14070" s="39">
        <f>_xlfn.XLOOKUP(81612,Trip[shape_id],Trip[shape_id],"Não encontrado")</f>
        <v/>
      </c>
      <c r="B14070" s="40" t="n">
        <v>-23.585274</v>
      </c>
      <c r="C14070" s="40" t="n">
        <v>-46.506482</v>
      </c>
      <c r="D14070" s="40" t="n">
        <v>472</v>
      </c>
      <c r="E14070" s="41" t="n">
        <v>13746.34</v>
      </c>
    </row>
    <row r="14071">
      <c r="A14071" s="42">
        <f>_xlfn.XLOOKUP(81612,Trip[shape_id],Trip[shape_id],"Não encontrado")</f>
        <v/>
      </c>
      <c r="B14071" s="43" t="n">
        <v>-23.585265</v>
      </c>
      <c r="C14071" s="43" t="n">
        <v>-46.506402</v>
      </c>
      <c r="D14071" s="43" t="n">
        <v>473</v>
      </c>
      <c r="E14071" s="44" t="n">
        <v>13754.566</v>
      </c>
    </row>
    <row r="14072">
      <c r="A14072" s="39">
        <f>_xlfn.XLOOKUP(81612,Trip[shape_id],Trip[shape_id],"Não encontrado")</f>
        <v/>
      </c>
      <c r="B14072" s="40" t="n">
        <v>-23.585261</v>
      </c>
      <c r="C14072" s="40" t="n">
        <v>-46.506337</v>
      </c>
      <c r="D14072" s="40" t="n">
        <v>474</v>
      </c>
      <c r="E14072" s="41" t="n">
        <v>13761.217</v>
      </c>
    </row>
    <row r="14073">
      <c r="A14073" s="39">
        <f>_xlfn.XLOOKUP(82049,Trip[shape_id],Trip[shape_id],"Não encontrado")</f>
        <v/>
      </c>
      <c r="B14073" s="40" t="n">
        <v>-23.612483</v>
      </c>
      <c r="C14073" s="40" t="n">
        <v>-46.47631</v>
      </c>
      <c r="D14073" s="40" t="n">
        <v>1</v>
      </c>
      <c r="E14073" s="41" t="n">
        <v>14.2707</v>
      </c>
    </row>
    <row r="14074">
      <c r="A14074" s="42">
        <f>_xlfn.XLOOKUP(82049,Trip[shape_id],Trip[shape_id],"Não encontrado")</f>
        <v/>
      </c>
      <c r="B14074" s="43" t="n">
        <v>-23.612605</v>
      </c>
      <c r="C14074" s="43" t="n">
        <v>-46.476355</v>
      </c>
      <c r="D14074" s="43" t="n">
        <v>2</v>
      </c>
      <c r="E14074" s="44" t="n">
        <v>14.2707</v>
      </c>
    </row>
    <row r="14075">
      <c r="A14075" s="39">
        <f>_xlfn.XLOOKUP(82049,Trip[shape_id],Trip[shape_id],"Não encontrado")</f>
        <v/>
      </c>
      <c r="B14075" s="40" t="n">
        <v>-23.612725</v>
      </c>
      <c r="C14075" s="40" t="n">
        <v>-46.476392</v>
      </c>
      <c r="D14075" s="40" t="n">
        <v>3</v>
      </c>
      <c r="E14075" s="41" t="n">
        <v>28.087204</v>
      </c>
    </row>
    <row r="14076">
      <c r="A14076" s="42">
        <f>_xlfn.XLOOKUP(82049,Trip[shape_id],Trip[shape_id],"Não encontrado")</f>
        <v/>
      </c>
      <c r="B14076" s="43" t="n">
        <v>-23.612816</v>
      </c>
      <c r="C14076" s="43" t="n">
        <v>-46.476415</v>
      </c>
      <c r="D14076" s="43" t="n">
        <v>4</v>
      </c>
      <c r="E14076" s="44" t="n">
        <v>38.435131</v>
      </c>
    </row>
    <row r="14077">
      <c r="A14077" s="39">
        <f>_xlfn.XLOOKUP(82049,Trip[shape_id],Trip[shape_id],"Não encontrado")</f>
        <v/>
      </c>
      <c r="B14077" s="40" t="n">
        <v>-23.612939</v>
      </c>
      <c r="C14077" s="40" t="n">
        <v>-46.476451</v>
      </c>
      <c r="D14077" s="40" t="n">
        <v>5</v>
      </c>
      <c r="E14077" s="41" t="n">
        <v>52.544178</v>
      </c>
    </row>
    <row r="14078">
      <c r="A14078" s="42">
        <f>_xlfn.XLOOKUP(82049,Trip[shape_id],Trip[shape_id],"Não encontrado")</f>
        <v/>
      </c>
      <c r="B14078" s="43" t="n">
        <v>-23.613063</v>
      </c>
      <c r="C14078" s="43" t="n">
        <v>-46.476482</v>
      </c>
      <c r="D14078" s="43" t="n">
        <v>6</v>
      </c>
      <c r="E14078" s="44" t="n">
        <v>66.63724499999999</v>
      </c>
    </row>
    <row r="14079">
      <c r="A14079" s="39">
        <f>_xlfn.XLOOKUP(82049,Trip[shape_id],Trip[shape_id],"Não encontrado")</f>
        <v/>
      </c>
      <c r="B14079" s="40" t="n">
        <v>-23.613169</v>
      </c>
      <c r="C14079" s="40" t="n">
        <v>-46.476516</v>
      </c>
      <c r="D14079" s="40" t="n">
        <v>7</v>
      </c>
      <c r="E14079" s="41" t="n">
        <v>78.87943300000001</v>
      </c>
    </row>
    <row r="14080">
      <c r="A14080" s="42">
        <f>_xlfn.XLOOKUP(82049,Trip[shape_id],Trip[shape_id],"Não encontrado")</f>
        <v/>
      </c>
      <c r="B14080" s="43" t="n">
        <v>-23.613288</v>
      </c>
      <c r="C14080" s="43" t="n">
        <v>-46.476546</v>
      </c>
      <c r="D14080" s="43" t="n">
        <v>8</v>
      </c>
      <c r="E14080" s="44" t="n">
        <v>92.409836</v>
      </c>
    </row>
    <row r="14081">
      <c r="A14081" s="39">
        <f>_xlfn.XLOOKUP(82049,Trip[shape_id],Trip[shape_id],"Não encontrado")</f>
        <v/>
      </c>
      <c r="B14081" s="40" t="n">
        <v>-23.613396</v>
      </c>
      <c r="C14081" s="40" t="n">
        <v>-46.476576</v>
      </c>
      <c r="D14081" s="40" t="n">
        <v>9</v>
      </c>
      <c r="E14081" s="41" t="n">
        <v>104.75661</v>
      </c>
    </row>
    <row r="14082">
      <c r="A14082" s="42">
        <f>_xlfn.XLOOKUP(82049,Trip[shape_id],Trip[shape_id],"Não encontrado")</f>
        <v/>
      </c>
      <c r="B14082" s="43" t="n">
        <v>-23.613483</v>
      </c>
      <c r="C14082" s="43" t="n">
        <v>-46.476601</v>
      </c>
      <c r="D14082" s="43" t="n">
        <v>10</v>
      </c>
      <c r="E14082" s="44" t="n">
        <v>114.72459</v>
      </c>
    </row>
    <row r="14083">
      <c r="A14083" s="39">
        <f>_xlfn.XLOOKUP(82049,Trip[shape_id],Trip[shape_id],"Não encontrado")</f>
        <v/>
      </c>
      <c r="B14083" s="40" t="n">
        <v>-23.613593</v>
      </c>
      <c r="C14083" s="40" t="n">
        <v>-46.476631</v>
      </c>
      <c r="D14083" s="40" t="n">
        <v>11</v>
      </c>
      <c r="E14083" s="41" t="n">
        <v>127.28629</v>
      </c>
    </row>
    <row r="14084">
      <c r="A14084" s="42">
        <f>_xlfn.XLOOKUP(82049,Trip[shape_id],Trip[shape_id],"Não encontrado")</f>
        <v/>
      </c>
      <c r="B14084" s="43" t="n">
        <v>-23.613713</v>
      </c>
      <c r="C14084" s="43" t="n">
        <v>-46.476664</v>
      </c>
      <c r="D14084" s="43" t="n">
        <v>12</v>
      </c>
      <c r="E14084" s="44" t="n">
        <v>140.99648</v>
      </c>
    </row>
    <row r="14085">
      <c r="A14085" s="39">
        <f>_xlfn.XLOOKUP(82049,Trip[shape_id],Trip[shape_id],"Não encontrado")</f>
        <v/>
      </c>
      <c r="B14085" s="40" t="n">
        <v>-23.61383</v>
      </c>
      <c r="C14085" s="40" t="n">
        <v>-46.476697</v>
      </c>
      <c r="D14085" s="40" t="n">
        <v>13</v>
      </c>
      <c r="E14085" s="41" t="n">
        <v>154.38515</v>
      </c>
    </row>
    <row r="14086">
      <c r="A14086" s="42">
        <f>_xlfn.XLOOKUP(82049,Trip[shape_id],Trip[shape_id],"Não encontrado")</f>
        <v/>
      </c>
      <c r="B14086" s="43" t="n">
        <v>-23.613925</v>
      </c>
      <c r="C14086" s="43" t="n">
        <v>-46.476695</v>
      </c>
      <c r="D14086" s="43" t="n">
        <v>14</v>
      </c>
      <c r="E14086" s="44" t="n">
        <v>176.60672</v>
      </c>
    </row>
    <row r="14087">
      <c r="A14087" s="39">
        <f>_xlfn.XLOOKUP(82049,Trip[shape_id],Trip[shape_id],"Não encontrado")</f>
        <v/>
      </c>
      <c r="B14087" s="40" t="n">
        <v>-23.614029</v>
      </c>
      <c r="C14087" s="40" t="n">
        <v>-46.476675</v>
      </c>
      <c r="D14087" s="40" t="n">
        <v>15</v>
      </c>
      <c r="E14087" s="41" t="n">
        <v>189.77055</v>
      </c>
    </row>
    <row r="14088">
      <c r="A14088" s="42">
        <f>_xlfn.XLOOKUP(82049,Trip[shape_id],Trip[shape_id],"Não encontrado")</f>
        <v/>
      </c>
      <c r="B14088" s="43" t="n">
        <v>-23.614142</v>
      </c>
      <c r="C14088" s="43" t="n">
        <v>-46.476635</v>
      </c>
      <c r="D14088" s="43" t="n">
        <v>16</v>
      </c>
      <c r="E14088" s="44" t="n">
        <v>189.77055</v>
      </c>
    </row>
    <row r="14089">
      <c r="A14089" s="39">
        <f>_xlfn.XLOOKUP(82049,Trip[shape_id],Trip[shape_id],"Não encontrado")</f>
        <v/>
      </c>
      <c r="B14089" s="40" t="n">
        <v>-23.614386</v>
      </c>
      <c r="C14089" s="40" t="n">
        <v>-46.476544</v>
      </c>
      <c r="D14089" s="40" t="n">
        <v>17</v>
      </c>
      <c r="E14089" s="41" t="n">
        <v>218.34547</v>
      </c>
    </row>
    <row r="14090">
      <c r="A14090" s="42">
        <f>_xlfn.XLOOKUP(82049,Trip[shape_id],Trip[shape_id],"Não encontrado")</f>
        <v/>
      </c>
      <c r="B14090" s="43" t="n">
        <v>-23.614454</v>
      </c>
      <c r="C14090" s="43" t="n">
        <v>-46.476498</v>
      </c>
      <c r="D14090" s="43" t="n">
        <v>18</v>
      </c>
      <c r="E14090" s="44" t="n">
        <v>227.21977</v>
      </c>
    </row>
    <row r="14091">
      <c r="A14091" s="39">
        <f>_xlfn.XLOOKUP(82049,Trip[shape_id],Trip[shape_id],"Não encontrado")</f>
        <v/>
      </c>
      <c r="B14091" s="40" t="n">
        <v>-23.614484</v>
      </c>
      <c r="C14091" s="40" t="n">
        <v>-46.476406</v>
      </c>
      <c r="D14091" s="40" t="n">
        <v>19</v>
      </c>
      <c r="E14091" s="41" t="n">
        <v>237.17924</v>
      </c>
    </row>
    <row r="14092">
      <c r="A14092" s="42">
        <f>_xlfn.XLOOKUP(82049,Trip[shape_id],Trip[shape_id],"Não encontrado")</f>
        <v/>
      </c>
      <c r="B14092" s="43" t="n">
        <v>-23.614447</v>
      </c>
      <c r="C14092" s="43" t="n">
        <v>-46.476326</v>
      </c>
      <c r="D14092" s="43" t="n">
        <v>20</v>
      </c>
      <c r="E14092" s="44" t="n">
        <v>246.31387</v>
      </c>
    </row>
    <row r="14093">
      <c r="A14093" s="39">
        <f>_xlfn.XLOOKUP(82049,Trip[shape_id],Trip[shape_id],"Não encontrado")</f>
        <v/>
      </c>
      <c r="B14093" s="40" t="n">
        <v>-23.61436</v>
      </c>
      <c r="C14093" s="40" t="n">
        <v>-46.476296</v>
      </c>
      <c r="D14093" s="40" t="n">
        <v>21</v>
      </c>
      <c r="E14093" s="41" t="n">
        <v>256.42401</v>
      </c>
    </row>
    <row r="14094">
      <c r="A14094" s="42">
        <f>_xlfn.XLOOKUP(82049,Trip[shape_id],Trip[shape_id],"Não encontrado")</f>
        <v/>
      </c>
      <c r="B14094" s="43" t="n">
        <v>-23.614259</v>
      </c>
      <c r="C14094" s="43" t="n">
        <v>-46.476321</v>
      </c>
      <c r="D14094" s="43" t="n">
        <v>22</v>
      </c>
      <c r="E14094" s="44" t="n">
        <v>267.89755</v>
      </c>
    </row>
    <row r="14095">
      <c r="A14095" s="39">
        <f>_xlfn.XLOOKUP(82049,Trip[shape_id],Trip[shape_id],"Não encontrado")</f>
        <v/>
      </c>
      <c r="B14095" s="40" t="n">
        <v>-23.614205</v>
      </c>
      <c r="C14095" s="40" t="n">
        <v>-46.476343</v>
      </c>
      <c r="D14095" s="40" t="n">
        <v>23</v>
      </c>
      <c r="E14095" s="41" t="n">
        <v>274.28558</v>
      </c>
    </row>
    <row r="14096">
      <c r="A14096" s="42">
        <f>_xlfn.XLOOKUP(82049,Trip[shape_id],Trip[shape_id],"Não encontrado")</f>
        <v/>
      </c>
      <c r="B14096" s="43" t="n">
        <v>-23.614169</v>
      </c>
      <c r="C14096" s="43" t="n">
        <v>-46.476364</v>
      </c>
      <c r="D14096" s="43" t="n">
        <v>24</v>
      </c>
      <c r="E14096" s="44" t="n">
        <v>278.81186</v>
      </c>
    </row>
    <row r="14097">
      <c r="A14097" s="39">
        <f>_xlfn.XLOOKUP(82049,Trip[shape_id],Trip[shape_id],"Não encontrado")</f>
        <v/>
      </c>
      <c r="B14097" s="40" t="n">
        <v>-23.614122</v>
      </c>
      <c r="C14097" s="40" t="n">
        <v>-46.476368</v>
      </c>
      <c r="D14097" s="40" t="n">
        <v>25</v>
      </c>
      <c r="E14097" s="41" t="n">
        <v>284.034</v>
      </c>
    </row>
    <row r="14098">
      <c r="A14098" s="42">
        <f>_xlfn.XLOOKUP(82049,Trip[shape_id],Trip[shape_id],"Não encontrado")</f>
        <v/>
      </c>
      <c r="B14098" s="43" t="n">
        <v>-23.613903</v>
      </c>
      <c r="C14098" s="43" t="n">
        <v>-46.476315</v>
      </c>
      <c r="D14098" s="43" t="n">
        <v>26</v>
      </c>
      <c r="E14098" s="44" t="n">
        <v>308.8847</v>
      </c>
    </row>
    <row r="14099">
      <c r="A14099" s="39">
        <f>_xlfn.XLOOKUP(82049,Trip[shape_id],Trip[shape_id],"Não encontrado")</f>
        <v/>
      </c>
      <c r="B14099" s="40" t="n">
        <v>-23.613811</v>
      </c>
      <c r="C14099" s="40" t="n">
        <v>-46.476293</v>
      </c>
      <c r="D14099" s="40" t="n">
        <v>27</v>
      </c>
      <c r="E14099" s="41" t="n">
        <v>319.31808</v>
      </c>
    </row>
    <row r="14100">
      <c r="A14100" s="42">
        <f>_xlfn.XLOOKUP(82049,Trip[shape_id],Trip[shape_id],"Não encontrado")</f>
        <v/>
      </c>
      <c r="B14100" s="43" t="n">
        <v>-23.613342</v>
      </c>
      <c r="C14100" s="43" t="n">
        <v>-46.476163</v>
      </c>
      <c r="D14100" s="43" t="n">
        <v>28</v>
      </c>
      <c r="E14100" s="44" t="n">
        <v>372.92865</v>
      </c>
    </row>
    <row r="14101">
      <c r="A14101" s="39">
        <f>_xlfn.XLOOKUP(82049,Trip[shape_id],Trip[shape_id],"Não encontrado")</f>
        <v/>
      </c>
      <c r="B14101" s="40" t="n">
        <v>-23.613263</v>
      </c>
      <c r="C14101" s="40" t="n">
        <v>-46.476142</v>
      </c>
      <c r="D14101" s="40" t="n">
        <v>29</v>
      </c>
      <c r="E14101" s="41" t="n">
        <v>381.9371</v>
      </c>
    </row>
    <row r="14102">
      <c r="A14102" s="42">
        <f>_xlfn.XLOOKUP(82049,Trip[shape_id],Trip[shape_id],"Não encontrado")</f>
        <v/>
      </c>
      <c r="B14102" s="43" t="n">
        <v>-23.613128</v>
      </c>
      <c r="C14102" s="43" t="n">
        <v>-46.476104</v>
      </c>
      <c r="D14102" s="43" t="n">
        <v>30</v>
      </c>
      <c r="E14102" s="44" t="n">
        <v>397.38364</v>
      </c>
    </row>
    <row r="14103">
      <c r="A14103" s="39">
        <f>_xlfn.XLOOKUP(82049,Trip[shape_id],Trip[shape_id],"Não encontrado")</f>
        <v/>
      </c>
      <c r="B14103" s="40" t="n">
        <v>-23.612911</v>
      </c>
      <c r="C14103" s="40" t="n">
        <v>-46.47606</v>
      </c>
      <c r="D14103" s="40" t="n">
        <v>31</v>
      </c>
      <c r="E14103" s="41" t="n">
        <v>421.83286</v>
      </c>
    </row>
    <row r="14104">
      <c r="A14104" s="42">
        <f>_xlfn.XLOOKUP(82049,Trip[shape_id],Trip[shape_id],"Não encontrado")</f>
        <v/>
      </c>
      <c r="B14104" s="43" t="n">
        <v>-23.612683</v>
      </c>
      <c r="C14104" s="43" t="n">
        <v>-46.476003</v>
      </c>
      <c r="D14104" s="43" t="n">
        <v>32</v>
      </c>
      <c r="E14104" s="44" t="n">
        <v>447.7457</v>
      </c>
    </row>
    <row r="14105">
      <c r="A14105" s="39">
        <f>_xlfn.XLOOKUP(82049,Trip[shape_id],Trip[shape_id],"Não encontrado")</f>
        <v/>
      </c>
      <c r="B14105" s="40" t="n">
        <v>-23.612624</v>
      </c>
      <c r="C14105" s="40" t="n">
        <v>-46.475974</v>
      </c>
      <c r="D14105" s="40" t="n">
        <v>33</v>
      </c>
      <c r="E14105" s="41" t="n">
        <v>454.91946</v>
      </c>
    </row>
    <row r="14106">
      <c r="A14106" s="42">
        <f>_xlfn.XLOOKUP(82049,Trip[shape_id],Trip[shape_id],"Não encontrado")</f>
        <v/>
      </c>
      <c r="B14106" s="43" t="n">
        <v>-23.612589</v>
      </c>
      <c r="C14106" s="43" t="n">
        <v>-46.475938</v>
      </c>
      <c r="D14106" s="43" t="n">
        <v>34</v>
      </c>
      <c r="E14106" s="44" t="n">
        <v>460.26093</v>
      </c>
    </row>
    <row r="14107">
      <c r="A14107" s="39">
        <f>_xlfn.XLOOKUP(82049,Trip[shape_id],Trip[shape_id],"Não encontrado")</f>
        <v/>
      </c>
      <c r="B14107" s="40" t="n">
        <v>-23.612541</v>
      </c>
      <c r="C14107" s="40" t="n">
        <v>-46.475865</v>
      </c>
      <c r="D14107" s="40" t="n">
        <v>35</v>
      </c>
      <c r="E14107" s="41" t="n">
        <v>469.41275</v>
      </c>
    </row>
    <row r="14108">
      <c r="A14108" s="42">
        <f>_xlfn.XLOOKUP(82049,Trip[shape_id],Trip[shape_id],"Não encontrado")</f>
        <v/>
      </c>
      <c r="B14108" s="43" t="n">
        <v>-23.612509</v>
      </c>
      <c r="C14108" s="43" t="n">
        <v>-46.475757</v>
      </c>
      <c r="D14108" s="43" t="n">
        <v>36</v>
      </c>
      <c r="E14108" s="44" t="n">
        <v>480.99072</v>
      </c>
    </row>
    <row r="14109">
      <c r="A14109" s="39">
        <f>_xlfn.XLOOKUP(82049,Trip[shape_id],Trip[shape_id],"Não encontrado")</f>
        <v/>
      </c>
      <c r="B14109" s="40" t="n">
        <v>-23.612499</v>
      </c>
      <c r="C14109" s="40" t="n">
        <v>-46.475675</v>
      </c>
      <c r="D14109" s="40" t="n">
        <v>37</v>
      </c>
      <c r="E14109" s="41" t="n">
        <v>489.43243</v>
      </c>
    </row>
    <row r="14110">
      <c r="A14110" s="42">
        <f>_xlfn.XLOOKUP(82049,Trip[shape_id],Trip[shape_id],"Não encontrado")</f>
        <v/>
      </c>
      <c r="B14110" s="43" t="n">
        <v>-23.612481</v>
      </c>
      <c r="C14110" s="43" t="n">
        <v>-46.47554</v>
      </c>
      <c r="D14110" s="43" t="n">
        <v>38</v>
      </c>
      <c r="E14110" s="44" t="n">
        <v>503.35321</v>
      </c>
    </row>
    <row r="14111">
      <c r="A14111" s="39">
        <f>_xlfn.XLOOKUP(82049,Trip[shape_id],Trip[shape_id],"Não encontrado")</f>
        <v/>
      </c>
      <c r="B14111" s="40" t="n">
        <v>-23.612468</v>
      </c>
      <c r="C14111" s="40" t="n">
        <v>-46.475483</v>
      </c>
      <c r="D14111" s="40" t="n">
        <v>39</v>
      </c>
      <c r="E14111" s="41" t="n">
        <v>509.34512</v>
      </c>
    </row>
    <row r="14112">
      <c r="A14112" s="42">
        <f>_xlfn.XLOOKUP(82049,Trip[shape_id],Trip[shape_id],"Não encontrado")</f>
        <v/>
      </c>
      <c r="B14112" s="43" t="n">
        <v>-23.612435</v>
      </c>
      <c r="C14112" s="43" t="n">
        <v>-46.475361</v>
      </c>
      <c r="D14112" s="43" t="n">
        <v>40</v>
      </c>
      <c r="E14112" s="44" t="n">
        <v>522.32086</v>
      </c>
    </row>
    <row r="14113">
      <c r="A14113" s="39">
        <f>_xlfn.XLOOKUP(82049,Trip[shape_id],Trip[shape_id],"Não encontrado")</f>
        <v/>
      </c>
      <c r="B14113" s="40" t="n">
        <v>-23.612362</v>
      </c>
      <c r="C14113" s="40" t="n">
        <v>-46.47523</v>
      </c>
      <c r="D14113" s="40" t="n">
        <v>41</v>
      </c>
      <c r="E14113" s="41" t="n">
        <v>537.94446</v>
      </c>
    </row>
    <row r="14114">
      <c r="A14114" s="42">
        <f>_xlfn.XLOOKUP(82049,Trip[shape_id],Trip[shape_id],"Não encontrado")</f>
        <v/>
      </c>
      <c r="B14114" s="43" t="n">
        <v>-23.61223</v>
      </c>
      <c r="C14114" s="43" t="n">
        <v>-46.475099</v>
      </c>
      <c r="D14114" s="43" t="n">
        <v>42</v>
      </c>
      <c r="E14114" s="44" t="n">
        <v>557.75513</v>
      </c>
    </row>
    <row r="14115">
      <c r="A14115" s="39">
        <f>_xlfn.XLOOKUP(82049,Trip[shape_id],Trip[shape_id],"Não encontrado")</f>
        <v/>
      </c>
      <c r="B14115" s="40" t="n">
        <v>-23.612122</v>
      </c>
      <c r="C14115" s="40" t="n">
        <v>-46.475043</v>
      </c>
      <c r="D14115" s="40" t="n">
        <v>43</v>
      </c>
      <c r="E14115" s="41" t="n">
        <v>571.01141</v>
      </c>
    </row>
    <row r="14116">
      <c r="A14116" s="42">
        <f>_xlfn.XLOOKUP(82049,Trip[shape_id],Trip[shape_id],"Não encontrado")</f>
        <v/>
      </c>
      <c r="B14116" s="43" t="n">
        <v>-23.612045</v>
      </c>
      <c r="C14116" s="43" t="n">
        <v>-46.475015</v>
      </c>
      <c r="D14116" s="43" t="n">
        <v>44</v>
      </c>
      <c r="E14116" s="44" t="n">
        <v>580.005</v>
      </c>
    </row>
    <row r="14117">
      <c r="A14117" s="39">
        <f>_xlfn.XLOOKUP(82049,Trip[shape_id],Trip[shape_id],"Não encontrado")</f>
        <v/>
      </c>
      <c r="B14117" s="40" t="n">
        <v>-23.611877</v>
      </c>
      <c r="C14117" s="40" t="n">
        <v>-46.474998</v>
      </c>
      <c r="D14117" s="40" t="n">
        <v>45</v>
      </c>
      <c r="E14117" s="41" t="n">
        <v>598.69202</v>
      </c>
    </row>
    <row r="14118">
      <c r="A14118" s="42">
        <f>_xlfn.XLOOKUP(82049,Trip[shape_id],Trip[shape_id],"Não encontrado")</f>
        <v/>
      </c>
      <c r="B14118" s="43" t="n">
        <v>-23.611661</v>
      </c>
      <c r="C14118" s="43" t="n">
        <v>-46.475013</v>
      </c>
      <c r="D14118" s="43" t="n">
        <v>46</v>
      </c>
      <c r="E14118" s="44" t="n">
        <v>622.66351</v>
      </c>
    </row>
    <row r="14119">
      <c r="A14119" s="39">
        <f>_xlfn.XLOOKUP(82049,Trip[shape_id],Trip[shape_id],"Não encontrado")</f>
        <v/>
      </c>
      <c r="B14119" s="40" t="n">
        <v>-23.611537</v>
      </c>
      <c r="C14119" s="40" t="n">
        <v>-46.475101</v>
      </c>
      <c r="D14119" s="40" t="n">
        <v>47</v>
      </c>
      <c r="E14119" s="41" t="n">
        <v>639.07239</v>
      </c>
    </row>
    <row r="14120">
      <c r="A14120" s="42">
        <f>_xlfn.XLOOKUP(82049,Trip[shape_id],Trip[shape_id],"Não encontrado")</f>
        <v/>
      </c>
      <c r="B14120" s="43" t="n">
        <v>-23.611428</v>
      </c>
      <c r="C14120" s="43" t="n">
        <v>-46.475205</v>
      </c>
      <c r="D14120" s="43" t="n">
        <v>48</v>
      </c>
      <c r="E14120" s="44" t="n">
        <v>655.14673</v>
      </c>
    </row>
    <row r="14121">
      <c r="A14121" s="39">
        <f>_xlfn.XLOOKUP(82049,Trip[shape_id],Trip[shape_id],"Não encontrado")</f>
        <v/>
      </c>
      <c r="B14121" s="40" t="n">
        <v>-23.611355</v>
      </c>
      <c r="C14121" s="40" t="n">
        <v>-46.475328</v>
      </c>
      <c r="D14121" s="40" t="n">
        <v>49</v>
      </c>
      <c r="E14121" s="41" t="n">
        <v>670.07794</v>
      </c>
    </row>
    <row r="14122">
      <c r="A14122" s="42">
        <f>_xlfn.XLOOKUP(82049,Trip[shape_id],Trip[shape_id],"Não encontrado")</f>
        <v/>
      </c>
      <c r="B14122" s="43" t="n">
        <v>-23.611324</v>
      </c>
      <c r="C14122" s="43" t="n">
        <v>-46.475397</v>
      </c>
      <c r="D14122" s="43" t="n">
        <v>50</v>
      </c>
      <c r="E14122" s="44" t="n">
        <v>677.9121699999999</v>
      </c>
    </row>
    <row r="14123">
      <c r="A14123" s="39">
        <f>_xlfn.XLOOKUP(82049,Trip[shape_id],Trip[shape_id],"Não encontrado")</f>
        <v/>
      </c>
      <c r="B14123" s="40" t="n">
        <v>-23.611291</v>
      </c>
      <c r="C14123" s="40" t="n">
        <v>-46.475501</v>
      </c>
      <c r="D14123" s="40" t="n">
        <v>51</v>
      </c>
      <c r="E14123" s="41" t="n">
        <v>689.13739</v>
      </c>
    </row>
    <row r="14124">
      <c r="A14124" s="42">
        <f>_xlfn.XLOOKUP(82049,Trip[shape_id],Trip[shape_id],"Não encontrado")</f>
        <v/>
      </c>
      <c r="B14124" s="43" t="n">
        <v>-23.611273</v>
      </c>
      <c r="C14124" s="43" t="n">
        <v>-46.47559</v>
      </c>
      <c r="D14124" s="43" t="n">
        <v>52</v>
      </c>
      <c r="E14124" s="44" t="n">
        <v>698.43665</v>
      </c>
    </row>
    <row r="14125">
      <c r="A14125" s="39">
        <f>_xlfn.XLOOKUP(82049,Trip[shape_id],Trip[shape_id],"Não encontrado")</f>
        <v/>
      </c>
      <c r="B14125" s="40" t="n">
        <v>-23.611271</v>
      </c>
      <c r="C14125" s="40" t="n">
        <v>-46.475664</v>
      </c>
      <c r="D14125" s="40" t="n">
        <v>53</v>
      </c>
      <c r="E14125" s="41" t="n">
        <v>705.99231</v>
      </c>
    </row>
    <row r="14126">
      <c r="A14126" s="42">
        <f>_xlfn.XLOOKUP(82049,Trip[shape_id],Trip[shape_id],"Não encontrado")</f>
        <v/>
      </c>
      <c r="B14126" s="43" t="n">
        <v>-23.611284</v>
      </c>
      <c r="C14126" s="43" t="n">
        <v>-46.47577</v>
      </c>
      <c r="D14126" s="43" t="n">
        <v>54</v>
      </c>
      <c r="E14126" s="44" t="n">
        <v>716.9054599999999</v>
      </c>
    </row>
    <row r="14127">
      <c r="A14127" s="39">
        <f>_xlfn.XLOOKUP(82049,Trip[shape_id],Trip[shape_id],"Não encontrado")</f>
        <v/>
      </c>
      <c r="B14127" s="40" t="n">
        <v>-23.611303</v>
      </c>
      <c r="C14127" s="40" t="n">
        <v>-46.475876</v>
      </c>
      <c r="D14127" s="40" t="n">
        <v>55</v>
      </c>
      <c r="E14127" s="41" t="n">
        <v>727.9259</v>
      </c>
    </row>
    <row r="14128">
      <c r="A14128" s="42">
        <f>_xlfn.XLOOKUP(82049,Trip[shape_id],Trip[shape_id],"Não encontrado")</f>
        <v/>
      </c>
      <c r="B14128" s="43" t="n">
        <v>-23.611361</v>
      </c>
      <c r="C14128" s="43" t="n">
        <v>-46.475983</v>
      </c>
      <c r="D14128" s="43" t="n">
        <v>56</v>
      </c>
      <c r="E14128" s="44" t="n">
        <v>740.5954</v>
      </c>
    </row>
    <row r="14129">
      <c r="A14129" s="39">
        <f>_xlfn.XLOOKUP(82049,Trip[shape_id],Trip[shape_id],"Não encontrado")</f>
        <v/>
      </c>
      <c r="B14129" s="40" t="n">
        <v>-23.611431</v>
      </c>
      <c r="C14129" s="40" t="n">
        <v>-46.476077</v>
      </c>
      <c r="D14129" s="40" t="n">
        <v>57</v>
      </c>
      <c r="E14129" s="41" t="n">
        <v>752.92975</v>
      </c>
    </row>
    <row r="14130">
      <c r="A14130" s="42">
        <f>_xlfn.XLOOKUP(82049,Trip[shape_id],Trip[shape_id],"Não encontrado")</f>
        <v/>
      </c>
      <c r="B14130" s="43" t="n">
        <v>-23.611531</v>
      </c>
      <c r="C14130" s="43" t="n">
        <v>-46.476185</v>
      </c>
      <c r="D14130" s="43" t="n">
        <v>58</v>
      </c>
      <c r="E14130" s="44" t="n">
        <v>768.55511</v>
      </c>
    </row>
    <row r="14131">
      <c r="A14131" s="39">
        <f>_xlfn.XLOOKUP(82049,Trip[shape_id],Trip[shape_id],"Não encontrado")</f>
        <v/>
      </c>
      <c r="B14131" s="40" t="n">
        <v>-23.611603</v>
      </c>
      <c r="C14131" s="40" t="n">
        <v>-46.476235</v>
      </c>
      <c r="D14131" s="40" t="n">
        <v>59</v>
      </c>
      <c r="E14131" s="41" t="n">
        <v>778.0222199999999</v>
      </c>
    </row>
    <row r="14132">
      <c r="A14132" s="42">
        <f>_xlfn.XLOOKUP(82049,Trip[shape_id],Trip[shape_id],"Não encontrado")</f>
        <v/>
      </c>
      <c r="B14132" s="43" t="n">
        <v>-23.611689</v>
      </c>
      <c r="C14132" s="43" t="n">
        <v>-46.476266</v>
      </c>
      <c r="D14132" s="43" t="n">
        <v>60</v>
      </c>
      <c r="E14132" s="44" t="n">
        <v>788.05853</v>
      </c>
    </row>
    <row r="14133">
      <c r="A14133" s="39">
        <f>_xlfn.XLOOKUP(82049,Trip[shape_id],Trip[shape_id],"Não encontrado")</f>
        <v/>
      </c>
      <c r="B14133" s="40" t="n">
        <v>-23.611732</v>
      </c>
      <c r="C14133" s="40" t="n">
        <v>-46.47628</v>
      </c>
      <c r="D14133" s="40" t="n">
        <v>61</v>
      </c>
      <c r="E14133" s="41" t="n">
        <v>793.03149</v>
      </c>
    </row>
    <row r="14134">
      <c r="A14134" s="42">
        <f>_xlfn.XLOOKUP(82049,Trip[shape_id],Trip[shape_id],"Não encontrado")</f>
        <v/>
      </c>
      <c r="B14134" s="43" t="n">
        <v>-23.611854</v>
      </c>
      <c r="C14134" s="43" t="n">
        <v>-46.476283</v>
      </c>
      <c r="D14134" s="43" t="n">
        <v>62</v>
      </c>
      <c r="E14134" s="44" t="n">
        <v>806.54669</v>
      </c>
    </row>
    <row r="14135">
      <c r="A14135" s="39">
        <f>_xlfn.XLOOKUP(82049,Trip[shape_id],Trip[shape_id],"Não encontrado")</f>
        <v/>
      </c>
      <c r="B14135" s="40" t="n">
        <v>-23.611983</v>
      </c>
      <c r="C14135" s="40" t="n">
        <v>-46.476271</v>
      </c>
      <c r="D14135" s="40" t="n">
        <v>63</v>
      </c>
      <c r="E14135" s="41" t="n">
        <v>820.88635</v>
      </c>
    </row>
    <row r="14136">
      <c r="A14136" s="42">
        <f>_xlfn.XLOOKUP(82049,Trip[shape_id],Trip[shape_id],"Não encontrado")</f>
        <v/>
      </c>
      <c r="B14136" s="43" t="n">
        <v>-23.612094</v>
      </c>
      <c r="C14136" s="43" t="n">
        <v>-46.476248</v>
      </c>
      <c r="D14136" s="43" t="n">
        <v>64</v>
      </c>
      <c r="E14136" s="44" t="n">
        <v>833.4020400000001</v>
      </c>
    </row>
    <row r="14137">
      <c r="A14137" s="39">
        <f>_xlfn.XLOOKUP(82049,Trip[shape_id],Trip[shape_id],"Não encontrado")</f>
        <v/>
      </c>
      <c r="B14137" s="40" t="n">
        <v>-23.612198</v>
      </c>
      <c r="C14137" s="40" t="n">
        <v>-46.476231</v>
      </c>
      <c r="D14137" s="40" t="n">
        <v>65</v>
      </c>
      <c r="E14137" s="41" t="n">
        <v>845.05029</v>
      </c>
    </row>
    <row r="14138">
      <c r="A14138" s="42">
        <f>_xlfn.XLOOKUP(82049,Trip[shape_id],Trip[shape_id],"Não encontrado")</f>
        <v/>
      </c>
      <c r="B14138" s="43" t="n">
        <v>-23.612258</v>
      </c>
      <c r="C14138" s="43" t="n">
        <v>-46.476218</v>
      </c>
      <c r="D14138" s="43" t="n">
        <v>66</v>
      </c>
      <c r="E14138" s="44" t="n">
        <v>851.82721</v>
      </c>
    </row>
    <row r="14139">
      <c r="A14139" s="39">
        <f>_xlfn.XLOOKUP(82049,Trip[shape_id],Trip[shape_id],"Não encontrado")</f>
        <v/>
      </c>
      <c r="B14139" s="40" t="n">
        <v>-23.612281</v>
      </c>
      <c r="C14139" s="40" t="n">
        <v>-46.476211</v>
      </c>
      <c r="D14139" s="40" t="n">
        <v>67</v>
      </c>
      <c r="E14139" s="41" t="n">
        <v>854.4712500000001</v>
      </c>
    </row>
    <row r="14140">
      <c r="A14140" s="42">
        <f>_xlfn.XLOOKUP(82049,Trip[shape_id],Trip[shape_id],"Não encontrado")</f>
        <v/>
      </c>
      <c r="B14140" s="43" t="n">
        <v>-23.612305</v>
      </c>
      <c r="C14140" s="43" t="n">
        <v>-46.476196</v>
      </c>
      <c r="D14140" s="43" t="n">
        <v>68</v>
      </c>
      <c r="E14140" s="44" t="n">
        <v>857.53857</v>
      </c>
    </row>
    <row r="14141">
      <c r="A14141" s="39">
        <f>_xlfn.XLOOKUP(82049,Trip[shape_id],Trip[shape_id],"Não encontrado")</f>
        <v/>
      </c>
      <c r="B14141" s="40" t="n">
        <v>-23.612325</v>
      </c>
      <c r="C14141" s="40" t="n">
        <v>-46.476172</v>
      </c>
      <c r="D14141" s="40" t="n">
        <v>69</v>
      </c>
      <c r="E14141" s="41" t="n">
        <v>860.84039</v>
      </c>
    </row>
    <row r="14142">
      <c r="A14142" s="42">
        <f>_xlfn.XLOOKUP(82049,Trip[shape_id],Trip[shape_id],"Não encontrado")</f>
        <v/>
      </c>
      <c r="B14142" s="43" t="n">
        <v>-23.612384</v>
      </c>
      <c r="C14142" s="43" t="n">
        <v>-46.47618</v>
      </c>
      <c r="D14142" s="43" t="n">
        <v>70</v>
      </c>
      <c r="E14142" s="44" t="n">
        <v>867.4259</v>
      </c>
    </row>
    <row r="14143">
      <c r="A14143" s="39">
        <f>_xlfn.XLOOKUP(82049,Trip[shape_id],Trip[shape_id],"Não encontrado")</f>
        <v/>
      </c>
      <c r="B14143" s="40" t="n">
        <v>-23.612428</v>
      </c>
      <c r="C14143" s="40" t="n">
        <v>-46.47619</v>
      </c>
      <c r="D14143" s="40" t="n">
        <v>71</v>
      </c>
      <c r="E14143" s="41" t="n">
        <v>872.40552</v>
      </c>
    </row>
    <row r="14144">
      <c r="A14144" s="42">
        <f>_xlfn.XLOOKUP(82049,Trip[shape_id],Trip[shape_id],"Não encontrado")</f>
        <v/>
      </c>
      <c r="B14144" s="43" t="n">
        <v>-23.612497</v>
      </c>
      <c r="C14144" s="43" t="n">
        <v>-46.476135</v>
      </c>
      <c r="D14144" s="43" t="n">
        <v>72</v>
      </c>
      <c r="E14144" s="44" t="n">
        <v>892.3397200000001</v>
      </c>
    </row>
    <row r="14145">
      <c r="A14145" s="39">
        <f>_xlfn.XLOOKUP(82049,Trip[shape_id],Trip[shape_id],"Não encontrado")</f>
        <v/>
      </c>
      <c r="B14145" s="40" t="n">
        <v>-23.612585</v>
      </c>
      <c r="C14145" s="40" t="n">
        <v>-46.476098</v>
      </c>
      <c r="D14145" s="40" t="n">
        <v>73</v>
      </c>
      <c r="E14145" s="41" t="n">
        <v>901.5783699999999</v>
      </c>
    </row>
    <row r="14146">
      <c r="A14146" s="42">
        <f>_xlfn.XLOOKUP(82049,Trip[shape_id],Trip[shape_id],"Não encontrado")</f>
        <v/>
      </c>
      <c r="B14146" s="43" t="n">
        <v>-23.612668</v>
      </c>
      <c r="C14146" s="43" t="n">
        <v>-46.476107</v>
      </c>
      <c r="D14146" s="43" t="n">
        <v>74</v>
      </c>
      <c r="E14146" s="44" t="n">
        <v>915.97339</v>
      </c>
    </row>
    <row r="14147">
      <c r="A14147" s="39">
        <f>_xlfn.XLOOKUP(82049,Trip[shape_id],Trip[shape_id],"Não encontrado")</f>
        <v/>
      </c>
      <c r="B14147" s="40" t="n">
        <v>-23.612795</v>
      </c>
      <c r="C14147" s="40" t="n">
        <v>-46.476137</v>
      </c>
      <c r="D14147" s="40" t="n">
        <v>75</v>
      </c>
      <c r="E14147" s="41" t="n">
        <v>915.97339</v>
      </c>
    </row>
    <row r="14148">
      <c r="A14148" s="42">
        <f>_xlfn.XLOOKUP(82049,Trip[shape_id],Trip[shape_id],"Não encontrado")</f>
        <v/>
      </c>
      <c r="B14148" s="43" t="n">
        <v>-23.613099</v>
      </c>
      <c r="C14148" s="43" t="n">
        <v>-46.476218</v>
      </c>
      <c r="D14148" s="43" t="n">
        <v>76</v>
      </c>
      <c r="E14148" s="44" t="n">
        <v>950.6420900000001</v>
      </c>
    </row>
    <row r="14149">
      <c r="A14149" s="39">
        <f>_xlfn.XLOOKUP(82049,Trip[shape_id],Trip[shape_id],"Não encontrado")</f>
        <v/>
      </c>
      <c r="B14149" s="40" t="n">
        <v>-23.612795</v>
      </c>
      <c r="C14149" s="40" t="n">
        <v>-46.476137</v>
      </c>
      <c r="D14149" s="40" t="n">
        <v>77</v>
      </c>
      <c r="E14149" s="41" t="n">
        <v>985.31079</v>
      </c>
    </row>
    <row r="14150">
      <c r="A14150" s="42">
        <f>_xlfn.XLOOKUP(82049,Trip[shape_id],Trip[shape_id],"Não encontrado")</f>
        <v/>
      </c>
      <c r="B14150" s="43" t="n">
        <v>-23.612668</v>
      </c>
      <c r="C14150" s="43" t="n">
        <v>-46.476107</v>
      </c>
      <c r="D14150" s="43" t="n">
        <v>78</v>
      </c>
      <c r="E14150" s="44" t="n">
        <v>999.70581</v>
      </c>
    </row>
    <row r="14151">
      <c r="A14151" s="39">
        <f>_xlfn.XLOOKUP(82049,Trip[shape_id],Trip[shape_id],"Não encontrado")</f>
        <v/>
      </c>
      <c r="B14151" s="40" t="n">
        <v>-23.612585</v>
      </c>
      <c r="C14151" s="40" t="n">
        <v>-46.476098</v>
      </c>
      <c r="D14151" s="40" t="n">
        <v>79</v>
      </c>
      <c r="E14151" s="41" t="n">
        <v>1008.9445</v>
      </c>
    </row>
    <row r="14152">
      <c r="A14152" s="42">
        <f>_xlfn.XLOOKUP(82049,Trip[shape_id],Trip[shape_id],"Não encontrado")</f>
        <v/>
      </c>
      <c r="B14152" s="43" t="n">
        <v>-23.612497</v>
      </c>
      <c r="C14152" s="43" t="n">
        <v>-46.476135</v>
      </c>
      <c r="D14152" s="43" t="n">
        <v>80</v>
      </c>
      <c r="E14152" s="44" t="n">
        <v>1019.3967</v>
      </c>
    </row>
    <row r="14153">
      <c r="A14153" s="39">
        <f>_xlfn.XLOOKUP(82049,Trip[shape_id],Trip[shape_id],"Não encontrado")</f>
        <v/>
      </c>
      <c r="B14153" s="40" t="n">
        <v>-23.612428</v>
      </c>
      <c r="C14153" s="40" t="n">
        <v>-46.47619</v>
      </c>
      <c r="D14153" s="40" t="n">
        <v>81</v>
      </c>
      <c r="E14153" s="41" t="n">
        <v>1028.8787</v>
      </c>
    </row>
    <row r="14154">
      <c r="A14154" s="42">
        <f>_xlfn.XLOOKUP(82049,Trip[shape_id],Trip[shape_id],"Não encontrado")</f>
        <v/>
      </c>
      <c r="B14154" s="43" t="n">
        <v>-23.612384</v>
      </c>
      <c r="C14154" s="43" t="n">
        <v>-46.47618</v>
      </c>
      <c r="D14154" s="43" t="n">
        <v>82</v>
      </c>
      <c r="E14154" s="44" t="n">
        <v>1040.4438</v>
      </c>
    </row>
    <row r="14155">
      <c r="A14155" s="39">
        <f>_xlfn.XLOOKUP(82049,Trip[shape_id],Trip[shape_id],"Não encontrado")</f>
        <v/>
      </c>
      <c r="B14155" s="40" t="n">
        <v>-23.612325</v>
      </c>
      <c r="C14155" s="40" t="n">
        <v>-46.476172</v>
      </c>
      <c r="D14155" s="40" t="n">
        <v>83</v>
      </c>
      <c r="E14155" s="41" t="n">
        <v>1040.4438</v>
      </c>
    </row>
    <row r="14156">
      <c r="A14156" s="42">
        <f>_xlfn.XLOOKUP(82049,Trip[shape_id],Trip[shape_id],"Não encontrado")</f>
        <v/>
      </c>
      <c r="B14156" s="43" t="n">
        <v>-23.61238</v>
      </c>
      <c r="C14156" s="43" t="n">
        <v>-46.476025</v>
      </c>
      <c r="D14156" s="43" t="n">
        <v>84</v>
      </c>
      <c r="E14156" s="44" t="n">
        <v>1056.6353</v>
      </c>
    </row>
    <row r="14157">
      <c r="A14157" s="39">
        <f>_xlfn.XLOOKUP(82049,Trip[shape_id],Trip[shape_id],"Não encontrado")</f>
        <v/>
      </c>
      <c r="B14157" s="40" t="n">
        <v>-23.612458</v>
      </c>
      <c r="C14157" s="40" t="n">
        <v>-46.475713</v>
      </c>
      <c r="D14157" s="40" t="n">
        <v>85</v>
      </c>
      <c r="E14157" s="41" t="n">
        <v>1089.6273</v>
      </c>
    </row>
    <row r="14158">
      <c r="A14158" s="42">
        <f>_xlfn.XLOOKUP(82049,Trip[shape_id],Trip[shape_id],"Não encontrado")</f>
        <v/>
      </c>
      <c r="B14158" s="43" t="n">
        <v>-23.61247</v>
      </c>
      <c r="C14158" s="43" t="n">
        <v>-46.475639</v>
      </c>
      <c r="D14158" s="43" t="n">
        <v>86</v>
      </c>
      <c r="E14158" s="44" t="n">
        <v>1097.295</v>
      </c>
    </row>
    <row r="14159">
      <c r="A14159" s="39">
        <f>_xlfn.XLOOKUP(82049,Trip[shape_id],Trip[shape_id],"Não encontrado")</f>
        <v/>
      </c>
      <c r="B14159" s="40" t="n">
        <v>-23.612481</v>
      </c>
      <c r="C14159" s="40" t="n">
        <v>-46.47554</v>
      </c>
      <c r="D14159" s="40" t="n">
        <v>87</v>
      </c>
      <c r="E14159" s="41" t="n">
        <v>1107.4717</v>
      </c>
    </row>
    <row r="14160">
      <c r="A14160" s="42">
        <f>_xlfn.XLOOKUP(82049,Trip[shape_id],Trip[shape_id],"Não encontrado")</f>
        <v/>
      </c>
      <c r="B14160" s="43" t="n">
        <v>-23.612468</v>
      </c>
      <c r="C14160" s="43" t="n">
        <v>-46.475483</v>
      </c>
      <c r="D14160" s="43" t="n">
        <v>88</v>
      </c>
      <c r="E14160" s="44" t="n">
        <v>1113.4636</v>
      </c>
    </row>
    <row r="14161">
      <c r="A14161" s="39">
        <f>_xlfn.XLOOKUP(82049,Trip[shape_id],Trip[shape_id],"Não encontrado")</f>
        <v/>
      </c>
      <c r="B14161" s="40" t="n">
        <v>-23.612435</v>
      </c>
      <c r="C14161" s="40" t="n">
        <v>-46.475361</v>
      </c>
      <c r="D14161" s="40" t="n">
        <v>89</v>
      </c>
      <c r="E14161" s="41" t="n">
        <v>1126.4393</v>
      </c>
    </row>
    <row r="14162">
      <c r="A14162" s="42">
        <f>_xlfn.XLOOKUP(82049,Trip[shape_id],Trip[shape_id],"Não encontrado")</f>
        <v/>
      </c>
      <c r="B14162" s="43" t="n">
        <v>-23.612362</v>
      </c>
      <c r="C14162" s="43" t="n">
        <v>-46.47523</v>
      </c>
      <c r="D14162" s="43" t="n">
        <v>90</v>
      </c>
      <c r="E14162" s="44" t="n">
        <v>1142.063</v>
      </c>
    </row>
    <row r="14163">
      <c r="A14163" s="39">
        <f>_xlfn.XLOOKUP(82049,Trip[shape_id],Trip[shape_id],"Não encontrado")</f>
        <v/>
      </c>
      <c r="B14163" s="40" t="n">
        <v>-23.61223</v>
      </c>
      <c r="C14163" s="40" t="n">
        <v>-46.475099</v>
      </c>
      <c r="D14163" s="40" t="n">
        <v>91</v>
      </c>
      <c r="E14163" s="41" t="n">
        <v>1161.8737</v>
      </c>
    </row>
    <row r="14164">
      <c r="A14164" s="42">
        <f>_xlfn.XLOOKUP(82049,Trip[shape_id],Trip[shape_id],"Não encontrado")</f>
        <v/>
      </c>
      <c r="B14164" s="43" t="n">
        <v>-23.612122</v>
      </c>
      <c r="C14164" s="43" t="n">
        <v>-46.475043</v>
      </c>
      <c r="D14164" s="43" t="n">
        <v>92</v>
      </c>
      <c r="E14164" s="44" t="n">
        <v>1175.13</v>
      </c>
    </row>
    <row r="14165">
      <c r="A14165" s="39">
        <f>_xlfn.XLOOKUP(82049,Trip[shape_id],Trip[shape_id],"Não encontrado")</f>
        <v/>
      </c>
      <c r="B14165" s="40" t="n">
        <v>-23.612045</v>
      </c>
      <c r="C14165" s="40" t="n">
        <v>-46.475015</v>
      </c>
      <c r="D14165" s="40" t="n">
        <v>93</v>
      </c>
      <c r="E14165" s="41" t="n">
        <v>1184.1237</v>
      </c>
    </row>
    <row r="14166">
      <c r="A14166" s="42">
        <f>_xlfn.XLOOKUP(82049,Trip[shape_id],Trip[shape_id],"Não encontrado")</f>
        <v/>
      </c>
      <c r="B14166" s="43" t="n">
        <v>-23.611877</v>
      </c>
      <c r="C14166" s="43" t="n">
        <v>-46.474998</v>
      </c>
      <c r="D14166" s="43" t="n">
        <v>94</v>
      </c>
      <c r="E14166" s="44" t="n">
        <v>1202.8107</v>
      </c>
    </row>
    <row r="14167">
      <c r="A14167" s="39">
        <f>_xlfn.XLOOKUP(82049,Trip[shape_id],Trip[shape_id],"Não encontrado")</f>
        <v/>
      </c>
      <c r="B14167" s="40" t="n">
        <v>-23.611661</v>
      </c>
      <c r="C14167" s="40" t="n">
        <v>-46.475013</v>
      </c>
      <c r="D14167" s="40" t="n">
        <v>95</v>
      </c>
      <c r="E14167" s="41" t="n">
        <v>1226.7822</v>
      </c>
    </row>
    <row r="14168">
      <c r="A14168" s="42">
        <f>_xlfn.XLOOKUP(82049,Trip[shape_id],Trip[shape_id],"Não encontrado")</f>
        <v/>
      </c>
      <c r="B14168" s="43" t="n">
        <v>-23.611537</v>
      </c>
      <c r="C14168" s="43" t="n">
        <v>-46.475101</v>
      </c>
      <c r="D14168" s="43" t="n">
        <v>96</v>
      </c>
      <c r="E14168" s="44" t="n">
        <v>1243.1912</v>
      </c>
    </row>
    <row r="14169">
      <c r="A14169" s="39">
        <f>_xlfn.XLOOKUP(82049,Trip[shape_id],Trip[shape_id],"Não encontrado")</f>
        <v/>
      </c>
      <c r="B14169" s="40" t="n">
        <v>-23.611428</v>
      </c>
      <c r="C14169" s="40" t="n">
        <v>-46.475205</v>
      </c>
      <c r="D14169" s="40" t="n">
        <v>97</v>
      </c>
      <c r="E14169" s="41" t="n">
        <v>1259.2655</v>
      </c>
    </row>
    <row r="14170">
      <c r="A14170" s="42">
        <f>_xlfn.XLOOKUP(82049,Trip[shape_id],Trip[shape_id],"Não encontrado")</f>
        <v/>
      </c>
      <c r="B14170" s="43" t="n">
        <v>-23.611355</v>
      </c>
      <c r="C14170" s="43" t="n">
        <v>-46.475328</v>
      </c>
      <c r="D14170" s="43" t="n">
        <v>98</v>
      </c>
      <c r="E14170" s="44" t="n">
        <v>1274.1968</v>
      </c>
    </row>
    <row r="14171">
      <c r="A14171" s="39">
        <f>_xlfn.XLOOKUP(82049,Trip[shape_id],Trip[shape_id],"Não encontrado")</f>
        <v/>
      </c>
      <c r="B14171" s="40" t="n">
        <v>-23.611324</v>
      </c>
      <c r="C14171" s="40" t="n">
        <v>-46.475397</v>
      </c>
      <c r="D14171" s="40" t="n">
        <v>99</v>
      </c>
      <c r="E14171" s="41" t="n">
        <v>1282.031</v>
      </c>
    </row>
    <row r="14172">
      <c r="A14172" s="42">
        <f>_xlfn.XLOOKUP(82049,Trip[shape_id],Trip[shape_id],"Não encontrado")</f>
        <v/>
      </c>
      <c r="B14172" s="43" t="n">
        <v>-23.611291</v>
      </c>
      <c r="C14172" s="43" t="n">
        <v>-46.475501</v>
      </c>
      <c r="D14172" s="43" t="n">
        <v>100</v>
      </c>
      <c r="E14172" s="44" t="n">
        <v>1293.2562</v>
      </c>
    </row>
    <row r="14173">
      <c r="A14173" s="39">
        <f>_xlfn.XLOOKUP(82049,Trip[shape_id],Trip[shape_id],"Não encontrado")</f>
        <v/>
      </c>
      <c r="B14173" s="40" t="n">
        <v>-23.611273</v>
      </c>
      <c r="C14173" s="40" t="n">
        <v>-46.47559</v>
      </c>
      <c r="D14173" s="40" t="n">
        <v>101</v>
      </c>
      <c r="E14173" s="41" t="n">
        <v>1302.5555</v>
      </c>
    </row>
    <row r="14174">
      <c r="A14174" s="42">
        <f>_xlfn.XLOOKUP(82049,Trip[shape_id],Trip[shape_id],"Não encontrado")</f>
        <v/>
      </c>
      <c r="B14174" s="43" t="n">
        <v>-23.611271</v>
      </c>
      <c r="C14174" s="43" t="n">
        <v>-46.475664</v>
      </c>
      <c r="D14174" s="43" t="n">
        <v>102</v>
      </c>
      <c r="E14174" s="44" t="n">
        <v>1310.1112</v>
      </c>
    </row>
    <row r="14175">
      <c r="A14175" s="39">
        <f>_xlfn.XLOOKUP(82049,Trip[shape_id],Trip[shape_id],"Não encontrado")</f>
        <v/>
      </c>
      <c r="B14175" s="40" t="n">
        <v>-23.611284</v>
      </c>
      <c r="C14175" s="40" t="n">
        <v>-46.47577</v>
      </c>
      <c r="D14175" s="40" t="n">
        <v>103</v>
      </c>
      <c r="E14175" s="41" t="n">
        <v>1321.0243</v>
      </c>
    </row>
    <row r="14176">
      <c r="A14176" s="42">
        <f>_xlfn.XLOOKUP(82049,Trip[shape_id],Trip[shape_id],"Não encontrado")</f>
        <v/>
      </c>
      <c r="B14176" s="43" t="n">
        <v>-23.611303</v>
      </c>
      <c r="C14176" s="43" t="n">
        <v>-46.475876</v>
      </c>
      <c r="D14176" s="43" t="n">
        <v>104</v>
      </c>
      <c r="E14176" s="44" t="n">
        <v>1332.0447</v>
      </c>
    </row>
    <row r="14177">
      <c r="A14177" s="39">
        <f>_xlfn.XLOOKUP(82049,Trip[shape_id],Trip[shape_id],"Não encontrado")</f>
        <v/>
      </c>
      <c r="B14177" s="40" t="n">
        <v>-23.611361</v>
      </c>
      <c r="C14177" s="40" t="n">
        <v>-46.475983</v>
      </c>
      <c r="D14177" s="40" t="n">
        <v>105</v>
      </c>
      <c r="E14177" s="41" t="n">
        <v>1344.7142</v>
      </c>
    </row>
    <row r="14178">
      <c r="A14178" s="42">
        <f>_xlfn.XLOOKUP(82049,Trip[shape_id],Trip[shape_id],"Não encontrado")</f>
        <v/>
      </c>
      <c r="B14178" s="43" t="n">
        <v>-23.611256</v>
      </c>
      <c r="C14178" s="43" t="n">
        <v>-46.476058</v>
      </c>
      <c r="D14178" s="43" t="n">
        <v>106</v>
      </c>
      <c r="E14178" s="44" t="n">
        <v>1358.6362</v>
      </c>
    </row>
    <row r="14179">
      <c r="A14179" s="39">
        <f>_xlfn.XLOOKUP(82049,Trip[shape_id],Trip[shape_id],"Não encontrado")</f>
        <v/>
      </c>
      <c r="B14179" s="40" t="n">
        <v>-23.611082</v>
      </c>
      <c r="C14179" s="40" t="n">
        <v>-46.476175</v>
      </c>
      <c r="D14179" s="40" t="n">
        <v>107</v>
      </c>
      <c r="E14179" s="41" t="n">
        <v>1381.3066</v>
      </c>
    </row>
    <row r="14180">
      <c r="A14180" s="42">
        <f>_xlfn.XLOOKUP(82049,Trip[shape_id],Trip[shape_id],"Não encontrado")</f>
        <v/>
      </c>
      <c r="B14180" s="43" t="n">
        <v>-23.610098</v>
      </c>
      <c r="C14180" s="43" t="n">
        <v>-46.476838</v>
      </c>
      <c r="D14180" s="43" t="n">
        <v>108</v>
      </c>
      <c r="E14180" s="44" t="n">
        <v>1509.5837</v>
      </c>
    </row>
    <row r="14181">
      <c r="A14181" s="39">
        <f>_xlfn.XLOOKUP(82049,Trip[shape_id],Trip[shape_id],"Não encontrado")</f>
        <v/>
      </c>
      <c r="B14181" s="40" t="n">
        <v>-23.610004</v>
      </c>
      <c r="C14181" s="40" t="n">
        <v>-46.476904</v>
      </c>
      <c r="D14181" s="40" t="n">
        <v>109</v>
      </c>
      <c r="E14181" s="41" t="n">
        <v>1521.9838</v>
      </c>
    </row>
    <row r="14182">
      <c r="A14182" s="42">
        <f>_xlfn.XLOOKUP(82049,Trip[shape_id],Trip[shape_id],"Não encontrado")</f>
        <v/>
      </c>
      <c r="B14182" s="43" t="n">
        <v>-23.60973</v>
      </c>
      <c r="C14182" s="43" t="n">
        <v>-46.477085</v>
      </c>
      <c r="D14182" s="43" t="n">
        <v>110</v>
      </c>
      <c r="E14182" s="44" t="n">
        <v>1557.5099</v>
      </c>
    </row>
    <row r="14183">
      <c r="A14183" s="39">
        <f>_xlfn.XLOOKUP(82049,Trip[shape_id],Trip[shape_id],"Não encontrado")</f>
        <v/>
      </c>
      <c r="B14183" s="40" t="n">
        <v>-23.609137</v>
      </c>
      <c r="C14183" s="40" t="n">
        <v>-46.477489</v>
      </c>
      <c r="D14183" s="40" t="n">
        <v>111</v>
      </c>
      <c r="E14183" s="41" t="n">
        <v>1635.0557</v>
      </c>
    </row>
    <row r="14184">
      <c r="A14184" s="42">
        <f>_xlfn.XLOOKUP(82049,Trip[shape_id],Trip[shape_id],"Não encontrado")</f>
        <v/>
      </c>
      <c r="B14184" s="43" t="n">
        <v>-23.608361</v>
      </c>
      <c r="C14184" s="43" t="n">
        <v>-46.477993</v>
      </c>
      <c r="D14184" s="43" t="n">
        <v>112</v>
      </c>
      <c r="E14184" s="44" t="n">
        <v>1735.2161</v>
      </c>
    </row>
    <row r="14185">
      <c r="A14185" s="39">
        <f>_xlfn.XLOOKUP(82049,Trip[shape_id],Trip[shape_id],"Não encontrado")</f>
        <v/>
      </c>
      <c r="B14185" s="40" t="n">
        <v>-23.606977</v>
      </c>
      <c r="C14185" s="40" t="n">
        <v>-46.478901</v>
      </c>
      <c r="D14185" s="40" t="n">
        <v>113</v>
      </c>
      <c r="E14185" s="41" t="n">
        <v>1914.3325</v>
      </c>
    </row>
    <row r="14186">
      <c r="A14186" s="42">
        <f>_xlfn.XLOOKUP(82049,Trip[shape_id],Trip[shape_id],"Não encontrado")</f>
        <v/>
      </c>
      <c r="B14186" s="43" t="n">
        <v>-23.606518</v>
      </c>
      <c r="C14186" s="43" t="n">
        <v>-46.479198</v>
      </c>
      <c r="D14186" s="43" t="n">
        <v>114</v>
      </c>
      <c r="E14186" s="44" t="n">
        <v>1973.5189</v>
      </c>
    </row>
    <row r="14187">
      <c r="A14187" s="39">
        <f>_xlfn.XLOOKUP(82049,Trip[shape_id],Trip[shape_id],"Não encontrado")</f>
        <v/>
      </c>
      <c r="B14187" s="40" t="n">
        <v>-23.606331</v>
      </c>
      <c r="C14187" s="40" t="n">
        <v>-46.479345</v>
      </c>
      <c r="D14187" s="40" t="n">
        <v>115</v>
      </c>
      <c r="E14187" s="41" t="n">
        <v>1999.0927</v>
      </c>
    </row>
    <row r="14188">
      <c r="A14188" s="42">
        <f>_xlfn.XLOOKUP(82049,Trip[shape_id],Trip[shape_id],"Não encontrado")</f>
        <v/>
      </c>
      <c r="B14188" s="43" t="n">
        <v>-23.60576</v>
      </c>
      <c r="C14188" s="43" t="n">
        <v>-46.479831</v>
      </c>
      <c r="D14188" s="43" t="n">
        <v>116</v>
      </c>
      <c r="E14188" s="44" t="n">
        <v>2079.4636</v>
      </c>
    </row>
    <row r="14189">
      <c r="A14189" s="39">
        <f>_xlfn.XLOOKUP(82049,Trip[shape_id],Trip[shape_id],"Não encontrado")</f>
        <v/>
      </c>
      <c r="B14189" s="40" t="n">
        <v>-23.605261</v>
      </c>
      <c r="C14189" s="40" t="n">
        <v>-46.480267</v>
      </c>
      <c r="D14189" s="40" t="n">
        <v>117</v>
      </c>
      <c r="E14189" s="41" t="n">
        <v>2150.4167</v>
      </c>
    </row>
    <row r="14190">
      <c r="A14190" s="42">
        <f>_xlfn.XLOOKUP(82049,Trip[shape_id],Trip[shape_id],"Não encontrado")</f>
        <v/>
      </c>
      <c r="B14190" s="43" t="n">
        <v>-23.605016</v>
      </c>
      <c r="C14190" s="43" t="n">
        <v>-46.480476</v>
      </c>
      <c r="D14190" s="43" t="n">
        <v>118</v>
      </c>
      <c r="E14190" s="44" t="n">
        <v>2184.9314</v>
      </c>
    </row>
    <row r="14191">
      <c r="A14191" s="39">
        <f>_xlfn.XLOOKUP(82049,Trip[shape_id],Trip[shape_id],"Não encontrado")</f>
        <v/>
      </c>
      <c r="B14191" s="40" t="n">
        <v>-23.604781</v>
      </c>
      <c r="C14191" s="40" t="n">
        <v>-46.480676</v>
      </c>
      <c r="D14191" s="40" t="n">
        <v>119</v>
      </c>
      <c r="E14191" s="41" t="n">
        <v>2218.0078</v>
      </c>
    </row>
    <row r="14192">
      <c r="A14192" s="42">
        <f>_xlfn.XLOOKUP(82049,Trip[shape_id],Trip[shape_id],"Não encontrado")</f>
        <v/>
      </c>
      <c r="B14192" s="43" t="n">
        <v>-23.604718</v>
      </c>
      <c r="C14192" s="43" t="n">
        <v>-46.480724</v>
      </c>
      <c r="D14192" s="43" t="n">
        <v>120</v>
      </c>
      <c r="E14192" s="44" t="n">
        <v>2226.5327</v>
      </c>
    </row>
    <row r="14193">
      <c r="A14193" s="39">
        <f>_xlfn.XLOOKUP(82049,Trip[shape_id],Trip[shape_id],"Não encontrado")</f>
        <v/>
      </c>
      <c r="B14193" s="40" t="n">
        <v>-23.604137</v>
      </c>
      <c r="C14193" s="40" t="n">
        <v>-46.481215</v>
      </c>
      <c r="D14193" s="40" t="n">
        <v>121</v>
      </c>
      <c r="E14193" s="41" t="n">
        <v>2308.0911</v>
      </c>
    </row>
    <row r="14194">
      <c r="A14194" s="42">
        <f>_xlfn.XLOOKUP(82049,Trip[shape_id],Trip[shape_id],"Não encontrado")</f>
        <v/>
      </c>
      <c r="B14194" s="43" t="n">
        <v>-23.603813</v>
      </c>
      <c r="C14194" s="43" t="n">
        <v>-46.481496</v>
      </c>
      <c r="D14194" s="43" t="n">
        <v>122</v>
      </c>
      <c r="E14194" s="44" t="n">
        <v>2354.0273</v>
      </c>
    </row>
    <row r="14195">
      <c r="A14195" s="39">
        <f>_xlfn.XLOOKUP(82049,Trip[shape_id],Trip[shape_id],"Não encontrado")</f>
        <v/>
      </c>
      <c r="B14195" s="40" t="n">
        <v>-23.603142</v>
      </c>
      <c r="C14195" s="40" t="n">
        <v>-46.482058</v>
      </c>
      <c r="D14195" s="40" t="n">
        <v>123</v>
      </c>
      <c r="E14195" s="41" t="n">
        <v>2447.9033</v>
      </c>
    </row>
    <row r="14196">
      <c r="A14196" s="42">
        <f>_xlfn.XLOOKUP(82049,Trip[shape_id],Trip[shape_id],"Não encontrado")</f>
        <v/>
      </c>
      <c r="B14196" s="43" t="n">
        <v>-23.602009</v>
      </c>
      <c r="C14196" s="43" t="n">
        <v>-46.483025</v>
      </c>
      <c r="D14196" s="43" t="n">
        <v>124</v>
      </c>
      <c r="E14196" s="44" t="n">
        <v>2607.5479</v>
      </c>
    </row>
    <row r="14197">
      <c r="A14197" s="39">
        <f>_xlfn.XLOOKUP(82049,Trip[shape_id],Trip[shape_id],"Não encontrado")</f>
        <v/>
      </c>
      <c r="B14197" s="40" t="n">
        <v>-23.601529</v>
      </c>
      <c r="C14197" s="40" t="n">
        <v>-46.483435</v>
      </c>
      <c r="D14197" s="40" t="n">
        <v>125</v>
      </c>
      <c r="E14197" s="41" t="n">
        <v>2675.2026</v>
      </c>
    </row>
    <row r="14198">
      <c r="A14198" s="42">
        <f>_xlfn.XLOOKUP(82049,Trip[shape_id],Trip[shape_id],"Não encontrado")</f>
        <v/>
      </c>
      <c r="B14198" s="43" t="n">
        <v>-23.600864</v>
      </c>
      <c r="C14198" s="43" t="n">
        <v>-46.483992</v>
      </c>
      <c r="D14198" s="43" t="n">
        <v>126</v>
      </c>
      <c r="E14198" s="44" t="n">
        <v>2768.2415</v>
      </c>
    </row>
    <row r="14199">
      <c r="A14199" s="39">
        <f>_xlfn.XLOOKUP(82049,Trip[shape_id],Trip[shape_id],"Não encontrado")</f>
        <v/>
      </c>
      <c r="B14199" s="40" t="n">
        <v>-23.600378</v>
      </c>
      <c r="C14199" s="40" t="n">
        <v>-46.484398</v>
      </c>
      <c r="D14199" s="40" t="n">
        <v>127</v>
      </c>
      <c r="E14199" s="41" t="n">
        <v>2836.1699</v>
      </c>
    </row>
    <row r="14200">
      <c r="A14200" s="42">
        <f>_xlfn.XLOOKUP(82049,Trip[shape_id],Trip[shape_id],"Não encontrado")</f>
        <v/>
      </c>
      <c r="B14200" s="43" t="n">
        <v>-23.599727</v>
      </c>
      <c r="C14200" s="43" t="n">
        <v>-46.484957</v>
      </c>
      <c r="D14200" s="43" t="n">
        <v>128</v>
      </c>
      <c r="E14200" s="44" t="n">
        <v>2928.113</v>
      </c>
    </row>
    <row r="14201">
      <c r="A14201" s="39">
        <f>_xlfn.XLOOKUP(82049,Trip[shape_id],Trip[shape_id],"Não encontrado")</f>
        <v/>
      </c>
      <c r="B14201" s="40" t="n">
        <v>-23.599492</v>
      </c>
      <c r="C14201" s="40" t="n">
        <v>-46.48515</v>
      </c>
      <c r="D14201" s="40" t="n">
        <v>129</v>
      </c>
      <c r="E14201" s="41" t="n">
        <v>2960.7539</v>
      </c>
    </row>
    <row r="14202">
      <c r="A14202" s="42">
        <f>_xlfn.XLOOKUP(82049,Trip[shape_id],Trip[shape_id],"Não encontrado")</f>
        <v/>
      </c>
      <c r="B14202" s="43" t="n">
        <v>-23.598584</v>
      </c>
      <c r="C14202" s="43" t="n">
        <v>-46.485923</v>
      </c>
      <c r="D14202" s="43" t="n">
        <v>130</v>
      </c>
      <c r="E14202" s="44" t="n">
        <v>3088.5723</v>
      </c>
    </row>
    <row r="14203">
      <c r="A14203" s="39">
        <f>_xlfn.XLOOKUP(82049,Trip[shape_id],Trip[shape_id],"Não encontrado")</f>
        <v/>
      </c>
      <c r="B14203" s="40" t="n">
        <v>-23.597777</v>
      </c>
      <c r="C14203" s="40" t="n">
        <v>-46.486603</v>
      </c>
      <c r="D14203" s="40" t="n">
        <v>131</v>
      </c>
      <c r="E14203" s="41" t="n">
        <v>3201.7327</v>
      </c>
    </row>
    <row r="14204">
      <c r="A14204" s="42">
        <f>_xlfn.XLOOKUP(82049,Trip[shape_id],Trip[shape_id],"Não encontrado")</f>
        <v/>
      </c>
      <c r="B14204" s="43" t="n">
        <v>-23.597279</v>
      </c>
      <c r="C14204" s="43" t="n">
        <v>-46.48694</v>
      </c>
      <c r="D14204" s="43" t="n">
        <v>132</v>
      </c>
      <c r="E14204" s="44" t="n">
        <v>3266.7339</v>
      </c>
    </row>
    <row r="14205">
      <c r="A14205" s="39">
        <f>_xlfn.XLOOKUP(82049,Trip[shape_id],Trip[shape_id],"Não encontrado")</f>
        <v/>
      </c>
      <c r="B14205" s="40" t="n">
        <v>-23.597058</v>
      </c>
      <c r="C14205" s="40" t="n">
        <v>-46.487067</v>
      </c>
      <c r="D14205" s="40" t="n">
        <v>133</v>
      </c>
      <c r="E14205" s="41" t="n">
        <v>3294.4307</v>
      </c>
    </row>
    <row r="14206">
      <c r="A14206" s="42">
        <f>_xlfn.XLOOKUP(82049,Trip[shape_id],Trip[shape_id],"Não encontrado")</f>
        <v/>
      </c>
      <c r="B14206" s="43" t="n">
        <v>-23.596661</v>
      </c>
      <c r="C14206" s="43" t="n">
        <v>-46.487257</v>
      </c>
      <c r="D14206" s="43" t="n">
        <v>134</v>
      </c>
      <c r="E14206" s="44" t="n">
        <v>3342.4861</v>
      </c>
    </row>
    <row r="14207">
      <c r="A14207" s="39">
        <f>_xlfn.XLOOKUP(82049,Trip[shape_id],Trip[shape_id],"Não encontrado")</f>
        <v/>
      </c>
      <c r="B14207" s="40" t="n">
        <v>-23.595785</v>
      </c>
      <c r="C14207" s="40" t="n">
        <v>-46.487584</v>
      </c>
      <c r="D14207" s="40" t="n">
        <v>135</v>
      </c>
      <c r="E14207" s="41" t="n">
        <v>3445.0854</v>
      </c>
    </row>
    <row r="14208">
      <c r="A14208" s="42">
        <f>_xlfn.XLOOKUP(82049,Trip[shape_id],Trip[shape_id],"Não encontrado")</f>
        <v/>
      </c>
      <c r="B14208" s="43" t="n">
        <v>-23.594421</v>
      </c>
      <c r="C14208" s="43" t="n">
        <v>-46.488104</v>
      </c>
      <c r="D14208" s="43" t="n">
        <v>136</v>
      </c>
      <c r="E14208" s="44" t="n">
        <v>3605.2041</v>
      </c>
    </row>
    <row r="14209">
      <c r="A14209" s="39">
        <f>_xlfn.XLOOKUP(82049,Trip[shape_id],Trip[shape_id],"Não encontrado")</f>
        <v/>
      </c>
      <c r="B14209" s="40" t="n">
        <v>-23.594041</v>
      </c>
      <c r="C14209" s="40" t="n">
        <v>-46.488251</v>
      </c>
      <c r="D14209" s="40" t="n">
        <v>137</v>
      </c>
      <c r="E14209" s="41" t="n">
        <v>3649.8845</v>
      </c>
    </row>
    <row r="14210">
      <c r="A14210" s="42">
        <f>_xlfn.XLOOKUP(82049,Trip[shape_id],Trip[shape_id],"Não encontrado")</f>
        <v/>
      </c>
      <c r="B14210" s="43" t="n">
        <v>-23.593036</v>
      </c>
      <c r="C14210" s="43" t="n">
        <v>-46.488631</v>
      </c>
      <c r="D14210" s="43" t="n">
        <v>138</v>
      </c>
      <c r="E14210" s="44" t="n">
        <v>3767.7549</v>
      </c>
    </row>
    <row r="14211">
      <c r="A14211" s="39">
        <f>_xlfn.XLOOKUP(82049,Trip[shape_id],Trip[shape_id],"Não encontrado")</f>
        <v/>
      </c>
      <c r="B14211" s="40" t="n">
        <v>-23.591183</v>
      </c>
      <c r="C14211" s="40" t="n">
        <v>-46.489328</v>
      </c>
      <c r="D14211" s="40" t="n">
        <v>139</v>
      </c>
      <c r="E14211" s="41" t="n">
        <v>3984.9604</v>
      </c>
    </row>
    <row r="14212">
      <c r="A14212" s="42">
        <f>_xlfn.XLOOKUP(82049,Trip[shape_id],Trip[shape_id],"Não encontrado")</f>
        <v/>
      </c>
      <c r="B14212" s="43" t="n">
        <v>-23.590022</v>
      </c>
      <c r="C14212" s="43" t="n">
        <v>-46.489774</v>
      </c>
      <c r="D14212" s="43" t="n">
        <v>140</v>
      </c>
      <c r="E14212" s="44" t="n">
        <v>4121.3647</v>
      </c>
    </row>
    <row r="14213">
      <c r="A14213" s="39">
        <f>_xlfn.XLOOKUP(82049,Trip[shape_id],Trip[shape_id],"Não encontrado")</f>
        <v/>
      </c>
      <c r="B14213" s="40" t="n">
        <v>-23.588891</v>
      </c>
      <c r="C14213" s="40" t="n">
        <v>-46.490194</v>
      </c>
      <c r="D14213" s="40" t="n">
        <v>141</v>
      </c>
      <c r="E14213" s="41" t="n">
        <v>4253.7588</v>
      </c>
    </row>
    <row r="14214">
      <c r="A14214" s="42">
        <f>_xlfn.XLOOKUP(82049,Trip[shape_id],Trip[shape_id],"Não encontrado")</f>
        <v/>
      </c>
      <c r="B14214" s="43" t="n">
        <v>-23.588132</v>
      </c>
      <c r="C14214" s="43" t="n">
        <v>-46.490488</v>
      </c>
      <c r="D14214" s="43" t="n">
        <v>142</v>
      </c>
      <c r="E14214" s="44" t="n">
        <v>4343.0156</v>
      </c>
    </row>
    <row r="14215">
      <c r="A14215" s="39">
        <f>_xlfn.XLOOKUP(82049,Trip[shape_id],Trip[shape_id],"Não encontrado")</f>
        <v/>
      </c>
      <c r="B14215" s="40" t="n">
        <v>-23.587701</v>
      </c>
      <c r="C14215" s="40" t="n">
        <v>-46.490646</v>
      </c>
      <c r="D14215" s="40" t="n">
        <v>143</v>
      </c>
      <c r="E14215" s="41" t="n">
        <v>4393.4004</v>
      </c>
    </row>
    <row r="14216">
      <c r="A14216" s="42">
        <f>_xlfn.XLOOKUP(82049,Trip[shape_id],Trip[shape_id],"Não encontrado")</f>
        <v/>
      </c>
      <c r="B14216" s="43" t="n">
        <v>-23.587041</v>
      </c>
      <c r="C14216" s="43" t="n">
        <v>-46.490893</v>
      </c>
      <c r="D14216" s="43" t="n">
        <v>144</v>
      </c>
      <c r="E14216" s="44" t="n">
        <v>4470.7227</v>
      </c>
    </row>
    <row r="14217">
      <c r="A14217" s="39">
        <f>_xlfn.XLOOKUP(82049,Trip[shape_id],Trip[shape_id],"Não encontrado")</f>
        <v/>
      </c>
      <c r="B14217" s="40" t="n">
        <v>-23.586353</v>
      </c>
      <c r="C14217" s="40" t="n">
        <v>-46.491156</v>
      </c>
      <c r="D14217" s="40" t="n">
        <v>145</v>
      </c>
      <c r="E14217" s="41" t="n">
        <v>4551.5107</v>
      </c>
    </row>
    <row r="14218">
      <c r="A14218" s="42">
        <f>_xlfn.XLOOKUP(82049,Trip[shape_id],Trip[shape_id],"Não encontrado")</f>
        <v/>
      </c>
      <c r="B14218" s="43" t="n">
        <v>-23.58609</v>
      </c>
      <c r="C14218" s="43" t="n">
        <v>-46.491263</v>
      </c>
      <c r="D14218" s="43" t="n">
        <v>146</v>
      </c>
      <c r="E14218" s="44" t="n">
        <v>4582.6191</v>
      </c>
    </row>
    <row r="14219">
      <c r="A14219" s="39">
        <f>_xlfn.XLOOKUP(82049,Trip[shape_id],Trip[shape_id],"Não encontrado")</f>
        <v/>
      </c>
      <c r="B14219" s="40" t="n">
        <v>-23.585982</v>
      </c>
      <c r="C14219" s="40" t="n">
        <v>-46.49131</v>
      </c>
      <c r="D14219" s="40" t="n">
        <v>147</v>
      </c>
      <c r="E14219" s="41" t="n">
        <v>4595.5063</v>
      </c>
    </row>
    <row r="14220">
      <c r="A14220" s="42">
        <f>_xlfn.XLOOKUP(82049,Trip[shape_id],Trip[shape_id],"Não encontrado")</f>
        <v/>
      </c>
      <c r="B14220" s="43" t="n">
        <v>-23.584797</v>
      </c>
      <c r="C14220" s="43" t="n">
        <v>-46.49179</v>
      </c>
      <c r="D14220" s="43" t="n">
        <v>148</v>
      </c>
      <c r="E14220" s="44" t="n">
        <v>4735.5952</v>
      </c>
    </row>
    <row r="14221">
      <c r="A14221" s="39">
        <f>_xlfn.XLOOKUP(82049,Trip[shape_id],Trip[shape_id],"Não encontrado")</f>
        <v/>
      </c>
      <c r="B14221" s="40" t="n">
        <v>-23.58458</v>
      </c>
      <c r="C14221" s="40" t="n">
        <v>-46.49188</v>
      </c>
      <c r="D14221" s="40" t="n">
        <v>149</v>
      </c>
      <c r="E14221" s="41" t="n">
        <v>4761.3242</v>
      </c>
    </row>
    <row r="14222">
      <c r="A14222" s="42">
        <f>_xlfn.XLOOKUP(82049,Trip[shape_id],Trip[shape_id],"Não encontrado")</f>
        <v/>
      </c>
      <c r="B14222" s="43" t="n">
        <v>-23.584415</v>
      </c>
      <c r="C14222" s="43" t="n">
        <v>-46.491993</v>
      </c>
      <c r="D14222" s="43" t="n">
        <v>150</v>
      </c>
      <c r="E14222" s="44" t="n">
        <v>4782.9341</v>
      </c>
    </row>
    <row r="14223">
      <c r="A14223" s="39">
        <f>_xlfn.XLOOKUP(82049,Trip[shape_id],Trip[shape_id],"Não encontrado")</f>
        <v/>
      </c>
      <c r="B14223" s="40" t="n">
        <v>-23.584316</v>
      </c>
      <c r="C14223" s="40" t="n">
        <v>-46.492033</v>
      </c>
      <c r="D14223" s="40" t="n">
        <v>151</v>
      </c>
      <c r="E14223" s="41" t="n">
        <v>4794.6343</v>
      </c>
    </row>
    <row r="14224">
      <c r="A14224" s="42">
        <f>_xlfn.XLOOKUP(82049,Trip[shape_id],Trip[shape_id],"Não encontrado")</f>
        <v/>
      </c>
      <c r="B14224" s="43" t="n">
        <v>-23.584259</v>
      </c>
      <c r="C14224" s="43" t="n">
        <v>-46.49207</v>
      </c>
      <c r="D14224" s="43" t="n">
        <v>152</v>
      </c>
      <c r="E14224" s="44" t="n">
        <v>4801.9907</v>
      </c>
    </row>
    <row r="14225">
      <c r="A14225" s="39">
        <f>_xlfn.XLOOKUP(82049,Trip[shape_id],Trip[shape_id],"Não encontrado")</f>
        <v/>
      </c>
      <c r="B14225" s="40" t="n">
        <v>-23.584177</v>
      </c>
      <c r="C14225" s="40" t="n">
        <v>-46.492124</v>
      </c>
      <c r="D14225" s="40" t="n">
        <v>153</v>
      </c>
      <c r="E14225" s="41" t="n">
        <v>4812.6143</v>
      </c>
    </row>
    <row r="14226">
      <c r="A14226" s="42">
        <f>_xlfn.XLOOKUP(82049,Trip[shape_id],Trip[shape_id],"Não encontrado")</f>
        <v/>
      </c>
      <c r="B14226" s="43" t="n">
        <v>-23.584139</v>
      </c>
      <c r="C14226" s="43" t="n">
        <v>-46.492179</v>
      </c>
      <c r="D14226" s="43" t="n">
        <v>154</v>
      </c>
      <c r="E14226" s="44" t="n">
        <v>4819.6313</v>
      </c>
    </row>
    <row r="14227">
      <c r="A14227" s="39">
        <f>_xlfn.XLOOKUP(82049,Trip[shape_id],Trip[shape_id],"Não encontrado")</f>
        <v/>
      </c>
      <c r="B14227" s="40" t="n">
        <v>-23.584106</v>
      </c>
      <c r="C14227" s="40" t="n">
        <v>-46.492227</v>
      </c>
      <c r="D14227" s="40" t="n">
        <v>155</v>
      </c>
      <c r="E14227" s="41" t="n">
        <v>4825.7432</v>
      </c>
    </row>
    <row r="14228">
      <c r="A14228" s="42">
        <f>_xlfn.XLOOKUP(82049,Trip[shape_id],Trip[shape_id],"Não encontrado")</f>
        <v/>
      </c>
      <c r="B14228" s="43" t="n">
        <v>-23.584063</v>
      </c>
      <c r="C14228" s="43" t="n">
        <v>-46.492295</v>
      </c>
      <c r="D14228" s="43" t="n">
        <v>156</v>
      </c>
      <c r="E14228" s="44" t="n">
        <v>4834.1606</v>
      </c>
    </row>
    <row r="14229">
      <c r="A14229" s="39">
        <f>_xlfn.XLOOKUP(82049,Trip[shape_id],Trip[shape_id],"Não encontrado")</f>
        <v/>
      </c>
      <c r="B14229" s="40" t="n">
        <v>-23.584039</v>
      </c>
      <c r="C14229" s="40" t="n">
        <v>-46.492346</v>
      </c>
      <c r="D14229" s="40" t="n">
        <v>157</v>
      </c>
      <c r="E14229" s="41" t="n">
        <v>4840.0054</v>
      </c>
    </row>
    <row r="14230">
      <c r="A14230" s="42">
        <f>_xlfn.XLOOKUP(82049,Trip[shape_id],Trip[shape_id],"Não encontrado")</f>
        <v/>
      </c>
      <c r="B14230" s="43" t="n">
        <v>-23.583967</v>
      </c>
      <c r="C14230" s="43" t="n">
        <v>-46.492508</v>
      </c>
      <c r="D14230" s="43" t="n">
        <v>158</v>
      </c>
      <c r="E14230" s="44" t="n">
        <v>4858.3638</v>
      </c>
    </row>
    <row r="14231">
      <c r="A14231" s="39">
        <f>_xlfn.XLOOKUP(82049,Trip[shape_id],Trip[shape_id],"Não encontrado")</f>
        <v/>
      </c>
      <c r="B14231" s="40" t="n">
        <v>-23.583935</v>
      </c>
      <c r="C14231" s="40" t="n">
        <v>-46.492591</v>
      </c>
      <c r="D14231" s="40" t="n">
        <v>159</v>
      </c>
      <c r="E14231" s="41" t="n">
        <v>4867.5469</v>
      </c>
    </row>
    <row r="14232">
      <c r="A14232" s="42">
        <f>_xlfn.XLOOKUP(82049,Trip[shape_id],Trip[shape_id],"Não encontrado")</f>
        <v/>
      </c>
      <c r="B14232" s="43" t="n">
        <v>-23.583921</v>
      </c>
      <c r="C14232" s="43" t="n">
        <v>-46.492649</v>
      </c>
      <c r="D14232" s="43" t="n">
        <v>160</v>
      </c>
      <c r="E14232" s="44" t="n">
        <v>4873.667</v>
      </c>
    </row>
    <row r="14233">
      <c r="A14233" s="39">
        <f>_xlfn.XLOOKUP(82049,Trip[shape_id],Trip[shape_id],"Não encontrado")</f>
        <v/>
      </c>
      <c r="B14233" s="40" t="n">
        <v>-23.583903</v>
      </c>
      <c r="C14233" s="40" t="n">
        <v>-46.49273</v>
      </c>
      <c r="D14233" s="40" t="n">
        <v>161</v>
      </c>
      <c r="E14233" s="41" t="n">
        <v>4882.1719</v>
      </c>
    </row>
    <row r="14234">
      <c r="A14234" s="42">
        <f>_xlfn.XLOOKUP(82049,Trip[shape_id],Trip[shape_id],"Não encontrado")</f>
        <v/>
      </c>
      <c r="B14234" s="43" t="n">
        <v>-23.583892</v>
      </c>
      <c r="C14234" s="43" t="n">
        <v>-46.492829</v>
      </c>
      <c r="D14234" s="43" t="n">
        <v>162</v>
      </c>
      <c r="E14234" s="44" t="n">
        <v>4892.3501</v>
      </c>
    </row>
    <row r="14235">
      <c r="A14235" s="39">
        <f>_xlfn.XLOOKUP(82049,Trip[shape_id],Trip[shape_id],"Não encontrado")</f>
        <v/>
      </c>
      <c r="B14235" s="40" t="n">
        <v>-23.583885</v>
      </c>
      <c r="C14235" s="40" t="n">
        <v>-46.492923</v>
      </c>
      <c r="D14235" s="40" t="n">
        <v>163</v>
      </c>
      <c r="E14235" s="41" t="n">
        <v>4901.9771</v>
      </c>
    </row>
    <row r="14236">
      <c r="A14236" s="42">
        <f>_xlfn.XLOOKUP(82049,Trip[shape_id],Trip[shape_id],"Não encontrado")</f>
        <v/>
      </c>
      <c r="B14236" s="43" t="n">
        <v>-23.583864</v>
      </c>
      <c r="C14236" s="43" t="n">
        <v>-46.493412</v>
      </c>
      <c r="D14236" s="43" t="n">
        <v>164</v>
      </c>
      <c r="E14236" s="44" t="n">
        <v>4951.9463</v>
      </c>
    </row>
    <row r="14237">
      <c r="A14237" s="39">
        <f>_xlfn.XLOOKUP(82049,Trip[shape_id],Trip[shape_id],"Não encontrado")</f>
        <v/>
      </c>
      <c r="B14237" s="40" t="n">
        <v>-23.583869</v>
      </c>
      <c r="C14237" s="40" t="n">
        <v>-46.49351</v>
      </c>
      <c r="D14237" s="40" t="n">
        <v>165</v>
      </c>
      <c r="E14237" s="41" t="n">
        <v>4961.9648</v>
      </c>
    </row>
    <row r="14238">
      <c r="A14238" s="42">
        <f>_xlfn.XLOOKUP(82049,Trip[shape_id],Trip[shape_id],"Não encontrado")</f>
        <v/>
      </c>
      <c r="B14238" s="43" t="n">
        <v>-23.583862</v>
      </c>
      <c r="C14238" s="43" t="n">
        <v>-46.493561</v>
      </c>
      <c r="D14238" s="43" t="n">
        <v>166</v>
      </c>
      <c r="E14238" s="44" t="n">
        <v>4967.229</v>
      </c>
    </row>
    <row r="14239">
      <c r="A14239" s="39">
        <f>_xlfn.XLOOKUP(82049,Trip[shape_id],Trip[shape_id],"Não encontrado")</f>
        <v/>
      </c>
      <c r="B14239" s="40" t="n">
        <v>-23.583788</v>
      </c>
      <c r="C14239" s="40" t="n">
        <v>-46.493838</v>
      </c>
      <c r="D14239" s="40" t="n">
        <v>167</v>
      </c>
      <c r="E14239" s="41" t="n">
        <v>4996.668</v>
      </c>
    </row>
    <row r="14240">
      <c r="A14240" s="42">
        <f>_xlfn.XLOOKUP(82049,Trip[shape_id],Trip[shape_id],"Não encontrado")</f>
        <v/>
      </c>
      <c r="B14240" s="43" t="n">
        <v>-23.583624</v>
      </c>
      <c r="C14240" s="43" t="n">
        <v>-46.494472</v>
      </c>
      <c r="D14240" s="43" t="n">
        <v>168</v>
      </c>
      <c r="E14240" s="44" t="n">
        <v>5063.8848</v>
      </c>
    </row>
    <row r="14241">
      <c r="A14241" s="39">
        <f>_xlfn.XLOOKUP(82049,Trip[shape_id],Trip[shape_id],"Não encontrado")</f>
        <v/>
      </c>
      <c r="B14241" s="40" t="n">
        <v>-23.583527</v>
      </c>
      <c r="C14241" s="40" t="n">
        <v>-46.494809</v>
      </c>
      <c r="D14241" s="40" t="n">
        <v>169</v>
      </c>
      <c r="E14241" s="41" t="n">
        <v>5099.9229</v>
      </c>
    </row>
    <row r="14242">
      <c r="A14242" s="42">
        <f>_xlfn.XLOOKUP(82049,Trip[shape_id],Trip[shape_id],"Não encontrado")</f>
        <v/>
      </c>
      <c r="B14242" s="43" t="n">
        <v>-23.583428</v>
      </c>
      <c r="C14242" s="43" t="n">
        <v>-46.495083</v>
      </c>
      <c r="D14242" s="43" t="n">
        <v>170</v>
      </c>
      <c r="E14242" s="44" t="n">
        <v>5129.9644</v>
      </c>
    </row>
    <row r="14243">
      <c r="A14243" s="39">
        <f>_xlfn.XLOOKUP(82049,Trip[shape_id],Trip[shape_id],"Não encontrado")</f>
        <v/>
      </c>
      <c r="B14243" s="40" t="n">
        <v>-23.583323</v>
      </c>
      <c r="C14243" s="40" t="n">
        <v>-46.495378</v>
      </c>
      <c r="D14243" s="40" t="n">
        <v>171</v>
      </c>
      <c r="E14243" s="41" t="n">
        <v>5162.2441</v>
      </c>
    </row>
    <row r="14244">
      <c r="A14244" s="42">
        <f>_xlfn.XLOOKUP(82049,Trip[shape_id],Trip[shape_id],"Não encontrado")</f>
        <v/>
      </c>
      <c r="B14244" s="43" t="n">
        <v>-23.583221</v>
      </c>
      <c r="C14244" s="43" t="n">
        <v>-46.495643</v>
      </c>
      <c r="D14244" s="43" t="n">
        <v>172</v>
      </c>
      <c r="E14244" s="44" t="n">
        <v>5191.5586</v>
      </c>
    </row>
    <row r="14245">
      <c r="A14245" s="39">
        <f>_xlfn.XLOOKUP(82049,Trip[shape_id],Trip[shape_id],"Não encontrado")</f>
        <v/>
      </c>
      <c r="B14245" s="40" t="n">
        <v>-23.583175</v>
      </c>
      <c r="C14245" s="40" t="n">
        <v>-46.495745</v>
      </c>
      <c r="D14245" s="40" t="n">
        <v>173</v>
      </c>
      <c r="E14245" s="41" t="n">
        <v>5203.1499</v>
      </c>
    </row>
    <row r="14246">
      <c r="A14246" s="42">
        <f>_xlfn.XLOOKUP(82049,Trip[shape_id],Trip[shape_id],"Não encontrado")</f>
        <v/>
      </c>
      <c r="B14246" s="43" t="n">
        <v>-23.583117</v>
      </c>
      <c r="C14246" s="43" t="n">
        <v>-46.495921</v>
      </c>
      <c r="D14246" s="43" t="n">
        <v>174</v>
      </c>
      <c r="E14246" s="44" t="n">
        <v>5222.2295</v>
      </c>
    </row>
    <row r="14247">
      <c r="A14247" s="39">
        <f>_xlfn.XLOOKUP(82049,Trip[shape_id],Trip[shape_id],"Não encontrado")</f>
        <v/>
      </c>
      <c r="B14247" s="40" t="n">
        <v>-23.583044</v>
      </c>
      <c r="C14247" s="40" t="n">
        <v>-46.496092</v>
      </c>
      <c r="D14247" s="40" t="n">
        <v>175</v>
      </c>
      <c r="E14247" s="41" t="n">
        <v>5241.4663</v>
      </c>
    </row>
    <row r="14248">
      <c r="A14248" s="42">
        <f>_xlfn.XLOOKUP(82049,Trip[shape_id],Trip[shape_id],"Não encontrado")</f>
        <v/>
      </c>
      <c r="B14248" s="43" t="n">
        <v>-23.582911</v>
      </c>
      <c r="C14248" s="43" t="n">
        <v>-46.496383</v>
      </c>
      <c r="D14248" s="43" t="n">
        <v>176</v>
      </c>
      <c r="E14248" s="44" t="n">
        <v>5274.6226</v>
      </c>
    </row>
    <row r="14249">
      <c r="A14249" s="39">
        <f>_xlfn.XLOOKUP(82049,Trip[shape_id],Trip[shape_id],"Não encontrado")</f>
        <v/>
      </c>
      <c r="B14249" s="40" t="n">
        <v>-23.582791</v>
      </c>
      <c r="C14249" s="40" t="n">
        <v>-46.496576</v>
      </c>
      <c r="D14249" s="40" t="n">
        <v>177</v>
      </c>
      <c r="E14249" s="41" t="n">
        <v>5298.3872</v>
      </c>
    </row>
    <row r="14250">
      <c r="A14250" s="42">
        <f>_xlfn.XLOOKUP(82049,Trip[shape_id],Trip[shape_id],"Não encontrado")</f>
        <v/>
      </c>
      <c r="B14250" s="43" t="n">
        <v>-23.582711</v>
      </c>
      <c r="C14250" s="43" t="n">
        <v>-46.4967</v>
      </c>
      <c r="D14250" s="43" t="n">
        <v>178</v>
      </c>
      <c r="E14250" s="44" t="n">
        <v>5313.8374</v>
      </c>
    </row>
    <row r="14251">
      <c r="A14251" s="39">
        <f>_xlfn.XLOOKUP(82049,Trip[shape_id],Trip[shape_id],"Não encontrado")</f>
        <v/>
      </c>
      <c r="B14251" s="40" t="n">
        <v>-23.582299</v>
      </c>
      <c r="C14251" s="40" t="n">
        <v>-46.497239</v>
      </c>
      <c r="D14251" s="40" t="n">
        <v>179</v>
      </c>
      <c r="E14251" s="41" t="n">
        <v>5385.3164</v>
      </c>
    </row>
    <row r="14252">
      <c r="A14252" s="42">
        <f>_xlfn.XLOOKUP(82049,Trip[shape_id],Trip[shape_id],"Não encontrado")</f>
        <v/>
      </c>
      <c r="B14252" s="43" t="n">
        <v>-23.582134</v>
      </c>
      <c r="C14252" s="43" t="n">
        <v>-46.497449</v>
      </c>
      <c r="D14252" s="43" t="n">
        <v>180</v>
      </c>
      <c r="E14252" s="44" t="n">
        <v>5413.4849</v>
      </c>
    </row>
    <row r="14253">
      <c r="A14253" s="39">
        <f>_xlfn.XLOOKUP(82049,Trip[shape_id],Trip[shape_id],"Não encontrado")</f>
        <v/>
      </c>
      <c r="B14253" s="40" t="n">
        <v>-23.582043</v>
      </c>
      <c r="C14253" s="40" t="n">
        <v>-46.497568</v>
      </c>
      <c r="D14253" s="40" t="n">
        <v>181</v>
      </c>
      <c r="E14253" s="41" t="n">
        <v>5429.2686</v>
      </c>
    </row>
    <row r="14254">
      <c r="A14254" s="42">
        <f>_xlfn.XLOOKUP(82049,Trip[shape_id],Trip[shape_id],"Não encontrado")</f>
        <v/>
      </c>
      <c r="B14254" s="43" t="n">
        <v>-23.581868</v>
      </c>
      <c r="C14254" s="43" t="n">
        <v>-46.49779</v>
      </c>
      <c r="D14254" s="43" t="n">
        <v>182</v>
      </c>
      <c r="E14254" s="44" t="n">
        <v>5459.0879</v>
      </c>
    </row>
    <row r="14255">
      <c r="A14255" s="39">
        <f>_xlfn.XLOOKUP(82049,Trip[shape_id],Trip[shape_id],"Não encontrado")</f>
        <v/>
      </c>
      <c r="B14255" s="40" t="n">
        <v>-23.58181</v>
      </c>
      <c r="C14255" s="40" t="n">
        <v>-46.497867</v>
      </c>
      <c r="D14255" s="40" t="n">
        <v>183</v>
      </c>
      <c r="E14255" s="41" t="n">
        <v>5469.2393</v>
      </c>
    </row>
    <row r="14256">
      <c r="A14256" s="42">
        <f>_xlfn.XLOOKUP(82049,Trip[shape_id],Trip[shape_id],"Não encontrado")</f>
        <v/>
      </c>
      <c r="B14256" s="43" t="n">
        <v>-23.581417</v>
      </c>
      <c r="C14256" s="43" t="n">
        <v>-46.498376</v>
      </c>
      <c r="D14256" s="43" t="n">
        <v>184</v>
      </c>
      <c r="E14256" s="44" t="n">
        <v>5537.019</v>
      </c>
    </row>
    <row r="14257">
      <c r="A14257" s="39">
        <f>_xlfn.XLOOKUP(82049,Trip[shape_id],Trip[shape_id],"Não encontrado")</f>
        <v/>
      </c>
      <c r="B14257" s="40" t="n">
        <v>-23.581302</v>
      </c>
      <c r="C14257" s="40" t="n">
        <v>-46.498526</v>
      </c>
      <c r="D14257" s="40" t="n">
        <v>185</v>
      </c>
      <c r="E14257" s="41" t="n">
        <v>5556.9355</v>
      </c>
    </row>
    <row r="14258">
      <c r="A14258" s="42">
        <f>_xlfn.XLOOKUP(82049,Trip[shape_id],Trip[shape_id],"Não encontrado")</f>
        <v/>
      </c>
      <c r="B14258" s="43" t="n">
        <v>-23.581188</v>
      </c>
      <c r="C14258" s="43" t="n">
        <v>-46.49869</v>
      </c>
      <c r="D14258" s="43" t="n">
        <v>186</v>
      </c>
      <c r="E14258" s="44" t="n">
        <v>5577.9038</v>
      </c>
    </row>
    <row r="14259">
      <c r="A14259" s="39">
        <f>_xlfn.XLOOKUP(82049,Trip[shape_id],Trip[shape_id],"Não encontrado")</f>
        <v/>
      </c>
      <c r="B14259" s="40" t="n">
        <v>-23.581124</v>
      </c>
      <c r="C14259" s="40" t="n">
        <v>-46.498782</v>
      </c>
      <c r="D14259" s="40" t="n">
        <v>187</v>
      </c>
      <c r="E14259" s="41" t="n">
        <v>5589.6699</v>
      </c>
    </row>
    <row r="14260">
      <c r="A14260" s="42">
        <f>_xlfn.XLOOKUP(82049,Trip[shape_id],Trip[shape_id],"Não encontrado")</f>
        <v/>
      </c>
      <c r="B14260" s="43" t="n">
        <v>-23.581035</v>
      </c>
      <c r="C14260" s="43" t="n">
        <v>-46.498933</v>
      </c>
      <c r="D14260" s="43" t="n">
        <v>188</v>
      </c>
      <c r="E14260" s="44" t="n">
        <v>5607.9663</v>
      </c>
    </row>
    <row r="14261">
      <c r="A14261" s="39">
        <f>_xlfn.XLOOKUP(82049,Trip[shape_id],Trip[shape_id],"Não encontrado")</f>
        <v/>
      </c>
      <c r="B14261" s="40" t="n">
        <v>-23.580919</v>
      </c>
      <c r="C14261" s="40" t="n">
        <v>-46.499173</v>
      </c>
      <c r="D14261" s="40" t="n">
        <v>189</v>
      </c>
      <c r="E14261" s="41" t="n">
        <v>5635.6294</v>
      </c>
    </row>
    <row r="14262">
      <c r="A14262" s="42">
        <f>_xlfn.XLOOKUP(82049,Trip[shape_id],Trip[shape_id],"Não encontrado")</f>
        <v/>
      </c>
      <c r="B14262" s="43" t="n">
        <v>-23.580838</v>
      </c>
      <c r="C14262" s="43" t="n">
        <v>-46.499345</v>
      </c>
      <c r="D14262" s="43" t="n">
        <v>190</v>
      </c>
      <c r="E14262" s="44" t="n">
        <v>5655.3457</v>
      </c>
    </row>
    <row r="14263">
      <c r="A14263" s="39">
        <f>_xlfn.XLOOKUP(82049,Trip[shape_id],Trip[shape_id],"Não encontrado")</f>
        <v/>
      </c>
      <c r="B14263" s="40" t="n">
        <v>-23.580811</v>
      </c>
      <c r="C14263" s="40" t="n">
        <v>-46.499419</v>
      </c>
      <c r="D14263" s="40" t="n">
        <v>191</v>
      </c>
      <c r="E14263" s="41" t="n">
        <v>5663.4697</v>
      </c>
    </row>
    <row r="14264">
      <c r="A14264" s="42">
        <f>_xlfn.XLOOKUP(82049,Trip[shape_id],Trip[shape_id],"Não encontrado")</f>
        <v/>
      </c>
      <c r="B14264" s="43" t="n">
        <v>-23.580527</v>
      </c>
      <c r="C14264" s="43" t="n">
        <v>-46.500106</v>
      </c>
      <c r="D14264" s="43" t="n">
        <v>192</v>
      </c>
      <c r="E14264" s="44" t="n">
        <v>5740.3286</v>
      </c>
    </row>
    <row r="14265">
      <c r="A14265" s="39">
        <f>_xlfn.XLOOKUP(82049,Trip[shape_id],Trip[shape_id],"Não encontrado")</f>
        <v/>
      </c>
      <c r="B14265" s="40" t="n">
        <v>-23.580376</v>
      </c>
      <c r="C14265" s="40" t="n">
        <v>-46.500467</v>
      </c>
      <c r="D14265" s="40" t="n">
        <v>193</v>
      </c>
      <c r="E14265" s="41" t="n">
        <v>5780.7964</v>
      </c>
    </row>
    <row r="14266">
      <c r="A14266" s="42">
        <f>_xlfn.XLOOKUP(82049,Trip[shape_id],Trip[shape_id],"Não encontrado")</f>
        <v/>
      </c>
      <c r="B14266" s="43" t="n">
        <v>-23.580333</v>
      </c>
      <c r="C14266" s="43" t="n">
        <v>-46.500643</v>
      </c>
      <c r="D14266" s="43" t="n">
        <v>194</v>
      </c>
      <c r="E14266" s="44" t="n">
        <v>5799.3828</v>
      </c>
    </row>
    <row r="14267">
      <c r="A14267" s="39">
        <f>_xlfn.XLOOKUP(82049,Trip[shape_id],Trip[shape_id],"Não encontrado")</f>
        <v/>
      </c>
      <c r="B14267" s="40" t="n">
        <v>-23.580297</v>
      </c>
      <c r="C14267" s="40" t="n">
        <v>-46.500754</v>
      </c>
      <c r="D14267" s="40" t="n">
        <v>195</v>
      </c>
      <c r="E14267" s="41" t="n">
        <v>5811.395</v>
      </c>
    </row>
    <row r="14268">
      <c r="A14268" s="42">
        <f>_xlfn.XLOOKUP(82049,Trip[shape_id],Trip[shape_id],"Não encontrado")</f>
        <v/>
      </c>
      <c r="B14268" s="43" t="n">
        <v>-23.580292</v>
      </c>
      <c r="C14268" s="43" t="n">
        <v>-46.500879</v>
      </c>
      <c r="D14268" s="43" t="n">
        <v>196</v>
      </c>
      <c r="E14268" s="44" t="n">
        <v>5824.1665</v>
      </c>
    </row>
    <row r="14269">
      <c r="A14269" s="39">
        <f>_xlfn.XLOOKUP(82049,Trip[shape_id],Trip[shape_id],"Não encontrado")</f>
        <v/>
      </c>
      <c r="B14269" s="40" t="n">
        <v>-23.580345</v>
      </c>
      <c r="C14269" s="40" t="n">
        <v>-46.501658</v>
      </c>
      <c r="D14269" s="40" t="n">
        <v>197</v>
      </c>
      <c r="E14269" s="41" t="n">
        <v>5903.9023</v>
      </c>
    </row>
    <row r="14270">
      <c r="A14270" s="42">
        <f>_xlfn.XLOOKUP(82049,Trip[shape_id],Trip[shape_id],"Não encontrado")</f>
        <v/>
      </c>
      <c r="B14270" s="43" t="n">
        <v>-23.580342</v>
      </c>
      <c r="C14270" s="43" t="n">
        <v>-46.501758</v>
      </c>
      <c r="D14270" s="43" t="n">
        <v>198</v>
      </c>
      <c r="E14270" s="44" t="n">
        <v>5914.1157</v>
      </c>
    </row>
    <row r="14271">
      <c r="A14271" s="39">
        <f>_xlfn.XLOOKUP(82049,Trip[shape_id],Trip[shape_id],"Não encontrado")</f>
        <v/>
      </c>
      <c r="B14271" s="40" t="n">
        <v>-23.580336</v>
      </c>
      <c r="C14271" s="40" t="n">
        <v>-46.501871</v>
      </c>
      <c r="D14271" s="40" t="n">
        <v>199</v>
      </c>
      <c r="E14271" s="41" t="n">
        <v>5925.6699</v>
      </c>
    </row>
    <row r="14272">
      <c r="A14272" s="42">
        <f>_xlfn.XLOOKUP(82049,Trip[shape_id],Trip[shape_id],"Não encontrado")</f>
        <v/>
      </c>
      <c r="B14272" s="43" t="n">
        <v>-23.580328</v>
      </c>
      <c r="C14272" s="43" t="n">
        <v>-46.501929</v>
      </c>
      <c r="D14272" s="43" t="n">
        <v>200</v>
      </c>
      <c r="E14272" s="44" t="n">
        <v>5931.6563</v>
      </c>
    </row>
    <row r="14273">
      <c r="A14273" s="39">
        <f>_xlfn.XLOOKUP(82049,Trip[shape_id],Trip[shape_id],"Não encontrado")</f>
        <v/>
      </c>
      <c r="B14273" s="40" t="n">
        <v>-23.580298</v>
      </c>
      <c r="C14273" s="40" t="n">
        <v>-46.502002</v>
      </c>
      <c r="D14273" s="40" t="n">
        <v>201</v>
      </c>
      <c r="E14273" s="41" t="n">
        <v>5939.8149</v>
      </c>
    </row>
    <row r="14274">
      <c r="A14274" s="42">
        <f>_xlfn.XLOOKUP(82049,Trip[shape_id],Trip[shape_id],"Não encontrado")</f>
        <v/>
      </c>
      <c r="B14274" s="43" t="n">
        <v>-23.580268</v>
      </c>
      <c r="C14274" s="43" t="n">
        <v>-46.502048</v>
      </c>
      <c r="D14274" s="43" t="n">
        <v>202</v>
      </c>
      <c r="E14274" s="44" t="n">
        <v>5945.5674</v>
      </c>
    </row>
    <row r="14275">
      <c r="A14275" s="39">
        <f>_xlfn.XLOOKUP(82049,Trip[shape_id],Trip[shape_id],"Não encontrado")</f>
        <v/>
      </c>
      <c r="B14275" s="40" t="n">
        <v>-23.580225</v>
      </c>
      <c r="C14275" s="40" t="n">
        <v>-46.502125</v>
      </c>
      <c r="D14275" s="40" t="n">
        <v>203</v>
      </c>
      <c r="E14275" s="41" t="n">
        <v>5954.7573</v>
      </c>
    </row>
    <row r="14276">
      <c r="A14276" s="42">
        <f>_xlfn.XLOOKUP(82049,Trip[shape_id],Trip[shape_id],"Não encontrado")</f>
        <v/>
      </c>
      <c r="B14276" s="43" t="n">
        <v>-23.580154</v>
      </c>
      <c r="C14276" s="43" t="n">
        <v>-46.502185</v>
      </c>
      <c r="D14276" s="43" t="n">
        <v>204</v>
      </c>
      <c r="E14276" s="44" t="n">
        <v>5964.7241</v>
      </c>
    </row>
    <row r="14277">
      <c r="A14277" s="39">
        <f>_xlfn.XLOOKUP(82049,Trip[shape_id],Trip[shape_id],"Não encontrado")</f>
        <v/>
      </c>
      <c r="B14277" s="40" t="n">
        <v>-23.580102</v>
      </c>
      <c r="C14277" s="40" t="n">
        <v>-46.502221</v>
      </c>
      <c r="D14277" s="40" t="n">
        <v>205</v>
      </c>
      <c r="E14277" s="41" t="n">
        <v>5971.5562</v>
      </c>
    </row>
    <row r="14278">
      <c r="A14278" s="42">
        <f>_xlfn.XLOOKUP(82049,Trip[shape_id],Trip[shape_id],"Não encontrado")</f>
        <v/>
      </c>
      <c r="B14278" s="43" t="n">
        <v>-23.580016</v>
      </c>
      <c r="C14278" s="43" t="n">
        <v>-46.502278</v>
      </c>
      <c r="D14278" s="43" t="n">
        <v>206</v>
      </c>
      <c r="E14278" s="44" t="n">
        <v>5982.7173</v>
      </c>
    </row>
    <row r="14279">
      <c r="A14279" s="39">
        <f>_xlfn.XLOOKUP(82049,Trip[shape_id],Trip[shape_id],"Não encontrado")</f>
        <v/>
      </c>
      <c r="B14279" s="40" t="n">
        <v>-23.579905</v>
      </c>
      <c r="C14279" s="40" t="n">
        <v>-46.50233</v>
      </c>
      <c r="D14279" s="40" t="n">
        <v>207</v>
      </c>
      <c r="E14279" s="41" t="n">
        <v>5996.1079</v>
      </c>
    </row>
    <row r="14280">
      <c r="A14280" s="42">
        <f>_xlfn.XLOOKUP(82049,Trip[shape_id],Trip[shape_id],"Não encontrado")</f>
        <v/>
      </c>
      <c r="B14280" s="43" t="n">
        <v>-23.579207</v>
      </c>
      <c r="C14280" s="43" t="n">
        <v>-46.502676</v>
      </c>
      <c r="D14280" s="43" t="n">
        <v>208</v>
      </c>
      <c r="E14280" s="44" t="n">
        <v>6081.0991</v>
      </c>
    </row>
    <row r="14281">
      <c r="A14281" s="39">
        <f>_xlfn.XLOOKUP(82049,Trip[shape_id],Trip[shape_id],"Não encontrado")</f>
        <v/>
      </c>
      <c r="B14281" s="40" t="n">
        <v>-23.578522</v>
      </c>
      <c r="C14281" s="40" t="n">
        <v>-46.502995</v>
      </c>
      <c r="D14281" s="40" t="n">
        <v>209</v>
      </c>
      <c r="E14281" s="41" t="n">
        <v>6163.6577</v>
      </c>
    </row>
    <row r="14282">
      <c r="A14282" s="42">
        <f>_xlfn.XLOOKUP(82049,Trip[shape_id],Trip[shape_id],"Não encontrado")</f>
        <v/>
      </c>
      <c r="B14282" s="43" t="n">
        <v>-23.578445</v>
      </c>
      <c r="C14282" s="43" t="n">
        <v>-46.503026</v>
      </c>
      <c r="D14282" s="43" t="n">
        <v>210</v>
      </c>
      <c r="E14282" s="44" t="n">
        <v>6172.7544</v>
      </c>
    </row>
    <row r="14283">
      <c r="A14283" s="39">
        <f>_xlfn.XLOOKUP(82049,Trip[shape_id],Trip[shape_id],"Não encontrado")</f>
        <v/>
      </c>
      <c r="B14283" s="40" t="n">
        <v>-23.578362</v>
      </c>
      <c r="C14283" s="40" t="n">
        <v>-46.503068</v>
      </c>
      <c r="D14283" s="40" t="n">
        <v>211</v>
      </c>
      <c r="E14283" s="41" t="n">
        <v>6182.897</v>
      </c>
    </row>
    <row r="14284">
      <c r="A14284" s="42">
        <f>_xlfn.XLOOKUP(82049,Trip[shape_id],Trip[shape_id],"Não encontrado")</f>
        <v/>
      </c>
      <c r="B14284" s="43" t="n">
        <v>-23.578315</v>
      </c>
      <c r="C14284" s="43" t="n">
        <v>-46.503101</v>
      </c>
      <c r="D14284" s="43" t="n">
        <v>212</v>
      </c>
      <c r="E14284" s="44" t="n">
        <v>6189.0967</v>
      </c>
    </row>
    <row r="14285">
      <c r="A14285" s="39">
        <f>_xlfn.XLOOKUP(82049,Trip[shape_id],Trip[shape_id],"Não encontrado")</f>
        <v/>
      </c>
      <c r="B14285" s="40" t="n">
        <v>-23.57827</v>
      </c>
      <c r="C14285" s="40" t="n">
        <v>-46.503113</v>
      </c>
      <c r="D14285" s="40" t="n">
        <v>213</v>
      </c>
      <c r="E14285" s="41" t="n">
        <v>6194.2295</v>
      </c>
    </row>
    <row r="14286">
      <c r="A14286" s="42">
        <f>_xlfn.XLOOKUP(82049,Trip[shape_id],Trip[shape_id],"Não encontrado")</f>
        <v/>
      </c>
      <c r="B14286" s="43" t="n">
        <v>-23.577684</v>
      </c>
      <c r="C14286" s="43" t="n">
        <v>-46.503394</v>
      </c>
      <c r="D14286" s="43" t="n">
        <v>214</v>
      </c>
      <c r="E14286" s="44" t="n">
        <v>6265.1865</v>
      </c>
    </row>
    <row r="14287">
      <c r="A14287" s="39">
        <f>_xlfn.XLOOKUP(82049,Trip[shape_id],Trip[shape_id],"Não encontrado")</f>
        <v/>
      </c>
      <c r="B14287" s="40" t="n">
        <v>-23.578041</v>
      </c>
      <c r="C14287" s="40" t="n">
        <v>-46.504238</v>
      </c>
      <c r="D14287" s="40" t="n">
        <v>215</v>
      </c>
      <c r="E14287" s="41" t="n">
        <v>6359.9819</v>
      </c>
    </row>
    <row r="14288">
      <c r="A14288" s="42">
        <f>_xlfn.XLOOKUP(82049,Trip[shape_id],Trip[shape_id],"Não encontrado")</f>
        <v/>
      </c>
      <c r="B14288" s="43" t="n">
        <v>-23.578484</v>
      </c>
      <c r="C14288" s="43" t="n">
        <v>-46.505295</v>
      </c>
      <c r="D14288" s="43" t="n">
        <v>216</v>
      </c>
      <c r="E14288" s="44" t="n">
        <v>6478.5122</v>
      </c>
    </row>
    <row r="14289">
      <c r="A14289" s="39">
        <f>_xlfn.XLOOKUP(82049,Trip[shape_id],Trip[shape_id],"Não encontrado")</f>
        <v/>
      </c>
      <c r="B14289" s="40" t="n">
        <v>-23.578929</v>
      </c>
      <c r="C14289" s="40" t="n">
        <v>-46.506344</v>
      </c>
      <c r="D14289" s="40" t="n">
        <v>217</v>
      </c>
      <c r="E14289" s="41" t="n">
        <v>6596.3916</v>
      </c>
    </row>
    <row r="14290">
      <c r="A14290" s="42">
        <f>_xlfn.XLOOKUP(82049,Trip[shape_id],Trip[shape_id],"Não encontrado")</f>
        <v/>
      </c>
      <c r="B14290" s="43" t="n">
        <v>-23.579151</v>
      </c>
      <c r="C14290" s="43" t="n">
        <v>-46.50687</v>
      </c>
      <c r="D14290" s="43" t="n">
        <v>218</v>
      </c>
      <c r="E14290" s="44" t="n">
        <v>6655.4473</v>
      </c>
    </row>
    <row r="14291">
      <c r="A14291" s="39">
        <f>_xlfn.XLOOKUP(82049,Trip[shape_id],Trip[shape_id],"Não encontrado")</f>
        <v/>
      </c>
      <c r="B14291" s="40" t="n">
        <v>-23.579276</v>
      </c>
      <c r="C14291" s="40" t="n">
        <v>-46.507175</v>
      </c>
      <c r="D14291" s="40" t="n">
        <v>219</v>
      </c>
      <c r="E14291" s="41" t="n">
        <v>6689.5205</v>
      </c>
    </row>
    <row r="14292">
      <c r="A14292" s="42">
        <f>_xlfn.XLOOKUP(82049,Trip[shape_id],Trip[shape_id],"Não encontrado")</f>
        <v/>
      </c>
      <c r="B14292" s="43" t="n">
        <v>-23.579936</v>
      </c>
      <c r="C14292" s="43" t="n">
        <v>-46.508753</v>
      </c>
      <c r="D14292" s="43" t="n">
        <v>220</v>
      </c>
      <c r="E14292" s="44" t="n">
        <v>6866.4111</v>
      </c>
    </row>
    <row r="14293">
      <c r="A14293" s="39">
        <f>_xlfn.XLOOKUP(82049,Trip[shape_id],Trip[shape_id],"Não encontrado")</f>
        <v/>
      </c>
      <c r="B14293" s="40" t="n">
        <v>-23.580038</v>
      </c>
      <c r="C14293" s="40" t="n">
        <v>-46.50901</v>
      </c>
      <c r="D14293" s="40" t="n">
        <v>221</v>
      </c>
      <c r="E14293" s="41" t="n">
        <v>6894.9741</v>
      </c>
    </row>
    <row r="14294">
      <c r="A14294" s="42">
        <f>_xlfn.XLOOKUP(82049,Trip[shape_id],Trip[shape_id],"Não encontrado")</f>
        <v/>
      </c>
      <c r="B14294" s="43" t="n">
        <v>-23.580136</v>
      </c>
      <c r="C14294" s="43" t="n">
        <v>-46.509284</v>
      </c>
      <c r="D14294" s="43" t="n">
        <v>222</v>
      </c>
      <c r="E14294" s="44" t="n">
        <v>6924.9761</v>
      </c>
    </row>
    <row r="14295">
      <c r="A14295" s="39">
        <f>_xlfn.XLOOKUP(82049,Trip[shape_id],Trip[shape_id],"Não encontrado")</f>
        <v/>
      </c>
      <c r="B14295" s="40" t="n">
        <v>-23.580122</v>
      </c>
      <c r="C14295" s="40" t="n">
        <v>-46.509343</v>
      </c>
      <c r="D14295" s="40" t="n">
        <v>223</v>
      </c>
      <c r="E14295" s="41" t="n">
        <v>6931.1958</v>
      </c>
    </row>
    <row r="14296">
      <c r="A14296" s="42">
        <f>_xlfn.XLOOKUP(82049,Trip[shape_id],Trip[shape_id],"Não encontrado")</f>
        <v/>
      </c>
      <c r="B14296" s="43" t="n">
        <v>-23.580113</v>
      </c>
      <c r="C14296" s="43" t="n">
        <v>-46.509476</v>
      </c>
      <c r="D14296" s="43" t="n">
        <v>224</v>
      </c>
      <c r="E14296" s="44" t="n">
        <v>6944.8086</v>
      </c>
    </row>
    <row r="14297">
      <c r="A14297" s="39">
        <f>_xlfn.XLOOKUP(82049,Trip[shape_id],Trip[shape_id],"Não encontrado")</f>
        <v/>
      </c>
      <c r="B14297" s="40" t="n">
        <v>-23.580006</v>
      </c>
      <c r="C14297" s="40" t="n">
        <v>-46.509809</v>
      </c>
      <c r="D14297" s="40" t="n">
        <v>225</v>
      </c>
      <c r="E14297" s="41" t="n">
        <v>6980.8076</v>
      </c>
    </row>
    <row r="14298">
      <c r="A14298" s="42">
        <f>_xlfn.XLOOKUP(82049,Trip[shape_id],Trip[shape_id],"Não encontrado")</f>
        <v/>
      </c>
      <c r="B14298" s="43" t="n">
        <v>-23.579803</v>
      </c>
      <c r="C14298" s="43" t="n">
        <v>-46.510391</v>
      </c>
      <c r="D14298" s="43" t="n">
        <v>226</v>
      </c>
      <c r="E14298" s="44" t="n">
        <v>7044.3296</v>
      </c>
    </row>
    <row r="14299">
      <c r="A14299" s="39">
        <f>_xlfn.XLOOKUP(82049,Trip[shape_id],Trip[shape_id],"Não encontrado")</f>
        <v/>
      </c>
      <c r="B14299" s="40" t="n">
        <v>-23.579767</v>
      </c>
      <c r="C14299" s="40" t="n">
        <v>-46.510452</v>
      </c>
      <c r="D14299" s="40" t="n">
        <v>227</v>
      </c>
      <c r="E14299" s="41" t="n">
        <v>7051.7231</v>
      </c>
    </row>
    <row r="14300">
      <c r="A14300" s="42">
        <f>_xlfn.XLOOKUP(82049,Trip[shape_id],Trip[shape_id],"Não encontrado")</f>
        <v/>
      </c>
      <c r="B14300" s="43" t="n">
        <v>-23.579741</v>
      </c>
      <c r="C14300" s="43" t="n">
        <v>-46.510528</v>
      </c>
      <c r="D14300" s="43" t="n">
        <v>228</v>
      </c>
      <c r="E14300" s="44" t="n">
        <v>7059.998</v>
      </c>
    </row>
    <row r="14301">
      <c r="A14301" s="39">
        <f>_xlfn.XLOOKUP(82049,Trip[shape_id],Trip[shape_id],"Não encontrado")</f>
        <v/>
      </c>
      <c r="B14301" s="40" t="n">
        <v>-23.579583</v>
      </c>
      <c r="C14301" s="40" t="n">
        <v>-46.511022</v>
      </c>
      <c r="D14301" s="40" t="n">
        <v>229</v>
      </c>
      <c r="E14301" s="41" t="n">
        <v>7113.3755</v>
      </c>
    </row>
    <row r="14302">
      <c r="A14302" s="42">
        <f>_xlfn.XLOOKUP(82049,Trip[shape_id],Trip[shape_id],"Não encontrado")</f>
        <v/>
      </c>
      <c r="B14302" s="43" t="n">
        <v>-23.579502</v>
      </c>
      <c r="C14302" s="43" t="n">
        <v>-46.51132</v>
      </c>
      <c r="D14302" s="43" t="n">
        <v>230</v>
      </c>
      <c r="E14302" s="44" t="n">
        <v>7145.0903</v>
      </c>
    </row>
    <row r="14303">
      <c r="A14303" s="39">
        <f>_xlfn.XLOOKUP(82049,Trip[shape_id],Trip[shape_id],"Não encontrado")</f>
        <v/>
      </c>
      <c r="B14303" s="40" t="n">
        <v>-23.579448</v>
      </c>
      <c r="C14303" s="40" t="n">
        <v>-46.511549</v>
      </c>
      <c r="D14303" s="40" t="n">
        <v>231</v>
      </c>
      <c r="E14303" s="41" t="n">
        <v>7169.2197</v>
      </c>
    </row>
    <row r="14304">
      <c r="A14304" s="42">
        <f>_xlfn.XLOOKUP(82049,Trip[shape_id],Trip[shape_id],"Não encontrado")</f>
        <v/>
      </c>
      <c r="B14304" s="43" t="n">
        <v>-23.579412</v>
      </c>
      <c r="C14304" s="43" t="n">
        <v>-46.511795</v>
      </c>
      <c r="D14304" s="43" t="n">
        <v>232</v>
      </c>
      <c r="E14304" s="44" t="n">
        <v>7194.646</v>
      </c>
    </row>
    <row r="14305">
      <c r="A14305" s="39">
        <f>_xlfn.XLOOKUP(82049,Trip[shape_id],Trip[shape_id],"Não encontrado")</f>
        <v/>
      </c>
      <c r="B14305" s="40" t="n">
        <v>-23.579401</v>
      </c>
      <c r="C14305" s="40" t="n">
        <v>-46.511994</v>
      </c>
      <c r="D14305" s="40" t="n">
        <v>233</v>
      </c>
      <c r="E14305" s="41" t="n">
        <v>7214.9961</v>
      </c>
    </row>
    <row r="14306">
      <c r="A14306" s="42">
        <f>_xlfn.XLOOKUP(82049,Trip[shape_id],Trip[shape_id],"Não encontrado")</f>
        <v/>
      </c>
      <c r="B14306" s="43" t="n">
        <v>-23.579396</v>
      </c>
      <c r="C14306" s="43" t="n">
        <v>-46.512053</v>
      </c>
      <c r="D14306" s="43" t="n">
        <v>234</v>
      </c>
      <c r="E14306" s="44" t="n">
        <v>7221.0444</v>
      </c>
    </row>
    <row r="14307">
      <c r="A14307" s="39">
        <f>_xlfn.XLOOKUP(82049,Trip[shape_id],Trip[shape_id],"Não encontrado")</f>
        <v/>
      </c>
      <c r="B14307" s="40" t="n">
        <v>-23.579391</v>
      </c>
      <c r="C14307" s="40" t="n">
        <v>-46.512189</v>
      </c>
      <c r="D14307" s="40" t="n">
        <v>235</v>
      </c>
      <c r="E14307" s="41" t="n">
        <v>7234.938</v>
      </c>
    </row>
    <row r="14308">
      <c r="A14308" s="42">
        <f>_xlfn.XLOOKUP(82049,Trip[shape_id],Trip[shape_id],"Não encontrado")</f>
        <v/>
      </c>
      <c r="B14308" s="43" t="n">
        <v>-23.579384</v>
      </c>
      <c r="C14308" s="43" t="n">
        <v>-46.512359</v>
      </c>
      <c r="D14308" s="43" t="n">
        <v>236</v>
      </c>
      <c r="E14308" s="44" t="n">
        <v>7252.3091</v>
      </c>
    </row>
    <row r="14309">
      <c r="A14309" s="39">
        <f>_xlfn.XLOOKUP(82049,Trip[shape_id],Trip[shape_id],"Não encontrado")</f>
        <v/>
      </c>
      <c r="B14309" s="40" t="n">
        <v>-23.579364</v>
      </c>
      <c r="C14309" s="40" t="n">
        <v>-46.512435</v>
      </c>
      <c r="D14309" s="40" t="n">
        <v>237</v>
      </c>
      <c r="E14309" s="41" t="n">
        <v>7260.3774</v>
      </c>
    </row>
    <row r="14310">
      <c r="A14310" s="42">
        <f>_xlfn.XLOOKUP(82049,Trip[shape_id],Trip[shape_id],"Não encontrado")</f>
        <v/>
      </c>
      <c r="B14310" s="43" t="n">
        <v>-23.579312</v>
      </c>
      <c r="C14310" s="43" t="n">
        <v>-46.512561</v>
      </c>
      <c r="D14310" s="43" t="n">
        <v>238</v>
      </c>
      <c r="E14310" s="44" t="n">
        <v>7274.4702</v>
      </c>
    </row>
    <row r="14311">
      <c r="A14311" s="39">
        <f>_xlfn.XLOOKUP(82049,Trip[shape_id],Trip[shape_id],"Não encontrado")</f>
        <v/>
      </c>
      <c r="B14311" s="40" t="n">
        <v>-23.579225</v>
      </c>
      <c r="C14311" s="40" t="n">
        <v>-46.512679</v>
      </c>
      <c r="D14311" s="40" t="n">
        <v>239</v>
      </c>
      <c r="E14311" s="41" t="n">
        <v>7289.895</v>
      </c>
    </row>
    <row r="14312">
      <c r="A14312" s="42">
        <f>_xlfn.XLOOKUP(82049,Trip[shape_id],Trip[shape_id],"Não encontrado")</f>
        <v/>
      </c>
      <c r="B14312" s="43" t="n">
        <v>-23.578958</v>
      </c>
      <c r="C14312" s="43" t="n">
        <v>-46.513029</v>
      </c>
      <c r="D14312" s="43" t="n">
        <v>240</v>
      </c>
      <c r="E14312" s="44" t="n">
        <v>7336.2729</v>
      </c>
    </row>
    <row r="14313">
      <c r="A14313" s="39">
        <f>_xlfn.XLOOKUP(82049,Trip[shape_id],Trip[shape_id],"Não encontrado")</f>
        <v/>
      </c>
      <c r="B14313" s="40" t="n">
        <v>-23.578882</v>
      </c>
      <c r="C14313" s="40" t="n">
        <v>-46.513133</v>
      </c>
      <c r="D14313" s="40" t="n">
        <v>241</v>
      </c>
      <c r="E14313" s="41" t="n">
        <v>7349.8213</v>
      </c>
    </row>
    <row r="14314">
      <c r="A14314" s="42">
        <f>_xlfn.XLOOKUP(82049,Trip[shape_id],Trip[shape_id],"Não encontrado")</f>
        <v/>
      </c>
      <c r="B14314" s="43" t="n">
        <v>-23.578743</v>
      </c>
      <c r="C14314" s="43" t="n">
        <v>-46.513295</v>
      </c>
      <c r="D14314" s="43" t="n">
        <v>242</v>
      </c>
      <c r="E14314" s="44" t="n">
        <v>7372.4146</v>
      </c>
    </row>
    <row r="14315">
      <c r="A14315" s="39">
        <f>_xlfn.XLOOKUP(82049,Trip[shape_id],Trip[shape_id],"Não encontrado")</f>
        <v/>
      </c>
      <c r="B14315" s="40" t="n">
        <v>-23.578607</v>
      </c>
      <c r="C14315" s="40" t="n">
        <v>-46.513484</v>
      </c>
      <c r="D14315" s="40" t="n">
        <v>243</v>
      </c>
      <c r="E14315" s="41" t="n">
        <v>7396.8911</v>
      </c>
    </row>
    <row r="14316">
      <c r="A14316" s="42">
        <f>_xlfn.XLOOKUP(82049,Trip[shape_id],Trip[shape_id],"Não encontrado")</f>
        <v/>
      </c>
      <c r="B14316" s="43" t="n">
        <v>-23.578478</v>
      </c>
      <c r="C14316" s="43" t="n">
        <v>-46.513653</v>
      </c>
      <c r="D14316" s="43" t="n">
        <v>244</v>
      </c>
      <c r="E14316" s="44" t="n">
        <v>7419.2905</v>
      </c>
    </row>
    <row r="14317">
      <c r="A14317" s="39">
        <f>_xlfn.XLOOKUP(82049,Trip[shape_id],Trip[shape_id],"Não encontrado")</f>
        <v/>
      </c>
      <c r="B14317" s="40" t="n">
        <v>-23.578205</v>
      </c>
      <c r="C14317" s="40" t="n">
        <v>-46.514024</v>
      </c>
      <c r="D14317" s="40" t="n">
        <v>245</v>
      </c>
      <c r="E14317" s="41" t="n">
        <v>7467.7515</v>
      </c>
    </row>
    <row r="14318">
      <c r="A14318" s="42">
        <f>_xlfn.XLOOKUP(82049,Trip[shape_id],Trip[shape_id],"Não encontrado")</f>
        <v/>
      </c>
      <c r="B14318" s="43" t="n">
        <v>-23.578035</v>
      </c>
      <c r="C14318" s="43" t="n">
        <v>-46.514222</v>
      </c>
      <c r="D14318" s="43" t="n">
        <v>246</v>
      </c>
      <c r="E14318" s="44" t="n">
        <v>7495.374</v>
      </c>
    </row>
    <row r="14319">
      <c r="A14319" s="39">
        <f>_xlfn.XLOOKUP(82049,Trip[shape_id],Trip[shape_id],"Não encontrado")</f>
        <v/>
      </c>
      <c r="B14319" s="40" t="n">
        <v>-23.577821</v>
      </c>
      <c r="C14319" s="40" t="n">
        <v>-46.514442</v>
      </c>
      <c r="D14319" s="40" t="n">
        <v>247</v>
      </c>
      <c r="E14319" s="41" t="n">
        <v>7528.0249</v>
      </c>
    </row>
    <row r="14320">
      <c r="A14320" s="42">
        <f>_xlfn.XLOOKUP(82049,Trip[shape_id],Trip[shape_id],"Não encontrado")</f>
        <v/>
      </c>
      <c r="B14320" s="43" t="n">
        <v>-23.577419</v>
      </c>
      <c r="C14320" s="43" t="n">
        <v>-46.51489</v>
      </c>
      <c r="D14320" s="43" t="n">
        <v>248</v>
      </c>
      <c r="E14320" s="44" t="n">
        <v>7591.8506</v>
      </c>
    </row>
    <row r="14321">
      <c r="A14321" s="39">
        <f>_xlfn.XLOOKUP(82049,Trip[shape_id],Trip[shape_id],"Não encontrado")</f>
        <v/>
      </c>
      <c r="B14321" s="40" t="n">
        <v>-23.577326</v>
      </c>
      <c r="C14321" s="40" t="n">
        <v>-46.515013</v>
      </c>
      <c r="D14321" s="40" t="n">
        <v>249</v>
      </c>
      <c r="E14321" s="41" t="n">
        <v>7608.0908</v>
      </c>
    </row>
    <row r="14322">
      <c r="A14322" s="42">
        <f>_xlfn.XLOOKUP(82049,Trip[shape_id],Trip[shape_id],"Não encontrado")</f>
        <v/>
      </c>
      <c r="B14322" s="43" t="n">
        <v>-23.577286</v>
      </c>
      <c r="C14322" s="43" t="n">
        <v>-46.515079</v>
      </c>
      <c r="D14322" s="43" t="n">
        <v>250</v>
      </c>
      <c r="E14322" s="44" t="n">
        <v>7616.1543</v>
      </c>
    </row>
    <row r="14323">
      <c r="A14323" s="39">
        <f>_xlfn.XLOOKUP(82049,Trip[shape_id],Trip[shape_id],"Não encontrado")</f>
        <v/>
      </c>
      <c r="B14323" s="40" t="n">
        <v>-23.577224</v>
      </c>
      <c r="C14323" s="40" t="n">
        <v>-46.515207</v>
      </c>
      <c r="D14323" s="40" t="n">
        <v>251</v>
      </c>
      <c r="E14323" s="41" t="n">
        <v>7630.915</v>
      </c>
    </row>
    <row r="14324">
      <c r="A14324" s="42">
        <f>_xlfn.XLOOKUP(82049,Trip[shape_id],Trip[shape_id],"Não encontrado")</f>
        <v/>
      </c>
      <c r="B14324" s="43" t="n">
        <v>-23.577171</v>
      </c>
      <c r="C14324" s="43" t="n">
        <v>-46.515342</v>
      </c>
      <c r="D14324" s="43" t="n">
        <v>252</v>
      </c>
      <c r="E14324" s="44" t="n">
        <v>7645.8936</v>
      </c>
    </row>
    <row r="14325">
      <c r="A14325" s="39">
        <f>_xlfn.XLOOKUP(82049,Trip[shape_id],Trip[shape_id],"Não encontrado")</f>
        <v/>
      </c>
      <c r="B14325" s="40" t="n">
        <v>-23.577114</v>
      </c>
      <c r="C14325" s="40" t="n">
        <v>-46.515578</v>
      </c>
      <c r="D14325" s="40" t="n">
        <v>253</v>
      </c>
      <c r="E14325" s="41" t="n">
        <v>7670.7983</v>
      </c>
    </row>
    <row r="14326">
      <c r="A14326" s="42">
        <f>_xlfn.XLOOKUP(82049,Trip[shape_id],Trip[shape_id],"Não encontrado")</f>
        <v/>
      </c>
      <c r="B14326" s="43" t="n">
        <v>-23.576993</v>
      </c>
      <c r="C14326" s="43" t="n">
        <v>-46.516075</v>
      </c>
      <c r="D14326" s="43" t="n">
        <v>254</v>
      </c>
      <c r="E14326" s="44" t="n">
        <v>7723.2729</v>
      </c>
    </row>
    <row r="14327">
      <c r="A14327" s="39">
        <f>_xlfn.XLOOKUP(82049,Trip[shape_id],Trip[shape_id],"Não encontrado")</f>
        <v/>
      </c>
      <c r="B14327" s="40" t="n">
        <v>-23.57691</v>
      </c>
      <c r="C14327" s="40" t="n">
        <v>-46.516367</v>
      </c>
      <c r="D14327" s="40" t="n">
        <v>255</v>
      </c>
      <c r="E14327" s="41" t="n">
        <v>7754.4658</v>
      </c>
    </row>
    <row r="14328">
      <c r="A14328" s="42">
        <f>_xlfn.XLOOKUP(82049,Trip[shape_id],Trip[shape_id],"Não encontrado")</f>
        <v/>
      </c>
      <c r="B14328" s="43" t="n">
        <v>-23.576857</v>
      </c>
      <c r="C14328" s="43" t="n">
        <v>-46.516519</v>
      </c>
      <c r="D14328" s="43" t="n">
        <v>256</v>
      </c>
      <c r="E14328" s="44" t="n">
        <v>7771.0557</v>
      </c>
    </row>
    <row r="14329">
      <c r="A14329" s="39">
        <f>_xlfn.XLOOKUP(82049,Trip[shape_id],Trip[shape_id],"Não encontrado")</f>
        <v/>
      </c>
      <c r="B14329" s="40" t="n">
        <v>-23.576722</v>
      </c>
      <c r="C14329" s="40" t="n">
        <v>-46.516808</v>
      </c>
      <c r="D14329" s="40" t="n">
        <v>257</v>
      </c>
      <c r="E14329" s="41" t="n">
        <v>7804.1299</v>
      </c>
    </row>
    <row r="14330">
      <c r="A14330" s="42">
        <f>_xlfn.XLOOKUP(82049,Trip[shape_id],Trip[shape_id],"Não encontrado")</f>
        <v/>
      </c>
      <c r="B14330" s="43" t="n">
        <v>-23.576712</v>
      </c>
      <c r="C14330" s="43" t="n">
        <v>-46.516838</v>
      </c>
      <c r="D14330" s="43" t="n">
        <v>258</v>
      </c>
      <c r="E14330" s="44" t="n">
        <v>7807.3853</v>
      </c>
    </row>
    <row r="14331">
      <c r="A14331" s="39">
        <f>_xlfn.XLOOKUP(82049,Trip[shape_id],Trip[shape_id],"Não encontrado")</f>
        <v/>
      </c>
      <c r="B14331" s="40" t="n">
        <v>-23.576669</v>
      </c>
      <c r="C14331" s="40" t="n">
        <v>-46.516965</v>
      </c>
      <c r="D14331" s="40" t="n">
        <v>259</v>
      </c>
      <c r="E14331" s="41" t="n">
        <v>7821.1968</v>
      </c>
    </row>
    <row r="14332">
      <c r="A14332" s="42">
        <f>_xlfn.XLOOKUP(82049,Trip[shape_id],Trip[shape_id],"Não encontrado")</f>
        <v/>
      </c>
      <c r="B14332" s="43" t="n">
        <v>-23.57658</v>
      </c>
      <c r="C14332" s="43" t="n">
        <v>-46.517218</v>
      </c>
      <c r="D14332" s="43" t="n">
        <v>260</v>
      </c>
      <c r="E14332" s="44" t="n">
        <v>7848.8403</v>
      </c>
    </row>
    <row r="14333">
      <c r="A14333" s="39">
        <f>_xlfn.XLOOKUP(82049,Trip[shape_id],Trip[shape_id],"Não encontrado")</f>
        <v/>
      </c>
      <c r="B14333" s="40" t="n">
        <v>-23.576477</v>
      </c>
      <c r="C14333" s="40" t="n">
        <v>-46.517553</v>
      </c>
      <c r="D14333" s="40" t="n">
        <v>261</v>
      </c>
      <c r="E14333" s="41" t="n">
        <v>7884.8901</v>
      </c>
    </row>
    <row r="14334">
      <c r="A14334" s="42">
        <f>_xlfn.XLOOKUP(82049,Trip[shape_id],Trip[shape_id],"Não encontrado")</f>
        <v/>
      </c>
      <c r="B14334" s="43" t="n">
        <v>-23.576408</v>
      </c>
      <c r="C14334" s="43" t="n">
        <v>-46.517821</v>
      </c>
      <c r="D14334" s="43" t="n">
        <v>262</v>
      </c>
      <c r="E14334" s="44" t="n">
        <v>7913.2954</v>
      </c>
    </row>
    <row r="14335">
      <c r="A14335" s="39">
        <f>_xlfn.XLOOKUP(82049,Trip[shape_id],Trip[shape_id],"Não encontrado")</f>
        <v/>
      </c>
      <c r="B14335" s="40" t="n">
        <v>-23.576328</v>
      </c>
      <c r="C14335" s="40" t="n">
        <v>-46.518175</v>
      </c>
      <c r="D14335" s="40" t="n">
        <v>263</v>
      </c>
      <c r="E14335" s="41" t="n">
        <v>7950.5029</v>
      </c>
    </row>
    <row r="14336">
      <c r="A14336" s="42">
        <f>_xlfn.XLOOKUP(82049,Trip[shape_id],Trip[shape_id],"Não encontrado")</f>
        <v/>
      </c>
      <c r="B14336" s="43" t="n">
        <v>-23.576291</v>
      </c>
      <c r="C14336" s="43" t="n">
        <v>-46.518395</v>
      </c>
      <c r="D14336" s="43" t="n">
        <v>264</v>
      </c>
      <c r="E14336" s="44" t="n">
        <v>7973.332</v>
      </c>
    </row>
    <row r="14337">
      <c r="A14337" s="39">
        <f>_xlfn.XLOOKUP(82049,Trip[shape_id],Trip[shape_id],"Não encontrado")</f>
        <v/>
      </c>
      <c r="B14337" s="40" t="n">
        <v>-23.576262</v>
      </c>
      <c r="C14337" s="40" t="n">
        <v>-46.518585</v>
      </c>
      <c r="D14337" s="40" t="n">
        <v>265</v>
      </c>
      <c r="E14337" s="41" t="n">
        <v>7992.9922</v>
      </c>
    </row>
    <row r="14338">
      <c r="A14338" s="42">
        <f>_xlfn.XLOOKUP(82049,Trip[shape_id],Trip[shape_id],"Não encontrado")</f>
        <v/>
      </c>
      <c r="B14338" s="43" t="n">
        <v>-23.576234</v>
      </c>
      <c r="C14338" s="43" t="n">
        <v>-46.518789</v>
      </c>
      <c r="D14338" s="43" t="n">
        <v>266</v>
      </c>
      <c r="E14338" s="44" t="n">
        <v>8014.0464</v>
      </c>
    </row>
    <row r="14339">
      <c r="A14339" s="39">
        <f>_xlfn.XLOOKUP(82049,Trip[shape_id],Trip[shape_id],"Não encontrado")</f>
        <v/>
      </c>
      <c r="B14339" s="40" t="n">
        <v>-23.576231</v>
      </c>
      <c r="C14339" s="40" t="n">
        <v>-46.518855</v>
      </c>
      <c r="D14339" s="40" t="n">
        <v>267</v>
      </c>
      <c r="E14339" s="41" t="n">
        <v>8020.7925</v>
      </c>
    </row>
    <row r="14340">
      <c r="A14340" s="42">
        <f>_xlfn.XLOOKUP(82049,Trip[shape_id],Trip[shape_id],"Não encontrado")</f>
        <v/>
      </c>
      <c r="B14340" s="43" t="n">
        <v>-23.576194</v>
      </c>
      <c r="C14340" s="43" t="n">
        <v>-46.519184</v>
      </c>
      <c r="D14340" s="43" t="n">
        <v>268</v>
      </c>
      <c r="E14340" s="44" t="n">
        <v>8054.6265</v>
      </c>
    </row>
    <row r="14341">
      <c r="A14341" s="39">
        <f>_xlfn.XLOOKUP(82049,Trip[shape_id],Trip[shape_id],"Não encontrado")</f>
        <v/>
      </c>
      <c r="B14341" s="40" t="n">
        <v>-23.576183</v>
      </c>
      <c r="C14341" s="40" t="n">
        <v>-46.519348</v>
      </c>
      <c r="D14341" s="40" t="n">
        <v>269</v>
      </c>
      <c r="E14341" s="41" t="n">
        <v>8071.4121</v>
      </c>
    </row>
    <row r="14342">
      <c r="A14342" s="42">
        <f>_xlfn.XLOOKUP(82049,Trip[shape_id],Trip[shape_id],"Não encontrado")</f>
        <v/>
      </c>
      <c r="B14342" s="43" t="n">
        <v>-23.576163</v>
      </c>
      <c r="C14342" s="43" t="n">
        <v>-46.519597</v>
      </c>
      <c r="D14342" s="43" t="n">
        <v>270</v>
      </c>
      <c r="E14342" s="44" t="n">
        <v>8096.9272</v>
      </c>
    </row>
    <row r="14343">
      <c r="A14343" s="39">
        <f>_xlfn.XLOOKUP(82049,Trip[shape_id],Trip[shape_id],"Não encontrado")</f>
        <v/>
      </c>
      <c r="B14343" s="40" t="n">
        <v>-23.576162</v>
      </c>
      <c r="C14343" s="40" t="n">
        <v>-46.519626</v>
      </c>
      <c r="D14343" s="40" t="n">
        <v>271</v>
      </c>
      <c r="E14343" s="41" t="n">
        <v>8099.8901</v>
      </c>
    </row>
    <row r="14344">
      <c r="A14344" s="42">
        <f>_xlfn.XLOOKUP(82049,Trip[shape_id],Trip[shape_id],"Não encontrado")</f>
        <v/>
      </c>
      <c r="B14344" s="43" t="n">
        <v>-23.576138</v>
      </c>
      <c r="C14344" s="43" t="n">
        <v>-46.519843</v>
      </c>
      <c r="D14344" s="43" t="n">
        <v>272</v>
      </c>
      <c r="E14344" s="44" t="n">
        <v>8122.2007</v>
      </c>
    </row>
    <row r="14345">
      <c r="A14345" s="39">
        <f>_xlfn.XLOOKUP(82049,Trip[shape_id],Trip[shape_id],"Não encontrado")</f>
        <v/>
      </c>
      <c r="B14345" s="40" t="n">
        <v>-23.576138</v>
      </c>
      <c r="C14345" s="40" t="n">
        <v>-46.519913</v>
      </c>
      <c r="D14345" s="40" t="n">
        <v>273</v>
      </c>
      <c r="E14345" s="41" t="n">
        <v>8129.3457</v>
      </c>
    </row>
    <row r="14346">
      <c r="A14346" s="42">
        <f>_xlfn.XLOOKUP(82049,Trip[shape_id],Trip[shape_id],"Não encontrado")</f>
        <v/>
      </c>
      <c r="B14346" s="43" t="n">
        <v>-23.57614</v>
      </c>
      <c r="C14346" s="43" t="n">
        <v>-46.51997</v>
      </c>
      <c r="D14346" s="43" t="n">
        <v>274</v>
      </c>
      <c r="E14346" s="44" t="n">
        <v>8135.1689</v>
      </c>
    </row>
    <row r="14347">
      <c r="A14347" s="39">
        <f>_xlfn.XLOOKUP(82049,Trip[shape_id],Trip[shape_id],"Não encontrado")</f>
        <v/>
      </c>
      <c r="B14347" s="40" t="n">
        <v>-23.57614</v>
      </c>
      <c r="C14347" s="40" t="n">
        <v>-46.520029</v>
      </c>
      <c r="D14347" s="40" t="n">
        <v>275</v>
      </c>
      <c r="E14347" s="41" t="n">
        <v>8141.1919</v>
      </c>
    </row>
    <row r="14348">
      <c r="A14348" s="42">
        <f>_xlfn.XLOOKUP(82049,Trip[shape_id],Trip[shape_id],"Não encontrado")</f>
        <v/>
      </c>
      <c r="B14348" s="43" t="n">
        <v>-23.576167</v>
      </c>
      <c r="C14348" s="43" t="n">
        <v>-46.52018</v>
      </c>
      <c r="D14348" s="43" t="n">
        <v>276</v>
      </c>
      <c r="E14348" s="44" t="n">
        <v>8156.8936</v>
      </c>
    </row>
    <row r="14349">
      <c r="A14349" s="39">
        <f>_xlfn.XLOOKUP(82049,Trip[shape_id],Trip[shape_id],"Não encontrado")</f>
        <v/>
      </c>
      <c r="B14349" s="40" t="n">
        <v>-23.576191</v>
      </c>
      <c r="C14349" s="40" t="n">
        <v>-46.52032</v>
      </c>
      <c r="D14349" s="40" t="n">
        <v>277</v>
      </c>
      <c r="E14349" s="41" t="n">
        <v>8171.4302</v>
      </c>
    </row>
    <row r="14350">
      <c r="A14350" s="42">
        <f>_xlfn.XLOOKUP(82049,Trip[shape_id],Trip[shape_id],"Não encontrado")</f>
        <v/>
      </c>
      <c r="B14350" s="43" t="n">
        <v>-23.57622</v>
      </c>
      <c r="C14350" s="43" t="n">
        <v>-46.520453</v>
      </c>
      <c r="D14350" s="43" t="n">
        <v>278</v>
      </c>
      <c r="E14350" s="44" t="n">
        <v>8185.3818</v>
      </c>
    </row>
    <row r="14351">
      <c r="A14351" s="39">
        <f>_xlfn.XLOOKUP(82049,Trip[shape_id],Trip[shape_id],"Não encontrado")</f>
        <v/>
      </c>
      <c r="B14351" s="40" t="n">
        <v>-23.576238</v>
      </c>
      <c r="C14351" s="40" t="n">
        <v>-46.52056</v>
      </c>
      <c r="D14351" s="40" t="n">
        <v>279</v>
      </c>
      <c r="E14351" s="41" t="n">
        <v>8196.484399999999</v>
      </c>
    </row>
    <row r="14352">
      <c r="A14352" s="42">
        <f>_xlfn.XLOOKUP(82049,Trip[shape_id],Trip[shape_id],"Não encontrado")</f>
        <v/>
      </c>
      <c r="B14352" s="43" t="n">
        <v>-23.576283</v>
      </c>
      <c r="C14352" s="43" t="n">
        <v>-46.520746</v>
      </c>
      <c r="D14352" s="43" t="n">
        <v>280</v>
      </c>
      <c r="E14352" s="44" t="n">
        <v>8216.114299999999</v>
      </c>
    </row>
    <row r="14353">
      <c r="A14353" s="39">
        <f>_xlfn.XLOOKUP(82049,Trip[shape_id],Trip[shape_id],"Não encontrado")</f>
        <v/>
      </c>
      <c r="B14353" s="40" t="n">
        <v>-23.576373</v>
      </c>
      <c r="C14353" s="40" t="n">
        <v>-46.521075</v>
      </c>
      <c r="D14353" s="40" t="n">
        <v>281</v>
      </c>
      <c r="E14353" s="41" t="n">
        <v>8251.147499999999</v>
      </c>
    </row>
    <row r="14354">
      <c r="A14354" s="42">
        <f>_xlfn.XLOOKUP(82049,Trip[shape_id],Trip[shape_id],"Não encontrado")</f>
        <v/>
      </c>
      <c r="B14354" s="43" t="n">
        <v>-23.576447</v>
      </c>
      <c r="C14354" s="43" t="n">
        <v>-46.521291</v>
      </c>
      <c r="D14354" s="43" t="n">
        <v>282</v>
      </c>
      <c r="E14354" s="44" t="n">
        <v>8274.670899999999</v>
      </c>
    </row>
    <row r="14355">
      <c r="A14355" s="39">
        <f>_xlfn.XLOOKUP(82049,Trip[shape_id],Trip[shape_id],"Não encontrado")</f>
        <v/>
      </c>
      <c r="B14355" s="40" t="n">
        <v>-23.576486</v>
      </c>
      <c r="C14355" s="40" t="n">
        <v>-46.521393</v>
      </c>
      <c r="D14355" s="40" t="n">
        <v>283</v>
      </c>
      <c r="E14355" s="41" t="n">
        <v>8285.9434</v>
      </c>
    </row>
    <row r="14356">
      <c r="A14356" s="42">
        <f>_xlfn.XLOOKUP(82049,Trip[shape_id],Trip[shape_id],"Não encontrado")</f>
        <v/>
      </c>
      <c r="B14356" s="43" t="n">
        <v>-23.576513</v>
      </c>
      <c r="C14356" s="43" t="n">
        <v>-46.521499</v>
      </c>
      <c r="D14356" s="43" t="n">
        <v>284</v>
      </c>
      <c r="E14356" s="44" t="n">
        <v>8297.169900000001</v>
      </c>
    </row>
    <row r="14357">
      <c r="A14357" s="39">
        <f>_xlfn.XLOOKUP(82049,Trip[shape_id],Trip[shape_id],"Não encontrado")</f>
        <v/>
      </c>
      <c r="B14357" s="40" t="n">
        <v>-23.576565</v>
      </c>
      <c r="C14357" s="40" t="n">
        <v>-46.521681</v>
      </c>
      <c r="D14357" s="40" t="n">
        <v>285</v>
      </c>
      <c r="E14357" s="41" t="n">
        <v>8316.6211</v>
      </c>
    </row>
    <row r="14358">
      <c r="A14358" s="42">
        <f>_xlfn.XLOOKUP(82049,Trip[shape_id],Trip[shape_id],"Não encontrado")</f>
        <v/>
      </c>
      <c r="B14358" s="43" t="n">
        <v>-23.57661</v>
      </c>
      <c r="C14358" s="43" t="n">
        <v>-46.521857</v>
      </c>
      <c r="D14358" s="43" t="n">
        <v>286</v>
      </c>
      <c r="E14358" s="44" t="n">
        <v>8335.265600000001</v>
      </c>
    </row>
    <row r="14359">
      <c r="A14359" s="39">
        <f>_xlfn.XLOOKUP(82049,Trip[shape_id],Trip[shape_id],"Não encontrado")</f>
        <v/>
      </c>
      <c r="B14359" s="40" t="n">
        <v>-23.576632</v>
      </c>
      <c r="C14359" s="40" t="n">
        <v>-46.521995</v>
      </c>
      <c r="D14359" s="40" t="n">
        <v>287</v>
      </c>
      <c r="E14359" s="41" t="n">
        <v>8349.5615</v>
      </c>
    </row>
    <row r="14360">
      <c r="A14360" s="42">
        <f>_xlfn.XLOOKUP(82049,Trip[shape_id],Trip[shape_id],"Não encontrado")</f>
        <v/>
      </c>
      <c r="B14360" s="43" t="n">
        <v>-23.57665</v>
      </c>
      <c r="C14360" s="43" t="n">
        <v>-46.522106</v>
      </c>
      <c r="D14360" s="43" t="n">
        <v>288</v>
      </c>
      <c r="E14360" s="44" t="n">
        <v>8361.0664</v>
      </c>
    </row>
    <row r="14361">
      <c r="A14361" s="39">
        <f>_xlfn.XLOOKUP(82049,Trip[shape_id],Trip[shape_id],"Não encontrado")</f>
        <v/>
      </c>
      <c r="B14361" s="40" t="n">
        <v>-23.576662</v>
      </c>
      <c r="C14361" s="40" t="n">
        <v>-46.522221</v>
      </c>
      <c r="D14361" s="40" t="n">
        <v>289</v>
      </c>
      <c r="E14361" s="41" t="n">
        <v>8372.8809</v>
      </c>
    </row>
    <row r="14362">
      <c r="A14362" s="42">
        <f>_xlfn.XLOOKUP(82049,Trip[shape_id],Trip[shape_id],"Não encontrado")</f>
        <v/>
      </c>
      <c r="B14362" s="43" t="n">
        <v>-23.576675</v>
      </c>
      <c r="C14362" s="43" t="n">
        <v>-46.52232</v>
      </c>
      <c r="D14362" s="43" t="n">
        <v>290</v>
      </c>
      <c r="E14362" s="44" t="n">
        <v>8383.088900000001</v>
      </c>
    </row>
    <row r="14363">
      <c r="A14363" s="39">
        <f>_xlfn.XLOOKUP(82049,Trip[shape_id],Trip[shape_id],"Não encontrado")</f>
        <v/>
      </c>
      <c r="B14363" s="40" t="n">
        <v>-23.576686</v>
      </c>
      <c r="C14363" s="40" t="n">
        <v>-46.522467</v>
      </c>
      <c r="D14363" s="40" t="n">
        <v>291</v>
      </c>
      <c r="E14363" s="41" t="n">
        <v>8398.1445</v>
      </c>
    </row>
    <row r="14364">
      <c r="A14364" s="42">
        <f>_xlfn.XLOOKUP(82049,Trip[shape_id],Trip[shape_id],"Não encontrado")</f>
        <v/>
      </c>
      <c r="B14364" s="43" t="n">
        <v>-23.576692</v>
      </c>
      <c r="C14364" s="43" t="n">
        <v>-46.522718</v>
      </c>
      <c r="D14364" s="43" t="n">
        <v>292</v>
      </c>
      <c r="E14364" s="44" t="n">
        <v>8423.7754</v>
      </c>
    </row>
    <row r="14365">
      <c r="A14365" s="39">
        <f>_xlfn.XLOOKUP(82049,Trip[shape_id],Trip[shape_id],"Não encontrado")</f>
        <v/>
      </c>
      <c r="B14365" s="40" t="n">
        <v>-23.576699</v>
      </c>
      <c r="C14365" s="40" t="n">
        <v>-46.522817</v>
      </c>
      <c r="D14365" s="40" t="n">
        <v>293</v>
      </c>
      <c r="E14365" s="41" t="n">
        <v>8433.911099999999</v>
      </c>
    </row>
    <row r="14366">
      <c r="A14366" s="42">
        <f>_xlfn.XLOOKUP(82049,Trip[shape_id],Trip[shape_id],"Não encontrado")</f>
        <v/>
      </c>
      <c r="B14366" s="43" t="n">
        <v>-23.576704</v>
      </c>
      <c r="C14366" s="43" t="n">
        <v>-46.522901</v>
      </c>
      <c r="D14366" s="43" t="n">
        <v>294</v>
      </c>
      <c r="E14366" s="44" t="n">
        <v>8442.5039</v>
      </c>
    </row>
    <row r="14367">
      <c r="A14367" s="39">
        <f>_xlfn.XLOOKUP(82049,Trip[shape_id],Trip[shape_id],"Não encontrado")</f>
        <v/>
      </c>
      <c r="B14367" s="40" t="n">
        <v>-23.576737</v>
      </c>
      <c r="C14367" s="40" t="n">
        <v>-46.523157</v>
      </c>
      <c r="D14367" s="40" t="n">
        <v>295</v>
      </c>
      <c r="E14367" s="41" t="n">
        <v>8468.891600000001</v>
      </c>
    </row>
    <row r="14368">
      <c r="A14368" s="42">
        <f>_xlfn.XLOOKUP(82049,Trip[shape_id],Trip[shape_id],"Não encontrado")</f>
        <v/>
      </c>
      <c r="B14368" s="43" t="n">
        <v>-23.576768</v>
      </c>
      <c r="C14368" s="43" t="n">
        <v>-46.523328</v>
      </c>
      <c r="D14368" s="43" t="n">
        <v>296</v>
      </c>
      <c r="E14368" s="44" t="n">
        <v>8486.6816</v>
      </c>
    </row>
    <row r="14369">
      <c r="A14369" s="39">
        <f>_xlfn.XLOOKUP(82049,Trip[shape_id],Trip[shape_id],"Não encontrado")</f>
        <v/>
      </c>
      <c r="B14369" s="40" t="n">
        <v>-23.576859</v>
      </c>
      <c r="C14369" s="40" t="n">
        <v>-46.52367</v>
      </c>
      <c r="D14369" s="40" t="n">
        <v>297</v>
      </c>
      <c r="E14369" s="41" t="n">
        <v>8523.0195</v>
      </c>
    </row>
    <row r="14370">
      <c r="A14370" s="42">
        <f>_xlfn.XLOOKUP(82049,Trip[shape_id],Trip[shape_id],"Não encontrado")</f>
        <v/>
      </c>
      <c r="B14370" s="43" t="n">
        <v>-23.576915</v>
      </c>
      <c r="C14370" s="43" t="n">
        <v>-46.523853</v>
      </c>
      <c r="D14370" s="43" t="n">
        <v>298</v>
      </c>
      <c r="E14370" s="44" t="n">
        <v>8542.703100000001</v>
      </c>
    </row>
    <row r="14371">
      <c r="A14371" s="39">
        <f>_xlfn.XLOOKUP(82049,Trip[shape_id],Trip[shape_id],"Não encontrado")</f>
        <v/>
      </c>
      <c r="B14371" s="40" t="n">
        <v>-23.576986</v>
      </c>
      <c r="C14371" s="40" t="n">
        <v>-46.524054</v>
      </c>
      <c r="D14371" s="40" t="n">
        <v>299</v>
      </c>
      <c r="E14371" s="41" t="n">
        <v>8564.676799999999</v>
      </c>
    </row>
    <row r="14372">
      <c r="A14372" s="42">
        <f>_xlfn.XLOOKUP(82049,Trip[shape_id],Trip[shape_id],"Não encontrado")</f>
        <v/>
      </c>
      <c r="B14372" s="43" t="n">
        <v>-23.577051</v>
      </c>
      <c r="C14372" s="43" t="n">
        <v>-46.524211</v>
      </c>
      <c r="D14372" s="43" t="n">
        <v>300</v>
      </c>
      <c r="E14372" s="44" t="n">
        <v>8582.2461</v>
      </c>
    </row>
    <row r="14373">
      <c r="A14373" s="39">
        <f>_xlfn.XLOOKUP(82049,Trip[shape_id],Trip[shape_id],"Não encontrado")</f>
        <v/>
      </c>
      <c r="B14373" s="40" t="n">
        <v>-23.577131</v>
      </c>
      <c r="C14373" s="40" t="n">
        <v>-46.524382</v>
      </c>
      <c r="D14373" s="40" t="n">
        <v>301</v>
      </c>
      <c r="E14373" s="41" t="n">
        <v>8601.8223</v>
      </c>
    </row>
    <row r="14374">
      <c r="A14374" s="42">
        <f>_xlfn.XLOOKUP(82049,Trip[shape_id],Trip[shape_id],"Não encontrado")</f>
        <v/>
      </c>
      <c r="B14374" s="43" t="n">
        <v>-23.57724</v>
      </c>
      <c r="C14374" s="43" t="n">
        <v>-46.524535</v>
      </c>
      <c r="D14374" s="43" t="n">
        <v>302</v>
      </c>
      <c r="E14374" s="44" t="n">
        <v>8621.5625</v>
      </c>
    </row>
    <row r="14375">
      <c r="A14375" s="39">
        <f>_xlfn.XLOOKUP(82049,Trip[shape_id],Trip[shape_id],"Não encontrado")</f>
        <v/>
      </c>
      <c r="B14375" s="40" t="n">
        <v>-23.577448</v>
      </c>
      <c r="C14375" s="40" t="n">
        <v>-46.524801</v>
      </c>
      <c r="D14375" s="40" t="n">
        <v>303</v>
      </c>
      <c r="E14375" s="41" t="n">
        <v>8657.171899999999</v>
      </c>
    </row>
    <row r="14376">
      <c r="A14376" s="42">
        <f>_xlfn.XLOOKUP(82049,Trip[shape_id],Trip[shape_id],"Não encontrado")</f>
        <v/>
      </c>
      <c r="B14376" s="43" t="n">
        <v>-23.577567</v>
      </c>
      <c r="C14376" s="43" t="n">
        <v>-46.52496</v>
      </c>
      <c r="D14376" s="43" t="n">
        <v>304</v>
      </c>
      <c r="E14376" s="44" t="n">
        <v>8678.080099999999</v>
      </c>
    </row>
    <row r="14377">
      <c r="A14377" s="39">
        <f>_xlfn.XLOOKUP(82049,Trip[shape_id],Trip[shape_id],"Não encontrado")</f>
        <v/>
      </c>
      <c r="B14377" s="40" t="n">
        <v>-23.577445</v>
      </c>
      <c r="C14377" s="40" t="n">
        <v>-46.525368</v>
      </c>
      <c r="D14377" s="40" t="n">
        <v>305</v>
      </c>
      <c r="E14377" s="41" t="n">
        <v>8721.8662</v>
      </c>
    </row>
    <row r="14378">
      <c r="A14378" s="42">
        <f>_xlfn.XLOOKUP(82049,Trip[shape_id],Trip[shape_id],"Não encontrado")</f>
        <v/>
      </c>
      <c r="B14378" s="43" t="n">
        <v>-23.577174</v>
      </c>
      <c r="C14378" s="43" t="n">
        <v>-46.52582</v>
      </c>
      <c r="D14378" s="43" t="n">
        <v>306</v>
      </c>
      <c r="E14378" s="44" t="n">
        <v>8776.9102</v>
      </c>
    </row>
    <row r="14379">
      <c r="A14379" s="39">
        <f>_xlfn.XLOOKUP(82049,Trip[shape_id],Trip[shape_id],"Não encontrado")</f>
        <v/>
      </c>
      <c r="B14379" s="40" t="n">
        <v>-23.57707</v>
      </c>
      <c r="C14379" s="40" t="n">
        <v>-46.525987</v>
      </c>
      <c r="D14379" s="40" t="n">
        <v>307</v>
      </c>
      <c r="E14379" s="41" t="n">
        <v>8797.484399999999</v>
      </c>
    </row>
    <row r="14380">
      <c r="A14380" s="42">
        <f>_xlfn.XLOOKUP(82049,Trip[shape_id],Trip[shape_id],"Não encontrado")</f>
        <v/>
      </c>
      <c r="B14380" s="43" t="n">
        <v>-23.576832</v>
      </c>
      <c r="C14380" s="43" t="n">
        <v>-46.526372</v>
      </c>
      <c r="D14380" s="43" t="n">
        <v>308</v>
      </c>
      <c r="E14380" s="44" t="n">
        <v>8844.8066</v>
      </c>
    </row>
    <row r="14381">
      <c r="A14381" s="39">
        <f>_xlfn.XLOOKUP(82049,Trip[shape_id],Trip[shape_id],"Não encontrado")</f>
        <v/>
      </c>
      <c r="B14381" s="40" t="n">
        <v>-23.576644</v>
      </c>
      <c r="C14381" s="40" t="n">
        <v>-46.526691</v>
      </c>
      <c r="D14381" s="40" t="n">
        <v>309</v>
      </c>
      <c r="E14381" s="41" t="n">
        <v>8883.458000000001</v>
      </c>
    </row>
    <row r="14382">
      <c r="A14382" s="42">
        <f>_xlfn.XLOOKUP(82049,Trip[shape_id],Trip[shape_id],"Não encontrado")</f>
        <v/>
      </c>
      <c r="B14382" s="43" t="n">
        <v>-23.576533</v>
      </c>
      <c r="C14382" s="43" t="n">
        <v>-46.526982</v>
      </c>
      <c r="D14382" s="43" t="n">
        <v>310</v>
      </c>
      <c r="E14382" s="44" t="n">
        <v>8915.607400000001</v>
      </c>
    </row>
    <row r="14383">
      <c r="A14383" s="39">
        <f>_xlfn.XLOOKUP(82049,Trip[shape_id],Trip[shape_id],"Não encontrado")</f>
        <v/>
      </c>
      <c r="B14383" s="40" t="n">
        <v>-23.576461</v>
      </c>
      <c r="C14383" s="40" t="n">
        <v>-46.52717</v>
      </c>
      <c r="D14383" s="40" t="n">
        <v>311</v>
      </c>
      <c r="E14383" s="41" t="n">
        <v>8936.3896</v>
      </c>
    </row>
    <row r="14384">
      <c r="A14384" s="42">
        <f>_xlfn.XLOOKUP(82049,Trip[shape_id],Trip[shape_id],"Não encontrado")</f>
        <v/>
      </c>
      <c r="B14384" s="43" t="n">
        <v>-23.576409</v>
      </c>
      <c r="C14384" s="43" t="n">
        <v>-46.527386</v>
      </c>
      <c r="D14384" s="43" t="n">
        <v>312</v>
      </c>
      <c r="E14384" s="44" t="n">
        <v>8959.1787</v>
      </c>
    </row>
    <row r="14385">
      <c r="A14385" s="39">
        <f>_xlfn.XLOOKUP(82049,Trip[shape_id],Trip[shape_id],"Não encontrado")</f>
        <v/>
      </c>
      <c r="B14385" s="40" t="n">
        <v>-23.576184</v>
      </c>
      <c r="C14385" s="40" t="n">
        <v>-46.528231</v>
      </c>
      <c r="D14385" s="40" t="n">
        <v>313</v>
      </c>
      <c r="E14385" s="41" t="n">
        <v>9048.9658</v>
      </c>
    </row>
    <row r="14386">
      <c r="A14386" s="42">
        <f>_xlfn.XLOOKUP(82049,Trip[shape_id],Trip[shape_id],"Não encontrado")</f>
        <v/>
      </c>
      <c r="B14386" s="43" t="n">
        <v>-23.576038</v>
      </c>
      <c r="C14386" s="43" t="n">
        <v>-46.52877</v>
      </c>
      <c r="D14386" s="43" t="n">
        <v>314</v>
      </c>
      <c r="E14386" s="44" t="n">
        <v>9106.3145</v>
      </c>
    </row>
    <row r="14387">
      <c r="A14387" s="39">
        <f>_xlfn.XLOOKUP(82049,Trip[shape_id],Trip[shape_id],"Não encontrado")</f>
        <v/>
      </c>
      <c r="B14387" s="40" t="n">
        <v>-23.575884</v>
      </c>
      <c r="C14387" s="40" t="n">
        <v>-46.528747</v>
      </c>
      <c r="D14387" s="40" t="n">
        <v>315</v>
      </c>
      <c r="E14387" s="41" t="n">
        <v>9123.531300000001</v>
      </c>
    </row>
    <row r="14388">
      <c r="A14388" s="42">
        <f>_xlfn.XLOOKUP(82049,Trip[shape_id],Trip[shape_id],"Não encontrado")</f>
        <v/>
      </c>
      <c r="B14388" s="43" t="n">
        <v>-23.575732</v>
      </c>
      <c r="C14388" s="43" t="n">
        <v>-46.528735</v>
      </c>
      <c r="D14388" s="43" t="n">
        <v>316</v>
      </c>
      <c r="E14388" s="44" t="n">
        <v>9140.4102</v>
      </c>
    </row>
    <row r="14389">
      <c r="A14389" s="39">
        <f>_xlfn.XLOOKUP(82049,Trip[shape_id],Trip[shape_id],"Não encontrado")</f>
        <v/>
      </c>
      <c r="B14389" s="40" t="n">
        <v>-23.57563</v>
      </c>
      <c r="C14389" s="40" t="n">
        <v>-46.528747</v>
      </c>
      <c r="D14389" s="40" t="n">
        <v>317</v>
      </c>
      <c r="E14389" s="41" t="n">
        <v>9151.7734</v>
      </c>
    </row>
    <row r="14390">
      <c r="A14390" s="42">
        <f>_xlfn.XLOOKUP(82049,Trip[shape_id],Trip[shape_id],"Não encontrado")</f>
        <v/>
      </c>
      <c r="B14390" s="43" t="n">
        <v>-23.575571</v>
      </c>
      <c r="C14390" s="43" t="n">
        <v>-46.52877</v>
      </c>
      <c r="D14390" s="43" t="n">
        <v>318</v>
      </c>
      <c r="E14390" s="44" t="n">
        <v>9158.7168</v>
      </c>
    </row>
    <row r="14391">
      <c r="A14391" s="39">
        <f>_xlfn.XLOOKUP(82049,Trip[shape_id],Trip[shape_id],"Não encontrado")</f>
        <v/>
      </c>
      <c r="B14391" s="40" t="n">
        <v>-23.575488</v>
      </c>
      <c r="C14391" s="40" t="n">
        <v>-46.528846</v>
      </c>
      <c r="D14391" s="40" t="n">
        <v>319</v>
      </c>
      <c r="E14391" s="41" t="n">
        <v>9170.7461</v>
      </c>
    </row>
    <row r="14392">
      <c r="A14392" s="42">
        <f>_xlfn.XLOOKUP(82049,Trip[shape_id],Trip[shape_id],"Não encontrado")</f>
        <v/>
      </c>
      <c r="B14392" s="43" t="n">
        <v>-23.575467</v>
      </c>
      <c r="C14392" s="43" t="n">
        <v>-46.528882</v>
      </c>
      <c r="D14392" s="43" t="n">
        <v>320</v>
      </c>
      <c r="E14392" s="44" t="n">
        <v>9175.0957</v>
      </c>
    </row>
    <row r="14393">
      <c r="A14393" s="39">
        <f>_xlfn.XLOOKUP(82049,Trip[shape_id],Trip[shape_id],"Não encontrado")</f>
        <v/>
      </c>
      <c r="B14393" s="40" t="n">
        <v>-23.57508</v>
      </c>
      <c r="C14393" s="40" t="n">
        <v>-46.529478</v>
      </c>
      <c r="D14393" s="40" t="n">
        <v>321</v>
      </c>
      <c r="E14393" s="41" t="n">
        <v>9249.518599999999</v>
      </c>
    </row>
    <row r="14394">
      <c r="A14394" s="42">
        <f>_xlfn.XLOOKUP(82049,Trip[shape_id],Trip[shape_id],"Não encontrado")</f>
        <v/>
      </c>
      <c r="B14394" s="43" t="n">
        <v>-23.574854</v>
      </c>
      <c r="C14394" s="43" t="n">
        <v>-46.529837</v>
      </c>
      <c r="D14394" s="43" t="n">
        <v>322</v>
      </c>
      <c r="E14394" s="44" t="n">
        <v>9293.8984</v>
      </c>
    </row>
    <row r="14395">
      <c r="A14395" s="39">
        <f>_xlfn.XLOOKUP(82049,Trip[shape_id],Trip[shape_id],"Não encontrado")</f>
        <v/>
      </c>
      <c r="B14395" s="40" t="n">
        <v>-23.574674</v>
      </c>
      <c r="C14395" s="40" t="n">
        <v>-46.530115</v>
      </c>
      <c r="D14395" s="40" t="n">
        <v>323</v>
      </c>
      <c r="E14395" s="41" t="n">
        <v>9328.580099999999</v>
      </c>
    </row>
    <row r="14396">
      <c r="A14396" s="42">
        <f>_xlfn.XLOOKUP(82049,Trip[shape_id],Trip[shape_id],"Não encontrado")</f>
        <v/>
      </c>
      <c r="B14396" s="43" t="n">
        <v>-23.574559</v>
      </c>
      <c r="C14396" s="43" t="n">
        <v>-46.530331</v>
      </c>
      <c r="D14396" s="43" t="n">
        <v>324</v>
      </c>
      <c r="E14396" s="44" t="n">
        <v>9354.043900000001</v>
      </c>
    </row>
    <row r="14397">
      <c r="A14397" s="39">
        <f>_xlfn.XLOOKUP(82049,Trip[shape_id],Trip[shape_id],"Não encontrado")</f>
        <v/>
      </c>
      <c r="B14397" s="40" t="n">
        <v>-23.574378</v>
      </c>
      <c r="C14397" s="40" t="n">
        <v>-46.530694</v>
      </c>
      <c r="D14397" s="40" t="n">
        <v>325</v>
      </c>
      <c r="E14397" s="41" t="n">
        <v>9396.174800000001</v>
      </c>
    </row>
    <row r="14398">
      <c r="A14398" s="42">
        <f>_xlfn.XLOOKUP(82049,Trip[shape_id],Trip[shape_id],"Não encontrado")</f>
        <v/>
      </c>
      <c r="B14398" s="43" t="n">
        <v>-23.574145</v>
      </c>
      <c r="C14398" s="43" t="n">
        <v>-46.531156</v>
      </c>
      <c r="D14398" s="43" t="n">
        <v>326</v>
      </c>
      <c r="E14398" s="44" t="n">
        <v>9449.9355</v>
      </c>
    </row>
    <row r="14399">
      <c r="A14399" s="39">
        <f>_xlfn.XLOOKUP(82049,Trip[shape_id],Trip[shape_id],"Não encontrado")</f>
        <v/>
      </c>
      <c r="B14399" s="40" t="n">
        <v>-23.57399</v>
      </c>
      <c r="C14399" s="40" t="n">
        <v>-46.531458</v>
      </c>
      <c r="D14399" s="40" t="n">
        <v>327</v>
      </c>
      <c r="E14399" s="41" t="n">
        <v>9485.2217</v>
      </c>
    </row>
    <row r="14400">
      <c r="A14400" s="42">
        <f>_xlfn.XLOOKUP(82049,Trip[shape_id],Trip[shape_id],"Não encontrado")</f>
        <v/>
      </c>
      <c r="B14400" s="43" t="n">
        <v>-23.573956</v>
      </c>
      <c r="C14400" s="43" t="n">
        <v>-46.531523</v>
      </c>
      <c r="D14400" s="43" t="n">
        <v>328</v>
      </c>
      <c r="E14400" s="44" t="n">
        <v>9492.8506</v>
      </c>
    </row>
    <row r="14401">
      <c r="A14401" s="39">
        <f>_xlfn.XLOOKUP(82049,Trip[shape_id],Trip[shape_id],"Não encontrado")</f>
        <v/>
      </c>
      <c r="B14401" s="40" t="n">
        <v>-23.573867</v>
      </c>
      <c r="C14401" s="40" t="n">
        <v>-46.531707</v>
      </c>
      <c r="D14401" s="40" t="n">
        <v>329</v>
      </c>
      <c r="E14401" s="41" t="n">
        <v>9514.0635</v>
      </c>
    </row>
    <row r="14402">
      <c r="A14402" s="42">
        <f>_xlfn.XLOOKUP(82049,Trip[shape_id],Trip[shape_id],"Não encontrado")</f>
        <v/>
      </c>
      <c r="B14402" s="43" t="n">
        <v>-23.573866</v>
      </c>
      <c r="C14402" s="43" t="n">
        <v>-46.531736</v>
      </c>
      <c r="D14402" s="43" t="n">
        <v>330</v>
      </c>
      <c r="E14402" s="44" t="n">
        <v>9517.026400000001</v>
      </c>
    </row>
    <row r="14403">
      <c r="A14403" s="39">
        <f>_xlfn.XLOOKUP(82049,Trip[shape_id],Trip[shape_id],"Não encontrado")</f>
        <v/>
      </c>
      <c r="B14403" s="40" t="n">
        <v>-23.573866</v>
      </c>
      <c r="C14403" s="40" t="n">
        <v>-46.531801</v>
      </c>
      <c r="D14403" s="40" t="n">
        <v>331</v>
      </c>
      <c r="E14403" s="41" t="n">
        <v>9523.661099999999</v>
      </c>
    </row>
    <row r="14404">
      <c r="A14404" s="42">
        <f>_xlfn.XLOOKUP(82049,Trip[shape_id],Trip[shape_id],"Não encontrado")</f>
        <v/>
      </c>
      <c r="B14404" s="43" t="n">
        <v>-23.573864</v>
      </c>
      <c r="C14404" s="43" t="n">
        <v>-46.531901</v>
      </c>
      <c r="D14404" s="43" t="n">
        <v>332</v>
      </c>
      <c r="E14404" s="44" t="n">
        <v>9533.872100000001</v>
      </c>
    </row>
    <row r="14405">
      <c r="A14405" s="39">
        <f>_xlfn.XLOOKUP(82049,Trip[shape_id],Trip[shape_id],"Não encontrado")</f>
        <v/>
      </c>
      <c r="B14405" s="40" t="n">
        <v>-23.573835</v>
      </c>
      <c r="C14405" s="40" t="n">
        <v>-46.532025</v>
      </c>
      <c r="D14405" s="40" t="n">
        <v>333</v>
      </c>
      <c r="E14405" s="41" t="n">
        <v>9546.9316</v>
      </c>
    </row>
    <row r="14406">
      <c r="A14406" s="42">
        <f>_xlfn.XLOOKUP(82049,Trip[shape_id],Trip[shape_id],"Não encontrado")</f>
        <v/>
      </c>
      <c r="B14406" s="43" t="n">
        <v>-23.573815</v>
      </c>
      <c r="C14406" s="43" t="n">
        <v>-46.532118</v>
      </c>
      <c r="D14406" s="43" t="n">
        <v>334</v>
      </c>
      <c r="E14406" s="44" t="n">
        <v>9556.680700000001</v>
      </c>
    </row>
    <row r="14407">
      <c r="A14407" s="39">
        <f>_xlfn.XLOOKUP(82049,Trip[shape_id],Trip[shape_id],"Não encontrado")</f>
        <v/>
      </c>
      <c r="B14407" s="40" t="n">
        <v>-23.573792</v>
      </c>
      <c r="C14407" s="40" t="n">
        <v>-46.532229</v>
      </c>
      <c r="D14407" s="40" t="n">
        <v>335</v>
      </c>
      <c r="E14407" s="41" t="n">
        <v>9568.293900000001</v>
      </c>
    </row>
    <row r="14408">
      <c r="A14408" s="42">
        <f>_xlfn.XLOOKUP(82049,Trip[shape_id],Trip[shape_id],"Não encontrado")</f>
        <v/>
      </c>
      <c r="B14408" s="43" t="n">
        <v>-23.573764</v>
      </c>
      <c r="C14408" s="43" t="n">
        <v>-46.532285</v>
      </c>
      <c r="D14408" s="43" t="n">
        <v>336</v>
      </c>
      <c r="E14408" s="44" t="n">
        <v>9574.796899999999</v>
      </c>
    </row>
    <row r="14409">
      <c r="A14409" s="39">
        <f>_xlfn.XLOOKUP(82049,Trip[shape_id],Trip[shape_id],"Não encontrado")</f>
        <v/>
      </c>
      <c r="B14409" s="40" t="n">
        <v>-23.573734</v>
      </c>
      <c r="C14409" s="40" t="n">
        <v>-46.532338</v>
      </c>
      <c r="D14409" s="40" t="n">
        <v>337</v>
      </c>
      <c r="E14409" s="41" t="n">
        <v>9581.146500000001</v>
      </c>
    </row>
    <row r="14410">
      <c r="A14410" s="42">
        <f>_xlfn.XLOOKUP(82049,Trip[shape_id],Trip[shape_id],"Não encontrado")</f>
        <v/>
      </c>
      <c r="B14410" s="43" t="n">
        <v>-23.573676</v>
      </c>
      <c r="C14410" s="43" t="n">
        <v>-46.532424</v>
      </c>
      <c r="D14410" s="43" t="n">
        <v>338</v>
      </c>
      <c r="E14410" s="44" t="n">
        <v>9592.0244</v>
      </c>
    </row>
    <row r="14411">
      <c r="A14411" s="39">
        <f>_xlfn.XLOOKUP(82049,Trip[shape_id],Trip[shape_id],"Não encontrado")</f>
        <v/>
      </c>
      <c r="B14411" s="40" t="n">
        <v>-23.573618</v>
      </c>
      <c r="C14411" s="40" t="n">
        <v>-46.532506</v>
      </c>
      <c r="D14411" s="40" t="n">
        <v>339</v>
      </c>
      <c r="E14411" s="41" t="n">
        <v>9602.5762</v>
      </c>
    </row>
    <row r="14412">
      <c r="A14412" s="42">
        <f>_xlfn.XLOOKUP(82049,Trip[shape_id],Trip[shape_id],"Não encontrado")</f>
        <v/>
      </c>
      <c r="B14412" s="43" t="n">
        <v>-23.573597</v>
      </c>
      <c r="C14412" s="43" t="n">
        <v>-46.53253</v>
      </c>
      <c r="D14412" s="43" t="n">
        <v>340</v>
      </c>
      <c r="E14412" s="44" t="n">
        <v>9605.953100000001</v>
      </c>
    </row>
    <row r="14413">
      <c r="A14413" s="39">
        <f>_xlfn.XLOOKUP(82049,Trip[shape_id],Trip[shape_id],"Não encontrado")</f>
        <v/>
      </c>
      <c r="B14413" s="40" t="n">
        <v>-23.5735</v>
      </c>
      <c r="C14413" s="40" t="n">
        <v>-46.532636</v>
      </c>
      <c r="D14413" s="40" t="n">
        <v>341</v>
      </c>
      <c r="E14413" s="41" t="n">
        <v>9621.2012</v>
      </c>
    </row>
    <row r="14414">
      <c r="A14414" s="42">
        <f>_xlfn.XLOOKUP(82049,Trip[shape_id],Trip[shape_id],"Não encontrado")</f>
        <v/>
      </c>
      <c r="B14414" s="43" t="n">
        <v>-23.573406</v>
      </c>
      <c r="C14414" s="43" t="n">
        <v>-46.532727</v>
      </c>
      <c r="D14414" s="43" t="n">
        <v>342</v>
      </c>
      <c r="E14414" s="44" t="n">
        <v>9635.1543</v>
      </c>
    </row>
    <row r="14415">
      <c r="A14415" s="39">
        <f>_xlfn.XLOOKUP(82049,Trip[shape_id],Trip[shape_id],"Não encontrado")</f>
        <v/>
      </c>
      <c r="B14415" s="40" t="n">
        <v>-23.57319</v>
      </c>
      <c r="C14415" s="40" t="n">
        <v>-46.532925</v>
      </c>
      <c r="D14415" s="40" t="n">
        <v>343</v>
      </c>
      <c r="E14415" s="41" t="n">
        <v>9666.4727</v>
      </c>
    </row>
    <row r="14416">
      <c r="A14416" s="42">
        <f>_xlfn.XLOOKUP(82049,Trip[shape_id],Trip[shape_id],"Não encontrado")</f>
        <v/>
      </c>
      <c r="B14416" s="43" t="n">
        <v>-23.573027</v>
      </c>
      <c r="C14416" s="43" t="n">
        <v>-46.5331</v>
      </c>
      <c r="D14416" s="43" t="n">
        <v>344</v>
      </c>
      <c r="E14416" s="44" t="n">
        <v>9691.8711</v>
      </c>
    </row>
    <row r="14417">
      <c r="A14417" s="39">
        <f>_xlfn.XLOOKUP(82049,Trip[shape_id],Trip[shape_id],"Não encontrado")</f>
        <v/>
      </c>
      <c r="B14417" s="40" t="n">
        <v>-23.573011</v>
      </c>
      <c r="C14417" s="40" t="n">
        <v>-46.533117</v>
      </c>
      <c r="D14417" s="40" t="n">
        <v>345</v>
      </c>
      <c r="E14417" s="41" t="n">
        <v>9694.353499999999</v>
      </c>
    </row>
    <row r="14418">
      <c r="A14418" s="42">
        <f>_xlfn.XLOOKUP(82049,Trip[shape_id],Trip[shape_id],"Não encontrado")</f>
        <v/>
      </c>
      <c r="B14418" s="43" t="n">
        <v>-23.573014</v>
      </c>
      <c r="C14418" s="43" t="n">
        <v>-46.533172</v>
      </c>
      <c r="D14418" s="43" t="n">
        <v>346</v>
      </c>
      <c r="E14418" s="44" t="n">
        <v>9699.977500000001</v>
      </c>
    </row>
    <row r="14419">
      <c r="A14419" s="39">
        <f>_xlfn.XLOOKUP(82049,Trip[shape_id],Trip[shape_id],"Não encontrado")</f>
        <v/>
      </c>
      <c r="B14419" s="40" t="n">
        <v>-23.573014</v>
      </c>
      <c r="C14419" s="40" t="n">
        <v>-46.533302</v>
      </c>
      <c r="D14419" s="40" t="n">
        <v>347</v>
      </c>
      <c r="E14419" s="41" t="n">
        <v>9713.249</v>
      </c>
    </row>
    <row r="14420">
      <c r="A14420" s="42">
        <f>_xlfn.XLOOKUP(82049,Trip[shape_id],Trip[shape_id],"Não encontrado")</f>
        <v/>
      </c>
      <c r="B14420" s="43" t="n">
        <v>-23.573013</v>
      </c>
      <c r="C14420" s="43" t="n">
        <v>-46.533396</v>
      </c>
      <c r="D14420" s="43" t="n">
        <v>348</v>
      </c>
      <c r="E14420" s="44" t="n">
        <v>9722.8457</v>
      </c>
    </row>
    <row r="14421">
      <c r="A14421" s="39">
        <f>_xlfn.XLOOKUP(82049,Trip[shape_id],Trip[shape_id],"Não encontrado")</f>
        <v/>
      </c>
      <c r="B14421" s="40" t="n">
        <v>-23.573004</v>
      </c>
      <c r="C14421" s="40" t="n">
        <v>-46.533601</v>
      </c>
      <c r="D14421" s="40" t="n">
        <v>349</v>
      </c>
      <c r="E14421" s="41" t="n">
        <v>9743.796899999999</v>
      </c>
    </row>
    <row r="14422">
      <c r="A14422" s="42">
        <f>_xlfn.XLOOKUP(82049,Trip[shape_id],Trip[shape_id],"Não encontrado")</f>
        <v/>
      </c>
      <c r="B14422" s="43" t="n">
        <v>-23.572972</v>
      </c>
      <c r="C14422" s="43" t="n">
        <v>-46.533783</v>
      </c>
      <c r="D14422" s="43" t="n">
        <v>350</v>
      </c>
      <c r="E14422" s="44" t="n">
        <v>9762.7109</v>
      </c>
    </row>
    <row r="14423">
      <c r="A14423" s="39">
        <f>_xlfn.XLOOKUP(82049,Trip[shape_id],Trip[shape_id],"Não encontrado")</f>
        <v/>
      </c>
      <c r="B14423" s="40" t="n">
        <v>-23.572943</v>
      </c>
      <c r="C14423" s="40" t="n">
        <v>-46.533909</v>
      </c>
      <c r="D14423" s="40" t="n">
        <v>351</v>
      </c>
      <c r="E14423" s="41" t="n">
        <v>9775.968800000001</v>
      </c>
    </row>
    <row r="14424">
      <c r="A14424" s="42">
        <f>_xlfn.XLOOKUP(82049,Trip[shape_id],Trip[shape_id],"Não encontrado")</f>
        <v/>
      </c>
      <c r="B14424" s="43" t="n">
        <v>-23.572922</v>
      </c>
      <c r="C14424" s="43" t="n">
        <v>-46.534001</v>
      </c>
      <c r="D14424" s="43" t="n">
        <v>352</v>
      </c>
      <c r="E14424" s="44" t="n">
        <v>9785.6445</v>
      </c>
    </row>
    <row r="14425">
      <c r="A14425" s="39">
        <f>_xlfn.XLOOKUP(82049,Trip[shape_id],Trip[shape_id],"Não encontrado")</f>
        <v/>
      </c>
      <c r="B14425" s="40" t="n">
        <v>-23.572879</v>
      </c>
      <c r="C14425" s="40" t="n">
        <v>-46.534127</v>
      </c>
      <c r="D14425" s="40" t="n">
        <v>353</v>
      </c>
      <c r="E14425" s="41" t="n">
        <v>9799.3604</v>
      </c>
    </row>
    <row r="14426">
      <c r="A14426" s="42">
        <f>_xlfn.XLOOKUP(82049,Trip[shape_id],Trip[shape_id],"Não encontrado")</f>
        <v/>
      </c>
      <c r="B14426" s="43" t="n">
        <v>-23.572847</v>
      </c>
      <c r="C14426" s="43" t="n">
        <v>-46.534197</v>
      </c>
      <c r="D14426" s="43" t="n">
        <v>354</v>
      </c>
      <c r="E14426" s="44" t="n">
        <v>9807.3369</v>
      </c>
    </row>
    <row r="14427">
      <c r="A14427" s="39">
        <f>_xlfn.XLOOKUP(82049,Trip[shape_id],Trip[shape_id],"Não encontrado")</f>
        <v/>
      </c>
      <c r="B14427" s="40" t="n">
        <v>-23.572746</v>
      </c>
      <c r="C14427" s="40" t="n">
        <v>-46.53444</v>
      </c>
      <c r="D14427" s="40" t="n">
        <v>355</v>
      </c>
      <c r="E14427" s="41" t="n">
        <v>9834.5488</v>
      </c>
    </row>
    <row r="14428">
      <c r="A14428" s="42">
        <f>_xlfn.XLOOKUP(82049,Trip[shape_id],Trip[shape_id],"Não encontrado")</f>
        <v/>
      </c>
      <c r="B14428" s="43" t="n">
        <v>-23.572661</v>
      </c>
      <c r="C14428" s="43" t="n">
        <v>-46.534615</v>
      </c>
      <c r="D14428" s="43" t="n">
        <v>356</v>
      </c>
      <c r="E14428" s="44" t="n">
        <v>9854.742200000001</v>
      </c>
    </row>
    <row r="14429">
      <c r="A14429" s="39">
        <f>_xlfn.XLOOKUP(82049,Trip[shape_id],Trip[shape_id],"Não encontrado")</f>
        <v/>
      </c>
      <c r="B14429" s="40" t="n">
        <v>-23.571741</v>
      </c>
      <c r="C14429" s="40" t="n">
        <v>-46.536594</v>
      </c>
      <c r="D14429" s="40" t="n">
        <v>357</v>
      </c>
      <c r="E14429" s="41" t="n">
        <v>10081.01</v>
      </c>
    </row>
    <row r="14430">
      <c r="A14430" s="42">
        <f>_xlfn.XLOOKUP(82049,Trip[shape_id],Trip[shape_id],"Não encontrado")</f>
        <v/>
      </c>
      <c r="B14430" s="43" t="n">
        <v>-23.571564</v>
      </c>
      <c r="C14430" s="43" t="n">
        <v>-46.53696</v>
      </c>
      <c r="D14430" s="43" t="n">
        <v>358</v>
      </c>
      <c r="E14430" s="44" t="n">
        <v>10123.203</v>
      </c>
    </row>
    <row r="14431">
      <c r="A14431" s="39">
        <f>_xlfn.XLOOKUP(82049,Trip[shape_id],Trip[shape_id],"Não encontrado")</f>
        <v/>
      </c>
      <c r="B14431" s="40" t="n">
        <v>-23.571403</v>
      </c>
      <c r="C14431" s="40" t="n">
        <v>-46.537344</v>
      </c>
      <c r="D14431" s="40" t="n">
        <v>359</v>
      </c>
      <c r="E14431" s="41" t="n">
        <v>10166.269</v>
      </c>
    </row>
    <row r="14432">
      <c r="A14432" s="42">
        <f>_xlfn.XLOOKUP(82049,Trip[shape_id],Trip[shape_id],"Não encontrado")</f>
        <v/>
      </c>
      <c r="B14432" s="43" t="n">
        <v>-23.571247</v>
      </c>
      <c r="C14432" s="43" t="n">
        <v>-46.537712</v>
      </c>
      <c r="D14432" s="43" t="n">
        <v>360</v>
      </c>
      <c r="E14432" s="44" t="n">
        <v>10207.619</v>
      </c>
    </row>
    <row r="14433">
      <c r="A14433" s="39">
        <f>_xlfn.XLOOKUP(82049,Trip[shape_id],Trip[shape_id],"Não encontrado")</f>
        <v/>
      </c>
      <c r="B14433" s="40" t="n">
        <v>-23.571126</v>
      </c>
      <c r="C14433" s="40" t="n">
        <v>-46.538052</v>
      </c>
      <c r="D14433" s="40" t="n">
        <v>361</v>
      </c>
      <c r="E14433" s="41" t="n">
        <v>10244.825</v>
      </c>
    </row>
    <row r="14434">
      <c r="A14434" s="42">
        <f>_xlfn.XLOOKUP(82049,Trip[shape_id],Trip[shape_id],"Não encontrado")</f>
        <v/>
      </c>
      <c r="B14434" s="43" t="n">
        <v>-23.570938</v>
      </c>
      <c r="C14434" s="43" t="n">
        <v>-46.538579</v>
      </c>
      <c r="D14434" s="43" t="n">
        <v>362</v>
      </c>
      <c r="E14434" s="44" t="n">
        <v>10302.514</v>
      </c>
    </row>
    <row r="14435">
      <c r="A14435" s="39">
        <f>_xlfn.XLOOKUP(82049,Trip[shape_id],Trip[shape_id],"Não encontrado")</f>
        <v/>
      </c>
      <c r="B14435" s="40" t="n">
        <v>-23.570873</v>
      </c>
      <c r="C14435" s="40" t="n">
        <v>-46.538764</v>
      </c>
      <c r="D14435" s="40" t="n">
        <v>363</v>
      </c>
      <c r="E14435" s="41" t="n">
        <v>10322.725</v>
      </c>
    </row>
    <row r="14436">
      <c r="A14436" s="42">
        <f>_xlfn.XLOOKUP(82049,Trip[shape_id],Trip[shape_id],"Não encontrado")</f>
        <v/>
      </c>
      <c r="B14436" s="43" t="n">
        <v>-23.570763</v>
      </c>
      <c r="C14436" s="43" t="n">
        <v>-46.539081</v>
      </c>
      <c r="D14436" s="43" t="n">
        <v>364</v>
      </c>
      <c r="E14436" s="44" t="n">
        <v>10357.303</v>
      </c>
    </row>
    <row r="14437">
      <c r="A14437" s="39">
        <f>_xlfn.XLOOKUP(82049,Trip[shape_id],Trip[shape_id],"Não encontrado")</f>
        <v/>
      </c>
      <c r="B14437" s="40" t="n">
        <v>-23.570552</v>
      </c>
      <c r="C14437" s="40" t="n">
        <v>-46.539682</v>
      </c>
      <c r="D14437" s="40" t="n">
        <v>365</v>
      </c>
      <c r="E14437" s="41" t="n">
        <v>10422.956</v>
      </c>
    </row>
    <row r="14438">
      <c r="A14438" s="42">
        <f>_xlfn.XLOOKUP(82049,Trip[shape_id],Trip[shape_id],"Não encontrado")</f>
        <v/>
      </c>
      <c r="B14438" s="43" t="n">
        <v>-23.570354</v>
      </c>
      <c r="C14438" s="43" t="n">
        <v>-46.540257</v>
      </c>
      <c r="D14438" s="43" t="n">
        <v>366</v>
      </c>
      <c r="E14438" s="44" t="n">
        <v>10485.618</v>
      </c>
    </row>
    <row r="14439">
      <c r="A14439" s="39">
        <f>_xlfn.XLOOKUP(82049,Trip[shape_id],Trip[shape_id],"Não encontrado")</f>
        <v/>
      </c>
      <c r="B14439" s="40" t="n">
        <v>-23.570307</v>
      </c>
      <c r="C14439" s="40" t="n">
        <v>-46.540339</v>
      </c>
      <c r="D14439" s="40" t="n">
        <v>367</v>
      </c>
      <c r="E14439" s="41" t="n">
        <v>10495.476</v>
      </c>
    </row>
    <row r="14440">
      <c r="A14440" s="42">
        <f>_xlfn.XLOOKUP(82049,Trip[shape_id],Trip[shape_id],"Não encontrado")</f>
        <v/>
      </c>
      <c r="B14440" s="43" t="n">
        <v>-23.570263</v>
      </c>
      <c r="C14440" s="43" t="n">
        <v>-46.540403</v>
      </c>
      <c r="D14440" s="43" t="n">
        <v>368</v>
      </c>
      <c r="E14440" s="44" t="n">
        <v>10503.627</v>
      </c>
    </row>
    <row r="14441">
      <c r="A14441" s="39">
        <f>_xlfn.XLOOKUP(82049,Trip[shape_id],Trip[shape_id],"Não encontrado")</f>
        <v/>
      </c>
      <c r="B14441" s="40" t="n">
        <v>-23.57016</v>
      </c>
      <c r="C14441" s="40" t="n">
        <v>-46.540536</v>
      </c>
      <c r="D14441" s="40" t="n">
        <v>369</v>
      </c>
      <c r="E14441" s="41" t="n">
        <v>10521.36</v>
      </c>
    </row>
    <row r="14442">
      <c r="A14442" s="42">
        <f>_xlfn.XLOOKUP(82049,Trip[shape_id],Trip[shape_id],"Não encontrado")</f>
        <v/>
      </c>
      <c r="B14442" s="43" t="n">
        <v>-23.570053</v>
      </c>
      <c r="C14442" s="43" t="n">
        <v>-46.540579</v>
      </c>
      <c r="D14442" s="43" t="n">
        <v>370</v>
      </c>
      <c r="E14442" s="44" t="n">
        <v>10533.998</v>
      </c>
    </row>
    <row r="14443">
      <c r="A14443" s="39">
        <f>_xlfn.XLOOKUP(82049,Trip[shape_id],Trip[shape_id],"Não encontrado")</f>
        <v/>
      </c>
      <c r="B14443" s="40" t="n">
        <v>-23.569965</v>
      </c>
      <c r="C14443" s="40" t="n">
        <v>-46.540602</v>
      </c>
      <c r="D14443" s="40" t="n">
        <v>371</v>
      </c>
      <c r="E14443" s="41" t="n">
        <v>10544.023</v>
      </c>
    </row>
    <row r="14444">
      <c r="A14444" s="42">
        <f>_xlfn.XLOOKUP(82049,Trip[shape_id],Trip[shape_id],"Não encontrado")</f>
        <v/>
      </c>
      <c r="B14444" s="43" t="n">
        <v>-23.569934</v>
      </c>
      <c r="C14444" s="43" t="n">
        <v>-46.540602</v>
      </c>
      <c r="D14444" s="43" t="n">
        <v>372</v>
      </c>
      <c r="E14444" s="44" t="n">
        <v>10547.456</v>
      </c>
    </row>
    <row r="14445">
      <c r="A14445" s="39">
        <f>_xlfn.XLOOKUP(82049,Trip[shape_id],Trip[shape_id],"Não encontrado")</f>
        <v/>
      </c>
      <c r="B14445" s="40" t="n">
        <v>-23.569877</v>
      </c>
      <c r="C14445" s="40" t="n">
        <v>-46.540603</v>
      </c>
      <c r="D14445" s="40" t="n">
        <v>373</v>
      </c>
      <c r="E14445" s="41" t="n">
        <v>10553.77</v>
      </c>
    </row>
    <row r="14446">
      <c r="A14446" s="42">
        <f>_xlfn.XLOOKUP(82049,Trip[shape_id],Trip[shape_id],"Não encontrado")</f>
        <v/>
      </c>
      <c r="B14446" s="43" t="n">
        <v>-23.569777</v>
      </c>
      <c r="C14446" s="43" t="n">
        <v>-46.54057</v>
      </c>
      <c r="D14446" s="43" t="n">
        <v>374</v>
      </c>
      <c r="E14446" s="44" t="n">
        <v>10565.346</v>
      </c>
    </row>
    <row r="14447">
      <c r="A14447" s="39">
        <f>_xlfn.XLOOKUP(82049,Trip[shape_id],Trip[shape_id],"Não encontrado")</f>
        <v/>
      </c>
      <c r="B14447" s="40" t="n">
        <v>-23.569472</v>
      </c>
      <c r="C14447" s="40" t="n">
        <v>-46.540373</v>
      </c>
      <c r="D14447" s="40" t="n">
        <v>375</v>
      </c>
      <c r="E14447" s="41" t="n">
        <v>10604.658</v>
      </c>
    </row>
    <row r="14448">
      <c r="A14448" s="42">
        <f>_xlfn.XLOOKUP(82049,Trip[shape_id],Trip[shape_id],"Não encontrado")</f>
        <v/>
      </c>
      <c r="B14448" s="43" t="n">
        <v>-23.569375</v>
      </c>
      <c r="C14448" s="43" t="n">
        <v>-46.54035</v>
      </c>
      <c r="D14448" s="43" t="n">
        <v>376</v>
      </c>
      <c r="E14448" s="44" t="n">
        <v>10615.655</v>
      </c>
    </row>
    <row r="14449">
      <c r="A14449" s="39">
        <f>_xlfn.XLOOKUP(82049,Trip[shape_id],Trip[shape_id],"Não encontrado")</f>
        <v/>
      </c>
      <c r="B14449" s="40" t="n">
        <v>-23.569201</v>
      </c>
      <c r="C14449" s="40" t="n">
        <v>-46.540315</v>
      </c>
      <c r="D14449" s="40" t="n">
        <v>377</v>
      </c>
      <c r="E14449" s="41" t="n">
        <v>10635.255</v>
      </c>
    </row>
    <row r="14450">
      <c r="A14450" s="42">
        <f>_xlfn.XLOOKUP(82049,Trip[shape_id],Trip[shape_id],"Não encontrado")</f>
        <v/>
      </c>
      <c r="B14450" s="43" t="n">
        <v>-23.569113</v>
      </c>
      <c r="C14450" s="43" t="n">
        <v>-46.540361</v>
      </c>
      <c r="D14450" s="43" t="n">
        <v>378</v>
      </c>
      <c r="E14450" s="44" t="n">
        <v>10646.073</v>
      </c>
    </row>
    <row r="14451">
      <c r="A14451" s="39">
        <f>_xlfn.XLOOKUP(82049,Trip[shape_id],Trip[shape_id],"Não encontrado")</f>
        <v/>
      </c>
      <c r="B14451" s="40" t="n">
        <v>-23.568965</v>
      </c>
      <c r="C14451" s="40" t="n">
        <v>-46.540437</v>
      </c>
      <c r="D14451" s="40" t="n">
        <v>379</v>
      </c>
      <c r="E14451" s="41" t="n">
        <v>10664.208</v>
      </c>
    </row>
    <row r="14452">
      <c r="A14452" s="42">
        <f>_xlfn.XLOOKUP(82049,Trip[shape_id],Trip[shape_id],"Não encontrado")</f>
        <v/>
      </c>
      <c r="B14452" s="43" t="n">
        <v>-23.568771</v>
      </c>
      <c r="C14452" s="43" t="n">
        <v>-46.540466</v>
      </c>
      <c r="D14452" s="43" t="n">
        <v>380</v>
      </c>
      <c r="E14452" s="44" t="n">
        <v>10685.896</v>
      </c>
    </row>
    <row r="14453">
      <c r="A14453" s="39">
        <f>_xlfn.XLOOKUP(82049,Trip[shape_id],Trip[shape_id],"Não encontrado")</f>
        <v/>
      </c>
      <c r="B14453" s="40" t="n">
        <v>-23.568666</v>
      </c>
      <c r="C14453" s="40" t="n">
        <v>-46.540466</v>
      </c>
      <c r="D14453" s="40" t="n">
        <v>381</v>
      </c>
      <c r="E14453" s="41" t="n">
        <v>10697.525</v>
      </c>
    </row>
    <row r="14454">
      <c r="A14454" s="42">
        <f>_xlfn.XLOOKUP(82049,Trip[shape_id],Trip[shape_id],"Não encontrado")</f>
        <v/>
      </c>
      <c r="B14454" s="43" t="n">
        <v>-23.568505</v>
      </c>
      <c r="C14454" s="43" t="n">
        <v>-46.540462</v>
      </c>
      <c r="D14454" s="43" t="n">
        <v>382</v>
      </c>
      <c r="E14454" s="44" t="n">
        <v>10715.361</v>
      </c>
    </row>
    <row r="14455">
      <c r="A14455" s="39">
        <f>_xlfn.XLOOKUP(82049,Trip[shape_id],Trip[shape_id],"Não encontrado")</f>
        <v/>
      </c>
      <c r="B14455" s="40" t="n">
        <v>-23.56801</v>
      </c>
      <c r="C14455" s="40" t="n">
        <v>-46.540378</v>
      </c>
      <c r="D14455" s="40" t="n">
        <v>383</v>
      </c>
      <c r="E14455" s="41" t="n">
        <v>10770.851</v>
      </c>
    </row>
    <row r="14456">
      <c r="A14456" s="42">
        <f>_xlfn.XLOOKUP(82049,Trip[shape_id],Trip[shape_id],"Não encontrado")</f>
        <v/>
      </c>
      <c r="B14456" s="43" t="n">
        <v>-23.567356</v>
      </c>
      <c r="C14456" s="43" t="n">
        <v>-46.540199</v>
      </c>
      <c r="D14456" s="43" t="n">
        <v>384</v>
      </c>
      <c r="E14456" s="44" t="n">
        <v>10845.552</v>
      </c>
    </row>
    <row r="14457">
      <c r="A14457" s="39">
        <f>_xlfn.XLOOKUP(82049,Trip[shape_id],Trip[shape_id],"Não encontrado")</f>
        <v/>
      </c>
      <c r="B14457" s="40" t="n">
        <v>-23.567285</v>
      </c>
      <c r="C14457" s="40" t="n">
        <v>-46.54024</v>
      </c>
      <c r="D14457" s="40" t="n">
        <v>385</v>
      </c>
      <c r="E14457" s="41" t="n">
        <v>10854.46</v>
      </c>
    </row>
    <row r="14458">
      <c r="A14458" s="42">
        <f>_xlfn.XLOOKUP(82049,Trip[shape_id],Trip[shape_id],"Não encontrado")</f>
        <v/>
      </c>
      <c r="B14458" s="43" t="n">
        <v>-23.567235</v>
      </c>
      <c r="C14458" s="43" t="n">
        <v>-46.540282</v>
      </c>
      <c r="D14458" s="43" t="n">
        <v>386</v>
      </c>
      <c r="E14458" s="44" t="n">
        <v>10861.464</v>
      </c>
    </row>
    <row r="14459">
      <c r="A14459" s="39">
        <f>_xlfn.XLOOKUP(82049,Trip[shape_id],Trip[shape_id],"Não encontrado")</f>
        <v/>
      </c>
      <c r="B14459" s="40" t="n">
        <v>-23.567198</v>
      </c>
      <c r="C14459" s="40" t="n">
        <v>-46.540351</v>
      </c>
      <c r="D14459" s="40" t="n">
        <v>387</v>
      </c>
      <c r="E14459" s="41" t="n">
        <v>10869.613</v>
      </c>
    </row>
    <row r="14460">
      <c r="A14460" s="42">
        <f>_xlfn.XLOOKUP(82049,Trip[shape_id],Trip[shape_id],"Não encontrado")</f>
        <v/>
      </c>
      <c r="B14460" s="43" t="n">
        <v>-23.567174</v>
      </c>
      <c r="C14460" s="43" t="n">
        <v>-46.54041</v>
      </c>
      <c r="D14460" s="43" t="n">
        <v>388</v>
      </c>
      <c r="E14460" s="44" t="n">
        <v>10876.196</v>
      </c>
    </row>
    <row r="14461">
      <c r="A14461" s="39">
        <f>_xlfn.XLOOKUP(82049,Trip[shape_id],Trip[shape_id],"Não encontrado")</f>
        <v/>
      </c>
      <c r="B14461" s="40" t="n">
        <v>-23.56729</v>
      </c>
      <c r="C14461" s="40" t="n">
        <v>-46.540711</v>
      </c>
      <c r="D14461" s="40" t="n">
        <v>389</v>
      </c>
      <c r="E14461" s="41" t="n">
        <v>10909.503</v>
      </c>
    </row>
    <row r="14462">
      <c r="A14462" s="42">
        <f>_xlfn.XLOOKUP(82049,Trip[shape_id],Trip[shape_id],"Não encontrado")</f>
        <v/>
      </c>
      <c r="B14462" s="43" t="n">
        <v>-23.567328</v>
      </c>
      <c r="C14462" s="43" t="n">
        <v>-46.540864</v>
      </c>
      <c r="D14462" s="43" t="n">
        <v>390</v>
      </c>
      <c r="E14462" s="44" t="n">
        <v>10925.68</v>
      </c>
    </row>
    <row r="14463">
      <c r="A14463" s="39">
        <f>_xlfn.XLOOKUP(82049,Trip[shape_id],Trip[shape_id],"Não encontrado")</f>
        <v/>
      </c>
      <c r="B14463" s="40" t="n">
        <v>-23.567352</v>
      </c>
      <c r="C14463" s="40" t="n">
        <v>-46.541015</v>
      </c>
      <c r="D14463" s="40" t="n">
        <v>391</v>
      </c>
      <c r="E14463" s="41" t="n">
        <v>10941.322</v>
      </c>
    </row>
    <row r="14464">
      <c r="A14464" s="42">
        <f>_xlfn.XLOOKUP(82049,Trip[shape_id],Trip[shape_id],"Não encontrado")</f>
        <v/>
      </c>
      <c r="B14464" s="43" t="n">
        <v>-23.567362</v>
      </c>
      <c r="C14464" s="43" t="n">
        <v>-46.541103</v>
      </c>
      <c r="D14464" s="43" t="n">
        <v>392</v>
      </c>
      <c r="E14464" s="44" t="n">
        <v>10950.374</v>
      </c>
    </row>
    <row r="14465">
      <c r="A14465" s="39">
        <f>_xlfn.XLOOKUP(82049,Trip[shape_id],Trip[shape_id],"Não encontrado")</f>
        <v/>
      </c>
      <c r="B14465" s="40" t="n">
        <v>-23.56737</v>
      </c>
      <c r="C14465" s="40" t="n">
        <v>-46.541221</v>
      </c>
      <c r="D14465" s="40" t="n">
        <v>393</v>
      </c>
      <c r="E14465" s="41" t="n">
        <v>10962.453</v>
      </c>
    </row>
    <row r="14466">
      <c r="A14466" s="42">
        <f>_xlfn.XLOOKUP(82049,Trip[shape_id],Trip[shape_id],"Não encontrado")</f>
        <v/>
      </c>
      <c r="B14466" s="43" t="n">
        <v>-23.567366</v>
      </c>
      <c r="C14466" s="43" t="n">
        <v>-46.541335</v>
      </c>
      <c r="D14466" s="43" t="n">
        <v>394</v>
      </c>
      <c r="E14466" s="44" t="n">
        <v>10974.1</v>
      </c>
    </row>
    <row r="14467">
      <c r="A14467" s="39">
        <f>_xlfn.XLOOKUP(82049,Trip[shape_id],Trip[shape_id],"Não encontrado")</f>
        <v/>
      </c>
      <c r="B14467" s="40" t="n">
        <v>-23.567351</v>
      </c>
      <c r="C14467" s="40" t="n">
        <v>-46.541517</v>
      </c>
      <c r="D14467" s="40" t="n">
        <v>395</v>
      </c>
      <c r="E14467" s="41" t="n">
        <v>10992.754</v>
      </c>
    </row>
    <row r="14468">
      <c r="A14468" s="42">
        <f>_xlfn.XLOOKUP(82049,Trip[shape_id],Trip[shape_id],"Não encontrado")</f>
        <v/>
      </c>
      <c r="B14468" s="43" t="n">
        <v>-23.567333</v>
      </c>
      <c r="C14468" s="43" t="n">
        <v>-46.541773</v>
      </c>
      <c r="D14468" s="43" t="n">
        <v>396</v>
      </c>
      <c r="E14468" s="44" t="n">
        <v>11018.965</v>
      </c>
    </row>
    <row r="14469">
      <c r="A14469" s="39">
        <f>_xlfn.XLOOKUP(82049,Trip[shape_id],Trip[shape_id],"Não encontrado")</f>
        <v/>
      </c>
      <c r="B14469" s="40" t="n">
        <v>-23.567335</v>
      </c>
      <c r="C14469" s="40" t="n">
        <v>-46.541927</v>
      </c>
      <c r="D14469" s="40" t="n">
        <v>397</v>
      </c>
      <c r="E14469" s="41" t="n">
        <v>11034.688</v>
      </c>
    </row>
    <row r="14470">
      <c r="A14470" s="42">
        <f>_xlfn.XLOOKUP(82049,Trip[shape_id],Trip[shape_id],"Não encontrado")</f>
        <v/>
      </c>
      <c r="B14470" s="43" t="n">
        <v>-23.567344</v>
      </c>
      <c r="C14470" s="43" t="n">
        <v>-46.541975</v>
      </c>
      <c r="D14470" s="43" t="n">
        <v>398</v>
      </c>
      <c r="E14470" s="44" t="n">
        <v>11039.688</v>
      </c>
    </row>
    <row r="14471">
      <c r="A14471" s="39">
        <f>_xlfn.XLOOKUP(82049,Trip[shape_id],Trip[shape_id],"Não encontrado")</f>
        <v/>
      </c>
      <c r="B14471" s="40" t="n">
        <v>-23.567362</v>
      </c>
      <c r="C14471" s="40" t="n">
        <v>-46.542027</v>
      </c>
      <c r="D14471" s="40" t="n">
        <v>399</v>
      </c>
      <c r="E14471" s="41" t="n">
        <v>11045.357</v>
      </c>
    </row>
    <row r="14472">
      <c r="A14472" s="42">
        <f>_xlfn.XLOOKUP(82049,Trip[shape_id],Trip[shape_id],"Não encontrado")</f>
        <v/>
      </c>
      <c r="B14472" s="43" t="n">
        <v>-23.567359</v>
      </c>
      <c r="C14472" s="43" t="n">
        <v>-46.542193</v>
      </c>
      <c r="D14472" s="43" t="n">
        <v>400</v>
      </c>
      <c r="E14472" s="44" t="n">
        <v>11062.308</v>
      </c>
    </row>
    <row r="14473">
      <c r="A14473" s="39">
        <f>_xlfn.XLOOKUP(82049,Trip[shape_id],Trip[shape_id],"Não encontrado")</f>
        <v/>
      </c>
      <c r="B14473" s="40" t="n">
        <v>-23.567294</v>
      </c>
      <c r="C14473" s="40" t="n">
        <v>-46.543039</v>
      </c>
      <c r="D14473" s="40" t="n">
        <v>401</v>
      </c>
      <c r="E14473" s="41" t="n">
        <v>11148.975</v>
      </c>
    </row>
    <row r="14474">
      <c r="A14474" s="42">
        <f>_xlfn.XLOOKUP(82049,Trip[shape_id],Trip[shape_id],"Não encontrado")</f>
        <v/>
      </c>
      <c r="B14474" s="43" t="n">
        <v>-23.567284</v>
      </c>
      <c r="C14474" s="43" t="n">
        <v>-46.543132</v>
      </c>
      <c r="D14474" s="43" t="n">
        <v>402</v>
      </c>
      <c r="E14474" s="44" t="n">
        <v>11158.533</v>
      </c>
    </row>
    <row r="14475">
      <c r="A14475" s="39">
        <f>_xlfn.XLOOKUP(82049,Trip[shape_id],Trip[shape_id],"Não encontrado")</f>
        <v/>
      </c>
      <c r="B14475" s="40" t="n">
        <v>-23.567221</v>
      </c>
      <c r="C14475" s="40" t="n">
        <v>-46.5434</v>
      </c>
      <c r="D14475" s="40" t="n">
        <v>403</v>
      </c>
      <c r="E14475" s="41" t="n">
        <v>11186.769</v>
      </c>
    </row>
    <row r="14476">
      <c r="A14476" s="42">
        <f>_xlfn.XLOOKUP(82049,Trip[shape_id],Trip[shape_id],"Não encontrado")</f>
        <v/>
      </c>
      <c r="B14476" s="43" t="n">
        <v>-23.567185</v>
      </c>
      <c r="C14476" s="43" t="n">
        <v>-46.543486</v>
      </c>
      <c r="D14476" s="43" t="n">
        <v>404</v>
      </c>
      <c r="E14476" s="44" t="n">
        <v>11196.411</v>
      </c>
    </row>
    <row r="14477">
      <c r="A14477" s="39">
        <f>_xlfn.XLOOKUP(82049,Trip[shape_id],Trip[shape_id],"Não encontrado")</f>
        <v/>
      </c>
      <c r="B14477" s="40" t="n">
        <v>-23.567138</v>
      </c>
      <c r="C14477" s="40" t="n">
        <v>-46.543599</v>
      </c>
      <c r="D14477" s="40" t="n">
        <v>405</v>
      </c>
      <c r="E14477" s="41" t="n">
        <v>11209.067</v>
      </c>
    </row>
    <row r="14478">
      <c r="A14478" s="42">
        <f>_xlfn.XLOOKUP(82049,Trip[shape_id],Trip[shape_id],"Não encontrado")</f>
        <v/>
      </c>
      <c r="B14478" s="43" t="n">
        <v>-23.567081</v>
      </c>
      <c r="C14478" s="43" t="n">
        <v>-46.5437</v>
      </c>
      <c r="D14478" s="43" t="n">
        <v>406</v>
      </c>
      <c r="E14478" s="44" t="n">
        <v>11221.157</v>
      </c>
    </row>
    <row r="14479">
      <c r="A14479" s="39">
        <f>_xlfn.XLOOKUP(82049,Trip[shape_id],Trip[shape_id],"Não encontrado")</f>
        <v/>
      </c>
      <c r="B14479" s="40" t="n">
        <v>-23.567027</v>
      </c>
      <c r="C14479" s="40" t="n">
        <v>-46.543774</v>
      </c>
      <c r="D14479" s="40" t="n">
        <v>407</v>
      </c>
      <c r="E14479" s="41" t="n">
        <v>11230.792</v>
      </c>
    </row>
    <row r="14480">
      <c r="A14480" s="42">
        <f>_xlfn.XLOOKUP(82049,Trip[shape_id],Trip[shape_id],"Não encontrado")</f>
        <v/>
      </c>
      <c r="B14480" s="43" t="n">
        <v>-23.56695</v>
      </c>
      <c r="C14480" s="43" t="n">
        <v>-46.543871</v>
      </c>
      <c r="D14480" s="43" t="n">
        <v>408</v>
      </c>
      <c r="E14480" s="44" t="n">
        <v>11243.86</v>
      </c>
    </row>
    <row r="14481">
      <c r="A14481" s="39">
        <f>_xlfn.XLOOKUP(82049,Trip[shape_id],Trip[shape_id],"Não encontrado")</f>
        <v/>
      </c>
      <c r="B14481" s="40" t="n">
        <v>-23.566871</v>
      </c>
      <c r="C14481" s="40" t="n">
        <v>-46.543981</v>
      </c>
      <c r="D14481" s="40" t="n">
        <v>409</v>
      </c>
      <c r="E14481" s="41" t="n">
        <v>11258.097</v>
      </c>
    </row>
    <row r="14482">
      <c r="A14482" s="42">
        <f>_xlfn.XLOOKUP(82049,Trip[shape_id],Trip[shape_id],"Não encontrado")</f>
        <v/>
      </c>
      <c r="B14482" s="43" t="n">
        <v>-23.56598</v>
      </c>
      <c r="C14482" s="43" t="n">
        <v>-46.544726</v>
      </c>
      <c r="D14482" s="43" t="n">
        <v>410</v>
      </c>
      <c r="E14482" s="44" t="n">
        <v>11382.686</v>
      </c>
    </row>
    <row r="14483">
      <c r="A14483" s="39">
        <f>_xlfn.XLOOKUP(82049,Trip[shape_id],Trip[shape_id],"Não encontrado")</f>
        <v/>
      </c>
      <c r="B14483" s="40" t="n">
        <v>-23.565745</v>
      </c>
      <c r="C14483" s="40" t="n">
        <v>-46.544917</v>
      </c>
      <c r="D14483" s="40" t="n">
        <v>411</v>
      </c>
      <c r="E14483" s="41" t="n">
        <v>11415.206</v>
      </c>
    </row>
    <row r="14484">
      <c r="A14484" s="42">
        <f>_xlfn.XLOOKUP(82049,Trip[shape_id],Trip[shape_id],"Não encontrado")</f>
        <v/>
      </c>
      <c r="B14484" s="43" t="n">
        <v>-23.565479</v>
      </c>
      <c r="C14484" s="43" t="n">
        <v>-46.545116</v>
      </c>
      <c r="D14484" s="43" t="n">
        <v>412</v>
      </c>
      <c r="E14484" s="44" t="n">
        <v>11450.992</v>
      </c>
    </row>
    <row r="14485">
      <c r="A14485" s="39">
        <f>_xlfn.XLOOKUP(82049,Trip[shape_id],Trip[shape_id],"Não encontrado")</f>
        <v/>
      </c>
      <c r="B14485" s="40" t="n">
        <v>-23.56529</v>
      </c>
      <c r="C14485" s="40" t="n">
        <v>-46.545294</v>
      </c>
      <c r="D14485" s="40" t="n">
        <v>413</v>
      </c>
      <c r="E14485" s="41" t="n">
        <v>11478.712</v>
      </c>
    </row>
    <row r="14486">
      <c r="A14486" s="42">
        <f>_xlfn.XLOOKUP(82049,Trip[shape_id],Trip[shape_id],"Não encontrado")</f>
        <v/>
      </c>
      <c r="B14486" s="43" t="n">
        <v>-23.565129</v>
      </c>
      <c r="C14486" s="43" t="n">
        <v>-46.545466</v>
      </c>
      <c r="D14486" s="43" t="n">
        <v>414</v>
      </c>
      <c r="E14486" s="44" t="n">
        <v>11503.737</v>
      </c>
    </row>
    <row r="14487">
      <c r="A14487" s="39">
        <f>_xlfn.XLOOKUP(82049,Trip[shape_id],Trip[shape_id],"Não encontrado")</f>
        <v/>
      </c>
      <c r="B14487" s="40" t="n">
        <v>-23.565066</v>
      </c>
      <c r="C14487" s="40" t="n">
        <v>-46.545558</v>
      </c>
      <c r="D14487" s="40" t="n">
        <v>415</v>
      </c>
      <c r="E14487" s="41" t="n">
        <v>11515.438</v>
      </c>
    </row>
    <row r="14488">
      <c r="A14488" s="42">
        <f>_xlfn.XLOOKUP(82049,Trip[shape_id],Trip[shape_id],"Não encontrado")</f>
        <v/>
      </c>
      <c r="B14488" s="43" t="n">
        <v>-23.564767</v>
      </c>
      <c r="C14488" s="43" t="n">
        <v>-46.546037</v>
      </c>
      <c r="D14488" s="43" t="n">
        <v>416</v>
      </c>
      <c r="E14488" s="44" t="n">
        <v>11574.496</v>
      </c>
    </row>
    <row r="14489">
      <c r="A14489" s="39">
        <f>_xlfn.XLOOKUP(82049,Trip[shape_id],Trip[shape_id],"Não encontrado")</f>
        <v/>
      </c>
      <c r="B14489" s="40" t="n">
        <v>-23.564709</v>
      </c>
      <c r="C14489" s="40" t="n">
        <v>-46.546187</v>
      </c>
      <c r="D14489" s="40" t="n">
        <v>417</v>
      </c>
      <c r="E14489" s="41" t="n">
        <v>11591.103</v>
      </c>
    </row>
    <row r="14490">
      <c r="A14490" s="42">
        <f>_xlfn.XLOOKUP(82049,Trip[shape_id],Trip[shape_id],"Não encontrado")</f>
        <v/>
      </c>
      <c r="B14490" s="43" t="n">
        <v>-23.564664</v>
      </c>
      <c r="C14490" s="43" t="n">
        <v>-46.546376</v>
      </c>
      <c r="D14490" s="43" t="n">
        <v>418</v>
      </c>
      <c r="E14490" s="44" t="n">
        <v>11611.031</v>
      </c>
    </row>
    <row r="14491">
      <c r="A14491" s="39">
        <f>_xlfn.XLOOKUP(82049,Trip[shape_id],Trip[shape_id],"Não encontrado")</f>
        <v/>
      </c>
      <c r="B14491" s="40" t="n">
        <v>-23.564632</v>
      </c>
      <c r="C14491" s="40" t="n">
        <v>-46.546513</v>
      </c>
      <c r="D14491" s="40" t="n">
        <v>419</v>
      </c>
      <c r="E14491" s="41" t="n">
        <v>11625.46</v>
      </c>
    </row>
    <row r="14492">
      <c r="A14492" s="42">
        <f>_xlfn.XLOOKUP(82049,Trip[shape_id],Trip[shape_id],"Não encontrado")</f>
        <v/>
      </c>
      <c r="B14492" s="43" t="n">
        <v>-23.564511</v>
      </c>
      <c r="C14492" s="43" t="n">
        <v>-46.547128</v>
      </c>
      <c r="D14492" s="43" t="n">
        <v>420</v>
      </c>
      <c r="E14492" s="44" t="n">
        <v>11689.66</v>
      </c>
    </row>
    <row r="14493">
      <c r="A14493" s="39">
        <f>_xlfn.XLOOKUP(82049,Trip[shape_id],Trip[shape_id],"Não encontrado")</f>
        <v/>
      </c>
      <c r="B14493" s="40" t="n">
        <v>-23.564459</v>
      </c>
      <c r="C14493" s="40" t="n">
        <v>-46.5474</v>
      </c>
      <c r="D14493" s="40" t="n">
        <v>421</v>
      </c>
      <c r="E14493" s="41" t="n">
        <v>11718.021</v>
      </c>
    </row>
    <row r="14494">
      <c r="A14494" s="42">
        <f>_xlfn.XLOOKUP(82049,Trip[shape_id],Trip[shape_id],"Não encontrado")</f>
        <v/>
      </c>
      <c r="B14494" s="43" t="n">
        <v>-23.564367</v>
      </c>
      <c r="C14494" s="43" t="n">
        <v>-46.547806</v>
      </c>
      <c r="D14494" s="43" t="n">
        <v>422</v>
      </c>
      <c r="E14494" s="44" t="n">
        <v>11760.703</v>
      </c>
    </row>
    <row r="14495">
      <c r="A14495" s="39">
        <f>_xlfn.XLOOKUP(82049,Trip[shape_id],Trip[shape_id],"Não encontrado")</f>
        <v/>
      </c>
      <c r="B14495" s="40" t="n">
        <v>-23.564318</v>
      </c>
      <c r="C14495" s="40" t="n">
        <v>-46.548</v>
      </c>
      <c r="D14495" s="40" t="n">
        <v>423</v>
      </c>
      <c r="E14495" s="41" t="n">
        <v>11781.239</v>
      </c>
    </row>
    <row r="14496">
      <c r="A14496" s="42">
        <f>_xlfn.XLOOKUP(82049,Trip[shape_id],Trip[shape_id],"Não encontrado")</f>
        <v/>
      </c>
      <c r="B14496" s="43" t="n">
        <v>-23.564242</v>
      </c>
      <c r="C14496" s="43" t="n">
        <v>-46.548238</v>
      </c>
      <c r="D14496" s="43" t="n">
        <v>424</v>
      </c>
      <c r="E14496" s="44" t="n">
        <v>11806.953</v>
      </c>
    </row>
    <row r="14497">
      <c r="A14497" s="39">
        <f>_xlfn.XLOOKUP(82049,Trip[shape_id],Trip[shape_id],"Não encontrado")</f>
        <v/>
      </c>
      <c r="B14497" s="40" t="n">
        <v>-23.564224</v>
      </c>
      <c r="C14497" s="40" t="n">
        <v>-46.548283</v>
      </c>
      <c r="D14497" s="40" t="n">
        <v>425</v>
      </c>
      <c r="E14497" s="41" t="n">
        <v>11811.962</v>
      </c>
    </row>
    <row r="14498">
      <c r="A14498" s="42">
        <f>_xlfn.XLOOKUP(82049,Trip[shape_id],Trip[shape_id],"Não encontrado")</f>
        <v/>
      </c>
      <c r="B14498" s="43" t="n">
        <v>-23.564105</v>
      </c>
      <c r="C14498" s="43" t="n">
        <v>-46.548543</v>
      </c>
      <c r="D14498" s="43" t="n">
        <v>426</v>
      </c>
      <c r="E14498" s="44" t="n">
        <v>11841.598</v>
      </c>
    </row>
    <row r="14499">
      <c r="A14499" s="39">
        <f>_xlfn.XLOOKUP(82049,Trip[shape_id],Trip[shape_id],"Não encontrado")</f>
        <v/>
      </c>
      <c r="B14499" s="40" t="n">
        <v>-23.563962</v>
      </c>
      <c r="C14499" s="40" t="n">
        <v>-46.548769</v>
      </c>
      <c r="D14499" s="40" t="n">
        <v>427</v>
      </c>
      <c r="E14499" s="41" t="n">
        <v>11869.583</v>
      </c>
    </row>
    <row r="14500">
      <c r="A14500" s="42">
        <f>_xlfn.XLOOKUP(82049,Trip[shape_id],Trip[shape_id],"Não encontrado")</f>
        <v/>
      </c>
      <c r="B14500" s="43" t="n">
        <v>-23.5638</v>
      </c>
      <c r="C14500" s="43" t="n">
        <v>-46.548977</v>
      </c>
      <c r="D14500" s="43" t="n">
        <v>428</v>
      </c>
      <c r="E14500" s="44" t="n">
        <v>11897.383</v>
      </c>
    </row>
    <row r="14501">
      <c r="A14501" s="39">
        <f>_xlfn.XLOOKUP(82049,Trip[shape_id],Trip[shape_id],"Não encontrado")</f>
        <v/>
      </c>
      <c r="B14501" s="40" t="n">
        <v>-23.563682</v>
      </c>
      <c r="C14501" s="40" t="n">
        <v>-46.549105</v>
      </c>
      <c r="D14501" s="40" t="n">
        <v>429</v>
      </c>
      <c r="E14501" s="41" t="n">
        <v>11915.864</v>
      </c>
    </row>
    <row r="14502">
      <c r="A14502" s="42">
        <f>_xlfn.XLOOKUP(82049,Trip[shape_id],Trip[shape_id],"Não encontrado")</f>
        <v/>
      </c>
      <c r="B14502" s="43" t="n">
        <v>-23.563414</v>
      </c>
      <c r="C14502" s="43" t="n">
        <v>-46.54937</v>
      </c>
      <c r="D14502" s="43" t="n">
        <v>430</v>
      </c>
      <c r="E14502" s="44" t="n">
        <v>11956.025</v>
      </c>
    </row>
    <row r="14503">
      <c r="A14503" s="39">
        <f>_xlfn.XLOOKUP(82049,Trip[shape_id],Trip[shape_id],"Não encontrado")</f>
        <v/>
      </c>
      <c r="B14503" s="40" t="n">
        <v>-23.563175</v>
      </c>
      <c r="C14503" s="40" t="n">
        <v>-46.549607</v>
      </c>
      <c r="D14503" s="40" t="n">
        <v>431</v>
      </c>
      <c r="E14503" s="41" t="n">
        <v>11991.888</v>
      </c>
    </row>
    <row r="14504">
      <c r="A14504" s="42">
        <f>_xlfn.XLOOKUP(82049,Trip[shape_id],Trip[shape_id],"Não encontrado")</f>
        <v/>
      </c>
      <c r="B14504" s="43" t="n">
        <v>-23.56271</v>
      </c>
      <c r="C14504" s="43" t="n">
        <v>-46.550095</v>
      </c>
      <c r="D14504" s="43" t="n">
        <v>432</v>
      </c>
      <c r="E14504" s="44" t="n">
        <v>12063.542</v>
      </c>
    </row>
    <row r="14505">
      <c r="A14505" s="39">
        <f>_xlfn.XLOOKUP(82049,Trip[shape_id],Trip[shape_id],"Não encontrado")</f>
        <v/>
      </c>
      <c r="B14505" s="40" t="n">
        <v>-23.562591</v>
      </c>
      <c r="C14505" s="40" t="n">
        <v>-46.550231</v>
      </c>
      <c r="D14505" s="40" t="n">
        <v>433</v>
      </c>
      <c r="E14505" s="41" t="n">
        <v>12082.686</v>
      </c>
    </row>
    <row r="14506">
      <c r="A14506" s="42">
        <f>_xlfn.XLOOKUP(82049,Trip[shape_id],Trip[shape_id],"Não encontrado")</f>
        <v/>
      </c>
      <c r="B14506" s="43" t="n">
        <v>-23.562498</v>
      </c>
      <c r="C14506" s="43" t="n">
        <v>-46.550379</v>
      </c>
      <c r="D14506" s="43" t="n">
        <v>434</v>
      </c>
      <c r="E14506" s="44" t="n">
        <v>12100.972</v>
      </c>
    </row>
    <row r="14507">
      <c r="A14507" s="39">
        <f>_xlfn.XLOOKUP(82049,Trip[shape_id],Trip[shape_id],"Não encontrado")</f>
        <v/>
      </c>
      <c r="B14507" s="40" t="n">
        <v>-23.562414</v>
      </c>
      <c r="C14507" s="40" t="n">
        <v>-46.550573</v>
      </c>
      <c r="D14507" s="40" t="n">
        <v>435</v>
      </c>
      <c r="E14507" s="41" t="n">
        <v>12122.854</v>
      </c>
    </row>
    <row r="14508">
      <c r="A14508" s="42">
        <f>_xlfn.XLOOKUP(82049,Trip[shape_id],Trip[shape_id],"Não encontrado")</f>
        <v/>
      </c>
      <c r="B14508" s="43" t="n">
        <v>-23.562367</v>
      </c>
      <c r="C14508" s="43" t="n">
        <v>-46.550756</v>
      </c>
      <c r="D14508" s="43" t="n">
        <v>436</v>
      </c>
      <c r="E14508" s="44" t="n">
        <v>12142.248</v>
      </c>
    </row>
    <row r="14509">
      <c r="A14509" s="39">
        <f>_xlfn.XLOOKUP(82049,Trip[shape_id],Trip[shape_id],"Não encontrado")</f>
        <v/>
      </c>
      <c r="B14509" s="40" t="n">
        <v>-23.562305</v>
      </c>
      <c r="C14509" s="40" t="n">
        <v>-46.551044</v>
      </c>
      <c r="D14509" s="40" t="n">
        <v>437</v>
      </c>
      <c r="E14509" s="41" t="n">
        <v>12172.442</v>
      </c>
    </row>
    <row r="14510">
      <c r="A14510" s="42">
        <f>_xlfn.XLOOKUP(82049,Trip[shape_id],Trip[shape_id],"Não encontrado")</f>
        <v/>
      </c>
      <c r="B14510" s="43" t="n">
        <v>-23.562325</v>
      </c>
      <c r="C14510" s="43" t="n">
        <v>-46.551401</v>
      </c>
      <c r="D14510" s="43" t="n">
        <v>438</v>
      </c>
      <c r="E14510" s="44" t="n">
        <v>12208.957</v>
      </c>
    </row>
    <row r="14511">
      <c r="A14511" s="39">
        <f>_xlfn.XLOOKUP(82049,Trip[shape_id],Trip[shape_id],"Não encontrado")</f>
        <v/>
      </c>
      <c r="B14511" s="40" t="n">
        <v>-23.562363</v>
      </c>
      <c r="C14511" s="40" t="n">
        <v>-46.551664</v>
      </c>
      <c r="D14511" s="40" t="n">
        <v>439</v>
      </c>
      <c r="E14511" s="41" t="n">
        <v>12236.136</v>
      </c>
    </row>
    <row r="14512">
      <c r="A14512" s="42">
        <f>_xlfn.XLOOKUP(82049,Trip[shape_id],Trip[shape_id],"Não encontrado")</f>
        <v/>
      </c>
      <c r="B14512" s="43" t="n">
        <v>-23.562411</v>
      </c>
      <c r="C14512" s="43" t="n">
        <v>-46.551768</v>
      </c>
      <c r="D14512" s="43" t="n">
        <v>440</v>
      </c>
      <c r="E14512" s="44" t="n">
        <v>12248.01</v>
      </c>
    </row>
    <row r="14513">
      <c r="A14513" s="39">
        <f>_xlfn.XLOOKUP(82049,Trip[shape_id],Trip[shape_id],"Não encontrado")</f>
        <v/>
      </c>
      <c r="B14513" s="40" t="n">
        <v>-23.562479</v>
      </c>
      <c r="C14513" s="40" t="n">
        <v>-46.551891</v>
      </c>
      <c r="D14513" s="40" t="n">
        <v>441</v>
      </c>
      <c r="E14513" s="41" t="n">
        <v>12262.652</v>
      </c>
    </row>
    <row r="14514">
      <c r="A14514" s="42">
        <f>_xlfn.XLOOKUP(82049,Trip[shape_id],Trip[shape_id],"Não encontrado")</f>
        <v/>
      </c>
      <c r="B14514" s="43" t="n">
        <v>-23.562606</v>
      </c>
      <c r="C14514" s="43" t="n">
        <v>-46.552015</v>
      </c>
      <c r="D14514" s="43" t="n">
        <v>442</v>
      </c>
      <c r="E14514" s="44" t="n">
        <v>12281.576</v>
      </c>
    </row>
    <row r="14515">
      <c r="A14515" s="39">
        <f>_xlfn.XLOOKUP(82049,Trip[shape_id],Trip[shape_id],"Não encontrado")</f>
        <v/>
      </c>
      <c r="B14515" s="40" t="n">
        <v>-23.562715</v>
      </c>
      <c r="C14515" s="40" t="n">
        <v>-46.552115</v>
      </c>
      <c r="D14515" s="40" t="n">
        <v>443</v>
      </c>
      <c r="E14515" s="41" t="n">
        <v>12297.387</v>
      </c>
    </row>
    <row r="14516">
      <c r="A14516" s="42">
        <f>_xlfn.XLOOKUP(82049,Trip[shape_id],Trip[shape_id],"Não encontrado")</f>
        <v/>
      </c>
      <c r="B14516" s="43" t="n">
        <v>-23.562783</v>
      </c>
      <c r="C14516" s="43" t="n">
        <v>-46.55218</v>
      </c>
      <c r="D14516" s="43" t="n">
        <v>444</v>
      </c>
      <c r="E14516" s="44" t="n">
        <v>12307.425</v>
      </c>
    </row>
    <row r="14517">
      <c r="A14517" s="39">
        <f>_xlfn.XLOOKUP(82049,Trip[shape_id],Trip[shape_id],"Não encontrado")</f>
        <v/>
      </c>
      <c r="B14517" s="40" t="n">
        <v>-23.562877</v>
      </c>
      <c r="C14517" s="40" t="n">
        <v>-46.552251</v>
      </c>
      <c r="D14517" s="40" t="n">
        <v>445</v>
      </c>
      <c r="E14517" s="41" t="n">
        <v>12320.11</v>
      </c>
    </row>
    <row r="14518">
      <c r="A14518" s="42">
        <f>_xlfn.XLOOKUP(82049,Trip[shape_id],Trip[shape_id],"Não encontrado")</f>
        <v/>
      </c>
      <c r="B14518" s="43" t="n">
        <v>-23.56309</v>
      </c>
      <c r="C14518" s="43" t="n">
        <v>-46.552407</v>
      </c>
      <c r="D14518" s="43" t="n">
        <v>446</v>
      </c>
      <c r="E14518" s="44" t="n">
        <v>12348.573</v>
      </c>
    </row>
    <row r="14519">
      <c r="A14519" s="39">
        <f>_xlfn.XLOOKUP(82049,Trip[shape_id],Trip[shape_id],"Não encontrado")</f>
        <v/>
      </c>
      <c r="B14519" s="40" t="n">
        <v>-23.563224</v>
      </c>
      <c r="C14519" s="40" t="n">
        <v>-46.552551</v>
      </c>
      <c r="D14519" s="40" t="n">
        <v>447</v>
      </c>
      <c r="E14519" s="41" t="n">
        <v>12369.463</v>
      </c>
    </row>
    <row r="14520">
      <c r="A14520" s="42">
        <f>_xlfn.XLOOKUP(82049,Trip[shape_id],Trip[shape_id],"Não encontrado")</f>
        <v/>
      </c>
      <c r="B14520" s="43" t="n">
        <v>-23.563301</v>
      </c>
      <c r="C14520" s="43" t="n">
        <v>-46.552663</v>
      </c>
      <c r="D14520" s="43" t="n">
        <v>448</v>
      </c>
      <c r="E14520" s="44" t="n">
        <v>12383.727</v>
      </c>
    </row>
    <row r="14521">
      <c r="A14521" s="39">
        <f>_xlfn.XLOOKUP(82049,Trip[shape_id],Trip[shape_id],"Não encontrado")</f>
        <v/>
      </c>
      <c r="B14521" s="40" t="n">
        <v>-23.563348</v>
      </c>
      <c r="C14521" s="40" t="n">
        <v>-46.552732</v>
      </c>
      <c r="D14521" s="40" t="n">
        <v>449</v>
      </c>
      <c r="E14521" s="41" t="n">
        <v>12392.485</v>
      </c>
    </row>
    <row r="14522">
      <c r="A14522" s="42">
        <f>_xlfn.XLOOKUP(82049,Trip[shape_id],Trip[shape_id],"Não encontrado")</f>
        <v/>
      </c>
      <c r="B14522" s="43" t="n">
        <v>-23.563412</v>
      </c>
      <c r="C14522" s="43" t="n">
        <v>-46.552837</v>
      </c>
      <c r="D14522" s="43" t="n">
        <v>450</v>
      </c>
      <c r="E14522" s="44" t="n">
        <v>12405.336</v>
      </c>
    </row>
    <row r="14523">
      <c r="A14523" s="39">
        <f>_xlfn.XLOOKUP(82049,Trip[shape_id],Trip[shape_id],"Não encontrado")</f>
        <v/>
      </c>
      <c r="B14523" s="40" t="n">
        <v>-23.563466</v>
      </c>
      <c r="C14523" s="40" t="n">
        <v>-46.553005</v>
      </c>
      <c r="D14523" s="40" t="n">
        <v>451</v>
      </c>
      <c r="E14523" s="41" t="n">
        <v>12423.5</v>
      </c>
    </row>
    <row r="14524">
      <c r="A14524" s="42">
        <f>_xlfn.XLOOKUP(82049,Trip[shape_id],Trip[shape_id],"Não encontrado")</f>
        <v/>
      </c>
      <c r="B14524" s="43" t="n">
        <v>-23.563496</v>
      </c>
      <c r="C14524" s="43" t="n">
        <v>-46.553193</v>
      </c>
      <c r="D14524" s="43" t="n">
        <v>452</v>
      </c>
      <c r="E14524" s="44" t="n">
        <v>12442.979</v>
      </c>
    </row>
    <row r="14525">
      <c r="A14525" s="39">
        <f>_xlfn.XLOOKUP(82049,Trip[shape_id],Trip[shape_id],"Não encontrado")</f>
        <v/>
      </c>
      <c r="B14525" s="40" t="n">
        <v>-23.563488</v>
      </c>
      <c r="C14525" s="40" t="n">
        <v>-46.553408</v>
      </c>
      <c r="D14525" s="40" t="n">
        <v>453</v>
      </c>
      <c r="E14525" s="41" t="n">
        <v>12464.946</v>
      </c>
    </row>
    <row r="14526">
      <c r="A14526" s="42">
        <f>_xlfn.XLOOKUP(82049,Trip[shape_id],Trip[shape_id],"Não encontrado")</f>
        <v/>
      </c>
      <c r="B14526" s="43" t="n">
        <v>-23.563458</v>
      </c>
      <c r="C14526" s="43" t="n">
        <v>-46.553608</v>
      </c>
      <c r="D14526" s="43" t="n">
        <v>454</v>
      </c>
      <c r="E14526" s="44" t="n">
        <v>12485.634</v>
      </c>
    </row>
    <row r="14527">
      <c r="A14527" s="39">
        <f>_xlfn.XLOOKUP(82049,Trip[shape_id],Trip[shape_id],"Não encontrado")</f>
        <v/>
      </c>
      <c r="B14527" s="40" t="n">
        <v>-23.563372</v>
      </c>
      <c r="C14527" s="40" t="n">
        <v>-46.553826</v>
      </c>
      <c r="D14527" s="40" t="n">
        <v>455</v>
      </c>
      <c r="E14527" s="41" t="n">
        <v>12509.842</v>
      </c>
    </row>
    <row r="14528">
      <c r="A14528" s="42">
        <f>_xlfn.XLOOKUP(82049,Trip[shape_id],Trip[shape_id],"Não encontrado")</f>
        <v/>
      </c>
      <c r="B14528" s="43" t="n">
        <v>-23.563309</v>
      </c>
      <c r="C14528" s="43" t="n">
        <v>-46.55393</v>
      </c>
      <c r="D14528" s="43" t="n">
        <v>456</v>
      </c>
      <c r="E14528" s="44" t="n">
        <v>12522.547</v>
      </c>
    </row>
    <row r="14529">
      <c r="A14529" s="39">
        <f>_xlfn.XLOOKUP(82049,Trip[shape_id],Trip[shape_id],"Não encontrado")</f>
        <v/>
      </c>
      <c r="B14529" s="40" t="n">
        <v>-23.562967</v>
      </c>
      <c r="C14529" s="40" t="n">
        <v>-46.554355</v>
      </c>
      <c r="D14529" s="40" t="n">
        <v>457</v>
      </c>
      <c r="E14529" s="41" t="n">
        <v>12580.143</v>
      </c>
    </row>
    <row r="14530">
      <c r="A14530" s="42">
        <f>_xlfn.XLOOKUP(82049,Trip[shape_id],Trip[shape_id],"Não encontrado")</f>
        <v/>
      </c>
      <c r="B14530" s="43" t="n">
        <v>-23.562841</v>
      </c>
      <c r="C14530" s="43" t="n">
        <v>-46.554526</v>
      </c>
      <c r="D14530" s="43" t="n">
        <v>458</v>
      </c>
      <c r="E14530" s="44" t="n">
        <v>12602.492</v>
      </c>
    </row>
    <row r="14531">
      <c r="A14531" s="39">
        <f>_xlfn.XLOOKUP(82049,Trip[shape_id],Trip[shape_id],"Não encontrado")</f>
        <v/>
      </c>
      <c r="B14531" s="40" t="n">
        <v>-23.562672</v>
      </c>
      <c r="C14531" s="40" t="n">
        <v>-46.554743</v>
      </c>
      <c r="D14531" s="40" t="n">
        <v>459</v>
      </c>
      <c r="E14531" s="41" t="n">
        <v>12631.494</v>
      </c>
    </row>
    <row r="14532">
      <c r="A14532" s="42">
        <f>_xlfn.XLOOKUP(82049,Trip[shape_id],Trip[shape_id],"Não encontrado")</f>
        <v/>
      </c>
      <c r="B14532" s="43" t="n">
        <v>-23.5625</v>
      </c>
      <c r="C14532" s="43" t="n">
        <v>-46.554956</v>
      </c>
      <c r="D14532" s="43" t="n">
        <v>460</v>
      </c>
      <c r="E14532" s="44" t="n">
        <v>12660.403</v>
      </c>
    </row>
    <row r="14533">
      <c r="A14533" s="39">
        <f>_xlfn.XLOOKUP(82049,Trip[shape_id],Trip[shape_id],"Não encontrado")</f>
        <v/>
      </c>
      <c r="B14533" s="40" t="n">
        <v>-23.56237</v>
      </c>
      <c r="C14533" s="40" t="n">
        <v>-46.555184</v>
      </c>
      <c r="D14533" s="40" t="n">
        <v>461</v>
      </c>
      <c r="E14533" s="41" t="n">
        <v>12687.773</v>
      </c>
    </row>
    <row r="14534">
      <c r="A14534" s="42">
        <f>_xlfn.XLOOKUP(82049,Trip[shape_id],Trip[shape_id],"Não encontrado")</f>
        <v/>
      </c>
      <c r="B14534" s="43" t="n">
        <v>-23.562285</v>
      </c>
      <c r="C14534" s="43" t="n">
        <v>-46.555364</v>
      </c>
      <c r="D14534" s="43" t="n">
        <v>462</v>
      </c>
      <c r="E14534" s="44" t="n">
        <v>12708.421</v>
      </c>
    </row>
    <row r="14535">
      <c r="A14535" s="39">
        <f>_xlfn.XLOOKUP(82049,Trip[shape_id],Trip[shape_id],"Não encontrado")</f>
        <v/>
      </c>
      <c r="B14535" s="40" t="n">
        <v>-23.562214</v>
      </c>
      <c r="C14535" s="40" t="n">
        <v>-46.555551</v>
      </c>
      <c r="D14535" s="40" t="n">
        <v>463</v>
      </c>
      <c r="E14535" s="41" t="n">
        <v>12729.068</v>
      </c>
    </row>
    <row r="14536">
      <c r="A14536" s="42">
        <f>_xlfn.XLOOKUP(82049,Trip[shape_id],Trip[shape_id],"Não encontrado")</f>
        <v/>
      </c>
      <c r="B14536" s="43" t="n">
        <v>-23.562176</v>
      </c>
      <c r="C14536" s="43" t="n">
        <v>-46.55572</v>
      </c>
      <c r="D14536" s="43" t="n">
        <v>464</v>
      </c>
      <c r="E14536" s="44" t="n">
        <v>12746.828</v>
      </c>
    </row>
    <row r="14537">
      <c r="A14537" s="39">
        <f>_xlfn.XLOOKUP(82049,Trip[shape_id],Trip[shape_id],"Não encontrado")</f>
        <v/>
      </c>
      <c r="B14537" s="40" t="n">
        <v>-23.56216</v>
      </c>
      <c r="C14537" s="40" t="n">
        <v>-46.555836</v>
      </c>
      <c r="D14537" s="40" t="n">
        <v>465</v>
      </c>
      <c r="E14537" s="41" t="n">
        <v>12758.803</v>
      </c>
    </row>
    <row r="14538">
      <c r="A14538" s="42">
        <f>_xlfn.XLOOKUP(82049,Trip[shape_id],Trip[shape_id],"Não encontrado")</f>
        <v/>
      </c>
      <c r="B14538" s="43" t="n">
        <v>-23.562141</v>
      </c>
      <c r="C14538" s="43" t="n">
        <v>-46.556017</v>
      </c>
      <c r="D14538" s="43" t="n">
        <v>466</v>
      </c>
      <c r="E14538" s="44" t="n">
        <v>12777.401</v>
      </c>
    </row>
    <row r="14539">
      <c r="A14539" s="39">
        <f>_xlfn.XLOOKUP(82049,Trip[shape_id],Trip[shape_id],"Não encontrado")</f>
        <v/>
      </c>
      <c r="B14539" s="40" t="n">
        <v>-23.562137</v>
      </c>
      <c r="C14539" s="40" t="n">
        <v>-46.556153</v>
      </c>
      <c r="D14539" s="40" t="n">
        <v>467</v>
      </c>
      <c r="E14539" s="41" t="n">
        <v>12791.293</v>
      </c>
    </row>
    <row r="14540">
      <c r="A14540" s="42">
        <f>_xlfn.XLOOKUP(82049,Trip[shape_id],Trip[shape_id],"Não encontrado")</f>
        <v/>
      </c>
      <c r="B14540" s="43" t="n">
        <v>-23.562144</v>
      </c>
      <c r="C14540" s="43" t="n">
        <v>-46.55627</v>
      </c>
      <c r="D14540" s="43" t="n">
        <v>468</v>
      </c>
      <c r="E14540" s="44" t="n">
        <v>12803.263</v>
      </c>
    </row>
    <row r="14541">
      <c r="A14541" s="39">
        <f>_xlfn.XLOOKUP(82049,Trip[shape_id],Trip[shape_id],"Não encontrado")</f>
        <v/>
      </c>
      <c r="B14541" s="40" t="n">
        <v>-23.56218</v>
      </c>
      <c r="C14541" s="40" t="n">
        <v>-46.556456</v>
      </c>
      <c r="D14541" s="40" t="n">
        <v>469</v>
      </c>
      <c r="E14541" s="41" t="n">
        <v>12822.666</v>
      </c>
    </row>
    <row r="14542">
      <c r="A14542" s="42">
        <f>_xlfn.XLOOKUP(82049,Trip[shape_id],Trip[shape_id],"Não encontrado")</f>
        <v/>
      </c>
      <c r="B14542" s="43" t="n">
        <v>-23.562262</v>
      </c>
      <c r="C14542" s="43" t="n">
        <v>-46.556791</v>
      </c>
      <c r="D14542" s="43" t="n">
        <v>470</v>
      </c>
      <c r="E14542" s="44" t="n">
        <v>12858.053</v>
      </c>
    </row>
    <row r="14543">
      <c r="A14543" s="39">
        <f>_xlfn.XLOOKUP(82049,Trip[shape_id],Trip[shape_id],"Não encontrado")</f>
        <v/>
      </c>
      <c r="B14543" s="40" t="n">
        <v>-23.562326</v>
      </c>
      <c r="C14543" s="40" t="n">
        <v>-46.557103</v>
      </c>
      <c r="D14543" s="40" t="n">
        <v>471</v>
      </c>
      <c r="E14543" s="41" t="n">
        <v>12890.685</v>
      </c>
    </row>
    <row r="14544">
      <c r="A14544" s="42">
        <f>_xlfn.XLOOKUP(82049,Trip[shape_id],Trip[shape_id],"Não encontrado")</f>
        <v/>
      </c>
      <c r="B14544" s="43" t="n">
        <v>-23.56238</v>
      </c>
      <c r="C14544" s="43" t="n">
        <v>-46.557333</v>
      </c>
      <c r="D14544" s="43" t="n">
        <v>472</v>
      </c>
      <c r="E14544" s="44" t="n">
        <v>12914.915</v>
      </c>
    </row>
    <row r="14545">
      <c r="A14545" s="39">
        <f>_xlfn.XLOOKUP(82049,Trip[shape_id],Trip[shape_id],"Não encontrado")</f>
        <v/>
      </c>
      <c r="B14545" s="40" t="n">
        <v>-23.562514</v>
      </c>
      <c r="C14545" s="40" t="n">
        <v>-46.557931</v>
      </c>
      <c r="D14545" s="40" t="n">
        <v>473</v>
      </c>
      <c r="E14545" s="41" t="n">
        <v>12977.744</v>
      </c>
    </row>
    <row r="14546">
      <c r="A14546" s="42">
        <f>_xlfn.XLOOKUP(82049,Trip[shape_id],Trip[shape_id],"Não encontrado")</f>
        <v/>
      </c>
      <c r="B14546" s="43" t="n">
        <v>-23.562521</v>
      </c>
      <c r="C14546" s="43" t="n">
        <v>-46.558094</v>
      </c>
      <c r="D14546" s="43" t="n">
        <v>474</v>
      </c>
      <c r="E14546" s="44" t="n">
        <v>12994.403</v>
      </c>
    </row>
    <row r="14547">
      <c r="A14547" s="39">
        <f>_xlfn.XLOOKUP(82049,Trip[shape_id],Trip[shape_id],"Não encontrado")</f>
        <v/>
      </c>
      <c r="B14547" s="40" t="n">
        <v>-23.56256</v>
      </c>
      <c r="C14547" s="40" t="n">
        <v>-46.558389</v>
      </c>
      <c r="D14547" s="40" t="n">
        <v>475</v>
      </c>
      <c r="E14547" s="41" t="n">
        <v>13024.829</v>
      </c>
    </row>
    <row r="14548">
      <c r="A14548" s="42">
        <f>_xlfn.XLOOKUP(82049,Trip[shape_id],Trip[shape_id],"Não encontrado")</f>
        <v/>
      </c>
      <c r="B14548" s="43" t="n">
        <v>-23.562574</v>
      </c>
      <c r="C14548" s="43" t="n">
        <v>-46.558602</v>
      </c>
      <c r="D14548" s="43" t="n">
        <v>476</v>
      </c>
      <c r="E14548" s="44" t="n">
        <v>13046.63</v>
      </c>
    </row>
    <row r="14549">
      <c r="A14549" s="39">
        <f>_xlfn.XLOOKUP(82049,Trip[shape_id],Trip[shape_id],"Não encontrado")</f>
        <v/>
      </c>
      <c r="B14549" s="40" t="n">
        <v>-23.562577</v>
      </c>
      <c r="C14549" s="40" t="n">
        <v>-46.558841</v>
      </c>
      <c r="D14549" s="40" t="n">
        <v>477</v>
      </c>
      <c r="E14549" s="41" t="n">
        <v>13071.032</v>
      </c>
    </row>
    <row r="14550">
      <c r="A14550" s="42">
        <f>_xlfn.XLOOKUP(82049,Trip[shape_id],Trip[shape_id],"Não encontrado")</f>
        <v/>
      </c>
      <c r="B14550" s="43" t="n">
        <v>-23.562581</v>
      </c>
      <c r="C14550" s="43" t="n">
        <v>-46.559032</v>
      </c>
      <c r="D14550" s="43" t="n">
        <v>478</v>
      </c>
      <c r="E14550" s="44" t="n">
        <v>13090.537</v>
      </c>
    </row>
    <row r="14551">
      <c r="A14551" s="39">
        <f>_xlfn.XLOOKUP(82049,Trip[shape_id],Trip[shape_id],"Não encontrado")</f>
        <v/>
      </c>
      <c r="B14551" s="40" t="n">
        <v>-23.562594</v>
      </c>
      <c r="C14551" s="40" t="n">
        <v>-46.559205</v>
      </c>
      <c r="D14551" s="40" t="n">
        <v>479</v>
      </c>
      <c r="E14551" s="41" t="n">
        <v>13108.258</v>
      </c>
    </row>
    <row r="14552">
      <c r="A14552" s="42">
        <f>_xlfn.XLOOKUP(82049,Trip[shape_id],Trip[shape_id],"Não encontrado")</f>
        <v/>
      </c>
      <c r="B14552" s="43" t="n">
        <v>-23.562608</v>
      </c>
      <c r="C14552" s="43" t="n">
        <v>-46.559339</v>
      </c>
      <c r="D14552" s="43" t="n">
        <v>480</v>
      </c>
      <c r="E14552" s="44" t="n">
        <v>13122.025</v>
      </c>
    </row>
    <row r="14553">
      <c r="A14553" s="39">
        <f>_xlfn.XLOOKUP(82049,Trip[shape_id],Trip[shape_id],"Não encontrado")</f>
        <v/>
      </c>
      <c r="B14553" s="40" t="n">
        <v>-23.562597</v>
      </c>
      <c r="C14553" s="40" t="n">
        <v>-46.559586</v>
      </c>
      <c r="D14553" s="40" t="n">
        <v>481</v>
      </c>
      <c r="E14553" s="41" t="n">
        <v>13147.271</v>
      </c>
    </row>
    <row r="14554">
      <c r="A14554" s="42">
        <f>_xlfn.XLOOKUP(82049,Trip[shape_id],Trip[shape_id],"Não encontrado")</f>
        <v/>
      </c>
      <c r="B14554" s="43" t="n">
        <v>-23.562591</v>
      </c>
      <c r="C14554" s="43" t="n">
        <v>-46.559856</v>
      </c>
      <c r="D14554" s="43" t="n">
        <v>482</v>
      </c>
      <c r="E14554" s="44" t="n">
        <v>13174.845</v>
      </c>
    </row>
    <row r="14555">
      <c r="A14555" s="39">
        <f>_xlfn.XLOOKUP(82049,Trip[shape_id],Trip[shape_id],"Não encontrado")</f>
        <v/>
      </c>
      <c r="B14555" s="40" t="n">
        <v>-23.562567</v>
      </c>
      <c r="C14555" s="40" t="n">
        <v>-46.559991</v>
      </c>
      <c r="D14555" s="40" t="n">
        <v>483</v>
      </c>
      <c r="E14555" s="41" t="n">
        <v>13188.881</v>
      </c>
    </row>
    <row r="14556">
      <c r="A14556" s="42">
        <f>_xlfn.XLOOKUP(82049,Trip[shape_id],Trip[shape_id],"Não encontrado")</f>
        <v/>
      </c>
      <c r="B14556" s="43" t="n">
        <v>-23.562516</v>
      </c>
      <c r="C14556" s="43" t="n">
        <v>-46.560244</v>
      </c>
      <c r="D14556" s="43" t="n">
        <v>484</v>
      </c>
      <c r="E14556" s="44" t="n">
        <v>13215.32</v>
      </c>
    </row>
    <row r="14557">
      <c r="A14557" s="39">
        <f>_xlfn.XLOOKUP(82049,Trip[shape_id],Trip[shape_id],"Não encontrado")</f>
        <v/>
      </c>
      <c r="B14557" s="40" t="n">
        <v>-23.562431</v>
      </c>
      <c r="C14557" s="40" t="n">
        <v>-46.56055</v>
      </c>
      <c r="D14557" s="40" t="n">
        <v>485</v>
      </c>
      <c r="E14557" s="41" t="n">
        <v>13247.948</v>
      </c>
    </row>
    <row r="14558">
      <c r="A14558" s="42">
        <f>_xlfn.XLOOKUP(82049,Trip[shape_id],Trip[shape_id],"Não encontrado")</f>
        <v/>
      </c>
      <c r="B14558" s="43" t="n">
        <v>-23.562321</v>
      </c>
      <c r="C14558" s="43" t="n">
        <v>-46.560811</v>
      </c>
      <c r="D14558" s="43" t="n">
        <v>486</v>
      </c>
      <c r="E14558" s="44" t="n">
        <v>13277.247</v>
      </c>
    </row>
    <row r="14559">
      <c r="A14559" s="39">
        <f>_xlfn.XLOOKUP(82049,Trip[shape_id],Trip[shape_id],"Não encontrado")</f>
        <v/>
      </c>
      <c r="B14559" s="40" t="n">
        <v>-23.562282</v>
      </c>
      <c r="C14559" s="40" t="n">
        <v>-46.560925</v>
      </c>
      <c r="D14559" s="40" t="n">
        <v>487</v>
      </c>
      <c r="E14559" s="41" t="n">
        <v>13289.662</v>
      </c>
    </row>
    <row r="14560">
      <c r="A14560" s="42">
        <f>_xlfn.XLOOKUP(82049,Trip[shape_id],Trip[shape_id],"Não encontrado")</f>
        <v/>
      </c>
      <c r="B14560" s="43" t="n">
        <v>-23.561922</v>
      </c>
      <c r="C14560" s="43" t="n">
        <v>-46.561701</v>
      </c>
      <c r="D14560" s="43" t="n">
        <v>488</v>
      </c>
      <c r="E14560" s="44" t="n">
        <v>13378.354</v>
      </c>
    </row>
    <row r="14561">
      <c r="A14561" s="39">
        <f>_xlfn.XLOOKUP(82049,Trip[shape_id],Trip[shape_id],"Não encontrado")</f>
        <v/>
      </c>
      <c r="B14561" s="40" t="n">
        <v>-23.561806</v>
      </c>
      <c r="C14561" s="40" t="n">
        <v>-46.562006</v>
      </c>
      <c r="D14561" s="40" t="n">
        <v>489</v>
      </c>
      <c r="E14561" s="41" t="n">
        <v>13412.038</v>
      </c>
    </row>
    <row r="14562">
      <c r="A14562" s="42">
        <f>_xlfn.XLOOKUP(82049,Trip[shape_id],Trip[shape_id],"Não encontrado")</f>
        <v/>
      </c>
      <c r="B14562" s="43" t="n">
        <v>-23.56165</v>
      </c>
      <c r="C14562" s="43" t="n">
        <v>-46.562342</v>
      </c>
      <c r="D14562" s="43" t="n">
        <v>490</v>
      </c>
      <c r="E14562" s="44" t="n">
        <v>13450.446</v>
      </c>
    </row>
    <row r="14563">
      <c r="A14563" s="39">
        <f>_xlfn.XLOOKUP(82049,Trip[shape_id],Trip[shape_id],"Não encontrado")</f>
        <v/>
      </c>
      <c r="B14563" s="40" t="n">
        <v>-23.561502</v>
      </c>
      <c r="C14563" s="40" t="n">
        <v>-46.562751</v>
      </c>
      <c r="D14563" s="40" t="n">
        <v>491</v>
      </c>
      <c r="E14563" s="41" t="n">
        <v>13495.305</v>
      </c>
    </row>
    <row r="14564">
      <c r="A14564" s="42">
        <f>_xlfn.XLOOKUP(82049,Trip[shape_id],Trip[shape_id],"Não encontrado")</f>
        <v/>
      </c>
      <c r="B14564" s="43" t="n">
        <v>-23.561459</v>
      </c>
      <c r="C14564" s="43" t="n">
        <v>-46.562882</v>
      </c>
      <c r="D14564" s="43" t="n">
        <v>492</v>
      </c>
      <c r="E14564" s="44" t="n">
        <v>13509.502</v>
      </c>
    </row>
    <row r="14565">
      <c r="A14565" s="39">
        <f>_xlfn.XLOOKUP(82049,Trip[shape_id],Trip[shape_id],"Não encontrado")</f>
        <v/>
      </c>
      <c r="B14565" s="40" t="n">
        <v>-23.561408</v>
      </c>
      <c r="C14565" s="40" t="n">
        <v>-46.563171</v>
      </c>
      <c r="D14565" s="40" t="n">
        <v>493</v>
      </c>
      <c r="E14565" s="41" t="n">
        <v>13539.543</v>
      </c>
    </row>
    <row r="14566">
      <c r="A14566" s="42">
        <f>_xlfn.XLOOKUP(82049,Trip[shape_id],Trip[shape_id],"Não encontrado")</f>
        <v/>
      </c>
      <c r="B14566" s="43" t="n">
        <v>-23.56136</v>
      </c>
      <c r="C14566" s="43" t="n">
        <v>-46.563546</v>
      </c>
      <c r="D14566" s="43" t="n">
        <v>494</v>
      </c>
      <c r="E14566" s="44" t="n">
        <v>13578.195</v>
      </c>
    </row>
    <row r="14567">
      <c r="A14567" s="39">
        <f>_xlfn.XLOOKUP(82049,Trip[shape_id],Trip[shape_id],"Não encontrado")</f>
        <v/>
      </c>
      <c r="B14567" s="40" t="n">
        <v>-23.561285</v>
      </c>
      <c r="C14567" s="40" t="n">
        <v>-46.563755</v>
      </c>
      <c r="D14567" s="40" t="n">
        <v>495</v>
      </c>
      <c r="E14567" s="41" t="n">
        <v>13601.093</v>
      </c>
    </row>
    <row r="14568">
      <c r="A14568" s="42">
        <f>_xlfn.XLOOKUP(82049,Trip[shape_id],Trip[shape_id],"Não encontrado")</f>
        <v/>
      </c>
      <c r="B14568" s="43" t="n">
        <v>-23.561266</v>
      </c>
      <c r="C14568" s="43" t="n">
        <v>-46.563878</v>
      </c>
      <c r="D14568" s="43" t="n">
        <v>496</v>
      </c>
      <c r="E14568" s="44" t="n">
        <v>13613.825</v>
      </c>
    </row>
    <row r="14569">
      <c r="A14569" s="39">
        <f>_xlfn.XLOOKUP(82049,Trip[shape_id],Trip[shape_id],"Não encontrado")</f>
        <v/>
      </c>
      <c r="B14569" s="40" t="n">
        <v>-23.561046</v>
      </c>
      <c r="C14569" s="40" t="n">
        <v>-46.564338</v>
      </c>
      <c r="D14569" s="40" t="n">
        <v>497</v>
      </c>
      <c r="E14569" s="41" t="n">
        <v>13666.732</v>
      </c>
    </row>
    <row r="14570">
      <c r="A14570" s="42">
        <f>_xlfn.XLOOKUP(82049,Trip[shape_id],Trip[shape_id],"Não encontrado")</f>
        <v/>
      </c>
      <c r="B14570" s="43" t="n">
        <v>-23.560469</v>
      </c>
      <c r="C14570" s="43" t="n">
        <v>-46.565618</v>
      </c>
      <c r="D14570" s="43" t="n">
        <v>498</v>
      </c>
      <c r="E14570" s="44" t="n">
        <v>13812.201</v>
      </c>
    </row>
    <row r="14571">
      <c r="A14571" s="39">
        <f>_xlfn.XLOOKUP(82049,Trip[shape_id],Trip[shape_id],"Não encontrado")</f>
        <v/>
      </c>
      <c r="B14571" s="40" t="n">
        <v>-23.560302</v>
      </c>
      <c r="C14571" s="40" t="n">
        <v>-46.565984</v>
      </c>
      <c r="D14571" s="40" t="n">
        <v>499</v>
      </c>
      <c r="E14571" s="41" t="n">
        <v>13853.895</v>
      </c>
    </row>
    <row r="14572">
      <c r="A14572" s="42">
        <f>_xlfn.XLOOKUP(82049,Trip[shape_id],Trip[shape_id],"Não encontrado")</f>
        <v/>
      </c>
      <c r="B14572" s="43" t="n">
        <v>-23.560248</v>
      </c>
      <c r="C14572" s="43" t="n">
        <v>-46.566158</v>
      </c>
      <c r="D14572" s="43" t="n">
        <v>500</v>
      </c>
      <c r="E14572" s="44" t="n">
        <v>13872.639</v>
      </c>
    </row>
    <row r="14573">
      <c r="A14573" s="39">
        <f>_xlfn.XLOOKUP(82049,Trip[shape_id],Trip[shape_id],"Não encontrado")</f>
        <v/>
      </c>
      <c r="B14573" s="40" t="n">
        <v>-23.560165</v>
      </c>
      <c r="C14573" s="40" t="n">
        <v>-46.566297</v>
      </c>
      <c r="D14573" s="40" t="n">
        <v>501</v>
      </c>
      <c r="E14573" s="41" t="n">
        <v>13889.547</v>
      </c>
    </row>
    <row r="14574">
      <c r="A14574" s="42">
        <f>_xlfn.XLOOKUP(82049,Trip[shape_id],Trip[shape_id],"Não encontrado")</f>
        <v/>
      </c>
      <c r="B14574" s="43" t="n">
        <v>-23.560061</v>
      </c>
      <c r="C14574" s="43" t="n">
        <v>-46.566465</v>
      </c>
      <c r="D14574" s="43" t="n">
        <v>502</v>
      </c>
      <c r="E14574" s="44" t="n">
        <v>13910.207</v>
      </c>
    </row>
    <row r="14575">
      <c r="A14575" s="39">
        <f>_xlfn.XLOOKUP(82049,Trip[shape_id],Trip[shape_id],"Não encontrado")</f>
        <v/>
      </c>
      <c r="B14575" s="40" t="n">
        <v>-23.559948</v>
      </c>
      <c r="C14575" s="40" t="n">
        <v>-46.56667</v>
      </c>
      <c r="D14575" s="40" t="n">
        <v>503</v>
      </c>
      <c r="E14575" s="41" t="n">
        <v>13934.593</v>
      </c>
    </row>
    <row r="14576">
      <c r="A14576" s="42">
        <f>_xlfn.XLOOKUP(82049,Trip[shape_id],Trip[shape_id],"Não encontrado")</f>
        <v/>
      </c>
      <c r="B14576" s="43" t="n">
        <v>-23.559896</v>
      </c>
      <c r="C14576" s="43" t="n">
        <v>-46.566809</v>
      </c>
      <c r="D14576" s="43" t="n">
        <v>504</v>
      </c>
      <c r="E14576" s="44" t="n">
        <v>13949.908</v>
      </c>
    </row>
    <row r="14577">
      <c r="A14577" s="39">
        <f>_xlfn.XLOOKUP(82049,Trip[shape_id],Trip[shape_id],"Não encontrado")</f>
        <v/>
      </c>
      <c r="B14577" s="40" t="n">
        <v>-23.559843</v>
      </c>
      <c r="C14577" s="40" t="n">
        <v>-46.56697</v>
      </c>
      <c r="D14577" s="40" t="n">
        <v>505</v>
      </c>
      <c r="E14577" s="41" t="n">
        <v>13967.362</v>
      </c>
    </row>
    <row r="14578">
      <c r="A14578" s="42">
        <f>_xlfn.XLOOKUP(82049,Trip[shape_id],Trip[shape_id],"Não encontrado")</f>
        <v/>
      </c>
      <c r="B14578" s="43" t="n">
        <v>-23.559765</v>
      </c>
      <c r="C14578" s="43" t="n">
        <v>-46.567186</v>
      </c>
      <c r="D14578" s="43" t="n">
        <v>506</v>
      </c>
      <c r="E14578" s="44" t="n">
        <v>13991.047</v>
      </c>
    </row>
    <row r="14579">
      <c r="A14579" s="39">
        <f>_xlfn.XLOOKUP(82049,Trip[shape_id],Trip[shape_id],"Não encontrado")</f>
        <v/>
      </c>
      <c r="B14579" s="40" t="n">
        <v>-23.559685</v>
      </c>
      <c r="C14579" s="40" t="n">
        <v>-46.567378</v>
      </c>
      <c r="D14579" s="40" t="n">
        <v>507</v>
      </c>
      <c r="E14579" s="41" t="n">
        <v>14012.559</v>
      </c>
    </row>
    <row r="14580">
      <c r="A14580" s="42">
        <f>_xlfn.XLOOKUP(82049,Trip[shape_id],Trip[shape_id],"Não encontrado")</f>
        <v/>
      </c>
      <c r="B14580" s="43" t="n">
        <v>-23.559405</v>
      </c>
      <c r="C14580" s="43" t="n">
        <v>-46.567983</v>
      </c>
      <c r="D14580" s="43" t="n">
        <v>508</v>
      </c>
      <c r="E14580" s="44" t="n">
        <v>14081.674</v>
      </c>
    </row>
    <row r="14581">
      <c r="A14581" s="39">
        <f>_xlfn.XLOOKUP(82049,Trip[shape_id],Trip[shape_id],"Não encontrado")</f>
        <v/>
      </c>
      <c r="B14581" s="40" t="n">
        <v>-23.558954</v>
      </c>
      <c r="C14581" s="40" t="n">
        <v>-46.56897</v>
      </c>
      <c r="D14581" s="40" t="n">
        <v>509</v>
      </c>
      <c r="E14581" s="41" t="n">
        <v>14194.143</v>
      </c>
    </row>
    <row r="14582">
      <c r="A14582" s="42">
        <f>_xlfn.XLOOKUP(82049,Trip[shape_id],Trip[shape_id],"Não encontrado")</f>
        <v/>
      </c>
      <c r="B14582" s="43" t="n">
        <v>-23.558894</v>
      </c>
      <c r="C14582" s="43" t="n">
        <v>-46.569096</v>
      </c>
      <c r="D14582" s="43" t="n">
        <v>510</v>
      </c>
      <c r="E14582" s="44" t="n">
        <v>14208.621</v>
      </c>
    </row>
    <row r="14583">
      <c r="A14583" s="39">
        <f>_xlfn.XLOOKUP(82049,Trip[shape_id],Trip[shape_id],"Não encontrado")</f>
        <v/>
      </c>
      <c r="B14583" s="40" t="n">
        <v>-23.558626</v>
      </c>
      <c r="C14583" s="40" t="n">
        <v>-46.569696</v>
      </c>
      <c r="D14583" s="40" t="n">
        <v>511</v>
      </c>
      <c r="E14583" s="41" t="n">
        <v>14276.69</v>
      </c>
    </row>
    <row r="14584">
      <c r="A14584" s="42">
        <f>_xlfn.XLOOKUP(82049,Trip[shape_id],Trip[shape_id],"Não encontrado")</f>
        <v/>
      </c>
      <c r="B14584" s="43" t="n">
        <v>-23.558538</v>
      </c>
      <c r="C14584" s="43" t="n">
        <v>-46.569894</v>
      </c>
      <c r="D14584" s="43" t="n">
        <v>512</v>
      </c>
      <c r="E14584" s="44" t="n">
        <v>14299.132</v>
      </c>
    </row>
    <row r="14585">
      <c r="A14585" s="39">
        <f>_xlfn.XLOOKUP(82049,Trip[shape_id],Trip[shape_id],"Não encontrado")</f>
        <v/>
      </c>
      <c r="B14585" s="40" t="n">
        <v>-23.558459</v>
      </c>
      <c r="C14585" s="40" t="n">
        <v>-46.570077</v>
      </c>
      <c r="D14585" s="40" t="n">
        <v>513</v>
      </c>
      <c r="E14585" s="41" t="n">
        <v>14319.763</v>
      </c>
    </row>
    <row r="14586">
      <c r="A14586" s="42">
        <f>_xlfn.XLOOKUP(82049,Trip[shape_id],Trip[shape_id],"Não encontrado")</f>
        <v/>
      </c>
      <c r="B14586" s="43" t="n">
        <v>-23.558347</v>
      </c>
      <c r="C14586" s="43" t="n">
        <v>-46.570312</v>
      </c>
      <c r="D14586" s="43" t="n">
        <v>514</v>
      </c>
      <c r="E14586" s="44" t="n">
        <v>14346.772</v>
      </c>
    </row>
    <row r="14587">
      <c r="A14587" s="39">
        <f>_xlfn.XLOOKUP(82049,Trip[shape_id],Trip[shape_id],"Não encontrado")</f>
        <v/>
      </c>
      <c r="B14587" s="40" t="n">
        <v>-23.558188</v>
      </c>
      <c r="C14587" s="40" t="n">
        <v>-46.570655</v>
      </c>
      <c r="D14587" s="40" t="n">
        <v>515</v>
      </c>
      <c r="E14587" s="41" t="n">
        <v>14385.97</v>
      </c>
    </row>
    <row r="14588">
      <c r="A14588" s="42">
        <f>_xlfn.XLOOKUP(82049,Trip[shape_id],Trip[shape_id],"Não encontrado")</f>
        <v/>
      </c>
      <c r="B14588" s="43" t="n">
        <v>-23.557883</v>
      </c>
      <c r="C14588" s="43" t="n">
        <v>-46.57133</v>
      </c>
      <c r="D14588" s="43" t="n">
        <v>516</v>
      </c>
      <c r="E14588" s="44" t="n">
        <v>14462.718</v>
      </c>
    </row>
    <row r="14589">
      <c r="A14589" s="39">
        <f>_xlfn.XLOOKUP(82049,Trip[shape_id],Trip[shape_id],"Não encontrado")</f>
        <v/>
      </c>
      <c r="B14589" s="40" t="n">
        <v>-23.557431</v>
      </c>
      <c r="C14589" s="40" t="n">
        <v>-46.572358</v>
      </c>
      <c r="D14589" s="40" t="n">
        <v>517</v>
      </c>
      <c r="E14589" s="41" t="n">
        <v>14579</v>
      </c>
    </row>
    <row r="14590">
      <c r="A14590" s="42">
        <f>_xlfn.XLOOKUP(82049,Trip[shape_id],Trip[shape_id],"Não encontrado")</f>
        <v/>
      </c>
      <c r="B14590" s="43" t="n">
        <v>-23.557039</v>
      </c>
      <c r="C14590" s="43" t="n">
        <v>-46.573203</v>
      </c>
      <c r="D14590" s="43" t="n">
        <v>518</v>
      </c>
      <c r="E14590" s="44" t="n">
        <v>14675.58</v>
      </c>
    </row>
    <row r="14591">
      <c r="A14591" s="39">
        <f>_xlfn.XLOOKUP(82049,Trip[shape_id],Trip[shape_id],"Não encontrado")</f>
        <v/>
      </c>
      <c r="B14591" s="40" t="n">
        <v>-23.556432</v>
      </c>
      <c r="C14591" s="40" t="n">
        <v>-46.574553</v>
      </c>
      <c r="D14591" s="40" t="n">
        <v>519</v>
      </c>
      <c r="E14591" s="41" t="n">
        <v>14828.933</v>
      </c>
    </row>
    <row r="14592">
      <c r="A14592" s="42">
        <f>_xlfn.XLOOKUP(82049,Trip[shape_id],Trip[shape_id],"Não encontrado")</f>
        <v/>
      </c>
      <c r="B14592" s="43" t="n">
        <v>-23.555801</v>
      </c>
      <c r="C14592" s="43" t="n">
        <v>-46.575962</v>
      </c>
      <c r="D14592" s="43" t="n">
        <v>520</v>
      </c>
      <c r="E14592" s="44" t="n">
        <v>14988.865</v>
      </c>
    </row>
    <row r="14593">
      <c r="A14593" s="39">
        <f>_xlfn.XLOOKUP(82049,Trip[shape_id],Trip[shape_id],"Não encontrado")</f>
        <v/>
      </c>
      <c r="B14593" s="40" t="n">
        <v>-23.555758</v>
      </c>
      <c r="C14593" s="40" t="n">
        <v>-46.576084</v>
      </c>
      <c r="D14593" s="40" t="n">
        <v>521</v>
      </c>
      <c r="E14593" s="41" t="n">
        <v>15002.201</v>
      </c>
    </row>
    <row r="14594">
      <c r="A14594" s="42">
        <f>_xlfn.XLOOKUP(82049,Trip[shape_id],Trip[shape_id],"Não encontrado")</f>
        <v/>
      </c>
      <c r="B14594" s="43" t="n">
        <v>-23.555599</v>
      </c>
      <c r="C14594" s="43" t="n">
        <v>-46.576412</v>
      </c>
      <c r="D14594" s="43" t="n">
        <v>522</v>
      </c>
      <c r="E14594" s="44" t="n">
        <v>15040.037</v>
      </c>
    </row>
    <row r="14595">
      <c r="A14595" s="39">
        <f>_xlfn.XLOOKUP(82049,Trip[shape_id],Trip[shape_id],"Não encontrado")</f>
        <v/>
      </c>
      <c r="B14595" s="40" t="n">
        <v>-23.555549</v>
      </c>
      <c r="C14595" s="40" t="n">
        <v>-46.576506</v>
      </c>
      <c r="D14595" s="40" t="n">
        <v>523</v>
      </c>
      <c r="E14595" s="41" t="n">
        <v>15051.117</v>
      </c>
    </row>
    <row r="14596">
      <c r="A14596" s="42">
        <f>_xlfn.XLOOKUP(82049,Trip[shape_id],Trip[shape_id],"Não encontrado")</f>
        <v/>
      </c>
      <c r="B14596" s="43" t="n">
        <v>-23.555413</v>
      </c>
      <c r="C14596" s="43" t="n">
        <v>-46.576788</v>
      </c>
      <c r="D14596" s="43" t="n">
        <v>524</v>
      </c>
      <c r="E14596" s="44" t="n">
        <v>15083.61</v>
      </c>
    </row>
    <row r="14597">
      <c r="A14597" s="39">
        <f>_xlfn.XLOOKUP(82049,Trip[shape_id],Trip[shape_id],"Não encontrado")</f>
        <v/>
      </c>
      <c r="B14597" s="40" t="n">
        <v>-23.555331</v>
      </c>
      <c r="C14597" s="40" t="n">
        <v>-46.576968</v>
      </c>
      <c r="D14597" s="40" t="n">
        <v>525</v>
      </c>
      <c r="E14597" s="41" t="n">
        <v>15104.109</v>
      </c>
    </row>
    <row r="14598">
      <c r="A14598" s="42">
        <f>_xlfn.XLOOKUP(82049,Trip[shape_id],Trip[shape_id],"Não encontrado")</f>
        <v/>
      </c>
      <c r="B14598" s="43" t="n">
        <v>-23.555241</v>
      </c>
      <c r="C14598" s="43" t="n">
        <v>-46.577151</v>
      </c>
      <c r="D14598" s="43" t="n">
        <v>526</v>
      </c>
      <c r="E14598" s="44" t="n">
        <v>15125.286</v>
      </c>
    </row>
    <row r="14599">
      <c r="A14599" s="39">
        <f>_xlfn.XLOOKUP(82049,Trip[shape_id],Trip[shape_id],"Não encontrado")</f>
        <v/>
      </c>
      <c r="B14599" s="40" t="n">
        <v>-23.555186</v>
      </c>
      <c r="C14599" s="40" t="n">
        <v>-46.577268</v>
      </c>
      <c r="D14599" s="40" t="n">
        <v>527</v>
      </c>
      <c r="E14599" s="41" t="n">
        <v>15138.695</v>
      </c>
    </row>
    <row r="14600">
      <c r="A14600" s="42">
        <f>_xlfn.XLOOKUP(82049,Trip[shape_id],Trip[shape_id],"Não encontrado")</f>
        <v/>
      </c>
      <c r="B14600" s="43" t="n">
        <v>-23.555081</v>
      </c>
      <c r="C14600" s="43" t="n">
        <v>-46.577472</v>
      </c>
      <c r="D14600" s="43" t="n">
        <v>528</v>
      </c>
      <c r="E14600" s="44" t="n">
        <v>15162.55</v>
      </c>
    </row>
    <row r="14601">
      <c r="A14601" s="39">
        <f>_xlfn.XLOOKUP(82049,Trip[shape_id],Trip[shape_id],"Não encontrado")</f>
        <v/>
      </c>
      <c r="B14601" s="40" t="n">
        <v>-23.555022</v>
      </c>
      <c r="C14601" s="40" t="n">
        <v>-46.577593</v>
      </c>
      <c r="D14601" s="40" t="n">
        <v>529</v>
      </c>
      <c r="E14601" s="41" t="n">
        <v>15176.525</v>
      </c>
    </row>
    <row r="14602">
      <c r="A14602" s="42">
        <f>_xlfn.XLOOKUP(82049,Trip[shape_id],Trip[shape_id],"Não encontrado")</f>
        <v/>
      </c>
      <c r="B14602" s="43" t="n">
        <v>-23.554945</v>
      </c>
      <c r="C14602" s="43" t="n">
        <v>-46.57768</v>
      </c>
      <c r="D14602" s="43" t="n">
        <v>530</v>
      </c>
      <c r="E14602" s="44" t="n">
        <v>15188.839</v>
      </c>
    </row>
    <row r="14603">
      <c r="A14603" s="39">
        <f>_xlfn.XLOOKUP(82049,Trip[shape_id],Trip[shape_id],"Não encontrado")</f>
        <v/>
      </c>
      <c r="B14603" s="40" t="n">
        <v>-23.554821</v>
      </c>
      <c r="C14603" s="40" t="n">
        <v>-46.577947</v>
      </c>
      <c r="D14603" s="40" t="n">
        <v>531</v>
      </c>
      <c r="E14603" s="41" t="n">
        <v>15219.363</v>
      </c>
    </row>
    <row r="14604">
      <c r="A14604" s="42">
        <f>_xlfn.XLOOKUP(82049,Trip[shape_id],Trip[shape_id],"Não encontrado")</f>
        <v/>
      </c>
      <c r="B14604" s="43" t="n">
        <v>-23.554678</v>
      </c>
      <c r="C14604" s="43" t="n">
        <v>-46.578027</v>
      </c>
      <c r="D14604" s="43" t="n">
        <v>532</v>
      </c>
      <c r="E14604" s="44" t="n">
        <v>15237.184</v>
      </c>
    </row>
    <row r="14605">
      <c r="A14605" s="39">
        <f>_xlfn.XLOOKUP(82049,Trip[shape_id],Trip[shape_id],"Não encontrado")</f>
        <v/>
      </c>
      <c r="B14605" s="40" t="n">
        <v>-23.554481</v>
      </c>
      <c r="C14605" s="40" t="n">
        <v>-46.578132</v>
      </c>
      <c r="D14605" s="40" t="n">
        <v>533</v>
      </c>
      <c r="E14605" s="41" t="n">
        <v>15261.493</v>
      </c>
    </row>
    <row r="14606">
      <c r="A14606" s="42">
        <f>_xlfn.XLOOKUP(82049,Trip[shape_id],Trip[shape_id],"Não encontrado")</f>
        <v/>
      </c>
      <c r="B14606" s="43" t="n">
        <v>-23.554077</v>
      </c>
      <c r="C14606" s="43" t="n">
        <v>-46.578344</v>
      </c>
      <c r="D14606" s="43" t="n">
        <v>534</v>
      </c>
      <c r="E14606" s="44" t="n">
        <v>15311.197</v>
      </c>
    </row>
    <row r="14607">
      <c r="A14607" s="39">
        <f>_xlfn.XLOOKUP(82049,Trip[shape_id],Trip[shape_id],"Não encontrado")</f>
        <v/>
      </c>
      <c r="B14607" s="40" t="n">
        <v>-23.553899</v>
      </c>
      <c r="C14607" s="40" t="n">
        <v>-46.578434</v>
      </c>
      <c r="D14607" s="40" t="n">
        <v>535</v>
      </c>
      <c r="E14607" s="41" t="n">
        <v>15332.947</v>
      </c>
    </row>
    <row r="14608">
      <c r="A14608" s="42">
        <f>_xlfn.XLOOKUP(82049,Trip[shape_id],Trip[shape_id],"Não encontrado")</f>
        <v/>
      </c>
      <c r="B14608" s="43" t="n">
        <v>-23.553304</v>
      </c>
      <c r="C14608" s="43" t="n">
        <v>-46.578766</v>
      </c>
      <c r="D14608" s="43" t="n">
        <v>536</v>
      </c>
      <c r="E14608" s="44" t="n">
        <v>15407.052</v>
      </c>
    </row>
    <row r="14609">
      <c r="A14609" s="39">
        <f>_xlfn.XLOOKUP(82049,Trip[shape_id],Trip[shape_id],"Não encontrado")</f>
        <v/>
      </c>
      <c r="B14609" s="40" t="n">
        <v>-23.55232</v>
      </c>
      <c r="C14609" s="40" t="n">
        <v>-46.579311</v>
      </c>
      <c r="D14609" s="40" t="n">
        <v>537</v>
      </c>
      <c r="E14609" s="41" t="n">
        <v>15529.416</v>
      </c>
    </row>
    <row r="14610">
      <c r="A14610" s="42">
        <f>_xlfn.XLOOKUP(82049,Trip[shape_id],Trip[shape_id],"Não encontrado")</f>
        <v/>
      </c>
      <c r="B14610" s="43" t="n">
        <v>-23.551858</v>
      </c>
      <c r="C14610" s="43" t="n">
        <v>-46.579575</v>
      </c>
      <c r="D14610" s="43" t="n">
        <v>538</v>
      </c>
      <c r="E14610" s="44" t="n">
        <v>15587.249</v>
      </c>
    </row>
    <row r="14611">
      <c r="A14611" s="39">
        <f>_xlfn.XLOOKUP(82049,Trip[shape_id],Trip[shape_id],"Não encontrado")</f>
        <v/>
      </c>
      <c r="B14611" s="40" t="n">
        <v>-23.551536</v>
      </c>
      <c r="C14611" s="40" t="n">
        <v>-46.579753</v>
      </c>
      <c r="D14611" s="40" t="n">
        <v>539</v>
      </c>
      <c r="E14611" s="41" t="n">
        <v>15627.275</v>
      </c>
    </row>
    <row r="14612">
      <c r="A14612" s="42">
        <f>_xlfn.XLOOKUP(82049,Trip[shape_id],Trip[shape_id],"Não encontrado")</f>
        <v/>
      </c>
      <c r="B14612" s="43" t="n">
        <v>-23.55153</v>
      </c>
      <c r="C14612" s="43" t="n">
        <v>-46.579757</v>
      </c>
      <c r="D14612" s="43" t="n">
        <v>540</v>
      </c>
      <c r="E14612" s="44" t="n">
        <v>15628.058</v>
      </c>
    </row>
    <row r="14613">
      <c r="A14613" s="39">
        <f>_xlfn.XLOOKUP(82049,Trip[shape_id],Trip[shape_id],"Não encontrado")</f>
        <v/>
      </c>
      <c r="B14613" s="40" t="n">
        <v>-23.5515</v>
      </c>
      <c r="C14613" s="40" t="n">
        <v>-46.579774</v>
      </c>
      <c r="D14613" s="40" t="n">
        <v>541</v>
      </c>
      <c r="E14613" s="41" t="n">
        <v>15631.806</v>
      </c>
    </row>
    <row r="14614">
      <c r="A14614" s="42">
        <f>_xlfn.XLOOKUP(82049,Trip[shape_id],Trip[shape_id],"Não encontrado")</f>
        <v/>
      </c>
      <c r="B14614" s="43" t="n">
        <v>-23.551373</v>
      </c>
      <c r="C14614" s="43" t="n">
        <v>-46.579846</v>
      </c>
      <c r="D14614" s="43" t="n">
        <v>542</v>
      </c>
      <c r="E14614" s="44" t="n">
        <v>15647.676</v>
      </c>
    </row>
    <row r="14615">
      <c r="A14615" s="39">
        <f>_xlfn.XLOOKUP(82049,Trip[shape_id],Trip[shape_id],"Não encontrado")</f>
        <v/>
      </c>
      <c r="B14615" s="40" t="n">
        <v>-23.551324</v>
      </c>
      <c r="C14615" s="40" t="n">
        <v>-46.579874</v>
      </c>
      <c r="D14615" s="40" t="n">
        <v>543</v>
      </c>
      <c r="E14615" s="41" t="n">
        <v>15653.81</v>
      </c>
    </row>
    <row r="14616">
      <c r="A14616" s="42">
        <f>_xlfn.XLOOKUP(82049,Trip[shape_id],Trip[shape_id],"Não encontrado")</f>
        <v/>
      </c>
      <c r="B14616" s="43" t="n">
        <v>-23.550723</v>
      </c>
      <c r="C14616" s="43" t="n">
        <v>-46.580215</v>
      </c>
      <c r="D14616" s="43" t="n">
        <v>544</v>
      </c>
      <c r="E14616" s="44" t="n">
        <v>15728.928</v>
      </c>
    </row>
    <row r="14617">
      <c r="A14617" s="39">
        <f>_xlfn.XLOOKUP(82049,Trip[shape_id],Trip[shape_id],"Não encontrado")</f>
        <v/>
      </c>
      <c r="B14617" s="40" t="n">
        <v>-23.550327</v>
      </c>
      <c r="C14617" s="40" t="n">
        <v>-46.580468</v>
      </c>
      <c r="D14617" s="40" t="n">
        <v>545</v>
      </c>
      <c r="E14617" s="41" t="n">
        <v>15779.827</v>
      </c>
    </row>
    <row r="14618">
      <c r="A14618" s="42">
        <f>_xlfn.XLOOKUP(82049,Trip[shape_id],Trip[shape_id],"Não encontrado")</f>
        <v/>
      </c>
      <c r="B14618" s="43" t="n">
        <v>-23.550061</v>
      </c>
      <c r="C14618" s="43" t="n">
        <v>-46.580642</v>
      </c>
      <c r="D14618" s="43" t="n">
        <v>546</v>
      </c>
      <c r="E14618" s="44" t="n">
        <v>15814.229</v>
      </c>
    </row>
    <row r="14619">
      <c r="A14619" s="39">
        <f>_xlfn.XLOOKUP(82049,Trip[shape_id],Trip[shape_id],"Não encontrado")</f>
        <v/>
      </c>
      <c r="B14619" s="40" t="n">
        <v>-23.549521</v>
      </c>
      <c r="C14619" s="40" t="n">
        <v>-46.58107</v>
      </c>
      <c r="D14619" s="40" t="n">
        <v>547</v>
      </c>
      <c r="E14619" s="41" t="n">
        <v>15888.3</v>
      </c>
    </row>
    <row r="14620">
      <c r="A14620" s="42">
        <f>_xlfn.XLOOKUP(82049,Trip[shape_id],Trip[shape_id],"Não encontrado")</f>
        <v/>
      </c>
      <c r="B14620" s="43" t="n">
        <v>-23.548962</v>
      </c>
      <c r="C14620" s="43" t="n">
        <v>-46.581537</v>
      </c>
      <c r="D14620" s="43" t="n">
        <v>548</v>
      </c>
      <c r="E14620" s="44" t="n">
        <v>15966.443</v>
      </c>
    </row>
    <row r="14621">
      <c r="A14621" s="39">
        <f>_xlfn.XLOOKUP(82049,Trip[shape_id],Trip[shape_id],"Não encontrado")</f>
        <v/>
      </c>
      <c r="B14621" s="40" t="n">
        <v>-23.548778</v>
      </c>
      <c r="C14621" s="40" t="n">
        <v>-46.581698</v>
      </c>
      <c r="D14621" s="40" t="n">
        <v>549</v>
      </c>
      <c r="E14621" s="41" t="n">
        <v>15992.626</v>
      </c>
    </row>
    <row r="14622">
      <c r="A14622" s="42">
        <f>_xlfn.XLOOKUP(82049,Trip[shape_id],Trip[shape_id],"Não encontrado")</f>
        <v/>
      </c>
      <c r="B14622" s="43" t="n">
        <v>-23.548587</v>
      </c>
      <c r="C14622" s="43" t="n">
        <v>-46.581897</v>
      </c>
      <c r="D14622" s="43" t="n">
        <v>550</v>
      </c>
      <c r="E14622" s="44" t="n">
        <v>16021.957</v>
      </c>
    </row>
    <row r="14623">
      <c r="A14623" s="39">
        <f>_xlfn.XLOOKUP(82049,Trip[shape_id],Trip[shape_id],"Não encontrado")</f>
        <v/>
      </c>
      <c r="B14623" s="40" t="n">
        <v>-23.548403</v>
      </c>
      <c r="C14623" s="40" t="n">
        <v>-46.582086</v>
      </c>
      <c r="D14623" s="40" t="n">
        <v>551</v>
      </c>
      <c r="E14623" s="41" t="n">
        <v>16050.022</v>
      </c>
    </row>
    <row r="14624">
      <c r="A14624" s="42">
        <f>_xlfn.XLOOKUP(82049,Trip[shape_id],Trip[shape_id],"Não encontrado")</f>
        <v/>
      </c>
      <c r="B14624" s="43" t="n">
        <v>-23.547558</v>
      </c>
      <c r="C14624" s="43" t="n">
        <v>-46.583</v>
      </c>
      <c r="D14624" s="43" t="n">
        <v>552</v>
      </c>
      <c r="E14624" s="44" t="n">
        <v>16182.187</v>
      </c>
    </row>
    <row r="14625">
      <c r="A14625" s="39">
        <f>_xlfn.XLOOKUP(82049,Trip[shape_id],Trip[shape_id],"Não encontrado")</f>
        <v/>
      </c>
      <c r="B14625" s="40" t="n">
        <v>-23.547496</v>
      </c>
      <c r="C14625" s="40" t="n">
        <v>-46.583073</v>
      </c>
      <c r="D14625" s="40" t="n">
        <v>553</v>
      </c>
      <c r="E14625" s="41" t="n">
        <v>16192.321</v>
      </c>
    </row>
    <row r="14626">
      <c r="A14626" s="42">
        <f>_xlfn.XLOOKUP(82049,Trip[shape_id],Trip[shape_id],"Não encontrado")</f>
        <v/>
      </c>
      <c r="B14626" s="43" t="n">
        <v>-23.546272</v>
      </c>
      <c r="C14626" s="43" t="n">
        <v>-46.584563</v>
      </c>
      <c r="D14626" s="43" t="n">
        <v>554</v>
      </c>
      <c r="E14626" s="44" t="n">
        <v>16396.09</v>
      </c>
    </row>
    <row r="14627">
      <c r="A14627" s="39">
        <f>_xlfn.XLOOKUP(82049,Trip[shape_id],Trip[shape_id],"Não encontrado")</f>
        <v/>
      </c>
      <c r="B14627" s="40" t="n">
        <v>-23.545795</v>
      </c>
      <c r="C14627" s="40" t="n">
        <v>-46.584964</v>
      </c>
      <c r="D14627" s="40" t="n">
        <v>555</v>
      </c>
      <c r="E14627" s="41" t="n">
        <v>16462.928</v>
      </c>
    </row>
    <row r="14628">
      <c r="A14628" s="42">
        <f>_xlfn.XLOOKUP(82049,Trip[shape_id],Trip[shape_id],"Não encontrado")</f>
        <v/>
      </c>
      <c r="B14628" s="43" t="n">
        <v>-23.545511</v>
      </c>
      <c r="C14628" s="43" t="n">
        <v>-46.585207</v>
      </c>
      <c r="D14628" s="43" t="n">
        <v>556</v>
      </c>
      <c r="E14628" s="44" t="n">
        <v>16502.99</v>
      </c>
    </row>
    <row r="14629">
      <c r="A14629" s="39">
        <f>_xlfn.XLOOKUP(82049,Trip[shape_id],Trip[shape_id],"Não encontrado")</f>
        <v/>
      </c>
      <c r="B14629" s="40" t="n">
        <v>-23.545145</v>
      </c>
      <c r="C14629" s="40" t="n">
        <v>-46.585522</v>
      </c>
      <c r="D14629" s="40" t="n">
        <v>557</v>
      </c>
      <c r="E14629" s="41" t="n">
        <v>16554.736</v>
      </c>
    </row>
    <row r="14630">
      <c r="A14630" s="42">
        <f>_xlfn.XLOOKUP(82049,Trip[shape_id],Trip[shape_id],"Não encontrado")</f>
        <v/>
      </c>
      <c r="B14630" s="43" t="n">
        <v>-23.544446</v>
      </c>
      <c r="C14630" s="43" t="n">
        <v>-46.586102</v>
      </c>
      <c r="D14630" s="43" t="n">
        <v>558</v>
      </c>
      <c r="E14630" s="44" t="n">
        <v>16652.207</v>
      </c>
    </row>
    <row r="14631">
      <c r="A14631" s="39">
        <f>_xlfn.XLOOKUP(82049,Trip[shape_id],Trip[shape_id],"Não encontrado")</f>
        <v/>
      </c>
      <c r="B14631" s="40" t="n">
        <v>-23.544795</v>
      </c>
      <c r="C14631" s="40" t="n">
        <v>-46.587887</v>
      </c>
      <c r="D14631" s="40" t="n">
        <v>559</v>
      </c>
      <c r="E14631" s="41" t="n">
        <v>16838.521</v>
      </c>
    </row>
    <row r="14632">
      <c r="A14632" s="42">
        <f>_xlfn.XLOOKUP(82049,Trip[shape_id],Trip[shape_id],"Não encontrado")</f>
        <v/>
      </c>
      <c r="B14632" s="43" t="n">
        <v>-23.544904</v>
      </c>
      <c r="C14632" s="43" t="n">
        <v>-46.588416</v>
      </c>
      <c r="D14632" s="43" t="n">
        <v>560</v>
      </c>
      <c r="E14632" s="44" t="n">
        <v>16893.869</v>
      </c>
    </row>
    <row r="14633">
      <c r="A14633" s="39">
        <f>_xlfn.XLOOKUP(82049,Trip[shape_id],Trip[shape_id],"Não encontrado")</f>
        <v/>
      </c>
      <c r="B14633" s="40" t="n">
        <v>-23.544957</v>
      </c>
      <c r="C14633" s="40" t="n">
        <v>-46.588728</v>
      </c>
      <c r="D14633" s="40" t="n">
        <v>561</v>
      </c>
      <c r="E14633" s="41" t="n">
        <v>16926.262</v>
      </c>
    </row>
    <row r="14634">
      <c r="A14634" s="42">
        <f>_xlfn.XLOOKUP(82049,Trip[shape_id],Trip[shape_id],"Não encontrado")</f>
        <v/>
      </c>
      <c r="B14634" s="43" t="n">
        <v>-23.545025</v>
      </c>
      <c r="C14634" s="43" t="n">
        <v>-46.589044</v>
      </c>
      <c r="D14634" s="43" t="n">
        <v>562</v>
      </c>
      <c r="E14634" s="44" t="n">
        <v>16959.395</v>
      </c>
    </row>
    <row r="14635">
      <c r="A14635" s="39">
        <f>_xlfn.XLOOKUP(82049,Trip[shape_id],Trip[shape_id],"Não encontrado")</f>
        <v/>
      </c>
      <c r="B14635" s="40" t="n">
        <v>-23.545485</v>
      </c>
      <c r="C14635" s="40" t="n">
        <v>-46.591358</v>
      </c>
      <c r="D14635" s="40" t="n">
        <v>563</v>
      </c>
      <c r="E14635" s="41" t="n">
        <v>17201.098</v>
      </c>
    </row>
    <row r="14636">
      <c r="A14636" s="42">
        <f>_xlfn.XLOOKUP(82049,Trip[shape_id],Trip[shape_id],"Não encontrado")</f>
        <v/>
      </c>
      <c r="B14636" s="43" t="n">
        <v>-23.545537</v>
      </c>
      <c r="C14636" s="43" t="n">
        <v>-46.591608</v>
      </c>
      <c r="D14636" s="43" t="n">
        <v>564</v>
      </c>
      <c r="E14636" s="44" t="n">
        <v>17227.266</v>
      </c>
    </row>
    <row r="14637">
      <c r="A14637" s="39">
        <f>_xlfn.XLOOKUP(82049,Trip[shape_id],Trip[shape_id],"Não encontrado")</f>
        <v/>
      </c>
      <c r="B14637" s="40" t="n">
        <v>-23.545565</v>
      </c>
      <c r="C14637" s="40" t="n">
        <v>-46.591733</v>
      </c>
      <c r="D14637" s="40" t="n">
        <v>565</v>
      </c>
      <c r="E14637" s="41" t="n">
        <v>17240.4</v>
      </c>
    </row>
    <row r="14638">
      <c r="A14638" s="42">
        <f>_xlfn.XLOOKUP(82049,Trip[shape_id],Trip[shape_id],"Não encontrado")</f>
        <v/>
      </c>
      <c r="B14638" s="43" t="n">
        <v>-23.545588</v>
      </c>
      <c r="C14638" s="43" t="n">
        <v>-46.591894</v>
      </c>
      <c r="D14638" s="43" t="n">
        <v>566</v>
      </c>
      <c r="E14638" s="44" t="n">
        <v>17257.035</v>
      </c>
    </row>
    <row r="14639">
      <c r="A14639" s="39">
        <f>_xlfn.XLOOKUP(82049,Trip[shape_id],Trip[shape_id],"Não encontrado")</f>
        <v/>
      </c>
      <c r="B14639" s="40" t="n">
        <v>-23.545614</v>
      </c>
      <c r="C14639" s="40" t="n">
        <v>-46.592029</v>
      </c>
      <c r="D14639" s="40" t="n">
        <v>567</v>
      </c>
      <c r="E14639" s="41" t="n">
        <v>17271.117</v>
      </c>
    </row>
    <row r="14640">
      <c r="A14640" s="42">
        <f>_xlfn.XLOOKUP(82049,Trip[shape_id],Trip[shape_id],"Não encontrado")</f>
        <v/>
      </c>
      <c r="B14640" s="43" t="n">
        <v>-23.545596</v>
      </c>
      <c r="C14640" s="43" t="n">
        <v>-46.592167</v>
      </c>
      <c r="D14640" s="43" t="n">
        <v>568</v>
      </c>
      <c r="E14640" s="44" t="n">
        <v>17285.348</v>
      </c>
    </row>
    <row r="14641">
      <c r="A14641" s="39">
        <f>_xlfn.XLOOKUP(82049,Trip[shape_id],Trip[shape_id],"Não encontrado")</f>
        <v/>
      </c>
      <c r="B14641" s="40" t="n">
        <v>-23.545621</v>
      </c>
      <c r="C14641" s="40" t="n">
        <v>-46.592331</v>
      </c>
      <c r="D14641" s="40" t="n">
        <v>569</v>
      </c>
      <c r="E14641" s="41" t="n">
        <v>17302.32</v>
      </c>
    </row>
    <row r="14642">
      <c r="A14642" s="42">
        <f>_xlfn.XLOOKUP(82049,Trip[shape_id],Trip[shape_id],"Não encontrado")</f>
        <v/>
      </c>
      <c r="B14642" s="43" t="n">
        <v>-23.5455</v>
      </c>
      <c r="C14642" s="43" t="n">
        <v>-46.592446</v>
      </c>
      <c r="D14642" s="43" t="n">
        <v>570</v>
      </c>
      <c r="E14642" s="44" t="n">
        <v>17320.139</v>
      </c>
    </row>
    <row r="14643">
      <c r="A14643" s="39">
        <f>_xlfn.XLOOKUP(82049,Trip[shape_id],Trip[shape_id],"Não encontrado")</f>
        <v/>
      </c>
      <c r="B14643" s="40" t="n">
        <v>-23.545129</v>
      </c>
      <c r="C14643" s="40" t="n">
        <v>-46.592785</v>
      </c>
      <c r="D14643" s="40" t="n">
        <v>571</v>
      </c>
      <c r="E14643" s="41" t="n">
        <v>17373.863</v>
      </c>
    </row>
    <row r="14644">
      <c r="A14644" s="42">
        <f>_xlfn.XLOOKUP(82049,Trip[shape_id],Trip[shape_id],"Não encontrado")</f>
        <v/>
      </c>
      <c r="B14644" s="43" t="n">
        <v>-23.544785</v>
      </c>
      <c r="C14644" s="43" t="n">
        <v>-46.593099</v>
      </c>
      <c r="D14644" s="43" t="n">
        <v>572</v>
      </c>
      <c r="E14644" s="44" t="n">
        <v>17423.658</v>
      </c>
    </row>
    <row r="14645">
      <c r="A14645" s="39">
        <f>_xlfn.XLOOKUP(82049,Trip[shape_id],Trip[shape_id],"Não encontrado")</f>
        <v/>
      </c>
      <c r="B14645" s="40" t="n">
        <v>-23.544705</v>
      </c>
      <c r="C14645" s="40" t="n">
        <v>-46.593165</v>
      </c>
      <c r="D14645" s="40" t="n">
        <v>573</v>
      </c>
      <c r="E14645" s="41" t="n">
        <v>17434.791</v>
      </c>
    </row>
    <row r="14646">
      <c r="A14646" s="42">
        <f>_xlfn.XLOOKUP(82049,Trip[shape_id],Trip[shape_id],"Não encontrado")</f>
        <v/>
      </c>
      <c r="B14646" s="43" t="n">
        <v>-23.544523</v>
      </c>
      <c r="C14646" s="43" t="n">
        <v>-46.593299</v>
      </c>
      <c r="D14646" s="43" t="n">
        <v>574</v>
      </c>
      <c r="E14646" s="44" t="n">
        <v>17459.152</v>
      </c>
    </row>
    <row r="14647">
      <c r="A14647" s="39">
        <f>_xlfn.XLOOKUP(82049,Trip[shape_id],Trip[shape_id],"Não encontrado")</f>
        <v/>
      </c>
      <c r="B14647" s="40" t="n">
        <v>-23.54439</v>
      </c>
      <c r="C14647" s="40" t="n">
        <v>-46.593382</v>
      </c>
      <c r="D14647" s="40" t="n">
        <v>575</v>
      </c>
      <c r="E14647" s="41" t="n">
        <v>17476.146</v>
      </c>
    </row>
    <row r="14648">
      <c r="A14648" s="42">
        <f>_xlfn.XLOOKUP(82049,Trip[shape_id],Trip[shape_id],"Não encontrado")</f>
        <v/>
      </c>
      <c r="B14648" s="43" t="n">
        <v>-23.544143</v>
      </c>
      <c r="C14648" s="43" t="n">
        <v>-46.59349</v>
      </c>
      <c r="D14648" s="43" t="n">
        <v>576</v>
      </c>
      <c r="E14648" s="44" t="n">
        <v>17505.641</v>
      </c>
    </row>
    <row r="14649">
      <c r="A14649" s="39">
        <f>_xlfn.XLOOKUP(82049,Trip[shape_id],Trip[shape_id],"Não encontrado")</f>
        <v/>
      </c>
      <c r="B14649" s="40" t="n">
        <v>-23.543628</v>
      </c>
      <c r="C14649" s="40" t="n">
        <v>-46.593718</v>
      </c>
      <c r="D14649" s="40" t="n">
        <v>577</v>
      </c>
      <c r="E14649" s="41" t="n">
        <v>17567.246</v>
      </c>
    </row>
    <row r="14650">
      <c r="A14650" s="42">
        <f>_xlfn.XLOOKUP(82049,Trip[shape_id],Trip[shape_id],"Não encontrado")</f>
        <v/>
      </c>
      <c r="B14650" s="43" t="n">
        <v>-23.54333</v>
      </c>
      <c r="C14650" s="43" t="n">
        <v>-46.593842</v>
      </c>
      <c r="D14650" s="43" t="n">
        <v>578</v>
      </c>
      <c r="E14650" s="44" t="n">
        <v>17602.596</v>
      </c>
    </row>
    <row r="14651">
      <c r="A14651" s="39">
        <f>_xlfn.XLOOKUP(82049,Trip[shape_id],Trip[shape_id],"Não encontrado")</f>
        <v/>
      </c>
      <c r="B14651" s="40" t="n">
        <v>-23.542553</v>
      </c>
      <c r="C14651" s="40" t="n">
        <v>-46.594173</v>
      </c>
      <c r="D14651" s="40" t="n">
        <v>579</v>
      </c>
      <c r="E14651" s="41" t="n">
        <v>17695.049</v>
      </c>
    </row>
    <row r="14652">
      <c r="A14652" s="42">
        <f>_xlfn.XLOOKUP(82049,Trip[shape_id],Trip[shape_id],"Não encontrado")</f>
        <v/>
      </c>
      <c r="B14652" s="43" t="n">
        <v>-23.541914</v>
      </c>
      <c r="C14652" s="43" t="n">
        <v>-46.594438</v>
      </c>
      <c r="D14652" s="43" t="n">
        <v>580</v>
      </c>
      <c r="E14652" s="44" t="n">
        <v>17770.816</v>
      </c>
    </row>
    <row r="14653">
      <c r="A14653" s="39">
        <f>_xlfn.XLOOKUP(82049,Trip[shape_id],Trip[shape_id],"Não encontrado")</f>
        <v/>
      </c>
      <c r="B14653" s="40" t="n">
        <v>-23.541546</v>
      </c>
      <c r="C14653" s="40" t="n">
        <v>-46.594574</v>
      </c>
      <c r="D14653" s="40" t="n">
        <v>581</v>
      </c>
      <c r="E14653" s="41" t="n">
        <v>17813.873</v>
      </c>
    </row>
    <row r="14654">
      <c r="A14654" s="42">
        <f>_xlfn.XLOOKUP(82049,Trip[shape_id],Trip[shape_id],"Não encontrado")</f>
        <v/>
      </c>
      <c r="B14654" s="43" t="n">
        <v>-23.541508</v>
      </c>
      <c r="C14654" s="43" t="n">
        <v>-46.594504</v>
      </c>
      <c r="D14654" s="43" t="n">
        <v>582</v>
      </c>
      <c r="E14654" s="44" t="n">
        <v>17822.168</v>
      </c>
    </row>
    <row r="14655">
      <c r="A14655" s="39">
        <f>_xlfn.XLOOKUP(82049,Trip[shape_id],Trip[shape_id],"Não encontrado")</f>
        <v/>
      </c>
      <c r="B14655" s="40" t="n">
        <v>-23.541305</v>
      </c>
      <c r="C14655" s="40" t="n">
        <v>-46.593884</v>
      </c>
      <c r="D14655" s="40" t="n">
        <v>583</v>
      </c>
      <c r="E14655" s="41" t="n">
        <v>17889.35</v>
      </c>
    </row>
    <row r="14656">
      <c r="A14656" s="42">
        <f>_xlfn.XLOOKUP(82049,Trip[shape_id],Trip[shape_id],"Não encontrado")</f>
        <v/>
      </c>
      <c r="B14656" s="43" t="n">
        <v>-23.541483</v>
      </c>
      <c r="C14656" s="43" t="n">
        <v>-46.593817</v>
      </c>
      <c r="D14656" s="43" t="n">
        <v>584</v>
      </c>
      <c r="E14656" s="44" t="n">
        <v>18007.4</v>
      </c>
    </row>
    <row r="14657">
      <c r="A14657" s="39">
        <f>_xlfn.XLOOKUP(82049,Trip[shape_id],Trip[shape_id],"Não encontrado")</f>
        <v/>
      </c>
      <c r="B14657" s="40" t="n">
        <v>-23.542299</v>
      </c>
      <c r="C14657" s="40" t="n">
        <v>-46.593467</v>
      </c>
      <c r="D14657" s="40" t="n">
        <v>585</v>
      </c>
      <c r="E14657" s="41" t="n">
        <v>18007.4</v>
      </c>
    </row>
    <row r="14658">
      <c r="A14658" s="42">
        <f>_xlfn.XLOOKUP(82049,Trip[shape_id],Trip[shape_id],"Não encontrado")</f>
        <v/>
      </c>
      <c r="B14658" s="43" t="n">
        <v>-23.543171</v>
      </c>
      <c r="C14658" s="43" t="n">
        <v>-46.593096</v>
      </c>
      <c r="D14658" s="43" t="n">
        <v>586</v>
      </c>
      <c r="E14658" s="44" t="n">
        <v>18111.141</v>
      </c>
    </row>
    <row r="14659">
      <c r="A14659" s="39">
        <f>_xlfn.XLOOKUP(82049,Trip[shape_id],Trip[shape_id],"Não encontrado")</f>
        <v/>
      </c>
      <c r="B14659" s="40" t="n">
        <v>-23.542946</v>
      </c>
      <c r="C14659" s="40" t="n">
        <v>-46.591936</v>
      </c>
      <c r="D14659" s="40" t="n">
        <v>587</v>
      </c>
      <c r="E14659" s="41" t="n">
        <v>18232.178</v>
      </c>
    </row>
    <row r="14660">
      <c r="A14660" s="42">
        <f>_xlfn.XLOOKUP(82049,Trip[shape_id],Trip[shape_id],"Não encontrado")</f>
        <v/>
      </c>
      <c r="B14660" s="43" t="n">
        <v>-23.542887</v>
      </c>
      <c r="C14660" s="43" t="n">
        <v>-46.591674</v>
      </c>
      <c r="D14660" s="43" t="n">
        <v>588</v>
      </c>
      <c r="E14660" s="44" t="n">
        <v>18301.93</v>
      </c>
    </row>
    <row r="14661">
      <c r="A14661" s="39">
        <f>_xlfn.XLOOKUP(82049,Trip[shape_id],Trip[shape_id],"Não encontrado")</f>
        <v/>
      </c>
      <c r="B14661" s="40" t="n">
        <v>-23.542802</v>
      </c>
      <c r="C14661" s="40" t="n">
        <v>-46.591271</v>
      </c>
      <c r="D14661" s="40" t="n">
        <v>589</v>
      </c>
      <c r="E14661" s="41" t="n">
        <v>18316.84</v>
      </c>
    </row>
    <row r="14662">
      <c r="A14662" s="42">
        <f>_xlfn.XLOOKUP(82049,Trip[shape_id],Trip[shape_id],"Não encontrado")</f>
        <v/>
      </c>
      <c r="B14662" s="43" t="n">
        <v>-23.542758</v>
      </c>
      <c r="C14662" s="43" t="n">
        <v>-46.591133</v>
      </c>
      <c r="D14662" s="43" t="n">
        <v>590</v>
      </c>
      <c r="E14662" s="44" t="n">
        <v>18316.84</v>
      </c>
    </row>
    <row r="14663">
      <c r="A14663" s="39">
        <f>_xlfn.XLOOKUP(82049,Trip[shape_id],Trip[shape_id],"Não encontrado")</f>
        <v/>
      </c>
      <c r="B14663" s="40" t="n">
        <v>-23.542711</v>
      </c>
      <c r="C14663" s="40" t="n">
        <v>-46.591069</v>
      </c>
      <c r="D14663" s="40" t="n">
        <v>591</v>
      </c>
      <c r="E14663" s="41" t="n">
        <v>18332.135</v>
      </c>
    </row>
    <row r="14664">
      <c r="A14664" s="42">
        <f>_xlfn.XLOOKUP(82049,Trip[shape_id],Trip[shape_id],"Não encontrado")</f>
        <v/>
      </c>
      <c r="B14664" s="43" t="n">
        <v>-23.542661</v>
      </c>
      <c r="C14664" s="43" t="n">
        <v>-46.591028</v>
      </c>
      <c r="D14664" s="43" t="n">
        <v>592</v>
      </c>
      <c r="E14664" s="44" t="n">
        <v>18334.379</v>
      </c>
    </row>
    <row r="14665">
      <c r="A14665" s="39">
        <f>_xlfn.XLOOKUP(82049,Trip[shape_id],Trip[shape_id],"Não encontrado")</f>
        <v/>
      </c>
      <c r="B14665" s="40" t="n">
        <v>-23.542644</v>
      </c>
      <c r="C14665" s="40" t="n">
        <v>-46.591016</v>
      </c>
      <c r="D14665" s="40" t="n">
        <v>593</v>
      </c>
      <c r="E14665" s="41" t="n">
        <v>18341.438</v>
      </c>
    </row>
    <row r="14666">
      <c r="A14666" s="42">
        <f>_xlfn.XLOOKUP(82049,Trip[shape_id],Trip[shape_id],"Não encontrado")</f>
        <v/>
      </c>
      <c r="B14666" s="43" t="n">
        <v>-23.542588</v>
      </c>
      <c r="C14666" s="43" t="n">
        <v>-46.590983</v>
      </c>
      <c r="D14666" s="43" t="n">
        <v>594</v>
      </c>
      <c r="E14666" s="44" t="n">
        <v>18350.643</v>
      </c>
    </row>
    <row r="14667">
      <c r="A14667" s="39">
        <f>_xlfn.XLOOKUP(82049,Trip[shape_id],Trip[shape_id],"Não encontrado")</f>
        <v/>
      </c>
      <c r="B14667" s="40" t="n">
        <v>-23.542509</v>
      </c>
      <c r="C14667" s="40" t="n">
        <v>-46.590955</v>
      </c>
      <c r="D14667" s="40" t="n">
        <v>595</v>
      </c>
      <c r="E14667" s="41" t="n">
        <v>18350.643</v>
      </c>
    </row>
    <row r="14668">
      <c r="A14668" s="42">
        <f>_xlfn.XLOOKUP(82049,Trip[shape_id],Trip[shape_id],"Não encontrado")</f>
        <v/>
      </c>
      <c r="B14668" s="43" t="n">
        <v>-23.542415</v>
      </c>
      <c r="C14668" s="43" t="n">
        <v>-46.590651</v>
      </c>
      <c r="D14668" s="43" t="n">
        <v>596</v>
      </c>
      <c r="E14668" s="44" t="n">
        <v>18383.383</v>
      </c>
    </row>
    <row r="14669">
      <c r="A14669" s="39">
        <f>_xlfn.XLOOKUP(82049,Trip[shape_id],Trip[shape_id],"Não encontrado")</f>
        <v/>
      </c>
      <c r="B14669" s="40" t="n">
        <v>-23.542452</v>
      </c>
      <c r="C14669" s="40" t="n">
        <v>-46.590516</v>
      </c>
      <c r="D14669" s="40" t="n">
        <v>597</v>
      </c>
      <c r="E14669" s="41" t="n">
        <v>18397.764</v>
      </c>
    </row>
    <row r="14670">
      <c r="A14670" s="42">
        <f>_xlfn.XLOOKUP(82049,Trip[shape_id],Trip[shape_id],"Não encontrado")</f>
        <v/>
      </c>
      <c r="B14670" s="43" t="n">
        <v>-23.542328</v>
      </c>
      <c r="C14670" s="43" t="n">
        <v>-46.590119</v>
      </c>
      <c r="D14670" s="43" t="n">
        <v>598</v>
      </c>
      <c r="E14670" s="44" t="n">
        <v>18440.564</v>
      </c>
    </row>
    <row r="14671">
      <c r="A14671" s="39">
        <f>_xlfn.XLOOKUP(82049,Trip[shape_id],Trip[shape_id],"Não encontrado")</f>
        <v/>
      </c>
      <c r="B14671" s="40" t="n">
        <v>-23.542318</v>
      </c>
      <c r="C14671" s="40" t="n">
        <v>-46.590086</v>
      </c>
      <c r="D14671" s="40" t="n">
        <v>599</v>
      </c>
      <c r="E14671" s="41" t="n">
        <v>18444.111</v>
      </c>
    </row>
    <row r="14672">
      <c r="A14672" s="42">
        <f>_xlfn.XLOOKUP(82049,Trip[shape_id],Trip[shape_id],"Não encontrado")</f>
        <v/>
      </c>
      <c r="B14672" s="43" t="n">
        <v>-23.542286</v>
      </c>
      <c r="C14672" s="43" t="n">
        <v>-46.589985</v>
      </c>
      <c r="D14672" s="43" t="n">
        <v>600</v>
      </c>
      <c r="E14672" s="44" t="n">
        <v>18455.016</v>
      </c>
    </row>
    <row r="14673">
      <c r="A14673" s="39">
        <f>_xlfn.XLOOKUP(82049,Trip[shape_id],Trip[shape_id],"Não encontrado")</f>
        <v/>
      </c>
      <c r="B14673" s="40" t="n">
        <v>-23.542276</v>
      </c>
      <c r="C14673" s="40" t="n">
        <v>-46.589953</v>
      </c>
      <c r="D14673" s="40" t="n">
        <v>601</v>
      </c>
      <c r="E14673" s="41" t="n">
        <v>18458.465</v>
      </c>
    </row>
    <row r="14674">
      <c r="A14674" s="42">
        <f>_xlfn.XLOOKUP(82049,Trip[shape_id],Trip[shape_id],"Não encontrado")</f>
        <v/>
      </c>
      <c r="B14674" s="43" t="n">
        <v>-23.542253</v>
      </c>
      <c r="C14674" s="43" t="n">
        <v>-46.589879</v>
      </c>
      <c r="D14674" s="43" t="n">
        <v>602</v>
      </c>
      <c r="E14674" s="44" t="n">
        <v>18466.439</v>
      </c>
    </row>
    <row r="14675">
      <c r="A14675" s="39">
        <f>_xlfn.XLOOKUP(82049,Trip[shape_id],Trip[shape_id],"Não encontrado")</f>
        <v/>
      </c>
      <c r="B14675" s="40" t="n">
        <v>-23.542246</v>
      </c>
      <c r="C14675" s="40" t="n">
        <v>-46.589853</v>
      </c>
      <c r="D14675" s="40" t="n">
        <v>603</v>
      </c>
      <c r="E14675" s="41" t="n">
        <v>18469.207</v>
      </c>
    </row>
    <row r="14676">
      <c r="A14676" s="42">
        <f>_xlfn.XLOOKUP(82115,Trip[shape_id],Trip[shape_id],"Não encontrado")</f>
        <v/>
      </c>
      <c r="B14676" s="43" t="n">
        <v>-23.5431</v>
      </c>
      <c r="C14676" s="43" t="n">
        <v>-46.589198</v>
      </c>
      <c r="D14676" s="43" t="n">
        <v>1</v>
      </c>
      <c r="E14676" s="44" t="n">
        <v>8.9053097</v>
      </c>
    </row>
    <row r="14677">
      <c r="A14677" s="39">
        <f>_xlfn.XLOOKUP(82115,Trip[shape_id],Trip[shape_id],"Não encontrado")</f>
        <v/>
      </c>
      <c r="B14677" s="40" t="n">
        <v>-23.543118</v>
      </c>
      <c r="C14677" s="40" t="n">
        <v>-46.589283</v>
      </c>
      <c r="D14677" s="40" t="n">
        <v>2</v>
      </c>
      <c r="E14677" s="41" t="n">
        <v>8.9053097</v>
      </c>
    </row>
    <row r="14678">
      <c r="A14678" s="42">
        <f>_xlfn.XLOOKUP(82115,Trip[shape_id],Trip[shape_id],"Não encontrado")</f>
        <v/>
      </c>
      <c r="B14678" s="43" t="n">
        <v>-23.54318</v>
      </c>
      <c r="C14678" s="43" t="n">
        <v>-46.589587</v>
      </c>
      <c r="D14678" s="43" t="n">
        <v>3</v>
      </c>
      <c r="E14678" s="44" t="n">
        <v>98.669785</v>
      </c>
    </row>
    <row r="14679">
      <c r="A14679" s="39">
        <f>_xlfn.XLOOKUP(82115,Trip[shape_id],Trip[shape_id],"Não encontrado")</f>
        <v/>
      </c>
      <c r="B14679" s="40" t="n">
        <v>-23.543428</v>
      </c>
      <c r="C14679" s="40" t="n">
        <v>-46.590087</v>
      </c>
      <c r="D14679" s="40" t="n">
        <v>4</v>
      </c>
      <c r="E14679" s="41" t="n">
        <v>98.669785</v>
      </c>
    </row>
    <row r="14680">
      <c r="A14680" s="42">
        <f>_xlfn.XLOOKUP(82115,Trip[shape_id],Trip[shape_id],"Não encontrado")</f>
        <v/>
      </c>
      <c r="B14680" s="43" t="n">
        <v>-23.543735</v>
      </c>
      <c r="C14680" s="43" t="n">
        <v>-46.591638</v>
      </c>
      <c r="D14680" s="43" t="n">
        <v>5</v>
      </c>
      <c r="E14680" s="44" t="n">
        <v>260.64716</v>
      </c>
    </row>
    <row r="14681">
      <c r="A14681" s="39">
        <f>_xlfn.XLOOKUP(82115,Trip[shape_id],Trip[shape_id],"Não encontrado")</f>
        <v/>
      </c>
      <c r="B14681" s="40" t="n">
        <v>-23.543846</v>
      </c>
      <c r="C14681" s="40" t="n">
        <v>-46.592206</v>
      </c>
      <c r="D14681" s="40" t="n">
        <v>6</v>
      </c>
      <c r="E14681" s="41" t="n">
        <v>319.93268</v>
      </c>
    </row>
    <row r="14682">
      <c r="A14682" s="42">
        <f>_xlfn.XLOOKUP(82115,Trip[shape_id],Trip[shape_id],"Não encontrado")</f>
        <v/>
      </c>
      <c r="B14682" s="43" t="n">
        <v>-23.543904</v>
      </c>
      <c r="C14682" s="43" t="n">
        <v>-46.592511</v>
      </c>
      <c r="D14682" s="43" t="n">
        <v>7</v>
      </c>
      <c r="E14682" s="44" t="n">
        <v>351.7309</v>
      </c>
    </row>
    <row r="14683">
      <c r="A14683" s="39">
        <f>_xlfn.XLOOKUP(82115,Trip[shape_id],Trip[shape_id],"Não encontrado")</f>
        <v/>
      </c>
      <c r="B14683" s="40" t="n">
        <v>-23.543936</v>
      </c>
      <c r="C14683" s="40" t="n">
        <v>-46.592618</v>
      </c>
      <c r="D14683" s="40" t="n">
        <v>8</v>
      </c>
      <c r="E14683" s="41" t="n">
        <v>363.21643</v>
      </c>
    </row>
    <row r="14684">
      <c r="A14684" s="42">
        <f>_xlfn.XLOOKUP(82115,Trip[shape_id],Trip[shape_id],"Não encontrado")</f>
        <v/>
      </c>
      <c r="B14684" s="43" t="n">
        <v>-23.543986</v>
      </c>
      <c r="C14684" s="43" t="n">
        <v>-46.592726</v>
      </c>
      <c r="D14684" s="43" t="n">
        <v>9</v>
      </c>
      <c r="E14684" s="44" t="n">
        <v>375.55603</v>
      </c>
    </row>
    <row r="14685">
      <c r="A14685" s="39">
        <f>_xlfn.XLOOKUP(82115,Trip[shape_id],Trip[shape_id],"Não encontrado")</f>
        <v/>
      </c>
      <c r="B14685" s="40" t="n">
        <v>-23.544088</v>
      </c>
      <c r="C14685" s="40" t="n">
        <v>-46.592706</v>
      </c>
      <c r="D14685" s="40" t="n">
        <v>10</v>
      </c>
      <c r="E14685" s="41" t="n">
        <v>391.31339</v>
      </c>
    </row>
    <row r="14686">
      <c r="A14686" s="42">
        <f>_xlfn.XLOOKUP(82115,Trip[shape_id],Trip[shape_id],"Não encontrado")</f>
        <v/>
      </c>
      <c r="B14686" s="43" t="n">
        <v>-23.544125</v>
      </c>
      <c r="C14686" s="43" t="n">
        <v>-46.592694</v>
      </c>
      <c r="D14686" s="43" t="n">
        <v>11</v>
      </c>
      <c r="E14686" s="44" t="n">
        <v>397.39871</v>
      </c>
    </row>
    <row r="14687">
      <c r="A14687" s="39">
        <f>_xlfn.XLOOKUP(82115,Trip[shape_id],Trip[shape_id],"Não encontrado")</f>
        <v/>
      </c>
      <c r="B14687" s="40" t="n">
        <v>-23.544179</v>
      </c>
      <c r="C14687" s="40" t="n">
        <v>-46.592683</v>
      </c>
      <c r="D14687" s="40" t="n">
        <v>12</v>
      </c>
      <c r="E14687" s="41" t="n">
        <v>401.11642</v>
      </c>
    </row>
    <row r="14688">
      <c r="A14688" s="42">
        <f>_xlfn.XLOOKUP(82115,Trip[shape_id],Trip[shape_id],"Não encontrado")</f>
        <v/>
      </c>
      <c r="B14688" s="43" t="n">
        <v>-23.544211</v>
      </c>
      <c r="C14688" s="43" t="n">
        <v>-46.592672</v>
      </c>
      <c r="D14688" s="43" t="n">
        <v>13</v>
      </c>
      <c r="E14688" s="44" t="n">
        <v>404.40817</v>
      </c>
    </row>
    <row r="14689">
      <c r="A14689" s="39">
        <f>_xlfn.XLOOKUP(82115,Trip[shape_id],Trip[shape_id],"Não encontrado")</f>
        <v/>
      </c>
      <c r="B14689" s="40" t="n">
        <v>-23.544235</v>
      </c>
      <c r="C14689" s="40" t="n">
        <v>-46.592653</v>
      </c>
      <c r="D14689" s="40" t="n">
        <v>14</v>
      </c>
      <c r="E14689" s="41" t="n">
        <v>407.80573</v>
      </c>
    </row>
    <row r="14690">
      <c r="A14690" s="42">
        <f>_xlfn.XLOOKUP(82115,Trip[shape_id],Trip[shape_id],"Não encontrado")</f>
        <v/>
      </c>
      <c r="B14690" s="43" t="n">
        <v>-23.544258</v>
      </c>
      <c r="C14690" s="43" t="n">
        <v>-46.592631</v>
      </c>
      <c r="D14690" s="43" t="n">
        <v>15</v>
      </c>
      <c r="E14690" s="44" t="n">
        <v>412.30991</v>
      </c>
    </row>
    <row r="14691">
      <c r="A14691" s="39">
        <f>_xlfn.XLOOKUP(82115,Trip[shape_id],Trip[shape_id],"Não encontrado")</f>
        <v/>
      </c>
      <c r="B14691" s="40" t="n">
        <v>-23.544286</v>
      </c>
      <c r="C14691" s="40" t="n">
        <v>-46.592599</v>
      </c>
      <c r="D14691" s="40" t="n">
        <v>16</v>
      </c>
      <c r="E14691" s="41" t="n">
        <v>412.30991</v>
      </c>
    </row>
    <row r="14692">
      <c r="A14692" s="42">
        <f>_xlfn.XLOOKUP(82115,Trip[shape_id],Trip[shape_id],"Não encontrado")</f>
        <v/>
      </c>
      <c r="B14692" s="43" t="n">
        <v>-23.544427</v>
      </c>
      <c r="C14692" s="43" t="n">
        <v>-46.592551</v>
      </c>
      <c r="D14692" s="43" t="n">
        <v>17</v>
      </c>
      <c r="E14692" s="44" t="n">
        <v>428.6767</v>
      </c>
    </row>
    <row r="14693">
      <c r="A14693" s="39">
        <f>_xlfn.XLOOKUP(82115,Trip[shape_id],Trip[shape_id],"Não encontrado")</f>
        <v/>
      </c>
      <c r="B14693" s="40" t="n">
        <v>-23.545029</v>
      </c>
      <c r="C14693" s="40" t="n">
        <v>-46.592304</v>
      </c>
      <c r="D14693" s="40" t="n">
        <v>18</v>
      </c>
      <c r="E14693" s="41" t="n">
        <v>537.96942</v>
      </c>
    </row>
    <row r="14694">
      <c r="A14694" s="42">
        <f>_xlfn.XLOOKUP(82115,Trip[shape_id],Trip[shape_id],"Não encontrado")</f>
        <v/>
      </c>
      <c r="B14694" s="43" t="n">
        <v>-23.545347</v>
      </c>
      <c r="C14694" s="43" t="n">
        <v>-46.592164</v>
      </c>
      <c r="D14694" s="43" t="n">
        <v>19</v>
      </c>
      <c r="E14694" s="44" t="n">
        <v>570.59509</v>
      </c>
    </row>
    <row r="14695">
      <c r="A14695" s="39">
        <f>_xlfn.XLOOKUP(82115,Trip[shape_id],Trip[shape_id],"Não encontrado")</f>
        <v/>
      </c>
      <c r="B14695" s="40" t="n">
        <v>-23.545614</v>
      </c>
      <c r="C14695" s="40" t="n">
        <v>-46.592029</v>
      </c>
      <c r="D14695" s="40" t="n">
        <v>20</v>
      </c>
      <c r="E14695" s="41" t="n">
        <v>570.59509</v>
      </c>
    </row>
    <row r="14696">
      <c r="A14696" s="42">
        <f>_xlfn.XLOOKUP(82115,Trip[shape_id],Trip[shape_id],"Não encontrado")</f>
        <v/>
      </c>
      <c r="B14696" s="43" t="n">
        <v>-23.54582</v>
      </c>
      <c r="C14696" s="43" t="n">
        <v>-46.591991</v>
      </c>
      <c r="D14696" s="43" t="n">
        <v>21</v>
      </c>
      <c r="E14696" s="44" t="n">
        <v>593.73761</v>
      </c>
    </row>
    <row r="14697">
      <c r="A14697" s="39">
        <f>_xlfn.XLOOKUP(82115,Trip[shape_id],Trip[shape_id],"Não encontrado")</f>
        <v/>
      </c>
      <c r="B14697" s="40" t="n">
        <v>-23.545985</v>
      </c>
      <c r="C14697" s="40" t="n">
        <v>-46.592159</v>
      </c>
      <c r="D14697" s="40" t="n">
        <v>22</v>
      </c>
      <c r="E14697" s="41" t="n">
        <v>618.80133</v>
      </c>
    </row>
    <row r="14698">
      <c r="A14698" s="42">
        <f>_xlfn.XLOOKUP(82115,Trip[shape_id],Trip[shape_id],"Não encontrado")</f>
        <v/>
      </c>
      <c r="B14698" s="43" t="n">
        <v>-23.547045</v>
      </c>
      <c r="C14698" s="43" t="n">
        <v>-46.591203</v>
      </c>
      <c r="D14698" s="43" t="n">
        <v>23</v>
      </c>
      <c r="E14698" s="44" t="n">
        <v>771.47815</v>
      </c>
    </row>
    <row r="14699">
      <c r="A14699" s="39">
        <f>_xlfn.XLOOKUP(82115,Trip[shape_id],Trip[shape_id],"Não encontrado")</f>
        <v/>
      </c>
      <c r="B14699" s="40" t="n">
        <v>-23.546998</v>
      </c>
      <c r="C14699" s="40" t="n">
        <v>-46.591091</v>
      </c>
      <c r="D14699" s="40" t="n">
        <v>24</v>
      </c>
      <c r="E14699" s="41" t="n">
        <v>945.96313</v>
      </c>
    </row>
    <row r="14700">
      <c r="A14700" s="42">
        <f>_xlfn.XLOOKUP(82115,Trip[shape_id],Trip[shape_id],"Não encontrado")</f>
        <v/>
      </c>
      <c r="B14700" s="43" t="n">
        <v>-23.546689</v>
      </c>
      <c r="C14700" s="43" t="n">
        <v>-46.589541</v>
      </c>
      <c r="D14700" s="43" t="n">
        <v>25</v>
      </c>
      <c r="E14700" s="44" t="n">
        <v>945.96313</v>
      </c>
    </row>
    <row r="14701">
      <c r="A14701" s="39">
        <f>_xlfn.XLOOKUP(82115,Trip[shape_id],Trip[shape_id],"Não encontrado")</f>
        <v/>
      </c>
      <c r="B14701" s="40" t="n">
        <v>-23.54656</v>
      </c>
      <c r="C14701" s="40" t="n">
        <v>-46.588819</v>
      </c>
      <c r="D14701" s="40" t="n">
        <v>26</v>
      </c>
      <c r="E14701" s="41" t="n">
        <v>1021.0547</v>
      </c>
    </row>
    <row r="14702">
      <c r="A14702" s="42">
        <f>_xlfn.XLOOKUP(82115,Trip[shape_id],Trip[shape_id],"Não encontrado")</f>
        <v/>
      </c>
      <c r="B14702" s="43" t="n">
        <v>-23.546477</v>
      </c>
      <c r="C14702" s="43" t="n">
        <v>-46.588384</v>
      </c>
      <c r="D14702" s="43" t="n">
        <v>27</v>
      </c>
      <c r="E14702" s="44" t="n">
        <v>1066.4116</v>
      </c>
    </row>
    <row r="14703">
      <c r="A14703" s="39">
        <f>_xlfn.XLOOKUP(82115,Trip[shape_id],Trip[shape_id],"Não encontrado")</f>
        <v/>
      </c>
      <c r="B14703" s="40" t="n">
        <v>-23.546408</v>
      </c>
      <c r="C14703" s="40" t="n">
        <v>-46.588043</v>
      </c>
      <c r="D14703" s="40" t="n">
        <v>28</v>
      </c>
      <c r="E14703" s="41" t="n">
        <v>1102.0583</v>
      </c>
    </row>
    <row r="14704">
      <c r="A14704" s="42">
        <f>_xlfn.XLOOKUP(82115,Trip[shape_id],Trip[shape_id],"Não encontrado")</f>
        <v/>
      </c>
      <c r="B14704" s="43" t="n">
        <v>-23.546378</v>
      </c>
      <c r="C14704" s="43" t="n">
        <v>-46.587902</v>
      </c>
      <c r="D14704" s="43" t="n">
        <v>29</v>
      </c>
      <c r="E14704" s="44" t="n">
        <v>1116.8339</v>
      </c>
    </row>
    <row r="14705">
      <c r="A14705" s="39">
        <f>_xlfn.XLOOKUP(82115,Trip[shape_id],Trip[shape_id],"Não encontrado")</f>
        <v/>
      </c>
      <c r="B14705" s="40" t="n">
        <v>-23.546253</v>
      </c>
      <c r="C14705" s="40" t="n">
        <v>-46.587304</v>
      </c>
      <c r="D14705" s="40" t="n">
        <v>30</v>
      </c>
      <c r="E14705" s="41" t="n">
        <v>1179.4426</v>
      </c>
    </row>
    <row r="14706">
      <c r="A14706" s="42">
        <f>_xlfn.XLOOKUP(82115,Trip[shape_id],Trip[shape_id],"Não encontrado")</f>
        <v/>
      </c>
      <c r="B14706" s="43" t="n">
        <v>-23.546134</v>
      </c>
      <c r="C14706" s="43" t="n">
        <v>-46.586665</v>
      </c>
      <c r="D14706" s="43" t="n">
        <v>31</v>
      </c>
      <c r="E14706" s="44" t="n">
        <v>1246.0057</v>
      </c>
    </row>
    <row r="14707">
      <c r="A14707" s="39">
        <f>_xlfn.XLOOKUP(82115,Trip[shape_id],Trip[shape_id],"Não encontrado")</f>
        <v/>
      </c>
      <c r="B14707" s="40" t="n">
        <v>-23.546051</v>
      </c>
      <c r="C14707" s="40" t="n">
        <v>-46.586254</v>
      </c>
      <c r="D14707" s="40" t="n">
        <v>32</v>
      </c>
      <c r="E14707" s="41" t="n">
        <v>1288.9662</v>
      </c>
    </row>
    <row r="14708">
      <c r="A14708" s="42">
        <f>_xlfn.XLOOKUP(82115,Trip[shape_id],Trip[shape_id],"Não encontrado")</f>
        <v/>
      </c>
      <c r="B14708" s="43" t="n">
        <v>-23.545867</v>
      </c>
      <c r="C14708" s="43" t="n">
        <v>-46.585286</v>
      </c>
      <c r="D14708" s="43" t="n">
        <v>33</v>
      </c>
      <c r="E14708" s="44" t="n">
        <v>1389.8833</v>
      </c>
    </row>
    <row r="14709">
      <c r="A14709" s="39">
        <f>_xlfn.XLOOKUP(82115,Trip[shape_id],Trip[shape_id],"Não encontrado")</f>
        <v/>
      </c>
      <c r="B14709" s="40" t="n">
        <v>-23.545795</v>
      </c>
      <c r="C14709" s="40" t="n">
        <v>-46.584964</v>
      </c>
      <c r="D14709" s="40" t="n">
        <v>34</v>
      </c>
      <c r="E14709" s="41" t="n">
        <v>1423.7144</v>
      </c>
    </row>
    <row r="14710">
      <c r="A14710" s="42">
        <f>_xlfn.XLOOKUP(82115,Trip[shape_id],Trip[shape_id],"Não encontrado")</f>
        <v/>
      </c>
      <c r="B14710" s="43" t="n">
        <v>-23.546272</v>
      </c>
      <c r="C14710" s="43" t="n">
        <v>-46.584563</v>
      </c>
      <c r="D14710" s="43" t="n">
        <v>35</v>
      </c>
      <c r="E14710" s="44" t="n">
        <v>1490.5522</v>
      </c>
    </row>
    <row r="14711">
      <c r="A14711" s="39">
        <f>_xlfn.XLOOKUP(82115,Trip[shape_id],Trip[shape_id],"Não encontrado")</f>
        <v/>
      </c>
      <c r="B14711" s="40" t="n">
        <v>-23.547496</v>
      </c>
      <c r="C14711" s="40" t="n">
        <v>-46.583073</v>
      </c>
      <c r="D14711" s="40" t="n">
        <v>36</v>
      </c>
      <c r="E14711" s="41" t="n">
        <v>1704.4562</v>
      </c>
    </row>
    <row r="14712">
      <c r="A14712" s="42">
        <f>_xlfn.XLOOKUP(82115,Trip[shape_id],Trip[shape_id],"Não encontrado")</f>
        <v/>
      </c>
      <c r="B14712" s="43" t="n">
        <v>-23.547558</v>
      </c>
      <c r="C14712" s="43" t="n">
        <v>-46.583</v>
      </c>
      <c r="D14712" s="43" t="n">
        <v>37</v>
      </c>
      <c r="E14712" s="44" t="n">
        <v>1704.4562</v>
      </c>
    </row>
    <row r="14713">
      <c r="A14713" s="39">
        <f>_xlfn.XLOOKUP(82115,Trip[shape_id],Trip[shape_id],"Não encontrado")</f>
        <v/>
      </c>
      <c r="B14713" s="40" t="n">
        <v>-23.548403</v>
      </c>
      <c r="C14713" s="40" t="n">
        <v>-46.582086</v>
      </c>
      <c r="D14713" s="40" t="n">
        <v>38</v>
      </c>
      <c r="E14713" s="41" t="n">
        <v>1864.6858</v>
      </c>
    </row>
    <row r="14714">
      <c r="A14714" s="42">
        <f>_xlfn.XLOOKUP(82115,Trip[shape_id],Trip[shape_id],"Não encontrado")</f>
        <v/>
      </c>
      <c r="B14714" s="43" t="n">
        <v>-23.548587</v>
      </c>
      <c r="C14714" s="43" t="n">
        <v>-46.581897</v>
      </c>
      <c r="D14714" s="43" t="n">
        <v>39</v>
      </c>
      <c r="E14714" s="44" t="n">
        <v>1894.0171</v>
      </c>
    </row>
    <row r="14715">
      <c r="A14715" s="39">
        <f>_xlfn.XLOOKUP(82115,Trip[shape_id],Trip[shape_id],"Não encontrado")</f>
        <v/>
      </c>
      <c r="B14715" s="40" t="n">
        <v>-23.548778</v>
      </c>
      <c r="C14715" s="40" t="n">
        <v>-46.581698</v>
      </c>
      <c r="D14715" s="40" t="n">
        <v>40</v>
      </c>
      <c r="E14715" s="41" t="n">
        <v>1920.1992</v>
      </c>
    </row>
    <row r="14716">
      <c r="A14716" s="42">
        <f>_xlfn.XLOOKUP(82115,Trip[shape_id],Trip[shape_id],"Não encontrado")</f>
        <v/>
      </c>
      <c r="B14716" s="43" t="n">
        <v>-23.548962</v>
      </c>
      <c r="C14716" s="43" t="n">
        <v>-46.581537</v>
      </c>
      <c r="D14716" s="43" t="n">
        <v>41</v>
      </c>
      <c r="E14716" s="44" t="n">
        <v>1920.1992</v>
      </c>
    </row>
    <row r="14717">
      <c r="A14717" s="39">
        <f>_xlfn.XLOOKUP(82115,Trip[shape_id],Trip[shape_id],"Não encontrado")</f>
        <v/>
      </c>
      <c r="B14717" s="40" t="n">
        <v>-23.549521</v>
      </c>
      <c r="C14717" s="40" t="n">
        <v>-46.58107</v>
      </c>
      <c r="D14717" s="40" t="n">
        <v>42</v>
      </c>
      <c r="E14717" s="41" t="n">
        <v>1998.343</v>
      </c>
    </row>
    <row r="14718">
      <c r="A14718" s="42">
        <f>_xlfn.XLOOKUP(82115,Trip[shape_id],Trip[shape_id],"Não encontrado")</f>
        <v/>
      </c>
      <c r="B14718" s="43" t="n">
        <v>-23.550061</v>
      </c>
      <c r="C14718" s="43" t="n">
        <v>-46.580642</v>
      </c>
      <c r="D14718" s="43" t="n">
        <v>43</v>
      </c>
      <c r="E14718" s="44" t="n">
        <v>2072.4136</v>
      </c>
    </row>
    <row r="14719">
      <c r="A14719" s="39">
        <f>_xlfn.XLOOKUP(82115,Trip[shape_id],Trip[shape_id],"Não encontrado")</f>
        <v/>
      </c>
      <c r="B14719" s="40" t="n">
        <v>-23.550327</v>
      </c>
      <c r="C14719" s="40" t="n">
        <v>-46.580468</v>
      </c>
      <c r="D14719" s="40" t="n">
        <v>44</v>
      </c>
      <c r="E14719" s="41" t="n">
        <v>2106.8157</v>
      </c>
    </row>
    <row r="14720">
      <c r="A14720" s="42">
        <f>_xlfn.XLOOKUP(82115,Trip[shape_id],Trip[shape_id],"Não encontrado")</f>
        <v/>
      </c>
      <c r="B14720" s="43" t="n">
        <v>-23.550723</v>
      </c>
      <c r="C14720" s="43" t="n">
        <v>-46.580215</v>
      </c>
      <c r="D14720" s="43" t="n">
        <v>45</v>
      </c>
      <c r="E14720" s="44" t="n">
        <v>2157.7153</v>
      </c>
    </row>
    <row r="14721">
      <c r="A14721" s="39">
        <f>_xlfn.XLOOKUP(82115,Trip[shape_id],Trip[shape_id],"Não encontrado")</f>
        <v/>
      </c>
      <c r="B14721" s="40" t="n">
        <v>-23.551324</v>
      </c>
      <c r="C14721" s="40" t="n">
        <v>-46.579874</v>
      </c>
      <c r="D14721" s="40" t="n">
        <v>46</v>
      </c>
      <c r="E14721" s="41" t="n">
        <v>2232.833</v>
      </c>
    </row>
    <row r="14722">
      <c r="A14722" s="42">
        <f>_xlfn.XLOOKUP(82115,Trip[shape_id],Trip[shape_id],"Não encontrado")</f>
        <v/>
      </c>
      <c r="B14722" s="43" t="n">
        <v>-23.551373</v>
      </c>
      <c r="C14722" s="43" t="n">
        <v>-46.579846</v>
      </c>
      <c r="D14722" s="43" t="n">
        <v>47</v>
      </c>
      <c r="E14722" s="44" t="n">
        <v>2254.8376</v>
      </c>
    </row>
    <row r="14723">
      <c r="A14723" s="39">
        <f>_xlfn.XLOOKUP(82115,Trip[shape_id],Trip[shape_id],"Não encontrado")</f>
        <v/>
      </c>
      <c r="B14723" s="40" t="n">
        <v>-23.5515</v>
      </c>
      <c r="C14723" s="40" t="n">
        <v>-46.579774</v>
      </c>
      <c r="D14723" s="40" t="n">
        <v>48</v>
      </c>
      <c r="E14723" s="41" t="n">
        <v>2258.5854</v>
      </c>
    </row>
    <row r="14724">
      <c r="A14724" s="42">
        <f>_xlfn.XLOOKUP(82115,Trip[shape_id],Trip[shape_id],"Não encontrado")</f>
        <v/>
      </c>
      <c r="B14724" s="43" t="n">
        <v>-23.55153</v>
      </c>
      <c r="C14724" s="43" t="n">
        <v>-46.579757</v>
      </c>
      <c r="D14724" s="43" t="n">
        <v>49</v>
      </c>
      <c r="E14724" s="44" t="n">
        <v>2259.3677</v>
      </c>
    </row>
    <row r="14725">
      <c r="A14725" s="39">
        <f>_xlfn.XLOOKUP(82115,Trip[shape_id],Trip[shape_id],"Não encontrado")</f>
        <v/>
      </c>
      <c r="B14725" s="40" t="n">
        <v>-23.551536</v>
      </c>
      <c r="C14725" s="40" t="n">
        <v>-46.579753</v>
      </c>
      <c r="D14725" s="40" t="n">
        <v>50</v>
      </c>
      <c r="E14725" s="41" t="n">
        <v>2259.3677</v>
      </c>
    </row>
    <row r="14726">
      <c r="A14726" s="42">
        <f>_xlfn.XLOOKUP(82115,Trip[shape_id],Trip[shape_id],"Não encontrado")</f>
        <v/>
      </c>
      <c r="B14726" s="43" t="n">
        <v>-23.551858</v>
      </c>
      <c r="C14726" s="43" t="n">
        <v>-46.579575</v>
      </c>
      <c r="D14726" s="43" t="n">
        <v>51</v>
      </c>
      <c r="E14726" s="44" t="n">
        <v>2299.3938</v>
      </c>
    </row>
    <row r="14727">
      <c r="A14727" s="39">
        <f>_xlfn.XLOOKUP(82115,Trip[shape_id],Trip[shape_id],"Não encontrado")</f>
        <v/>
      </c>
      <c r="B14727" s="40" t="n">
        <v>-23.55232</v>
      </c>
      <c r="C14727" s="40" t="n">
        <v>-46.579311</v>
      </c>
      <c r="D14727" s="40" t="n">
        <v>52</v>
      </c>
      <c r="E14727" s="41" t="n">
        <v>2357.2266</v>
      </c>
    </row>
    <row r="14728">
      <c r="A14728" s="42">
        <f>_xlfn.XLOOKUP(82115,Trip[shape_id],Trip[shape_id],"Não encontrado")</f>
        <v/>
      </c>
      <c r="B14728" s="43" t="n">
        <v>-23.553304</v>
      </c>
      <c r="C14728" s="43" t="n">
        <v>-46.578766</v>
      </c>
      <c r="D14728" s="43" t="n">
        <v>53</v>
      </c>
      <c r="E14728" s="44" t="n">
        <v>2479.5903</v>
      </c>
    </row>
    <row r="14729">
      <c r="A14729" s="39">
        <f>_xlfn.XLOOKUP(82115,Trip[shape_id],Trip[shape_id],"Não encontrado")</f>
        <v/>
      </c>
      <c r="B14729" s="40" t="n">
        <v>-23.553413</v>
      </c>
      <c r="C14729" s="40" t="n">
        <v>-46.57848</v>
      </c>
      <c r="D14729" s="40" t="n">
        <v>54</v>
      </c>
      <c r="E14729" s="41" t="n">
        <v>2566.5398</v>
      </c>
    </row>
    <row r="14730">
      <c r="A14730" s="42">
        <f>_xlfn.XLOOKUP(82115,Trip[shape_id],Trip[shape_id],"Não encontrado")</f>
        <v/>
      </c>
      <c r="B14730" s="43" t="n">
        <v>-23.55359</v>
      </c>
      <c r="C14730" s="43" t="n">
        <v>-46.577973</v>
      </c>
      <c r="D14730" s="43" t="n">
        <v>55</v>
      </c>
      <c r="E14730" s="44" t="n">
        <v>2635.7522</v>
      </c>
    </row>
    <row r="14731">
      <c r="A14731" s="39">
        <f>_xlfn.XLOOKUP(82115,Trip[shape_id],Trip[shape_id],"Não encontrado")</f>
        <v/>
      </c>
      <c r="B14731" s="40" t="n">
        <v>-23.553832</v>
      </c>
      <c r="C14731" s="40" t="n">
        <v>-46.577348</v>
      </c>
      <c r="D14731" s="40" t="n">
        <v>56</v>
      </c>
      <c r="E14731" s="41" t="n">
        <v>2646.4199</v>
      </c>
    </row>
    <row r="14732">
      <c r="A14732" s="42">
        <f>_xlfn.XLOOKUP(82115,Trip[shape_id],Trip[shape_id],"Não encontrado")</f>
        <v/>
      </c>
      <c r="B14732" s="43" t="n">
        <v>-23.5539</v>
      </c>
      <c r="C14732" s="43" t="n">
        <v>-46.577274</v>
      </c>
      <c r="D14732" s="43" t="n">
        <v>57</v>
      </c>
      <c r="E14732" s="44" t="n">
        <v>2659.7773</v>
      </c>
    </row>
    <row r="14733">
      <c r="A14733" s="39">
        <f>_xlfn.XLOOKUP(82115,Trip[shape_id],Trip[shape_id],"Não encontrado")</f>
        <v/>
      </c>
      <c r="B14733" s="40" t="n">
        <v>-23.554009</v>
      </c>
      <c r="C14733" s="40" t="n">
        <v>-46.577218</v>
      </c>
      <c r="D14733" s="40" t="n">
        <v>58</v>
      </c>
      <c r="E14733" s="41" t="n">
        <v>2659.7773</v>
      </c>
    </row>
    <row r="14734">
      <c r="A14734" s="42">
        <f>_xlfn.XLOOKUP(82115,Trip[shape_id],Trip[shape_id],"Não encontrado")</f>
        <v/>
      </c>
      <c r="B14734" s="43" t="n">
        <v>-23.554129</v>
      </c>
      <c r="C14734" s="43" t="n">
        <v>-46.577265</v>
      </c>
      <c r="D14734" s="43" t="n">
        <v>59</v>
      </c>
      <c r="E14734" s="44" t="n">
        <v>2687.0051</v>
      </c>
    </row>
    <row r="14735">
      <c r="A14735" s="39">
        <f>_xlfn.XLOOKUP(82115,Trip[shape_id],Trip[shape_id],"Não encontrado")</f>
        <v/>
      </c>
      <c r="B14735" s="40" t="n">
        <v>-23.554245</v>
      </c>
      <c r="C14735" s="40" t="n">
        <v>-46.57729</v>
      </c>
      <c r="D14735" s="40" t="n">
        <v>60</v>
      </c>
      <c r="E14735" s="41" t="n">
        <v>2687.0051</v>
      </c>
    </row>
    <row r="14736">
      <c r="A14736" s="42">
        <f>_xlfn.XLOOKUP(82115,Trip[shape_id],Trip[shape_id],"Não encontrado")</f>
        <v/>
      </c>
      <c r="B14736" s="43" t="n">
        <v>-23.554443</v>
      </c>
      <c r="C14736" s="43" t="n">
        <v>-46.577217</v>
      </c>
      <c r="D14736" s="43" t="n">
        <v>61</v>
      </c>
      <c r="E14736" s="44" t="n">
        <v>2710.1663</v>
      </c>
    </row>
    <row r="14737">
      <c r="A14737" s="39">
        <f>_xlfn.XLOOKUP(82115,Trip[shape_id],Trip[shape_id],"Não encontrado")</f>
        <v/>
      </c>
      <c r="B14737" s="40" t="n">
        <v>-23.554582</v>
      </c>
      <c r="C14737" s="40" t="n">
        <v>-46.577124</v>
      </c>
      <c r="D14737" s="40" t="n">
        <v>62</v>
      </c>
      <c r="E14737" s="41" t="n">
        <v>2728.2534</v>
      </c>
    </row>
    <row r="14738">
      <c r="A14738" s="42">
        <f>_xlfn.XLOOKUP(82115,Trip[shape_id],Trip[shape_id],"Não encontrado")</f>
        <v/>
      </c>
      <c r="B14738" s="43" t="n">
        <v>-23.554679</v>
      </c>
      <c r="C14738" s="43" t="n">
        <v>-46.577013</v>
      </c>
      <c r="D14738" s="43" t="n">
        <v>63</v>
      </c>
      <c r="E14738" s="44" t="n">
        <v>2743.8691</v>
      </c>
    </row>
    <row r="14739">
      <c r="A14739" s="39">
        <f>_xlfn.XLOOKUP(82115,Trip[shape_id],Trip[shape_id],"Não encontrado")</f>
        <v/>
      </c>
      <c r="B14739" s="40" t="n">
        <v>-23.554719</v>
      </c>
      <c r="C14739" s="40" t="n">
        <v>-46.576928</v>
      </c>
      <c r="D14739" s="40" t="n">
        <v>64</v>
      </c>
      <c r="E14739" s="41" t="n">
        <v>2766.874</v>
      </c>
    </row>
    <row r="14740">
      <c r="A14740" s="42">
        <f>_xlfn.XLOOKUP(82115,Trip[shape_id],Trip[shape_id],"Não encontrado")</f>
        <v/>
      </c>
      <c r="B14740" s="43" t="n">
        <v>-23.554771</v>
      </c>
      <c r="C14740" s="43" t="n">
        <v>-46.576811</v>
      </c>
      <c r="D14740" s="43" t="n">
        <v>65</v>
      </c>
      <c r="E14740" s="44" t="n">
        <v>2766.874</v>
      </c>
    </row>
    <row r="14741">
      <c r="A14741" s="39">
        <f>_xlfn.XLOOKUP(82115,Trip[shape_id],Trip[shape_id],"Não encontrado")</f>
        <v/>
      </c>
      <c r="B14741" s="40" t="n">
        <v>-23.554821</v>
      </c>
      <c r="C14741" s="40" t="n">
        <v>-46.576662</v>
      </c>
      <c r="D14741" s="40" t="n">
        <v>66</v>
      </c>
      <c r="E14741" s="41" t="n">
        <v>2783.0632</v>
      </c>
    </row>
    <row r="14742">
      <c r="A14742" s="42">
        <f>_xlfn.XLOOKUP(82115,Trip[shape_id],Trip[shape_id],"Não encontrado")</f>
        <v/>
      </c>
      <c r="B14742" s="43" t="n">
        <v>-23.554847</v>
      </c>
      <c r="C14742" s="43" t="n">
        <v>-46.576584</v>
      </c>
      <c r="D14742" s="43" t="n">
        <v>67</v>
      </c>
      <c r="E14742" s="44" t="n">
        <v>2791.5315</v>
      </c>
    </row>
    <row r="14743">
      <c r="A14743" s="39">
        <f>_xlfn.XLOOKUP(82115,Trip[shape_id],Trip[shape_id],"Não encontrado")</f>
        <v/>
      </c>
      <c r="B14743" s="40" t="n">
        <v>-23.554866</v>
      </c>
      <c r="C14743" s="40" t="n">
        <v>-46.576521</v>
      </c>
      <c r="D14743" s="40" t="n">
        <v>68</v>
      </c>
      <c r="E14743" s="41" t="n">
        <v>2798.2996</v>
      </c>
    </row>
    <row r="14744">
      <c r="A14744" s="42">
        <f>_xlfn.XLOOKUP(82115,Trip[shape_id],Trip[shape_id],"Não encontrado")</f>
        <v/>
      </c>
      <c r="B14744" s="43" t="n">
        <v>-23.554892</v>
      </c>
      <c r="C14744" s="43" t="n">
        <v>-46.576435</v>
      </c>
      <c r="D14744" s="43" t="n">
        <v>69</v>
      </c>
      <c r="E14744" s="44" t="n">
        <v>2807.54</v>
      </c>
    </row>
    <row r="14745">
      <c r="A14745" s="39">
        <f>_xlfn.XLOOKUP(82115,Trip[shape_id],Trip[shape_id],"Não encontrado")</f>
        <v/>
      </c>
      <c r="B14745" s="40" t="n">
        <v>-23.554904</v>
      </c>
      <c r="C14745" s="40" t="n">
        <v>-46.576388</v>
      </c>
      <c r="D14745" s="40" t="n">
        <v>70</v>
      </c>
      <c r="E14745" s="41" t="n">
        <v>2812.5195</v>
      </c>
    </row>
    <row r="14746">
      <c r="A14746" s="42">
        <f>_xlfn.XLOOKUP(82115,Trip[shape_id],Trip[shape_id],"Não encontrado")</f>
        <v/>
      </c>
      <c r="B14746" s="43" t="n">
        <v>-23.554909</v>
      </c>
      <c r="C14746" s="43" t="n">
        <v>-46.576333</v>
      </c>
      <c r="D14746" s="43" t="n">
        <v>71</v>
      </c>
      <c r="E14746" s="44" t="n">
        <v>2818.1628</v>
      </c>
    </row>
    <row r="14747">
      <c r="A14747" s="39">
        <f>_xlfn.XLOOKUP(82115,Trip[shape_id],Trip[shape_id],"Não encontrado")</f>
        <v/>
      </c>
      <c r="B14747" s="40" t="n">
        <v>-23.555038</v>
      </c>
      <c r="C14747" s="40" t="n">
        <v>-46.576002</v>
      </c>
      <c r="D14747" s="40" t="n">
        <v>72</v>
      </c>
      <c r="E14747" s="41" t="n">
        <v>2953.7883</v>
      </c>
    </row>
    <row r="14748">
      <c r="A14748" s="42">
        <f>_xlfn.XLOOKUP(82115,Trip[shape_id],Trip[shape_id],"Não encontrado")</f>
        <v/>
      </c>
      <c r="B14748" s="43" t="n">
        <v>-23.555412</v>
      </c>
      <c r="C14748" s="43" t="n">
        <v>-46.575122</v>
      </c>
      <c r="D14748" s="43" t="n">
        <v>73</v>
      </c>
      <c r="E14748" s="44" t="n">
        <v>3056.4556</v>
      </c>
    </row>
    <row r="14749">
      <c r="A14749" s="39">
        <f>_xlfn.XLOOKUP(82115,Trip[shape_id],Trip[shape_id],"Não encontrado")</f>
        <v/>
      </c>
      <c r="B14749" s="40" t="n">
        <v>-23.555818</v>
      </c>
      <c r="C14749" s="40" t="n">
        <v>-46.574218</v>
      </c>
      <c r="D14749" s="40" t="n">
        <v>74</v>
      </c>
      <c r="E14749" s="41" t="n">
        <v>3056.4556</v>
      </c>
    </row>
    <row r="14750">
      <c r="A14750" s="42">
        <f>_xlfn.XLOOKUP(82115,Trip[shape_id],Trip[shape_id],"Não encontrado")</f>
        <v/>
      </c>
      <c r="B14750" s="43" t="n">
        <v>-23.556799</v>
      </c>
      <c r="C14750" s="43" t="n">
        <v>-46.571977</v>
      </c>
      <c r="D14750" s="43" t="n">
        <v>75</v>
      </c>
      <c r="E14750" s="44" t="n">
        <v>3309.7422</v>
      </c>
    </row>
    <row r="14751">
      <c r="A14751" s="39">
        <f>_xlfn.XLOOKUP(82115,Trip[shape_id],Trip[shape_id],"Não encontrado")</f>
        <v/>
      </c>
      <c r="B14751" s="40" t="n">
        <v>-23.556915</v>
      </c>
      <c r="C14751" s="40" t="n">
        <v>-46.571704</v>
      </c>
      <c r="D14751" s="40" t="n">
        <v>76</v>
      </c>
      <c r="E14751" s="41" t="n">
        <v>3390.5093</v>
      </c>
    </row>
    <row r="14752">
      <c r="A14752" s="42">
        <f>_xlfn.XLOOKUP(82115,Trip[shape_id],Trip[shape_id],"Não encontrado")</f>
        <v/>
      </c>
      <c r="B14752" s="43" t="n">
        <v>-23.557111</v>
      </c>
      <c r="C14752" s="43" t="n">
        <v>-46.571262</v>
      </c>
      <c r="D14752" s="43" t="n">
        <v>77</v>
      </c>
      <c r="E14752" s="44" t="n">
        <v>3439.4185</v>
      </c>
    </row>
    <row r="14753">
      <c r="A14753" s="39">
        <f>_xlfn.XLOOKUP(82115,Trip[shape_id],Trip[shape_id],"Não encontrado")</f>
        <v/>
      </c>
      <c r="B14753" s="40" t="n">
        <v>-23.55732</v>
      </c>
      <c r="C14753" s="40" t="n">
        <v>-46.57084</v>
      </c>
      <c r="D14753" s="40" t="n">
        <v>78</v>
      </c>
      <c r="E14753" s="41" t="n">
        <v>3483.3743</v>
      </c>
    </row>
    <row r="14754">
      <c r="A14754" s="42">
        <f>_xlfn.XLOOKUP(82115,Trip[shape_id],Trip[shape_id],"Não encontrado")</f>
        <v/>
      </c>
      <c r="B14754" s="43" t="n">
        <v>-23.557492</v>
      </c>
      <c r="C14754" s="43" t="n">
        <v>-46.570452</v>
      </c>
      <c r="D14754" s="43" t="n">
        <v>79</v>
      </c>
      <c r="E14754" s="44" t="n">
        <v>3538.1267</v>
      </c>
    </row>
    <row r="14755">
      <c r="A14755" s="39">
        <f>_xlfn.XLOOKUP(82115,Trip[shape_id],Trip[shape_id],"Não encontrado")</f>
        <v/>
      </c>
      <c r="B14755" s="40" t="n">
        <v>-23.557701</v>
      </c>
      <c r="C14755" s="40" t="n">
        <v>-46.569966</v>
      </c>
      <c r="D14755" s="40" t="n">
        <v>80</v>
      </c>
      <c r="E14755" s="41" t="n">
        <v>3538.1267</v>
      </c>
    </row>
    <row r="14756">
      <c r="A14756" s="42">
        <f>_xlfn.XLOOKUP(82115,Trip[shape_id],Trip[shape_id],"Não encontrado")</f>
        <v/>
      </c>
      <c r="B14756" s="43" t="n">
        <v>-23.55816</v>
      </c>
      <c r="C14756" s="43" t="n">
        <v>-46.568862</v>
      </c>
      <c r="D14756" s="43" t="n">
        <v>81</v>
      </c>
      <c r="E14756" s="44" t="n">
        <v>3661.7744</v>
      </c>
    </row>
    <row r="14757">
      <c r="A14757" s="39">
        <f>_xlfn.XLOOKUP(82115,Trip[shape_id],Trip[shape_id],"Não encontrado")</f>
        <v/>
      </c>
      <c r="B14757" s="40" t="n">
        <v>-23.558213</v>
      </c>
      <c r="C14757" s="40" t="n">
        <v>-46.568724</v>
      </c>
      <c r="D14757" s="40" t="n">
        <v>82</v>
      </c>
      <c r="E14757" s="41" t="n">
        <v>3677.0376</v>
      </c>
    </row>
    <row r="14758">
      <c r="A14758" s="42">
        <f>_xlfn.XLOOKUP(82115,Trip[shape_id],Trip[shape_id],"Não encontrado")</f>
        <v/>
      </c>
      <c r="B14758" s="43" t="n">
        <v>-23.558521</v>
      </c>
      <c r="C14758" s="43" t="n">
        <v>-46.568018</v>
      </c>
      <c r="D14758" s="43" t="n">
        <v>83</v>
      </c>
      <c r="E14758" s="44" t="n">
        <v>3780.072</v>
      </c>
    </row>
    <row r="14759">
      <c r="A14759" s="39">
        <f>_xlfn.XLOOKUP(82115,Trip[shape_id],Trip[shape_id],"Não encontrado")</f>
        <v/>
      </c>
      <c r="B14759" s="40" t="n">
        <v>-23.558649</v>
      </c>
      <c r="C14759" s="40" t="n">
        <v>-46.567837</v>
      </c>
      <c r="D14759" s="40" t="n">
        <v>84</v>
      </c>
      <c r="E14759" s="41" t="n">
        <v>3827.2583</v>
      </c>
    </row>
    <row r="14760">
      <c r="A14760" s="42">
        <f>_xlfn.XLOOKUP(82115,Trip[shape_id],Trip[shape_id],"Não encontrado")</f>
        <v/>
      </c>
      <c r="B14760" s="43" t="n">
        <v>-23.55898</v>
      </c>
      <c r="C14760" s="43" t="n">
        <v>-46.567546</v>
      </c>
      <c r="D14760" s="43" t="n">
        <v>85</v>
      </c>
      <c r="E14760" s="44" t="n">
        <v>3827.2583</v>
      </c>
    </row>
    <row r="14761">
      <c r="A14761" s="39">
        <f>_xlfn.XLOOKUP(82115,Trip[shape_id],Trip[shape_id],"Não encontrado")</f>
        <v/>
      </c>
      <c r="B14761" s="40" t="n">
        <v>-23.559277</v>
      </c>
      <c r="C14761" s="40" t="n">
        <v>-46.567303</v>
      </c>
      <c r="D14761" s="40" t="n">
        <v>86</v>
      </c>
      <c r="E14761" s="41" t="n">
        <v>3912.7378</v>
      </c>
    </row>
    <row r="14762">
      <c r="A14762" s="42">
        <f>_xlfn.XLOOKUP(82115,Trip[shape_id],Trip[shape_id],"Não encontrado")</f>
        <v/>
      </c>
      <c r="B14762" s="43" t="n">
        <v>-23.559597</v>
      </c>
      <c r="C14762" s="43" t="n">
        <v>-46.567043</v>
      </c>
      <c r="D14762" s="43" t="n">
        <v>87</v>
      </c>
      <c r="E14762" s="44" t="n">
        <v>3943.4336</v>
      </c>
    </row>
    <row r="14763">
      <c r="A14763" s="39">
        <f>_xlfn.XLOOKUP(82115,Trip[shape_id],Trip[shape_id],"Não encontrado")</f>
        <v/>
      </c>
      <c r="B14763" s="40" t="n">
        <v>-23.559819</v>
      </c>
      <c r="C14763" s="40" t="n">
        <v>-46.566863</v>
      </c>
      <c r="D14763" s="40" t="n">
        <v>88</v>
      </c>
      <c r="E14763" s="41" t="n">
        <v>3943.4336</v>
      </c>
    </row>
    <row r="14764">
      <c r="A14764" s="42">
        <f>_xlfn.XLOOKUP(82115,Trip[shape_id],Trip[shape_id],"Não encontrado")</f>
        <v/>
      </c>
      <c r="B14764" s="43" t="n">
        <v>-23.559896</v>
      </c>
      <c r="C14764" s="43" t="n">
        <v>-46.566809</v>
      </c>
      <c r="D14764" s="43" t="n">
        <v>89</v>
      </c>
      <c r="E14764" s="44" t="n">
        <v>3953.5886</v>
      </c>
    </row>
    <row r="14765">
      <c r="A14765" s="39">
        <f>_xlfn.XLOOKUP(82115,Trip[shape_id],Trip[shape_id],"Não encontrado")</f>
        <v/>
      </c>
      <c r="B14765" s="40" t="n">
        <v>-23.559948</v>
      </c>
      <c r="C14765" s="40" t="n">
        <v>-46.56667</v>
      </c>
      <c r="D14765" s="40" t="n">
        <v>90</v>
      </c>
      <c r="E14765" s="41" t="n">
        <v>3993.29</v>
      </c>
    </row>
    <row r="14766">
      <c r="A14766" s="42">
        <f>_xlfn.XLOOKUP(82115,Trip[shape_id],Trip[shape_id],"Não encontrado")</f>
        <v/>
      </c>
      <c r="B14766" s="43" t="n">
        <v>-23.560061</v>
      </c>
      <c r="C14766" s="43" t="n">
        <v>-46.566465</v>
      </c>
      <c r="D14766" s="43" t="n">
        <v>91</v>
      </c>
      <c r="E14766" s="44" t="n">
        <v>3993.29</v>
      </c>
    </row>
    <row r="14767">
      <c r="A14767" s="39">
        <f>_xlfn.XLOOKUP(82115,Trip[shape_id],Trip[shape_id],"Não encontrado")</f>
        <v/>
      </c>
      <c r="B14767" s="40" t="n">
        <v>-23.560165</v>
      </c>
      <c r="C14767" s="40" t="n">
        <v>-46.566297</v>
      </c>
      <c r="D14767" s="40" t="n">
        <v>92</v>
      </c>
      <c r="E14767" s="41" t="n">
        <v>4030.8584</v>
      </c>
    </row>
    <row r="14768">
      <c r="A14768" s="42">
        <f>_xlfn.XLOOKUP(82115,Trip[shape_id],Trip[shape_id],"Não encontrado")</f>
        <v/>
      </c>
      <c r="B14768" s="43" t="n">
        <v>-23.560248</v>
      </c>
      <c r="C14768" s="43" t="n">
        <v>-46.566158</v>
      </c>
      <c r="D14768" s="43" t="n">
        <v>93</v>
      </c>
      <c r="E14768" s="44" t="n">
        <v>4030.8584</v>
      </c>
    </row>
    <row r="14769">
      <c r="A14769" s="39">
        <f>_xlfn.XLOOKUP(82115,Trip[shape_id],Trip[shape_id],"Não encontrado")</f>
        <v/>
      </c>
      <c r="B14769" s="40" t="n">
        <v>-23.560302</v>
      </c>
      <c r="C14769" s="40" t="n">
        <v>-46.565984</v>
      </c>
      <c r="D14769" s="40" t="n">
        <v>94</v>
      </c>
      <c r="E14769" s="41" t="n">
        <v>4091.2959</v>
      </c>
    </row>
    <row r="14770">
      <c r="A14770" s="42">
        <f>_xlfn.XLOOKUP(82115,Trip[shape_id],Trip[shape_id],"Não encontrado")</f>
        <v/>
      </c>
      <c r="B14770" s="43" t="n">
        <v>-23.560469</v>
      </c>
      <c r="C14770" s="43" t="n">
        <v>-46.565618</v>
      </c>
      <c r="D14770" s="43" t="n">
        <v>95</v>
      </c>
      <c r="E14770" s="44" t="n">
        <v>4091.2959</v>
      </c>
    </row>
    <row r="14771">
      <c r="A14771" s="39">
        <f>_xlfn.XLOOKUP(82115,Trip[shape_id],Trip[shape_id],"Não encontrado")</f>
        <v/>
      </c>
      <c r="B14771" s="40" t="n">
        <v>-23.561046</v>
      </c>
      <c r="C14771" s="40" t="n">
        <v>-46.564338</v>
      </c>
      <c r="D14771" s="40" t="n">
        <v>96</v>
      </c>
      <c r="E14771" s="41" t="n">
        <v>4289.6724</v>
      </c>
    </row>
    <row r="14772">
      <c r="A14772" s="42">
        <f>_xlfn.XLOOKUP(82115,Trip[shape_id],Trip[shape_id],"Não encontrado")</f>
        <v/>
      </c>
      <c r="B14772" s="43" t="n">
        <v>-23.561266</v>
      </c>
      <c r="C14772" s="43" t="n">
        <v>-46.563878</v>
      </c>
      <c r="D14772" s="43" t="n">
        <v>97</v>
      </c>
      <c r="E14772" s="44" t="n">
        <v>4289.6724</v>
      </c>
    </row>
    <row r="14773">
      <c r="A14773" s="39">
        <f>_xlfn.XLOOKUP(82115,Trip[shape_id],Trip[shape_id],"Não encontrado")</f>
        <v/>
      </c>
      <c r="B14773" s="40" t="n">
        <v>-23.561329</v>
      </c>
      <c r="C14773" s="40" t="n">
        <v>-46.5638</v>
      </c>
      <c r="D14773" s="40" t="n">
        <v>98</v>
      </c>
      <c r="E14773" s="41" t="n">
        <v>4338.186</v>
      </c>
    </row>
    <row r="14774">
      <c r="A14774" s="42">
        <f>_xlfn.XLOOKUP(82115,Trip[shape_id],Trip[shape_id],"Não encontrado")</f>
        <v/>
      </c>
      <c r="B14774" s="43" t="n">
        <v>-23.561477</v>
      </c>
      <c r="C14774" s="43" t="n">
        <v>-46.563465</v>
      </c>
      <c r="D14774" s="43" t="n">
        <v>99</v>
      </c>
      <c r="E14774" s="44" t="n">
        <v>4338.186</v>
      </c>
    </row>
    <row r="14775">
      <c r="A14775" s="39">
        <f>_xlfn.XLOOKUP(82115,Trip[shape_id],Trip[shape_id],"Não encontrado")</f>
        <v/>
      </c>
      <c r="B14775" s="40" t="n">
        <v>-23.561583</v>
      </c>
      <c r="C14775" s="40" t="n">
        <v>-46.563195</v>
      </c>
      <c r="D14775" s="40" t="n">
        <v>100</v>
      </c>
      <c r="E14775" s="41" t="n">
        <v>4368.147</v>
      </c>
    </row>
    <row r="14776">
      <c r="A14776" s="42">
        <f>_xlfn.XLOOKUP(82115,Trip[shape_id],Trip[shape_id],"Não encontrado")</f>
        <v/>
      </c>
      <c r="B14776" s="43" t="n">
        <v>-23.561658</v>
      </c>
      <c r="C14776" s="43" t="n">
        <v>-46.563017</v>
      </c>
      <c r="D14776" s="43" t="n">
        <v>101</v>
      </c>
      <c r="E14776" s="44" t="n">
        <v>4388.1279</v>
      </c>
    </row>
    <row r="14777">
      <c r="A14777" s="39">
        <f>_xlfn.XLOOKUP(82115,Trip[shape_id],Trip[shape_id],"Não encontrado")</f>
        <v/>
      </c>
      <c r="B14777" s="40" t="n">
        <v>-23.561972</v>
      </c>
      <c r="C14777" s="40" t="n">
        <v>-46.562284</v>
      </c>
      <c r="D14777" s="40" t="n">
        <v>102</v>
      </c>
      <c r="E14777" s="41" t="n">
        <v>4526.0303</v>
      </c>
    </row>
    <row r="14778">
      <c r="A14778" s="42">
        <f>_xlfn.XLOOKUP(82115,Trip[shape_id],Trip[shape_id],"Não encontrado")</f>
        <v/>
      </c>
      <c r="B14778" s="43" t="n">
        <v>-23.562196</v>
      </c>
      <c r="C14778" s="43" t="n">
        <v>-46.561799</v>
      </c>
      <c r="D14778" s="43" t="n">
        <v>103</v>
      </c>
      <c r="E14778" s="44" t="n">
        <v>4526.0303</v>
      </c>
    </row>
    <row r="14779">
      <c r="A14779" s="39">
        <f>_xlfn.XLOOKUP(82115,Trip[shape_id],Trip[shape_id],"Não encontrado")</f>
        <v/>
      </c>
      <c r="B14779" s="40" t="n">
        <v>-23.562471</v>
      </c>
      <c r="C14779" s="40" t="n">
        <v>-46.561177</v>
      </c>
      <c r="D14779" s="40" t="n">
        <v>104</v>
      </c>
      <c r="E14779" s="41" t="n">
        <v>4633.4663</v>
      </c>
    </row>
    <row r="14780">
      <c r="A14780" s="42">
        <f>_xlfn.XLOOKUP(82115,Trip[shape_id],Trip[shape_id],"Não encontrado")</f>
        <v/>
      </c>
      <c r="B14780" s="43" t="n">
        <v>-23.562619</v>
      </c>
      <c r="C14780" s="43" t="n">
        <v>-46.560852</v>
      </c>
      <c r="D14780" s="43" t="n">
        <v>105</v>
      </c>
      <c r="E14780" s="44" t="n">
        <v>4633.4663</v>
      </c>
    </row>
    <row r="14781">
      <c r="A14781" s="39">
        <f>_xlfn.XLOOKUP(82115,Trip[shape_id],Trip[shape_id],"Não encontrado")</f>
        <v/>
      </c>
      <c r="B14781" s="40" t="n">
        <v>-23.562812</v>
      </c>
      <c r="C14781" s="40" t="n">
        <v>-46.56035</v>
      </c>
      <c r="D14781" s="40" t="n">
        <v>106</v>
      </c>
      <c r="E14781" s="41" t="n">
        <v>4688.9956</v>
      </c>
    </row>
    <row r="14782">
      <c r="A14782" s="42">
        <f>_xlfn.XLOOKUP(82115,Trip[shape_id],Trip[shape_id],"Não encontrado")</f>
        <v/>
      </c>
      <c r="B14782" s="43" t="n">
        <v>-23.562851</v>
      </c>
      <c r="C14782" s="43" t="n">
        <v>-46.560175</v>
      </c>
      <c r="D14782" s="43" t="n">
        <v>107</v>
      </c>
      <c r="E14782" s="44" t="n">
        <v>4707.3765</v>
      </c>
    </row>
    <row r="14783">
      <c r="A14783" s="39">
        <f>_xlfn.XLOOKUP(82115,Trip[shape_id],Trip[shape_id],"Não encontrado")</f>
        <v/>
      </c>
      <c r="B14783" s="40" t="n">
        <v>-23.562878</v>
      </c>
      <c r="C14783" s="40" t="n">
        <v>-46.560003</v>
      </c>
      <c r="D14783" s="40" t="n">
        <v>108</v>
      </c>
      <c r="E14783" s="41" t="n">
        <v>4725.189</v>
      </c>
    </row>
    <row r="14784">
      <c r="A14784" s="42">
        <f>_xlfn.XLOOKUP(82115,Trip[shape_id],Trip[shape_id],"Não encontrado")</f>
        <v/>
      </c>
      <c r="B14784" s="43" t="n">
        <v>-23.562879</v>
      </c>
      <c r="C14784" s="43" t="n">
        <v>-46.559926</v>
      </c>
      <c r="D14784" s="43" t="n">
        <v>109</v>
      </c>
      <c r="E14784" s="44" t="n">
        <v>4733.0503</v>
      </c>
    </row>
    <row r="14785">
      <c r="A14785" s="39">
        <f>_xlfn.XLOOKUP(82115,Trip[shape_id],Trip[shape_id],"Não encontrado")</f>
        <v/>
      </c>
      <c r="B14785" s="40" t="n">
        <v>-23.562878</v>
      </c>
      <c r="C14785" s="40" t="n">
        <v>-46.55966</v>
      </c>
      <c r="D14785" s="40" t="n">
        <v>110</v>
      </c>
      <c r="E14785" s="41" t="n">
        <v>4760.207</v>
      </c>
    </row>
    <row r="14786">
      <c r="A14786" s="42">
        <f>_xlfn.XLOOKUP(82115,Trip[shape_id],Trip[shape_id],"Não encontrado")</f>
        <v/>
      </c>
      <c r="B14786" s="43" t="n">
        <v>-23.562856</v>
      </c>
      <c r="C14786" s="43" t="n">
        <v>-46.559448</v>
      </c>
      <c r="D14786" s="43" t="n">
        <v>111</v>
      </c>
      <c r="E14786" s="44" t="n">
        <v>4781.9873</v>
      </c>
    </row>
    <row r="14787">
      <c r="A14787" s="39">
        <f>_xlfn.XLOOKUP(82115,Trip[shape_id],Trip[shape_id],"Não encontrado")</f>
        <v/>
      </c>
      <c r="B14787" s="40" t="n">
        <v>-23.562827</v>
      </c>
      <c r="C14787" s="40" t="n">
        <v>-46.559191</v>
      </c>
      <c r="D14787" s="40" t="n">
        <v>112</v>
      </c>
      <c r="E14787" s="41" t="n">
        <v>4808.4209</v>
      </c>
    </row>
    <row r="14788">
      <c r="A14788" s="42">
        <f>_xlfn.XLOOKUP(82115,Trip[shape_id],Trip[shape_id],"Não encontrado")</f>
        <v/>
      </c>
      <c r="B14788" s="43" t="n">
        <v>-23.562783</v>
      </c>
      <c r="C14788" s="43" t="n">
        <v>-46.559005</v>
      </c>
      <c r="D14788" s="43" t="n">
        <v>113</v>
      </c>
      <c r="E14788" s="44" t="n">
        <v>4828.0254</v>
      </c>
    </row>
    <row r="14789">
      <c r="A14789" s="39">
        <f>_xlfn.XLOOKUP(82115,Trip[shape_id],Trip[shape_id],"Não encontrado")</f>
        <v/>
      </c>
      <c r="B14789" s="40" t="n">
        <v>-23.562652</v>
      </c>
      <c r="C14789" s="40" t="n">
        <v>-46.558394</v>
      </c>
      <c r="D14789" s="40" t="n">
        <v>114</v>
      </c>
      <c r="E14789" s="41" t="n">
        <v>4892.0688</v>
      </c>
    </row>
    <row r="14790">
      <c r="A14790" s="42">
        <f>_xlfn.XLOOKUP(82115,Trip[shape_id],Trip[shape_id],"Não encontrado")</f>
        <v/>
      </c>
      <c r="B14790" s="43" t="n">
        <v>-23.562564</v>
      </c>
      <c r="C14790" s="43" t="n">
        <v>-46.558066</v>
      </c>
      <c r="D14790" s="43" t="n">
        <v>115</v>
      </c>
      <c r="E14790" s="44" t="n">
        <v>4941.7983</v>
      </c>
    </row>
    <row r="14791">
      <c r="A14791" s="39">
        <f>_xlfn.XLOOKUP(82115,Trip[shape_id],Trip[shape_id],"Não encontrado")</f>
        <v/>
      </c>
      <c r="B14791" s="40" t="n">
        <v>-23.562514</v>
      </c>
      <c r="C14791" s="40" t="n">
        <v>-46.557931</v>
      </c>
      <c r="D14791" s="40" t="n">
        <v>116</v>
      </c>
      <c r="E14791" s="41" t="n">
        <v>4941.7983</v>
      </c>
    </row>
    <row r="14792">
      <c r="A14792" s="42">
        <f>_xlfn.XLOOKUP(82115,Trip[shape_id],Trip[shape_id],"Não encontrado")</f>
        <v/>
      </c>
      <c r="B14792" s="43" t="n">
        <v>-23.56238</v>
      </c>
      <c r="C14792" s="43" t="n">
        <v>-46.557333</v>
      </c>
      <c r="D14792" s="43" t="n">
        <v>117</v>
      </c>
      <c r="E14792" s="44" t="n">
        <v>5004.6279</v>
      </c>
    </row>
    <row r="14793">
      <c r="A14793" s="39">
        <f>_xlfn.XLOOKUP(82115,Trip[shape_id],Trip[shape_id],"Não encontrado")</f>
        <v/>
      </c>
      <c r="B14793" s="40" t="n">
        <v>-23.562326</v>
      </c>
      <c r="C14793" s="40" t="n">
        <v>-46.557103</v>
      </c>
      <c r="D14793" s="40" t="n">
        <v>118</v>
      </c>
      <c r="E14793" s="41" t="n">
        <v>5028.8589</v>
      </c>
    </row>
    <row r="14794">
      <c r="A14794" s="42">
        <f>_xlfn.XLOOKUP(82115,Trip[shape_id],Trip[shape_id],"Não encontrado")</f>
        <v/>
      </c>
      <c r="B14794" s="43" t="n">
        <v>-23.562262</v>
      </c>
      <c r="C14794" s="43" t="n">
        <v>-46.556791</v>
      </c>
      <c r="D14794" s="43" t="n">
        <v>119</v>
      </c>
      <c r="E14794" s="44" t="n">
        <v>5061.4912</v>
      </c>
    </row>
    <row r="14795">
      <c r="A14795" s="39">
        <f>_xlfn.XLOOKUP(82115,Trip[shape_id],Trip[shape_id],"Não encontrado")</f>
        <v/>
      </c>
      <c r="B14795" s="40" t="n">
        <v>-23.56218</v>
      </c>
      <c r="C14795" s="40" t="n">
        <v>-46.556456</v>
      </c>
      <c r="D14795" s="40" t="n">
        <v>120</v>
      </c>
      <c r="E14795" s="41" t="n">
        <v>5096.8774</v>
      </c>
    </row>
    <row r="14796">
      <c r="A14796" s="42">
        <f>_xlfn.XLOOKUP(82115,Trip[shape_id],Trip[shape_id],"Não encontrado")</f>
        <v/>
      </c>
      <c r="B14796" s="43" t="n">
        <v>-23.562144</v>
      </c>
      <c r="C14796" s="43" t="n">
        <v>-46.55627</v>
      </c>
      <c r="D14796" s="43" t="n">
        <v>121</v>
      </c>
      <c r="E14796" s="44" t="n">
        <v>5128.2505</v>
      </c>
    </row>
    <row r="14797">
      <c r="A14797" s="39">
        <f>_xlfn.XLOOKUP(82115,Trip[shape_id],Trip[shape_id],"Não encontrado")</f>
        <v/>
      </c>
      <c r="B14797" s="40" t="n">
        <v>-23.562137</v>
      </c>
      <c r="C14797" s="40" t="n">
        <v>-46.556153</v>
      </c>
      <c r="D14797" s="40" t="n">
        <v>122</v>
      </c>
      <c r="E14797" s="41" t="n">
        <v>5128.2505</v>
      </c>
    </row>
    <row r="14798">
      <c r="A14798" s="42">
        <f>_xlfn.XLOOKUP(82115,Trip[shape_id],Trip[shape_id],"Não encontrado")</f>
        <v/>
      </c>
      <c r="B14798" s="43" t="n">
        <v>-23.562141</v>
      </c>
      <c r="C14798" s="43" t="n">
        <v>-46.556017</v>
      </c>
      <c r="D14798" s="43" t="n">
        <v>123</v>
      </c>
      <c r="E14798" s="44" t="n">
        <v>5160.7402</v>
      </c>
    </row>
    <row r="14799">
      <c r="A14799" s="39">
        <f>_xlfn.XLOOKUP(82115,Trip[shape_id],Trip[shape_id],"Não encontrado")</f>
        <v/>
      </c>
      <c r="B14799" s="40" t="n">
        <v>-23.56216</v>
      </c>
      <c r="C14799" s="40" t="n">
        <v>-46.555836</v>
      </c>
      <c r="D14799" s="40" t="n">
        <v>124</v>
      </c>
      <c r="E14799" s="41" t="n">
        <v>5172.7148</v>
      </c>
    </row>
    <row r="14800">
      <c r="A14800" s="42">
        <f>_xlfn.XLOOKUP(82115,Trip[shape_id],Trip[shape_id],"Não encontrado")</f>
        <v/>
      </c>
      <c r="B14800" s="43" t="n">
        <v>-23.562176</v>
      </c>
      <c r="C14800" s="43" t="n">
        <v>-46.55572</v>
      </c>
      <c r="D14800" s="43" t="n">
        <v>125</v>
      </c>
      <c r="E14800" s="44" t="n">
        <v>5190.4746</v>
      </c>
    </row>
    <row r="14801">
      <c r="A14801" s="39">
        <f>_xlfn.XLOOKUP(82115,Trip[shape_id],Trip[shape_id],"Não encontrado")</f>
        <v/>
      </c>
      <c r="B14801" s="40" t="n">
        <v>-23.562214</v>
      </c>
      <c r="C14801" s="40" t="n">
        <v>-46.555551</v>
      </c>
      <c r="D14801" s="40" t="n">
        <v>126</v>
      </c>
      <c r="E14801" s="41" t="n">
        <v>5190.4746</v>
      </c>
    </row>
    <row r="14802">
      <c r="A14802" s="42">
        <f>_xlfn.XLOOKUP(82115,Trip[shape_id],Trip[shape_id],"Não encontrado")</f>
        <v/>
      </c>
      <c r="B14802" s="43" t="n">
        <v>-23.562285</v>
      </c>
      <c r="C14802" s="43" t="n">
        <v>-46.555364</v>
      </c>
      <c r="D14802" s="43" t="n">
        <v>127</v>
      </c>
      <c r="E14802" s="44" t="n">
        <v>5231.7695</v>
      </c>
    </row>
    <row r="14803">
      <c r="A14803" s="39">
        <f>_xlfn.XLOOKUP(82115,Trip[shape_id],Trip[shape_id],"Não encontrado")</f>
        <v/>
      </c>
      <c r="B14803" s="40" t="n">
        <v>-23.56237</v>
      </c>
      <c r="C14803" s="40" t="n">
        <v>-46.555184</v>
      </c>
      <c r="D14803" s="40" t="n">
        <v>128</v>
      </c>
      <c r="E14803" s="41" t="n">
        <v>5231.7695</v>
      </c>
    </row>
    <row r="14804">
      <c r="A14804" s="42">
        <f>_xlfn.XLOOKUP(82115,Trip[shape_id],Trip[shape_id],"Não encontrado")</f>
        <v/>
      </c>
      <c r="B14804" s="43" t="n">
        <v>-23.5625</v>
      </c>
      <c r="C14804" s="43" t="n">
        <v>-46.554956</v>
      </c>
      <c r="D14804" s="43" t="n">
        <v>129</v>
      </c>
      <c r="E14804" s="44" t="n">
        <v>5259.1396</v>
      </c>
    </row>
    <row r="14805">
      <c r="A14805" s="39">
        <f>_xlfn.XLOOKUP(82115,Trip[shape_id],Trip[shape_id],"Não encontrado")</f>
        <v/>
      </c>
      <c r="B14805" s="40" t="n">
        <v>-23.562672</v>
      </c>
      <c r="C14805" s="40" t="n">
        <v>-46.554743</v>
      </c>
      <c r="D14805" s="40" t="n">
        <v>130</v>
      </c>
      <c r="E14805" s="41" t="n">
        <v>5288.0488</v>
      </c>
    </row>
    <row r="14806">
      <c r="A14806" s="42">
        <f>_xlfn.XLOOKUP(82115,Trip[shape_id],Trip[shape_id],"Não encontrado")</f>
        <v/>
      </c>
      <c r="B14806" s="43" t="n">
        <v>-23.562841</v>
      </c>
      <c r="C14806" s="43" t="n">
        <v>-46.554526</v>
      </c>
      <c r="D14806" s="43" t="n">
        <v>131</v>
      </c>
      <c r="E14806" s="44" t="n">
        <v>5339.4009</v>
      </c>
    </row>
    <row r="14807">
      <c r="A14807" s="39">
        <f>_xlfn.XLOOKUP(82115,Trip[shape_id],Trip[shape_id],"Não encontrado")</f>
        <v/>
      </c>
      <c r="B14807" s="40" t="n">
        <v>-23.562967</v>
      </c>
      <c r="C14807" s="40" t="n">
        <v>-46.554355</v>
      </c>
      <c r="D14807" s="40" t="n">
        <v>132</v>
      </c>
      <c r="E14807" s="41" t="n">
        <v>5339.4009</v>
      </c>
    </row>
    <row r="14808">
      <c r="A14808" s="42">
        <f>_xlfn.XLOOKUP(82115,Trip[shape_id],Trip[shape_id],"Não encontrado")</f>
        <v/>
      </c>
      <c r="B14808" s="43" t="n">
        <v>-23.563309</v>
      </c>
      <c r="C14808" s="43" t="n">
        <v>-46.55393</v>
      </c>
      <c r="D14808" s="43" t="n">
        <v>133</v>
      </c>
      <c r="E14808" s="44" t="n">
        <v>5409.7021</v>
      </c>
    </row>
    <row r="14809">
      <c r="A14809" s="39">
        <f>_xlfn.XLOOKUP(82115,Trip[shape_id],Trip[shape_id],"Não encontrado")</f>
        <v/>
      </c>
      <c r="B14809" s="40" t="n">
        <v>-23.563372</v>
      </c>
      <c r="C14809" s="40" t="n">
        <v>-46.553826</v>
      </c>
      <c r="D14809" s="40" t="n">
        <v>134</v>
      </c>
      <c r="E14809" s="41" t="n">
        <v>5409.7021</v>
      </c>
    </row>
    <row r="14810">
      <c r="A14810" s="42">
        <f>_xlfn.XLOOKUP(82115,Trip[shape_id],Trip[shape_id],"Não encontrado")</f>
        <v/>
      </c>
      <c r="B14810" s="43" t="n">
        <v>-23.563458</v>
      </c>
      <c r="C14810" s="43" t="n">
        <v>-46.553608</v>
      </c>
      <c r="D14810" s="43" t="n">
        <v>135</v>
      </c>
      <c r="E14810" s="44" t="n">
        <v>5454.5977</v>
      </c>
    </row>
    <row r="14811">
      <c r="A14811" s="39">
        <f>_xlfn.XLOOKUP(82115,Trip[shape_id],Trip[shape_id],"Não encontrado")</f>
        <v/>
      </c>
      <c r="B14811" s="40" t="n">
        <v>-23.563488</v>
      </c>
      <c r="C14811" s="40" t="n">
        <v>-46.553408</v>
      </c>
      <c r="D14811" s="40" t="n">
        <v>136</v>
      </c>
      <c r="E14811" s="41" t="n">
        <v>5476.5649</v>
      </c>
    </row>
    <row r="14812">
      <c r="A14812" s="42">
        <f>_xlfn.XLOOKUP(82115,Trip[shape_id],Trip[shape_id],"Não encontrado")</f>
        <v/>
      </c>
      <c r="B14812" s="43" t="n">
        <v>-23.563496</v>
      </c>
      <c r="C14812" s="43" t="n">
        <v>-46.553193</v>
      </c>
      <c r="D14812" s="43" t="n">
        <v>137</v>
      </c>
      <c r="E14812" s="44" t="n">
        <v>5496.0439</v>
      </c>
    </row>
    <row r="14813">
      <c r="A14813" s="39">
        <f>_xlfn.XLOOKUP(82115,Trip[shape_id],Trip[shape_id],"Não encontrado")</f>
        <v/>
      </c>
      <c r="B14813" s="40" t="n">
        <v>-23.563466</v>
      </c>
      <c r="C14813" s="40" t="n">
        <v>-46.553005</v>
      </c>
      <c r="D14813" s="40" t="n">
        <v>138</v>
      </c>
      <c r="E14813" s="41" t="n">
        <v>5514.208</v>
      </c>
    </row>
    <row r="14814">
      <c r="A14814" s="42">
        <f>_xlfn.XLOOKUP(82115,Trip[shape_id],Trip[shape_id],"Não encontrado")</f>
        <v/>
      </c>
      <c r="B14814" s="43" t="n">
        <v>-23.563412</v>
      </c>
      <c r="C14814" s="43" t="n">
        <v>-46.552837</v>
      </c>
      <c r="D14814" s="43" t="n">
        <v>139</v>
      </c>
      <c r="E14814" s="44" t="n">
        <v>5527.0591</v>
      </c>
    </row>
    <row r="14815">
      <c r="A14815" s="39">
        <f>_xlfn.XLOOKUP(82115,Trip[shape_id],Trip[shape_id],"Não encontrado")</f>
        <v/>
      </c>
      <c r="B14815" s="40" t="n">
        <v>-23.563348</v>
      </c>
      <c r="C14815" s="40" t="n">
        <v>-46.552732</v>
      </c>
      <c r="D14815" s="40" t="n">
        <v>140</v>
      </c>
      <c r="E14815" s="41" t="n">
        <v>5535.8179</v>
      </c>
    </row>
    <row r="14816">
      <c r="A14816" s="42">
        <f>_xlfn.XLOOKUP(82115,Trip[shape_id],Trip[shape_id],"Não encontrado")</f>
        <v/>
      </c>
      <c r="B14816" s="43" t="n">
        <v>-23.563301</v>
      </c>
      <c r="C14816" s="43" t="n">
        <v>-46.552663</v>
      </c>
      <c r="D14816" s="43" t="n">
        <v>141</v>
      </c>
      <c r="E14816" s="44" t="n">
        <v>5550.082</v>
      </c>
    </row>
    <row r="14817">
      <c r="A14817" s="39">
        <f>_xlfn.XLOOKUP(82115,Trip[shape_id],Trip[shape_id],"Não encontrado")</f>
        <v/>
      </c>
      <c r="B14817" s="40" t="n">
        <v>-23.563224</v>
      </c>
      <c r="C14817" s="40" t="n">
        <v>-46.552551</v>
      </c>
      <c r="D14817" s="40" t="n">
        <v>142</v>
      </c>
      <c r="E14817" s="41" t="n">
        <v>5570.9717</v>
      </c>
    </row>
    <row r="14818">
      <c r="A14818" s="42">
        <f>_xlfn.XLOOKUP(82115,Trip[shape_id],Trip[shape_id],"Não encontrado")</f>
        <v/>
      </c>
      <c r="B14818" s="43" t="n">
        <v>-23.56309</v>
      </c>
      <c r="C14818" s="43" t="n">
        <v>-46.552407</v>
      </c>
      <c r="D14818" s="43" t="n">
        <v>143</v>
      </c>
      <c r="E14818" s="44" t="n">
        <v>5599.4351</v>
      </c>
    </row>
    <row r="14819">
      <c r="A14819" s="39">
        <f>_xlfn.XLOOKUP(82115,Trip[shape_id],Trip[shape_id],"Não encontrado")</f>
        <v/>
      </c>
      <c r="B14819" s="40" t="n">
        <v>-23.562877</v>
      </c>
      <c r="C14819" s="40" t="n">
        <v>-46.552251</v>
      </c>
      <c r="D14819" s="40" t="n">
        <v>144</v>
      </c>
      <c r="E14819" s="41" t="n">
        <v>5599.4351</v>
      </c>
    </row>
    <row r="14820">
      <c r="A14820" s="42">
        <f>_xlfn.XLOOKUP(82115,Trip[shape_id],Trip[shape_id],"Não encontrado")</f>
        <v/>
      </c>
      <c r="B14820" s="43" t="n">
        <v>-23.562783</v>
      </c>
      <c r="C14820" s="43" t="n">
        <v>-46.55218</v>
      </c>
      <c r="D14820" s="43" t="n">
        <v>145</v>
      </c>
      <c r="E14820" s="44" t="n">
        <v>5622.1587</v>
      </c>
    </row>
    <row r="14821">
      <c r="A14821" s="39">
        <f>_xlfn.XLOOKUP(82115,Trip[shape_id],Trip[shape_id],"Não encontrado")</f>
        <v/>
      </c>
      <c r="B14821" s="40" t="n">
        <v>-23.562715</v>
      </c>
      <c r="C14821" s="40" t="n">
        <v>-46.552115</v>
      </c>
      <c r="D14821" s="40" t="n">
        <v>146</v>
      </c>
      <c r="E14821" s="41" t="n">
        <v>5637.9688</v>
      </c>
    </row>
    <row r="14822">
      <c r="A14822" s="42">
        <f>_xlfn.XLOOKUP(82115,Trip[shape_id],Trip[shape_id],"Não encontrado")</f>
        <v/>
      </c>
      <c r="B14822" s="43" t="n">
        <v>-23.562606</v>
      </c>
      <c r="C14822" s="43" t="n">
        <v>-46.552015</v>
      </c>
      <c r="D14822" s="43" t="n">
        <v>147</v>
      </c>
      <c r="E14822" s="44" t="n">
        <v>5656.8921</v>
      </c>
    </row>
    <row r="14823">
      <c r="A14823" s="39">
        <f>_xlfn.XLOOKUP(82115,Trip[shape_id],Trip[shape_id],"Não encontrado")</f>
        <v/>
      </c>
      <c r="B14823" s="40" t="n">
        <v>-23.562479</v>
      </c>
      <c r="C14823" s="40" t="n">
        <v>-46.551891</v>
      </c>
      <c r="D14823" s="40" t="n">
        <v>148</v>
      </c>
      <c r="E14823" s="41" t="n">
        <v>5671.5347</v>
      </c>
    </row>
    <row r="14824">
      <c r="A14824" s="42">
        <f>_xlfn.XLOOKUP(82115,Trip[shape_id],Trip[shape_id],"Não encontrado")</f>
        <v/>
      </c>
      <c r="B14824" s="43" t="n">
        <v>-23.562411</v>
      </c>
      <c r="C14824" s="43" t="n">
        <v>-46.551768</v>
      </c>
      <c r="D14824" s="43" t="n">
        <v>149</v>
      </c>
      <c r="E14824" s="44" t="n">
        <v>5683.4087</v>
      </c>
    </row>
    <row r="14825">
      <c r="A14825" s="39">
        <f>_xlfn.XLOOKUP(82115,Trip[shape_id],Trip[shape_id],"Não encontrado")</f>
        <v/>
      </c>
      <c r="B14825" s="40" t="n">
        <v>-23.562363</v>
      </c>
      <c r="C14825" s="40" t="n">
        <v>-46.551664</v>
      </c>
      <c r="D14825" s="40" t="n">
        <v>150</v>
      </c>
      <c r="E14825" s="41" t="n">
        <v>5683.4087</v>
      </c>
    </row>
    <row r="14826">
      <c r="A14826" s="42">
        <f>_xlfn.XLOOKUP(82115,Trip[shape_id],Trip[shape_id],"Não encontrado")</f>
        <v/>
      </c>
      <c r="B14826" s="43" t="n">
        <v>-23.562325</v>
      </c>
      <c r="C14826" s="43" t="n">
        <v>-46.551401</v>
      </c>
      <c r="D14826" s="43" t="n">
        <v>151</v>
      </c>
      <c r="E14826" s="44" t="n">
        <v>5747.1016</v>
      </c>
    </row>
    <row r="14827">
      <c r="A14827" s="39">
        <f>_xlfn.XLOOKUP(82115,Trip[shape_id],Trip[shape_id],"Não encontrado")</f>
        <v/>
      </c>
      <c r="B14827" s="40" t="n">
        <v>-23.562305</v>
      </c>
      <c r="C14827" s="40" t="n">
        <v>-46.551044</v>
      </c>
      <c r="D14827" s="40" t="n">
        <v>152</v>
      </c>
      <c r="E14827" s="41" t="n">
        <v>5747.1016</v>
      </c>
    </row>
    <row r="14828">
      <c r="A14828" s="42">
        <f>_xlfn.XLOOKUP(82115,Trip[shape_id],Trip[shape_id],"Não encontrado")</f>
        <v/>
      </c>
      <c r="B14828" s="43" t="n">
        <v>-23.562367</v>
      </c>
      <c r="C14828" s="43" t="n">
        <v>-46.550756</v>
      </c>
      <c r="D14828" s="43" t="n">
        <v>153</v>
      </c>
      <c r="E14828" s="44" t="n">
        <v>5777.2954</v>
      </c>
    </row>
    <row r="14829">
      <c r="A14829" s="39">
        <f>_xlfn.XLOOKUP(82115,Trip[shape_id],Trip[shape_id],"Não encontrado")</f>
        <v/>
      </c>
      <c r="B14829" s="40" t="n">
        <v>-23.562414</v>
      </c>
      <c r="C14829" s="40" t="n">
        <v>-46.550573</v>
      </c>
      <c r="D14829" s="40" t="n">
        <v>154</v>
      </c>
      <c r="E14829" s="41" t="n">
        <v>5818.5728</v>
      </c>
    </row>
    <row r="14830">
      <c r="A14830" s="42">
        <f>_xlfn.XLOOKUP(82115,Trip[shape_id],Trip[shape_id],"Não encontrado")</f>
        <v/>
      </c>
      <c r="B14830" s="43" t="n">
        <v>-23.562498</v>
      </c>
      <c r="C14830" s="43" t="n">
        <v>-46.550379</v>
      </c>
      <c r="D14830" s="43" t="n">
        <v>155</v>
      </c>
      <c r="E14830" s="44" t="n">
        <v>5836.8594</v>
      </c>
    </row>
    <row r="14831">
      <c r="A14831" s="39">
        <f>_xlfn.XLOOKUP(82115,Trip[shape_id],Trip[shape_id],"Não encontrado")</f>
        <v/>
      </c>
      <c r="B14831" s="40" t="n">
        <v>-23.562591</v>
      </c>
      <c r="C14831" s="40" t="n">
        <v>-46.550231</v>
      </c>
      <c r="D14831" s="40" t="n">
        <v>156</v>
      </c>
      <c r="E14831" s="41" t="n">
        <v>5856.0029</v>
      </c>
    </row>
    <row r="14832">
      <c r="A14832" s="42">
        <f>_xlfn.XLOOKUP(82115,Trip[shape_id],Trip[shape_id],"Não encontrado")</f>
        <v/>
      </c>
      <c r="B14832" s="43" t="n">
        <v>-23.56271</v>
      </c>
      <c r="C14832" s="43" t="n">
        <v>-46.550095</v>
      </c>
      <c r="D14832" s="43" t="n">
        <v>157</v>
      </c>
      <c r="E14832" s="44" t="n">
        <v>5927.6572</v>
      </c>
    </row>
    <row r="14833">
      <c r="A14833" s="39">
        <f>_xlfn.XLOOKUP(82115,Trip[shape_id],Trip[shape_id],"Não encontrado")</f>
        <v/>
      </c>
      <c r="B14833" s="40" t="n">
        <v>-23.563175</v>
      </c>
      <c r="C14833" s="40" t="n">
        <v>-46.549607</v>
      </c>
      <c r="D14833" s="40" t="n">
        <v>158</v>
      </c>
      <c r="E14833" s="41" t="n">
        <v>5927.6572</v>
      </c>
    </row>
    <row r="14834">
      <c r="A14834" s="42">
        <f>_xlfn.XLOOKUP(82115,Trip[shape_id],Trip[shape_id],"Não encontrado")</f>
        <v/>
      </c>
      <c r="B14834" s="43" t="n">
        <v>-23.563414</v>
      </c>
      <c r="C14834" s="43" t="n">
        <v>-46.54937</v>
      </c>
      <c r="D14834" s="43" t="n">
        <v>159</v>
      </c>
      <c r="E14834" s="44" t="n">
        <v>6003.6802</v>
      </c>
    </row>
    <row r="14835">
      <c r="A14835" s="39">
        <f>_xlfn.XLOOKUP(82115,Trip[shape_id],Trip[shape_id],"Não encontrado")</f>
        <v/>
      </c>
      <c r="B14835" s="40" t="n">
        <v>-23.563682</v>
      </c>
      <c r="C14835" s="40" t="n">
        <v>-46.549105</v>
      </c>
      <c r="D14835" s="40" t="n">
        <v>160</v>
      </c>
      <c r="E14835" s="41" t="n">
        <v>6003.6802</v>
      </c>
    </row>
    <row r="14836">
      <c r="A14836" s="42">
        <f>_xlfn.XLOOKUP(82115,Trip[shape_id],Trip[shape_id],"Não encontrado")</f>
        <v/>
      </c>
      <c r="B14836" s="43" t="n">
        <v>-23.5638</v>
      </c>
      <c r="C14836" s="43" t="n">
        <v>-46.548977</v>
      </c>
      <c r="D14836" s="43" t="n">
        <v>161</v>
      </c>
      <c r="E14836" s="44" t="n">
        <v>6049.9614</v>
      </c>
    </row>
    <row r="14837">
      <c r="A14837" s="39">
        <f>_xlfn.XLOOKUP(82115,Trip[shape_id],Trip[shape_id],"Não encontrado")</f>
        <v/>
      </c>
      <c r="B14837" s="40" t="n">
        <v>-23.563962</v>
      </c>
      <c r="C14837" s="40" t="n">
        <v>-46.548769</v>
      </c>
      <c r="D14837" s="40" t="n">
        <v>162</v>
      </c>
      <c r="E14837" s="41" t="n">
        <v>6077.9468</v>
      </c>
    </row>
    <row r="14838">
      <c r="A14838" s="42">
        <f>_xlfn.XLOOKUP(82115,Trip[shape_id],Trip[shape_id],"Não encontrado")</f>
        <v/>
      </c>
      <c r="B14838" s="43" t="n">
        <v>-23.564105</v>
      </c>
      <c r="C14838" s="43" t="n">
        <v>-46.548543</v>
      </c>
      <c r="D14838" s="43" t="n">
        <v>163</v>
      </c>
      <c r="E14838" s="44" t="n">
        <v>6107.5825</v>
      </c>
    </row>
    <row r="14839">
      <c r="A14839" s="39">
        <f>_xlfn.XLOOKUP(82115,Trip[shape_id],Trip[shape_id],"Não encontrado")</f>
        <v/>
      </c>
      <c r="B14839" s="40" t="n">
        <v>-23.564224</v>
      </c>
      <c r="C14839" s="40" t="n">
        <v>-46.548283</v>
      </c>
      <c r="D14839" s="40" t="n">
        <v>164</v>
      </c>
      <c r="E14839" s="41" t="n">
        <v>6112.5913</v>
      </c>
    </row>
    <row r="14840">
      <c r="A14840" s="42">
        <f>_xlfn.XLOOKUP(82115,Trip[shape_id],Trip[shape_id],"Não encontrado")</f>
        <v/>
      </c>
      <c r="B14840" s="43" t="n">
        <v>-23.564242</v>
      </c>
      <c r="C14840" s="43" t="n">
        <v>-46.548238</v>
      </c>
      <c r="D14840" s="43" t="n">
        <v>165</v>
      </c>
      <c r="E14840" s="44" t="n">
        <v>6138.3057</v>
      </c>
    </row>
    <row r="14841">
      <c r="A14841" s="39">
        <f>_xlfn.XLOOKUP(82115,Trip[shape_id],Trip[shape_id],"Não encontrado")</f>
        <v/>
      </c>
      <c r="B14841" s="40" t="n">
        <v>-23.564318</v>
      </c>
      <c r="C14841" s="40" t="n">
        <v>-46.548</v>
      </c>
      <c r="D14841" s="40" t="n">
        <v>166</v>
      </c>
      <c r="E14841" s="41" t="n">
        <v>6158.8418</v>
      </c>
    </row>
    <row r="14842">
      <c r="A14842" s="42">
        <f>_xlfn.XLOOKUP(82115,Trip[shape_id],Trip[shape_id],"Não encontrado")</f>
        <v/>
      </c>
      <c r="B14842" s="43" t="n">
        <v>-23.564367</v>
      </c>
      <c r="C14842" s="43" t="n">
        <v>-46.547806</v>
      </c>
      <c r="D14842" s="43" t="n">
        <v>167</v>
      </c>
      <c r="E14842" s="44" t="n">
        <v>6158.8418</v>
      </c>
    </row>
    <row r="14843">
      <c r="A14843" s="39">
        <f>_xlfn.XLOOKUP(82115,Trip[shape_id],Trip[shape_id],"Não encontrado")</f>
        <v/>
      </c>
      <c r="B14843" s="40" t="n">
        <v>-23.564459</v>
      </c>
      <c r="C14843" s="40" t="n">
        <v>-46.5474</v>
      </c>
      <c r="D14843" s="40" t="n">
        <v>168</v>
      </c>
      <c r="E14843" s="41" t="n">
        <v>6229.8848</v>
      </c>
    </row>
    <row r="14844">
      <c r="A14844" s="42">
        <f>_xlfn.XLOOKUP(82115,Trip[shape_id],Trip[shape_id],"Não encontrado")</f>
        <v/>
      </c>
      <c r="B14844" s="43" t="n">
        <v>-23.564511</v>
      </c>
      <c r="C14844" s="43" t="n">
        <v>-46.547128</v>
      </c>
      <c r="D14844" s="43" t="n">
        <v>169</v>
      </c>
      <c r="E14844" s="44" t="n">
        <v>6229.8848</v>
      </c>
    </row>
    <row r="14845">
      <c r="A14845" s="39">
        <f>_xlfn.XLOOKUP(82115,Trip[shape_id],Trip[shape_id],"Não encontrado")</f>
        <v/>
      </c>
      <c r="B14845" s="40" t="n">
        <v>-23.564632</v>
      </c>
      <c r="C14845" s="40" t="n">
        <v>-46.546513</v>
      </c>
      <c r="D14845" s="40" t="n">
        <v>170</v>
      </c>
      <c r="E14845" s="41" t="n">
        <v>6308.5132</v>
      </c>
    </row>
    <row r="14846">
      <c r="A14846" s="42">
        <f>_xlfn.XLOOKUP(82115,Trip[shape_id],Trip[shape_id],"Não encontrado")</f>
        <v/>
      </c>
      <c r="B14846" s="43" t="n">
        <v>-23.564664</v>
      </c>
      <c r="C14846" s="43" t="n">
        <v>-46.546376</v>
      </c>
      <c r="D14846" s="43" t="n">
        <v>171</v>
      </c>
      <c r="E14846" s="44" t="n">
        <v>6328.4419</v>
      </c>
    </row>
    <row r="14847">
      <c r="A14847" s="39">
        <f>_xlfn.XLOOKUP(82115,Trip[shape_id],Trip[shape_id],"Não encontrado")</f>
        <v/>
      </c>
      <c r="B14847" s="40" t="n">
        <v>-23.564709</v>
      </c>
      <c r="C14847" s="40" t="n">
        <v>-46.546187</v>
      </c>
      <c r="D14847" s="40" t="n">
        <v>172</v>
      </c>
      <c r="E14847" s="41" t="n">
        <v>6345.0483</v>
      </c>
    </row>
    <row r="14848">
      <c r="A14848" s="42">
        <f>_xlfn.XLOOKUP(82115,Trip[shape_id],Trip[shape_id],"Não encontrado")</f>
        <v/>
      </c>
      <c r="B14848" s="43" t="n">
        <v>-23.564767</v>
      </c>
      <c r="C14848" s="43" t="n">
        <v>-46.546037</v>
      </c>
      <c r="D14848" s="43" t="n">
        <v>173</v>
      </c>
      <c r="E14848" s="44" t="n">
        <v>6345.0483</v>
      </c>
    </row>
    <row r="14849">
      <c r="A14849" s="39">
        <f>_xlfn.XLOOKUP(82115,Trip[shape_id],Trip[shape_id],"Não encontrado")</f>
        <v/>
      </c>
      <c r="B14849" s="40" t="n">
        <v>-23.565066</v>
      </c>
      <c r="C14849" s="40" t="n">
        <v>-46.545558</v>
      </c>
      <c r="D14849" s="40" t="n">
        <v>174</v>
      </c>
      <c r="E14849" s="41" t="n">
        <v>6415.8076</v>
      </c>
    </row>
    <row r="14850">
      <c r="A14850" s="42">
        <f>_xlfn.XLOOKUP(82115,Trip[shape_id],Trip[shape_id],"Não encontrado")</f>
        <v/>
      </c>
      <c r="B14850" s="43" t="n">
        <v>-23.565129</v>
      </c>
      <c r="C14850" s="43" t="n">
        <v>-46.545466</v>
      </c>
      <c r="D14850" s="43" t="n">
        <v>175</v>
      </c>
      <c r="E14850" s="44" t="n">
        <v>6415.8076</v>
      </c>
    </row>
    <row r="14851">
      <c r="A14851" s="39">
        <f>_xlfn.XLOOKUP(82115,Trip[shape_id],Trip[shape_id],"Não encontrado")</f>
        <v/>
      </c>
      <c r="B14851" s="40" t="n">
        <v>-23.56529</v>
      </c>
      <c r="C14851" s="40" t="n">
        <v>-46.545294</v>
      </c>
      <c r="D14851" s="40" t="n">
        <v>176</v>
      </c>
      <c r="E14851" s="41" t="n">
        <v>6440.8335</v>
      </c>
    </row>
    <row r="14852">
      <c r="A14852" s="42">
        <f>_xlfn.XLOOKUP(82115,Trip[shape_id],Trip[shape_id],"Não encontrado")</f>
        <v/>
      </c>
      <c r="B14852" s="43" t="n">
        <v>-23.565479</v>
      </c>
      <c r="C14852" s="43" t="n">
        <v>-46.545116</v>
      </c>
      <c r="D14852" s="43" t="n">
        <v>177</v>
      </c>
      <c r="E14852" s="44" t="n">
        <v>6468.5532</v>
      </c>
    </row>
    <row r="14853">
      <c r="A14853" s="39">
        <f>_xlfn.XLOOKUP(82115,Trip[shape_id],Trip[shape_id],"Não encontrado")</f>
        <v/>
      </c>
      <c r="B14853" s="40" t="n">
        <v>-23.565745</v>
      </c>
      <c r="C14853" s="40" t="n">
        <v>-46.544917</v>
      </c>
      <c r="D14853" s="40" t="n">
        <v>178</v>
      </c>
      <c r="E14853" s="41" t="n">
        <v>6504.3394</v>
      </c>
    </row>
    <row r="14854">
      <c r="A14854" s="42">
        <f>_xlfn.XLOOKUP(82115,Trip[shape_id],Trip[shape_id],"Não encontrado")</f>
        <v/>
      </c>
      <c r="B14854" s="43" t="n">
        <v>-23.56598</v>
      </c>
      <c r="C14854" s="43" t="n">
        <v>-46.544726</v>
      </c>
      <c r="D14854" s="43" t="n">
        <v>179</v>
      </c>
      <c r="E14854" s="44" t="n">
        <v>6536.8604</v>
      </c>
    </row>
    <row r="14855">
      <c r="A14855" s="39">
        <f>_xlfn.XLOOKUP(82115,Trip[shape_id],Trip[shape_id],"Não encontrado")</f>
        <v/>
      </c>
      <c r="B14855" s="40" t="n">
        <v>-23.566871</v>
      </c>
      <c r="C14855" s="40" t="n">
        <v>-46.543981</v>
      </c>
      <c r="D14855" s="40" t="n">
        <v>180</v>
      </c>
      <c r="E14855" s="41" t="n">
        <v>6661.4492</v>
      </c>
    </row>
    <row r="14856">
      <c r="A14856" s="42">
        <f>_xlfn.XLOOKUP(82115,Trip[shape_id],Trip[shape_id],"Não encontrado")</f>
        <v/>
      </c>
      <c r="B14856" s="43" t="n">
        <v>-23.56695</v>
      </c>
      <c r="C14856" s="43" t="n">
        <v>-46.543871</v>
      </c>
      <c r="D14856" s="43" t="n">
        <v>181</v>
      </c>
      <c r="E14856" s="44" t="n">
        <v>6688.7534</v>
      </c>
    </row>
    <row r="14857">
      <c r="A14857" s="39">
        <f>_xlfn.XLOOKUP(82115,Trip[shape_id],Trip[shape_id],"Não encontrado")</f>
        <v/>
      </c>
      <c r="B14857" s="40" t="n">
        <v>-23.567027</v>
      </c>
      <c r="C14857" s="40" t="n">
        <v>-46.543774</v>
      </c>
      <c r="D14857" s="40" t="n">
        <v>182</v>
      </c>
      <c r="E14857" s="41" t="n">
        <v>6698.3887</v>
      </c>
    </row>
    <row r="14858">
      <c r="A14858" s="42">
        <f>_xlfn.XLOOKUP(82115,Trip[shape_id],Trip[shape_id],"Não encontrado")</f>
        <v/>
      </c>
      <c r="B14858" s="43" t="n">
        <v>-23.567081</v>
      </c>
      <c r="C14858" s="43" t="n">
        <v>-46.5437</v>
      </c>
      <c r="D14858" s="43" t="n">
        <v>183</v>
      </c>
      <c r="E14858" s="44" t="n">
        <v>6698.3887</v>
      </c>
    </row>
    <row r="14859">
      <c r="A14859" s="39">
        <f>_xlfn.XLOOKUP(82115,Trip[shape_id],Trip[shape_id],"Não encontrado")</f>
        <v/>
      </c>
      <c r="B14859" s="40" t="n">
        <v>-23.567138</v>
      </c>
      <c r="C14859" s="40" t="n">
        <v>-46.543599</v>
      </c>
      <c r="D14859" s="40" t="n">
        <v>184</v>
      </c>
      <c r="E14859" s="41" t="n">
        <v>6723.1348</v>
      </c>
    </row>
    <row r="14860">
      <c r="A14860" s="42">
        <f>_xlfn.XLOOKUP(82115,Trip[shape_id],Trip[shape_id],"Não encontrado")</f>
        <v/>
      </c>
      <c r="B14860" s="43" t="n">
        <v>-23.567185</v>
      </c>
      <c r="C14860" s="43" t="n">
        <v>-46.543486</v>
      </c>
      <c r="D14860" s="43" t="n">
        <v>185</v>
      </c>
      <c r="E14860" s="44" t="n">
        <v>6732.7778</v>
      </c>
    </row>
    <row r="14861">
      <c r="A14861" s="39">
        <f>_xlfn.XLOOKUP(82115,Trip[shape_id],Trip[shape_id],"Não encontrado")</f>
        <v/>
      </c>
      <c r="B14861" s="40" t="n">
        <v>-23.567221</v>
      </c>
      <c r="C14861" s="40" t="n">
        <v>-46.5434</v>
      </c>
      <c r="D14861" s="40" t="n">
        <v>186</v>
      </c>
      <c r="E14861" s="41" t="n">
        <v>6732.7778</v>
      </c>
    </row>
    <row r="14862">
      <c r="A14862" s="42">
        <f>_xlfn.XLOOKUP(82115,Trip[shape_id],Trip[shape_id],"Não encontrado")</f>
        <v/>
      </c>
      <c r="B14862" s="43" t="n">
        <v>-23.567284</v>
      </c>
      <c r="C14862" s="43" t="n">
        <v>-46.543132</v>
      </c>
      <c r="D14862" s="43" t="n">
        <v>187</v>
      </c>
      <c r="E14862" s="44" t="n">
        <v>6770.5718</v>
      </c>
    </row>
    <row r="14863">
      <c r="A14863" s="39">
        <f>_xlfn.XLOOKUP(82115,Trip[shape_id],Trip[shape_id],"Não encontrado")</f>
        <v/>
      </c>
      <c r="B14863" s="40" t="n">
        <v>-23.567294</v>
      </c>
      <c r="C14863" s="40" t="n">
        <v>-46.543039</v>
      </c>
      <c r="D14863" s="40" t="n">
        <v>188</v>
      </c>
      <c r="E14863" s="41" t="n">
        <v>6770.5718</v>
      </c>
    </row>
    <row r="14864">
      <c r="A14864" s="42">
        <f>_xlfn.XLOOKUP(82115,Trip[shape_id],Trip[shape_id],"Não encontrado")</f>
        <v/>
      </c>
      <c r="B14864" s="43" t="n">
        <v>-23.567359</v>
      </c>
      <c r="C14864" s="43" t="n">
        <v>-46.542193</v>
      </c>
      <c r="D14864" s="43" t="n">
        <v>189</v>
      </c>
      <c r="E14864" s="44" t="n">
        <v>6857.2388</v>
      </c>
    </row>
    <row r="14865">
      <c r="A14865" s="39">
        <f>_xlfn.XLOOKUP(82115,Trip[shape_id],Trip[shape_id],"Não encontrado")</f>
        <v/>
      </c>
      <c r="B14865" s="40" t="n">
        <v>-23.567362</v>
      </c>
      <c r="C14865" s="40" t="n">
        <v>-46.542027</v>
      </c>
      <c r="D14865" s="40" t="n">
        <v>190</v>
      </c>
      <c r="E14865" s="41" t="n">
        <v>6874.1885</v>
      </c>
    </row>
    <row r="14866">
      <c r="A14866" s="42">
        <f>_xlfn.XLOOKUP(82115,Trip[shape_id],Trip[shape_id],"Não encontrado")</f>
        <v/>
      </c>
      <c r="B14866" s="43" t="n">
        <v>-23.567473</v>
      </c>
      <c r="C14866" s="43" t="n">
        <v>-46.541706</v>
      </c>
      <c r="D14866" s="43" t="n">
        <v>191</v>
      </c>
      <c r="E14866" s="44" t="n">
        <v>6927.0605</v>
      </c>
    </row>
    <row r="14867">
      <c r="A14867" s="39">
        <f>_xlfn.XLOOKUP(82115,Trip[shape_id],Trip[shape_id],"Não encontrado")</f>
        <v/>
      </c>
      <c r="B14867" s="40" t="n">
        <v>-23.567548</v>
      </c>
      <c r="C14867" s="40" t="n">
        <v>-46.541551</v>
      </c>
      <c r="D14867" s="40" t="n">
        <v>192</v>
      </c>
      <c r="E14867" s="41" t="n">
        <v>6927.0605</v>
      </c>
    </row>
    <row r="14868">
      <c r="A14868" s="42">
        <f>_xlfn.XLOOKUP(82115,Trip[shape_id],Trip[shape_id],"Não encontrado")</f>
        <v/>
      </c>
      <c r="B14868" s="43" t="n">
        <v>-23.567591</v>
      </c>
      <c r="C14868" s="43" t="n">
        <v>-46.541475</v>
      </c>
      <c r="D14868" s="43" t="n">
        <v>193</v>
      </c>
      <c r="E14868" s="44" t="n">
        <v>6955.3135</v>
      </c>
    </row>
    <row r="14869">
      <c r="A14869" s="39">
        <f>_xlfn.XLOOKUP(82115,Trip[shape_id],Trip[shape_id],"Não encontrado")</f>
        <v/>
      </c>
      <c r="B14869" s="40" t="n">
        <v>-23.567687</v>
      </c>
      <c r="C14869" s="40" t="n">
        <v>-46.541319</v>
      </c>
      <c r="D14869" s="40" t="n">
        <v>194</v>
      </c>
      <c r="E14869" s="41" t="n">
        <v>6963.3467</v>
      </c>
    </row>
    <row r="14870">
      <c r="A14870" s="42">
        <f>_xlfn.XLOOKUP(82115,Trip[shape_id],Trip[shape_id],"Não encontrado")</f>
        <v/>
      </c>
      <c r="B14870" s="43" t="n">
        <v>-23.567735</v>
      </c>
      <c r="C14870" s="43" t="n">
        <v>-46.54126</v>
      </c>
      <c r="D14870" s="43" t="n">
        <v>195</v>
      </c>
      <c r="E14870" s="44" t="n">
        <v>6982.5273</v>
      </c>
    </row>
    <row r="14871">
      <c r="A14871" s="39">
        <f>_xlfn.XLOOKUP(82115,Trip[shape_id],Trip[shape_id],"Não encontrado")</f>
        <v/>
      </c>
      <c r="B14871" s="40" t="n">
        <v>-23.567844</v>
      </c>
      <c r="C14871" s="40" t="n">
        <v>-46.541114</v>
      </c>
      <c r="D14871" s="40" t="n">
        <v>196</v>
      </c>
      <c r="E14871" s="41" t="n">
        <v>7005.6802</v>
      </c>
    </row>
    <row r="14872">
      <c r="A14872" s="42">
        <f>_xlfn.XLOOKUP(82115,Trip[shape_id],Trip[shape_id],"Não encontrado")</f>
        <v/>
      </c>
      <c r="B14872" s="43" t="n">
        <v>-23.568007</v>
      </c>
      <c r="C14872" s="43" t="n">
        <v>-46.540972</v>
      </c>
      <c r="D14872" s="43" t="n">
        <v>197</v>
      </c>
      <c r="E14872" s="44" t="n">
        <v>7016.0391</v>
      </c>
    </row>
    <row r="14873">
      <c r="A14873" s="39">
        <f>_xlfn.XLOOKUP(82115,Trip[shape_id],Trip[shape_id],"Não encontrado")</f>
        <v/>
      </c>
      <c r="B14873" s="40" t="n">
        <v>-23.568085</v>
      </c>
      <c r="C14873" s="40" t="n">
        <v>-46.540916</v>
      </c>
      <c r="D14873" s="40" t="n">
        <v>198</v>
      </c>
      <c r="E14873" s="41" t="n">
        <v>7026.8975</v>
      </c>
    </row>
    <row r="14874">
      <c r="A14874" s="42">
        <f>_xlfn.XLOOKUP(82115,Trip[shape_id],Trip[shape_id],"Não encontrado")</f>
        <v/>
      </c>
      <c r="B14874" s="43" t="n">
        <v>-23.56817</v>
      </c>
      <c r="C14874" s="43" t="n">
        <v>-46.540863</v>
      </c>
      <c r="D14874" s="43" t="n">
        <v>199</v>
      </c>
      <c r="E14874" s="44" t="n">
        <v>7065.3218</v>
      </c>
    </row>
    <row r="14875">
      <c r="A14875" s="39">
        <f>_xlfn.XLOOKUP(82115,Trip[shape_id],Trip[shape_id],"Não encontrado")</f>
        <v/>
      </c>
      <c r="B14875" s="40" t="n">
        <v>-23.56848</v>
      </c>
      <c r="C14875" s="40" t="n">
        <v>-46.540694</v>
      </c>
      <c r="D14875" s="40" t="n">
        <v>200</v>
      </c>
      <c r="E14875" s="41" t="n">
        <v>7125.1016</v>
      </c>
    </row>
    <row r="14876">
      <c r="A14876" s="42">
        <f>_xlfn.XLOOKUP(82115,Trip[shape_id],Trip[shape_id],"Não encontrado")</f>
        <v/>
      </c>
      <c r="B14876" s="43" t="n">
        <v>-23.568965</v>
      </c>
      <c r="C14876" s="43" t="n">
        <v>-46.540437</v>
      </c>
      <c r="D14876" s="43" t="n">
        <v>201</v>
      </c>
      <c r="E14876" s="44" t="n">
        <v>7125.1016</v>
      </c>
    </row>
    <row r="14877">
      <c r="A14877" s="39">
        <f>_xlfn.XLOOKUP(82115,Trip[shape_id],Trip[shape_id],"Não encontrado")</f>
        <v/>
      </c>
      <c r="B14877" s="40" t="n">
        <v>-23.569113</v>
      </c>
      <c r="C14877" s="40" t="n">
        <v>-46.540361</v>
      </c>
      <c r="D14877" s="40" t="n">
        <v>202</v>
      </c>
      <c r="E14877" s="41" t="n">
        <v>7154.0547</v>
      </c>
    </row>
    <row r="14878">
      <c r="A14878" s="42">
        <f>_xlfn.XLOOKUP(82115,Trip[shape_id],Trip[shape_id],"Não encontrado")</f>
        <v/>
      </c>
      <c r="B14878" s="43" t="n">
        <v>-23.569201</v>
      </c>
      <c r="C14878" s="43" t="n">
        <v>-46.540315</v>
      </c>
      <c r="D14878" s="43" t="n">
        <v>203</v>
      </c>
      <c r="E14878" s="44" t="n">
        <v>7154.0547</v>
      </c>
    </row>
    <row r="14879">
      <c r="A14879" s="39">
        <f>_xlfn.XLOOKUP(82115,Trip[shape_id],Trip[shape_id],"Não encontrado")</f>
        <v/>
      </c>
      <c r="B14879" s="40" t="n">
        <v>-23.569375</v>
      </c>
      <c r="C14879" s="40" t="n">
        <v>-46.54035</v>
      </c>
      <c r="D14879" s="40" t="n">
        <v>204</v>
      </c>
      <c r="E14879" s="41" t="n">
        <v>7184.6504</v>
      </c>
    </row>
    <row r="14880">
      <c r="A14880" s="42">
        <f>_xlfn.XLOOKUP(82115,Trip[shape_id],Trip[shape_id],"Não encontrado")</f>
        <v/>
      </c>
      <c r="B14880" s="43" t="n">
        <v>-23.569472</v>
      </c>
      <c r="C14880" s="43" t="n">
        <v>-46.540373</v>
      </c>
      <c r="D14880" s="43" t="n">
        <v>205</v>
      </c>
      <c r="E14880" s="44" t="n">
        <v>7184.6504</v>
      </c>
    </row>
    <row r="14881">
      <c r="A14881" s="39">
        <f>_xlfn.XLOOKUP(82115,Trip[shape_id],Trip[shape_id],"Não encontrado")</f>
        <v/>
      </c>
      <c r="B14881" s="40" t="n">
        <v>-23.569777</v>
      </c>
      <c r="C14881" s="40" t="n">
        <v>-46.54057</v>
      </c>
      <c r="D14881" s="40" t="n">
        <v>206</v>
      </c>
      <c r="E14881" s="41" t="n">
        <v>7235.5396</v>
      </c>
    </row>
    <row r="14882">
      <c r="A14882" s="42">
        <f>_xlfn.XLOOKUP(82115,Trip[shape_id],Trip[shape_id],"Não encontrado")</f>
        <v/>
      </c>
      <c r="B14882" s="43" t="n">
        <v>-23.569877</v>
      </c>
      <c r="C14882" s="43" t="n">
        <v>-46.540603</v>
      </c>
      <c r="D14882" s="43" t="n">
        <v>207</v>
      </c>
      <c r="E14882" s="44" t="n">
        <v>7241.853</v>
      </c>
    </row>
    <row r="14883">
      <c r="A14883" s="39">
        <f>_xlfn.XLOOKUP(82115,Trip[shape_id],Trip[shape_id],"Não encontrado")</f>
        <v/>
      </c>
      <c r="B14883" s="40" t="n">
        <v>-23.569934</v>
      </c>
      <c r="C14883" s="40" t="n">
        <v>-46.540602</v>
      </c>
      <c r="D14883" s="40" t="n">
        <v>208</v>
      </c>
      <c r="E14883" s="41" t="n">
        <v>7245.2856</v>
      </c>
    </row>
    <row r="14884">
      <c r="A14884" s="42">
        <f>_xlfn.XLOOKUP(82115,Trip[shape_id],Trip[shape_id],"Não encontrado")</f>
        <v/>
      </c>
      <c r="B14884" s="43" t="n">
        <v>-23.569965</v>
      </c>
      <c r="C14884" s="43" t="n">
        <v>-46.540602</v>
      </c>
      <c r="D14884" s="43" t="n">
        <v>209</v>
      </c>
      <c r="E14884" s="44" t="n">
        <v>7255.311</v>
      </c>
    </row>
    <row r="14885">
      <c r="A14885" s="39">
        <f>_xlfn.XLOOKUP(82115,Trip[shape_id],Trip[shape_id],"Não encontrado")</f>
        <v/>
      </c>
      <c r="B14885" s="40" t="n">
        <v>-23.570053</v>
      </c>
      <c r="C14885" s="40" t="n">
        <v>-46.540579</v>
      </c>
      <c r="D14885" s="40" t="n">
        <v>210</v>
      </c>
      <c r="E14885" s="41" t="n">
        <v>7267.9482</v>
      </c>
    </row>
    <row r="14886">
      <c r="A14886" s="42">
        <f>_xlfn.XLOOKUP(82115,Trip[shape_id],Trip[shape_id],"Não encontrado")</f>
        <v/>
      </c>
      <c r="B14886" s="43" t="n">
        <v>-23.57016</v>
      </c>
      <c r="C14886" s="43" t="n">
        <v>-46.540536</v>
      </c>
      <c r="D14886" s="43" t="n">
        <v>211</v>
      </c>
      <c r="E14886" s="44" t="n">
        <v>7267.9482</v>
      </c>
    </row>
    <row r="14887">
      <c r="A14887" s="39">
        <f>_xlfn.XLOOKUP(82115,Trip[shape_id],Trip[shape_id],"Não encontrado")</f>
        <v/>
      </c>
      <c r="B14887" s="40" t="n">
        <v>-23.570263</v>
      </c>
      <c r="C14887" s="40" t="n">
        <v>-46.540403</v>
      </c>
      <c r="D14887" s="40" t="n">
        <v>212</v>
      </c>
      <c r="E14887" s="41" t="n">
        <v>7293.8325</v>
      </c>
    </row>
    <row r="14888">
      <c r="A14888" s="42">
        <f>_xlfn.XLOOKUP(82115,Trip[shape_id],Trip[shape_id],"Não encontrado")</f>
        <v/>
      </c>
      <c r="B14888" s="43" t="n">
        <v>-23.570307</v>
      </c>
      <c r="C14888" s="43" t="n">
        <v>-46.540339</v>
      </c>
      <c r="D14888" s="43" t="n">
        <v>213</v>
      </c>
      <c r="E14888" s="44" t="n">
        <v>7303.6899</v>
      </c>
    </row>
    <row r="14889">
      <c r="A14889" s="39">
        <f>_xlfn.XLOOKUP(82115,Trip[shape_id],Trip[shape_id],"Não encontrado")</f>
        <v/>
      </c>
      <c r="B14889" s="40" t="n">
        <v>-23.570354</v>
      </c>
      <c r="C14889" s="40" t="n">
        <v>-46.540257</v>
      </c>
      <c r="D14889" s="40" t="n">
        <v>214</v>
      </c>
      <c r="E14889" s="41" t="n">
        <v>7303.6899</v>
      </c>
    </row>
    <row r="14890">
      <c r="A14890" s="42">
        <f>_xlfn.XLOOKUP(82115,Trip[shape_id],Trip[shape_id],"Não encontrado")</f>
        <v/>
      </c>
      <c r="B14890" s="43" t="n">
        <v>-23.570552</v>
      </c>
      <c r="C14890" s="43" t="n">
        <v>-46.539682</v>
      </c>
      <c r="D14890" s="43" t="n">
        <v>215</v>
      </c>
      <c r="E14890" s="44" t="n">
        <v>7432.0059</v>
      </c>
    </row>
    <row r="14891">
      <c r="A14891" s="39">
        <f>_xlfn.XLOOKUP(82115,Trip[shape_id],Trip[shape_id],"Não encontrado")</f>
        <v/>
      </c>
      <c r="B14891" s="40" t="n">
        <v>-23.570763</v>
      </c>
      <c r="C14891" s="40" t="n">
        <v>-46.539081</v>
      </c>
      <c r="D14891" s="40" t="n">
        <v>216</v>
      </c>
      <c r="E14891" s="41" t="n">
        <v>7466.5845</v>
      </c>
    </row>
    <row r="14892">
      <c r="A14892" s="42">
        <f>_xlfn.XLOOKUP(82115,Trip[shape_id],Trip[shape_id],"Não encontrado")</f>
        <v/>
      </c>
      <c r="B14892" s="43" t="n">
        <v>-23.570873</v>
      </c>
      <c r="C14892" s="43" t="n">
        <v>-46.538764</v>
      </c>
      <c r="D14892" s="43" t="n">
        <v>217</v>
      </c>
      <c r="E14892" s="44" t="n">
        <v>7466.5845</v>
      </c>
    </row>
    <row r="14893">
      <c r="A14893" s="39">
        <f>_xlfn.XLOOKUP(82115,Trip[shape_id],Trip[shape_id],"Não encontrado")</f>
        <v/>
      </c>
      <c r="B14893" s="40" t="n">
        <v>-23.570938</v>
      </c>
      <c r="C14893" s="40" t="n">
        <v>-46.538579</v>
      </c>
      <c r="D14893" s="40" t="n">
        <v>218</v>
      </c>
      <c r="E14893" s="41" t="n">
        <v>7544.4839</v>
      </c>
    </row>
    <row r="14894">
      <c r="A14894" s="42">
        <f>_xlfn.XLOOKUP(82115,Trip[shape_id],Trip[shape_id],"Não encontrado")</f>
        <v/>
      </c>
      <c r="B14894" s="43" t="n">
        <v>-23.571126</v>
      </c>
      <c r="C14894" s="43" t="n">
        <v>-46.538052</v>
      </c>
      <c r="D14894" s="43" t="n">
        <v>219</v>
      </c>
      <c r="E14894" s="44" t="n">
        <v>7581.6904</v>
      </c>
    </row>
    <row r="14895">
      <c r="A14895" s="39">
        <f>_xlfn.XLOOKUP(82115,Trip[shape_id],Trip[shape_id],"Não encontrado")</f>
        <v/>
      </c>
      <c r="B14895" s="40" t="n">
        <v>-23.571247</v>
      </c>
      <c r="C14895" s="40" t="n">
        <v>-46.537712</v>
      </c>
      <c r="D14895" s="40" t="n">
        <v>220</v>
      </c>
      <c r="E14895" s="41" t="n">
        <v>7623.0405</v>
      </c>
    </row>
    <row r="14896">
      <c r="A14896" s="42">
        <f>_xlfn.XLOOKUP(82115,Trip[shape_id],Trip[shape_id],"Não encontrado")</f>
        <v/>
      </c>
      <c r="B14896" s="43" t="n">
        <v>-23.571403</v>
      </c>
      <c r="C14896" s="43" t="n">
        <v>-46.537344</v>
      </c>
      <c r="D14896" s="43" t="n">
        <v>221</v>
      </c>
      <c r="E14896" s="44" t="n">
        <v>7623.0405</v>
      </c>
    </row>
    <row r="14897">
      <c r="A14897" s="39">
        <f>_xlfn.XLOOKUP(82115,Trip[shape_id],Trip[shape_id],"Não encontrado")</f>
        <v/>
      </c>
      <c r="B14897" s="40" t="n">
        <v>-23.571564</v>
      </c>
      <c r="C14897" s="40" t="n">
        <v>-46.53696</v>
      </c>
      <c r="D14897" s="40" t="n">
        <v>222</v>
      </c>
      <c r="E14897" s="41" t="n">
        <v>7666.1064</v>
      </c>
    </row>
    <row r="14898">
      <c r="A14898" s="42">
        <f>_xlfn.XLOOKUP(82115,Trip[shape_id],Trip[shape_id],"Não encontrado")</f>
        <v/>
      </c>
      <c r="B14898" s="43" t="n">
        <v>-23.571741</v>
      </c>
      <c r="C14898" s="43" t="n">
        <v>-46.536594</v>
      </c>
      <c r="D14898" s="43" t="n">
        <v>223</v>
      </c>
      <c r="E14898" s="44" t="n">
        <v>7708.3003</v>
      </c>
    </row>
    <row r="14899">
      <c r="A14899" s="39">
        <f>_xlfn.XLOOKUP(82115,Trip[shape_id],Trip[shape_id],"Não encontrado")</f>
        <v/>
      </c>
      <c r="B14899" s="40" t="n">
        <v>-23.572661</v>
      </c>
      <c r="C14899" s="40" t="n">
        <v>-46.534615</v>
      </c>
      <c r="D14899" s="40" t="n">
        <v>224</v>
      </c>
      <c r="E14899" s="41" t="n">
        <v>7934.5674</v>
      </c>
    </row>
    <row r="14900">
      <c r="A14900" s="42">
        <f>_xlfn.XLOOKUP(82115,Trip[shape_id],Trip[shape_id],"Não encontrado")</f>
        <v/>
      </c>
      <c r="B14900" s="43" t="n">
        <v>-23.572746</v>
      </c>
      <c r="C14900" s="43" t="n">
        <v>-46.53444</v>
      </c>
      <c r="D14900" s="43" t="n">
        <v>225</v>
      </c>
      <c r="E14900" s="44" t="n">
        <v>7981.9727</v>
      </c>
    </row>
    <row r="14901">
      <c r="A14901" s="39">
        <f>_xlfn.XLOOKUP(82115,Trip[shape_id],Trip[shape_id],"Não encontrado")</f>
        <v/>
      </c>
      <c r="B14901" s="40" t="n">
        <v>-23.572847</v>
      </c>
      <c r="C14901" s="40" t="n">
        <v>-46.534197</v>
      </c>
      <c r="D14901" s="40" t="n">
        <v>226</v>
      </c>
      <c r="E14901" s="41" t="n">
        <v>7989.9492</v>
      </c>
    </row>
    <row r="14902">
      <c r="A14902" s="42">
        <f>_xlfn.XLOOKUP(82115,Trip[shape_id],Trip[shape_id],"Não encontrado")</f>
        <v/>
      </c>
      <c r="B14902" s="43" t="n">
        <v>-23.572879</v>
      </c>
      <c r="C14902" s="43" t="n">
        <v>-46.534127</v>
      </c>
      <c r="D14902" s="43" t="n">
        <v>227</v>
      </c>
      <c r="E14902" s="44" t="n">
        <v>8003.6655</v>
      </c>
    </row>
    <row r="14903">
      <c r="A14903" s="39">
        <f>_xlfn.XLOOKUP(82115,Trip[shape_id],Trip[shape_id],"Não encontrado")</f>
        <v/>
      </c>
      <c r="B14903" s="40" t="n">
        <v>-23.572922</v>
      </c>
      <c r="C14903" s="40" t="n">
        <v>-46.534001</v>
      </c>
      <c r="D14903" s="40" t="n">
        <v>228</v>
      </c>
      <c r="E14903" s="41" t="n">
        <v>8013.3413</v>
      </c>
    </row>
    <row r="14904">
      <c r="A14904" s="42">
        <f>_xlfn.XLOOKUP(82115,Trip[shape_id],Trip[shape_id],"Não encontrado")</f>
        <v/>
      </c>
      <c r="B14904" s="43" t="n">
        <v>-23.572943</v>
      </c>
      <c r="C14904" s="43" t="n">
        <v>-46.533909</v>
      </c>
      <c r="D14904" s="43" t="n">
        <v>229</v>
      </c>
      <c r="E14904" s="44" t="n">
        <v>8013.3413</v>
      </c>
    </row>
    <row r="14905">
      <c r="A14905" s="39">
        <f>_xlfn.XLOOKUP(82115,Trip[shape_id],Trip[shape_id],"Não encontrado")</f>
        <v/>
      </c>
      <c r="B14905" s="40" t="n">
        <v>-23.572972</v>
      </c>
      <c r="C14905" s="40" t="n">
        <v>-46.533783</v>
      </c>
      <c r="D14905" s="40" t="n">
        <v>230</v>
      </c>
      <c r="E14905" s="41" t="n">
        <v>8045.5132</v>
      </c>
    </row>
    <row r="14906">
      <c r="A14906" s="42">
        <f>_xlfn.XLOOKUP(82115,Trip[shape_id],Trip[shape_id],"Não encontrado")</f>
        <v/>
      </c>
      <c r="B14906" s="43" t="n">
        <v>-23.573004</v>
      </c>
      <c r="C14906" s="43" t="n">
        <v>-46.533601</v>
      </c>
      <c r="D14906" s="43" t="n">
        <v>231</v>
      </c>
      <c r="E14906" s="44" t="n">
        <v>8066.4639</v>
      </c>
    </row>
    <row r="14907">
      <c r="A14907" s="39">
        <f>_xlfn.XLOOKUP(82115,Trip[shape_id],Trip[shape_id],"Não encontrado")</f>
        <v/>
      </c>
      <c r="B14907" s="40" t="n">
        <v>-23.573013</v>
      </c>
      <c r="C14907" s="40" t="n">
        <v>-46.533396</v>
      </c>
      <c r="D14907" s="40" t="n">
        <v>232</v>
      </c>
      <c r="E14907" s="41" t="n">
        <v>8076.0605</v>
      </c>
    </row>
    <row r="14908">
      <c r="A14908" s="42">
        <f>_xlfn.XLOOKUP(82115,Trip[shape_id],Trip[shape_id],"Não encontrado")</f>
        <v/>
      </c>
      <c r="B14908" s="43" t="n">
        <v>-23.573014</v>
      </c>
      <c r="C14908" s="43" t="n">
        <v>-46.533302</v>
      </c>
      <c r="D14908" s="43" t="n">
        <v>233</v>
      </c>
      <c r="E14908" s="44" t="n">
        <v>8076.0605</v>
      </c>
    </row>
    <row r="14909">
      <c r="A14909" s="39">
        <f>_xlfn.XLOOKUP(82115,Trip[shape_id],Trip[shape_id],"Não encontrado")</f>
        <v/>
      </c>
      <c r="B14909" s="40" t="n">
        <v>-23.573014</v>
      </c>
      <c r="C14909" s="40" t="n">
        <v>-46.533172</v>
      </c>
      <c r="D14909" s="40" t="n">
        <v>234</v>
      </c>
      <c r="E14909" s="41" t="n">
        <v>8094.9561</v>
      </c>
    </row>
    <row r="14910">
      <c r="A14910" s="42">
        <f>_xlfn.XLOOKUP(82115,Trip[shape_id],Trip[shape_id],"Não encontrado")</f>
        <v/>
      </c>
      <c r="B14910" s="43" t="n">
        <v>-23.573011</v>
      </c>
      <c r="C14910" s="43" t="n">
        <v>-46.533117</v>
      </c>
      <c r="D14910" s="43" t="n">
        <v>235</v>
      </c>
      <c r="E14910" s="44" t="n">
        <v>8094.9561</v>
      </c>
    </row>
    <row r="14911">
      <c r="A14911" s="39">
        <f>_xlfn.XLOOKUP(82115,Trip[shape_id],Trip[shape_id],"Não encontrado")</f>
        <v/>
      </c>
      <c r="B14911" s="40" t="n">
        <v>-23.573027</v>
      </c>
      <c r="C14911" s="40" t="n">
        <v>-46.5331</v>
      </c>
      <c r="D14911" s="40" t="n">
        <v>236</v>
      </c>
      <c r="E14911" s="41" t="n">
        <v>8097.438</v>
      </c>
    </row>
    <row r="14912">
      <c r="A14912" s="42">
        <f>_xlfn.XLOOKUP(82115,Trip[shape_id],Trip[shape_id],"Não encontrado")</f>
        <v/>
      </c>
      <c r="B14912" s="43" t="n">
        <v>-23.573135</v>
      </c>
      <c r="C14912" s="43" t="n">
        <v>-46.533063</v>
      </c>
      <c r="D14912" s="43" t="n">
        <v>237</v>
      </c>
      <c r="E14912" s="44" t="n">
        <v>8109.9814</v>
      </c>
    </row>
    <row r="14913">
      <c r="A14913" s="39">
        <f>_xlfn.XLOOKUP(82115,Trip[shape_id],Trip[shape_id],"Não encontrado")</f>
        <v/>
      </c>
      <c r="B14913" s="40" t="n">
        <v>-23.573203</v>
      </c>
      <c r="C14913" s="40" t="n">
        <v>-46.533041</v>
      </c>
      <c r="D14913" s="40" t="n">
        <v>238</v>
      </c>
      <c r="E14913" s="41" t="n">
        <v>8117.8398</v>
      </c>
    </row>
    <row r="14914">
      <c r="A14914" s="42">
        <f>_xlfn.XLOOKUP(82115,Trip[shape_id],Trip[shape_id],"Não encontrado")</f>
        <v/>
      </c>
      <c r="B14914" s="43" t="n">
        <v>-23.573272</v>
      </c>
      <c r="C14914" s="43" t="n">
        <v>-46.53303</v>
      </c>
      <c r="D14914" s="43" t="n">
        <v>239</v>
      </c>
      <c r="E14914" s="44" t="n">
        <v>8125.5645</v>
      </c>
    </row>
    <row r="14915">
      <c r="A14915" s="39">
        <f>_xlfn.XLOOKUP(82115,Trip[shape_id],Trip[shape_id],"Não encontrado")</f>
        <v/>
      </c>
      <c r="B14915" s="40" t="n">
        <v>-23.573301</v>
      </c>
      <c r="C14915" s="40" t="n">
        <v>-46.533026</v>
      </c>
      <c r="D14915" s="40" t="n">
        <v>240</v>
      </c>
      <c r="E14915" s="41" t="n">
        <v>8128.8008</v>
      </c>
    </row>
    <row r="14916">
      <c r="A14916" s="42">
        <f>_xlfn.XLOOKUP(82115,Trip[shape_id],Trip[shape_id],"Não encontrado")</f>
        <v/>
      </c>
      <c r="B14916" s="43" t="n">
        <v>-23.573427</v>
      </c>
      <c r="C14916" s="43" t="n">
        <v>-46.533047</v>
      </c>
      <c r="D14916" s="43" t="n">
        <v>241</v>
      </c>
      <c r="E14916" s="44" t="n">
        <v>8142.9194</v>
      </c>
    </row>
    <row r="14917">
      <c r="A14917" s="39">
        <f>_xlfn.XLOOKUP(82115,Trip[shape_id],Trip[shape_id],"Não encontrado")</f>
        <v/>
      </c>
      <c r="B14917" s="40" t="n">
        <v>-23.573507</v>
      </c>
      <c r="C14917" s="40" t="n">
        <v>-46.533073</v>
      </c>
      <c r="D14917" s="40" t="n">
        <v>242</v>
      </c>
      <c r="E14917" s="41" t="n">
        <v>8152.1685</v>
      </c>
    </row>
    <row r="14918">
      <c r="A14918" s="42">
        <f>_xlfn.XLOOKUP(82115,Trip[shape_id],Trip[shape_id],"Não encontrado")</f>
        <v/>
      </c>
      <c r="B14918" s="43" t="n">
        <v>-23.573579</v>
      </c>
      <c r="C14918" s="43" t="n">
        <v>-46.533105</v>
      </c>
      <c r="D14918" s="43" t="n">
        <v>243</v>
      </c>
      <c r="E14918" s="44" t="n">
        <v>8160.7856</v>
      </c>
    </row>
    <row r="14919">
      <c r="A14919" s="39">
        <f>_xlfn.XLOOKUP(82115,Trip[shape_id],Trip[shape_id],"Não encontrado")</f>
        <v/>
      </c>
      <c r="B14919" s="40" t="n">
        <v>-23.573807</v>
      </c>
      <c r="C14919" s="40" t="n">
        <v>-46.533232</v>
      </c>
      <c r="D14919" s="40" t="n">
        <v>244</v>
      </c>
      <c r="E14919" s="41" t="n">
        <v>8189.1709</v>
      </c>
    </row>
    <row r="14920">
      <c r="A14920" s="42">
        <f>_xlfn.XLOOKUP(82115,Trip[shape_id],Trip[shape_id],"Não encontrado")</f>
        <v/>
      </c>
      <c r="B14920" s="43" t="n">
        <v>-23.574419</v>
      </c>
      <c r="C14920" s="43" t="n">
        <v>-46.533625</v>
      </c>
      <c r="D14920" s="43" t="n">
        <v>245</v>
      </c>
      <c r="E14920" s="44" t="n">
        <v>8267.934600000001</v>
      </c>
    </row>
    <row r="14921">
      <c r="A14921" s="39">
        <f>_xlfn.XLOOKUP(82115,Trip[shape_id],Trip[shape_id],"Não encontrado")</f>
        <v/>
      </c>
      <c r="B14921" s="40" t="n">
        <v>-23.574502</v>
      </c>
      <c r="C14921" s="40" t="n">
        <v>-46.533677</v>
      </c>
      <c r="D14921" s="40" t="n">
        <v>246</v>
      </c>
      <c r="E14921" s="41" t="n">
        <v>8278.549800000001</v>
      </c>
    </row>
    <row r="14922">
      <c r="A14922" s="42">
        <f>_xlfn.XLOOKUP(82115,Trip[shape_id],Trip[shape_id],"Não encontrado")</f>
        <v/>
      </c>
      <c r="B14922" s="43" t="n">
        <v>-23.574589</v>
      </c>
      <c r="C14922" s="43" t="n">
        <v>-46.533692</v>
      </c>
      <c r="D14922" s="43" t="n">
        <v>247</v>
      </c>
      <c r="E14922" s="44" t="n">
        <v>8288.3066</v>
      </c>
    </row>
    <row r="14923">
      <c r="A14923" s="39">
        <f>_xlfn.XLOOKUP(82115,Trip[shape_id],Trip[shape_id],"Não encontrado")</f>
        <v/>
      </c>
      <c r="B14923" s="40" t="n">
        <v>-23.574625</v>
      </c>
      <c r="C14923" s="40" t="n">
        <v>-46.533685</v>
      </c>
      <c r="D14923" s="40" t="n">
        <v>248</v>
      </c>
      <c r="E14923" s="41" t="n">
        <v>8292.356400000001</v>
      </c>
    </row>
    <row r="14924">
      <c r="A14924" s="42">
        <f>_xlfn.XLOOKUP(82115,Trip[shape_id],Trip[shape_id],"Não encontrado")</f>
        <v/>
      </c>
      <c r="B14924" s="43" t="n">
        <v>-23.574651</v>
      </c>
      <c r="C14924" s="43" t="n">
        <v>-46.533668</v>
      </c>
      <c r="D14924" s="43" t="n">
        <v>249</v>
      </c>
      <c r="E14924" s="44" t="n">
        <v>8301.045899999999</v>
      </c>
    </row>
    <row r="14925">
      <c r="A14925" s="39">
        <f>_xlfn.XLOOKUP(82115,Trip[shape_id],Trip[shape_id],"Não encontrado")</f>
        <v/>
      </c>
      <c r="B14925" s="40" t="n">
        <v>-23.574689</v>
      </c>
      <c r="C14925" s="40" t="n">
        <v>-46.533636</v>
      </c>
      <c r="D14925" s="40" t="n">
        <v>250</v>
      </c>
      <c r="E14925" s="41" t="n">
        <v>8314.296899999999</v>
      </c>
    </row>
    <row r="14926">
      <c r="A14926" s="42">
        <f>_xlfn.XLOOKUP(82115,Trip[shape_id],Trip[shape_id],"Não encontrado")</f>
        <v/>
      </c>
      <c r="B14926" s="43" t="n">
        <v>-23.574763</v>
      </c>
      <c r="C14926" s="43" t="n">
        <v>-46.533534</v>
      </c>
      <c r="D14926" s="43" t="n">
        <v>251</v>
      </c>
      <c r="E14926" s="44" t="n">
        <v>8328.856400000001</v>
      </c>
    </row>
    <row r="14927">
      <c r="A14927" s="39">
        <f>_xlfn.XLOOKUP(82115,Trip[shape_id],Trip[shape_id],"Não encontrado")</f>
        <v/>
      </c>
      <c r="B14927" s="40" t="n">
        <v>-23.574842</v>
      </c>
      <c r="C14927" s="40" t="n">
        <v>-46.53342</v>
      </c>
      <c r="D14927" s="40" t="n">
        <v>252</v>
      </c>
      <c r="E14927" s="41" t="n">
        <v>8340.368200000001</v>
      </c>
    </row>
    <row r="14928">
      <c r="A14928" s="42">
        <f>_xlfn.XLOOKUP(82115,Trip[shape_id],Trip[shape_id],"Não encontrado")</f>
        <v/>
      </c>
      <c r="B14928" s="43" t="n">
        <v>-23.574898</v>
      </c>
      <c r="C14928" s="43" t="n">
        <v>-46.533325</v>
      </c>
      <c r="D14928" s="43" t="n">
        <v>253</v>
      </c>
      <c r="E14928" s="44" t="n">
        <v>8340.368200000001</v>
      </c>
    </row>
    <row r="14929">
      <c r="A14929" s="39">
        <f>_xlfn.XLOOKUP(82115,Trip[shape_id],Trip[shape_id],"Não encontrado")</f>
        <v/>
      </c>
      <c r="B14929" s="40" t="n">
        <v>-23.575011</v>
      </c>
      <c r="C14929" s="40" t="n">
        <v>-46.533036</v>
      </c>
      <c r="D14929" s="40" t="n">
        <v>254</v>
      </c>
      <c r="E14929" s="41" t="n">
        <v>8400.2646</v>
      </c>
    </row>
    <row r="14930">
      <c r="A14930" s="42">
        <f>_xlfn.XLOOKUP(82115,Trip[shape_id],Trip[shape_id],"Não encontrado")</f>
        <v/>
      </c>
      <c r="B14930" s="43" t="n">
        <v>-23.57509</v>
      </c>
      <c r="C14930" s="43" t="n">
        <v>-46.532777</v>
      </c>
      <c r="D14930" s="43" t="n">
        <v>255</v>
      </c>
      <c r="E14930" s="44" t="n">
        <v>8400.2646</v>
      </c>
    </row>
    <row r="14931">
      <c r="A14931" s="39">
        <f>_xlfn.XLOOKUP(82115,Trip[shape_id],Trip[shape_id],"Não encontrado")</f>
        <v/>
      </c>
      <c r="B14931" s="40" t="n">
        <v>-23.575192</v>
      </c>
      <c r="C14931" s="40" t="n">
        <v>-46.532471</v>
      </c>
      <c r="D14931" s="40" t="n">
        <v>256</v>
      </c>
      <c r="E14931" s="41" t="n">
        <v>8467.988300000001</v>
      </c>
    </row>
    <row r="14932">
      <c r="A14932" s="42">
        <f>_xlfn.XLOOKUP(82115,Trip[shape_id],Trip[shape_id],"Não encontrado")</f>
        <v/>
      </c>
      <c r="B14932" s="43" t="n">
        <v>-23.575305</v>
      </c>
      <c r="C14932" s="43" t="n">
        <v>-46.532156</v>
      </c>
      <c r="D14932" s="43" t="n">
        <v>257</v>
      </c>
      <c r="E14932" s="44" t="n">
        <v>8511.734399999999</v>
      </c>
    </row>
    <row r="14933">
      <c r="A14933" s="39">
        <f>_xlfn.XLOOKUP(82115,Trip[shape_id],Trip[shape_id],"Não encontrado")</f>
        <v/>
      </c>
      <c r="B14933" s="40" t="n">
        <v>-23.575407</v>
      </c>
      <c r="C14933" s="40" t="n">
        <v>-46.531742</v>
      </c>
      <c r="D14933" s="40" t="n">
        <v>258</v>
      </c>
      <c r="E14933" s="41" t="n">
        <v>8511.734399999999</v>
      </c>
    </row>
    <row r="14934">
      <c r="A14934" s="42">
        <f>_xlfn.XLOOKUP(82115,Trip[shape_id],Trip[shape_id],"Não encontrado")</f>
        <v/>
      </c>
      <c r="B14934" s="43" t="n">
        <v>-23.575434</v>
      </c>
      <c r="C14934" s="43" t="n">
        <v>-46.531655</v>
      </c>
      <c r="D14934" s="43" t="n">
        <v>259</v>
      </c>
      <c r="E14934" s="44" t="n">
        <v>8552.291999999999</v>
      </c>
    </row>
    <row r="14935">
      <c r="A14935" s="39">
        <f>_xlfn.XLOOKUP(82115,Trip[shape_id],Trip[shape_id],"Não encontrado")</f>
        <v/>
      </c>
      <c r="B14935" s="40" t="n">
        <v>-23.575533</v>
      </c>
      <c r="C14935" s="40" t="n">
        <v>-46.531369</v>
      </c>
      <c r="D14935" s="40" t="n">
        <v>260</v>
      </c>
      <c r="E14935" s="41" t="n">
        <v>8565.1914</v>
      </c>
    </row>
    <row r="14936">
      <c r="A14936" s="42">
        <f>_xlfn.XLOOKUP(82115,Trip[shape_id],Trip[shape_id],"Não encontrado")</f>
        <v/>
      </c>
      <c r="B14936" s="43" t="n">
        <v>-23.575577</v>
      </c>
      <c r="C14936" s="43" t="n">
        <v>-46.531252</v>
      </c>
      <c r="D14936" s="43" t="n">
        <v>261</v>
      </c>
      <c r="E14936" s="44" t="n">
        <v>8574.614299999999</v>
      </c>
    </row>
    <row r="14937">
      <c r="A14937" s="39">
        <f>_xlfn.XLOOKUP(82115,Trip[shape_id],Trip[shape_id],"Não encontrado")</f>
        <v/>
      </c>
      <c r="B14937" s="40" t="n">
        <v>-23.575621</v>
      </c>
      <c r="C14937" s="40" t="n">
        <v>-46.531173</v>
      </c>
      <c r="D14937" s="40" t="n">
        <v>262</v>
      </c>
      <c r="E14937" s="41" t="n">
        <v>8582.386699999999</v>
      </c>
    </row>
    <row r="14938">
      <c r="A14938" s="42">
        <f>_xlfn.XLOOKUP(82115,Trip[shape_id],Trip[shape_id],"Não encontrado")</f>
        <v/>
      </c>
      <c r="B14938" s="43" t="n">
        <v>-23.575663</v>
      </c>
      <c r="C14938" s="43" t="n">
        <v>-46.531112</v>
      </c>
      <c r="D14938" s="43" t="n">
        <v>263</v>
      </c>
      <c r="E14938" s="44" t="n">
        <v>8582.386699999999</v>
      </c>
    </row>
    <row r="14939">
      <c r="A14939" s="39">
        <f>_xlfn.XLOOKUP(82115,Trip[shape_id],Trip[shape_id],"Não encontrado")</f>
        <v/>
      </c>
      <c r="B14939" s="40" t="n">
        <v>-23.575862</v>
      </c>
      <c r="C14939" s="40" t="n">
        <v>-46.530734</v>
      </c>
      <c r="D14939" s="40" t="n">
        <v>264</v>
      </c>
      <c r="E14939" s="41" t="n">
        <v>8635.3662</v>
      </c>
    </row>
    <row r="14940">
      <c r="A14940" s="42">
        <f>_xlfn.XLOOKUP(82115,Trip[shape_id],Trip[shape_id],"Não encontrado")</f>
        <v/>
      </c>
      <c r="B14940" s="43" t="n">
        <v>-23.575898</v>
      </c>
      <c r="C14940" s="43" t="n">
        <v>-46.53066</v>
      </c>
      <c r="D14940" s="43" t="n">
        <v>265</v>
      </c>
      <c r="E14940" s="44" t="n">
        <v>8644.4473</v>
      </c>
    </row>
    <row r="14941">
      <c r="A14941" s="39">
        <f>_xlfn.XLOOKUP(82115,Trip[shape_id],Trip[shape_id],"Não encontrado")</f>
        <v/>
      </c>
      <c r="B14941" s="40" t="n">
        <v>-23.575925</v>
      </c>
      <c r="C14941" s="40" t="n">
        <v>-46.530576</v>
      </c>
      <c r="D14941" s="40" t="n">
        <v>266</v>
      </c>
      <c r="E14941" s="41" t="n">
        <v>8653.3027</v>
      </c>
    </row>
    <row r="14942">
      <c r="A14942" s="42">
        <f>_xlfn.XLOOKUP(82115,Trip[shape_id],Trip[shape_id],"Não encontrado")</f>
        <v/>
      </c>
      <c r="B14942" s="43" t="n">
        <v>-23.575941</v>
      </c>
      <c r="C14942" s="43" t="n">
        <v>-46.530491</v>
      </c>
      <c r="D14942" s="43" t="n">
        <v>267</v>
      </c>
      <c r="E14942" s="44" t="n">
        <v>8693.459000000001</v>
      </c>
    </row>
    <row r="14943">
      <c r="A14943" s="39">
        <f>_xlfn.XLOOKUP(82115,Trip[shape_id],Trip[shape_id],"Não encontrado")</f>
        <v/>
      </c>
      <c r="B14943" s="40" t="n">
        <v>-23.576006</v>
      </c>
      <c r="C14943" s="40" t="n">
        <v>-46.530104</v>
      </c>
      <c r="D14943" s="40" t="n">
        <v>268</v>
      </c>
      <c r="E14943" s="41" t="n">
        <v>8723.728499999999</v>
      </c>
    </row>
    <row r="14944">
      <c r="A14944" s="42">
        <f>_xlfn.XLOOKUP(82115,Trip[shape_id],Trip[shape_id],"Não encontrado")</f>
        <v/>
      </c>
      <c r="B14944" s="43" t="n">
        <v>-23.576063</v>
      </c>
      <c r="C14944" s="43" t="n">
        <v>-46.529814</v>
      </c>
      <c r="D14944" s="43" t="n">
        <v>269</v>
      </c>
      <c r="E14944" s="44" t="n">
        <v>8723.728499999999</v>
      </c>
    </row>
    <row r="14945">
      <c r="A14945" s="39">
        <f>_xlfn.XLOOKUP(82115,Trip[shape_id],Trip[shape_id],"Não encontrado")</f>
        <v/>
      </c>
      <c r="B14945" s="40" t="n">
        <v>-23.576141</v>
      </c>
      <c r="C14945" s="40" t="n">
        <v>-46.529385</v>
      </c>
      <c r="D14945" s="40" t="n">
        <v>270</v>
      </c>
      <c r="E14945" s="41" t="n">
        <v>8768.3652</v>
      </c>
    </row>
    <row r="14946">
      <c r="A14946" s="42">
        <f>_xlfn.XLOOKUP(82115,Trip[shape_id],Trip[shape_id],"Não encontrado")</f>
        <v/>
      </c>
      <c r="B14946" s="43" t="n">
        <v>-23.576146</v>
      </c>
      <c r="C14946" s="43" t="n">
        <v>-46.529305</v>
      </c>
      <c r="D14946" s="43" t="n">
        <v>271</v>
      </c>
      <c r="E14946" s="44" t="n">
        <v>8782.781300000001</v>
      </c>
    </row>
    <row r="14947">
      <c r="A14947" s="39">
        <f>_xlfn.XLOOKUP(82115,Trip[shape_id],Trip[shape_id],"Não encontrado")</f>
        <v/>
      </c>
      <c r="B14947" s="40" t="n">
        <v>-23.576144</v>
      </c>
      <c r="C14947" s="40" t="n">
        <v>-46.529244</v>
      </c>
      <c r="D14947" s="40" t="n">
        <v>272</v>
      </c>
      <c r="E14947" s="41" t="n">
        <v>8790.488300000001</v>
      </c>
    </row>
    <row r="14948">
      <c r="A14948" s="42">
        <f>_xlfn.XLOOKUP(82115,Trip[shape_id],Trip[shape_id],"Não encontrado")</f>
        <v/>
      </c>
      <c r="B14948" s="43" t="n">
        <v>-23.576136</v>
      </c>
      <c r="C14948" s="43" t="n">
        <v>-46.529169</v>
      </c>
      <c r="D14948" s="43" t="n">
        <v>273</v>
      </c>
      <c r="E14948" s="44" t="n">
        <v>8798.7012</v>
      </c>
    </row>
    <row r="14949">
      <c r="A14949" s="39">
        <f>_xlfn.XLOOKUP(82115,Trip[shape_id],Trip[shape_id],"Não encontrado")</f>
        <v/>
      </c>
      <c r="B14949" s="40" t="n">
        <v>-23.576122</v>
      </c>
      <c r="C14949" s="40" t="n">
        <v>-46.52909</v>
      </c>
      <c r="D14949" s="40" t="n">
        <v>274</v>
      </c>
      <c r="E14949" s="41" t="n">
        <v>8798.7012</v>
      </c>
    </row>
    <row r="14950">
      <c r="A14950" s="42">
        <f>_xlfn.XLOOKUP(82115,Trip[shape_id],Trip[shape_id],"Não encontrado")</f>
        <v/>
      </c>
      <c r="B14950" s="43" t="n">
        <v>-23.576083</v>
      </c>
      <c r="C14950" s="43" t="n">
        <v>-46.528929</v>
      </c>
      <c r="D14950" s="43" t="n">
        <v>275</v>
      </c>
      <c r="E14950" s="44" t="n">
        <v>8832.6729</v>
      </c>
    </row>
    <row r="14951">
      <c r="A14951" s="39">
        <f>_xlfn.XLOOKUP(82115,Trip[shape_id],Trip[shape_id],"Não encontrado")</f>
        <v/>
      </c>
      <c r="B14951" s="40" t="n">
        <v>-23.576038</v>
      </c>
      <c r="C14951" s="40" t="n">
        <v>-46.52877</v>
      </c>
      <c r="D14951" s="40" t="n">
        <v>276</v>
      </c>
      <c r="E14951" s="41" t="n">
        <v>8832.6729</v>
      </c>
    </row>
    <row r="14952">
      <c r="A14952" s="42">
        <f>_xlfn.XLOOKUP(82115,Trip[shape_id],Trip[shape_id],"Não encontrado")</f>
        <v/>
      </c>
      <c r="B14952" s="43" t="n">
        <v>-23.576184</v>
      </c>
      <c r="C14952" s="43" t="n">
        <v>-46.528231</v>
      </c>
      <c r="D14952" s="43" t="n">
        <v>277</v>
      </c>
      <c r="E14952" s="44" t="n">
        <v>8890.021500000001</v>
      </c>
    </row>
    <row r="14953">
      <c r="A14953" s="39">
        <f>_xlfn.XLOOKUP(82115,Trip[shape_id],Trip[shape_id],"Não encontrado")</f>
        <v/>
      </c>
      <c r="B14953" s="40" t="n">
        <v>-23.576409</v>
      </c>
      <c r="C14953" s="40" t="n">
        <v>-46.527386</v>
      </c>
      <c r="D14953" s="40" t="n">
        <v>278</v>
      </c>
      <c r="E14953" s="41" t="n">
        <v>8979.8086</v>
      </c>
    </row>
    <row r="14954">
      <c r="A14954" s="42">
        <f>_xlfn.XLOOKUP(82115,Trip[shape_id],Trip[shape_id],"Não encontrado")</f>
        <v/>
      </c>
      <c r="B14954" s="43" t="n">
        <v>-23.576461</v>
      </c>
      <c r="C14954" s="43" t="n">
        <v>-46.52717</v>
      </c>
      <c r="D14954" s="43" t="n">
        <v>279</v>
      </c>
      <c r="E14954" s="44" t="n">
        <v>9023.3799</v>
      </c>
    </row>
    <row r="14955">
      <c r="A14955" s="39">
        <f>_xlfn.XLOOKUP(82115,Trip[shape_id],Trip[shape_id],"Não encontrado")</f>
        <v/>
      </c>
      <c r="B14955" s="40" t="n">
        <v>-23.576533</v>
      </c>
      <c r="C14955" s="40" t="n">
        <v>-46.526982</v>
      </c>
      <c r="D14955" s="40" t="n">
        <v>280</v>
      </c>
      <c r="E14955" s="41" t="n">
        <v>9055.5293</v>
      </c>
    </row>
    <row r="14956">
      <c r="A14956" s="42">
        <f>_xlfn.XLOOKUP(82115,Trip[shape_id],Trip[shape_id],"Não encontrado")</f>
        <v/>
      </c>
      <c r="B14956" s="43" t="n">
        <v>-23.576644</v>
      </c>
      <c r="C14956" s="43" t="n">
        <v>-46.526691</v>
      </c>
      <c r="D14956" s="43" t="n">
        <v>281</v>
      </c>
      <c r="E14956" s="44" t="n">
        <v>9094.180700000001</v>
      </c>
    </row>
    <row r="14957">
      <c r="A14957" s="39">
        <f>_xlfn.XLOOKUP(82115,Trip[shape_id],Trip[shape_id],"Não encontrado")</f>
        <v/>
      </c>
      <c r="B14957" s="40" t="n">
        <v>-23.576832</v>
      </c>
      <c r="C14957" s="40" t="n">
        <v>-46.526372</v>
      </c>
      <c r="D14957" s="40" t="n">
        <v>282</v>
      </c>
      <c r="E14957" s="41" t="n">
        <v>9141.502899999999</v>
      </c>
    </row>
    <row r="14958">
      <c r="A14958" s="42">
        <f>_xlfn.XLOOKUP(82115,Trip[shape_id],Trip[shape_id],"Não encontrado")</f>
        <v/>
      </c>
      <c r="B14958" s="43" t="n">
        <v>-23.57707</v>
      </c>
      <c r="C14958" s="43" t="n">
        <v>-46.525987</v>
      </c>
      <c r="D14958" s="43" t="n">
        <v>283</v>
      </c>
      <c r="E14958" s="44" t="n">
        <v>9162.0771</v>
      </c>
    </row>
    <row r="14959">
      <c r="A14959" s="39">
        <f>_xlfn.XLOOKUP(82115,Trip[shape_id],Trip[shape_id],"Não encontrado")</f>
        <v/>
      </c>
      <c r="B14959" s="40" t="n">
        <v>-23.577174</v>
      </c>
      <c r="C14959" s="40" t="n">
        <v>-46.52582</v>
      </c>
      <c r="D14959" s="40" t="n">
        <v>284</v>
      </c>
      <c r="E14959" s="41" t="n">
        <v>9162.0771</v>
      </c>
    </row>
    <row r="14960">
      <c r="A14960" s="42">
        <f>_xlfn.XLOOKUP(82115,Trip[shape_id],Trip[shape_id],"Não encontrado")</f>
        <v/>
      </c>
      <c r="B14960" s="43" t="n">
        <v>-23.577445</v>
      </c>
      <c r="C14960" s="43" t="n">
        <v>-46.525368</v>
      </c>
      <c r="D14960" s="43" t="n">
        <v>285</v>
      </c>
      <c r="E14960" s="44" t="n">
        <v>9217.1211</v>
      </c>
    </row>
    <row r="14961">
      <c r="A14961" s="39">
        <f>_xlfn.XLOOKUP(82115,Trip[shape_id],Trip[shape_id],"Não encontrado")</f>
        <v/>
      </c>
      <c r="B14961" s="40" t="n">
        <v>-23.577567</v>
      </c>
      <c r="C14961" s="40" t="n">
        <v>-46.52496</v>
      </c>
      <c r="D14961" s="40" t="n">
        <v>286</v>
      </c>
      <c r="E14961" s="41" t="n">
        <v>9260.9072</v>
      </c>
    </row>
    <row r="14962">
      <c r="A14962" s="42">
        <f>_xlfn.XLOOKUP(82115,Trip[shape_id],Trip[shape_id],"Não encontrado")</f>
        <v/>
      </c>
      <c r="B14962" s="43" t="n">
        <v>-23.577448</v>
      </c>
      <c r="C14962" s="43" t="n">
        <v>-46.524801</v>
      </c>
      <c r="D14962" s="43" t="n">
        <v>287</v>
      </c>
      <c r="E14962" s="44" t="n">
        <v>9317.424800000001</v>
      </c>
    </row>
    <row r="14963">
      <c r="A14963" s="39">
        <f>_xlfn.XLOOKUP(82115,Trip[shape_id],Trip[shape_id],"Não encontrado")</f>
        <v/>
      </c>
      <c r="B14963" s="40" t="n">
        <v>-23.57724</v>
      </c>
      <c r="C14963" s="40" t="n">
        <v>-46.524535</v>
      </c>
      <c r="D14963" s="40" t="n">
        <v>288</v>
      </c>
      <c r="E14963" s="41" t="n">
        <v>9337.165000000001</v>
      </c>
    </row>
    <row r="14964">
      <c r="A14964" s="42">
        <f>_xlfn.XLOOKUP(82115,Trip[shape_id],Trip[shape_id],"Não encontrado")</f>
        <v/>
      </c>
      <c r="B14964" s="43" t="n">
        <v>-23.577131</v>
      </c>
      <c r="C14964" s="43" t="n">
        <v>-46.524382</v>
      </c>
      <c r="D14964" s="43" t="n">
        <v>289</v>
      </c>
      <c r="E14964" s="44" t="n">
        <v>9337.165000000001</v>
      </c>
    </row>
    <row r="14965">
      <c r="A14965" s="39">
        <f>_xlfn.XLOOKUP(82115,Trip[shape_id],Trip[shape_id],"Não encontrado")</f>
        <v/>
      </c>
      <c r="B14965" s="40" t="n">
        <v>-23.577051</v>
      </c>
      <c r="C14965" s="40" t="n">
        <v>-46.524211</v>
      </c>
      <c r="D14965" s="40" t="n">
        <v>290</v>
      </c>
      <c r="E14965" s="41" t="n">
        <v>9374.3105</v>
      </c>
    </row>
    <row r="14966">
      <c r="A14966" s="42">
        <f>_xlfn.XLOOKUP(82115,Trip[shape_id],Trip[shape_id],"Não encontrado")</f>
        <v/>
      </c>
      <c r="B14966" s="43" t="n">
        <v>-23.576986</v>
      </c>
      <c r="C14966" s="43" t="n">
        <v>-46.524054</v>
      </c>
      <c r="D14966" s="43" t="n">
        <v>291</v>
      </c>
      <c r="E14966" s="44" t="n">
        <v>9374.3105</v>
      </c>
    </row>
    <row r="14967">
      <c r="A14967" s="39">
        <f>_xlfn.XLOOKUP(82115,Trip[shape_id],Trip[shape_id],"Não encontrado")</f>
        <v/>
      </c>
      <c r="B14967" s="40" t="n">
        <v>-23.576915</v>
      </c>
      <c r="C14967" s="40" t="n">
        <v>-46.523853</v>
      </c>
      <c r="D14967" s="40" t="n">
        <v>292</v>
      </c>
      <c r="E14967" s="41" t="n">
        <v>9396.2842</v>
      </c>
    </row>
    <row r="14968">
      <c r="A14968" s="42">
        <f>_xlfn.XLOOKUP(82115,Trip[shape_id],Trip[shape_id],"Não encontrado")</f>
        <v/>
      </c>
      <c r="B14968" s="43" t="n">
        <v>-23.576859</v>
      </c>
      <c r="C14968" s="43" t="n">
        <v>-46.52367</v>
      </c>
      <c r="D14968" s="43" t="n">
        <v>293</v>
      </c>
      <c r="E14968" s="44" t="n">
        <v>9452.305700000001</v>
      </c>
    </row>
    <row r="14969">
      <c r="A14969" s="39">
        <f>_xlfn.XLOOKUP(82115,Trip[shape_id],Trip[shape_id],"Não encontrado")</f>
        <v/>
      </c>
      <c r="B14969" s="40" t="n">
        <v>-23.576768</v>
      </c>
      <c r="C14969" s="40" t="n">
        <v>-46.523328</v>
      </c>
      <c r="D14969" s="40" t="n">
        <v>294</v>
      </c>
      <c r="E14969" s="41" t="n">
        <v>9470.0957</v>
      </c>
    </row>
    <row r="14970">
      <c r="A14970" s="42">
        <f>_xlfn.XLOOKUP(82115,Trip[shape_id],Trip[shape_id],"Não encontrado")</f>
        <v/>
      </c>
      <c r="B14970" s="43" t="n">
        <v>-23.576737</v>
      </c>
      <c r="C14970" s="43" t="n">
        <v>-46.523157</v>
      </c>
      <c r="D14970" s="43" t="n">
        <v>295</v>
      </c>
      <c r="E14970" s="44" t="n">
        <v>9496.483399999999</v>
      </c>
    </row>
    <row r="14971">
      <c r="A14971" s="39">
        <f>_xlfn.XLOOKUP(82115,Trip[shape_id],Trip[shape_id],"Não encontrado")</f>
        <v/>
      </c>
      <c r="B14971" s="40" t="n">
        <v>-23.576704</v>
      </c>
      <c r="C14971" s="40" t="n">
        <v>-46.522901</v>
      </c>
      <c r="D14971" s="40" t="n">
        <v>296</v>
      </c>
      <c r="E14971" s="41" t="n">
        <v>9505.0762</v>
      </c>
    </row>
    <row r="14972">
      <c r="A14972" s="42">
        <f>_xlfn.XLOOKUP(82115,Trip[shape_id],Trip[shape_id],"Não encontrado")</f>
        <v/>
      </c>
      <c r="B14972" s="43" t="n">
        <v>-23.576699</v>
      </c>
      <c r="C14972" s="43" t="n">
        <v>-46.522817</v>
      </c>
      <c r="D14972" s="43" t="n">
        <v>297</v>
      </c>
      <c r="E14972" s="44" t="n">
        <v>9505.0762</v>
      </c>
    </row>
    <row r="14973">
      <c r="A14973" s="39">
        <f>_xlfn.XLOOKUP(82115,Trip[shape_id],Trip[shape_id],"Não encontrado")</f>
        <v/>
      </c>
      <c r="B14973" s="40" t="n">
        <v>-23.576692</v>
      </c>
      <c r="C14973" s="40" t="n">
        <v>-46.522718</v>
      </c>
      <c r="D14973" s="40" t="n">
        <v>298</v>
      </c>
      <c r="E14973" s="41" t="n">
        <v>9540.8428</v>
      </c>
    </row>
    <row r="14974">
      <c r="A14974" s="42">
        <f>_xlfn.XLOOKUP(82115,Trip[shape_id],Trip[shape_id],"Não encontrado")</f>
        <v/>
      </c>
      <c r="B14974" s="43" t="n">
        <v>-23.576686</v>
      </c>
      <c r="C14974" s="43" t="n">
        <v>-46.522467</v>
      </c>
      <c r="D14974" s="43" t="n">
        <v>299</v>
      </c>
      <c r="E14974" s="44" t="n">
        <v>9540.8428</v>
      </c>
    </row>
    <row r="14975">
      <c r="A14975" s="39">
        <f>_xlfn.XLOOKUP(82115,Trip[shape_id],Trip[shape_id],"Não encontrado")</f>
        <v/>
      </c>
      <c r="B14975" s="40" t="n">
        <v>-23.576675</v>
      </c>
      <c r="C14975" s="40" t="n">
        <v>-46.52232</v>
      </c>
      <c r="D14975" s="40" t="n">
        <v>300</v>
      </c>
      <c r="E14975" s="41" t="n">
        <v>9566.106400000001</v>
      </c>
    </row>
    <row r="14976">
      <c r="A14976" s="42">
        <f>_xlfn.XLOOKUP(82115,Trip[shape_id],Trip[shape_id],"Não encontrado")</f>
        <v/>
      </c>
      <c r="B14976" s="43" t="n">
        <v>-23.576662</v>
      </c>
      <c r="C14976" s="43" t="n">
        <v>-46.522221</v>
      </c>
      <c r="D14976" s="43" t="n">
        <v>301</v>
      </c>
      <c r="E14976" s="44" t="n">
        <v>9577.920899999999</v>
      </c>
    </row>
    <row r="14977">
      <c r="A14977" s="39">
        <f>_xlfn.XLOOKUP(82115,Trip[shape_id],Trip[shape_id],"Não encontrado")</f>
        <v/>
      </c>
      <c r="B14977" s="40" t="n">
        <v>-23.57665</v>
      </c>
      <c r="C14977" s="40" t="n">
        <v>-46.522106</v>
      </c>
      <c r="D14977" s="40" t="n">
        <v>302</v>
      </c>
      <c r="E14977" s="41" t="n">
        <v>9589.425800000001</v>
      </c>
    </row>
    <row r="14978">
      <c r="A14978" s="42">
        <f>_xlfn.XLOOKUP(82115,Trip[shape_id],Trip[shape_id],"Não encontrado")</f>
        <v/>
      </c>
      <c r="B14978" s="43" t="n">
        <v>-23.576632</v>
      </c>
      <c r="C14978" s="43" t="n">
        <v>-46.521995</v>
      </c>
      <c r="D14978" s="43" t="n">
        <v>303</v>
      </c>
      <c r="E14978" s="44" t="n">
        <v>9603.7217</v>
      </c>
    </row>
    <row r="14979">
      <c r="A14979" s="39">
        <f>_xlfn.XLOOKUP(82115,Trip[shape_id],Trip[shape_id],"Não encontrado")</f>
        <v/>
      </c>
      <c r="B14979" s="40" t="n">
        <v>-23.57661</v>
      </c>
      <c r="C14979" s="40" t="n">
        <v>-46.521857</v>
      </c>
      <c r="D14979" s="40" t="n">
        <v>304</v>
      </c>
      <c r="E14979" s="41" t="n">
        <v>9622.3662</v>
      </c>
    </row>
    <row r="14980">
      <c r="A14980" s="42">
        <f>_xlfn.XLOOKUP(82115,Trip[shape_id],Trip[shape_id],"Não encontrado")</f>
        <v/>
      </c>
      <c r="B14980" s="43" t="n">
        <v>-23.576565</v>
      </c>
      <c r="C14980" s="43" t="n">
        <v>-46.521681</v>
      </c>
      <c r="D14980" s="43" t="n">
        <v>305</v>
      </c>
      <c r="E14980" s="44" t="n">
        <v>9641.8174</v>
      </c>
    </row>
    <row r="14981">
      <c r="A14981" s="39">
        <f>_xlfn.XLOOKUP(82115,Trip[shape_id],Trip[shape_id],"Não encontrado")</f>
        <v/>
      </c>
      <c r="B14981" s="40" t="n">
        <v>-23.576513</v>
      </c>
      <c r="C14981" s="40" t="n">
        <v>-46.521499</v>
      </c>
      <c r="D14981" s="40" t="n">
        <v>306</v>
      </c>
      <c r="E14981" s="41" t="n">
        <v>9653.043900000001</v>
      </c>
    </row>
    <row r="14982">
      <c r="A14982" s="42">
        <f>_xlfn.XLOOKUP(82115,Trip[shape_id],Trip[shape_id],"Não encontrado")</f>
        <v/>
      </c>
      <c r="B14982" s="43" t="n">
        <v>-23.576486</v>
      </c>
      <c r="C14982" s="43" t="n">
        <v>-46.521393</v>
      </c>
      <c r="D14982" s="43" t="n">
        <v>307</v>
      </c>
      <c r="E14982" s="44" t="n">
        <v>9653.043900000001</v>
      </c>
    </row>
    <row r="14983">
      <c r="A14983" s="39">
        <f>_xlfn.XLOOKUP(82115,Trip[shape_id],Trip[shape_id],"Não encontrado")</f>
        <v/>
      </c>
      <c r="B14983" s="40" t="n">
        <v>-23.576447</v>
      </c>
      <c r="C14983" s="40" t="n">
        <v>-46.521291</v>
      </c>
      <c r="D14983" s="40" t="n">
        <v>308</v>
      </c>
      <c r="E14983" s="41" t="n">
        <v>9664.3164</v>
      </c>
    </row>
    <row r="14984">
      <c r="A14984" s="42">
        <f>_xlfn.XLOOKUP(82115,Trip[shape_id],Trip[shape_id],"Não encontrado")</f>
        <v/>
      </c>
      <c r="B14984" s="43" t="n">
        <v>-23.576484</v>
      </c>
      <c r="C14984" s="43" t="n">
        <v>-46.520913</v>
      </c>
      <c r="D14984" s="43" t="n">
        <v>309</v>
      </c>
      <c r="E14984" s="44" t="n">
        <v>9710.906300000001</v>
      </c>
    </row>
    <row r="14985">
      <c r="A14985" s="39">
        <f>_xlfn.XLOOKUP(82115,Trip[shape_id],Trip[shape_id],"Não encontrado")</f>
        <v/>
      </c>
      <c r="B14985" s="40" t="n">
        <v>-23.57649</v>
      </c>
      <c r="C14985" s="40" t="n">
        <v>-46.520837</v>
      </c>
      <c r="D14985" s="40" t="n">
        <v>310</v>
      </c>
      <c r="E14985" s="41" t="n">
        <v>9723.055700000001</v>
      </c>
    </row>
    <row r="14986">
      <c r="A14986" s="42">
        <f>_xlfn.XLOOKUP(82115,Trip[shape_id],Trip[shape_id],"Não encontrado")</f>
        <v/>
      </c>
      <c r="B14986" s="43" t="n">
        <v>-23.576492</v>
      </c>
      <c r="C14986" s="43" t="n">
        <v>-46.520718</v>
      </c>
      <c r="D14986" s="43" t="n">
        <v>311</v>
      </c>
      <c r="E14986" s="44" t="n">
        <v>9723.055700000001</v>
      </c>
    </row>
    <row r="14987">
      <c r="A14987" s="39">
        <f>_xlfn.XLOOKUP(82115,Trip[shape_id],Trip[shape_id],"Não encontrado")</f>
        <v/>
      </c>
      <c r="B14987" s="40" t="n">
        <v>-23.576494</v>
      </c>
      <c r="C14987" s="40" t="n">
        <v>-46.520672</v>
      </c>
      <c r="D14987" s="40" t="n">
        <v>312</v>
      </c>
      <c r="E14987" s="41" t="n">
        <v>9734.4961</v>
      </c>
    </row>
    <row r="14988">
      <c r="A14988" s="42">
        <f>_xlfn.XLOOKUP(82115,Trip[shape_id],Trip[shape_id],"Não encontrado")</f>
        <v/>
      </c>
      <c r="B14988" s="43" t="n">
        <v>-23.576492</v>
      </c>
      <c r="C14988" s="43" t="n">
        <v>-46.520606</v>
      </c>
      <c r="D14988" s="43" t="n">
        <v>313</v>
      </c>
      <c r="E14988" s="44" t="n">
        <v>9740.0625</v>
      </c>
    </row>
    <row r="14989">
      <c r="A14989" s="39">
        <f>_xlfn.XLOOKUP(82115,Trip[shape_id],Trip[shape_id],"Não encontrado")</f>
        <v/>
      </c>
      <c r="B14989" s="40" t="n">
        <v>-23.576485</v>
      </c>
      <c r="C14989" s="40" t="n">
        <v>-46.520552</v>
      </c>
      <c r="D14989" s="40" t="n">
        <v>314</v>
      </c>
      <c r="E14989" s="41" t="n">
        <v>9740.0625</v>
      </c>
    </row>
    <row r="14990">
      <c r="A14990" s="42">
        <f>_xlfn.XLOOKUP(82115,Trip[shape_id],Trip[shape_id],"Não encontrado")</f>
        <v/>
      </c>
      <c r="B14990" s="43" t="n">
        <v>-23.57647</v>
      </c>
      <c r="C14990" s="43" t="n">
        <v>-46.5204</v>
      </c>
      <c r="D14990" s="43" t="n">
        <v>315</v>
      </c>
      <c r="E14990" s="44" t="n">
        <v>9755.666999999999</v>
      </c>
    </row>
    <row r="14991">
      <c r="A14991" s="39">
        <f>_xlfn.XLOOKUP(82115,Trip[shape_id],Trip[shape_id],"Não encontrado")</f>
        <v/>
      </c>
      <c r="B14991" s="40" t="n">
        <v>-23.576417</v>
      </c>
      <c r="C14991" s="40" t="n">
        <v>-46.520249</v>
      </c>
      <c r="D14991" s="40" t="n">
        <v>316</v>
      </c>
      <c r="E14991" s="41" t="n">
        <v>9784.166999999999</v>
      </c>
    </row>
    <row r="14992">
      <c r="A14992" s="42">
        <f>_xlfn.XLOOKUP(82115,Trip[shape_id],Trip[shape_id],"Não encontrado")</f>
        <v/>
      </c>
      <c r="B14992" s="43" t="n">
        <v>-23.576372</v>
      </c>
      <c r="C14992" s="43" t="n">
        <v>-46.520142</v>
      </c>
      <c r="D14992" s="43" t="n">
        <v>317</v>
      </c>
      <c r="E14992" s="44" t="n">
        <v>9789.498</v>
      </c>
    </row>
    <row r="14993">
      <c r="A14993" s="39">
        <f>_xlfn.XLOOKUP(82115,Trip[shape_id],Trip[shape_id],"Não encontrado")</f>
        <v/>
      </c>
      <c r="B14993" s="40" t="n">
        <v>-23.576351</v>
      </c>
      <c r="C14993" s="40" t="n">
        <v>-46.520095</v>
      </c>
      <c r="D14993" s="40" t="n">
        <v>318</v>
      </c>
      <c r="E14993" s="41" t="n">
        <v>9789.498</v>
      </c>
    </row>
    <row r="14994">
      <c r="A14994" s="42">
        <f>_xlfn.XLOOKUP(82115,Trip[shape_id],Trip[shape_id],"Não encontrado")</f>
        <v/>
      </c>
      <c r="B14994" s="43" t="n">
        <v>-23.576258</v>
      </c>
      <c r="C14994" s="43" t="n">
        <v>-46.519899</v>
      </c>
      <c r="D14994" s="43" t="n">
        <v>319</v>
      </c>
      <c r="E14994" s="44" t="n">
        <v>9823.6855</v>
      </c>
    </row>
    <row r="14995">
      <c r="A14995" s="39">
        <f>_xlfn.XLOOKUP(82115,Trip[shape_id],Trip[shape_id],"Não encontrado")</f>
        <v/>
      </c>
      <c r="B14995" s="40" t="n">
        <v>-23.576212</v>
      </c>
      <c r="C14995" s="40" t="n">
        <v>-46.519796</v>
      </c>
      <c r="D14995" s="40" t="n">
        <v>320</v>
      </c>
      <c r="E14995" s="41" t="n">
        <v>9841.901400000001</v>
      </c>
    </row>
    <row r="14996">
      <c r="A14996" s="42">
        <f>_xlfn.XLOOKUP(82115,Trip[shape_id],Trip[shape_id],"Não encontrado")</f>
        <v/>
      </c>
      <c r="B14996" s="43" t="n">
        <v>-23.576162</v>
      </c>
      <c r="C14996" s="43" t="n">
        <v>-46.519626</v>
      </c>
      <c r="D14996" s="43" t="n">
        <v>321</v>
      </c>
      <c r="E14996" s="44" t="n">
        <v>9841.901400000001</v>
      </c>
    </row>
    <row r="14997">
      <c r="A14997" s="39">
        <f>_xlfn.XLOOKUP(82115,Trip[shape_id],Trip[shape_id],"Não encontrado")</f>
        <v/>
      </c>
      <c r="B14997" s="40" t="n">
        <v>-23.576163</v>
      </c>
      <c r="C14997" s="40" t="n">
        <v>-46.519597</v>
      </c>
      <c r="D14997" s="40" t="n">
        <v>322</v>
      </c>
      <c r="E14997" s="41" t="n">
        <v>9870.3789</v>
      </c>
    </row>
    <row r="14998">
      <c r="A14998" s="42">
        <f>_xlfn.XLOOKUP(82115,Trip[shape_id],Trip[shape_id],"Não encontrado")</f>
        <v/>
      </c>
      <c r="B14998" s="43" t="n">
        <v>-23.576183</v>
      </c>
      <c r="C14998" s="43" t="n">
        <v>-46.519348</v>
      </c>
      <c r="D14998" s="43" t="n">
        <v>323</v>
      </c>
      <c r="E14998" s="44" t="n">
        <v>9887.165000000001</v>
      </c>
    </row>
    <row r="14999">
      <c r="A14999" s="39">
        <f>_xlfn.XLOOKUP(82115,Trip[shape_id],Trip[shape_id],"Não encontrado")</f>
        <v/>
      </c>
      <c r="B14999" s="40" t="n">
        <v>-23.576194</v>
      </c>
      <c r="C14999" s="40" t="n">
        <v>-46.519184</v>
      </c>
      <c r="D14999" s="40" t="n">
        <v>324</v>
      </c>
      <c r="E14999" s="41" t="n">
        <v>9887.165000000001</v>
      </c>
    </row>
    <row r="15000">
      <c r="A15000" s="42">
        <f>_xlfn.XLOOKUP(82115,Trip[shape_id],Trip[shape_id],"Não encontrado")</f>
        <v/>
      </c>
      <c r="B15000" s="43" t="n">
        <v>-23.576231</v>
      </c>
      <c r="C15000" s="43" t="n">
        <v>-46.518855</v>
      </c>
      <c r="D15000" s="43" t="n">
        <v>325</v>
      </c>
      <c r="E15000" s="44" t="n">
        <v>9920.999</v>
      </c>
    </row>
    <row r="15001">
      <c r="A15001" s="39">
        <f>_xlfn.XLOOKUP(82115,Trip[shape_id],Trip[shape_id],"Não encontrado")</f>
        <v/>
      </c>
      <c r="B15001" s="40" t="n">
        <v>-23.576234</v>
      </c>
      <c r="C15001" s="40" t="n">
        <v>-46.518789</v>
      </c>
      <c r="D15001" s="40" t="n">
        <v>326</v>
      </c>
      <c r="E15001" s="41" t="n">
        <v>9948.799800000001</v>
      </c>
    </row>
    <row r="15002">
      <c r="A15002" s="42">
        <f>_xlfn.XLOOKUP(82115,Trip[shape_id],Trip[shape_id],"Não encontrado")</f>
        <v/>
      </c>
      <c r="B15002" s="43" t="n">
        <v>-23.576262</v>
      </c>
      <c r="C15002" s="43" t="n">
        <v>-46.518585</v>
      </c>
      <c r="D15002" s="43" t="n">
        <v>327</v>
      </c>
      <c r="E15002" s="44" t="n">
        <v>9948.799800000001</v>
      </c>
    </row>
    <row r="15003">
      <c r="A15003" s="39">
        <f>_xlfn.XLOOKUP(82115,Trip[shape_id],Trip[shape_id],"Não encontrado")</f>
        <v/>
      </c>
      <c r="B15003" s="40" t="n">
        <v>-23.576291</v>
      </c>
      <c r="C15003" s="40" t="n">
        <v>-46.518395</v>
      </c>
      <c r="D15003" s="40" t="n">
        <v>328</v>
      </c>
      <c r="E15003" s="41" t="n">
        <v>9991.2891</v>
      </c>
    </row>
    <row r="15004">
      <c r="A15004" s="42">
        <f>_xlfn.XLOOKUP(82115,Trip[shape_id],Trip[shape_id],"Não encontrado")</f>
        <v/>
      </c>
      <c r="B15004" s="43" t="n">
        <v>-23.576328</v>
      </c>
      <c r="C15004" s="43" t="n">
        <v>-46.518175</v>
      </c>
      <c r="D15004" s="43" t="n">
        <v>329</v>
      </c>
      <c r="E15004" s="44" t="n">
        <v>9991.2891</v>
      </c>
    </row>
    <row r="15005">
      <c r="A15005" s="39">
        <f>_xlfn.XLOOKUP(82115,Trip[shape_id],Trip[shape_id],"Não encontrado")</f>
        <v/>
      </c>
      <c r="B15005" s="40" t="n">
        <v>-23.576408</v>
      </c>
      <c r="C15005" s="40" t="n">
        <v>-46.517821</v>
      </c>
      <c r="D15005" s="40" t="n">
        <v>330</v>
      </c>
      <c r="E15005" s="41" t="n">
        <v>10056.901</v>
      </c>
    </row>
    <row r="15006">
      <c r="A15006" s="42">
        <f>_xlfn.XLOOKUP(82115,Trip[shape_id],Trip[shape_id],"Não encontrado")</f>
        <v/>
      </c>
      <c r="B15006" s="43" t="n">
        <v>-23.576477</v>
      </c>
      <c r="C15006" s="43" t="n">
        <v>-46.517553</v>
      </c>
      <c r="D15006" s="43" t="n">
        <v>331</v>
      </c>
      <c r="E15006" s="44" t="n">
        <v>10056.901</v>
      </c>
    </row>
    <row r="15007">
      <c r="A15007" s="39">
        <f>_xlfn.XLOOKUP(82115,Trip[shape_id],Trip[shape_id],"Não encontrado")</f>
        <v/>
      </c>
      <c r="B15007" s="40" t="n">
        <v>-23.57658</v>
      </c>
      <c r="C15007" s="40" t="n">
        <v>-46.517218</v>
      </c>
      <c r="D15007" s="40" t="n">
        <v>332</v>
      </c>
      <c r="E15007" s="41" t="n">
        <v>10120.595</v>
      </c>
    </row>
    <row r="15008">
      <c r="A15008" s="42">
        <f>_xlfn.XLOOKUP(82115,Trip[shape_id],Trip[shape_id],"Não encontrado")</f>
        <v/>
      </c>
      <c r="B15008" s="43" t="n">
        <v>-23.576669</v>
      </c>
      <c r="C15008" s="43" t="n">
        <v>-46.516965</v>
      </c>
      <c r="D15008" s="43" t="n">
        <v>333</v>
      </c>
      <c r="E15008" s="44" t="n">
        <v>10120.595</v>
      </c>
    </row>
    <row r="15009">
      <c r="A15009" s="39">
        <f>_xlfn.XLOOKUP(82115,Trip[shape_id],Trip[shape_id],"Não encontrado")</f>
        <v/>
      </c>
      <c r="B15009" s="40" t="n">
        <v>-23.576712</v>
      </c>
      <c r="C15009" s="40" t="n">
        <v>-46.516838</v>
      </c>
      <c r="D15009" s="40" t="n">
        <v>334</v>
      </c>
      <c r="E15009" s="41" t="n">
        <v>10137.662</v>
      </c>
    </row>
    <row r="15010">
      <c r="A15010" s="42">
        <f>_xlfn.XLOOKUP(82115,Trip[shape_id],Trip[shape_id],"Não encontrado")</f>
        <v/>
      </c>
      <c r="B15010" s="43" t="n">
        <v>-23.576722</v>
      </c>
      <c r="C15010" s="43" t="n">
        <v>-46.516808</v>
      </c>
      <c r="D15010" s="43" t="n">
        <v>335</v>
      </c>
      <c r="E15010" s="44" t="n">
        <v>10137.662</v>
      </c>
    </row>
    <row r="15011">
      <c r="A15011" s="39">
        <f>_xlfn.XLOOKUP(82115,Trip[shape_id],Trip[shape_id],"Não encontrado")</f>
        <v/>
      </c>
      <c r="B15011" s="40" t="n">
        <v>-23.576857</v>
      </c>
      <c r="C15011" s="40" t="n">
        <v>-46.516519</v>
      </c>
      <c r="D15011" s="40" t="n">
        <v>336</v>
      </c>
      <c r="E15011" s="41" t="n">
        <v>10170.736</v>
      </c>
    </row>
    <row r="15012">
      <c r="A15012" s="42">
        <f>_xlfn.XLOOKUP(82115,Trip[shape_id],Trip[shape_id],"Não encontrado")</f>
        <v/>
      </c>
      <c r="B15012" s="43" t="n">
        <v>-23.57691</v>
      </c>
      <c r="C15012" s="43" t="n">
        <v>-46.516367</v>
      </c>
      <c r="D15012" s="43" t="n">
        <v>337</v>
      </c>
      <c r="E15012" s="44" t="n">
        <v>10187.326</v>
      </c>
    </row>
    <row r="15013">
      <c r="A15013" s="39">
        <f>_xlfn.XLOOKUP(82115,Trip[shape_id],Trip[shape_id],"Não encontrado")</f>
        <v/>
      </c>
      <c r="B15013" s="40" t="n">
        <v>-23.577156</v>
      </c>
      <c r="C15013" s="40" t="n">
        <v>-46.516508</v>
      </c>
      <c r="D15013" s="40" t="n">
        <v>338</v>
      </c>
      <c r="E15013" s="41" t="n">
        <v>10218.14</v>
      </c>
    </row>
    <row r="15014">
      <c r="A15014" s="42">
        <f>_xlfn.XLOOKUP(82115,Trip[shape_id],Trip[shape_id],"Não encontrado")</f>
        <v/>
      </c>
      <c r="B15014" s="43" t="n">
        <v>-23.57738</v>
      </c>
      <c r="C15014" s="43" t="n">
        <v>-46.51665</v>
      </c>
      <c r="D15014" s="43" t="n">
        <v>339</v>
      </c>
      <c r="E15014" s="44" t="n">
        <v>10246.872</v>
      </c>
    </row>
    <row r="15015">
      <c r="A15015" s="39">
        <f>_xlfn.XLOOKUP(82115,Trip[shape_id],Trip[shape_id],"Não encontrado")</f>
        <v/>
      </c>
      <c r="B15015" s="40" t="n">
        <v>-23.577887</v>
      </c>
      <c r="C15015" s="40" t="n">
        <v>-46.516971</v>
      </c>
      <c r="D15015" s="40" t="n">
        <v>340</v>
      </c>
      <c r="E15015" s="41" t="n">
        <v>10311.886</v>
      </c>
    </row>
    <row r="15016">
      <c r="A15016" s="42">
        <f>_xlfn.XLOOKUP(82115,Trip[shape_id],Trip[shape_id],"Não encontrado")</f>
        <v/>
      </c>
      <c r="B15016" s="43" t="n">
        <v>-23.577949</v>
      </c>
      <c r="C15016" s="43" t="n">
        <v>-46.517013</v>
      </c>
      <c r="D15016" s="43" t="n">
        <v>341</v>
      </c>
      <c r="E15016" s="44" t="n">
        <v>10319.98</v>
      </c>
    </row>
    <row r="15017">
      <c r="A15017" s="39">
        <f>_xlfn.XLOOKUP(82115,Trip[shape_id],Trip[shape_id],"Não encontrado")</f>
        <v/>
      </c>
      <c r="B15017" s="40" t="n">
        <v>-23.578377</v>
      </c>
      <c r="C15017" s="40" t="n">
        <v>-46.51729</v>
      </c>
      <c r="D15017" s="40" t="n">
        <v>342</v>
      </c>
      <c r="E15017" s="41" t="n">
        <v>10375.176</v>
      </c>
    </row>
    <row r="15018">
      <c r="A15018" s="42">
        <f>_xlfn.XLOOKUP(82115,Trip[shape_id],Trip[shape_id],"Não encontrado")</f>
        <v/>
      </c>
      <c r="B15018" s="43" t="n">
        <v>-23.578876</v>
      </c>
      <c r="C15018" s="43" t="n">
        <v>-46.517608</v>
      </c>
      <c r="D15018" s="43" t="n">
        <v>343</v>
      </c>
      <c r="E15018" s="44" t="n">
        <v>10439.27</v>
      </c>
    </row>
    <row r="15019">
      <c r="A15019" s="39">
        <f>_xlfn.XLOOKUP(82115,Trip[shape_id],Trip[shape_id],"Não encontrado")</f>
        <v/>
      </c>
      <c r="B15019" s="40" t="n">
        <v>-23.578921</v>
      </c>
      <c r="C15019" s="40" t="n">
        <v>-46.517633</v>
      </c>
      <c r="D15019" s="40" t="n">
        <v>344</v>
      </c>
      <c r="E15019" s="41" t="n">
        <v>10444.868</v>
      </c>
    </row>
    <row r="15020">
      <c r="A15020" s="42">
        <f>_xlfn.XLOOKUP(82115,Trip[shape_id],Trip[shape_id],"Não encontrado")</f>
        <v/>
      </c>
      <c r="B15020" s="43" t="n">
        <v>-23.5791</v>
      </c>
      <c r="C15020" s="43" t="n">
        <v>-46.5177</v>
      </c>
      <c r="D15020" s="43" t="n">
        <v>345</v>
      </c>
      <c r="E15020" s="44" t="n">
        <v>10465.84</v>
      </c>
    </row>
    <row r="15021">
      <c r="A15021" s="39">
        <f>_xlfn.XLOOKUP(82115,Trip[shape_id],Trip[shape_id],"Não encontrado")</f>
        <v/>
      </c>
      <c r="B15021" s="40" t="n">
        <v>-23.579485</v>
      </c>
      <c r="C15021" s="40" t="n">
        <v>-46.517841</v>
      </c>
      <c r="D15021" s="40" t="n">
        <v>346</v>
      </c>
      <c r="E15021" s="41" t="n">
        <v>10510.843</v>
      </c>
    </row>
    <row r="15022">
      <c r="A15022" s="42">
        <f>_xlfn.XLOOKUP(82115,Trip[shape_id],Trip[shape_id],"Não encontrado")</f>
        <v/>
      </c>
      <c r="B15022" s="43" t="n">
        <v>-23.580001</v>
      </c>
      <c r="C15022" s="43" t="n">
        <v>-46.518023</v>
      </c>
      <c r="D15022" s="43" t="n">
        <v>347</v>
      </c>
      <c r="E15022" s="44" t="n">
        <v>10570.935</v>
      </c>
    </row>
    <row r="15023">
      <c r="A15023" s="39">
        <f>_xlfn.XLOOKUP(82115,Trip[shape_id],Trip[shape_id],"Não encontrado")</f>
        <v/>
      </c>
      <c r="B15023" s="40" t="n">
        <v>-23.580997</v>
      </c>
      <c r="C15023" s="40" t="n">
        <v>-46.518379</v>
      </c>
      <c r="D15023" s="40" t="n">
        <v>348</v>
      </c>
      <c r="E15023" s="41" t="n">
        <v>10687.075</v>
      </c>
    </row>
    <row r="15024">
      <c r="A15024" s="42">
        <f>_xlfn.XLOOKUP(82115,Trip[shape_id],Trip[shape_id],"Não encontrado")</f>
        <v/>
      </c>
      <c r="B15024" s="43" t="n">
        <v>-23.581231</v>
      </c>
      <c r="C15024" s="43" t="n">
        <v>-46.518463</v>
      </c>
      <c r="D15024" s="43" t="n">
        <v>349</v>
      </c>
      <c r="E15024" s="44" t="n">
        <v>10714.373</v>
      </c>
    </row>
    <row r="15025">
      <c r="A15025" s="39">
        <f>_xlfn.XLOOKUP(82115,Trip[shape_id],Trip[shape_id],"Não encontrado")</f>
        <v/>
      </c>
      <c r="B15025" s="40" t="n">
        <v>-23.581659</v>
      </c>
      <c r="C15025" s="40" t="n">
        <v>-46.518611</v>
      </c>
      <c r="D15025" s="40" t="n">
        <v>350</v>
      </c>
      <c r="E15025" s="41" t="n">
        <v>10764.124</v>
      </c>
    </row>
    <row r="15026">
      <c r="A15026" s="42">
        <f>_xlfn.XLOOKUP(82115,Trip[shape_id],Trip[shape_id],"Não encontrado")</f>
        <v/>
      </c>
      <c r="B15026" s="43" t="n">
        <v>-23.581799</v>
      </c>
      <c r="C15026" s="43" t="n">
        <v>-46.518663</v>
      </c>
      <c r="D15026" s="43" t="n">
        <v>351</v>
      </c>
      <c r="E15026" s="44" t="n">
        <v>10780.513</v>
      </c>
    </row>
    <row r="15027">
      <c r="A15027" s="39">
        <f>_xlfn.XLOOKUP(82115,Trip[shape_id],Trip[shape_id],"Não encontrado")</f>
        <v/>
      </c>
      <c r="B15027" s="40" t="n">
        <v>-23.582253</v>
      </c>
      <c r="C15027" s="40" t="n">
        <v>-46.518822</v>
      </c>
      <c r="D15027" s="40" t="n">
        <v>352</v>
      </c>
      <c r="E15027" s="41" t="n">
        <v>10833.349</v>
      </c>
    </row>
    <row r="15028">
      <c r="A15028" s="42">
        <f>_xlfn.XLOOKUP(82115,Trip[shape_id],Trip[shape_id],"Não encontrado")</f>
        <v/>
      </c>
      <c r="B15028" s="43" t="n">
        <v>-23.582474</v>
      </c>
      <c r="C15028" s="43" t="n">
        <v>-46.518901</v>
      </c>
      <c r="D15028" s="43" t="n">
        <v>353</v>
      </c>
      <c r="E15028" s="44" t="n">
        <v>10859.119</v>
      </c>
    </row>
    <row r="15029">
      <c r="A15029" s="39">
        <f>_xlfn.XLOOKUP(82115,Trip[shape_id],Trip[shape_id],"Não encontrado")</f>
        <v/>
      </c>
      <c r="B15029" s="40" t="n">
        <v>-23.582493</v>
      </c>
      <c r="C15029" s="40" t="n">
        <v>-46.518914</v>
      </c>
      <c r="D15029" s="40" t="n">
        <v>354</v>
      </c>
      <c r="E15029" s="41" t="n">
        <v>10861.607</v>
      </c>
    </row>
    <row r="15030">
      <c r="A15030" s="42">
        <f>_xlfn.XLOOKUP(82115,Trip[shape_id],Trip[shape_id],"Não encontrado")</f>
        <v/>
      </c>
      <c r="B15030" s="43" t="n">
        <v>-23.582511</v>
      </c>
      <c r="C15030" s="43" t="n">
        <v>-46.518915</v>
      </c>
      <c r="D15030" s="43" t="n">
        <v>355</v>
      </c>
      <c r="E15030" s="44" t="n">
        <v>10863.604</v>
      </c>
    </row>
    <row r="15031">
      <c r="A15031" s="39">
        <f>_xlfn.XLOOKUP(82115,Trip[shape_id],Trip[shape_id],"Não encontrado")</f>
        <v/>
      </c>
      <c r="B15031" s="40" t="n">
        <v>-23.582572</v>
      </c>
      <c r="C15031" s="40" t="n">
        <v>-46.518936</v>
      </c>
      <c r="D15031" s="40" t="n">
        <v>356</v>
      </c>
      <c r="E15031" s="41" t="n">
        <v>10870.692</v>
      </c>
    </row>
    <row r="15032">
      <c r="A15032" s="42">
        <f>_xlfn.XLOOKUP(82115,Trip[shape_id],Trip[shape_id],"Não encontrado")</f>
        <v/>
      </c>
      <c r="B15032" s="43" t="n">
        <v>-23.583088</v>
      </c>
      <c r="C15032" s="43" t="n">
        <v>-46.519117</v>
      </c>
      <c r="D15032" s="43" t="n">
        <v>357</v>
      </c>
      <c r="E15032" s="44" t="n">
        <v>10930.753</v>
      </c>
    </row>
    <row r="15033">
      <c r="A15033" s="39">
        <f>_xlfn.XLOOKUP(82115,Trip[shape_id],Trip[shape_id],"Não encontrado")</f>
        <v/>
      </c>
      <c r="B15033" s="40" t="n">
        <v>-23.583595</v>
      </c>
      <c r="C15033" s="40" t="n">
        <v>-46.519295</v>
      </c>
      <c r="D15033" s="40" t="n">
        <v>358</v>
      </c>
      <c r="E15033" s="41" t="n">
        <v>10989.771</v>
      </c>
    </row>
    <row r="15034">
      <c r="A15034" s="42">
        <f>_xlfn.XLOOKUP(82115,Trip[shape_id],Trip[shape_id],"Não encontrado")</f>
        <v/>
      </c>
      <c r="B15034" s="43" t="n">
        <v>-23.584105</v>
      </c>
      <c r="C15034" s="43" t="n">
        <v>-46.51948</v>
      </c>
      <c r="D15034" s="43" t="n">
        <v>359</v>
      </c>
      <c r="E15034" s="44" t="n">
        <v>11049.327</v>
      </c>
    </row>
    <row r="15035">
      <c r="A15035" s="39">
        <f>_xlfn.XLOOKUP(82115,Trip[shape_id],Trip[shape_id],"Não encontrado")</f>
        <v/>
      </c>
      <c r="B15035" s="40" t="n">
        <v>-23.584282</v>
      </c>
      <c r="C15035" s="40" t="n">
        <v>-46.519544</v>
      </c>
      <c r="D15035" s="40" t="n">
        <v>360</v>
      </c>
      <c r="E15035" s="41" t="n">
        <v>11069.99</v>
      </c>
    </row>
    <row r="15036">
      <c r="A15036" s="42">
        <f>_xlfn.XLOOKUP(82115,Trip[shape_id],Trip[shape_id],"Não encontrado")</f>
        <v/>
      </c>
      <c r="B15036" s="43" t="n">
        <v>-23.584527</v>
      </c>
      <c r="C15036" s="43" t="n">
        <v>-46.519628</v>
      </c>
      <c r="D15036" s="43" t="n">
        <v>361</v>
      </c>
      <c r="E15036" s="44" t="n">
        <v>11098.447</v>
      </c>
    </row>
    <row r="15037">
      <c r="A15037" s="39">
        <f>_xlfn.XLOOKUP(82115,Trip[shape_id],Trip[shape_id],"Não encontrado")</f>
        <v/>
      </c>
      <c r="B15037" s="40" t="n">
        <v>-23.584568</v>
      </c>
      <c r="C15037" s="40" t="n">
        <v>-46.519621</v>
      </c>
      <c r="D15037" s="40" t="n">
        <v>362</v>
      </c>
      <c r="E15037" s="41" t="n">
        <v>11103.044</v>
      </c>
    </row>
    <row r="15038">
      <c r="A15038" s="42">
        <f>_xlfn.XLOOKUP(82115,Trip[shape_id],Trip[shape_id],"Não encontrado")</f>
        <v/>
      </c>
      <c r="B15038" s="43" t="n">
        <v>-23.584577</v>
      </c>
      <c r="C15038" s="43" t="n">
        <v>-46.519646</v>
      </c>
      <c r="D15038" s="43" t="n">
        <v>363</v>
      </c>
      <c r="E15038" s="44" t="n">
        <v>11105.784</v>
      </c>
    </row>
    <row r="15039">
      <c r="A15039" s="39">
        <f>_xlfn.XLOOKUP(82115,Trip[shape_id],Trip[shape_id],"Não encontrado")</f>
        <v/>
      </c>
      <c r="B15039" s="40" t="n">
        <v>-23.584622</v>
      </c>
      <c r="C15039" s="40" t="n">
        <v>-46.519661</v>
      </c>
      <c r="D15039" s="40" t="n">
        <v>364</v>
      </c>
      <c r="E15039" s="41" t="n">
        <v>11110.997</v>
      </c>
    </row>
    <row r="15040">
      <c r="A15040" s="42">
        <f>_xlfn.XLOOKUP(82115,Trip[shape_id],Trip[shape_id],"Não encontrado")</f>
        <v/>
      </c>
      <c r="B15040" s="43" t="n">
        <v>-23.585272</v>
      </c>
      <c r="C15040" s="43" t="n">
        <v>-46.51989</v>
      </c>
      <c r="D15040" s="43" t="n">
        <v>365</v>
      </c>
      <c r="E15040" s="44" t="n">
        <v>11186.687</v>
      </c>
    </row>
    <row r="15041">
      <c r="A15041" s="39">
        <f>_xlfn.XLOOKUP(82115,Trip[shape_id],Trip[shape_id],"Não encontrado")</f>
        <v/>
      </c>
      <c r="B15041" s="40" t="n">
        <v>-23.585311</v>
      </c>
      <c r="C15041" s="40" t="n">
        <v>-46.519811</v>
      </c>
      <c r="D15041" s="40" t="n">
        <v>366</v>
      </c>
      <c r="E15041" s="41" t="n">
        <v>11213.833</v>
      </c>
    </row>
    <row r="15042">
      <c r="A15042" s="42">
        <f>_xlfn.XLOOKUP(82115,Trip[shape_id],Trip[shape_id],"Não encontrado")</f>
        <v/>
      </c>
      <c r="B15042" s="43" t="n">
        <v>-23.585373</v>
      </c>
      <c r="C15042" s="43" t="n">
        <v>-46.519648</v>
      </c>
      <c r="D15042" s="43" t="n">
        <v>367</v>
      </c>
      <c r="E15042" s="44" t="n">
        <v>11213.833</v>
      </c>
    </row>
    <row r="15043">
      <c r="A15043" s="39">
        <f>_xlfn.XLOOKUP(82115,Trip[shape_id],Trip[shape_id],"Não encontrado")</f>
        <v/>
      </c>
      <c r="B15043" s="40" t="n">
        <v>-23.585484</v>
      </c>
      <c r="C15043" s="40" t="n">
        <v>-46.519361</v>
      </c>
      <c r="D15043" s="40" t="n">
        <v>368</v>
      </c>
      <c r="E15043" s="41" t="n">
        <v>11245.604</v>
      </c>
    </row>
    <row r="15044">
      <c r="A15044" s="42">
        <f>_xlfn.XLOOKUP(82115,Trip[shape_id],Trip[shape_id],"Não encontrado")</f>
        <v/>
      </c>
      <c r="B15044" s="43" t="n">
        <v>-23.585578</v>
      </c>
      <c r="C15044" s="43" t="n">
        <v>-46.519103</v>
      </c>
      <c r="D15044" s="43" t="n">
        <v>369</v>
      </c>
      <c r="E15044" s="44" t="n">
        <v>11273.922</v>
      </c>
    </row>
    <row r="15045">
      <c r="A15045" s="39">
        <f>_xlfn.XLOOKUP(82115,Trip[shape_id],Trip[shape_id],"Não encontrado")</f>
        <v/>
      </c>
      <c r="B15045" s="40" t="n">
        <v>-23.58565</v>
      </c>
      <c r="C15045" s="40" t="n">
        <v>-46.518914</v>
      </c>
      <c r="D15045" s="40" t="n">
        <v>370</v>
      </c>
      <c r="E15045" s="41" t="n">
        <v>11308.915</v>
      </c>
    </row>
    <row r="15046">
      <c r="A15046" s="42">
        <f>_xlfn.XLOOKUP(82115,Trip[shape_id],Trip[shape_id],"Não encontrado")</f>
        <v/>
      </c>
      <c r="B15046" s="43" t="n">
        <v>-23.585696</v>
      </c>
      <c r="C15046" s="43" t="n">
        <v>-46.518785</v>
      </c>
      <c r="D15046" s="43" t="n">
        <v>371</v>
      </c>
      <c r="E15046" s="44" t="n">
        <v>11308.915</v>
      </c>
    </row>
    <row r="15047">
      <c r="A15047" s="39">
        <f>_xlfn.XLOOKUP(82115,Trip[shape_id],Trip[shape_id],"Não encontrado")</f>
        <v/>
      </c>
      <c r="B15047" s="40" t="n">
        <v>-23.58575</v>
      </c>
      <c r="C15047" s="40" t="n">
        <v>-46.518634</v>
      </c>
      <c r="D15047" s="40" t="n">
        <v>372</v>
      </c>
      <c r="E15047" s="41" t="n">
        <v>11325.448</v>
      </c>
    </row>
    <row r="15048">
      <c r="A15048" s="42">
        <f>_xlfn.XLOOKUP(82115,Trip[shape_id],Trip[shape_id],"Não encontrado")</f>
        <v/>
      </c>
      <c r="B15048" s="43" t="n">
        <v>-23.586047</v>
      </c>
      <c r="C15048" s="43" t="n">
        <v>-46.518722</v>
      </c>
      <c r="D15048" s="43" t="n">
        <v>373</v>
      </c>
      <c r="E15048" s="44" t="n">
        <v>11402.605</v>
      </c>
    </row>
    <row r="15049">
      <c r="A15049" s="39">
        <f>_xlfn.XLOOKUP(82115,Trip[shape_id],Trip[shape_id],"Não encontrado")</f>
        <v/>
      </c>
      <c r="B15049" s="40" t="n">
        <v>-23.58642</v>
      </c>
      <c r="C15049" s="40" t="n">
        <v>-46.518841</v>
      </c>
      <c r="D15049" s="40" t="n">
        <v>374</v>
      </c>
      <c r="E15049" s="41" t="n">
        <v>11489.837</v>
      </c>
    </row>
    <row r="15050">
      <c r="A15050" s="42">
        <f>_xlfn.XLOOKUP(82115,Trip[shape_id],Trip[shape_id],"Não encontrado")</f>
        <v/>
      </c>
      <c r="B15050" s="43" t="n">
        <v>-23.587177</v>
      </c>
      <c r="C15050" s="43" t="n">
        <v>-46.519077</v>
      </c>
      <c r="D15050" s="43" t="n">
        <v>375</v>
      </c>
      <c r="E15050" s="44" t="n">
        <v>11489.837</v>
      </c>
    </row>
    <row r="15051">
      <c r="A15051" s="39">
        <f>_xlfn.XLOOKUP(82115,Trip[shape_id],Trip[shape_id],"Não encontrado")</f>
        <v/>
      </c>
      <c r="B15051" s="40" t="n">
        <v>-23.587402</v>
      </c>
      <c r="C15051" s="40" t="n">
        <v>-46.519144</v>
      </c>
      <c r="D15051" s="40" t="n">
        <v>376</v>
      </c>
      <c r="E15051" s="41" t="n">
        <v>11543.545</v>
      </c>
    </row>
    <row r="15052">
      <c r="A15052" s="42">
        <f>_xlfn.XLOOKUP(82115,Trip[shape_id],Trip[shape_id],"Não encontrado")</f>
        <v/>
      </c>
      <c r="B15052" s="43" t="n">
        <v>-23.587642</v>
      </c>
      <c r="C15052" s="43" t="n">
        <v>-46.519226</v>
      </c>
      <c r="D15052" s="43" t="n">
        <v>377</v>
      </c>
      <c r="E15052" s="44" t="n">
        <v>11564.206</v>
      </c>
    </row>
    <row r="15053">
      <c r="A15053" s="39">
        <f>_xlfn.XLOOKUP(82115,Trip[shape_id],Trip[shape_id],"Não encontrado")</f>
        <v/>
      </c>
      <c r="B15053" s="40" t="n">
        <v>-23.587816</v>
      </c>
      <c r="C15053" s="40" t="n">
        <v>-46.519299</v>
      </c>
      <c r="D15053" s="40" t="n">
        <v>378</v>
      </c>
      <c r="E15053" s="41" t="n">
        <v>11576.867</v>
      </c>
    </row>
    <row r="15054">
      <c r="A15054" s="42">
        <f>_xlfn.XLOOKUP(82115,Trip[shape_id],Trip[shape_id],"Não encontrado")</f>
        <v/>
      </c>
      <c r="B15054" s="43" t="n">
        <v>-23.587918</v>
      </c>
      <c r="C15054" s="43" t="n">
        <v>-46.519355</v>
      </c>
      <c r="D15054" s="43" t="n">
        <v>379</v>
      </c>
      <c r="E15054" s="44" t="n">
        <v>11586.178</v>
      </c>
    </row>
    <row r="15055">
      <c r="A15055" s="39">
        <f>_xlfn.XLOOKUP(82115,Trip[shape_id],Trip[shape_id],"Não encontrado")</f>
        <v/>
      </c>
      <c r="B15055" s="40" t="n">
        <v>-23.587994</v>
      </c>
      <c r="C15055" s="40" t="n">
        <v>-46.519394</v>
      </c>
      <c r="D15055" s="40" t="n">
        <v>380</v>
      </c>
      <c r="E15055" s="41" t="n">
        <v>11610.438</v>
      </c>
    </row>
    <row r="15056">
      <c r="A15056" s="42">
        <f>_xlfn.XLOOKUP(82115,Trip[shape_id],Trip[shape_id],"Não encontrado")</f>
        <v/>
      </c>
      <c r="B15056" s="43" t="n">
        <v>-23.588173</v>
      </c>
      <c r="C15056" s="43" t="n">
        <v>-46.519531</v>
      </c>
      <c r="D15056" s="43" t="n">
        <v>381</v>
      </c>
      <c r="E15056" s="44" t="n">
        <v>11617.126</v>
      </c>
    </row>
    <row r="15057">
      <c r="A15057" s="39">
        <f>_xlfn.XLOOKUP(82115,Trip[shape_id],Trip[shape_id],"Não encontrado")</f>
        <v/>
      </c>
      <c r="B15057" s="40" t="n">
        <v>-23.588216</v>
      </c>
      <c r="C15057" s="40" t="n">
        <v>-46.519577</v>
      </c>
      <c r="D15057" s="40" t="n">
        <v>382</v>
      </c>
      <c r="E15057" s="41" t="n">
        <v>11635.913</v>
      </c>
    </row>
    <row r="15058">
      <c r="A15058" s="42">
        <f>_xlfn.XLOOKUP(82115,Trip[shape_id],Trip[shape_id],"Não encontrado")</f>
        <v/>
      </c>
      <c r="B15058" s="43" t="n">
        <v>-23.588337</v>
      </c>
      <c r="C15058" s="43" t="n">
        <v>-46.519706</v>
      </c>
      <c r="D15058" s="43" t="n">
        <v>383</v>
      </c>
      <c r="E15058" s="44" t="n">
        <v>11698.286</v>
      </c>
    </row>
    <row r="15059">
      <c r="A15059" s="39">
        <f>_xlfn.XLOOKUP(82115,Trip[shape_id],Trip[shape_id],"Não encontrado")</f>
        <v/>
      </c>
      <c r="B15059" s="40" t="n">
        <v>-23.588718</v>
      </c>
      <c r="C15059" s="40" t="n">
        <v>-46.520156</v>
      </c>
      <c r="D15059" s="40" t="n">
        <v>384</v>
      </c>
      <c r="E15059" s="41" t="n">
        <v>11726.658</v>
      </c>
    </row>
    <row r="15060">
      <c r="A15060" s="42">
        <f>_xlfn.XLOOKUP(82115,Trip[shape_id],Trip[shape_id],"Não encontrado")</f>
        <v/>
      </c>
      <c r="B15060" s="43" t="n">
        <v>-23.588892</v>
      </c>
      <c r="C15060" s="43" t="n">
        <v>-46.52036</v>
      </c>
      <c r="D15060" s="43" t="n">
        <v>385</v>
      </c>
      <c r="E15060" s="44" t="n">
        <v>11738.523</v>
      </c>
    </row>
    <row r="15061">
      <c r="A15061" s="39">
        <f>_xlfn.XLOOKUP(82115,Trip[shape_id],Trip[shape_id],"Não encontrado")</f>
        <v/>
      </c>
      <c r="B15061" s="40" t="n">
        <v>-23.588967</v>
      </c>
      <c r="C15061" s="40" t="n">
        <v>-46.520443</v>
      </c>
      <c r="D15061" s="40" t="n">
        <v>386</v>
      </c>
      <c r="E15061" s="41" t="n">
        <v>11738.523</v>
      </c>
    </row>
    <row r="15062">
      <c r="A15062" s="42">
        <f>_xlfn.XLOOKUP(82115,Trip[shape_id],Trip[shape_id],"Não encontrado")</f>
        <v/>
      </c>
      <c r="B15062" s="43" t="n">
        <v>-23.58901</v>
      </c>
      <c r="C15062" s="43" t="n">
        <v>-46.520465</v>
      </c>
      <c r="D15062" s="43" t="n">
        <v>387</v>
      </c>
      <c r="E15062" s="44" t="n">
        <v>11748.614</v>
      </c>
    </row>
    <row r="15063">
      <c r="A15063" s="39">
        <f>_xlfn.XLOOKUP(82115,Trip[shape_id],Trip[shape_id],"Não encontrado")</f>
        <v/>
      </c>
      <c r="B15063" s="40" t="n">
        <v>-23.589051</v>
      </c>
      <c r="C15063" s="40" t="n">
        <v>-46.520481</v>
      </c>
      <c r="D15063" s="40" t="n">
        <v>388</v>
      </c>
      <c r="E15063" s="41" t="n">
        <v>11753.955</v>
      </c>
    </row>
    <row r="15064">
      <c r="A15064" s="42">
        <f>_xlfn.XLOOKUP(82115,Trip[shape_id],Trip[shape_id],"Não encontrado")</f>
        <v/>
      </c>
      <c r="B15064" s="43" t="n">
        <v>-23.589099</v>
      </c>
      <c r="C15064" s="43" t="n">
        <v>-46.520486</v>
      </c>
      <c r="D15064" s="43" t="n">
        <v>389</v>
      </c>
      <c r="E15064" s="44" t="n">
        <v>11759.618</v>
      </c>
    </row>
    <row r="15065">
      <c r="A15065" s="39">
        <f>_xlfn.XLOOKUP(82115,Trip[shape_id],Trip[shape_id],"Não encontrado")</f>
        <v/>
      </c>
      <c r="B15065" s="40" t="n">
        <v>-23.58915</v>
      </c>
      <c r="C15065" s="40" t="n">
        <v>-46.520482</v>
      </c>
      <c r="D15065" s="40" t="n">
        <v>390</v>
      </c>
      <c r="E15065" s="41" t="n">
        <v>11768.544</v>
      </c>
    </row>
    <row r="15066">
      <c r="A15066" s="42">
        <f>_xlfn.XLOOKUP(82115,Trip[shape_id],Trip[shape_id],"Não encontrado")</f>
        <v/>
      </c>
      <c r="B15066" s="43" t="n">
        <v>-23.589228</v>
      </c>
      <c r="C15066" s="43" t="n">
        <v>-46.52046</v>
      </c>
      <c r="D15066" s="43" t="n">
        <v>391</v>
      </c>
      <c r="E15066" s="44" t="n">
        <v>11777.261</v>
      </c>
    </row>
    <row r="15067">
      <c r="A15067" s="39">
        <f>_xlfn.XLOOKUP(82115,Trip[shape_id],Trip[shape_id],"Não encontrado")</f>
        <v/>
      </c>
      <c r="B15067" s="40" t="n">
        <v>-23.589296</v>
      </c>
      <c r="C15067" s="40" t="n">
        <v>-46.520417</v>
      </c>
      <c r="D15067" s="40" t="n">
        <v>392</v>
      </c>
      <c r="E15067" s="41" t="n">
        <v>11785.64</v>
      </c>
    </row>
    <row r="15068">
      <c r="A15068" s="42">
        <f>_xlfn.XLOOKUP(82115,Trip[shape_id],Trip[shape_id],"Não encontrado")</f>
        <v/>
      </c>
      <c r="B15068" s="43" t="n">
        <v>-23.589356</v>
      </c>
      <c r="C15068" s="43" t="n">
        <v>-46.520367</v>
      </c>
      <c r="D15068" s="43" t="n">
        <v>393</v>
      </c>
      <c r="E15068" s="44" t="n">
        <v>11808.643</v>
      </c>
    </row>
    <row r="15069">
      <c r="A15069" s="39">
        <f>_xlfn.XLOOKUP(82115,Trip[shape_id],Trip[shape_id],"Não encontrado")</f>
        <v/>
      </c>
      <c r="B15069" s="40" t="n">
        <v>-23.589525</v>
      </c>
      <c r="C15069" s="40" t="n">
        <v>-46.520236</v>
      </c>
      <c r="D15069" s="40" t="n">
        <v>394</v>
      </c>
      <c r="E15069" s="41" t="n">
        <v>11885.627</v>
      </c>
    </row>
    <row r="15070">
      <c r="A15070" s="42">
        <f>_xlfn.XLOOKUP(82115,Trip[shape_id],Trip[shape_id],"Não encontrado")</f>
        <v/>
      </c>
      <c r="B15070" s="43" t="n">
        <v>-23.590073</v>
      </c>
      <c r="C15070" s="43" t="n">
        <v>-46.519772</v>
      </c>
      <c r="D15070" s="43" t="n">
        <v>395</v>
      </c>
      <c r="E15070" s="44" t="n">
        <v>11892.303</v>
      </c>
    </row>
    <row r="15071">
      <c r="A15071" s="39">
        <f>_xlfn.XLOOKUP(82115,Trip[shape_id],Trip[shape_id],"Não encontrado")</f>
        <v/>
      </c>
      <c r="B15071" s="40" t="n">
        <v>-23.590097</v>
      </c>
      <c r="C15071" s="40" t="n">
        <v>-46.519712</v>
      </c>
      <c r="D15071" s="40" t="n">
        <v>396</v>
      </c>
      <c r="E15071" s="41" t="n">
        <v>11899.108</v>
      </c>
    </row>
    <row r="15072">
      <c r="A15072" s="42">
        <f>_xlfn.XLOOKUP(82115,Trip[shape_id],Trip[shape_id],"Não encontrado")</f>
        <v/>
      </c>
      <c r="B15072" s="43" t="n">
        <v>-23.590158</v>
      </c>
      <c r="C15072" s="43" t="n">
        <v>-46.519704</v>
      </c>
      <c r="D15072" s="43" t="n">
        <v>397</v>
      </c>
      <c r="E15072" s="44" t="n">
        <v>11908.925</v>
      </c>
    </row>
    <row r="15073">
      <c r="A15073" s="39">
        <f>_xlfn.XLOOKUP(82115,Trip[shape_id],Trip[shape_id],"Não encontrado")</f>
        <v/>
      </c>
      <c r="B15073" s="40" t="n">
        <v>-23.590228</v>
      </c>
      <c r="C15073" s="40" t="n">
        <v>-46.519645</v>
      </c>
      <c r="D15073" s="40" t="n">
        <v>398</v>
      </c>
      <c r="E15073" s="41" t="n">
        <v>11908.925</v>
      </c>
    </row>
    <row r="15074">
      <c r="A15074" s="42">
        <f>_xlfn.XLOOKUP(82115,Trip[shape_id],Trip[shape_id],"Não encontrado")</f>
        <v/>
      </c>
      <c r="B15074" s="43" t="n">
        <v>-23.590306</v>
      </c>
      <c r="C15074" s="43" t="n">
        <v>-46.519584</v>
      </c>
      <c r="D15074" s="43" t="n">
        <v>399</v>
      </c>
      <c r="E15074" s="44" t="n">
        <v>11919.573</v>
      </c>
    </row>
    <row r="15075">
      <c r="A15075" s="39">
        <f>_xlfn.XLOOKUP(82115,Trip[shape_id],Trip[shape_id],"Não encontrado")</f>
        <v/>
      </c>
      <c r="B15075" s="40" t="n">
        <v>-23.590448</v>
      </c>
      <c r="C15075" s="40" t="n">
        <v>-46.519493</v>
      </c>
      <c r="D15075" s="40" t="n">
        <v>400</v>
      </c>
      <c r="E15075" s="41" t="n">
        <v>11995.007</v>
      </c>
    </row>
    <row r="15076">
      <c r="A15076" s="42">
        <f>_xlfn.XLOOKUP(82115,Trip[shape_id],Trip[shape_id],"Não encontrado")</f>
        <v/>
      </c>
      <c r="B15076" s="43" t="n">
        <v>-23.590952</v>
      </c>
      <c r="C15076" s="43" t="n">
        <v>-46.519372</v>
      </c>
      <c r="D15076" s="43" t="n">
        <v>401</v>
      </c>
      <c r="E15076" s="44" t="n">
        <v>12006.269</v>
      </c>
    </row>
    <row r="15077">
      <c r="A15077" s="39">
        <f>_xlfn.XLOOKUP(82115,Trip[shape_id],Trip[shape_id],"Não encontrado")</f>
        <v/>
      </c>
      <c r="B15077" s="40" t="n">
        <v>-23.591052</v>
      </c>
      <c r="C15077" s="40" t="n">
        <v>-46.519352</v>
      </c>
      <c r="D15077" s="40" t="n">
        <v>402</v>
      </c>
      <c r="E15077" s="41" t="n">
        <v>12013.391</v>
      </c>
    </row>
    <row r="15078">
      <c r="A15078" s="42">
        <f>_xlfn.XLOOKUP(82115,Trip[shape_id],Trip[shape_id],"Não encontrado")</f>
        <v/>
      </c>
      <c r="B15078" s="43" t="n">
        <v>-23.591115</v>
      </c>
      <c r="C15078" s="43" t="n">
        <v>-46.519338</v>
      </c>
      <c r="D15078" s="43" t="n">
        <v>403</v>
      </c>
      <c r="E15078" s="44" t="n">
        <v>12013.391</v>
      </c>
    </row>
    <row r="15079">
      <c r="A15079" s="39">
        <f>_xlfn.XLOOKUP(82115,Trip[shape_id],Trip[shape_id],"Não encontrado")</f>
        <v/>
      </c>
      <c r="B15079" s="40" t="n">
        <v>-23.591173</v>
      </c>
      <c r="C15079" s="40" t="n">
        <v>-46.519341</v>
      </c>
      <c r="D15079" s="40" t="n">
        <v>404</v>
      </c>
      <c r="E15079" s="41" t="n">
        <v>12046.451</v>
      </c>
    </row>
    <row r="15080">
      <c r="A15080" s="42">
        <f>_xlfn.XLOOKUP(82115,Trip[shape_id],Trip[shape_id],"Não encontrado")</f>
        <v/>
      </c>
      <c r="B15080" s="43" t="n">
        <v>-23.59141</v>
      </c>
      <c r="C15080" s="43" t="n">
        <v>-46.519385</v>
      </c>
      <c r="D15080" s="43" t="n">
        <v>405</v>
      </c>
      <c r="E15080" s="44" t="n">
        <v>12046.451</v>
      </c>
    </row>
    <row r="15081">
      <c r="A15081" s="39">
        <f>_xlfn.XLOOKUP(82115,Trip[shape_id],Trip[shape_id],"Não encontrado")</f>
        <v/>
      </c>
      <c r="B15081" s="40" t="n">
        <v>-23.591591</v>
      </c>
      <c r="C15081" s="40" t="n">
        <v>-46.519415</v>
      </c>
      <c r="D15081" s="40" t="n">
        <v>406</v>
      </c>
      <c r="E15081" s="41" t="n">
        <v>12066.73</v>
      </c>
    </row>
    <row r="15082">
      <c r="A15082" s="42">
        <f>_xlfn.XLOOKUP(82115,Trip[shape_id],Trip[shape_id],"Não encontrado")</f>
        <v/>
      </c>
      <c r="B15082" s="43" t="n">
        <v>-23.591826</v>
      </c>
      <c r="C15082" s="43" t="n">
        <v>-46.51948</v>
      </c>
      <c r="D15082" s="43" t="n">
        <v>407</v>
      </c>
      <c r="E15082" s="44" t="n">
        <v>12112.639</v>
      </c>
    </row>
    <row r="15083">
      <c r="A15083" s="39">
        <f>_xlfn.XLOOKUP(82115,Trip[shape_id],Trip[shape_id],"Não encontrado")</f>
        <v/>
      </c>
      <c r="B15083" s="40" t="n">
        <v>-23.591994</v>
      </c>
      <c r="C15083" s="40" t="n">
        <v>-46.51952</v>
      </c>
      <c r="D15083" s="40" t="n">
        <v>408</v>
      </c>
      <c r="E15083" s="41" t="n">
        <v>12112.639</v>
      </c>
    </row>
    <row r="15084">
      <c r="A15084" s="42">
        <f>_xlfn.XLOOKUP(82115,Trip[shape_id],Trip[shape_id],"Não encontrado")</f>
        <v/>
      </c>
      <c r="B15084" s="43" t="n">
        <v>-23.592304</v>
      </c>
      <c r="C15084" s="43" t="n">
        <v>-46.519594</v>
      </c>
      <c r="D15084" s="43" t="n">
        <v>409</v>
      </c>
      <c r="E15084" s="44" t="n">
        <v>12147.793</v>
      </c>
    </row>
    <row r="15085">
      <c r="A15085" s="39">
        <f>_xlfn.XLOOKUP(82115,Trip[shape_id],Trip[shape_id],"Não encontrado")</f>
        <v/>
      </c>
      <c r="B15085" s="40" t="n">
        <v>-23.592823</v>
      </c>
      <c r="C15085" s="40" t="n">
        <v>-46.519717</v>
      </c>
      <c r="D15085" s="40" t="n">
        <v>410</v>
      </c>
      <c r="E15085" s="41" t="n">
        <v>12206.629</v>
      </c>
    </row>
    <row r="15086">
      <c r="A15086" s="42">
        <f>_xlfn.XLOOKUP(82115,Trip[shape_id],Trip[shape_id],"Não encontrado")</f>
        <v/>
      </c>
      <c r="B15086" s="43" t="n">
        <v>-23.592911</v>
      </c>
      <c r="C15086" s="43" t="n">
        <v>-46.519737</v>
      </c>
      <c r="D15086" s="43" t="n">
        <v>411</v>
      </c>
      <c r="E15086" s="44" t="n">
        <v>12227.628</v>
      </c>
    </row>
    <row r="15087">
      <c r="A15087" s="39">
        <f>_xlfn.XLOOKUP(82115,Trip[shape_id],Trip[shape_id],"Não encontrado")</f>
        <v/>
      </c>
      <c r="B15087" s="40" t="n">
        <v>-23.593008</v>
      </c>
      <c r="C15087" s="40" t="n">
        <v>-46.519762</v>
      </c>
      <c r="D15087" s="40" t="n">
        <v>412</v>
      </c>
      <c r="E15087" s="41" t="n">
        <v>12235.713</v>
      </c>
    </row>
    <row r="15088">
      <c r="A15088" s="42">
        <f>_xlfn.XLOOKUP(82115,Trip[shape_id],Trip[shape_id],"Não encontrado")</f>
        <v/>
      </c>
      <c r="B15088" s="43" t="n">
        <v>-23.593081</v>
      </c>
      <c r="C15088" s="43" t="n">
        <v>-46.519763</v>
      </c>
      <c r="D15088" s="43" t="n">
        <v>413</v>
      </c>
      <c r="E15088" s="44" t="n">
        <v>12235.713</v>
      </c>
    </row>
    <row r="15089">
      <c r="A15089" s="39">
        <f>_xlfn.XLOOKUP(82115,Trip[shape_id],Trip[shape_id],"Não encontrado")</f>
        <v/>
      </c>
      <c r="B15089" s="40" t="n">
        <v>-23.593131</v>
      </c>
      <c r="C15089" s="40" t="n">
        <v>-46.519759</v>
      </c>
      <c r="D15089" s="40" t="n">
        <v>414</v>
      </c>
      <c r="E15089" s="41" t="n">
        <v>12250.357</v>
      </c>
    </row>
    <row r="15090">
      <c r="A15090" s="42">
        <f>_xlfn.XLOOKUP(82115,Trip[shape_id],Trip[shape_id],"Não encontrado")</f>
        <v/>
      </c>
      <c r="B15090" s="43" t="n">
        <v>-23.593211</v>
      </c>
      <c r="C15090" s="43" t="n">
        <v>-46.519739</v>
      </c>
      <c r="D15090" s="43" t="n">
        <v>415</v>
      </c>
      <c r="E15090" s="44" t="n">
        <v>12255.295</v>
      </c>
    </row>
    <row r="15091">
      <c r="A15091" s="39">
        <f>_xlfn.XLOOKUP(82115,Trip[shape_id],Trip[shape_id],"Não encontrado")</f>
        <v/>
      </c>
      <c r="B15091" s="40" t="n">
        <v>-23.593252</v>
      </c>
      <c r="C15091" s="40" t="n">
        <v>-46.51972</v>
      </c>
      <c r="D15091" s="40" t="n">
        <v>416</v>
      </c>
      <c r="E15091" s="41" t="n">
        <v>12261.831</v>
      </c>
    </row>
    <row r="15092">
      <c r="A15092" s="42">
        <f>_xlfn.XLOOKUP(82115,Trip[shape_id],Trip[shape_id],"Não encontrado")</f>
        <v/>
      </c>
      <c r="B15092" s="43" t="n">
        <v>-23.593302</v>
      </c>
      <c r="C15092" s="43" t="n">
        <v>-46.519686</v>
      </c>
      <c r="D15092" s="43" t="n">
        <v>417</v>
      </c>
      <c r="E15092" s="44" t="n">
        <v>12297.612</v>
      </c>
    </row>
    <row r="15093">
      <c r="A15093" s="39">
        <f>_xlfn.XLOOKUP(82115,Trip[shape_id],Trip[shape_id],"Não encontrado")</f>
        <v/>
      </c>
      <c r="B15093" s="40" t="n">
        <v>-23.593577</v>
      </c>
      <c r="C15093" s="40" t="n">
        <v>-46.519502</v>
      </c>
      <c r="D15093" s="40" t="n">
        <v>418</v>
      </c>
      <c r="E15093" s="41" t="n">
        <v>12297.612</v>
      </c>
    </row>
    <row r="15094">
      <c r="A15094" s="42">
        <f>_xlfn.XLOOKUP(82115,Trip[shape_id],Trip[shape_id],"Não encontrado")</f>
        <v/>
      </c>
      <c r="B15094" s="43" t="n">
        <v>-23.594372</v>
      </c>
      <c r="C15094" s="43" t="n">
        <v>-46.518978</v>
      </c>
      <c r="D15094" s="43" t="n">
        <v>419</v>
      </c>
      <c r="E15094" s="44" t="n">
        <v>12430.533</v>
      </c>
    </row>
    <row r="15095">
      <c r="A15095" s="39">
        <f>_xlfn.XLOOKUP(82115,Trip[shape_id],Trip[shape_id],"Não encontrado")</f>
        <v/>
      </c>
      <c r="B15095" s="40" t="n">
        <v>-23.594605</v>
      </c>
      <c r="C15095" s="40" t="n">
        <v>-46.51883</v>
      </c>
      <c r="D15095" s="40" t="n">
        <v>420</v>
      </c>
      <c r="E15095" s="41" t="n">
        <v>12443.607</v>
      </c>
    </row>
    <row r="15096">
      <c r="A15096" s="42">
        <f>_xlfn.XLOOKUP(82115,Trip[shape_id],Trip[shape_id],"Não encontrado")</f>
        <v/>
      </c>
      <c r="B15096" s="43" t="n">
        <v>-23.594702</v>
      </c>
      <c r="C15096" s="43" t="n">
        <v>-46.518757</v>
      </c>
      <c r="D15096" s="43" t="n">
        <v>421</v>
      </c>
      <c r="E15096" s="44" t="n">
        <v>12443.607</v>
      </c>
    </row>
    <row r="15097">
      <c r="A15097" s="39">
        <f>_xlfn.XLOOKUP(82115,Trip[shape_id],Trip[shape_id],"Não encontrado")</f>
        <v/>
      </c>
      <c r="B15097" s="40" t="n">
        <v>-23.595065</v>
      </c>
      <c r="C15097" s="40" t="n">
        <v>-46.51847</v>
      </c>
      <c r="D15097" s="40" t="n">
        <v>422</v>
      </c>
      <c r="E15097" s="41" t="n">
        <v>12515.987</v>
      </c>
    </row>
    <row r="15098">
      <c r="A15098" s="42">
        <f>_xlfn.XLOOKUP(82115,Trip[shape_id],Trip[shape_id],"Não encontrado")</f>
        <v/>
      </c>
      <c r="B15098" s="43" t="n">
        <v>-23.595222</v>
      </c>
      <c r="C15098" s="43" t="n">
        <v>-46.518328</v>
      </c>
      <c r="D15098" s="43" t="n">
        <v>423</v>
      </c>
      <c r="E15098" s="44" t="n">
        <v>12522.858</v>
      </c>
    </row>
    <row r="15099">
      <c r="A15099" s="39">
        <f>_xlfn.XLOOKUP(82115,Trip[shape_id],Trip[shape_id],"Não encontrado")</f>
        <v/>
      </c>
      <c r="B15099" s="40" t="n">
        <v>-23.595275</v>
      </c>
      <c r="C15099" s="40" t="n">
        <v>-46.518293</v>
      </c>
      <c r="D15099" s="40" t="n">
        <v>424</v>
      </c>
      <c r="E15099" s="41" t="n">
        <v>12522.858</v>
      </c>
    </row>
    <row r="15100">
      <c r="A15100" s="42">
        <f>_xlfn.XLOOKUP(82115,Trip[shape_id],Trip[shape_id],"Não encontrado")</f>
        <v/>
      </c>
      <c r="B15100" s="43" t="n">
        <v>-23.595642</v>
      </c>
      <c r="C15100" s="43" t="n">
        <v>-46.518012</v>
      </c>
      <c r="D15100" s="43" t="n">
        <v>425</v>
      </c>
      <c r="E15100" s="44" t="n">
        <v>12572.604</v>
      </c>
    </row>
    <row r="15101">
      <c r="A15101" s="39">
        <f>_xlfn.XLOOKUP(82115,Trip[shape_id],Trip[shape_id],"Não encontrado")</f>
        <v/>
      </c>
      <c r="B15101" s="40" t="n">
        <v>-23.596113</v>
      </c>
      <c r="C15101" s="40" t="n">
        <v>-46.51769</v>
      </c>
      <c r="D15101" s="40" t="n">
        <v>426</v>
      </c>
      <c r="E15101" s="41" t="n">
        <v>12634.259</v>
      </c>
    </row>
    <row r="15102">
      <c r="A15102" s="42">
        <f>_xlfn.XLOOKUP(82115,Trip[shape_id],Trip[shape_id],"Não encontrado")</f>
        <v/>
      </c>
      <c r="B15102" s="43" t="n">
        <v>-23.596334</v>
      </c>
      <c r="C15102" s="43" t="n">
        <v>-46.517522</v>
      </c>
      <c r="D15102" s="43" t="n">
        <v>427</v>
      </c>
      <c r="E15102" s="44" t="n">
        <v>12672.47</v>
      </c>
    </row>
    <row r="15103">
      <c r="A15103" s="39">
        <f>_xlfn.XLOOKUP(82115,Trip[shape_id],Trip[shape_id],"Não encontrado")</f>
        <v/>
      </c>
      <c r="B15103" s="40" t="n">
        <v>-23.596399</v>
      </c>
      <c r="C15103" s="40" t="n">
        <v>-46.517481</v>
      </c>
      <c r="D15103" s="40" t="n">
        <v>428</v>
      </c>
      <c r="E15103" s="41" t="n">
        <v>12691.089</v>
      </c>
    </row>
    <row r="15104">
      <c r="A15104" s="42">
        <f>_xlfn.XLOOKUP(82115,Trip[shape_id],Trip[shape_id],"Não encontrado")</f>
        <v/>
      </c>
      <c r="B15104" s="43" t="n">
        <v>-23.596516</v>
      </c>
      <c r="C15104" s="43" t="n">
        <v>-46.51735</v>
      </c>
      <c r="D15104" s="43" t="n">
        <v>429</v>
      </c>
      <c r="E15104" s="44" t="n">
        <v>12702.805</v>
      </c>
    </row>
    <row r="15105">
      <c r="A15105" s="39">
        <f>_xlfn.XLOOKUP(82115,Trip[shape_id],Trip[shape_id],"Não encontrado")</f>
        <v/>
      </c>
      <c r="B15105" s="40" t="n">
        <v>-23.596578</v>
      </c>
      <c r="C15105" s="40" t="n">
        <v>-46.517257</v>
      </c>
      <c r="D15105" s="40" t="n">
        <v>430</v>
      </c>
      <c r="E15105" s="41" t="n">
        <v>12724.247</v>
      </c>
    </row>
    <row r="15106">
      <c r="A15106" s="42">
        <f>_xlfn.XLOOKUP(82115,Trip[shape_id],Trip[shape_id],"Não encontrado")</f>
        <v/>
      </c>
      <c r="B15106" s="43" t="n">
        <v>-23.596668</v>
      </c>
      <c r="C15106" s="43" t="n">
        <v>-46.517071</v>
      </c>
      <c r="D15106" s="43" t="n">
        <v>431</v>
      </c>
      <c r="E15106" s="44" t="n">
        <v>12756.821</v>
      </c>
    </row>
    <row r="15107">
      <c r="A15107" s="39">
        <f>_xlfn.XLOOKUP(82115,Trip[shape_id],Trip[shape_id],"Não encontrado")</f>
        <v/>
      </c>
      <c r="B15107" s="40" t="n">
        <v>-23.596677</v>
      </c>
      <c r="C15107" s="40" t="n">
        <v>-46.516752</v>
      </c>
      <c r="D15107" s="40" t="n">
        <v>432</v>
      </c>
      <c r="E15107" s="41" t="n">
        <v>12784.188</v>
      </c>
    </row>
    <row r="15108">
      <c r="A15108" s="42">
        <f>_xlfn.XLOOKUP(82115,Trip[shape_id],Trip[shape_id],"Não encontrado")</f>
        <v/>
      </c>
      <c r="B15108" s="43" t="n">
        <v>-23.596646</v>
      </c>
      <c r="C15108" s="43" t="n">
        <v>-46.516486</v>
      </c>
      <c r="D15108" s="43" t="n">
        <v>433</v>
      </c>
      <c r="E15108" s="44" t="n">
        <v>12784.188</v>
      </c>
    </row>
    <row r="15109">
      <c r="A15109" s="39">
        <f>_xlfn.XLOOKUP(82115,Trip[shape_id],Trip[shape_id],"Não encontrado")</f>
        <v/>
      </c>
      <c r="B15109" s="40" t="n">
        <v>-23.596589</v>
      </c>
      <c r="C15109" s="40" t="n">
        <v>-46.515894</v>
      </c>
      <c r="D15109" s="40" t="n">
        <v>434</v>
      </c>
      <c r="E15109" s="41" t="n">
        <v>12844.939</v>
      </c>
    </row>
    <row r="15110">
      <c r="A15110" s="42">
        <f>_xlfn.XLOOKUP(82115,Trip[shape_id],Trip[shape_id],"Não encontrado")</f>
        <v/>
      </c>
      <c r="B15110" s="43" t="n">
        <v>-23.596551</v>
      </c>
      <c r="C15110" s="43" t="n">
        <v>-46.515483</v>
      </c>
      <c r="D15110" s="43" t="n">
        <v>435</v>
      </c>
      <c r="E15110" s="44" t="n">
        <v>12894.808</v>
      </c>
    </row>
    <row r="15111">
      <c r="A15111" s="39">
        <f>_xlfn.XLOOKUP(82115,Trip[shape_id],Trip[shape_id],"Não encontrado")</f>
        <v/>
      </c>
      <c r="B15111" s="40" t="n">
        <v>-23.59653</v>
      </c>
      <c r="C15111" s="40" t="n">
        <v>-46.515411</v>
      </c>
      <c r="D15111" s="40" t="n">
        <v>436</v>
      </c>
      <c r="E15111" s="41" t="n">
        <v>12894.808</v>
      </c>
    </row>
    <row r="15112">
      <c r="A15112" s="42">
        <f>_xlfn.XLOOKUP(82115,Trip[shape_id],Trip[shape_id],"Não encontrado")</f>
        <v/>
      </c>
      <c r="B15112" s="43" t="n">
        <v>-23.596494</v>
      </c>
      <c r="C15112" s="43" t="n">
        <v>-46.515312</v>
      </c>
      <c r="D15112" s="43" t="n">
        <v>437</v>
      </c>
      <c r="E15112" s="44" t="n">
        <v>12918.69</v>
      </c>
    </row>
    <row r="15113">
      <c r="A15113" s="39">
        <f>_xlfn.XLOOKUP(82115,Trip[shape_id],Trip[shape_id],"Não encontrado")</f>
        <v/>
      </c>
      <c r="B15113" s="40" t="n">
        <v>-23.59643</v>
      </c>
      <c r="C15113" s="40" t="n">
        <v>-46.515205</v>
      </c>
      <c r="D15113" s="40" t="n">
        <v>438</v>
      </c>
      <c r="E15113" s="41" t="n">
        <v>12959.157</v>
      </c>
    </row>
    <row r="15114">
      <c r="A15114" s="42">
        <f>_xlfn.XLOOKUP(82115,Trip[shape_id],Trip[shape_id],"Não encontrado")</f>
        <v/>
      </c>
      <c r="B15114" s="43" t="n">
        <v>-23.596189</v>
      </c>
      <c r="C15114" s="43" t="n">
        <v>-46.514907</v>
      </c>
      <c r="D15114" s="43" t="n">
        <v>439</v>
      </c>
      <c r="E15114" s="44" t="n">
        <v>12959.157</v>
      </c>
    </row>
    <row r="15115">
      <c r="A15115" s="39">
        <f>_xlfn.XLOOKUP(82115,Trip[shape_id],Trip[shape_id],"Não encontrado")</f>
        <v/>
      </c>
      <c r="B15115" s="40" t="n">
        <v>-23.595903</v>
      </c>
      <c r="C15115" s="40" t="n">
        <v>-46.514547</v>
      </c>
      <c r="D15115" s="40" t="n">
        <v>440</v>
      </c>
      <c r="E15115" s="41" t="n">
        <v>13013.828</v>
      </c>
    </row>
    <row r="15116">
      <c r="A15116" s="42">
        <f>_xlfn.XLOOKUP(82115,Trip[shape_id],Trip[shape_id],"Não encontrado")</f>
        <v/>
      </c>
      <c r="B15116" s="43" t="n">
        <v>-23.595864</v>
      </c>
      <c r="C15116" s="43" t="n">
        <v>-46.514504</v>
      </c>
      <c r="D15116" s="43" t="n">
        <v>441</v>
      </c>
      <c r="E15116" s="44" t="n">
        <v>13013.828</v>
      </c>
    </row>
    <row r="15117">
      <c r="A15117" s="39">
        <f>_xlfn.XLOOKUP(82115,Trip[shape_id],Trip[shape_id],"Não encontrado")</f>
        <v/>
      </c>
      <c r="B15117" s="40" t="n">
        <v>-23.595843</v>
      </c>
      <c r="C15117" s="40" t="n">
        <v>-46.514434</v>
      </c>
      <c r="D15117" s="40" t="n">
        <v>442</v>
      </c>
      <c r="E15117" s="41" t="n">
        <v>13021.342</v>
      </c>
    </row>
    <row r="15118">
      <c r="A15118" s="42">
        <f>_xlfn.XLOOKUP(82115,Trip[shape_id],Trip[shape_id],"Não encontrado")</f>
        <v/>
      </c>
      <c r="B15118" s="43" t="n">
        <v>-23.595827</v>
      </c>
      <c r="C15118" s="43" t="n">
        <v>-46.514367</v>
      </c>
      <c r="D15118" s="43" t="n">
        <v>443</v>
      </c>
      <c r="E15118" s="44" t="n">
        <v>13047.88</v>
      </c>
    </row>
    <row r="15119">
      <c r="A15119" s="39">
        <f>_xlfn.XLOOKUP(82115,Trip[shape_id],Trip[shape_id],"Não encontrado")</f>
        <v/>
      </c>
      <c r="B15119" s="40" t="n">
        <v>-23.595797</v>
      </c>
      <c r="C15119" s="40" t="n">
        <v>-46.514179</v>
      </c>
      <c r="D15119" s="40" t="n">
        <v>444</v>
      </c>
      <c r="E15119" s="41" t="n">
        <v>13052.9</v>
      </c>
    </row>
    <row r="15120">
      <c r="A15120" s="42">
        <f>_xlfn.XLOOKUP(82115,Trip[shape_id],Trip[shape_id],"Não encontrado")</f>
        <v/>
      </c>
      <c r="B15120" s="43" t="n">
        <v>-23.595793</v>
      </c>
      <c r="C15120" s="43" t="n">
        <v>-46.51413</v>
      </c>
      <c r="D15120" s="43" t="n">
        <v>445</v>
      </c>
      <c r="E15120" s="44" t="n">
        <v>13058.015</v>
      </c>
    </row>
    <row r="15121">
      <c r="A15121" s="39">
        <f>_xlfn.XLOOKUP(82115,Trip[shape_id],Trip[shape_id],"Não encontrado")</f>
        <v/>
      </c>
      <c r="B15121" s="40" t="n">
        <v>-23.59579</v>
      </c>
      <c r="C15121" s="40" t="n">
        <v>-46.51408</v>
      </c>
      <c r="D15121" s="40" t="n">
        <v>446</v>
      </c>
      <c r="E15121" s="41" t="n">
        <v>13068.018</v>
      </c>
    </row>
    <row r="15122">
      <c r="A15122" s="42">
        <f>_xlfn.XLOOKUP(82115,Trip[shape_id],Trip[shape_id],"Não encontrado")</f>
        <v/>
      </c>
      <c r="B15122" s="43" t="n">
        <v>-23.595791</v>
      </c>
      <c r="C15122" s="43" t="n">
        <v>-46.513982</v>
      </c>
      <c r="D15122" s="43" t="n">
        <v>447</v>
      </c>
      <c r="E15122" s="44" t="n">
        <v>13068.018</v>
      </c>
    </row>
    <row r="15123">
      <c r="A15123" s="39">
        <f>_xlfn.XLOOKUP(82115,Trip[shape_id],Trip[shape_id],"Não encontrado")</f>
        <v/>
      </c>
      <c r="B15123" s="40" t="n">
        <v>-23.595827</v>
      </c>
      <c r="C15123" s="40" t="n">
        <v>-46.51392</v>
      </c>
      <c r="D15123" s="40" t="n">
        <v>448</v>
      </c>
      <c r="E15123" s="41" t="n">
        <v>13086.391</v>
      </c>
    </row>
    <row r="15124">
      <c r="A15124" s="42">
        <f>_xlfn.XLOOKUP(82115,Trip[shape_id],Trip[shape_id],"Não encontrado")</f>
        <v/>
      </c>
      <c r="B15124" s="43" t="n">
        <v>-23.595905</v>
      </c>
      <c r="C15124" s="43" t="n">
        <v>-46.513855</v>
      </c>
      <c r="D15124" s="43" t="n">
        <v>449</v>
      </c>
      <c r="E15124" s="44" t="n">
        <v>13094.866</v>
      </c>
    </row>
    <row r="15125">
      <c r="A15125" s="39">
        <f>_xlfn.XLOOKUP(82115,Trip[shape_id],Trip[shape_id],"Não encontrado")</f>
        <v/>
      </c>
      <c r="B15125" s="40" t="n">
        <v>-23.595976</v>
      </c>
      <c r="C15125" s="40" t="n">
        <v>-46.513824</v>
      </c>
      <c r="D15125" s="40" t="n">
        <v>450</v>
      </c>
      <c r="E15125" s="41" t="n">
        <v>13094.866</v>
      </c>
    </row>
    <row r="15126">
      <c r="A15126" s="42">
        <f>_xlfn.XLOOKUP(82115,Trip[shape_id],Trip[shape_id],"Não encontrado")</f>
        <v/>
      </c>
      <c r="B15126" s="43" t="n">
        <v>-23.596153</v>
      </c>
      <c r="C15126" s="43" t="n">
        <v>-46.513775</v>
      </c>
      <c r="D15126" s="43" t="n">
        <v>451</v>
      </c>
      <c r="E15126" s="44" t="n">
        <v>13161.015</v>
      </c>
    </row>
    <row r="15127">
      <c r="A15127" s="39">
        <f>_xlfn.XLOOKUP(82115,Trip[shape_id],Trip[shape_id],"Não encontrado")</f>
        <v/>
      </c>
      <c r="B15127" s="40" t="n">
        <v>-23.596551</v>
      </c>
      <c r="C15127" s="40" t="n">
        <v>-46.513649</v>
      </c>
      <c r="D15127" s="40" t="n">
        <v>452</v>
      </c>
      <c r="E15127" s="41" t="n">
        <v>13161.015</v>
      </c>
    </row>
    <row r="15128">
      <c r="A15128" s="42">
        <f>_xlfn.XLOOKUP(82115,Trip[shape_id],Trip[shape_id],"Não encontrado")</f>
        <v/>
      </c>
      <c r="B15128" s="43" t="n">
        <v>-23.596883</v>
      </c>
      <c r="C15128" s="43" t="n">
        <v>-46.513536</v>
      </c>
      <c r="D15128" s="43" t="n">
        <v>453</v>
      </c>
      <c r="E15128" s="44" t="n">
        <v>13216.327</v>
      </c>
    </row>
    <row r="15129">
      <c r="A15129" s="39">
        <f>_xlfn.XLOOKUP(82115,Trip[shape_id],Trip[shape_id],"Não encontrado")</f>
        <v/>
      </c>
      <c r="B15129" s="40" t="n">
        <v>-23.597027</v>
      </c>
      <c r="C15129" s="40" t="n">
        <v>-46.513485</v>
      </c>
      <c r="D15129" s="40" t="n">
        <v>454</v>
      </c>
      <c r="E15129" s="41" t="n">
        <v>13216.327</v>
      </c>
    </row>
    <row r="15130">
      <c r="A15130" s="42">
        <f>_xlfn.XLOOKUP(82115,Trip[shape_id],Trip[shape_id],"Não encontrado")</f>
        <v/>
      </c>
      <c r="B15130" s="43" t="n">
        <v>-23.597106</v>
      </c>
      <c r="C15130" s="43" t="n">
        <v>-46.513487</v>
      </c>
      <c r="D15130" s="43" t="n">
        <v>455</v>
      </c>
      <c r="E15130" s="44" t="n">
        <v>13232.074</v>
      </c>
    </row>
    <row r="15131">
      <c r="A15131" s="39">
        <f>_xlfn.XLOOKUP(82115,Trip[shape_id],Trip[shape_id],"Não encontrado")</f>
        <v/>
      </c>
      <c r="B15131" s="40" t="n">
        <v>-23.597169</v>
      </c>
      <c r="C15131" s="40" t="n">
        <v>-46.513482</v>
      </c>
      <c r="D15131" s="40" t="n">
        <v>456</v>
      </c>
      <c r="E15131" s="41" t="n">
        <v>13290.678</v>
      </c>
    </row>
    <row r="15132">
      <c r="A15132" s="42">
        <f>_xlfn.XLOOKUP(82115,Trip[shape_id],Trip[shape_id],"Não encontrado")</f>
        <v/>
      </c>
      <c r="B15132" s="43" t="n">
        <v>-23.597698</v>
      </c>
      <c r="C15132" s="43" t="n">
        <v>-46.513469</v>
      </c>
      <c r="D15132" s="43" t="n">
        <v>457</v>
      </c>
      <c r="E15132" s="44" t="n">
        <v>13290.678</v>
      </c>
    </row>
    <row r="15133">
      <c r="A15133" s="39">
        <f>_xlfn.XLOOKUP(82115,Trip[shape_id],Trip[shape_id],"Não encontrado")</f>
        <v/>
      </c>
      <c r="B15133" s="40" t="n">
        <v>-23.598082</v>
      </c>
      <c r="C15133" s="40" t="n">
        <v>-46.513475</v>
      </c>
      <c r="D15133" s="40" t="n">
        <v>458</v>
      </c>
      <c r="E15133" s="41" t="n">
        <v>13336.793</v>
      </c>
    </row>
    <row r="15134">
      <c r="A15134" s="42">
        <f>_xlfn.XLOOKUP(82115,Trip[shape_id],Trip[shape_id],"Não encontrado")</f>
        <v/>
      </c>
      <c r="B15134" s="43" t="n">
        <v>-23.598113</v>
      </c>
      <c r="C15134" s="43" t="n">
        <v>-46.513465</v>
      </c>
      <c r="D15134" s="43" t="n">
        <v>459</v>
      </c>
      <c r="E15134" s="44" t="n">
        <v>13350.818</v>
      </c>
    </row>
    <row r="15135">
      <c r="A15135" s="39">
        <f>_xlfn.XLOOKUP(82115,Trip[shape_id],Trip[shape_id],"Não encontrado")</f>
        <v/>
      </c>
      <c r="B15135" s="40" t="n">
        <v>-23.598238</v>
      </c>
      <c r="C15135" s="40" t="n">
        <v>-46.513443</v>
      </c>
      <c r="D15135" s="40" t="n">
        <v>460</v>
      </c>
      <c r="E15135" s="41" t="n">
        <v>13365.852</v>
      </c>
    </row>
    <row r="15136">
      <c r="A15136" s="42">
        <f>_xlfn.XLOOKUP(82115,Trip[shape_id],Trip[shape_id],"Não encontrado")</f>
        <v/>
      </c>
      <c r="B15136" s="43" t="n">
        <v>-23.598366</v>
      </c>
      <c r="C15136" s="43" t="n">
        <v>-46.513394</v>
      </c>
      <c r="D15136" s="43" t="n">
        <v>461</v>
      </c>
      <c r="E15136" s="44" t="n">
        <v>13385.035</v>
      </c>
    </row>
    <row r="15137">
      <c r="A15137" s="39">
        <f>_xlfn.XLOOKUP(82115,Trip[shape_id],Trip[shape_id],"Não encontrado")</f>
        <v/>
      </c>
      <c r="B15137" s="40" t="n">
        <v>-23.598526</v>
      </c>
      <c r="C15137" s="40" t="n">
        <v>-46.513322</v>
      </c>
      <c r="D15137" s="40" t="n">
        <v>462</v>
      </c>
      <c r="E15137" s="41" t="n">
        <v>13423.54</v>
      </c>
    </row>
    <row r="15138">
      <c r="A15138" s="42">
        <f>_xlfn.XLOOKUP(82115,Trip[shape_id],Trip[shape_id],"Não encontrado")</f>
        <v/>
      </c>
      <c r="B15138" s="43" t="n">
        <v>-23.598845</v>
      </c>
      <c r="C15138" s="43" t="n">
        <v>-46.513172</v>
      </c>
      <c r="D15138" s="43" t="n">
        <v>463</v>
      </c>
      <c r="E15138" s="44" t="n">
        <v>13443.236</v>
      </c>
    </row>
    <row r="15139">
      <c r="A15139" s="39">
        <f>_xlfn.XLOOKUP(82115,Trip[shape_id],Trip[shape_id],"Não encontrado")</f>
        <v/>
      </c>
      <c r="B15139" s="40" t="n">
        <v>-23.598985</v>
      </c>
      <c r="C15139" s="40" t="n">
        <v>-46.513053</v>
      </c>
      <c r="D15139" s="40" t="n">
        <v>464</v>
      </c>
      <c r="E15139" s="41" t="n">
        <v>13443.236</v>
      </c>
    </row>
    <row r="15140">
      <c r="A15140" s="42">
        <f>_xlfn.XLOOKUP(82115,Trip[shape_id],Trip[shape_id],"Não encontrado")</f>
        <v/>
      </c>
      <c r="B15140" s="43" t="n">
        <v>-23.599192</v>
      </c>
      <c r="C15140" s="43" t="n">
        <v>-46.513098</v>
      </c>
      <c r="D15140" s="43" t="n">
        <v>465</v>
      </c>
      <c r="E15140" s="44" t="n">
        <v>13474.753</v>
      </c>
    </row>
    <row r="15141">
      <c r="A15141" s="39">
        <f>_xlfn.XLOOKUP(82115,Trip[shape_id],Trip[shape_id],"Não encontrado")</f>
        <v/>
      </c>
      <c r="B15141" s="40" t="n">
        <v>-23.599252</v>
      </c>
      <c r="C15141" s="40" t="n">
        <v>-46.513144</v>
      </c>
      <c r="D15141" s="40" t="n">
        <v>466</v>
      </c>
      <c r="E15141" s="41" t="n">
        <v>13483.257</v>
      </c>
    </row>
    <row r="15142">
      <c r="A15142" s="42">
        <f>_xlfn.XLOOKUP(82115,Trip[shape_id],Trip[shape_id],"Não encontrado")</f>
        <v/>
      </c>
      <c r="B15142" s="43" t="n">
        <v>-23.599308</v>
      </c>
      <c r="C15142" s="43" t="n">
        <v>-46.513201</v>
      </c>
      <c r="D15142" s="43" t="n">
        <v>467</v>
      </c>
      <c r="E15142" s="44" t="n">
        <v>13483.257</v>
      </c>
    </row>
    <row r="15143">
      <c r="A15143" s="39">
        <f>_xlfn.XLOOKUP(82115,Trip[shape_id],Trip[shape_id],"Não encontrado")</f>
        <v/>
      </c>
      <c r="B15143" s="40" t="n">
        <v>-23.599327</v>
      </c>
      <c r="C15143" s="40" t="n">
        <v>-46.513258</v>
      </c>
      <c r="D15143" s="40" t="n">
        <v>468</v>
      </c>
      <c r="E15143" s="41" t="n">
        <v>13499.564</v>
      </c>
    </row>
    <row r="15144">
      <c r="A15144" s="42">
        <f>_xlfn.XLOOKUP(82115,Trip[shape_id],Trip[shape_id],"Não encontrado")</f>
        <v/>
      </c>
      <c r="B15144" s="43" t="n">
        <v>-23.599346</v>
      </c>
      <c r="C15144" s="43" t="n">
        <v>-46.513355</v>
      </c>
      <c r="D15144" s="43" t="n">
        <v>469</v>
      </c>
      <c r="E15144" s="44" t="n">
        <v>13510.689</v>
      </c>
    </row>
    <row r="15145">
      <c r="A15145" s="39">
        <f>_xlfn.XLOOKUP(82115,Trip[shape_id],Trip[shape_id],"Não encontrado")</f>
        <v/>
      </c>
      <c r="B15145" s="40" t="n">
        <v>-23.599346</v>
      </c>
      <c r="C15145" s="40" t="n">
        <v>-46.513464</v>
      </c>
      <c r="D15145" s="40" t="n">
        <v>470</v>
      </c>
      <c r="E15145" s="41" t="n">
        <v>13566.469</v>
      </c>
    </row>
    <row r="15146">
      <c r="A15146" s="42">
        <f>_xlfn.XLOOKUP(82115,Trip[shape_id],Trip[shape_id],"Não encontrado")</f>
        <v/>
      </c>
      <c r="B15146" s="43" t="n">
        <v>-23.599289</v>
      </c>
      <c r="C15146" s="43" t="n">
        <v>-46.514007</v>
      </c>
      <c r="D15146" s="43" t="n">
        <v>471</v>
      </c>
      <c r="E15146" s="44" t="n">
        <v>13566.469</v>
      </c>
    </row>
    <row r="15147">
      <c r="A15147" s="39">
        <f>_xlfn.XLOOKUP(82115,Trip[shape_id],Trip[shape_id],"Não encontrado")</f>
        <v/>
      </c>
      <c r="B15147" s="40" t="n">
        <v>-23.599245</v>
      </c>
      <c r="C15147" s="40" t="n">
        <v>-46.514487</v>
      </c>
      <c r="D15147" s="40" t="n">
        <v>472</v>
      </c>
      <c r="E15147" s="41" t="n">
        <v>13615.701</v>
      </c>
    </row>
    <row r="15148">
      <c r="A15148" s="42">
        <f>_xlfn.XLOOKUP(82115,Trip[shape_id],Trip[shape_id],"Não encontrado")</f>
        <v/>
      </c>
      <c r="B15148" s="43" t="n">
        <v>-23.599222</v>
      </c>
      <c r="C15148" s="43" t="n">
        <v>-46.514727</v>
      </c>
      <c r="D15148" s="43" t="n">
        <v>473</v>
      </c>
      <c r="E15148" s="44" t="n">
        <v>13654.153</v>
      </c>
    </row>
    <row r="15149">
      <c r="A15149" s="39">
        <f>_xlfn.XLOOKUP(82115,Trip[shape_id],Trip[shape_id],"Não encontrado")</f>
        <v/>
      </c>
      <c r="B15149" s="40" t="n">
        <v>-23.599194</v>
      </c>
      <c r="C15149" s="40" t="n">
        <v>-46.514859</v>
      </c>
      <c r="D15149" s="40" t="n">
        <v>474</v>
      </c>
      <c r="E15149" s="41" t="n">
        <v>13654.153</v>
      </c>
    </row>
    <row r="15150">
      <c r="A15150" s="42">
        <f>_xlfn.XLOOKUP(82115,Trip[shape_id],Trip[shape_id],"Não encontrado")</f>
        <v/>
      </c>
      <c r="B15150" s="43" t="n">
        <v>-23.599169</v>
      </c>
      <c r="C15150" s="43" t="n">
        <v>-46.514959</v>
      </c>
      <c r="D15150" s="43" t="n">
        <v>475</v>
      </c>
      <c r="E15150" s="44" t="n">
        <v>13675.698</v>
      </c>
    </row>
    <row r="15151">
      <c r="A15151" s="39">
        <f>_xlfn.XLOOKUP(82115,Trip[shape_id],Trip[shape_id],"Não encontrado")</f>
        <v/>
      </c>
      <c r="B15151" s="40" t="n">
        <v>-23.599144</v>
      </c>
      <c r="C15151" s="40" t="n">
        <v>-46.515063</v>
      </c>
      <c r="D15151" s="40" t="n">
        <v>476</v>
      </c>
      <c r="E15151" s="41" t="n">
        <v>13675.698</v>
      </c>
    </row>
    <row r="15152">
      <c r="A15152" s="42">
        <f>_xlfn.XLOOKUP(82115,Trip[shape_id],Trip[shape_id],"Não encontrado")</f>
        <v/>
      </c>
      <c r="B15152" s="43" t="n">
        <v>-23.599125</v>
      </c>
      <c r="C15152" s="43" t="n">
        <v>-46.515159</v>
      </c>
      <c r="D15152" s="43" t="n">
        <v>477</v>
      </c>
      <c r="E15152" s="44" t="n">
        <v>13694.874</v>
      </c>
    </row>
    <row r="15153">
      <c r="A15153" s="39">
        <f>_xlfn.XLOOKUP(82115,Trip[shape_id],Trip[shape_id],"Não encontrado")</f>
        <v/>
      </c>
      <c r="B15153" s="40" t="n">
        <v>-23.599109</v>
      </c>
      <c r="C15153" s="40" t="n">
        <v>-46.515247</v>
      </c>
      <c r="D15153" s="40" t="n">
        <v>478</v>
      </c>
      <c r="E15153" s="41" t="n">
        <v>13702.423</v>
      </c>
    </row>
    <row r="15154">
      <c r="A15154" s="42">
        <f>_xlfn.XLOOKUP(82115,Trip[shape_id],Trip[shape_id],"Não encontrado")</f>
        <v/>
      </c>
      <c r="B15154" s="43" t="n">
        <v>-23.599098</v>
      </c>
      <c r="C15154" s="43" t="n">
        <v>-46.51532</v>
      </c>
      <c r="D15154" s="43" t="n">
        <v>479</v>
      </c>
      <c r="E15154" s="44" t="n">
        <v>13713.168</v>
      </c>
    </row>
    <row r="15155">
      <c r="A15155" s="39">
        <f>_xlfn.XLOOKUP(82115,Trip[shape_id],Trip[shape_id],"Não encontrado")</f>
        <v/>
      </c>
      <c r="B15155" s="40" t="n">
        <v>-23.599091</v>
      </c>
      <c r="C15155" s="40" t="n">
        <v>-46.515425</v>
      </c>
      <c r="D15155" s="40" t="n">
        <v>480</v>
      </c>
      <c r="E15155" s="41" t="n">
        <v>13730.439</v>
      </c>
    </row>
    <row r="15156">
      <c r="A15156" s="42">
        <f>_xlfn.XLOOKUP(82115,Trip[shape_id],Trip[shape_id],"Não encontrado")</f>
        <v/>
      </c>
      <c r="B15156" s="43" t="n">
        <v>-23.599099</v>
      </c>
      <c r="C15156" s="43" t="n">
        <v>-46.515594</v>
      </c>
      <c r="D15156" s="43" t="n">
        <v>481</v>
      </c>
      <c r="E15156" s="44" t="n">
        <v>13730.439</v>
      </c>
    </row>
    <row r="15157">
      <c r="A15157" s="39">
        <f>_xlfn.XLOOKUP(82115,Trip[shape_id],Trip[shape_id],"Não encontrado")</f>
        <v/>
      </c>
      <c r="B15157" s="40" t="n">
        <v>-23.599207</v>
      </c>
      <c r="C15157" s="40" t="n">
        <v>-46.515344</v>
      </c>
      <c r="D15157" s="40" t="n">
        <v>482</v>
      </c>
      <c r="E15157" s="41" t="n">
        <v>13758.62</v>
      </c>
    </row>
    <row r="15158">
      <c r="A15158" s="42">
        <f>_xlfn.XLOOKUP(82115,Trip[shape_id],Trip[shape_id],"Não encontrado")</f>
        <v/>
      </c>
      <c r="B15158" s="43" t="n">
        <v>-23.599295</v>
      </c>
      <c r="C15158" s="43" t="n">
        <v>-46.515094</v>
      </c>
      <c r="D15158" s="43" t="n">
        <v>483</v>
      </c>
      <c r="E15158" s="44" t="n">
        <v>13785.934</v>
      </c>
    </row>
    <row r="15159">
      <c r="A15159" s="39">
        <f>_xlfn.XLOOKUP(82115,Trip[shape_id],Trip[shape_id],"Não encontrado")</f>
        <v/>
      </c>
      <c r="B15159" s="40" t="n">
        <v>-23.599402</v>
      </c>
      <c r="C15159" s="40" t="n">
        <v>-46.514851</v>
      </c>
      <c r="D15159" s="40" t="n">
        <v>484</v>
      </c>
      <c r="E15159" s="41" t="n">
        <v>13813.421</v>
      </c>
    </row>
    <row r="15160">
      <c r="A15160" s="42">
        <f>_xlfn.XLOOKUP(82115,Trip[shape_id],Trip[shape_id],"Não encontrado")</f>
        <v/>
      </c>
      <c r="B15160" s="43" t="n">
        <v>-23.599507</v>
      </c>
      <c r="C15160" s="43" t="n">
        <v>-46.514594</v>
      </c>
      <c r="D15160" s="43" t="n">
        <v>485</v>
      </c>
      <c r="E15160" s="44" t="n">
        <v>13842.113</v>
      </c>
    </row>
    <row r="15161">
      <c r="A15161" s="39">
        <f>_xlfn.XLOOKUP(82115,Trip[shape_id],Trip[shape_id],"Não encontrado")</f>
        <v/>
      </c>
      <c r="B15161" s="40" t="n">
        <v>-23.599665</v>
      </c>
      <c r="C15161" s="40" t="n">
        <v>-46.514193</v>
      </c>
      <c r="D15161" s="40" t="n">
        <v>486</v>
      </c>
      <c r="E15161" s="41" t="n">
        <v>13886.625</v>
      </c>
    </row>
    <row r="15162">
      <c r="A15162" s="42">
        <f>_xlfn.XLOOKUP(82115,Trip[shape_id],Trip[shape_id],"Não encontrado")</f>
        <v/>
      </c>
      <c r="B15162" s="43" t="n">
        <v>-23.599852</v>
      </c>
      <c r="C15162" s="43" t="n">
        <v>-46.513743</v>
      </c>
      <c r="D15162" s="43" t="n">
        <v>487</v>
      </c>
      <c r="E15162" s="44" t="n">
        <v>13937.008</v>
      </c>
    </row>
    <row r="15163">
      <c r="A15163" s="39">
        <f>_xlfn.XLOOKUP(82115,Trip[shape_id],Trip[shape_id],"Não encontrado")</f>
        <v/>
      </c>
      <c r="B15163" s="40" t="n">
        <v>-23.599881</v>
      </c>
      <c r="C15163" s="40" t="n">
        <v>-46.513652</v>
      </c>
      <c r="D15163" s="40" t="n">
        <v>488</v>
      </c>
      <c r="E15163" s="41" t="n">
        <v>13946.835</v>
      </c>
    </row>
    <row r="15164">
      <c r="A15164" s="42">
        <f>_xlfn.XLOOKUP(82115,Trip[shape_id],Trip[shape_id],"Não encontrado")</f>
        <v/>
      </c>
      <c r="B15164" s="43" t="n">
        <v>-23.59996</v>
      </c>
      <c r="C15164" s="43" t="n">
        <v>-46.513456</v>
      </c>
      <c r="D15164" s="43" t="n">
        <v>489</v>
      </c>
      <c r="E15164" s="44" t="n">
        <v>13994.53</v>
      </c>
    </row>
    <row r="15165">
      <c r="A15165" s="39">
        <f>_xlfn.XLOOKUP(82115,Trip[shape_id],Trip[shape_id],"Não encontrado")</f>
        <v/>
      </c>
      <c r="B15165" s="40" t="n">
        <v>-23.600045</v>
      </c>
      <c r="C15165" s="40" t="n">
        <v>-46.51322</v>
      </c>
      <c r="D15165" s="40" t="n">
        <v>490</v>
      </c>
      <c r="E15165" s="41" t="n">
        <v>14035.825</v>
      </c>
    </row>
    <row r="15166">
      <c r="A15166" s="42">
        <f>_xlfn.XLOOKUP(82115,Trip[shape_id],Trip[shape_id],"Não encontrado")</f>
        <v/>
      </c>
      <c r="B15166" s="43" t="n">
        <v>-23.600185</v>
      </c>
      <c r="C15166" s="43" t="n">
        <v>-46.512845</v>
      </c>
      <c r="D15166" s="43" t="n">
        <v>491</v>
      </c>
      <c r="E15166" s="44" t="n">
        <v>14057.424</v>
      </c>
    </row>
    <row r="15167">
      <c r="A15167" s="39">
        <f>_xlfn.XLOOKUP(82115,Trip[shape_id],Trip[shape_id],"Não encontrado")</f>
        <v/>
      </c>
      <c r="B15167" s="40" t="n">
        <v>-23.600267</v>
      </c>
      <c r="C15167" s="40" t="n">
        <v>-46.512653</v>
      </c>
      <c r="D15167" s="40" t="n">
        <v>492</v>
      </c>
      <c r="E15167" s="41" t="n">
        <v>14065.684</v>
      </c>
    </row>
    <row r="15168">
      <c r="A15168" s="42">
        <f>_xlfn.XLOOKUP(82115,Trip[shape_id],Trip[shape_id],"Não encontrado")</f>
        <v/>
      </c>
      <c r="B15168" s="43" t="n">
        <v>-23.600295</v>
      </c>
      <c r="C15168" s="43" t="n">
        <v>-46.512578</v>
      </c>
      <c r="D15168" s="43" t="n">
        <v>493</v>
      </c>
      <c r="E15168" s="44" t="n">
        <v>14079.779</v>
      </c>
    </row>
    <row r="15169">
      <c r="A15169" s="39">
        <f>_xlfn.XLOOKUP(82115,Trip[shape_id],Trip[shape_id],"Não encontrado")</f>
        <v/>
      </c>
      <c r="B15169" s="40" t="n">
        <v>-23.600358</v>
      </c>
      <c r="C15169" s="40" t="n">
        <v>-46.512458</v>
      </c>
      <c r="D15169" s="40" t="n">
        <v>494</v>
      </c>
      <c r="E15169" s="41" t="n">
        <v>14087.287</v>
      </c>
    </row>
    <row r="15170">
      <c r="A15170" s="42">
        <f>_xlfn.XLOOKUP(82115,Trip[shape_id],Trip[shape_id],"Não encontrado")</f>
        <v/>
      </c>
      <c r="B15170" s="43" t="n">
        <v>-23.600393</v>
      </c>
      <c r="C15170" s="43" t="n">
        <v>-46.512395</v>
      </c>
      <c r="D15170" s="43" t="n">
        <v>495</v>
      </c>
      <c r="E15170" s="44" t="n">
        <v>14100.222</v>
      </c>
    </row>
    <row r="15171">
      <c r="A15171" s="39">
        <f>_xlfn.XLOOKUP(82115,Trip[shape_id],Trip[shape_id],"Não encontrado")</f>
        <v/>
      </c>
      <c r="B15171" s="40" t="n">
        <v>-23.600457</v>
      </c>
      <c r="C15171" s="40" t="n">
        <v>-46.512289</v>
      </c>
      <c r="D15171" s="40" t="n">
        <v>496</v>
      </c>
      <c r="E15171" s="41" t="n">
        <v>14109.468</v>
      </c>
    </row>
    <row r="15172">
      <c r="A15172" s="42">
        <f>_xlfn.XLOOKUP(82115,Trip[shape_id],Trip[shape_id],"Não encontrado")</f>
        <v/>
      </c>
      <c r="B15172" s="43" t="n">
        <v>-23.60051</v>
      </c>
      <c r="C15172" s="43" t="n">
        <v>-46.512219</v>
      </c>
      <c r="D15172" s="43" t="n">
        <v>497</v>
      </c>
      <c r="E15172" s="44" t="n">
        <v>14119.312</v>
      </c>
    </row>
    <row r="15173">
      <c r="A15173" s="39">
        <f>_xlfn.XLOOKUP(82115,Trip[shape_id],Trip[shape_id],"Não encontrado")</f>
        <v/>
      </c>
      <c r="B15173" s="40" t="n">
        <v>-23.600567</v>
      </c>
      <c r="C15173" s="40" t="n">
        <v>-46.512145</v>
      </c>
      <c r="D15173" s="40" t="n">
        <v>498</v>
      </c>
      <c r="E15173" s="41" t="n">
        <v>14119.312</v>
      </c>
    </row>
    <row r="15174">
      <c r="A15174" s="42">
        <f>_xlfn.XLOOKUP(82115,Trip[shape_id],Trip[shape_id],"Não encontrado")</f>
        <v/>
      </c>
      <c r="B15174" s="43" t="n">
        <v>-23.600627</v>
      </c>
      <c r="C15174" s="43" t="n">
        <v>-46.512089</v>
      </c>
      <c r="D15174" s="43" t="n">
        <v>499</v>
      </c>
      <c r="E15174" s="44" t="n">
        <v>14134.94</v>
      </c>
    </row>
    <row r="15175">
      <c r="A15175" s="39">
        <f>_xlfn.XLOOKUP(82115,Trip[shape_id],Trip[shape_id],"Não encontrado")</f>
        <v/>
      </c>
      <c r="B15175" s="40" t="n">
        <v>-23.600682</v>
      </c>
      <c r="C15175" s="40" t="n">
        <v>-46.512058</v>
      </c>
      <c r="D15175" s="40" t="n">
        <v>500</v>
      </c>
      <c r="E15175" s="41" t="n">
        <v>14134.94</v>
      </c>
    </row>
    <row r="15176">
      <c r="A15176" s="42">
        <f>_xlfn.XLOOKUP(82115,Trip[shape_id],Trip[shape_id],"Não encontrado")</f>
        <v/>
      </c>
      <c r="B15176" s="43" t="n">
        <v>-23.601102</v>
      </c>
      <c r="C15176" s="43" t="n">
        <v>-46.511755</v>
      </c>
      <c r="D15176" s="43" t="n">
        <v>501</v>
      </c>
      <c r="E15176" s="44" t="n">
        <v>14190.798</v>
      </c>
    </row>
    <row r="15177">
      <c r="A15177" s="39">
        <f>_xlfn.XLOOKUP(82115,Trip[shape_id],Trip[shape_id],"Não encontrado")</f>
        <v/>
      </c>
      <c r="B15177" s="40" t="n">
        <v>-23.602525</v>
      </c>
      <c r="C15177" s="40" t="n">
        <v>-46.510635</v>
      </c>
      <c r="D15177" s="40" t="n">
        <v>502</v>
      </c>
      <c r="E15177" s="41" t="n">
        <v>14385.489</v>
      </c>
    </row>
    <row r="15178">
      <c r="A15178" s="42">
        <f>_xlfn.XLOOKUP(82115,Trip[shape_id],Trip[shape_id],"Não encontrado")</f>
        <v/>
      </c>
      <c r="B15178" s="43" t="n">
        <v>-23.6027</v>
      </c>
      <c r="C15178" s="43" t="n">
        <v>-46.5105</v>
      </c>
      <c r="D15178" s="43" t="n">
        <v>503</v>
      </c>
      <c r="E15178" s="44" t="n">
        <v>14409.27</v>
      </c>
    </row>
    <row r="15179">
      <c r="A15179" s="39">
        <f>_xlfn.XLOOKUP(82115,Trip[shape_id],Trip[shape_id],"Não encontrado")</f>
        <v/>
      </c>
      <c r="B15179" s="40" t="n">
        <v>-23.602731</v>
      </c>
      <c r="C15179" s="40" t="n">
        <v>-46.510475</v>
      </c>
      <c r="D15179" s="40" t="n">
        <v>504</v>
      </c>
      <c r="E15179" s="41" t="n">
        <v>14413.548</v>
      </c>
    </row>
    <row r="15180">
      <c r="A15180" s="42">
        <f>_xlfn.XLOOKUP(82115,Trip[shape_id],Trip[shape_id],"Não encontrado")</f>
        <v/>
      </c>
      <c r="B15180" s="43" t="n">
        <v>-23.603059</v>
      </c>
      <c r="C15180" s="43" t="n">
        <v>-46.510208</v>
      </c>
      <c r="D15180" s="43" t="n">
        <v>505</v>
      </c>
      <c r="E15180" s="44" t="n">
        <v>14458.96</v>
      </c>
    </row>
    <row r="15181">
      <c r="A15181" s="39">
        <f>_xlfn.XLOOKUP(82115,Trip[shape_id],Trip[shape_id],"Não encontrado")</f>
        <v/>
      </c>
      <c r="B15181" s="40" t="n">
        <v>-23.603403</v>
      </c>
      <c r="C15181" s="40" t="n">
        <v>-46.509931</v>
      </c>
      <c r="D15181" s="40" t="n">
        <v>506</v>
      </c>
      <c r="E15181" s="41" t="n">
        <v>14506.402</v>
      </c>
    </row>
    <row r="15182">
      <c r="A15182" s="42">
        <f>_xlfn.XLOOKUP(82115,Trip[shape_id],Trip[shape_id],"Não encontrado")</f>
        <v/>
      </c>
      <c r="B15182" s="43" t="n">
        <v>-23.603793</v>
      </c>
      <c r="C15182" s="43" t="n">
        <v>-46.509635</v>
      </c>
      <c r="D15182" s="43" t="n">
        <v>507</v>
      </c>
      <c r="E15182" s="44" t="n">
        <v>14559.112</v>
      </c>
    </row>
    <row r="15183">
      <c r="A15183" s="39">
        <f>_xlfn.XLOOKUP(82115,Trip[shape_id],Trip[shape_id],"Não encontrado")</f>
        <v/>
      </c>
      <c r="B15183" s="40" t="n">
        <v>-23.603941</v>
      </c>
      <c r="C15183" s="40" t="n">
        <v>-46.509509</v>
      </c>
      <c r="D15183" s="40" t="n">
        <v>508</v>
      </c>
      <c r="E15183" s="41" t="n">
        <v>14579.946</v>
      </c>
    </row>
    <row r="15184">
      <c r="A15184" s="42">
        <f>_xlfn.XLOOKUP(82115,Trip[shape_id],Trip[shape_id],"Não encontrado")</f>
        <v/>
      </c>
      <c r="B15184" s="43" t="n">
        <v>-23.604054</v>
      </c>
      <c r="C15184" s="43" t="n">
        <v>-46.509485</v>
      </c>
      <c r="D15184" s="43" t="n">
        <v>509</v>
      </c>
      <c r="E15184" s="44" t="n">
        <v>14613.587</v>
      </c>
    </row>
    <row r="15185">
      <c r="A15185" s="39">
        <f>_xlfn.XLOOKUP(82115,Trip[shape_id],Trip[shape_id],"Não encontrado")</f>
        <v/>
      </c>
      <c r="B15185" s="40" t="n">
        <v>-23.604222</v>
      </c>
      <c r="C15185" s="40" t="n">
        <v>-46.509392</v>
      </c>
      <c r="D15185" s="40" t="n">
        <v>510</v>
      </c>
      <c r="E15185" s="41" t="n">
        <v>14633.216</v>
      </c>
    </row>
    <row r="15186">
      <c r="A15186" s="42">
        <f>_xlfn.XLOOKUP(82115,Trip[shape_id],Trip[shape_id],"Não encontrado")</f>
        <v/>
      </c>
      <c r="B15186" s="43" t="n">
        <v>-23.604384</v>
      </c>
      <c r="C15186" s="43" t="n">
        <v>-46.509314</v>
      </c>
      <c r="D15186" s="43" t="n">
        <v>511</v>
      </c>
      <c r="E15186" s="44" t="n">
        <v>14633.216</v>
      </c>
    </row>
    <row r="15187">
      <c r="A15187" s="39">
        <f>_xlfn.XLOOKUP(82115,Trip[shape_id],Trip[shape_id],"Não encontrado")</f>
        <v/>
      </c>
      <c r="B15187" s="40" t="n">
        <v>-23.604561</v>
      </c>
      <c r="C15187" s="40" t="n">
        <v>-46.50921</v>
      </c>
      <c r="D15187" s="40" t="n">
        <v>512</v>
      </c>
      <c r="E15187" s="41" t="n">
        <v>14663.189</v>
      </c>
    </row>
    <row r="15188">
      <c r="A15188" s="42">
        <f>_xlfn.XLOOKUP(82115,Trip[shape_id],Trip[shape_id],"Não encontrado")</f>
        <v/>
      </c>
      <c r="B15188" s="43" t="n">
        <v>-23.604625</v>
      </c>
      <c r="C15188" s="43" t="n">
        <v>-46.509181</v>
      </c>
      <c r="D15188" s="43" t="n">
        <v>513</v>
      </c>
      <c r="E15188" s="44" t="n">
        <v>14663.189</v>
      </c>
    </row>
    <row r="15189">
      <c r="A15189" s="39">
        <f>_xlfn.XLOOKUP(82115,Trip[shape_id],Trip[shape_id],"Não encontrado")</f>
        <v/>
      </c>
      <c r="B15189" s="40" t="n">
        <v>-23.604729</v>
      </c>
      <c r="C15189" s="40" t="n">
        <v>-46.50908</v>
      </c>
      <c r="D15189" s="40" t="n">
        <v>514</v>
      </c>
      <c r="E15189" s="41" t="n">
        <v>14705.387</v>
      </c>
    </row>
    <row r="15190">
      <c r="A15190" s="42">
        <f>_xlfn.XLOOKUP(82115,Trip[shape_id],Trip[shape_id],"Não encontrado")</f>
        <v/>
      </c>
      <c r="B15190" s="43" t="n">
        <v>-23.604925</v>
      </c>
      <c r="C15190" s="43" t="n">
        <v>-46.508927</v>
      </c>
      <c r="D15190" s="43" t="n">
        <v>515</v>
      </c>
      <c r="E15190" s="44" t="n">
        <v>14798.502</v>
      </c>
    </row>
    <row r="15191">
      <c r="A15191" s="39">
        <f>_xlfn.XLOOKUP(82115,Trip[shape_id],Trip[shape_id],"Não encontrado")</f>
        <v/>
      </c>
      <c r="B15191" s="40" t="n">
        <v>-23.605619</v>
      </c>
      <c r="C15191" s="40" t="n">
        <v>-46.508412</v>
      </c>
      <c r="D15191" s="40" t="n">
        <v>516</v>
      </c>
      <c r="E15191" s="41" t="n">
        <v>14851.242</v>
      </c>
    </row>
    <row r="15192">
      <c r="A15192" s="42">
        <f>_xlfn.XLOOKUP(82115,Trip[shape_id],Trip[shape_id],"Não encontrado")</f>
        <v/>
      </c>
      <c r="B15192" s="43" t="n">
        <v>-23.606015</v>
      </c>
      <c r="C15192" s="43" t="n">
        <v>-46.508125</v>
      </c>
      <c r="D15192" s="43" t="n">
        <v>517</v>
      </c>
      <c r="E15192" s="44" t="n">
        <v>14851.242</v>
      </c>
    </row>
    <row r="15193">
      <c r="A15193" s="39">
        <f>_xlfn.XLOOKUP(82115,Trip[shape_id],Trip[shape_id],"Não encontrado")</f>
        <v/>
      </c>
      <c r="B15193" s="40" t="n">
        <v>-23.606176</v>
      </c>
      <c r="C15193" s="40" t="n">
        <v>-46.508018</v>
      </c>
      <c r="D15193" s="40" t="n">
        <v>518</v>
      </c>
      <c r="E15193" s="41" t="n">
        <v>14872.151</v>
      </c>
    </row>
    <row r="15194">
      <c r="A15194" s="42">
        <f>_xlfn.XLOOKUP(82115,Trip[shape_id],Trip[shape_id],"Não encontrado")</f>
        <v/>
      </c>
      <c r="B15194" s="43" t="n">
        <v>-23.606482</v>
      </c>
      <c r="C15194" s="43" t="n">
        <v>-46.507812</v>
      </c>
      <c r="D15194" s="43" t="n">
        <v>519</v>
      </c>
      <c r="E15194" s="44" t="n">
        <v>14954.976</v>
      </c>
    </row>
    <row r="15195">
      <c r="A15195" s="39">
        <f>_xlfn.XLOOKUP(82115,Trip[shape_id],Trip[shape_id],"Não encontrado")</f>
        <v/>
      </c>
      <c r="B15195" s="40" t="n">
        <v>-23.606803</v>
      </c>
      <c r="C15195" s="40" t="n">
        <v>-46.507576</v>
      </c>
      <c r="D15195" s="40" t="n">
        <v>520</v>
      </c>
      <c r="E15195" s="41" t="n">
        <v>14954.976</v>
      </c>
    </row>
    <row r="15196">
      <c r="A15196" s="42">
        <f>_xlfn.XLOOKUP(82115,Trip[shape_id],Trip[shape_id],"Não encontrado")</f>
        <v/>
      </c>
      <c r="B15196" s="43" t="n">
        <v>-23.606993</v>
      </c>
      <c r="C15196" s="43" t="n">
        <v>-46.507428</v>
      </c>
      <c r="D15196" s="43" t="n">
        <v>521</v>
      </c>
      <c r="E15196" s="44" t="n">
        <v>15020.451</v>
      </c>
    </row>
    <row r="15197">
      <c r="A15197" s="39">
        <f>_xlfn.XLOOKUP(82115,Trip[shape_id],Trip[shape_id],"Não encontrado")</f>
        <v/>
      </c>
      <c r="B15197" s="40" t="n">
        <v>-23.607298</v>
      </c>
      <c r="C15197" s="40" t="n">
        <v>-46.507226</v>
      </c>
      <c r="D15197" s="40" t="n">
        <v>522</v>
      </c>
      <c r="E15197" s="41" t="n">
        <v>15067.207</v>
      </c>
    </row>
    <row r="15198">
      <c r="A15198" s="42">
        <f>_xlfn.XLOOKUP(82115,Trip[shape_id],Trip[shape_id],"Não encontrado")</f>
        <v/>
      </c>
      <c r="B15198" s="43" t="n">
        <v>-23.607676</v>
      </c>
      <c r="C15198" s="43" t="n">
        <v>-46.507022</v>
      </c>
      <c r="D15198" s="43" t="n">
        <v>523</v>
      </c>
      <c r="E15198" s="44" t="n">
        <v>15107.092</v>
      </c>
    </row>
    <row r="15199">
      <c r="A15199" s="39">
        <f>_xlfn.XLOOKUP(82115,Trip[shape_id],Trip[shape_id],"Não encontrado")</f>
        <v/>
      </c>
      <c r="B15199" s="40" t="n">
        <v>-23.607998</v>
      </c>
      <c r="C15199" s="40" t="n">
        <v>-46.506847</v>
      </c>
      <c r="D15199" s="40" t="n">
        <v>524</v>
      </c>
      <c r="E15199" s="41" t="n">
        <v>15117.715</v>
      </c>
    </row>
    <row r="15200">
      <c r="A15200" s="42">
        <f>_xlfn.XLOOKUP(82115,Trip[shape_id],Trip[shape_id],"Não encontrado")</f>
        <v/>
      </c>
      <c r="B15200" s="43" t="n">
        <v>-23.60808</v>
      </c>
      <c r="C15200" s="43" t="n">
        <v>-46.506793</v>
      </c>
      <c r="D15200" s="43" t="n">
        <v>525</v>
      </c>
      <c r="E15200" s="44" t="n">
        <v>15128.556</v>
      </c>
    </row>
    <row r="15201">
      <c r="A15201" s="39">
        <f>_xlfn.XLOOKUP(82115,Trip[shape_id],Trip[shape_id],"Não encontrado")</f>
        <v/>
      </c>
      <c r="B15201" s="40" t="n">
        <v>-23.608162</v>
      </c>
      <c r="C15201" s="40" t="n">
        <v>-46.506735</v>
      </c>
      <c r="D15201" s="40" t="n">
        <v>526</v>
      </c>
      <c r="E15201" s="41" t="n">
        <v>15140.231</v>
      </c>
    </row>
    <row r="15202">
      <c r="A15202" s="42">
        <f>_xlfn.XLOOKUP(82115,Trip[shape_id],Trip[shape_id],"Não encontrado")</f>
        <v/>
      </c>
      <c r="B15202" s="43" t="n">
        <v>-23.60825</v>
      </c>
      <c r="C15202" s="43" t="n">
        <v>-46.506672</v>
      </c>
      <c r="D15202" s="43" t="n">
        <v>527</v>
      </c>
      <c r="E15202" s="44" t="n">
        <v>15159.2</v>
      </c>
    </row>
    <row r="15203">
      <c r="A15203" s="39">
        <f>_xlfn.XLOOKUP(82115,Trip[shape_id],Trip[shape_id],"Não encontrado")</f>
        <v/>
      </c>
      <c r="B15203" s="40" t="n">
        <v>-23.60838</v>
      </c>
      <c r="C15203" s="40" t="n">
        <v>-46.506551</v>
      </c>
      <c r="D15203" s="40" t="n">
        <v>528</v>
      </c>
      <c r="E15203" s="41" t="n">
        <v>15176.616</v>
      </c>
    </row>
    <row r="15204">
      <c r="A15204" s="42">
        <f>_xlfn.XLOOKUP(82115,Trip[shape_id],Trip[shape_id],"Não encontrado")</f>
        <v/>
      </c>
      <c r="B15204" s="43" t="n">
        <v>-23.608489</v>
      </c>
      <c r="C15204" s="43" t="n">
        <v>-46.506428</v>
      </c>
      <c r="D15204" s="43" t="n">
        <v>529</v>
      </c>
      <c r="E15204" s="44" t="n">
        <v>15176.616</v>
      </c>
    </row>
    <row r="15205">
      <c r="A15205" s="39">
        <f>_xlfn.XLOOKUP(82115,Trip[shape_id],Trip[shape_id],"Não encontrado")</f>
        <v/>
      </c>
      <c r="B15205" s="40" t="n">
        <v>-23.608564</v>
      </c>
      <c r="C15205" s="40" t="n">
        <v>-46.506324</v>
      </c>
      <c r="D15205" s="40" t="n">
        <v>530</v>
      </c>
      <c r="E15205" s="41" t="n">
        <v>15237.017</v>
      </c>
    </row>
    <row r="15206">
      <c r="A15206" s="42">
        <f>_xlfn.XLOOKUP(82115,Trip[shape_id],Trip[shape_id],"Não encontrado")</f>
        <v/>
      </c>
      <c r="B15206" s="43" t="n">
        <v>-23.608824</v>
      </c>
      <c r="C15206" s="43" t="n">
        <v>-46.505961</v>
      </c>
      <c r="D15206" s="43" t="n">
        <v>531</v>
      </c>
      <c r="E15206" s="44" t="n">
        <v>15250.643</v>
      </c>
    </row>
    <row r="15207">
      <c r="A15207" s="39">
        <f>_xlfn.XLOOKUP(82115,Trip[shape_id],Trip[shape_id],"Não encontrado")</f>
        <v/>
      </c>
      <c r="B15207" s="40" t="n">
        <v>-23.6089</v>
      </c>
      <c r="C15207" s="40" t="n">
        <v>-46.505856</v>
      </c>
      <c r="D15207" s="40" t="n">
        <v>532</v>
      </c>
      <c r="E15207" s="41" t="n">
        <v>15279.136</v>
      </c>
    </row>
    <row r="15208">
      <c r="A15208" s="42">
        <f>_xlfn.XLOOKUP(82115,Trip[shape_id],Trip[shape_id],"Não encontrado")</f>
        <v/>
      </c>
      <c r="B15208" s="43" t="n">
        <v>-23.609063</v>
      </c>
      <c r="C15208" s="43" t="n">
        <v>-46.50564</v>
      </c>
      <c r="D15208" s="43" t="n">
        <v>533</v>
      </c>
      <c r="E15208" s="44" t="n">
        <v>15306.009</v>
      </c>
    </row>
    <row r="15209">
      <c r="A15209" s="39">
        <f>_xlfn.XLOOKUP(82115,Trip[shape_id],Trip[shape_id],"Não encontrado")</f>
        <v/>
      </c>
      <c r="B15209" s="40" t="n">
        <v>-23.609224</v>
      </c>
      <c r="C15209" s="40" t="n">
        <v>-46.505443</v>
      </c>
      <c r="D15209" s="40" t="n">
        <v>534</v>
      </c>
      <c r="E15209" s="41" t="n">
        <v>15306.009</v>
      </c>
    </row>
    <row r="15210">
      <c r="A15210" s="42">
        <f>_xlfn.XLOOKUP(82115,Trip[shape_id],Trip[shape_id],"Não encontrado")</f>
        <v/>
      </c>
      <c r="B15210" s="43" t="n">
        <v>-23.609701</v>
      </c>
      <c r="C15210" s="43" t="n">
        <v>-46.504793</v>
      </c>
      <c r="D15210" s="43" t="n">
        <v>535</v>
      </c>
      <c r="E15210" s="44" t="n">
        <v>15428.788</v>
      </c>
    </row>
    <row r="15211">
      <c r="A15211" s="39">
        <f>_xlfn.XLOOKUP(82115,Trip[shape_id],Trip[shape_id],"Não encontrado")</f>
        <v/>
      </c>
      <c r="B15211" s="40" t="n">
        <v>-23.609932</v>
      </c>
      <c r="C15211" s="40" t="n">
        <v>-46.504518</v>
      </c>
      <c r="D15211" s="40" t="n">
        <v>536</v>
      </c>
      <c r="E15211" s="41" t="n">
        <v>15448.707</v>
      </c>
    </row>
    <row r="15212">
      <c r="A15212" s="42">
        <f>_xlfn.XLOOKUP(82115,Trip[shape_id],Trip[shape_id],"Não encontrado")</f>
        <v/>
      </c>
      <c r="B15212" s="43" t="n">
        <v>-23.610061</v>
      </c>
      <c r="C15212" s="43" t="n">
        <v>-46.504382</v>
      </c>
      <c r="D15212" s="43" t="n">
        <v>537</v>
      </c>
      <c r="E15212" s="44" t="n">
        <v>15468.177</v>
      </c>
    </row>
    <row r="15213">
      <c r="A15213" s="39">
        <f>_xlfn.XLOOKUP(82115,Trip[shape_id],Trip[shape_id],"Não encontrado")</f>
        <v/>
      </c>
      <c r="B15213" s="40" t="n">
        <v>-23.610215</v>
      </c>
      <c r="C15213" s="40" t="n">
        <v>-46.50429</v>
      </c>
      <c r="D15213" s="40" t="n">
        <v>538</v>
      </c>
      <c r="E15213" s="41" t="n">
        <v>15468.177</v>
      </c>
    </row>
    <row r="15214">
      <c r="A15214" s="42">
        <f>_xlfn.XLOOKUP(82115,Trip[shape_id],Trip[shape_id],"Não encontrado")</f>
        <v/>
      </c>
      <c r="B15214" s="43" t="n">
        <v>-23.610361</v>
      </c>
      <c r="C15214" s="43" t="n">
        <v>-46.50424</v>
      </c>
      <c r="D15214" s="43" t="n">
        <v>539</v>
      </c>
      <c r="E15214" s="44" t="n">
        <v>15498.102</v>
      </c>
    </row>
    <row r="15215">
      <c r="A15215" s="39">
        <f>_xlfn.XLOOKUP(82115,Trip[shape_id],Trip[shape_id],"Não encontrado")</f>
        <v/>
      </c>
      <c r="B15215" s="40" t="n">
        <v>-23.610475</v>
      </c>
      <c r="C15215" s="40" t="n">
        <v>-46.504211</v>
      </c>
      <c r="D15215" s="40" t="n">
        <v>540</v>
      </c>
      <c r="E15215" s="41" t="n">
        <v>15498.102</v>
      </c>
    </row>
    <row r="15216">
      <c r="A15216" s="42">
        <f>_xlfn.XLOOKUP(82115,Trip[shape_id],Trip[shape_id],"Não encontrado")</f>
        <v/>
      </c>
      <c r="B15216" s="43" t="n">
        <v>-23.610612</v>
      </c>
      <c r="C15216" s="43" t="n">
        <v>-46.504206</v>
      </c>
      <c r="D15216" s="43" t="n">
        <v>541</v>
      </c>
      <c r="E15216" s="44" t="n">
        <v>15530.465</v>
      </c>
    </row>
    <row r="15217">
      <c r="A15217" s="39">
        <f>_xlfn.XLOOKUP(82115,Trip[shape_id],Trip[shape_id],"Não encontrado")</f>
        <v/>
      </c>
      <c r="B15217" s="40" t="n">
        <v>-23.610767</v>
      </c>
      <c r="C15217" s="40" t="n">
        <v>-46.504213</v>
      </c>
      <c r="D15217" s="40" t="n">
        <v>542</v>
      </c>
      <c r="E15217" s="41" t="n">
        <v>15545.898</v>
      </c>
    </row>
    <row r="15218">
      <c r="A15218" s="42">
        <f>_xlfn.XLOOKUP(82115,Trip[shape_id],Trip[shape_id],"Não encontrado")</f>
        <v/>
      </c>
      <c r="B15218" s="43" t="n">
        <v>-23.610905</v>
      </c>
      <c r="C15218" s="43" t="n">
        <v>-46.504234</v>
      </c>
      <c r="D15218" s="43" t="n">
        <v>543</v>
      </c>
      <c r="E15218" s="44" t="n">
        <v>15568.09</v>
      </c>
    </row>
    <row r="15219">
      <c r="A15219" s="39">
        <f>_xlfn.XLOOKUP(82115,Trip[shape_id],Trip[shape_id],"Não encontrado")</f>
        <v/>
      </c>
      <c r="B15219" s="40" t="n">
        <v>-23.6111</v>
      </c>
      <c r="C15219" s="40" t="n">
        <v>-46.504284</v>
      </c>
      <c r="D15219" s="40" t="n">
        <v>544</v>
      </c>
      <c r="E15219" s="41" t="n">
        <v>15587.777</v>
      </c>
    </row>
    <row r="15220">
      <c r="A15220" s="42">
        <f>_xlfn.XLOOKUP(82115,Trip[shape_id],Trip[shape_id],"Não encontrado")</f>
        <v/>
      </c>
      <c r="B15220" s="43" t="n">
        <v>-23.611266</v>
      </c>
      <c r="C15220" s="43" t="n">
        <v>-46.504353</v>
      </c>
      <c r="D15220" s="43" t="n">
        <v>545</v>
      </c>
      <c r="E15220" s="44" t="n">
        <v>15605.843</v>
      </c>
    </row>
    <row r="15221">
      <c r="A15221" s="39">
        <f>_xlfn.XLOOKUP(82115,Trip[shape_id],Trip[shape_id],"Não encontrado")</f>
        <v/>
      </c>
      <c r="B15221" s="40" t="n">
        <v>-23.611423</v>
      </c>
      <c r="C15221" s="40" t="n">
        <v>-46.504401</v>
      </c>
      <c r="D15221" s="40" t="n">
        <v>546</v>
      </c>
      <c r="E15221" s="41" t="n">
        <v>15623.48</v>
      </c>
    </row>
    <row r="15222">
      <c r="A15222" s="42">
        <f>_xlfn.XLOOKUP(82115,Trip[shape_id],Trip[shape_id],"Não encontrado")</f>
        <v/>
      </c>
      <c r="B15222" s="43" t="n">
        <v>-23.611577</v>
      </c>
      <c r="C15222" s="43" t="n">
        <v>-46.504445</v>
      </c>
      <c r="D15222" s="43" t="n">
        <v>547</v>
      </c>
      <c r="E15222" s="44" t="n">
        <v>15640.258</v>
      </c>
    </row>
    <row r="15223">
      <c r="A15223" s="39">
        <f>_xlfn.XLOOKUP(82115,Trip[shape_id],Trip[shape_id],"Não encontrado")</f>
        <v/>
      </c>
      <c r="B15223" s="40" t="n">
        <v>-23.611727</v>
      </c>
      <c r="C15223" s="40" t="n">
        <v>-46.504468</v>
      </c>
      <c r="D15223" s="40" t="n">
        <v>548</v>
      </c>
      <c r="E15223" s="41" t="n">
        <v>15640.258</v>
      </c>
    </row>
    <row r="15224">
      <c r="A15224" s="42">
        <f>_xlfn.XLOOKUP(82115,Trip[shape_id],Trip[shape_id],"Não encontrado")</f>
        <v/>
      </c>
      <c r="B15224" s="43" t="n">
        <v>-23.611832</v>
      </c>
      <c r="C15224" s="43" t="n">
        <v>-46.50448</v>
      </c>
      <c r="D15224" s="43" t="n">
        <v>549</v>
      </c>
      <c r="E15224" s="44" t="n">
        <v>15665.573</v>
      </c>
    </row>
    <row r="15225">
      <c r="A15225" s="39">
        <f>_xlfn.XLOOKUP(82115,Trip[shape_id],Trip[shape_id],"Não encontrado")</f>
        <v/>
      </c>
      <c r="B15225" s="40" t="n">
        <v>-23.611955</v>
      </c>
      <c r="C15225" s="40" t="n">
        <v>-46.50448</v>
      </c>
      <c r="D15225" s="40" t="n">
        <v>550</v>
      </c>
      <c r="E15225" s="41" t="n">
        <v>15677.238</v>
      </c>
    </row>
    <row r="15226">
      <c r="A15226" s="42">
        <f>_xlfn.XLOOKUP(82115,Trip[shape_id],Trip[shape_id],"Não encontrado")</f>
        <v/>
      </c>
      <c r="B15226" s="43" t="n">
        <v>-23.61206</v>
      </c>
      <c r="C15226" s="43" t="n">
        <v>-46.504471</v>
      </c>
      <c r="D15226" s="43" t="n">
        <v>551</v>
      </c>
      <c r="E15226" s="44" t="n">
        <v>15688.419</v>
      </c>
    </row>
    <row r="15227">
      <c r="A15227" s="39">
        <f>_xlfn.XLOOKUP(82115,Trip[shape_id],Trip[shape_id],"Não encontrado")</f>
        <v/>
      </c>
      <c r="B15227" s="40" t="n">
        <v>-23.61216</v>
      </c>
      <c r="C15227" s="40" t="n">
        <v>-46.504456</v>
      </c>
      <c r="D15227" s="40" t="n">
        <v>552</v>
      </c>
      <c r="E15227" s="41" t="n">
        <v>15698.528</v>
      </c>
    </row>
    <row r="15228">
      <c r="A15228" s="42">
        <f>_xlfn.XLOOKUP(82115,Trip[shape_id],Trip[shape_id],"Não encontrado")</f>
        <v/>
      </c>
      <c r="B15228" s="43" t="n">
        <v>-23.612249</v>
      </c>
      <c r="C15228" s="43" t="n">
        <v>-46.504434</v>
      </c>
      <c r="D15228" s="43" t="n">
        <v>553</v>
      </c>
      <c r="E15228" s="44" t="n">
        <v>15712.945</v>
      </c>
    </row>
    <row r="15229">
      <c r="A15229" s="39">
        <f>_xlfn.XLOOKUP(82115,Trip[shape_id],Trip[shape_id],"Não encontrado")</f>
        <v/>
      </c>
      <c r="B15229" s="40" t="n">
        <v>-23.612376</v>
      </c>
      <c r="C15229" s="40" t="n">
        <v>-46.504403</v>
      </c>
      <c r="D15229" s="40" t="n">
        <v>554</v>
      </c>
      <c r="E15229" s="41" t="n">
        <v>15728.777</v>
      </c>
    </row>
    <row r="15230">
      <c r="A15230" s="42">
        <f>_xlfn.XLOOKUP(82115,Trip[shape_id],Trip[shape_id],"Não encontrado")</f>
        <v/>
      </c>
      <c r="B15230" s="43" t="n">
        <v>-23.612511</v>
      </c>
      <c r="C15230" s="43" t="n">
        <v>-46.504352</v>
      </c>
      <c r="D15230" s="43" t="n">
        <v>555</v>
      </c>
      <c r="E15230" s="44" t="n">
        <v>15754.932</v>
      </c>
    </row>
    <row r="15231">
      <c r="A15231" s="39">
        <f>_xlfn.XLOOKUP(82115,Trip[shape_id],Trip[shape_id],"Não encontrado")</f>
        <v/>
      </c>
      <c r="B15231" s="40" t="n">
        <v>-23.612726</v>
      </c>
      <c r="C15231" s="40" t="n">
        <v>-46.504246</v>
      </c>
      <c r="D15231" s="40" t="n">
        <v>556</v>
      </c>
      <c r="E15231" s="41" t="n">
        <v>15784.228</v>
      </c>
    </row>
    <row r="15232">
      <c r="A15232" s="42">
        <f>_xlfn.XLOOKUP(82115,Trip[shape_id],Trip[shape_id],"Não encontrado")</f>
        <v/>
      </c>
      <c r="B15232" s="43" t="n">
        <v>-23.612965</v>
      </c>
      <c r="C15232" s="43" t="n">
        <v>-46.504123</v>
      </c>
      <c r="D15232" s="43" t="n">
        <v>557</v>
      </c>
      <c r="E15232" s="44" t="n">
        <v>15784.228</v>
      </c>
    </row>
    <row r="15233">
      <c r="A15233" s="39">
        <f>_xlfn.XLOOKUP(82115,Trip[shape_id],Trip[shape_id],"Não encontrado")</f>
        <v/>
      </c>
      <c r="B15233" s="40" t="n">
        <v>-23.613611</v>
      </c>
      <c r="C15233" s="40" t="n">
        <v>-46.503735</v>
      </c>
      <c r="D15233" s="40" t="n">
        <v>558</v>
      </c>
      <c r="E15233" s="41" t="n">
        <v>15866</v>
      </c>
    </row>
    <row r="15234">
      <c r="A15234" s="42">
        <f>_xlfn.XLOOKUP(82115,Trip[shape_id],Trip[shape_id],"Não encontrado")</f>
        <v/>
      </c>
      <c r="B15234" s="43" t="n">
        <v>-23.613788</v>
      </c>
      <c r="C15234" s="43" t="n">
        <v>-46.503625</v>
      </c>
      <c r="D15234" s="43" t="n">
        <v>559</v>
      </c>
      <c r="E15234" s="44" t="n">
        <v>15888.59</v>
      </c>
    </row>
    <row r="15235">
      <c r="A15235" s="39">
        <f>_xlfn.XLOOKUP(82115,Trip[shape_id],Trip[shape_id],"Não encontrado")</f>
        <v/>
      </c>
      <c r="B15235" s="40" t="n">
        <v>-23.613933</v>
      </c>
      <c r="C15235" s="40" t="n">
        <v>-46.50353</v>
      </c>
      <c r="D15235" s="40" t="n">
        <v>560</v>
      </c>
      <c r="E15235" s="41" t="n">
        <v>15907.349</v>
      </c>
    </row>
    <row r="15236">
      <c r="A15236" s="42">
        <f>_xlfn.XLOOKUP(82115,Trip[shape_id],Trip[shape_id],"Não encontrado")</f>
        <v/>
      </c>
      <c r="B15236" s="43" t="n">
        <v>-23.614044</v>
      </c>
      <c r="C15236" s="43" t="n">
        <v>-46.503449</v>
      </c>
      <c r="D15236" s="43" t="n">
        <v>561</v>
      </c>
      <c r="E15236" s="44" t="n">
        <v>15941.876</v>
      </c>
    </row>
    <row r="15237">
      <c r="A15237" s="39">
        <f>_xlfn.XLOOKUP(82115,Trip[shape_id],Trip[shape_id],"Não encontrado")</f>
        <v/>
      </c>
      <c r="B15237" s="40" t="n">
        <v>-23.614182</v>
      </c>
      <c r="C15237" s="40" t="n">
        <v>-46.503327</v>
      </c>
      <c r="D15237" s="40" t="n">
        <v>562</v>
      </c>
      <c r="E15237" s="41" t="n">
        <v>15955.978</v>
      </c>
    </row>
    <row r="15238">
      <c r="A15238" s="42">
        <f>_xlfn.XLOOKUP(82115,Trip[shape_id],Trip[shape_id],"Não encontrado")</f>
        <v/>
      </c>
      <c r="B15238" s="43" t="n">
        <v>-23.614277</v>
      </c>
      <c r="C15238" s="43" t="n">
        <v>-46.503235</v>
      </c>
      <c r="D15238" s="43" t="n">
        <v>563</v>
      </c>
      <c r="E15238" s="44" t="n">
        <v>15955.978</v>
      </c>
    </row>
    <row r="15239">
      <c r="A15239" s="39">
        <f>_xlfn.XLOOKUP(82115,Trip[shape_id],Trip[shape_id],"Não encontrado")</f>
        <v/>
      </c>
      <c r="B15239" s="40" t="n">
        <v>-23.614493</v>
      </c>
      <c r="C15239" s="40" t="n">
        <v>-46.503018</v>
      </c>
      <c r="D15239" s="40" t="n">
        <v>564</v>
      </c>
      <c r="E15239" s="41" t="n">
        <v>16005.827</v>
      </c>
    </row>
    <row r="15240">
      <c r="A15240" s="42">
        <f>_xlfn.XLOOKUP(82115,Trip[shape_id],Trip[shape_id],"Não encontrado")</f>
        <v/>
      </c>
      <c r="B15240" s="43" t="n">
        <v>-23.614608</v>
      </c>
      <c r="C15240" s="43" t="n">
        <v>-46.502904</v>
      </c>
      <c r="D15240" s="43" t="n">
        <v>565</v>
      </c>
      <c r="E15240" s="44" t="n">
        <v>16022.898</v>
      </c>
    </row>
    <row r="15241">
      <c r="A15241" s="39">
        <f>_xlfn.XLOOKUP(82115,Trip[shape_id],Trip[shape_id],"Não encontrado")</f>
        <v/>
      </c>
      <c r="B15241" s="40" t="n">
        <v>-23.614705</v>
      </c>
      <c r="C15241" s="40" t="n">
        <v>-46.502774</v>
      </c>
      <c r="D15241" s="40" t="n">
        <v>566</v>
      </c>
      <c r="E15241" s="41" t="n">
        <v>16034.841</v>
      </c>
    </row>
    <row r="15242">
      <c r="A15242" s="42">
        <f>_xlfn.XLOOKUP(82115,Trip[shape_id],Trip[shape_id],"Não encontrado")</f>
        <v/>
      </c>
      <c r="B15242" s="43" t="n">
        <v>-23.614761</v>
      </c>
      <c r="C15242" s="43" t="n">
        <v>-46.502674</v>
      </c>
      <c r="D15242" s="43" t="n">
        <v>567</v>
      </c>
      <c r="E15242" s="44" t="n">
        <v>16054.13</v>
      </c>
    </row>
    <row r="15243">
      <c r="A15243" s="39">
        <f>_xlfn.XLOOKUP(82115,Trip[shape_id],Trip[shape_id],"Não encontrado")</f>
        <v/>
      </c>
      <c r="B15243" s="40" t="n">
        <v>-23.614839</v>
      </c>
      <c r="C15243" s="40" t="n">
        <v>-46.502505</v>
      </c>
      <c r="D15243" s="40" t="n">
        <v>568</v>
      </c>
      <c r="E15243" s="41" t="n">
        <v>16054.13</v>
      </c>
    </row>
    <row r="15244">
      <c r="A15244" s="42">
        <f>_xlfn.XLOOKUP(82115,Trip[shape_id],Trip[shape_id],"Não encontrado")</f>
        <v/>
      </c>
      <c r="B15244" s="43" t="n">
        <v>-23.614906</v>
      </c>
      <c r="C15244" s="43" t="n">
        <v>-46.502311</v>
      </c>
      <c r="D15244" s="43" t="n">
        <v>569</v>
      </c>
      <c r="E15244" s="44" t="n">
        <v>16075.273</v>
      </c>
    </row>
    <row r="15245">
      <c r="A15245" s="39">
        <f>_xlfn.XLOOKUP(82115,Trip[shape_id],Trip[shape_id],"Não encontrado")</f>
        <v/>
      </c>
      <c r="B15245" s="40" t="n">
        <v>-23.614923</v>
      </c>
      <c r="C15245" s="40" t="n">
        <v>-46.502274</v>
      </c>
      <c r="D15245" s="40" t="n">
        <v>570</v>
      </c>
      <c r="E15245" s="41" t="n">
        <v>16090.523</v>
      </c>
    </row>
    <row r="15246">
      <c r="A15246" s="42">
        <f>_xlfn.XLOOKUP(82115,Trip[shape_id],Trip[shape_id],"Não encontrado")</f>
        <v/>
      </c>
      <c r="B15246" s="43" t="n">
        <v>-23.614937</v>
      </c>
      <c r="C15246" s="43" t="n">
        <v>-46.502167</v>
      </c>
      <c r="D15246" s="43" t="n">
        <v>571</v>
      </c>
      <c r="E15246" s="44" t="n">
        <v>16090.523</v>
      </c>
    </row>
    <row r="15247">
      <c r="A15247" s="39">
        <f>_xlfn.XLOOKUP(82115,Trip[shape_id],Trip[shape_id],"Não encontrado")</f>
        <v/>
      </c>
      <c r="B15247" s="40" t="n">
        <v>-23.614939</v>
      </c>
      <c r="C15247" s="40" t="n">
        <v>-46.502014</v>
      </c>
      <c r="D15247" s="40" t="n">
        <v>572</v>
      </c>
      <c r="E15247" s="41" t="n">
        <v>16133.405</v>
      </c>
    </row>
    <row r="15248">
      <c r="A15248" s="42">
        <f>_xlfn.XLOOKUP(82115,Trip[shape_id],Trip[shape_id],"Não encontrado")</f>
        <v/>
      </c>
      <c r="B15248" s="43" t="n">
        <v>-23.614916</v>
      </c>
      <c r="C15248" s="43" t="n">
        <v>-46.501748</v>
      </c>
      <c r="D15248" s="43" t="n">
        <v>573</v>
      </c>
      <c r="E15248" s="44" t="n">
        <v>16133.405</v>
      </c>
    </row>
    <row r="15249">
      <c r="A15249" s="39">
        <f>_xlfn.XLOOKUP(82115,Trip[shape_id],Trip[shape_id],"Não encontrado")</f>
        <v/>
      </c>
      <c r="B15249" s="40" t="n">
        <v>-23.614893</v>
      </c>
      <c r="C15249" s="40" t="n">
        <v>-46.501622</v>
      </c>
      <c r="D15249" s="40" t="n">
        <v>574</v>
      </c>
      <c r="E15249" s="41" t="n">
        <v>16146.514</v>
      </c>
    </row>
    <row r="15250">
      <c r="A15250" s="42">
        <f>_xlfn.XLOOKUP(82115,Trip[shape_id],Trip[shape_id],"Não encontrado")</f>
        <v/>
      </c>
      <c r="B15250" s="43" t="n">
        <v>-23.614815</v>
      </c>
      <c r="C15250" s="43" t="n">
        <v>-46.501268</v>
      </c>
      <c r="D15250" s="43" t="n">
        <v>575</v>
      </c>
      <c r="E15250" s="44" t="n">
        <v>16183.659</v>
      </c>
    </row>
    <row r="15251">
      <c r="A15251" s="39">
        <f>_xlfn.XLOOKUP(82115,Trip[shape_id],Trip[shape_id],"Não encontrado")</f>
        <v/>
      </c>
      <c r="B15251" s="40" t="n">
        <v>-23.614757</v>
      </c>
      <c r="C15251" s="40" t="n">
        <v>-46.500924</v>
      </c>
      <c r="D15251" s="40" t="n">
        <v>576</v>
      </c>
      <c r="E15251" s="41" t="n">
        <v>16219.348</v>
      </c>
    </row>
    <row r="15252">
      <c r="A15252" s="42">
        <f>_xlfn.XLOOKUP(82115,Trip[shape_id],Trip[shape_id],"Não encontrado")</f>
        <v/>
      </c>
      <c r="B15252" s="43" t="n">
        <v>-23.614632</v>
      </c>
      <c r="C15252" s="43" t="n">
        <v>-46.500231</v>
      </c>
      <c r="D15252" s="43" t="n">
        <v>577</v>
      </c>
      <c r="E15252" s="44" t="n">
        <v>16291.412</v>
      </c>
    </row>
    <row r="15253">
      <c r="A15253" s="39">
        <f>_xlfn.XLOOKUP(82115,Trip[shape_id],Trip[shape_id],"Não encontrado")</f>
        <v/>
      </c>
      <c r="B15253" s="40" t="n">
        <v>-23.614545</v>
      </c>
      <c r="C15253" s="40" t="n">
        <v>-46.499674</v>
      </c>
      <c r="D15253" s="40" t="n">
        <v>578</v>
      </c>
      <c r="E15253" s="41" t="n">
        <v>16369.802</v>
      </c>
    </row>
    <row r="15254">
      <c r="A15254" s="42">
        <f>_xlfn.XLOOKUP(82115,Trip[shape_id],Trip[shape_id],"Não encontrado")</f>
        <v/>
      </c>
      <c r="B15254" s="43" t="n">
        <v>-23.614512</v>
      </c>
      <c r="C15254" s="43" t="n">
        <v>-46.499474</v>
      </c>
      <c r="D15254" s="43" t="n">
        <v>579</v>
      </c>
      <c r="E15254" s="44" t="n">
        <v>16369.802</v>
      </c>
    </row>
    <row r="15255">
      <c r="A15255" s="39">
        <f>_xlfn.XLOOKUP(82115,Trip[shape_id],Trip[shape_id],"Não encontrado")</f>
        <v/>
      </c>
      <c r="B15255" s="40" t="n">
        <v>-23.614316</v>
      </c>
      <c r="C15255" s="40" t="n">
        <v>-46.498419</v>
      </c>
      <c r="D15255" s="40" t="n">
        <v>580</v>
      </c>
      <c r="E15255" s="41" t="n">
        <v>16492.723</v>
      </c>
    </row>
    <row r="15256">
      <c r="A15256" s="42">
        <f>_xlfn.XLOOKUP(82115,Trip[shape_id],Trip[shape_id],"Não encontrado")</f>
        <v/>
      </c>
      <c r="B15256" s="43" t="n">
        <v>-23.614294</v>
      </c>
      <c r="C15256" s="43" t="n">
        <v>-46.498293</v>
      </c>
      <c r="D15256" s="43" t="n">
        <v>581</v>
      </c>
      <c r="E15256" s="44" t="n">
        <v>16492.723</v>
      </c>
    </row>
    <row r="15257">
      <c r="A15257" s="39">
        <f>_xlfn.XLOOKUP(82115,Trip[shape_id],Trip[shape_id],"Não encontrado")</f>
        <v/>
      </c>
      <c r="B15257" s="40" t="n">
        <v>-23.614262</v>
      </c>
      <c r="C15257" s="40" t="n">
        <v>-46.4981</v>
      </c>
      <c r="D15257" s="40" t="n">
        <v>582</v>
      </c>
      <c r="E15257" s="41" t="n">
        <v>16512.734</v>
      </c>
    </row>
    <row r="15258">
      <c r="A15258" s="42">
        <f>_xlfn.XLOOKUP(82115,Trip[shape_id],Trip[shape_id],"Não encontrado")</f>
        <v/>
      </c>
      <c r="B15258" s="43" t="n">
        <v>-23.614233</v>
      </c>
      <c r="C15258" s="43" t="n">
        <v>-46.497938</v>
      </c>
      <c r="D15258" s="43" t="n">
        <v>583</v>
      </c>
      <c r="E15258" s="44" t="n">
        <v>16548.346</v>
      </c>
    </row>
    <row r="15259">
      <c r="A15259" s="39">
        <f>_xlfn.XLOOKUP(82115,Trip[shape_id],Trip[shape_id],"Não encontrado")</f>
        <v/>
      </c>
      <c r="B15259" s="40" t="n">
        <v>-23.614216</v>
      </c>
      <c r="C15259" s="40" t="n">
        <v>-46.497755</v>
      </c>
      <c r="D15259" s="40" t="n">
        <v>584</v>
      </c>
      <c r="E15259" s="41" t="n">
        <v>16575.293</v>
      </c>
    </row>
    <row r="15260">
      <c r="A15260" s="42">
        <f>_xlfn.XLOOKUP(82115,Trip[shape_id],Trip[shape_id],"Não encontrado")</f>
        <v/>
      </c>
      <c r="B15260" s="43" t="n">
        <v>-23.614221</v>
      </c>
      <c r="C15260" s="43" t="n">
        <v>-46.497491</v>
      </c>
      <c r="D15260" s="43" t="n">
        <v>585</v>
      </c>
      <c r="E15260" s="44" t="n">
        <v>16575.293</v>
      </c>
    </row>
    <row r="15261">
      <c r="A15261" s="39">
        <f>_xlfn.XLOOKUP(82115,Trip[shape_id],Trip[shape_id],"Não encontrado")</f>
        <v/>
      </c>
      <c r="B15261" s="40" t="n">
        <v>-23.614256</v>
      </c>
      <c r="C15261" s="40" t="n">
        <v>-46.497067</v>
      </c>
      <c r="D15261" s="40" t="n">
        <v>586</v>
      </c>
      <c r="E15261" s="41" t="n">
        <v>16618.736</v>
      </c>
    </row>
    <row r="15262">
      <c r="A15262" s="42">
        <f>_xlfn.XLOOKUP(82115,Trip[shape_id],Trip[shape_id],"Não encontrado")</f>
        <v/>
      </c>
      <c r="B15262" s="43" t="n">
        <v>-23.614269</v>
      </c>
      <c r="C15262" s="43" t="n">
        <v>-46.496816</v>
      </c>
      <c r="D15262" s="43" t="n">
        <v>587</v>
      </c>
      <c r="E15262" s="44" t="n">
        <v>16644.393</v>
      </c>
    </row>
    <row r="15263">
      <c r="A15263" s="39">
        <f>_xlfn.XLOOKUP(82115,Trip[shape_id],Trip[shape_id],"Não encontrado")</f>
        <v/>
      </c>
      <c r="B15263" s="40" t="n">
        <v>-23.614279</v>
      </c>
      <c r="C15263" s="40" t="n">
        <v>-46.496699</v>
      </c>
      <c r="D15263" s="40" t="n">
        <v>588</v>
      </c>
      <c r="E15263" s="41" t="n">
        <v>16672.814</v>
      </c>
    </row>
    <row r="15264">
      <c r="A15264" s="42">
        <f>_xlfn.XLOOKUP(82115,Trip[shape_id],Trip[shape_id],"Não encontrado")</f>
        <v/>
      </c>
      <c r="B15264" s="43" t="n">
        <v>-23.614279</v>
      </c>
      <c r="C15264" s="43" t="n">
        <v>-46.496538</v>
      </c>
      <c r="D15264" s="43" t="n">
        <v>589</v>
      </c>
      <c r="E15264" s="44" t="n">
        <v>16672.814</v>
      </c>
    </row>
    <row r="15265">
      <c r="A15265" s="39">
        <f>_xlfn.XLOOKUP(82115,Trip[shape_id],Trip[shape_id],"Não encontrado")</f>
        <v/>
      </c>
      <c r="B15265" s="40" t="n">
        <v>-23.614275</v>
      </c>
      <c r="C15265" s="40" t="n">
        <v>-46.496479</v>
      </c>
      <c r="D15265" s="40" t="n">
        <v>590</v>
      </c>
      <c r="E15265" s="41" t="n">
        <v>16693.994</v>
      </c>
    </row>
    <row r="15266">
      <c r="A15266" s="42">
        <f>_xlfn.XLOOKUP(82115,Trip[shape_id],Trip[shape_id],"Não encontrado")</f>
        <v/>
      </c>
      <c r="B15266" s="43" t="n">
        <v>-23.614246</v>
      </c>
      <c r="C15266" s="43" t="n">
        <v>-46.496334</v>
      </c>
      <c r="D15266" s="43" t="n">
        <v>591</v>
      </c>
      <c r="E15266" s="44" t="n">
        <v>16721.602</v>
      </c>
    </row>
    <row r="15267">
      <c r="A15267" s="39">
        <f>_xlfn.XLOOKUP(82115,Trip[shape_id],Trip[shape_id],"Não encontrado")</f>
        <v/>
      </c>
      <c r="B15267" s="40" t="n">
        <v>-23.614174</v>
      </c>
      <c r="C15267" s="40" t="n">
        <v>-46.496075</v>
      </c>
      <c r="D15267" s="40" t="n">
        <v>592</v>
      </c>
      <c r="E15267" s="41" t="n">
        <v>16739.367</v>
      </c>
    </row>
    <row r="15268">
      <c r="A15268" s="42">
        <f>_xlfn.XLOOKUP(82115,Trip[shape_id],Trip[shape_id],"Não encontrado")</f>
        <v/>
      </c>
      <c r="B15268" s="43" t="n">
        <v>-23.614101</v>
      </c>
      <c r="C15268" s="43" t="n">
        <v>-46.49592</v>
      </c>
      <c r="D15268" s="43" t="n">
        <v>593</v>
      </c>
      <c r="E15268" s="44" t="n">
        <v>16755.953</v>
      </c>
    </row>
    <row r="15269">
      <c r="A15269" s="39">
        <f>_xlfn.XLOOKUP(82115,Trip[shape_id],Trip[shape_id],"Não encontrado")</f>
        <v/>
      </c>
      <c r="B15269" s="40" t="n">
        <v>-23.614019</v>
      </c>
      <c r="C15269" s="40" t="n">
        <v>-46.495784</v>
      </c>
      <c r="D15269" s="40" t="n">
        <v>594</v>
      </c>
      <c r="E15269" s="41" t="n">
        <v>16780.621</v>
      </c>
    </row>
    <row r="15270">
      <c r="A15270" s="42">
        <f>_xlfn.XLOOKUP(82115,Trip[shape_id],Trip[shape_id],"Não encontrado")</f>
        <v/>
      </c>
      <c r="B15270" s="43" t="n">
        <v>-23.613879</v>
      </c>
      <c r="C15270" s="43" t="n">
        <v>-46.495596</v>
      </c>
      <c r="D15270" s="43" t="n">
        <v>595</v>
      </c>
      <c r="E15270" s="44" t="n">
        <v>16795.59</v>
      </c>
    </row>
    <row r="15271">
      <c r="A15271" s="39">
        <f>_xlfn.XLOOKUP(82115,Trip[shape_id],Trip[shape_id],"Não encontrado")</f>
        <v/>
      </c>
      <c r="B15271" s="40" t="n">
        <v>-23.613781</v>
      </c>
      <c r="C15271" s="40" t="n">
        <v>-46.495495</v>
      </c>
      <c r="D15271" s="40" t="n">
        <v>596</v>
      </c>
      <c r="E15271" s="41" t="n">
        <v>16804.982</v>
      </c>
    </row>
    <row r="15272">
      <c r="A15272" s="42">
        <f>_xlfn.XLOOKUP(82115,Trip[shape_id],Trip[shape_id],"Não encontrado")</f>
        <v/>
      </c>
      <c r="B15272" s="43" t="n">
        <v>-23.613713</v>
      </c>
      <c r="C15272" s="43" t="n">
        <v>-46.49544</v>
      </c>
      <c r="D15272" s="43" t="n">
        <v>597</v>
      </c>
      <c r="E15272" s="44" t="n">
        <v>16804.982</v>
      </c>
    </row>
    <row r="15273">
      <c r="A15273" s="39">
        <f>_xlfn.XLOOKUP(82115,Trip[shape_id],Trip[shape_id],"Não encontrado")</f>
        <v/>
      </c>
      <c r="B15273" s="40" t="n">
        <v>-23.613558</v>
      </c>
      <c r="C15273" s="40" t="n">
        <v>-46.495328</v>
      </c>
      <c r="D15273" s="40" t="n">
        <v>598</v>
      </c>
      <c r="E15273" s="41" t="n">
        <v>16842.965</v>
      </c>
    </row>
    <row r="15274">
      <c r="A15274" s="42">
        <f>_xlfn.XLOOKUP(82115,Trip[shape_id],Trip[shape_id],"Não encontrado")</f>
        <v/>
      </c>
      <c r="B15274" s="43" t="n">
        <v>-23.613425</v>
      </c>
      <c r="C15274" s="43" t="n">
        <v>-46.495238</v>
      </c>
      <c r="D15274" s="43" t="n">
        <v>599</v>
      </c>
      <c r="E15274" s="44" t="n">
        <v>16859.717</v>
      </c>
    </row>
    <row r="15275">
      <c r="A15275" s="39">
        <f>_xlfn.XLOOKUP(82115,Trip[shape_id],Trip[shape_id],"Não encontrado")</f>
        <v/>
      </c>
      <c r="B15275" s="40" t="n">
        <v>-23.613301</v>
      </c>
      <c r="C15275" s="40" t="n">
        <v>-46.495144</v>
      </c>
      <c r="D15275" s="40" t="n">
        <v>600</v>
      </c>
      <c r="E15275" s="41" t="n">
        <v>16872.855</v>
      </c>
    </row>
    <row r="15276">
      <c r="A15276" s="42">
        <f>_xlfn.XLOOKUP(82115,Trip[shape_id],Trip[shape_id],"Não encontrado")</f>
        <v/>
      </c>
      <c r="B15276" s="43" t="n">
        <v>-23.613218</v>
      </c>
      <c r="C15276" s="43" t="n">
        <v>-46.495052</v>
      </c>
      <c r="D15276" s="43" t="n">
        <v>601</v>
      </c>
      <c r="E15276" s="44" t="n">
        <v>16872.855</v>
      </c>
    </row>
    <row r="15277">
      <c r="A15277" s="39">
        <f>_xlfn.XLOOKUP(82115,Trip[shape_id],Trip[shape_id],"Não encontrado")</f>
        <v/>
      </c>
      <c r="B15277" s="40" t="n">
        <v>-23.613074</v>
      </c>
      <c r="C15277" s="40" t="n">
        <v>-46.494872</v>
      </c>
      <c r="D15277" s="40" t="n">
        <v>602</v>
      </c>
      <c r="E15277" s="41" t="n">
        <v>16897.182</v>
      </c>
    </row>
    <row r="15278">
      <c r="A15278" s="42">
        <f>_xlfn.XLOOKUP(82115,Trip[shape_id],Trip[shape_id],"Não encontrado")</f>
        <v/>
      </c>
      <c r="B15278" s="43" t="n">
        <v>-23.612997</v>
      </c>
      <c r="C15278" s="43" t="n">
        <v>-46.494753</v>
      </c>
      <c r="D15278" s="43" t="n">
        <v>603</v>
      </c>
      <c r="E15278" s="44" t="n">
        <v>16928.135</v>
      </c>
    </row>
    <row r="15279">
      <c r="A15279" s="39">
        <f>_xlfn.XLOOKUP(82115,Trip[shape_id],Trip[shape_id],"Não encontrado")</f>
        <v/>
      </c>
      <c r="B15279" s="40" t="n">
        <v>-23.612928</v>
      </c>
      <c r="C15279" s="40" t="n">
        <v>-46.494614</v>
      </c>
      <c r="D15279" s="40" t="n">
        <v>604</v>
      </c>
      <c r="E15279" s="41" t="n">
        <v>16950.082</v>
      </c>
    </row>
    <row r="15280">
      <c r="A15280" s="42">
        <f>_xlfn.XLOOKUP(82115,Trip[shape_id],Trip[shape_id],"Não encontrado")</f>
        <v/>
      </c>
      <c r="B15280" s="43" t="n">
        <v>-23.61286</v>
      </c>
      <c r="C15280" s="43" t="n">
        <v>-46.494412</v>
      </c>
      <c r="D15280" s="43" t="n">
        <v>605</v>
      </c>
      <c r="E15280" s="44" t="n">
        <v>16975.922</v>
      </c>
    </row>
    <row r="15281">
      <c r="A15281" s="39">
        <f>_xlfn.XLOOKUP(82115,Trip[shape_id],Trip[shape_id],"Não encontrado")</f>
        <v/>
      </c>
      <c r="B15281" s="40" t="n">
        <v>-23.612823</v>
      </c>
      <c r="C15281" s="40" t="n">
        <v>-46.494162</v>
      </c>
      <c r="D15281" s="40" t="n">
        <v>606</v>
      </c>
      <c r="E15281" s="41" t="n">
        <v>16975.922</v>
      </c>
    </row>
    <row r="15282">
      <c r="A15282" s="42">
        <f>_xlfn.XLOOKUP(82115,Trip[shape_id],Trip[shape_id],"Não encontrado")</f>
        <v/>
      </c>
      <c r="B15282" s="43" t="n">
        <v>-23.612829</v>
      </c>
      <c r="C15282" s="43" t="n">
        <v>-46.494025</v>
      </c>
      <c r="D15282" s="43" t="n">
        <v>607</v>
      </c>
      <c r="E15282" s="44" t="n">
        <v>17000.563</v>
      </c>
    </row>
    <row r="15283">
      <c r="A15283" s="39">
        <f>_xlfn.XLOOKUP(82115,Trip[shape_id],Trip[shape_id],"Não encontrado")</f>
        <v/>
      </c>
      <c r="B15283" s="40" t="n">
        <v>-23.612844</v>
      </c>
      <c r="C15283" s="40" t="n">
        <v>-46.493922</v>
      </c>
      <c r="D15283" s="40" t="n">
        <v>608</v>
      </c>
      <c r="E15283" s="41" t="n">
        <v>17000.563</v>
      </c>
    </row>
    <row r="15284">
      <c r="A15284" s="42">
        <f>_xlfn.XLOOKUP(82115,Trip[shape_id],Trip[shape_id],"Não encontrado")</f>
        <v/>
      </c>
      <c r="B15284" s="43" t="n">
        <v>-23.612857</v>
      </c>
      <c r="C15284" s="43" t="n">
        <v>-46.493864</v>
      </c>
      <c r="D15284" s="43" t="n">
        <v>609</v>
      </c>
      <c r="E15284" s="44" t="n">
        <v>17006.654</v>
      </c>
    </row>
    <row r="15285">
      <c r="A15285" s="39">
        <f>_xlfn.XLOOKUP(82115,Trip[shape_id],Trip[shape_id],"Não encontrado")</f>
        <v/>
      </c>
      <c r="B15285" s="40" t="n">
        <v>-23.612895</v>
      </c>
      <c r="C15285" s="40" t="n">
        <v>-46.49367</v>
      </c>
      <c r="D15285" s="40" t="n">
        <v>610</v>
      </c>
      <c r="E15285" s="41" t="n">
        <v>17048.715</v>
      </c>
    </row>
    <row r="15286">
      <c r="A15286" s="42">
        <f>_xlfn.XLOOKUP(82115,Trip[shape_id],Trip[shape_id],"Não encontrado")</f>
        <v/>
      </c>
      <c r="B15286" s="43" t="n">
        <v>-23.612951</v>
      </c>
      <c r="C15286" s="43" t="n">
        <v>-46.493465</v>
      </c>
      <c r="D15286" s="43" t="n">
        <v>611</v>
      </c>
      <c r="E15286" s="44" t="n">
        <v>17068.164</v>
      </c>
    </row>
    <row r="15287">
      <c r="A15287" s="39">
        <f>_xlfn.XLOOKUP(82115,Trip[shape_id],Trip[shape_id],"Não encontrado")</f>
        <v/>
      </c>
      <c r="B15287" s="40" t="n">
        <v>-23.613006</v>
      </c>
      <c r="C15287" s="40" t="n">
        <v>-46.493284</v>
      </c>
      <c r="D15287" s="40" t="n">
        <v>612</v>
      </c>
      <c r="E15287" s="41" t="n">
        <v>17102.709</v>
      </c>
    </row>
    <row r="15288">
      <c r="A15288" s="42">
        <f>_xlfn.XLOOKUP(82115,Trip[shape_id],Trip[shape_id],"Não encontrado")</f>
        <v/>
      </c>
      <c r="B15288" s="43" t="n">
        <v>-23.61309</v>
      </c>
      <c r="C15288" s="43" t="n">
        <v>-46.492958</v>
      </c>
      <c r="D15288" s="43" t="n">
        <v>613</v>
      </c>
      <c r="E15288" s="44" t="n">
        <v>17102.709</v>
      </c>
    </row>
    <row r="15289">
      <c r="A15289" s="39">
        <f>_xlfn.XLOOKUP(82115,Trip[shape_id],Trip[shape_id],"Não encontrado")</f>
        <v/>
      </c>
      <c r="B15289" s="40" t="n">
        <v>-23.613112</v>
      </c>
      <c r="C15289" s="40" t="n">
        <v>-46.492622</v>
      </c>
      <c r="D15289" s="40" t="n">
        <v>614</v>
      </c>
      <c r="E15289" s="41" t="n">
        <v>17152.6</v>
      </c>
    </row>
    <row r="15290">
      <c r="A15290" s="42">
        <f>_xlfn.XLOOKUP(82115,Trip[shape_id],Trip[shape_id],"Não encontrado")</f>
        <v/>
      </c>
      <c r="B15290" s="43" t="n">
        <v>-23.613114</v>
      </c>
      <c r="C15290" s="43" t="n">
        <v>-46.49247</v>
      </c>
      <c r="D15290" s="43" t="n">
        <v>615</v>
      </c>
      <c r="E15290" s="44" t="n">
        <v>17168.891</v>
      </c>
    </row>
    <row r="15291">
      <c r="A15291" s="39">
        <f>_xlfn.XLOOKUP(82115,Trip[shape_id],Trip[shape_id],"Não encontrado")</f>
        <v/>
      </c>
      <c r="B15291" s="40" t="n">
        <v>-23.613101</v>
      </c>
      <c r="C15291" s="40" t="n">
        <v>-46.492311</v>
      </c>
      <c r="D15291" s="40" t="n">
        <v>616</v>
      </c>
      <c r="E15291" s="41" t="n">
        <v>17221.584</v>
      </c>
    </row>
    <row r="15292">
      <c r="A15292" s="42">
        <f>_xlfn.XLOOKUP(82115,Trip[shape_id],Trip[shape_id],"Não encontrado")</f>
        <v/>
      </c>
      <c r="B15292" s="43" t="n">
        <v>-23.613011</v>
      </c>
      <c r="C15292" s="43" t="n">
        <v>-46.491804</v>
      </c>
      <c r="D15292" s="43" t="n">
        <v>617</v>
      </c>
      <c r="E15292" s="44" t="n">
        <v>17221.584</v>
      </c>
    </row>
    <row r="15293">
      <c r="A15293" s="39">
        <f>_xlfn.XLOOKUP(82115,Trip[shape_id],Trip[shape_id],"Não encontrado")</f>
        <v/>
      </c>
      <c r="B15293" s="40" t="n">
        <v>-23.612928</v>
      </c>
      <c r="C15293" s="40" t="n">
        <v>-46.491367</v>
      </c>
      <c r="D15293" s="40" t="n">
        <v>618</v>
      </c>
      <c r="E15293" s="41" t="n">
        <v>17291.045</v>
      </c>
    </row>
    <row r="15294">
      <c r="A15294" s="42">
        <f>_xlfn.XLOOKUP(82115,Trip[shape_id],Trip[shape_id],"Não encontrado")</f>
        <v/>
      </c>
      <c r="B15294" s="43" t="n">
        <v>-23.612904</v>
      </c>
      <c r="C15294" s="43" t="n">
        <v>-46.491134</v>
      </c>
      <c r="D15294" s="43" t="n">
        <v>619</v>
      </c>
      <c r="E15294" s="44" t="n">
        <v>17306.066</v>
      </c>
    </row>
    <row r="15295">
      <c r="A15295" s="39">
        <f>_xlfn.XLOOKUP(82115,Trip[shape_id],Trip[shape_id],"Não encontrado")</f>
        <v/>
      </c>
      <c r="B15295" s="40" t="n">
        <v>-23.612897</v>
      </c>
      <c r="C15295" s="40" t="n">
        <v>-46.490987</v>
      </c>
      <c r="D15295" s="40" t="n">
        <v>620</v>
      </c>
      <c r="E15295" s="41" t="n">
        <v>17326.412</v>
      </c>
    </row>
    <row r="15296">
      <c r="A15296" s="42">
        <f>_xlfn.XLOOKUP(82115,Trip[shape_id],Trip[shape_id],"Não encontrado")</f>
        <v/>
      </c>
      <c r="B15296" s="43" t="n">
        <v>-23.612886</v>
      </c>
      <c r="C15296" s="43" t="n">
        <v>-46.490788</v>
      </c>
      <c r="D15296" s="43" t="n">
        <v>621</v>
      </c>
      <c r="E15296" s="44" t="n">
        <v>17362.752</v>
      </c>
    </row>
    <row r="15297">
      <c r="A15297" s="39">
        <f>_xlfn.XLOOKUP(82115,Trip[shape_id],Trip[shape_id],"Não encontrado")</f>
        <v/>
      </c>
      <c r="B15297" s="40" t="n">
        <v>-23.612893</v>
      </c>
      <c r="C15297" s="40" t="n">
        <v>-46.490432</v>
      </c>
      <c r="D15297" s="40" t="n">
        <v>622</v>
      </c>
      <c r="E15297" s="41" t="n">
        <v>17379.635</v>
      </c>
    </row>
    <row r="15298">
      <c r="A15298" s="42">
        <f>_xlfn.XLOOKUP(82115,Trip[shape_id],Trip[shape_id],"Não encontrado")</f>
        <v/>
      </c>
      <c r="B15298" s="43" t="n">
        <v>-23.612904</v>
      </c>
      <c r="C15298" s="43" t="n">
        <v>-46.490267</v>
      </c>
      <c r="D15298" s="43" t="n">
        <v>623</v>
      </c>
      <c r="E15298" s="44" t="n">
        <v>17379.635</v>
      </c>
    </row>
    <row r="15299">
      <c r="A15299" s="39">
        <f>_xlfn.XLOOKUP(82115,Trip[shape_id],Trip[shape_id],"Não encontrado")</f>
        <v/>
      </c>
      <c r="B15299" s="40" t="n">
        <v>-23.61294</v>
      </c>
      <c r="C15299" s="40" t="n">
        <v>-46.489934</v>
      </c>
      <c r="D15299" s="40" t="n">
        <v>624</v>
      </c>
      <c r="E15299" s="41" t="n">
        <v>17435.35</v>
      </c>
    </row>
    <row r="15300">
      <c r="A15300" s="42">
        <f>_xlfn.XLOOKUP(82115,Trip[shape_id],Trip[shape_id],"Não encontrado")</f>
        <v/>
      </c>
      <c r="B15300" s="43" t="n">
        <v>-23.612976</v>
      </c>
      <c r="C15300" s="43" t="n">
        <v>-46.489727</v>
      </c>
      <c r="D15300" s="43" t="n">
        <v>625</v>
      </c>
      <c r="E15300" s="44" t="n">
        <v>17473.863</v>
      </c>
    </row>
    <row r="15301">
      <c r="A15301" s="39">
        <f>_xlfn.XLOOKUP(82115,Trip[shape_id],Trip[shape_id],"Não encontrado")</f>
        <v/>
      </c>
      <c r="B15301" s="40" t="n">
        <v>-23.613015</v>
      </c>
      <c r="C15301" s="40" t="n">
        <v>-46.489352</v>
      </c>
      <c r="D15301" s="40" t="n">
        <v>626</v>
      </c>
      <c r="E15301" s="41" t="n">
        <v>17491.523</v>
      </c>
    </row>
    <row r="15302">
      <c r="A15302" s="42">
        <f>_xlfn.XLOOKUP(82115,Trip[shape_id],Trip[shape_id],"Não encontrado")</f>
        <v/>
      </c>
      <c r="B15302" s="43" t="n">
        <v>-23.613011</v>
      </c>
      <c r="C15302" s="43" t="n">
        <v>-46.489179</v>
      </c>
      <c r="D15302" s="43" t="n">
        <v>627</v>
      </c>
      <c r="E15302" s="44" t="n">
        <v>17508.467</v>
      </c>
    </row>
    <row r="15303">
      <c r="A15303" s="39">
        <f>_xlfn.XLOOKUP(82115,Trip[shape_id],Trip[shape_id],"Não encontrado")</f>
        <v/>
      </c>
      <c r="B15303" s="40" t="n">
        <v>-23.612994</v>
      </c>
      <c r="C15303" s="40" t="n">
        <v>-46.489014</v>
      </c>
      <c r="D15303" s="40" t="n">
        <v>628</v>
      </c>
      <c r="E15303" s="41" t="n">
        <v>17508.467</v>
      </c>
    </row>
    <row r="15304">
      <c r="A15304" s="42">
        <f>_xlfn.XLOOKUP(82115,Trip[shape_id],Trip[shape_id],"Não encontrado")</f>
        <v/>
      </c>
      <c r="B15304" s="43" t="n">
        <v>-23.612961</v>
      </c>
      <c r="C15304" s="43" t="n">
        <v>-46.488884</v>
      </c>
      <c r="D15304" s="43" t="n">
        <v>629</v>
      </c>
      <c r="E15304" s="44" t="n">
        <v>17540.635</v>
      </c>
    </row>
    <row r="15305">
      <c r="A15305" s="39">
        <f>_xlfn.XLOOKUP(82115,Trip[shape_id],Trip[shape_id],"Não encontrado")</f>
        <v/>
      </c>
      <c r="B15305" s="40" t="n">
        <v>-23.612896</v>
      </c>
      <c r="C15305" s="40" t="n">
        <v>-46.488718</v>
      </c>
      <c r="D15305" s="40" t="n">
        <v>630</v>
      </c>
      <c r="E15305" s="41" t="n">
        <v>17561.662</v>
      </c>
    </row>
    <row r="15306">
      <c r="A15306" s="42">
        <f>_xlfn.XLOOKUP(82115,Trip[shape_id],Trip[shape_id],"Não encontrado")</f>
        <v/>
      </c>
      <c r="B15306" s="43" t="n">
        <v>-23.612807</v>
      </c>
      <c r="C15306" s="43" t="n">
        <v>-46.488536</v>
      </c>
      <c r="D15306" s="43" t="n">
        <v>631</v>
      </c>
      <c r="E15306" s="44" t="n">
        <v>17578.412</v>
      </c>
    </row>
    <row r="15307">
      <c r="A15307" s="39">
        <f>_xlfn.XLOOKUP(82115,Trip[shape_id],Trip[shape_id],"Não encontrado")</f>
        <v/>
      </c>
      <c r="B15307" s="40" t="n">
        <v>-23.612721</v>
      </c>
      <c r="C15307" s="40" t="n">
        <v>-46.488401</v>
      </c>
      <c r="D15307" s="40" t="n">
        <v>632</v>
      </c>
      <c r="E15307" s="41" t="n">
        <v>17605.316</v>
      </c>
    </row>
    <row r="15308">
      <c r="A15308" s="42">
        <f>_xlfn.XLOOKUP(82115,Trip[shape_id],Trip[shape_id],"Não encontrado")</f>
        <v/>
      </c>
      <c r="B15308" s="43" t="n">
        <v>-23.612566</v>
      </c>
      <c r="C15308" s="43" t="n">
        <v>-46.488198</v>
      </c>
      <c r="D15308" s="43" t="n">
        <v>633</v>
      </c>
      <c r="E15308" s="44" t="n">
        <v>17605.316</v>
      </c>
    </row>
    <row r="15309">
      <c r="A15309" s="39">
        <f>_xlfn.XLOOKUP(82115,Trip[shape_id],Trip[shape_id],"Não encontrado")</f>
        <v/>
      </c>
      <c r="B15309" s="40" t="n">
        <v>-23.612177</v>
      </c>
      <c r="C15309" s="40" t="n">
        <v>-46.487747</v>
      </c>
      <c r="D15309" s="40" t="n">
        <v>634</v>
      </c>
      <c r="E15309" s="41" t="n">
        <v>17677.848</v>
      </c>
    </row>
    <row r="15310">
      <c r="A15310" s="42">
        <f>_xlfn.XLOOKUP(82115,Trip[shape_id],Trip[shape_id],"Não encontrado")</f>
        <v/>
      </c>
      <c r="B15310" s="43" t="n">
        <v>-23.612106</v>
      </c>
      <c r="C15310" s="43" t="n">
        <v>-46.487695</v>
      </c>
      <c r="D15310" s="43" t="n">
        <v>635</v>
      </c>
      <c r="E15310" s="44" t="n">
        <v>17691.26</v>
      </c>
    </row>
    <row r="15311">
      <c r="A15311" s="39">
        <f>_xlfn.XLOOKUP(82115,Trip[shape_id],Trip[shape_id],"Não encontrado")</f>
        <v/>
      </c>
      <c r="B15311" s="40" t="n">
        <v>-23.612037</v>
      </c>
      <c r="C15311" s="40" t="n">
        <v>-46.487587</v>
      </c>
      <c r="D15311" s="40" t="n">
        <v>636</v>
      </c>
      <c r="E15311" s="41" t="n">
        <v>17752.389</v>
      </c>
    </row>
    <row r="15312">
      <c r="A15312" s="42">
        <f>_xlfn.XLOOKUP(82115,Trip[shape_id],Trip[shape_id],"Não encontrado")</f>
        <v/>
      </c>
      <c r="B15312" s="43" t="n">
        <v>-23.611649</v>
      </c>
      <c r="C15312" s="43" t="n">
        <v>-46.487161</v>
      </c>
      <c r="D15312" s="43" t="n">
        <v>637</v>
      </c>
      <c r="E15312" s="44" t="n">
        <v>17752.389</v>
      </c>
    </row>
    <row r="15313">
      <c r="A15313" s="39">
        <f>_xlfn.XLOOKUP(82115,Trip[shape_id],Trip[shape_id],"Não encontrado")</f>
        <v/>
      </c>
      <c r="B15313" s="40" t="n">
        <v>-23.611546</v>
      </c>
      <c r="C15313" s="40" t="n">
        <v>-46.487065</v>
      </c>
      <c r="D15313" s="40" t="n">
        <v>638</v>
      </c>
      <c r="E15313" s="41" t="n">
        <v>17780.42</v>
      </c>
    </row>
    <row r="15314">
      <c r="A15314" s="42">
        <f>_xlfn.XLOOKUP(82115,Trip[shape_id],Trip[shape_id],"Não encontrado")</f>
        <v/>
      </c>
      <c r="B15314" s="43" t="n">
        <v>-23.611448</v>
      </c>
      <c r="C15314" s="43" t="n">
        <v>-46.486995</v>
      </c>
      <c r="D15314" s="43" t="n">
        <v>639</v>
      </c>
      <c r="E15314" s="44" t="n">
        <v>17780.42</v>
      </c>
    </row>
    <row r="15315">
      <c r="A15315" s="39">
        <f>_xlfn.XLOOKUP(82115,Trip[shape_id],Trip[shape_id],"Não encontrado")</f>
        <v/>
      </c>
      <c r="B15315" s="40" t="n">
        <v>-23.611036</v>
      </c>
      <c r="C15315" s="40" t="n">
        <v>-46.486572</v>
      </c>
      <c r="D15315" s="40" t="n">
        <v>640</v>
      </c>
      <c r="E15315" s="41" t="n">
        <v>17843.234</v>
      </c>
    </row>
    <row r="15316">
      <c r="A15316" s="42">
        <f>_xlfn.XLOOKUP(82115,Trip[shape_id],Trip[shape_id],"Não encontrado")</f>
        <v/>
      </c>
      <c r="B15316" s="43" t="n">
        <v>-23.610746</v>
      </c>
      <c r="C15316" s="43" t="n">
        <v>-46.486243</v>
      </c>
      <c r="D15316" s="43" t="n">
        <v>641</v>
      </c>
      <c r="E15316" s="44" t="n">
        <v>17901.955</v>
      </c>
    </row>
    <row r="15317">
      <c r="A15317" s="39">
        <f>_xlfn.XLOOKUP(82115,Trip[shape_id],Trip[shape_id],"Não encontrado")</f>
        <v/>
      </c>
      <c r="B15317" s="40" t="n">
        <v>-23.610676</v>
      </c>
      <c r="C15317" s="40" t="n">
        <v>-46.48615</v>
      </c>
      <c r="D15317" s="40" t="n">
        <v>642</v>
      </c>
      <c r="E15317" s="41" t="n">
        <v>17921.08</v>
      </c>
    </row>
    <row r="15318">
      <c r="A15318" s="42">
        <f>_xlfn.XLOOKUP(82115,Trip[shape_id],Trip[shape_id],"Não encontrado")</f>
        <v/>
      </c>
      <c r="B15318" s="43" t="n">
        <v>-23.610575</v>
      </c>
      <c r="C15318" s="43" t="n">
        <v>-46.485998</v>
      </c>
      <c r="D15318" s="43" t="n">
        <v>643</v>
      </c>
      <c r="E15318" s="44" t="n">
        <v>17921.08</v>
      </c>
    </row>
    <row r="15319">
      <c r="A15319" s="39">
        <f>_xlfn.XLOOKUP(82115,Trip[shape_id],Trip[shape_id],"Não encontrado")</f>
        <v/>
      </c>
      <c r="B15319" s="40" t="n">
        <v>-23.611107</v>
      </c>
      <c r="C15319" s="40" t="n">
        <v>-46.485854</v>
      </c>
      <c r="D15319" s="40" t="n">
        <v>644</v>
      </c>
      <c r="E15319" s="41" t="n">
        <v>17981.805</v>
      </c>
    </row>
    <row r="15320">
      <c r="A15320" s="42">
        <f>_xlfn.XLOOKUP(82115,Trip[shape_id],Trip[shape_id],"Não encontrado")</f>
        <v/>
      </c>
      <c r="B15320" s="43" t="n">
        <v>-23.611159</v>
      </c>
      <c r="C15320" s="43" t="n">
        <v>-46.485843</v>
      </c>
      <c r="D15320" s="43" t="n">
        <v>645</v>
      </c>
      <c r="E15320" s="44" t="n">
        <v>17987.672</v>
      </c>
    </row>
    <row r="15321">
      <c r="A15321" s="39">
        <f>_xlfn.XLOOKUP(82115,Trip[shape_id],Trip[shape_id],"Não encontrado")</f>
        <v/>
      </c>
      <c r="B15321" s="40" t="n">
        <v>-23.612495</v>
      </c>
      <c r="C15321" s="40" t="n">
        <v>-46.485482</v>
      </c>
      <c r="D15321" s="40" t="n">
        <v>646</v>
      </c>
      <c r="E15321" s="41" t="n">
        <v>18140.154</v>
      </c>
    </row>
    <row r="15322">
      <c r="A15322" s="42">
        <f>_xlfn.XLOOKUP(82115,Trip[shape_id],Trip[shape_id],"Não encontrado")</f>
        <v/>
      </c>
      <c r="B15322" s="43" t="n">
        <v>-23.61322</v>
      </c>
      <c r="C15322" s="43" t="n">
        <v>-46.485291</v>
      </c>
      <c r="D15322" s="43" t="n">
        <v>647</v>
      </c>
      <c r="E15322" s="44" t="n">
        <v>18266.518</v>
      </c>
    </row>
    <row r="15323">
      <c r="A15323" s="39">
        <f>_xlfn.XLOOKUP(82115,Trip[shape_id],Trip[shape_id],"Não encontrado")</f>
        <v/>
      </c>
      <c r="B15323" s="40" t="n">
        <v>-23.613604</v>
      </c>
      <c r="C15323" s="40" t="n">
        <v>-46.485191</v>
      </c>
      <c r="D15323" s="40" t="n">
        <v>648</v>
      </c>
      <c r="E15323" s="41" t="n">
        <v>18266.518</v>
      </c>
    </row>
    <row r="15324">
      <c r="A15324" s="42">
        <f>_xlfn.XLOOKUP(82115,Trip[shape_id],Trip[shape_id],"Não encontrado")</f>
        <v/>
      </c>
      <c r="B15324" s="43" t="n">
        <v>-23.613663</v>
      </c>
      <c r="C15324" s="43" t="n">
        <v>-46.484809</v>
      </c>
      <c r="D15324" s="43" t="n">
        <v>649</v>
      </c>
      <c r="E15324" s="44" t="n">
        <v>18327.102</v>
      </c>
    </row>
    <row r="15325">
      <c r="A15325" s="39">
        <f>_xlfn.XLOOKUP(82115,Trip[shape_id],Trip[shape_id],"Não encontrado")</f>
        <v/>
      </c>
      <c r="B15325" s="40" t="n">
        <v>-23.613697</v>
      </c>
      <c r="C15325" s="40" t="n">
        <v>-46.484606</v>
      </c>
      <c r="D15325" s="40" t="n">
        <v>650</v>
      </c>
      <c r="E15325" s="41" t="n">
        <v>18327.102</v>
      </c>
    </row>
    <row r="15326">
      <c r="A15326" s="42">
        <f>_xlfn.XLOOKUP(82115,Trip[shape_id],Trip[shape_id],"Não encontrado")</f>
        <v/>
      </c>
      <c r="B15326" s="43" t="n">
        <v>-23.613732</v>
      </c>
      <c r="C15326" s="43" t="n">
        <v>-46.484399</v>
      </c>
      <c r="D15326" s="43" t="n">
        <v>651</v>
      </c>
      <c r="E15326" s="44" t="n">
        <v>18348.58</v>
      </c>
    </row>
    <row r="15327">
      <c r="A15327" s="39">
        <f>_xlfn.XLOOKUP(82115,Trip[shape_id],Trip[shape_id],"Não encontrado")</f>
        <v/>
      </c>
      <c r="B15327" s="40" t="n">
        <v>-23.613741</v>
      </c>
      <c r="C15327" s="40" t="n">
        <v>-46.484303</v>
      </c>
      <c r="D15327" s="40" t="n">
        <v>652</v>
      </c>
      <c r="E15327" s="41" t="n">
        <v>18364.244</v>
      </c>
    </row>
    <row r="15328">
      <c r="A15328" s="42">
        <f>_xlfn.XLOOKUP(82115,Trip[shape_id],Trip[shape_id],"Não encontrado")</f>
        <v/>
      </c>
      <c r="B15328" s="43" t="n">
        <v>-23.613741</v>
      </c>
      <c r="C15328" s="43" t="n">
        <v>-46.484246</v>
      </c>
      <c r="D15328" s="43" t="n">
        <v>653</v>
      </c>
      <c r="E15328" s="44" t="n">
        <v>18370.367</v>
      </c>
    </row>
    <row r="15329">
      <c r="A15329" s="39">
        <f>_xlfn.XLOOKUP(82115,Trip[shape_id],Trip[shape_id],"Não encontrado")</f>
        <v/>
      </c>
      <c r="B15329" s="40" t="n">
        <v>-23.613741</v>
      </c>
      <c r="C15329" s="40" t="n">
        <v>-46.484186</v>
      </c>
      <c r="D15329" s="40" t="n">
        <v>654</v>
      </c>
      <c r="E15329" s="41" t="n">
        <v>18375.166</v>
      </c>
    </row>
    <row r="15330">
      <c r="A15330" s="42">
        <f>_xlfn.XLOOKUP(82115,Trip[shape_id],Trip[shape_id],"Não encontrado")</f>
        <v/>
      </c>
      <c r="B15330" s="43" t="n">
        <v>-23.613732</v>
      </c>
      <c r="C15330" s="43" t="n">
        <v>-46.48414</v>
      </c>
      <c r="D15330" s="43" t="n">
        <v>655</v>
      </c>
      <c r="E15330" s="44" t="n">
        <v>18382.961</v>
      </c>
    </row>
    <row r="15331">
      <c r="A15331" s="39">
        <f>_xlfn.XLOOKUP(82115,Trip[shape_id],Trip[shape_id],"Não encontrado")</f>
        <v/>
      </c>
      <c r="B15331" s="40" t="n">
        <v>-23.613725</v>
      </c>
      <c r="C15331" s="40" t="n">
        <v>-46.484064</v>
      </c>
      <c r="D15331" s="40" t="n">
        <v>656</v>
      </c>
      <c r="E15331" s="41" t="n">
        <v>18388.928</v>
      </c>
    </row>
    <row r="15332">
      <c r="A15332" s="42">
        <f>_xlfn.XLOOKUP(82115,Trip[shape_id],Trip[shape_id],"Não encontrado")</f>
        <v/>
      </c>
      <c r="B15332" s="43" t="n">
        <v>-23.613713</v>
      </c>
      <c r="C15332" s="43" t="n">
        <v>-46.484007</v>
      </c>
      <c r="D15332" s="43" t="n">
        <v>657</v>
      </c>
      <c r="E15332" s="44" t="n">
        <v>18388.928</v>
      </c>
    </row>
    <row r="15333">
      <c r="A15333" s="39">
        <f>_xlfn.XLOOKUP(82115,Trip[shape_id],Trip[shape_id],"Não encontrado")</f>
        <v/>
      </c>
      <c r="B15333" s="40" t="n">
        <v>-23.613674</v>
      </c>
      <c r="C15333" s="40" t="n">
        <v>-46.483769</v>
      </c>
      <c r="D15333" s="40" t="n">
        <v>658</v>
      </c>
      <c r="E15333" s="41" t="n">
        <v>18413.598</v>
      </c>
    </row>
    <row r="15334">
      <c r="A15334" s="42">
        <f>_xlfn.XLOOKUP(82115,Trip[shape_id],Trip[shape_id],"Não encontrado")</f>
        <v/>
      </c>
      <c r="B15334" s="43" t="n">
        <v>-23.613614</v>
      </c>
      <c r="C15334" s="43" t="n">
        <v>-46.483357</v>
      </c>
      <c r="D15334" s="43" t="n">
        <v>659</v>
      </c>
      <c r="E15334" s="44" t="n">
        <v>18456.166</v>
      </c>
    </row>
    <row r="15335">
      <c r="A15335" s="39">
        <f>_xlfn.XLOOKUP(82115,Trip[shape_id],Trip[shape_id],"Não encontrado")</f>
        <v/>
      </c>
      <c r="B15335" s="40" t="n">
        <v>-23.613611</v>
      </c>
      <c r="C15335" s="40" t="n">
        <v>-46.483281</v>
      </c>
      <c r="D15335" s="40" t="n">
        <v>660</v>
      </c>
      <c r="E15335" s="41" t="n">
        <v>18501.393</v>
      </c>
    </row>
    <row r="15336">
      <c r="A15336" s="42">
        <f>_xlfn.XLOOKUP(82115,Trip[shape_id],Trip[shape_id],"Não encontrado")</f>
        <v/>
      </c>
      <c r="B15336" s="43" t="n">
        <v>-23.613637</v>
      </c>
      <c r="C15336" s="43" t="n">
        <v>-46.482915</v>
      </c>
      <c r="D15336" s="43" t="n">
        <v>661</v>
      </c>
      <c r="E15336" s="44" t="n">
        <v>18520.088</v>
      </c>
    </row>
    <row r="15337">
      <c r="A15337" s="39">
        <f>_xlfn.XLOOKUP(82115,Trip[shape_id],Trip[shape_id],"Não encontrado")</f>
        <v/>
      </c>
      <c r="B15337" s="40" t="n">
        <v>-23.613663</v>
      </c>
      <c r="C15337" s="40" t="n">
        <v>-46.482734</v>
      </c>
      <c r="D15337" s="40" t="n">
        <v>662</v>
      </c>
      <c r="E15337" s="41" t="n">
        <v>18520.088</v>
      </c>
    </row>
    <row r="15338">
      <c r="A15338" s="42">
        <f>_xlfn.XLOOKUP(82115,Trip[shape_id],Trip[shape_id],"Não encontrado")</f>
        <v/>
      </c>
      <c r="B15338" s="43" t="n">
        <v>-23.61372</v>
      </c>
      <c r="C15338" s="43" t="n">
        <v>-46.482247</v>
      </c>
      <c r="D15338" s="43" t="n">
        <v>663</v>
      </c>
      <c r="E15338" s="44" t="n">
        <v>18582.484</v>
      </c>
    </row>
    <row r="15339">
      <c r="A15339" s="39">
        <f>_xlfn.XLOOKUP(82115,Trip[shape_id],Trip[shape_id],"Não encontrado")</f>
        <v/>
      </c>
      <c r="B15339" s="40" t="n">
        <v>-23.61373</v>
      </c>
      <c r="C15339" s="40" t="n">
        <v>-46.482127</v>
      </c>
      <c r="D15339" s="40" t="n">
        <v>664</v>
      </c>
      <c r="E15339" s="41" t="n">
        <v>18588</v>
      </c>
    </row>
    <row r="15340">
      <c r="A15340" s="42">
        <f>_xlfn.XLOOKUP(82115,Trip[shape_id],Trip[shape_id],"Não encontrado")</f>
        <v/>
      </c>
      <c r="B15340" s="43" t="n">
        <v>-23.613728</v>
      </c>
      <c r="C15340" s="43" t="n">
        <v>-46.482073</v>
      </c>
      <c r="D15340" s="43" t="n">
        <v>665</v>
      </c>
      <c r="E15340" s="44" t="n">
        <v>18588</v>
      </c>
    </row>
    <row r="15341">
      <c r="A15341" s="39">
        <f>_xlfn.XLOOKUP(82115,Trip[shape_id],Trip[shape_id],"Não encontrado")</f>
        <v/>
      </c>
      <c r="B15341" s="40" t="n">
        <v>-23.613784</v>
      </c>
      <c r="C15341" s="40" t="n">
        <v>-46.482071</v>
      </c>
      <c r="D15341" s="40" t="n">
        <v>666</v>
      </c>
      <c r="E15341" s="41" t="n">
        <v>18667.531</v>
      </c>
    </row>
    <row r="15342">
      <c r="A15342" s="42">
        <f>_xlfn.XLOOKUP(82115,Trip[shape_id],Trip[shape_id],"Não encontrado")</f>
        <v/>
      </c>
      <c r="B15342" s="43" t="n">
        <v>-23.614433</v>
      </c>
      <c r="C15342" s="43" t="n">
        <v>-46.481929</v>
      </c>
      <c r="D15342" s="43" t="n">
        <v>667</v>
      </c>
      <c r="E15342" s="44" t="n">
        <v>18715.721</v>
      </c>
    </row>
    <row r="15343">
      <c r="A15343" s="39">
        <f>_xlfn.XLOOKUP(82115,Trip[shape_id],Trip[shape_id],"Não encontrado")</f>
        <v/>
      </c>
      <c r="B15343" s="40" t="n">
        <v>-23.614861</v>
      </c>
      <c r="C15343" s="40" t="n">
        <v>-46.481844</v>
      </c>
      <c r="D15343" s="40" t="n">
        <v>668</v>
      </c>
      <c r="E15343" s="41" t="n">
        <v>18799.783</v>
      </c>
    </row>
    <row r="15344">
      <c r="A15344" s="42">
        <f>_xlfn.XLOOKUP(82115,Trip[shape_id],Trip[shape_id],"Não encontrado")</f>
        <v/>
      </c>
      <c r="B15344" s="43" t="n">
        <v>-23.615605</v>
      </c>
      <c r="C15344" s="43" t="n">
        <v>-46.481681</v>
      </c>
      <c r="D15344" s="43" t="n">
        <v>669</v>
      </c>
      <c r="E15344" s="44" t="n">
        <v>18799.783</v>
      </c>
    </row>
    <row r="15345">
      <c r="A15345" s="39">
        <f>_xlfn.XLOOKUP(82115,Trip[shape_id],Trip[shape_id],"Não encontrado")</f>
        <v/>
      </c>
      <c r="B15345" s="40" t="n">
        <v>-23.616182</v>
      </c>
      <c r="C15345" s="40" t="n">
        <v>-46.481555</v>
      </c>
      <c r="D15345" s="40" t="n">
        <v>670</v>
      </c>
      <c r="E15345" s="41" t="n">
        <v>18873.584</v>
      </c>
    </row>
    <row r="15346">
      <c r="A15346" s="42">
        <f>_xlfn.XLOOKUP(82115,Trip[shape_id],Trip[shape_id],"Não encontrado")</f>
        <v/>
      </c>
      <c r="B15346" s="43" t="n">
        <v>-23.616258</v>
      </c>
      <c r="C15346" s="43" t="n">
        <v>-46.481537</v>
      </c>
      <c r="D15346" s="43" t="n">
        <v>671</v>
      </c>
      <c r="E15346" s="44" t="n">
        <v>18912.16</v>
      </c>
    </row>
    <row r="15347">
      <c r="A15347" s="39">
        <f>_xlfn.XLOOKUP(82115,Trip[shape_id],Trip[shape_id],"Não encontrado")</f>
        <v/>
      </c>
      <c r="B15347" s="40" t="n">
        <v>-23.616599</v>
      </c>
      <c r="C15347" s="40" t="n">
        <v>-46.48146</v>
      </c>
      <c r="D15347" s="40" t="n">
        <v>672</v>
      </c>
      <c r="E15347" s="41" t="n">
        <v>18922.84</v>
      </c>
    </row>
    <row r="15348">
      <c r="A15348" s="42">
        <f>_xlfn.XLOOKUP(82115,Trip[shape_id],Trip[shape_id],"Não encontrado")</f>
        <v/>
      </c>
      <c r="B15348" s="43" t="n">
        <v>-23.616694</v>
      </c>
      <c r="C15348" s="43" t="n">
        <v>-46.481442</v>
      </c>
      <c r="D15348" s="43" t="n">
        <v>673</v>
      </c>
      <c r="E15348" s="44" t="n">
        <v>18940.801</v>
      </c>
    </row>
    <row r="15349">
      <c r="A15349" s="39">
        <f>_xlfn.XLOOKUP(82115,Trip[shape_id],Trip[shape_id],"Não encontrado")</f>
        <v/>
      </c>
      <c r="B15349" s="40" t="n">
        <v>-23.616856</v>
      </c>
      <c r="C15349" s="40" t="n">
        <v>-46.481434</v>
      </c>
      <c r="D15349" s="40" t="n">
        <v>674</v>
      </c>
      <c r="E15349" s="41" t="n">
        <v>18955.217</v>
      </c>
    </row>
    <row r="15350">
      <c r="A15350" s="42">
        <f>_xlfn.XLOOKUP(82115,Trip[shape_id],Trip[shape_id],"Não encontrado")</f>
        <v/>
      </c>
      <c r="B15350" s="43" t="n">
        <v>-23.616986</v>
      </c>
      <c r="C15350" s="43" t="n">
        <v>-46.481441</v>
      </c>
      <c r="D15350" s="43" t="n">
        <v>675</v>
      </c>
      <c r="E15350" s="44" t="n">
        <v>18972.613</v>
      </c>
    </row>
    <row r="15351">
      <c r="A15351" s="39">
        <f>_xlfn.XLOOKUP(82115,Trip[shape_id],Trip[shape_id],"Não encontrado")</f>
        <v/>
      </c>
      <c r="B15351" s="40" t="n">
        <v>-23.617143</v>
      </c>
      <c r="C15351" s="40" t="n">
        <v>-46.481446</v>
      </c>
      <c r="D15351" s="40" t="n">
        <v>676</v>
      </c>
      <c r="E15351" s="41" t="n">
        <v>18972.613</v>
      </c>
    </row>
    <row r="15352">
      <c r="A15352" s="42">
        <f>_xlfn.XLOOKUP(82115,Trip[shape_id],Trip[shape_id],"Não encontrado")</f>
        <v/>
      </c>
      <c r="B15352" s="43" t="n">
        <v>-23.617247</v>
      </c>
      <c r="C15352" s="43" t="n">
        <v>-46.481448</v>
      </c>
      <c r="D15352" s="43" t="n">
        <v>677</v>
      </c>
      <c r="E15352" s="44" t="n">
        <v>19001.037</v>
      </c>
    </row>
    <row r="15353">
      <c r="A15353" s="39">
        <f>_xlfn.XLOOKUP(82115,Trip[shape_id],Trip[shape_id],"Não encontrado")</f>
        <v/>
      </c>
      <c r="B15353" s="40" t="n">
        <v>-23.617399</v>
      </c>
      <c r="C15353" s="40" t="n">
        <v>-46.481463</v>
      </c>
      <c r="D15353" s="40" t="n">
        <v>678</v>
      </c>
      <c r="E15353" s="41" t="n">
        <v>19036.852</v>
      </c>
    </row>
    <row r="15354">
      <c r="A15354" s="42">
        <f>_xlfn.XLOOKUP(82115,Trip[shape_id],Trip[shape_id],"Não encontrado")</f>
        <v/>
      </c>
      <c r="B15354" s="43" t="n">
        <v>-23.617722</v>
      </c>
      <c r="C15354" s="43" t="n">
        <v>-46.481446</v>
      </c>
      <c r="D15354" s="43" t="n">
        <v>679</v>
      </c>
      <c r="E15354" s="44" t="n">
        <v>19071.15</v>
      </c>
    </row>
    <row r="15355">
      <c r="A15355" s="39">
        <f>_xlfn.XLOOKUP(82115,Trip[shape_id],Trip[shape_id],"Não encontrado")</f>
        <v/>
      </c>
      <c r="B15355" s="40" t="n">
        <v>-23.61803</v>
      </c>
      <c r="C15355" s="40" t="n">
        <v>-46.481411</v>
      </c>
      <c r="D15355" s="40" t="n">
        <v>680</v>
      </c>
      <c r="E15355" s="41" t="n">
        <v>19071.15</v>
      </c>
    </row>
    <row r="15356">
      <c r="A15356" s="42">
        <f>_xlfn.XLOOKUP(82115,Trip[shape_id],Trip[shape_id],"Não encontrado")</f>
        <v/>
      </c>
      <c r="B15356" s="43" t="n">
        <v>-23.618437</v>
      </c>
      <c r="C15356" s="43" t="n">
        <v>-46.481353</v>
      </c>
      <c r="D15356" s="43" t="n">
        <v>681</v>
      </c>
      <c r="E15356" s="44" t="n">
        <v>19199.131</v>
      </c>
    </row>
    <row r="15357">
      <c r="A15357" s="39">
        <f>_xlfn.XLOOKUP(82115,Trip[shape_id],Trip[shape_id],"Não encontrado")</f>
        <v/>
      </c>
      <c r="B15357" s="40" t="n">
        <v>-23.619176</v>
      </c>
      <c r="C15357" s="40" t="n">
        <v>-46.48125</v>
      </c>
      <c r="D15357" s="40" t="n">
        <v>682</v>
      </c>
      <c r="E15357" s="41" t="n">
        <v>19304.832</v>
      </c>
    </row>
    <row r="15358">
      <c r="A15358" s="42">
        <f>_xlfn.XLOOKUP(82115,Trip[shape_id],Trip[shape_id],"Não encontrado")</f>
        <v/>
      </c>
      <c r="B15358" s="43" t="n">
        <v>-23.620122</v>
      </c>
      <c r="C15358" s="43" t="n">
        <v>-46.481113</v>
      </c>
      <c r="D15358" s="43" t="n">
        <v>683</v>
      </c>
      <c r="E15358" s="44" t="n">
        <v>19304.832</v>
      </c>
    </row>
    <row r="15359">
      <c r="A15359" s="39">
        <f>_xlfn.XLOOKUP(82115,Trip[shape_id],Trip[shape_id],"Não encontrado")</f>
        <v/>
      </c>
      <c r="B15359" s="40" t="n">
        <v>-23.620095</v>
      </c>
      <c r="C15359" s="40" t="n">
        <v>-46.481725</v>
      </c>
      <c r="D15359" s="40" t="n">
        <v>684</v>
      </c>
      <c r="E15359" s="41" t="n">
        <v>19367.357</v>
      </c>
    </row>
    <row r="15360">
      <c r="A15360" s="42">
        <f>_xlfn.XLOOKUP(82115,Trip[shape_id],Trip[shape_id],"Não encontrado")</f>
        <v/>
      </c>
      <c r="B15360" s="43" t="n">
        <v>-23.620085</v>
      </c>
      <c r="C15360" s="43" t="n">
        <v>-46.482009</v>
      </c>
      <c r="D15360" s="43" t="n">
        <v>685</v>
      </c>
      <c r="E15360" s="44" t="n">
        <v>19396.361</v>
      </c>
    </row>
    <row r="15361">
      <c r="A15361" s="39">
        <f>_xlfn.XLOOKUP(82115,Trip[shape_id],Trip[shape_id],"Não encontrado")</f>
        <v/>
      </c>
      <c r="B15361" s="40" t="n">
        <v>-23.620078</v>
      </c>
      <c r="C15361" s="40" t="n">
        <v>-46.482337</v>
      </c>
      <c r="D15361" s="40" t="n">
        <v>686</v>
      </c>
      <c r="E15361" s="41" t="n">
        <v>19429.842</v>
      </c>
    </row>
    <row r="15362">
      <c r="A15362" s="42">
        <f>_xlfn.XLOOKUP(82115,Trip[shape_id],Trip[shape_id],"Não encontrado")</f>
        <v/>
      </c>
      <c r="B15362" s="43" t="n">
        <v>-23.620099</v>
      </c>
      <c r="C15362" s="43" t="n">
        <v>-46.482408</v>
      </c>
      <c r="D15362" s="43" t="n">
        <v>687</v>
      </c>
      <c r="E15362" s="44" t="n">
        <v>19437.451</v>
      </c>
    </row>
    <row r="15363">
      <c r="A15363" s="39">
        <f>_xlfn.XLOOKUP(82115,Trip[shape_id],Trip[shape_id],"Não encontrado")</f>
        <v/>
      </c>
      <c r="B15363" s="40" t="n">
        <v>-23.620119</v>
      </c>
      <c r="C15363" s="40" t="n">
        <v>-46.482467</v>
      </c>
      <c r="D15363" s="40" t="n">
        <v>688</v>
      </c>
      <c r="E15363" s="41" t="n">
        <v>19443.867</v>
      </c>
    </row>
    <row r="15364">
      <c r="A15364" s="42">
        <f>_xlfn.XLOOKUP(82115,Trip[shape_id],Trip[shape_id],"Não encontrado")</f>
        <v/>
      </c>
      <c r="B15364" s="43" t="n">
        <v>-23.620164</v>
      </c>
      <c r="C15364" s="43" t="n">
        <v>-46.482553</v>
      </c>
      <c r="D15364" s="43" t="n">
        <v>689</v>
      </c>
      <c r="E15364" s="44" t="n">
        <v>19453.959</v>
      </c>
    </row>
    <row r="15365">
      <c r="A15365" s="39">
        <f>_xlfn.XLOOKUP(82115,Trip[shape_id],Trip[shape_id],"Não encontrado")</f>
        <v/>
      </c>
      <c r="B15365" s="40" t="n">
        <v>-23.620192</v>
      </c>
      <c r="C15365" s="40" t="n">
        <v>-46.482596</v>
      </c>
      <c r="D15365" s="40" t="n">
        <v>690</v>
      </c>
      <c r="E15365" s="41" t="n">
        <v>19459.332</v>
      </c>
    </row>
    <row r="15366">
      <c r="A15366" s="42">
        <f>_xlfn.XLOOKUP(82115,Trip[shape_id],Trip[shape_id],"Não encontrado")</f>
        <v/>
      </c>
      <c r="B15366" s="43" t="n">
        <v>-23.620233</v>
      </c>
      <c r="C15366" s="43" t="n">
        <v>-46.482636</v>
      </c>
      <c r="D15366" s="43" t="n">
        <v>691</v>
      </c>
      <c r="E15366" s="44" t="n">
        <v>19465.438</v>
      </c>
    </row>
    <row r="15367">
      <c r="A15367" s="39">
        <f>_xlfn.XLOOKUP(82115,Trip[shape_id],Trip[shape_id],"Não encontrado")</f>
        <v/>
      </c>
      <c r="B15367" s="40" t="n">
        <v>-23.620243</v>
      </c>
      <c r="C15367" s="40" t="n">
        <v>-46.482646</v>
      </c>
      <c r="D15367" s="40" t="n">
        <v>692</v>
      </c>
      <c r="E15367" s="41" t="n">
        <v>19466.943</v>
      </c>
    </row>
    <row r="15368">
      <c r="A15368" s="42">
        <f>_xlfn.XLOOKUP(82115,Trip[shape_id],Trip[shape_id],"Não encontrado")</f>
        <v/>
      </c>
      <c r="B15368" s="43" t="n">
        <v>-23.620346</v>
      </c>
      <c r="C15368" s="43" t="n">
        <v>-46.482746</v>
      </c>
      <c r="D15368" s="43" t="n">
        <v>693</v>
      </c>
      <c r="E15368" s="44" t="n">
        <v>19482.25</v>
      </c>
    </row>
    <row r="15369">
      <c r="A15369" s="39">
        <f>_xlfn.XLOOKUP(82115,Trip[shape_id],Trip[shape_id],"Não encontrado")</f>
        <v/>
      </c>
      <c r="B15369" s="40" t="n">
        <v>-23.620378</v>
      </c>
      <c r="C15369" s="40" t="n">
        <v>-46.482784</v>
      </c>
      <c r="D15369" s="40" t="n">
        <v>694</v>
      </c>
      <c r="E15369" s="41" t="n">
        <v>19487.504</v>
      </c>
    </row>
    <row r="15370">
      <c r="A15370" s="42">
        <f>_xlfn.XLOOKUP(82115,Trip[shape_id],Trip[shape_id],"Não encontrado")</f>
        <v/>
      </c>
      <c r="B15370" s="43" t="n">
        <v>-23.620708</v>
      </c>
      <c r="C15370" s="43" t="n">
        <v>-46.483162</v>
      </c>
      <c r="D15370" s="43" t="n">
        <v>695</v>
      </c>
      <c r="E15370" s="44" t="n">
        <v>19540.643</v>
      </c>
    </row>
    <row r="15371">
      <c r="A15371" s="39">
        <f>_xlfn.XLOOKUP(82115,Trip[shape_id],Trip[shape_id],"Não encontrado")</f>
        <v/>
      </c>
      <c r="B15371" s="40" t="n">
        <v>-23.620855</v>
      </c>
      <c r="C15371" s="40" t="n">
        <v>-46.483353</v>
      </c>
      <c r="D15371" s="40" t="n">
        <v>696</v>
      </c>
      <c r="E15371" s="41" t="n">
        <v>19566.039</v>
      </c>
    </row>
    <row r="15372">
      <c r="A15372" s="42">
        <f>_xlfn.XLOOKUP(82115,Trip[shape_id],Trip[shape_id],"Não encontrado")</f>
        <v/>
      </c>
      <c r="B15372" s="43" t="n">
        <v>-23.620873</v>
      </c>
      <c r="C15372" s="43" t="n">
        <v>-46.483395</v>
      </c>
      <c r="D15372" s="43" t="n">
        <v>697</v>
      </c>
      <c r="E15372" s="44" t="n">
        <v>19570.766</v>
      </c>
    </row>
    <row r="15373">
      <c r="A15373" s="39">
        <f>_xlfn.XLOOKUP(82115,Trip[shape_id],Trip[shape_id],"Não encontrado")</f>
        <v/>
      </c>
      <c r="B15373" s="40" t="n">
        <v>-23.620601</v>
      </c>
      <c r="C15373" s="40" t="n">
        <v>-46.483462</v>
      </c>
      <c r="D15373" s="40" t="n">
        <v>698</v>
      </c>
      <c r="E15373" s="41" t="n">
        <v>19601.656</v>
      </c>
    </row>
    <row r="15374">
      <c r="A15374" s="42">
        <f>_xlfn.XLOOKUP(82115,Trip[shape_id],Trip[shape_id],"Não encontrado")</f>
        <v/>
      </c>
      <c r="B15374" s="43" t="n">
        <v>-23.62044</v>
      </c>
      <c r="C15374" s="43" t="n">
        <v>-46.483506</v>
      </c>
      <c r="D15374" s="43" t="n">
        <v>699</v>
      </c>
      <c r="E15374" s="44" t="n">
        <v>19620.045</v>
      </c>
    </row>
    <row r="15375">
      <c r="A15375" s="39">
        <f>_xlfn.XLOOKUP(82115,Trip[shape_id],Trip[shape_id],"Não encontrado")</f>
        <v/>
      </c>
      <c r="B15375" s="40" t="n">
        <v>-23.620328</v>
      </c>
      <c r="C15375" s="40" t="n">
        <v>-46.48352</v>
      </c>
      <c r="D15375" s="40" t="n">
        <v>700</v>
      </c>
      <c r="E15375" s="41" t="n">
        <v>19632.531</v>
      </c>
    </row>
    <row r="15376">
      <c r="A15376" s="42">
        <f>_xlfn.XLOOKUP(82115,Trip[shape_id],Trip[shape_id],"Não encontrado")</f>
        <v/>
      </c>
      <c r="B15376" s="43" t="n">
        <v>-23.619812</v>
      </c>
      <c r="C15376" s="43" t="n">
        <v>-46.483539</v>
      </c>
      <c r="D15376" s="43" t="n">
        <v>701</v>
      </c>
      <c r="E15376" s="44" t="n">
        <v>19689.713</v>
      </c>
    </row>
    <row r="15377">
      <c r="A15377" s="39">
        <f>_xlfn.XLOOKUP(82115,Trip[shape_id],Trip[shape_id],"Não encontrado")</f>
        <v/>
      </c>
      <c r="B15377" s="40" t="n">
        <v>-23.61949</v>
      </c>
      <c r="C15377" s="40" t="n">
        <v>-46.483543</v>
      </c>
      <c r="D15377" s="40" t="n">
        <v>702</v>
      </c>
      <c r="E15377" s="41" t="n">
        <v>19725.377</v>
      </c>
    </row>
    <row r="15378">
      <c r="A15378" s="42">
        <f>_xlfn.XLOOKUP(82115,Trip[shape_id],Trip[shape_id],"Não encontrado")</f>
        <v/>
      </c>
      <c r="B15378" s="43" t="n">
        <v>-23.618961</v>
      </c>
      <c r="C15378" s="43" t="n">
        <v>-46.483547</v>
      </c>
      <c r="D15378" s="43" t="n">
        <v>703</v>
      </c>
      <c r="E15378" s="44" t="n">
        <v>19783.967</v>
      </c>
    </row>
    <row r="15379">
      <c r="A15379" s="39">
        <f>_xlfn.XLOOKUP(82115,Trip[shape_id],Trip[shape_id],"Não encontrado")</f>
        <v/>
      </c>
      <c r="B15379" s="40" t="n">
        <v>-23.618879</v>
      </c>
      <c r="C15379" s="40" t="n">
        <v>-46.483562</v>
      </c>
      <c r="D15379" s="40" t="n">
        <v>704</v>
      </c>
      <c r="E15379" s="41" t="n">
        <v>19793.176</v>
      </c>
    </row>
    <row r="15380">
      <c r="A15380" s="42">
        <f>_xlfn.XLOOKUP(82115,Trip[shape_id],Trip[shape_id],"Não encontrado")</f>
        <v/>
      </c>
      <c r="B15380" s="43" t="n">
        <v>-23.618549</v>
      </c>
      <c r="C15380" s="43" t="n">
        <v>-46.483709</v>
      </c>
      <c r="D15380" s="43" t="n">
        <v>705</v>
      </c>
      <c r="E15380" s="44" t="n">
        <v>19832.684</v>
      </c>
    </row>
    <row r="15381">
      <c r="A15381" s="39">
        <f>_xlfn.XLOOKUP(82115,Trip[shape_id],Trip[shape_id],"Não encontrado")</f>
        <v/>
      </c>
      <c r="B15381" s="40" t="n">
        <v>-23.618472</v>
      </c>
      <c r="C15381" s="40" t="n">
        <v>-46.483747</v>
      </c>
      <c r="D15381" s="40" t="n">
        <v>706</v>
      </c>
      <c r="E15381" s="41" t="n">
        <v>19842.053</v>
      </c>
    </row>
    <row r="15382">
      <c r="A15382" s="42">
        <f>_xlfn.XLOOKUP(82115,Trip[shape_id],Trip[shape_id],"Não encontrado")</f>
        <v/>
      </c>
      <c r="B15382" s="43" t="n">
        <v>-23.618369</v>
      </c>
      <c r="C15382" s="43" t="n">
        <v>-46.483776</v>
      </c>
      <c r="D15382" s="43" t="n">
        <v>707</v>
      </c>
      <c r="E15382" s="44" t="n">
        <v>19853.838</v>
      </c>
    </row>
    <row r="15383">
      <c r="A15383" s="39">
        <f>_xlfn.XLOOKUP(82115,Trip[shape_id],Trip[shape_id],"Não encontrado")</f>
        <v/>
      </c>
      <c r="B15383" s="40" t="n">
        <v>-23.618221</v>
      </c>
      <c r="C15383" s="40" t="n">
        <v>-46.483796</v>
      </c>
      <c r="D15383" s="40" t="n">
        <v>708</v>
      </c>
      <c r="E15383" s="41" t="n">
        <v>19870.355</v>
      </c>
    </row>
    <row r="15384">
      <c r="A15384" s="42">
        <f>_xlfn.XLOOKUP(82115,Trip[shape_id],Trip[shape_id],"Não encontrado")</f>
        <v/>
      </c>
      <c r="B15384" s="43" t="n">
        <v>-23.618155</v>
      </c>
      <c r="C15384" s="43" t="n">
        <v>-46.48379</v>
      </c>
      <c r="D15384" s="43" t="n">
        <v>709</v>
      </c>
      <c r="E15384" s="44" t="n">
        <v>19877.691</v>
      </c>
    </row>
    <row r="15385">
      <c r="A15385" s="39">
        <f>_xlfn.XLOOKUP(82115,Trip[shape_id],Trip[shape_id],"Não encontrado")</f>
        <v/>
      </c>
      <c r="B15385" s="40" t="n">
        <v>-23.61795</v>
      </c>
      <c r="C15385" s="40" t="n">
        <v>-46.483765</v>
      </c>
      <c r="D15385" s="40" t="n">
        <v>710</v>
      </c>
      <c r="E15385" s="41" t="n">
        <v>19900.539</v>
      </c>
    </row>
    <row r="15386">
      <c r="A15386" s="42">
        <f>_xlfn.XLOOKUP(82115,Trip[shape_id],Trip[shape_id],"Não encontrado")</f>
        <v/>
      </c>
      <c r="B15386" s="43" t="n">
        <v>-23.617904</v>
      </c>
      <c r="C15386" s="43" t="n">
        <v>-46.483747</v>
      </c>
      <c r="D15386" s="43" t="n">
        <v>711</v>
      </c>
      <c r="E15386" s="44" t="n">
        <v>19905.955</v>
      </c>
    </row>
    <row r="15387">
      <c r="A15387" s="39">
        <f>_xlfn.XLOOKUP(82115,Trip[shape_id],Trip[shape_id],"Não encontrado")</f>
        <v/>
      </c>
      <c r="B15387" s="40" t="n">
        <v>-23.617601</v>
      </c>
      <c r="C15387" s="40" t="n">
        <v>-46.483667</v>
      </c>
      <c r="D15387" s="40" t="n">
        <v>712</v>
      </c>
      <c r="E15387" s="41" t="n">
        <v>19940.492</v>
      </c>
    </row>
    <row r="15388">
      <c r="A15388" s="42">
        <f>_xlfn.XLOOKUP(82115,Trip[shape_id],Trip[shape_id],"Não encontrado")</f>
        <v/>
      </c>
      <c r="B15388" s="43" t="n">
        <v>-23.617481</v>
      </c>
      <c r="C15388" s="43" t="n">
        <v>-46.483637</v>
      </c>
      <c r="D15388" s="43" t="n">
        <v>713</v>
      </c>
      <c r="E15388" s="44" t="n">
        <v>19954.131</v>
      </c>
    </row>
    <row r="15389">
      <c r="A15389" s="39">
        <f>_xlfn.XLOOKUP(82115,Trip[shape_id],Trip[shape_id],"Não encontrado")</f>
        <v/>
      </c>
      <c r="B15389" s="40" t="n">
        <v>-23.6174</v>
      </c>
      <c r="C15389" s="40" t="n">
        <v>-46.483635</v>
      </c>
      <c r="D15389" s="40" t="n">
        <v>714</v>
      </c>
      <c r="E15389" s="41" t="n">
        <v>19963.104</v>
      </c>
    </row>
    <row r="15390">
      <c r="A15390" s="42">
        <f>_xlfn.XLOOKUP(82115,Trip[shape_id],Trip[shape_id],"Não encontrado")</f>
        <v/>
      </c>
      <c r="B15390" s="43" t="n">
        <v>-23.617329</v>
      </c>
      <c r="C15390" s="43" t="n">
        <v>-46.483641</v>
      </c>
      <c r="D15390" s="43" t="n">
        <v>715</v>
      </c>
      <c r="E15390" s="44" t="n">
        <v>19970.99</v>
      </c>
    </row>
    <row r="15391">
      <c r="A15391" s="39">
        <f>_xlfn.XLOOKUP(82115,Trip[shape_id],Trip[shape_id],"Não encontrado")</f>
        <v/>
      </c>
      <c r="B15391" s="40" t="n">
        <v>-23.61725</v>
      </c>
      <c r="C15391" s="40" t="n">
        <v>-46.483648</v>
      </c>
      <c r="D15391" s="40" t="n">
        <v>716</v>
      </c>
      <c r="E15391" s="41" t="n">
        <v>19979.77</v>
      </c>
    </row>
    <row r="15392">
      <c r="A15392" s="42">
        <f>_xlfn.XLOOKUP(82115,Trip[shape_id],Trip[shape_id],"Não encontrado")</f>
        <v/>
      </c>
      <c r="B15392" s="43" t="n">
        <v>-23.617078</v>
      </c>
      <c r="C15392" s="43" t="n">
        <v>-46.483717</v>
      </c>
      <c r="D15392" s="43" t="n">
        <v>717</v>
      </c>
      <c r="E15392" s="44" t="n">
        <v>20000.078</v>
      </c>
    </row>
    <row r="15393">
      <c r="A15393" s="39">
        <f>_xlfn.XLOOKUP(82115,Trip[shape_id],Trip[shape_id],"Não encontrado")</f>
        <v/>
      </c>
      <c r="B15393" s="40" t="n">
        <v>-23.616799</v>
      </c>
      <c r="C15393" s="40" t="n">
        <v>-46.483871</v>
      </c>
      <c r="D15393" s="40" t="n">
        <v>718</v>
      </c>
      <c r="E15393" s="41" t="n">
        <v>20034.744</v>
      </c>
    </row>
    <row r="15394">
      <c r="A15394" s="42">
        <f>_xlfn.XLOOKUP(82115,Trip[shape_id],Trip[shape_id],"Não encontrado")</f>
        <v/>
      </c>
      <c r="B15394" s="43" t="n">
        <v>-23.616071</v>
      </c>
      <c r="C15394" s="43" t="n">
        <v>-46.484261</v>
      </c>
      <c r="D15394" s="43" t="n">
        <v>719</v>
      </c>
      <c r="E15394" s="44" t="n">
        <v>20124.66</v>
      </c>
    </row>
    <row r="15395">
      <c r="A15395" s="39">
        <f>_xlfn.XLOOKUP(82115,Trip[shape_id],Trip[shape_id],"Não encontrado")</f>
        <v/>
      </c>
      <c r="B15395" s="40" t="n">
        <v>-23.615954</v>
      </c>
      <c r="C15395" s="40" t="n">
        <v>-46.484344</v>
      </c>
      <c r="D15395" s="40" t="n">
        <v>720</v>
      </c>
      <c r="E15395" s="41" t="n">
        <v>20140.141</v>
      </c>
    </row>
    <row r="15396">
      <c r="A15396" s="42">
        <f>_xlfn.XLOOKUP(82115,Trip[shape_id],Trip[shape_id],"Não encontrado")</f>
        <v/>
      </c>
      <c r="B15396" s="43" t="n">
        <v>-23.615672</v>
      </c>
      <c r="C15396" s="43" t="n">
        <v>-46.484573</v>
      </c>
      <c r="D15396" s="43" t="n">
        <v>721</v>
      </c>
      <c r="E15396" s="44" t="n">
        <v>20179.148</v>
      </c>
    </row>
    <row r="15397">
      <c r="A15397" s="39">
        <f>_xlfn.XLOOKUP(82115,Trip[shape_id],Trip[shape_id],"Não encontrado")</f>
        <v/>
      </c>
      <c r="B15397" s="40" t="n">
        <v>-23.615616</v>
      </c>
      <c r="C15397" s="40" t="n">
        <v>-46.484632</v>
      </c>
      <c r="D15397" s="40" t="n">
        <v>722</v>
      </c>
      <c r="E15397" s="41" t="n">
        <v>20187.793</v>
      </c>
    </row>
    <row r="15398">
      <c r="A15398" s="42">
        <f>_xlfn.XLOOKUP(82115,Trip[shape_id],Trip[shape_id],"Não encontrado")</f>
        <v/>
      </c>
      <c r="B15398" s="43" t="n">
        <v>-23.615479</v>
      </c>
      <c r="C15398" s="43" t="n">
        <v>-46.484678</v>
      </c>
      <c r="D15398" s="43" t="n">
        <v>723</v>
      </c>
      <c r="E15398" s="44" t="n">
        <v>20203.676</v>
      </c>
    </row>
    <row r="15399">
      <c r="A15399" s="39">
        <f>_xlfn.XLOOKUP(82115,Trip[shape_id],Trip[shape_id],"Não encontrado")</f>
        <v/>
      </c>
      <c r="B15399" s="40" t="n">
        <v>-23.614955</v>
      </c>
      <c r="C15399" s="40" t="n">
        <v>-46.484828</v>
      </c>
      <c r="D15399" s="40" t="n">
        <v>724</v>
      </c>
      <c r="E15399" s="41" t="n">
        <v>20263.695</v>
      </c>
    </row>
    <row r="15400">
      <c r="A15400" s="42">
        <f>_xlfn.XLOOKUP(82115,Trip[shape_id],Trip[shape_id],"Não encontrado")</f>
        <v/>
      </c>
      <c r="B15400" s="43" t="n">
        <v>-23.614994</v>
      </c>
      <c r="C15400" s="43" t="n">
        <v>-46.484938</v>
      </c>
      <c r="D15400" s="43" t="n">
        <v>725</v>
      </c>
      <c r="E15400" s="44" t="n">
        <v>20275.723</v>
      </c>
    </row>
    <row r="15401">
      <c r="A15401" s="39">
        <f>_xlfn.XLOOKUP(82115,Trip[shape_id],Trip[shape_id],"Não encontrado")</f>
        <v/>
      </c>
      <c r="B15401" s="40" t="n">
        <v>-23.615024</v>
      </c>
      <c r="C15401" s="40" t="n">
        <v>-46.48508</v>
      </c>
      <c r="D15401" s="40" t="n">
        <v>726</v>
      </c>
      <c r="E15401" s="41" t="n">
        <v>20290.59</v>
      </c>
    </row>
    <row r="15402">
      <c r="A15402" s="42">
        <f>_xlfn.XLOOKUP(82115,Trip[shape_id],Trip[shape_id],"Não encontrado")</f>
        <v/>
      </c>
      <c r="B15402" s="43" t="n">
        <v>-23.615061</v>
      </c>
      <c r="C15402" s="43" t="n">
        <v>-46.485248</v>
      </c>
      <c r="D15402" s="43" t="n">
        <v>727</v>
      </c>
      <c r="E15402" s="44" t="n">
        <v>20308.217</v>
      </c>
    </row>
    <row r="15403">
      <c r="A15403" s="39">
        <f>_xlfn.XLOOKUP(82115,Trip[shape_id],Trip[shape_id],"Não encontrado")</f>
        <v/>
      </c>
      <c r="B15403" s="40" t="n">
        <v>-23.615094</v>
      </c>
      <c r="C15403" s="40" t="n">
        <v>-46.485351</v>
      </c>
      <c r="D15403" s="40" t="n">
        <v>728</v>
      </c>
      <c r="E15403" s="41" t="n">
        <v>20319.346</v>
      </c>
    </row>
    <row r="15404">
      <c r="A15404" s="42">
        <f>_xlfn.XLOOKUP(82115,Trip[shape_id],Trip[shape_id],"Não encontrado")</f>
        <v/>
      </c>
      <c r="B15404" s="43" t="n">
        <v>-23.615129</v>
      </c>
      <c r="C15404" s="43" t="n">
        <v>-46.48547</v>
      </c>
      <c r="D15404" s="43" t="n">
        <v>729</v>
      </c>
      <c r="E15404" s="44" t="n">
        <v>20338.025</v>
      </c>
    </row>
    <row r="15405">
      <c r="A15405" s="39">
        <f>_xlfn.XLOOKUP(82115,Trip[shape_id],Trip[shape_id],"Não encontrado")</f>
        <v/>
      </c>
      <c r="B15405" s="40" t="n">
        <v>-23.615151</v>
      </c>
      <c r="C15405" s="40" t="n">
        <v>-46.485523</v>
      </c>
      <c r="D15405" s="40" t="n">
        <v>730</v>
      </c>
      <c r="E15405" s="41" t="n">
        <v>20349.352</v>
      </c>
    </row>
    <row r="15406">
      <c r="A15406" s="42">
        <f>_xlfn.XLOOKUP(82115,Trip[shape_id],Trip[shape_id],"Não encontrado")</f>
        <v/>
      </c>
      <c r="B15406" s="43" t="n">
        <v>-23.615199</v>
      </c>
      <c r="C15406" s="43" t="n">
        <v>-46.485621</v>
      </c>
      <c r="D15406" s="43" t="n">
        <v>731</v>
      </c>
      <c r="E15406" s="44" t="n">
        <v>20356.119</v>
      </c>
    </row>
    <row r="15407">
      <c r="A15407" s="39">
        <f>_xlfn.XLOOKUP(82115,Trip[shape_id],Trip[shape_id],"Não encontrado")</f>
        <v/>
      </c>
      <c r="B15407" s="40" t="n">
        <v>-23.615243</v>
      </c>
      <c r="C15407" s="40" t="n">
        <v>-46.485667</v>
      </c>
      <c r="D15407" s="40" t="n">
        <v>732</v>
      </c>
      <c r="E15407" s="41" t="n">
        <v>20362.906</v>
      </c>
    </row>
    <row r="15408">
      <c r="A15408" s="42">
        <f>_xlfn.XLOOKUP(82115,Trip[shape_id],Trip[shape_id],"Não encontrado")</f>
        <v/>
      </c>
      <c r="B15408" s="43" t="n">
        <v>-23.615299</v>
      </c>
      <c r="C15408" s="43" t="n">
        <v>-46.485694</v>
      </c>
      <c r="D15408" s="43" t="n">
        <v>733</v>
      </c>
      <c r="E15408" s="44" t="n">
        <v>20372.883</v>
      </c>
    </row>
    <row r="15409">
      <c r="A15409" s="39">
        <f>_xlfn.XLOOKUP(82115,Trip[shape_id],Trip[shape_id],"Não encontrado")</f>
        <v/>
      </c>
      <c r="B15409" s="40" t="n">
        <v>-23.615382</v>
      </c>
      <c r="C15409" s="40" t="n">
        <v>-46.485732</v>
      </c>
      <c r="D15409" s="40" t="n">
        <v>734</v>
      </c>
      <c r="E15409" s="41" t="n">
        <v>20387.98</v>
      </c>
    </row>
    <row r="15410">
      <c r="A15410" s="42">
        <f>_xlfn.XLOOKUP(82115,Trip[shape_id],Trip[shape_id],"Não encontrado")</f>
        <v/>
      </c>
      <c r="B15410" s="43" t="n">
        <v>-23.615518</v>
      </c>
      <c r="C15410" s="43" t="n">
        <v>-46.485722</v>
      </c>
      <c r="D15410" s="43" t="n">
        <v>735</v>
      </c>
      <c r="E15410" s="44" t="n">
        <v>20405.061</v>
      </c>
    </row>
    <row r="15411">
      <c r="A15411" s="39">
        <f>_xlfn.XLOOKUP(82115,Trip[shape_id],Trip[shape_id],"Não encontrado")</f>
        <v/>
      </c>
      <c r="B15411" s="40" t="n">
        <v>-23.615669</v>
      </c>
      <c r="C15411" s="40" t="n">
        <v>-46.485688</v>
      </c>
      <c r="D15411" s="40" t="n">
        <v>736</v>
      </c>
      <c r="E15411" s="41" t="n">
        <v>20490.992</v>
      </c>
    </row>
    <row r="15412">
      <c r="A15412" s="42">
        <f>_xlfn.XLOOKUP(82115,Trip[shape_id],Trip[shape_id],"Não encontrado")</f>
        <v/>
      </c>
      <c r="B15412" s="43" t="n">
        <v>-23.616422</v>
      </c>
      <c r="C15412" s="43" t="n">
        <v>-46.485485</v>
      </c>
      <c r="D15412" s="43" t="n">
        <v>737</v>
      </c>
      <c r="E15412" s="44" t="n">
        <v>20490.992</v>
      </c>
    </row>
    <row r="15413">
      <c r="A15413" s="39">
        <f>_xlfn.XLOOKUP(82115,Trip[shape_id],Trip[shape_id],"Não encontrado")</f>
        <v/>
      </c>
      <c r="B15413" s="40" t="n">
        <v>-23.616566</v>
      </c>
      <c r="C15413" s="40" t="n">
        <v>-46.485446</v>
      </c>
      <c r="D15413" s="40" t="n">
        <v>738</v>
      </c>
      <c r="E15413" s="41" t="n">
        <v>20507.43</v>
      </c>
    </row>
    <row r="15414">
      <c r="A15414" s="42">
        <f>_xlfn.XLOOKUP(82115,Trip[shape_id],Trip[shape_id],"Não encontrado")</f>
        <v/>
      </c>
      <c r="B15414" s="43" t="n">
        <v>-23.617705</v>
      </c>
      <c r="C15414" s="43" t="n">
        <v>-46.485134</v>
      </c>
      <c r="D15414" s="43" t="n">
        <v>739</v>
      </c>
      <c r="E15414" s="44" t="n">
        <v>20637.533</v>
      </c>
    </row>
    <row r="15415">
      <c r="A15415" s="39">
        <f>_xlfn.XLOOKUP(82115,Trip[shape_id],Trip[shape_id],"Não encontrado")</f>
        <v/>
      </c>
      <c r="B15415" s="40" t="n">
        <v>-23.617897</v>
      </c>
      <c r="C15415" s="40" t="n">
        <v>-46.48594</v>
      </c>
      <c r="D15415" s="40" t="n">
        <v>740</v>
      </c>
      <c r="E15415" s="41" t="n">
        <v>20722.49</v>
      </c>
    </row>
    <row r="15416">
      <c r="A15416" s="42">
        <f>_xlfn.XLOOKUP(82115,Trip[shape_id],Trip[shape_id],"Não encontrado")</f>
        <v/>
      </c>
      <c r="B15416" s="43" t="n">
        <v>-23.617923</v>
      </c>
      <c r="C15416" s="43" t="n">
        <v>-46.486048</v>
      </c>
      <c r="D15416" s="43" t="n">
        <v>741</v>
      </c>
      <c r="E15416" s="44" t="n">
        <v>20740.27</v>
      </c>
    </row>
    <row r="15417">
      <c r="A15417" s="39">
        <f>_xlfn.XLOOKUP(82115,Trip[shape_id],Trip[shape_id],"Não encontrado")</f>
        <v/>
      </c>
      <c r="B15417" s="40" t="n">
        <v>-23.617977</v>
      </c>
      <c r="C15417" s="40" t="n">
        <v>-46.48607</v>
      </c>
      <c r="D15417" s="40" t="n">
        <v>742</v>
      </c>
      <c r="E15417" s="41" t="n">
        <v>20775.119</v>
      </c>
    </row>
    <row r="15418">
      <c r="A15418" s="42">
        <f>_xlfn.XLOOKUP(82115,Trip[shape_id],Trip[shape_id],"Não encontrado")</f>
        <v/>
      </c>
      <c r="B15418" s="43" t="n">
        <v>-23.618264</v>
      </c>
      <c r="C15418" s="43" t="n">
        <v>-46.48621</v>
      </c>
      <c r="D15418" s="43" t="n">
        <v>743</v>
      </c>
      <c r="E15418" s="44" t="n">
        <v>20775.119</v>
      </c>
    </row>
    <row r="15419">
      <c r="A15419" s="39">
        <f>_xlfn.XLOOKUP(82115,Trip[shape_id],Trip[shape_id],"Não encontrado")</f>
        <v/>
      </c>
      <c r="B15419" s="40" t="n">
        <v>-23.617977</v>
      </c>
      <c r="C15419" s="40" t="n">
        <v>-46.48607</v>
      </c>
      <c r="D15419" s="40" t="n">
        <v>744</v>
      </c>
      <c r="E15419" s="41" t="n">
        <v>20809.969</v>
      </c>
    </row>
    <row r="15420">
      <c r="A15420" s="42">
        <f>_xlfn.XLOOKUP(82115,Trip[shape_id],Trip[shape_id],"Não encontrado")</f>
        <v/>
      </c>
      <c r="B15420" s="43" t="n">
        <v>-23.617923</v>
      </c>
      <c r="C15420" s="43" t="n">
        <v>-46.486048</v>
      </c>
      <c r="D15420" s="43" t="n">
        <v>745</v>
      </c>
      <c r="E15420" s="44" t="n">
        <v>20816.357</v>
      </c>
    </row>
    <row r="15421">
      <c r="A15421" s="39">
        <f>_xlfn.XLOOKUP(82115,Trip[shape_id],Trip[shape_id],"Não encontrado")</f>
        <v/>
      </c>
      <c r="B15421" s="40" t="n">
        <v>-23.617897</v>
      </c>
      <c r="C15421" s="40" t="n">
        <v>-46.48594</v>
      </c>
      <c r="D15421" s="40" t="n">
        <v>746</v>
      </c>
      <c r="E15421" s="41" t="n">
        <v>20827.748</v>
      </c>
    </row>
    <row r="15422">
      <c r="A15422" s="42">
        <f>_xlfn.XLOOKUP(82115,Trip[shape_id],Trip[shape_id],"Não encontrado")</f>
        <v/>
      </c>
      <c r="B15422" s="43" t="n">
        <v>-23.617705</v>
      </c>
      <c r="C15422" s="43" t="n">
        <v>-46.485134</v>
      </c>
      <c r="D15422" s="43" t="n">
        <v>747</v>
      </c>
      <c r="E15422" s="44" t="n">
        <v>20912.705</v>
      </c>
    </row>
    <row r="15423">
      <c r="A15423" s="39">
        <f>_xlfn.XLOOKUP(82115,Trip[shape_id],Trip[shape_id],"Não encontrado")</f>
        <v/>
      </c>
      <c r="B15423" s="40" t="n">
        <v>-23.617897</v>
      </c>
      <c r="C15423" s="40" t="n">
        <v>-46.48594</v>
      </c>
      <c r="D15423" s="40" t="n">
        <v>748</v>
      </c>
      <c r="E15423" s="41" t="n">
        <v>20997.662</v>
      </c>
    </row>
    <row r="15424">
      <c r="A15424" s="42">
        <f>_xlfn.XLOOKUP(82115,Trip[shape_id],Trip[shape_id],"Não encontrado")</f>
        <v/>
      </c>
      <c r="B15424" s="43" t="n">
        <v>-23.617923</v>
      </c>
      <c r="C15424" s="43" t="n">
        <v>-46.486048</v>
      </c>
      <c r="D15424" s="43" t="n">
        <v>749</v>
      </c>
      <c r="E15424" s="44" t="n">
        <v>21015.441</v>
      </c>
    </row>
    <row r="15425">
      <c r="A15425" s="39">
        <f>_xlfn.XLOOKUP(82115,Trip[shape_id],Trip[shape_id],"Não encontrado")</f>
        <v/>
      </c>
      <c r="B15425" s="40" t="n">
        <v>-23.617977</v>
      </c>
      <c r="C15425" s="40" t="n">
        <v>-46.48607</v>
      </c>
      <c r="D15425" s="40" t="n">
        <v>750</v>
      </c>
      <c r="E15425" s="41" t="n">
        <v>21050.291</v>
      </c>
    </row>
    <row r="15426">
      <c r="A15426" s="42">
        <f>_xlfn.XLOOKUP(82115,Trip[shape_id],Trip[shape_id],"Não encontrado")</f>
        <v/>
      </c>
      <c r="B15426" s="43" t="n">
        <v>-23.618264</v>
      </c>
      <c r="C15426" s="43" t="n">
        <v>-46.48621</v>
      </c>
      <c r="D15426" s="43" t="n">
        <v>751</v>
      </c>
      <c r="E15426" s="44" t="n">
        <v>21050.291</v>
      </c>
    </row>
    <row r="15427">
      <c r="A15427" s="39">
        <f>_xlfn.XLOOKUP(82115,Trip[shape_id],Trip[shape_id],"Não encontrado")</f>
        <v/>
      </c>
      <c r="B15427" s="40" t="n">
        <v>-23.618406</v>
      </c>
      <c r="C15427" s="40" t="n">
        <v>-46.486277</v>
      </c>
      <c r="D15427" s="40" t="n">
        <v>752</v>
      </c>
      <c r="E15427" s="41" t="n">
        <v>21096.389</v>
      </c>
    </row>
    <row r="15428">
      <c r="A15428" s="42">
        <f>_xlfn.XLOOKUP(82115,Trip[shape_id],Trip[shape_id],"Não encontrado")</f>
        <v/>
      </c>
      <c r="B15428" s="43" t="n">
        <v>-23.61866</v>
      </c>
      <c r="C15428" s="43" t="n">
        <v>-46.486344</v>
      </c>
      <c r="D15428" s="43" t="n">
        <v>753</v>
      </c>
      <c r="E15428" s="44" t="n">
        <v>21096.389</v>
      </c>
    </row>
    <row r="15429">
      <c r="A15429" s="39">
        <f>_xlfn.XLOOKUP(82115,Trip[shape_id],Trip[shape_id],"Não encontrado")</f>
        <v/>
      </c>
      <c r="B15429" s="40" t="n">
        <v>-23.61889</v>
      </c>
      <c r="C15429" s="40" t="n">
        <v>-46.486413</v>
      </c>
      <c r="D15429" s="40" t="n">
        <v>754</v>
      </c>
      <c r="E15429" s="41" t="n">
        <v>21125.871</v>
      </c>
    </row>
    <row r="15430">
      <c r="A15430" s="42">
        <f>_xlfn.XLOOKUP(82115,Trip[shape_id],Trip[shape_id],"Não encontrado")</f>
        <v/>
      </c>
      <c r="B15430" s="43" t="n">
        <v>-23.618916</v>
      </c>
      <c r="C15430" s="43" t="n">
        <v>-46.486423</v>
      </c>
      <c r="D15430" s="43" t="n">
        <v>755</v>
      </c>
      <c r="E15430" s="44" t="n">
        <v>21141.629</v>
      </c>
    </row>
    <row r="15431">
      <c r="A15431" s="39">
        <f>_xlfn.XLOOKUP(82115,Trip[shape_id],Trip[shape_id],"Não encontrado")</f>
        <v/>
      </c>
      <c r="B15431" s="40" t="n">
        <v>-23.619055</v>
      </c>
      <c r="C15431" s="40" t="n">
        <v>-46.486456</v>
      </c>
      <c r="D15431" s="40" t="n">
        <v>756</v>
      </c>
      <c r="E15431" s="41" t="n">
        <v>21141.629</v>
      </c>
    </row>
    <row r="15432">
      <c r="A15432" s="42">
        <f>_xlfn.XLOOKUP(82115,Trip[shape_id],Trip[shape_id],"Não encontrado")</f>
        <v/>
      </c>
      <c r="B15432" s="43" t="n">
        <v>-23.619249</v>
      </c>
      <c r="C15432" s="43" t="n">
        <v>-46.486474</v>
      </c>
      <c r="D15432" s="43" t="n">
        <v>757</v>
      </c>
      <c r="E15432" s="44" t="n">
        <v>21191.004</v>
      </c>
    </row>
    <row r="15433">
      <c r="A15433" s="39">
        <f>_xlfn.XLOOKUP(82115,Trip[shape_id],Trip[shape_id],"Não encontrado")</f>
        <v/>
      </c>
      <c r="B15433" s="40" t="n">
        <v>-23.6195</v>
      </c>
      <c r="C15433" s="40" t="n">
        <v>-46.486482</v>
      </c>
      <c r="D15433" s="40" t="n">
        <v>758</v>
      </c>
      <c r="E15433" s="41" t="n">
        <v>21191.004</v>
      </c>
    </row>
    <row r="15434">
      <c r="A15434" s="42">
        <f>_xlfn.XLOOKUP(82115,Trip[shape_id],Trip[shape_id],"Não encontrado")</f>
        <v/>
      </c>
      <c r="B15434" s="43" t="n">
        <v>-23.620039</v>
      </c>
      <c r="C15434" s="43" t="n">
        <v>-46.486554</v>
      </c>
      <c r="D15434" s="43" t="n">
        <v>759</v>
      </c>
      <c r="E15434" s="44" t="n">
        <v>21251.15</v>
      </c>
    </row>
    <row r="15435">
      <c r="A15435" s="39">
        <f>_xlfn.XLOOKUP(82115,Trip[shape_id],Trip[shape_id],"Não encontrado")</f>
        <v/>
      </c>
      <c r="B15435" s="40" t="n">
        <v>-23.620311</v>
      </c>
      <c r="C15435" s="40" t="n">
        <v>-46.487458</v>
      </c>
      <c r="D15435" s="40" t="n">
        <v>760</v>
      </c>
      <c r="E15435" s="41" t="n">
        <v>21348.195</v>
      </c>
    </row>
    <row r="15436">
      <c r="A15436" s="42">
        <f>_xlfn.XLOOKUP(82115,Trip[shape_id],Trip[shape_id],"Não encontrado")</f>
        <v/>
      </c>
      <c r="B15436" s="43" t="n">
        <v>-23.620133</v>
      </c>
      <c r="C15436" s="43" t="n">
        <v>-46.487581</v>
      </c>
      <c r="D15436" s="43" t="n">
        <v>761</v>
      </c>
      <c r="E15436" s="44" t="n">
        <v>21371.566</v>
      </c>
    </row>
    <row r="15437">
      <c r="A15437" s="39">
        <f>_xlfn.XLOOKUP(82115,Trip[shape_id],Trip[shape_id],"Não encontrado")</f>
        <v/>
      </c>
      <c r="B15437" s="40" t="n">
        <v>-23.619983</v>
      </c>
      <c r="C15437" s="40" t="n">
        <v>-46.487675</v>
      </c>
      <c r="D15437" s="40" t="n">
        <v>762</v>
      </c>
      <c r="E15437" s="41" t="n">
        <v>21390.75</v>
      </c>
    </row>
    <row r="15438">
      <c r="A15438" s="42">
        <f>_xlfn.XLOOKUP(82115,Trip[shape_id],Trip[shape_id],"Não encontrado")</f>
        <v/>
      </c>
      <c r="B15438" s="43" t="n">
        <v>-23.619854</v>
      </c>
      <c r="C15438" s="43" t="n">
        <v>-46.487736</v>
      </c>
      <c r="D15438" s="43" t="n">
        <v>763</v>
      </c>
      <c r="E15438" s="44" t="n">
        <v>21406.334</v>
      </c>
    </row>
    <row r="15439">
      <c r="A15439" s="39">
        <f>_xlfn.XLOOKUP(82115,Trip[shape_id],Trip[shape_id],"Não encontrado")</f>
        <v/>
      </c>
      <c r="B15439" s="40" t="n">
        <v>-23.619762</v>
      </c>
      <c r="C15439" s="40" t="n">
        <v>-46.487773</v>
      </c>
      <c r="D15439" s="40" t="n">
        <v>764</v>
      </c>
      <c r="E15439" s="41" t="n">
        <v>21417.199</v>
      </c>
    </row>
    <row r="15440">
      <c r="A15440" s="42">
        <f>_xlfn.XLOOKUP(82115,Trip[shape_id],Trip[shape_id],"Não encontrado")</f>
        <v/>
      </c>
      <c r="B15440" s="43" t="n">
        <v>-23.619656</v>
      </c>
      <c r="C15440" s="43" t="n">
        <v>-46.487793</v>
      </c>
      <c r="D15440" s="43" t="n">
        <v>765</v>
      </c>
      <c r="E15440" s="44" t="n">
        <v>21429.115</v>
      </c>
    </row>
    <row r="15441">
      <c r="A15441" s="39">
        <f>_xlfn.XLOOKUP(82115,Trip[shape_id],Trip[shape_id],"Não encontrado")</f>
        <v/>
      </c>
      <c r="B15441" s="40" t="n">
        <v>-23.619547</v>
      </c>
      <c r="C15441" s="40" t="n">
        <v>-46.487802</v>
      </c>
      <c r="D15441" s="40" t="n">
        <v>766</v>
      </c>
      <c r="E15441" s="41" t="n">
        <v>21441.223</v>
      </c>
    </row>
    <row r="15442">
      <c r="A15442" s="42">
        <f>_xlfn.XLOOKUP(82115,Trip[shape_id],Trip[shape_id],"Não encontrado")</f>
        <v/>
      </c>
      <c r="B15442" s="43" t="n">
        <v>-23.619436</v>
      </c>
      <c r="C15442" s="43" t="n">
        <v>-46.487805</v>
      </c>
      <c r="D15442" s="43" t="n">
        <v>767</v>
      </c>
      <c r="E15442" s="44" t="n">
        <v>21453.52</v>
      </c>
    </row>
    <row r="15443">
      <c r="A15443" s="39">
        <f>_xlfn.XLOOKUP(82115,Trip[shape_id],Trip[shape_id],"Não encontrado")</f>
        <v/>
      </c>
      <c r="B15443" s="40" t="n">
        <v>-23.618372</v>
      </c>
      <c r="C15443" s="40" t="n">
        <v>-46.487864</v>
      </c>
      <c r="D15443" s="40" t="n">
        <v>768</v>
      </c>
      <c r="E15443" s="41" t="n">
        <v>21571.514</v>
      </c>
    </row>
    <row r="15444">
      <c r="A15444" s="42">
        <f>_xlfn.XLOOKUP(82115,Trip[shape_id],Trip[shape_id],"Não encontrado")</f>
        <v/>
      </c>
      <c r="B15444" s="43" t="n">
        <v>-23.617965</v>
      </c>
      <c r="C15444" s="43" t="n">
        <v>-46.487894</v>
      </c>
      <c r="D15444" s="43" t="n">
        <v>769</v>
      </c>
      <c r="E15444" s="44" t="n">
        <v>21616.693</v>
      </c>
    </row>
    <row r="15445">
      <c r="A15445" s="39">
        <f>_xlfn.XLOOKUP(82115,Trip[shape_id],Trip[shape_id],"Não encontrado")</f>
        <v/>
      </c>
      <c r="B15445" s="40" t="n">
        <v>-23.617241</v>
      </c>
      <c r="C15445" s="40" t="n">
        <v>-46.487939</v>
      </c>
      <c r="D15445" s="40" t="n">
        <v>770</v>
      </c>
      <c r="E15445" s="41" t="n">
        <v>21697.01</v>
      </c>
    </row>
    <row r="15446">
      <c r="A15446" s="42">
        <f>_xlfn.XLOOKUP(82115,Trip[shape_id],Trip[shape_id],"Não encontrado")</f>
        <v/>
      </c>
      <c r="B15446" s="43" t="n">
        <v>-23.616506</v>
      </c>
      <c r="C15446" s="43" t="n">
        <v>-46.487993</v>
      </c>
      <c r="D15446" s="43" t="n">
        <v>771</v>
      </c>
      <c r="E15446" s="44" t="n">
        <v>21778.6</v>
      </c>
    </row>
    <row r="15447">
      <c r="A15447" s="39">
        <f>_xlfn.XLOOKUP(82115,Trip[shape_id],Trip[shape_id],"Não encontrado")</f>
        <v/>
      </c>
      <c r="B15447" s="40" t="n">
        <v>-23.616247</v>
      </c>
      <c r="C15447" s="40" t="n">
        <v>-46.488</v>
      </c>
      <c r="D15447" s="40" t="n">
        <v>772</v>
      </c>
      <c r="E15447" s="41" t="n">
        <v>21807.293</v>
      </c>
    </row>
    <row r="15448">
      <c r="A15448" s="42">
        <f>_xlfn.XLOOKUP(82115,Trip[shape_id],Trip[shape_id],"Não encontrado")</f>
        <v/>
      </c>
      <c r="B15448" s="43" t="n">
        <v>-23.615966</v>
      </c>
      <c r="C15448" s="43" t="n">
        <v>-46.488017</v>
      </c>
      <c r="D15448" s="43" t="n">
        <v>773</v>
      </c>
      <c r="E15448" s="44" t="n">
        <v>21838.463</v>
      </c>
    </row>
    <row r="15449">
      <c r="A15449" s="39">
        <f>_xlfn.XLOOKUP(82115,Trip[shape_id],Trip[shape_id],"Não encontrado")</f>
        <v/>
      </c>
      <c r="B15449" s="40" t="n">
        <v>-23.615585</v>
      </c>
      <c r="C15449" s="40" t="n">
        <v>-46.488027</v>
      </c>
      <c r="D15449" s="40" t="n">
        <v>774</v>
      </c>
      <c r="E15449" s="41" t="n">
        <v>21880.672</v>
      </c>
    </row>
    <row r="15450">
      <c r="A15450" s="42">
        <f>_xlfn.XLOOKUP(82115,Trip[shape_id],Trip[shape_id],"Não encontrado")</f>
        <v/>
      </c>
      <c r="B15450" s="43" t="n">
        <v>-23.615445</v>
      </c>
      <c r="C15450" s="43" t="n">
        <v>-46.488008</v>
      </c>
      <c r="D15450" s="43" t="n">
        <v>775</v>
      </c>
      <c r="E15450" s="44" t="n">
        <v>21896.299</v>
      </c>
    </row>
    <row r="15451">
      <c r="A15451" s="39">
        <f>_xlfn.XLOOKUP(82115,Trip[shape_id],Trip[shape_id],"Não encontrado")</f>
        <v/>
      </c>
      <c r="B15451" s="40" t="n">
        <v>-23.615319</v>
      </c>
      <c r="C15451" s="40" t="n">
        <v>-46.487965</v>
      </c>
      <c r="D15451" s="40" t="n">
        <v>776</v>
      </c>
      <c r="E15451" s="41" t="n">
        <v>21910.928</v>
      </c>
    </row>
    <row r="15452">
      <c r="A15452" s="42">
        <f>_xlfn.XLOOKUP(82115,Trip[shape_id],Trip[shape_id],"Não encontrado")</f>
        <v/>
      </c>
      <c r="B15452" s="43" t="n">
        <v>-23.61481</v>
      </c>
      <c r="C15452" s="43" t="n">
        <v>-46.487744</v>
      </c>
      <c r="D15452" s="43" t="n">
        <v>777</v>
      </c>
      <c r="E15452" s="44" t="n">
        <v>21971.645</v>
      </c>
    </row>
    <row r="15453">
      <c r="A15453" s="39">
        <f>_xlfn.XLOOKUP(82115,Trip[shape_id],Trip[shape_id],"Não encontrado")</f>
        <v/>
      </c>
      <c r="B15453" s="40" t="n">
        <v>-23.614745</v>
      </c>
      <c r="C15453" s="40" t="n">
        <v>-46.487715</v>
      </c>
      <c r="D15453" s="40" t="n">
        <v>778</v>
      </c>
      <c r="E15453" s="41" t="n">
        <v>21979.428</v>
      </c>
    </row>
    <row r="15454">
      <c r="A15454" s="42">
        <f>_xlfn.XLOOKUP(82115,Trip[shape_id],Trip[shape_id],"Não encontrado")</f>
        <v/>
      </c>
      <c r="B15454" s="43" t="n">
        <v>-23.614668</v>
      </c>
      <c r="C15454" s="43" t="n">
        <v>-46.487673</v>
      </c>
      <c r="D15454" s="43" t="n">
        <v>779</v>
      </c>
      <c r="E15454" s="44" t="n">
        <v>21988.973</v>
      </c>
    </row>
    <row r="15455">
      <c r="A15455" s="39">
        <f>_xlfn.XLOOKUP(82115,Trip[shape_id],Trip[shape_id],"Não encontrado")</f>
        <v/>
      </c>
      <c r="B15455" s="40" t="n">
        <v>-23.614569</v>
      </c>
      <c r="C15455" s="40" t="n">
        <v>-46.487623</v>
      </c>
      <c r="D15455" s="40" t="n">
        <v>780</v>
      </c>
      <c r="E15455" s="41" t="n">
        <v>22001.066</v>
      </c>
    </row>
    <row r="15456">
      <c r="A15456" s="42">
        <f>_xlfn.XLOOKUP(82115,Trip[shape_id],Trip[shape_id],"Não encontrado")</f>
        <v/>
      </c>
      <c r="B15456" s="43" t="n">
        <v>-23.614533</v>
      </c>
      <c r="C15456" s="43" t="n">
        <v>-46.487608</v>
      </c>
      <c r="D15456" s="43" t="n">
        <v>781</v>
      </c>
      <c r="E15456" s="44" t="n">
        <v>22005.338</v>
      </c>
    </row>
    <row r="15457">
      <c r="A15457" s="39">
        <f>_xlfn.XLOOKUP(82115,Trip[shape_id],Trip[shape_id],"Não encontrado")</f>
        <v/>
      </c>
      <c r="B15457" s="40" t="n">
        <v>-23.614465</v>
      </c>
      <c r="C15457" s="40" t="n">
        <v>-46.487573</v>
      </c>
      <c r="D15457" s="40" t="n">
        <v>782</v>
      </c>
      <c r="E15457" s="41" t="n">
        <v>22013.674</v>
      </c>
    </row>
    <row r="15458">
      <c r="A15458" s="42">
        <f>_xlfn.XLOOKUP(82115,Trip[shape_id],Trip[shape_id],"Não encontrado")</f>
        <v/>
      </c>
      <c r="B15458" s="43" t="n">
        <v>-23.614338</v>
      </c>
      <c r="C15458" s="43" t="n">
        <v>-46.487523</v>
      </c>
      <c r="D15458" s="43" t="n">
        <v>783</v>
      </c>
      <c r="E15458" s="44" t="n">
        <v>22028.637</v>
      </c>
    </row>
    <row r="15459">
      <c r="A15459" s="39">
        <f>_xlfn.XLOOKUP(82115,Trip[shape_id],Trip[shape_id],"Não encontrado")</f>
        <v/>
      </c>
      <c r="B15459" s="40" t="n">
        <v>-23.614197</v>
      </c>
      <c r="C15459" s="40" t="n">
        <v>-46.487469</v>
      </c>
      <c r="D15459" s="40" t="n">
        <v>784</v>
      </c>
      <c r="E15459" s="41" t="n">
        <v>22045.197</v>
      </c>
    </row>
    <row r="15460">
      <c r="A15460" s="42">
        <f>_xlfn.XLOOKUP(82115,Trip[shape_id],Trip[shape_id],"Não encontrado")</f>
        <v/>
      </c>
      <c r="B15460" s="43" t="n">
        <v>-23.613944</v>
      </c>
      <c r="C15460" s="43" t="n">
        <v>-46.487373</v>
      </c>
      <c r="D15460" s="43" t="n">
        <v>785</v>
      </c>
      <c r="E15460" s="44" t="n">
        <v>22074.881</v>
      </c>
    </row>
    <row r="15461">
      <c r="A15461" s="39">
        <f>_xlfn.XLOOKUP(82115,Trip[shape_id],Trip[shape_id],"Não encontrado")</f>
        <v/>
      </c>
      <c r="B15461" s="40" t="n">
        <v>-23.61389</v>
      </c>
      <c r="C15461" s="40" t="n">
        <v>-46.487323</v>
      </c>
      <c r="D15461" s="40" t="n">
        <v>786</v>
      </c>
      <c r="E15461" s="41" t="n">
        <v>22082.742</v>
      </c>
    </row>
    <row r="15462">
      <c r="A15462" s="42">
        <f>_xlfn.XLOOKUP(82115,Trip[shape_id],Trip[shape_id],"Não encontrado")</f>
        <v/>
      </c>
      <c r="B15462" s="43" t="n">
        <v>-23.613863</v>
      </c>
      <c r="C15462" s="43" t="n">
        <v>-46.487285</v>
      </c>
      <c r="D15462" s="43" t="n">
        <v>787</v>
      </c>
      <c r="E15462" s="44" t="n">
        <v>22087.639</v>
      </c>
    </row>
    <row r="15463">
      <c r="A15463" s="39">
        <f>_xlfn.XLOOKUP(82115,Trip[shape_id],Trip[shape_id],"Não encontrado")</f>
        <v/>
      </c>
      <c r="B15463" s="40" t="n">
        <v>-23.613828</v>
      </c>
      <c r="C15463" s="40" t="n">
        <v>-46.487267</v>
      </c>
      <c r="D15463" s="40" t="n">
        <v>788</v>
      </c>
      <c r="E15463" s="41" t="n">
        <v>22091.928</v>
      </c>
    </row>
    <row r="15464">
      <c r="A15464" s="42">
        <f>_xlfn.XLOOKUP(82115,Trip[shape_id],Trip[shape_id],"Não encontrado")</f>
        <v/>
      </c>
      <c r="B15464" s="43" t="n">
        <v>-23.613735</v>
      </c>
      <c r="C15464" s="43" t="n">
        <v>-46.487237</v>
      </c>
      <c r="D15464" s="43" t="n">
        <v>789</v>
      </c>
      <c r="E15464" s="44" t="n">
        <v>22102.672</v>
      </c>
    </row>
    <row r="15465">
      <c r="A15465" s="39">
        <f>_xlfn.XLOOKUP(82115,Trip[shape_id],Trip[shape_id],"Não encontrado")</f>
        <v/>
      </c>
      <c r="B15465" s="40" t="n">
        <v>-23.613677</v>
      </c>
      <c r="C15465" s="40" t="n">
        <v>-46.487232</v>
      </c>
      <c r="D15465" s="40" t="n">
        <v>790</v>
      </c>
      <c r="E15465" s="41" t="n">
        <v>22109.115</v>
      </c>
    </row>
    <row r="15466">
      <c r="A15466" s="42">
        <f>_xlfn.XLOOKUP(82115,Trip[shape_id],Trip[shape_id],"Não encontrado")</f>
        <v/>
      </c>
      <c r="B15466" s="43" t="n">
        <v>-23.613635</v>
      </c>
      <c r="C15466" s="43" t="n">
        <v>-46.487185</v>
      </c>
      <c r="D15466" s="43" t="n">
        <v>791</v>
      </c>
      <c r="E15466" s="44" t="n">
        <v>22115.797</v>
      </c>
    </row>
    <row r="15467">
      <c r="A15467" s="39">
        <f>_xlfn.XLOOKUP(82115,Trip[shape_id],Trip[shape_id],"Não encontrado")</f>
        <v/>
      </c>
      <c r="B15467" s="40" t="n">
        <v>-23.613569</v>
      </c>
      <c r="C15467" s="40" t="n">
        <v>-46.487171</v>
      </c>
      <c r="D15467" s="40" t="n">
        <v>792</v>
      </c>
      <c r="E15467" s="41" t="n">
        <v>22123.244</v>
      </c>
    </row>
    <row r="15468">
      <c r="A15468" s="42">
        <f>_xlfn.XLOOKUP(82115,Trip[shape_id],Trip[shape_id],"Não encontrado")</f>
        <v/>
      </c>
      <c r="B15468" s="43" t="n">
        <v>-23.613517</v>
      </c>
      <c r="C15468" s="43" t="n">
        <v>-46.487182</v>
      </c>
      <c r="D15468" s="43" t="n">
        <v>793</v>
      </c>
      <c r="E15468" s="44" t="n">
        <v>22129.111</v>
      </c>
    </row>
    <row r="15469">
      <c r="A15469" s="39">
        <f>_xlfn.XLOOKUP(82115,Trip[shape_id],Trip[shape_id],"Não encontrado")</f>
        <v/>
      </c>
      <c r="B15469" s="40" t="n">
        <v>-23.613458</v>
      </c>
      <c r="C15469" s="40" t="n">
        <v>-46.487236</v>
      </c>
      <c r="D15469" s="40" t="n">
        <v>794</v>
      </c>
      <c r="E15469" s="41" t="n">
        <v>22137.66</v>
      </c>
    </row>
    <row r="15470">
      <c r="A15470" s="42">
        <f>_xlfn.XLOOKUP(82115,Trip[shape_id],Trip[shape_id],"Não encontrado")</f>
        <v/>
      </c>
      <c r="B15470" s="43" t="n">
        <v>-23.613422</v>
      </c>
      <c r="C15470" s="43" t="n">
        <v>-46.48722</v>
      </c>
      <c r="D15470" s="43" t="n">
        <v>795</v>
      </c>
      <c r="E15470" s="44" t="n">
        <v>22141.969</v>
      </c>
    </row>
    <row r="15471">
      <c r="A15471" s="39">
        <f>_xlfn.XLOOKUP(82115,Trip[shape_id],Trip[shape_id],"Não encontrado")</f>
        <v/>
      </c>
      <c r="B15471" s="40" t="n">
        <v>-23.613373</v>
      </c>
      <c r="C15471" s="40" t="n">
        <v>-46.487203</v>
      </c>
      <c r="D15471" s="40" t="n">
        <v>796</v>
      </c>
      <c r="E15471" s="41" t="n">
        <v>22147.666</v>
      </c>
    </row>
    <row r="15472">
      <c r="A15472" s="42">
        <f>_xlfn.XLOOKUP(82115,Trip[shape_id],Trip[shape_id],"Não encontrado")</f>
        <v/>
      </c>
      <c r="B15472" s="43" t="n">
        <v>-23.613333</v>
      </c>
      <c r="C15472" s="43" t="n">
        <v>-46.487204</v>
      </c>
      <c r="D15472" s="43" t="n">
        <v>797</v>
      </c>
      <c r="E15472" s="44" t="n">
        <v>22152.098</v>
      </c>
    </row>
    <row r="15473">
      <c r="A15473" s="39">
        <f>_xlfn.XLOOKUP(82115,Trip[shape_id],Trip[shape_id],"Não encontrado")</f>
        <v/>
      </c>
      <c r="B15473" s="40" t="n">
        <v>-23.613283</v>
      </c>
      <c r="C15473" s="40" t="n">
        <v>-46.487221</v>
      </c>
      <c r="D15473" s="40" t="n">
        <v>798</v>
      </c>
      <c r="E15473" s="41" t="n">
        <v>22157.9</v>
      </c>
    </row>
    <row r="15474">
      <c r="A15474" s="42">
        <f>_xlfn.XLOOKUP(82115,Trip[shape_id],Trip[shape_id],"Não encontrado")</f>
        <v/>
      </c>
      <c r="B15474" s="43" t="n">
        <v>-23.613195</v>
      </c>
      <c r="C15474" s="43" t="n">
        <v>-46.487319</v>
      </c>
      <c r="D15474" s="43" t="n">
        <v>799</v>
      </c>
      <c r="E15474" s="44" t="n">
        <v>22171.865</v>
      </c>
    </row>
    <row r="15475">
      <c r="A15475" s="39">
        <f>_xlfn.XLOOKUP(82115,Trip[shape_id],Trip[shape_id],"Não encontrado")</f>
        <v/>
      </c>
      <c r="B15475" s="40" t="n">
        <v>-23.613121</v>
      </c>
      <c r="C15475" s="40" t="n">
        <v>-46.487408</v>
      </c>
      <c r="D15475" s="40" t="n">
        <v>800</v>
      </c>
      <c r="E15475" s="41" t="n">
        <v>22184.1</v>
      </c>
    </row>
    <row r="15476">
      <c r="A15476" s="42">
        <f>_xlfn.XLOOKUP(82115,Trip[shape_id],Trip[shape_id],"Não encontrado")</f>
        <v/>
      </c>
      <c r="B15476" s="43" t="n">
        <v>-23.613013</v>
      </c>
      <c r="C15476" s="43" t="n">
        <v>-46.487561</v>
      </c>
      <c r="D15476" s="43" t="n">
        <v>801</v>
      </c>
      <c r="E15476" s="44" t="n">
        <v>22203.77</v>
      </c>
    </row>
    <row r="15477">
      <c r="A15477" s="39">
        <f>_xlfn.XLOOKUP(82115,Trip[shape_id],Trip[shape_id],"Não encontrado")</f>
        <v/>
      </c>
      <c r="B15477" s="40" t="n">
        <v>-23.612969</v>
      </c>
      <c r="C15477" s="40" t="n">
        <v>-46.487685</v>
      </c>
      <c r="D15477" s="40" t="n">
        <v>802</v>
      </c>
      <c r="E15477" s="41" t="n">
        <v>22217.33</v>
      </c>
    </row>
    <row r="15478">
      <c r="A15478" s="42">
        <f>_xlfn.XLOOKUP(82115,Trip[shape_id],Trip[shape_id],"Não encontrado")</f>
        <v/>
      </c>
      <c r="B15478" s="43" t="n">
        <v>-23.613097</v>
      </c>
      <c r="C15478" s="43" t="n">
        <v>-46.487627</v>
      </c>
      <c r="D15478" s="43" t="n">
        <v>803</v>
      </c>
      <c r="E15478" s="44" t="n">
        <v>22232.693</v>
      </c>
    </row>
    <row r="15479">
      <c r="A15479" s="39">
        <f>_xlfn.XLOOKUP(82115,Trip[shape_id],Trip[shape_id],"Não encontrado")</f>
        <v/>
      </c>
      <c r="B15479" s="40" t="n">
        <v>-23.613173</v>
      </c>
      <c r="C15479" s="40" t="n">
        <v>-46.487575</v>
      </c>
      <c r="D15479" s="40" t="n">
        <v>804</v>
      </c>
      <c r="E15479" s="41" t="n">
        <v>22242.645</v>
      </c>
    </row>
    <row r="15480">
      <c r="A15480" s="42">
        <f>_xlfn.XLOOKUP(82115,Trip[shape_id],Trip[shape_id],"Não encontrado")</f>
        <v/>
      </c>
      <c r="B15480" s="43" t="n">
        <v>-23.61329</v>
      </c>
      <c r="C15480" s="43" t="n">
        <v>-46.487506</v>
      </c>
      <c r="D15480" s="43" t="n">
        <v>805</v>
      </c>
      <c r="E15480" s="44" t="n">
        <v>22257.393</v>
      </c>
    </row>
    <row r="15481">
      <c r="A15481" s="39">
        <f>_xlfn.XLOOKUP(82115,Trip[shape_id],Trip[shape_id],"Não encontrado")</f>
        <v/>
      </c>
      <c r="B15481" s="40" t="n">
        <v>-23.613401</v>
      </c>
      <c r="C15481" s="40" t="n">
        <v>-46.487446</v>
      </c>
      <c r="D15481" s="40" t="n">
        <v>806</v>
      </c>
      <c r="E15481" s="41" t="n">
        <v>22271.127</v>
      </c>
    </row>
    <row r="15482">
      <c r="A15482" s="42">
        <f>_xlfn.XLOOKUP(82115,Trip[shape_id],Trip[shape_id],"Não encontrado")</f>
        <v/>
      </c>
      <c r="B15482" s="43" t="n">
        <v>-23.613446</v>
      </c>
      <c r="C15482" s="43" t="n">
        <v>-46.487406</v>
      </c>
      <c r="D15482" s="43" t="n">
        <v>807</v>
      </c>
      <c r="E15482" s="44" t="n">
        <v>22277.568</v>
      </c>
    </row>
    <row r="15483">
      <c r="A15483" s="39">
        <f>_xlfn.XLOOKUP(82115,Trip[shape_id],Trip[shape_id],"Não encontrado")</f>
        <v/>
      </c>
      <c r="B15483" s="40" t="n">
        <v>-23.613494</v>
      </c>
      <c r="C15483" s="40" t="n">
        <v>-46.487447</v>
      </c>
      <c r="D15483" s="40" t="n">
        <v>808</v>
      </c>
      <c r="E15483" s="41" t="n">
        <v>22284.334</v>
      </c>
    </row>
    <row r="15484">
      <c r="A15484" s="42">
        <f>_xlfn.XLOOKUP(82115,Trip[shape_id],Trip[shape_id],"Não encontrado")</f>
        <v/>
      </c>
      <c r="B15484" s="43" t="n">
        <v>-23.613546</v>
      </c>
      <c r="C15484" s="43" t="n">
        <v>-46.487461</v>
      </c>
      <c r="D15484" s="43" t="n">
        <v>809</v>
      </c>
      <c r="E15484" s="44" t="n">
        <v>22290.268</v>
      </c>
    </row>
    <row r="15485">
      <c r="A15485" s="39">
        <f>_xlfn.XLOOKUP(82115,Trip[shape_id],Trip[shape_id],"Não encontrado")</f>
        <v/>
      </c>
      <c r="B15485" s="40" t="n">
        <v>-23.613601</v>
      </c>
      <c r="C15485" s="40" t="n">
        <v>-46.487452</v>
      </c>
      <c r="D15485" s="40" t="n">
        <v>810</v>
      </c>
      <c r="E15485" s="41" t="n">
        <v>22296.428</v>
      </c>
    </row>
    <row r="15486">
      <c r="A15486" s="42">
        <f>_xlfn.XLOOKUP(82115,Trip[shape_id],Trip[shape_id],"Não encontrado")</f>
        <v/>
      </c>
      <c r="B15486" s="43" t="n">
        <v>-23.613633</v>
      </c>
      <c r="C15486" s="43" t="n">
        <v>-46.487419</v>
      </c>
      <c r="D15486" s="43" t="n">
        <v>811</v>
      </c>
      <c r="E15486" s="44" t="n">
        <v>22301.316</v>
      </c>
    </row>
    <row r="15487">
      <c r="A15487" s="39">
        <f>_xlfn.XLOOKUP(82115,Trip[shape_id],Trip[shape_id],"Não encontrado")</f>
        <v/>
      </c>
      <c r="B15487" s="40" t="n">
        <v>-23.613728</v>
      </c>
      <c r="C15487" s="40" t="n">
        <v>-46.48741</v>
      </c>
      <c r="D15487" s="40" t="n">
        <v>812</v>
      </c>
      <c r="E15487" s="41" t="n">
        <v>22325.279</v>
      </c>
    </row>
    <row r="15488">
      <c r="A15488" s="42">
        <f>_xlfn.XLOOKUP(82115,Trip[shape_id],Trip[shape_id],"Não encontrado")</f>
        <v/>
      </c>
      <c r="B15488" s="43" t="n">
        <v>-23.613849</v>
      </c>
      <c r="C15488" s="43" t="n">
        <v>-46.487411</v>
      </c>
      <c r="D15488" s="43" t="n">
        <v>813</v>
      </c>
      <c r="E15488" s="44" t="n">
        <v>22330.537</v>
      </c>
    </row>
    <row r="15489">
      <c r="A15489" s="39">
        <f>_xlfn.XLOOKUP(82115,Trip[shape_id],Trip[shape_id],"Não encontrado")</f>
        <v/>
      </c>
      <c r="B15489" s="40" t="n">
        <v>-23.613891</v>
      </c>
      <c r="C15489" s="40" t="n">
        <v>-46.487387</v>
      </c>
      <c r="D15489" s="40" t="n">
        <v>814</v>
      </c>
      <c r="E15489" s="41" t="n">
        <v>22336.578</v>
      </c>
    </row>
    <row r="15490">
      <c r="A15490" s="42">
        <f>_xlfn.XLOOKUP(82115,Trip[shape_id],Trip[shape_id],"Não encontrado")</f>
        <v/>
      </c>
      <c r="B15490" s="43" t="n">
        <v>-23.613944</v>
      </c>
      <c r="C15490" s="43" t="n">
        <v>-46.487373</v>
      </c>
      <c r="D15490" s="43" t="n">
        <v>815</v>
      </c>
      <c r="E15490" s="44" t="n">
        <v>22336.578</v>
      </c>
    </row>
    <row r="15491">
      <c r="A15491" s="39">
        <f>_xlfn.XLOOKUP(82115,Trip[shape_id],Trip[shape_id],"Não encontrado")</f>
        <v/>
      </c>
      <c r="B15491" s="40" t="n">
        <v>-23.614197</v>
      </c>
      <c r="C15491" s="40" t="n">
        <v>-46.487469</v>
      </c>
      <c r="D15491" s="40" t="n">
        <v>816</v>
      </c>
      <c r="E15491" s="41" t="n">
        <v>22366.262</v>
      </c>
    </row>
    <row r="15492">
      <c r="A15492" s="42">
        <f>_xlfn.XLOOKUP(82115,Trip[shape_id],Trip[shape_id],"Não encontrado")</f>
        <v/>
      </c>
      <c r="B15492" s="43" t="n">
        <v>-23.614338</v>
      </c>
      <c r="C15492" s="43" t="n">
        <v>-46.487523</v>
      </c>
      <c r="D15492" s="43" t="n">
        <v>817</v>
      </c>
      <c r="E15492" s="44" t="n">
        <v>22382.822</v>
      </c>
    </row>
    <row r="15493">
      <c r="A15493" s="39">
        <f>_xlfn.XLOOKUP(82115,Trip[shape_id],Trip[shape_id],"Não encontrado")</f>
        <v/>
      </c>
      <c r="B15493" s="40" t="n">
        <v>-23.614465</v>
      </c>
      <c r="C15493" s="40" t="n">
        <v>-46.487573</v>
      </c>
      <c r="D15493" s="40" t="n">
        <v>818</v>
      </c>
      <c r="E15493" s="41" t="n">
        <v>22397.785</v>
      </c>
    </row>
    <row r="15494">
      <c r="A15494" s="42">
        <f>_xlfn.XLOOKUP(82115,Trip[shape_id],Trip[shape_id],"Não encontrado")</f>
        <v/>
      </c>
      <c r="B15494" s="43" t="n">
        <v>-23.614533</v>
      </c>
      <c r="C15494" s="43" t="n">
        <v>-46.487608</v>
      </c>
      <c r="D15494" s="43" t="n">
        <v>819</v>
      </c>
      <c r="E15494" s="44" t="n">
        <v>22406.121</v>
      </c>
    </row>
    <row r="15495">
      <c r="A15495" s="39">
        <f>_xlfn.XLOOKUP(82115,Trip[shape_id],Trip[shape_id],"Não encontrado")</f>
        <v/>
      </c>
      <c r="B15495" s="40" t="n">
        <v>-23.614569</v>
      </c>
      <c r="C15495" s="40" t="n">
        <v>-46.487623</v>
      </c>
      <c r="D15495" s="40" t="n">
        <v>820</v>
      </c>
      <c r="E15495" s="41" t="n">
        <v>22410.393</v>
      </c>
    </row>
    <row r="15496">
      <c r="A15496" s="42">
        <f>_xlfn.XLOOKUP(82115,Trip[shape_id],Trip[shape_id],"Não encontrado")</f>
        <v/>
      </c>
      <c r="B15496" s="43" t="n">
        <v>-23.614668</v>
      </c>
      <c r="C15496" s="43" t="n">
        <v>-46.487673</v>
      </c>
      <c r="D15496" s="43" t="n">
        <v>821</v>
      </c>
      <c r="E15496" s="44" t="n">
        <v>22422.486</v>
      </c>
    </row>
    <row r="15497">
      <c r="A15497" s="39">
        <f>_xlfn.XLOOKUP(82115,Trip[shape_id],Trip[shape_id],"Não encontrado")</f>
        <v/>
      </c>
      <c r="B15497" s="40" t="n">
        <v>-23.614745</v>
      </c>
      <c r="C15497" s="40" t="n">
        <v>-46.487715</v>
      </c>
      <c r="D15497" s="40" t="n">
        <v>822</v>
      </c>
      <c r="E15497" s="41" t="n">
        <v>22432.031</v>
      </c>
    </row>
    <row r="15498">
      <c r="A15498" s="42">
        <f>_xlfn.XLOOKUP(82115,Trip[shape_id],Trip[shape_id],"Não encontrado")</f>
        <v/>
      </c>
      <c r="B15498" s="43" t="n">
        <v>-23.61481</v>
      </c>
      <c r="C15498" s="43" t="n">
        <v>-46.487744</v>
      </c>
      <c r="D15498" s="43" t="n">
        <v>823</v>
      </c>
      <c r="E15498" s="44" t="n">
        <v>22439.814</v>
      </c>
    </row>
    <row r="15499">
      <c r="A15499" s="42">
        <f>_xlfn.XLOOKUP(82132,Trip[shape_id],Trip[shape_id],"Não encontrado")</f>
        <v/>
      </c>
      <c r="B15499" s="43" t="n">
        <v>-23.540974</v>
      </c>
      <c r="C15499" s="43" t="n">
        <v>-46.576517</v>
      </c>
      <c r="D15499" s="43" t="n">
        <v>1</v>
      </c>
      <c r="E15499" s="44" t="n">
        <v>11.616847</v>
      </c>
    </row>
    <row r="15500">
      <c r="A15500" s="39">
        <f>_xlfn.XLOOKUP(82132,Trip[shape_id],Trip[shape_id],"Não encontrado")</f>
        <v/>
      </c>
      <c r="B15500" s="40" t="n">
        <v>-23.540951</v>
      </c>
      <c r="C15500" s="40" t="n">
        <v>-46.576406</v>
      </c>
      <c r="D15500" s="40" t="n">
        <v>2</v>
      </c>
      <c r="E15500" s="41" t="n">
        <v>11.616847</v>
      </c>
    </row>
    <row r="15501">
      <c r="A15501" s="42">
        <f>_xlfn.XLOOKUP(82132,Trip[shape_id],Trip[shape_id],"Não encontrado")</f>
        <v/>
      </c>
      <c r="B15501" s="43" t="n">
        <v>-23.54094</v>
      </c>
      <c r="C15501" s="43" t="n">
        <v>-46.576349</v>
      </c>
      <c r="D15501" s="43" t="n">
        <v>3</v>
      </c>
      <c r="E15501" s="44" t="n">
        <v>17.563652</v>
      </c>
    </row>
    <row r="15502">
      <c r="A15502" s="39">
        <f>_xlfn.XLOOKUP(82132,Trip[shape_id],Trip[shape_id],"Não encontrado")</f>
        <v/>
      </c>
      <c r="B15502" s="40" t="n">
        <v>-23.54092</v>
      </c>
      <c r="C15502" s="40" t="n">
        <v>-46.576254</v>
      </c>
      <c r="D15502" s="40" t="n">
        <v>4</v>
      </c>
      <c r="E15502" s="41" t="n">
        <v>27.513983</v>
      </c>
    </row>
    <row r="15503">
      <c r="A15503" s="42">
        <f>_xlfn.XLOOKUP(82132,Trip[shape_id],Trip[shape_id],"Não encontrado")</f>
        <v/>
      </c>
      <c r="B15503" s="43" t="n">
        <v>-23.5409</v>
      </c>
      <c r="C15503" s="43" t="n">
        <v>-46.57616</v>
      </c>
      <c r="D15503" s="43" t="n">
        <v>5</v>
      </c>
      <c r="E15503" s="44" t="n">
        <v>37.364868</v>
      </c>
    </row>
    <row r="15504">
      <c r="A15504" s="39">
        <f>_xlfn.XLOOKUP(82132,Trip[shape_id],Trip[shape_id],"Não encontrado")</f>
        <v/>
      </c>
      <c r="B15504" s="40" t="n">
        <v>-23.540876</v>
      </c>
      <c r="C15504" s="40" t="n">
        <v>-46.576038</v>
      </c>
      <c r="D15504" s="40" t="n">
        <v>6</v>
      </c>
      <c r="E15504" s="41" t="n">
        <v>50.102425</v>
      </c>
    </row>
    <row r="15505">
      <c r="A15505" s="42">
        <f>_xlfn.XLOOKUP(82132,Trip[shape_id],Trip[shape_id],"Não encontrado")</f>
        <v/>
      </c>
      <c r="B15505" s="43" t="n">
        <v>-23.540855</v>
      </c>
      <c r="C15505" s="43" t="n">
        <v>-46.575941</v>
      </c>
      <c r="D15505" s="43" t="n">
        <v>7</v>
      </c>
      <c r="E15505" s="44" t="n">
        <v>60.276146</v>
      </c>
    </row>
    <row r="15506">
      <c r="A15506" s="39">
        <f>_xlfn.XLOOKUP(82132,Trip[shape_id],Trip[shape_id],"Não encontrado")</f>
        <v/>
      </c>
      <c r="B15506" s="40" t="n">
        <v>-23.540827</v>
      </c>
      <c r="C15506" s="40" t="n">
        <v>-46.575811</v>
      </c>
      <c r="D15506" s="40" t="n">
        <v>8</v>
      </c>
      <c r="E15506" s="41" t="n">
        <v>73.907906</v>
      </c>
    </row>
    <row r="15507">
      <c r="A15507" s="42">
        <f>_xlfn.XLOOKUP(82132,Trip[shape_id],Trip[shape_id],"Não encontrado")</f>
        <v/>
      </c>
      <c r="B15507" s="43" t="n">
        <v>-23.540807</v>
      </c>
      <c r="C15507" s="43" t="n">
        <v>-46.575694</v>
      </c>
      <c r="D15507" s="43" t="n">
        <v>9</v>
      </c>
      <c r="E15507" s="44" t="n">
        <v>86.057976</v>
      </c>
    </row>
    <row r="15508">
      <c r="A15508" s="39">
        <f>_xlfn.XLOOKUP(82132,Trip[shape_id],Trip[shape_id],"Não encontrado")</f>
        <v/>
      </c>
      <c r="B15508" s="40" t="n">
        <v>-23.540799</v>
      </c>
      <c r="C15508" s="40" t="n">
        <v>-46.575646</v>
      </c>
      <c r="D15508" s="40" t="n">
        <v>10</v>
      </c>
      <c r="E15508" s="41" t="n">
        <v>94.67409499999999</v>
      </c>
    </row>
    <row r="15509">
      <c r="A15509" s="42">
        <f>_xlfn.XLOOKUP(82132,Trip[shape_id],Trip[shape_id],"Não encontrado")</f>
        <v/>
      </c>
      <c r="B15509" s="43" t="n">
        <v>-23.540793</v>
      </c>
      <c r="C15509" s="43" t="n">
        <v>-46.575611</v>
      </c>
      <c r="D15509" s="43" t="n">
        <v>11</v>
      </c>
      <c r="E15509" s="44" t="n">
        <v>98.97511299999999</v>
      </c>
    </row>
    <row r="15510">
      <c r="A15510" s="39">
        <f>_xlfn.XLOOKUP(82132,Trip[shape_id],Trip[shape_id],"Não encontrado")</f>
        <v/>
      </c>
      <c r="B15510" s="40" t="n">
        <v>-23.54079</v>
      </c>
      <c r="C15510" s="40" t="n">
        <v>-46.575569</v>
      </c>
      <c r="D15510" s="40" t="n">
        <v>12</v>
      </c>
      <c r="E15510" s="41" t="n">
        <v>102.65359</v>
      </c>
    </row>
    <row r="15511">
      <c r="A15511" s="42">
        <f>_xlfn.XLOOKUP(82132,Trip[shape_id],Trip[shape_id],"Não encontrado")</f>
        <v/>
      </c>
      <c r="B15511" s="43" t="n">
        <v>-23.540791</v>
      </c>
      <c r="C15511" s="43" t="n">
        <v>-46.575533</v>
      </c>
      <c r="D15511" s="43" t="n">
        <v>13</v>
      </c>
      <c r="E15511" s="44" t="n">
        <v>102.65359</v>
      </c>
    </row>
    <row r="15512">
      <c r="A15512" s="39">
        <f>_xlfn.XLOOKUP(82132,Trip[shape_id],Trip[shape_id],"Não encontrado")</f>
        <v/>
      </c>
      <c r="B15512" s="40" t="n">
        <v>-23.540827</v>
      </c>
      <c r="C15512" s="40" t="n">
        <v>-46.575412</v>
      </c>
      <c r="D15512" s="40" t="n">
        <v>14</v>
      </c>
      <c r="E15512" s="41" t="n">
        <v>115.63644</v>
      </c>
    </row>
    <row r="15513">
      <c r="A15513" s="42">
        <f>_xlfn.XLOOKUP(82132,Trip[shape_id],Trip[shape_id],"Não encontrado")</f>
        <v/>
      </c>
      <c r="B15513" s="43" t="n">
        <v>-23.541763</v>
      </c>
      <c r="C15513" s="43" t="n">
        <v>-46.575226</v>
      </c>
      <c r="D15513" s="43" t="n">
        <v>15</v>
      </c>
      <c r="E15513" s="44" t="n">
        <v>221.02539</v>
      </c>
    </row>
    <row r="15514">
      <c r="A15514" s="39">
        <f>_xlfn.XLOOKUP(82132,Trip[shape_id],Trip[shape_id],"Não encontrado")</f>
        <v/>
      </c>
      <c r="B15514" s="40" t="n">
        <v>-23.541905</v>
      </c>
      <c r="C15514" s="40" t="n">
        <v>-46.575184</v>
      </c>
      <c r="D15514" s="40" t="n">
        <v>16</v>
      </c>
      <c r="E15514" s="41" t="n">
        <v>237.32632</v>
      </c>
    </row>
    <row r="15515">
      <c r="A15515" s="42">
        <f>_xlfn.XLOOKUP(82132,Trip[shape_id],Trip[shape_id],"Não encontrado")</f>
        <v/>
      </c>
      <c r="B15515" s="43" t="n">
        <v>-23.542412</v>
      </c>
      <c r="C15515" s="43" t="n">
        <v>-46.575056</v>
      </c>
      <c r="D15515" s="43" t="n">
        <v>17</v>
      </c>
      <c r="E15515" s="44" t="n">
        <v>294.97839</v>
      </c>
    </row>
    <row r="15516">
      <c r="A15516" s="39">
        <f>_xlfn.XLOOKUP(82132,Trip[shape_id],Trip[shape_id],"Não encontrado")</f>
        <v/>
      </c>
      <c r="B15516" s="40" t="n">
        <v>-23.542827</v>
      </c>
      <c r="C15516" s="40" t="n">
        <v>-46.574961</v>
      </c>
      <c r="D15516" s="40" t="n">
        <v>18</v>
      </c>
      <c r="E15516" s="41" t="n">
        <v>341.95276</v>
      </c>
    </row>
    <row r="15517">
      <c r="A15517" s="42">
        <f>_xlfn.XLOOKUP(82132,Trip[shape_id],Trip[shape_id],"Não encontrado")</f>
        <v/>
      </c>
      <c r="B15517" s="43" t="n">
        <v>-23.543459</v>
      </c>
      <c r="C15517" s="43" t="n">
        <v>-46.574811</v>
      </c>
      <c r="D15517" s="43" t="n">
        <v>19</v>
      </c>
      <c r="E15517" s="44" t="n">
        <v>413.60394</v>
      </c>
    </row>
    <row r="15518">
      <c r="A15518" s="39">
        <f>_xlfn.XLOOKUP(82132,Trip[shape_id],Trip[shape_id],"Não encontrado")</f>
        <v/>
      </c>
      <c r="B15518" s="40" t="n">
        <v>-23.543703</v>
      </c>
      <c r="C15518" s="40" t="n">
        <v>-46.574755</v>
      </c>
      <c r="D15518" s="40" t="n">
        <v>20</v>
      </c>
      <c r="E15518" s="41" t="n">
        <v>441.22562</v>
      </c>
    </row>
    <row r="15519">
      <c r="A15519" s="42">
        <f>_xlfn.XLOOKUP(82132,Trip[shape_id],Trip[shape_id],"Não encontrado")</f>
        <v/>
      </c>
      <c r="B15519" s="43" t="n">
        <v>-23.544425</v>
      </c>
      <c r="C15519" s="43" t="n">
        <v>-46.574584</v>
      </c>
      <c r="D15519" s="43" t="n">
        <v>21</v>
      </c>
      <c r="E15519" s="44" t="n">
        <v>523.07245</v>
      </c>
    </row>
    <row r="15520">
      <c r="A15520" s="39">
        <f>_xlfn.XLOOKUP(82132,Trip[shape_id],Trip[shape_id],"Não encontrado")</f>
        <v/>
      </c>
      <c r="B15520" s="40" t="n">
        <v>-23.544554</v>
      </c>
      <c r="C15520" s="40" t="n">
        <v>-46.574554</v>
      </c>
      <c r="D15520" s="40" t="n">
        <v>22</v>
      </c>
      <c r="E15520" s="41" t="n">
        <v>537.68414</v>
      </c>
    </row>
    <row r="15521">
      <c r="A15521" s="42">
        <f>_xlfn.XLOOKUP(82132,Trip[shape_id],Trip[shape_id],"Não encontrado")</f>
        <v/>
      </c>
      <c r="B15521" s="43" t="n">
        <v>-23.545237</v>
      </c>
      <c r="C15521" s="43" t="n">
        <v>-46.574395</v>
      </c>
      <c r="D15521" s="43" t="n">
        <v>23</v>
      </c>
      <c r="E15521" s="44" t="n">
        <v>615.05017</v>
      </c>
    </row>
    <row r="15522">
      <c r="A15522" s="39">
        <f>_xlfn.XLOOKUP(82132,Trip[shape_id],Trip[shape_id],"Não encontrado")</f>
        <v/>
      </c>
      <c r="B15522" s="40" t="n">
        <v>-23.546124</v>
      </c>
      <c r="C15522" s="40" t="n">
        <v>-46.574184</v>
      </c>
      <c r="D15522" s="40" t="n">
        <v>24</v>
      </c>
      <c r="E15522" s="41" t="n">
        <v>715.62158</v>
      </c>
    </row>
    <row r="15523">
      <c r="A15523" s="42">
        <f>_xlfn.XLOOKUP(82132,Trip[shape_id],Trip[shape_id],"Não encontrado")</f>
        <v/>
      </c>
      <c r="B15523" s="43" t="n">
        <v>-23.546605</v>
      </c>
      <c r="C15523" s="43" t="n">
        <v>-46.574071</v>
      </c>
      <c r="D15523" s="43" t="n">
        <v>25</v>
      </c>
      <c r="E15523" s="44" t="n">
        <v>770.1283</v>
      </c>
    </row>
    <row r="15524">
      <c r="A15524" s="39">
        <f>_xlfn.XLOOKUP(82132,Trip[shape_id],Trip[shape_id],"Não encontrado")</f>
        <v/>
      </c>
      <c r="B15524" s="40" t="n">
        <v>-23.546744</v>
      </c>
      <c r="C15524" s="40" t="n">
        <v>-46.574041</v>
      </c>
      <c r="D15524" s="40" t="n">
        <v>26</v>
      </c>
      <c r="E15524" s="41" t="n">
        <v>785.82465</v>
      </c>
    </row>
    <row r="15525">
      <c r="A15525" s="42">
        <f>_xlfn.XLOOKUP(82132,Trip[shape_id],Trip[shape_id],"Não encontrado")</f>
        <v/>
      </c>
      <c r="B15525" s="43" t="n">
        <v>-23.546829</v>
      </c>
      <c r="C15525" s="43" t="n">
        <v>-46.574021</v>
      </c>
      <c r="D15525" s="43" t="n">
        <v>27</v>
      </c>
      <c r="E15525" s="44" t="n">
        <v>802.30963</v>
      </c>
    </row>
    <row r="15526">
      <c r="A15526" s="39">
        <f>_xlfn.XLOOKUP(82132,Trip[shape_id],Trip[shape_id],"Não encontrado")</f>
        <v/>
      </c>
      <c r="B15526" s="40" t="n">
        <v>-23.54688</v>
      </c>
      <c r="C15526" s="40" t="n">
        <v>-46.573983</v>
      </c>
      <c r="D15526" s="40" t="n">
        <v>28</v>
      </c>
      <c r="E15526" s="41" t="n">
        <v>808.92389</v>
      </c>
    </row>
    <row r="15527">
      <c r="A15527" s="42">
        <f>_xlfn.XLOOKUP(82132,Trip[shape_id],Trip[shape_id],"Não encontrado")</f>
        <v/>
      </c>
      <c r="B15527" s="43" t="n">
        <v>-23.546939</v>
      </c>
      <c r="C15527" s="43" t="n">
        <v>-46.573993</v>
      </c>
      <c r="D15527" s="43" t="n">
        <v>29</v>
      </c>
      <c r="E15527" s="44" t="n">
        <v>833.323</v>
      </c>
    </row>
    <row r="15528">
      <c r="A15528" s="39">
        <f>_xlfn.XLOOKUP(82132,Trip[shape_id],Trip[shape_id],"Não encontrado")</f>
        <v/>
      </c>
      <c r="B15528" s="40" t="n">
        <v>-23.547155</v>
      </c>
      <c r="C15528" s="40" t="n">
        <v>-46.573946</v>
      </c>
      <c r="D15528" s="40" t="n">
        <v>30</v>
      </c>
      <c r="E15528" s="41" t="n">
        <v>833.323</v>
      </c>
    </row>
    <row r="15529">
      <c r="A15529" s="42">
        <f>_xlfn.XLOOKUP(82132,Trip[shape_id],Trip[shape_id],"Não encontrado")</f>
        <v/>
      </c>
      <c r="B15529" s="43" t="n">
        <v>-23.547301</v>
      </c>
      <c r="C15529" s="43" t="n">
        <v>-46.57391</v>
      </c>
      <c r="D15529" s="43" t="n">
        <v>31</v>
      </c>
      <c r="E15529" s="44" t="n">
        <v>849.90552</v>
      </c>
    </row>
    <row r="15530">
      <c r="A15530" s="39">
        <f>_xlfn.XLOOKUP(82132,Trip[shape_id],Trip[shape_id],"Não encontrado")</f>
        <v/>
      </c>
      <c r="B15530" s="40" t="n">
        <v>-23.548182</v>
      </c>
      <c r="C15530" s="40" t="n">
        <v>-46.573702</v>
      </c>
      <c r="D15530" s="40" t="n">
        <v>32</v>
      </c>
      <c r="E15530" s="41" t="n">
        <v>949.76233</v>
      </c>
    </row>
    <row r="15531">
      <c r="A15531" s="42">
        <f>_xlfn.XLOOKUP(82132,Trip[shape_id],Trip[shape_id],"Não encontrado")</f>
        <v/>
      </c>
      <c r="B15531" s="43" t="n">
        <v>-23.548313</v>
      </c>
      <c r="C15531" s="43" t="n">
        <v>-46.573674</v>
      </c>
      <c r="D15531" s="43" t="n">
        <v>33</v>
      </c>
      <c r="E15531" s="44" t="n">
        <v>964.5498</v>
      </c>
    </row>
    <row r="15532">
      <c r="A15532" s="39">
        <f>_xlfn.XLOOKUP(82132,Trip[shape_id],Trip[shape_id],"Não encontrado")</f>
        <v/>
      </c>
      <c r="B15532" s="40" t="n">
        <v>-23.548727</v>
      </c>
      <c r="C15532" s="40" t="n">
        <v>-46.573577</v>
      </c>
      <c r="D15532" s="40" t="n">
        <v>34</v>
      </c>
      <c r="E15532" s="41" t="n">
        <v>1011.4584</v>
      </c>
    </row>
    <row r="15533">
      <c r="A15533" s="42">
        <f>_xlfn.XLOOKUP(82132,Trip[shape_id],Trip[shape_id],"Não encontrado")</f>
        <v/>
      </c>
      <c r="B15533" s="43" t="n">
        <v>-23.549213</v>
      </c>
      <c r="C15533" s="43" t="n">
        <v>-46.573458</v>
      </c>
      <c r="D15533" s="43" t="n">
        <v>35</v>
      </c>
      <c r="E15533" s="44" t="n">
        <v>1066.6381</v>
      </c>
    </row>
    <row r="15534">
      <c r="A15534" s="39">
        <f>_xlfn.XLOOKUP(82132,Trip[shape_id],Trip[shape_id],"Não encontrado")</f>
        <v/>
      </c>
      <c r="B15534" s="40" t="n">
        <v>-23.549677</v>
      </c>
      <c r="C15534" s="40" t="n">
        <v>-46.57335</v>
      </c>
      <c r="D15534" s="40" t="n">
        <v>36</v>
      </c>
      <c r="E15534" s="41" t="n">
        <v>1124.0654</v>
      </c>
    </row>
    <row r="15535">
      <c r="A15535" s="42">
        <f>_xlfn.XLOOKUP(82132,Trip[shape_id],Trip[shape_id],"Não encontrado")</f>
        <v/>
      </c>
      <c r="B15535" s="43" t="n">
        <v>-23.549716</v>
      </c>
      <c r="C15535" s="43" t="n">
        <v>-46.573328</v>
      </c>
      <c r="D15535" s="43" t="n">
        <v>37</v>
      </c>
      <c r="E15535" s="44" t="n">
        <v>1130.1605</v>
      </c>
    </row>
    <row r="15536">
      <c r="A15536" s="39">
        <f>_xlfn.XLOOKUP(82132,Trip[shape_id],Trip[shape_id],"Não encontrado")</f>
        <v/>
      </c>
      <c r="B15536" s="40" t="n">
        <v>-23.549771</v>
      </c>
      <c r="C15536" s="40" t="n">
        <v>-46.57333</v>
      </c>
      <c r="D15536" s="40" t="n">
        <v>38</v>
      </c>
      <c r="E15536" s="41" t="n">
        <v>1182.6108</v>
      </c>
    </row>
    <row r="15537">
      <c r="A15537" s="42">
        <f>_xlfn.XLOOKUP(82132,Trip[shape_id],Trip[shape_id],"Não encontrado")</f>
        <v/>
      </c>
      <c r="B15537" s="43" t="n">
        <v>-23.550234</v>
      </c>
      <c r="C15537" s="43" t="n">
        <v>-46.573222</v>
      </c>
      <c r="D15537" s="43" t="n">
        <v>39</v>
      </c>
      <c r="E15537" s="44" t="n">
        <v>1182.6108</v>
      </c>
    </row>
    <row r="15538">
      <c r="A15538" s="39">
        <f>_xlfn.XLOOKUP(82132,Trip[shape_id],Trip[shape_id],"Não encontrado")</f>
        <v/>
      </c>
      <c r="B15538" s="40" t="n">
        <v>-23.550543</v>
      </c>
      <c r="C15538" s="40" t="n">
        <v>-46.573146</v>
      </c>
      <c r="D15538" s="40" t="n">
        <v>40</v>
      </c>
      <c r="E15538" s="41" t="n">
        <v>1264.8929</v>
      </c>
    </row>
    <row r="15539">
      <c r="A15539" s="42">
        <f>_xlfn.XLOOKUP(82132,Trip[shape_id],Trip[shape_id],"Não encontrado")</f>
        <v/>
      </c>
      <c r="B15539" s="43" t="n">
        <v>-23.55096</v>
      </c>
      <c r="C15539" s="43" t="n">
        <v>-46.573051</v>
      </c>
      <c r="D15539" s="43" t="n">
        <v>41</v>
      </c>
      <c r="E15539" s="44" t="n">
        <v>1264.8929</v>
      </c>
    </row>
    <row r="15540">
      <c r="A15540" s="39">
        <f>_xlfn.XLOOKUP(82132,Trip[shape_id],Trip[shape_id],"Não encontrado")</f>
        <v/>
      </c>
      <c r="B15540" s="40" t="n">
        <v>-23.551679</v>
      </c>
      <c r="C15540" s="40" t="n">
        <v>-46.572887</v>
      </c>
      <c r="D15540" s="40" t="n">
        <v>42</v>
      </c>
      <c r="E15540" s="41" t="n">
        <v>1346.2649</v>
      </c>
    </row>
    <row r="15541">
      <c r="A15541" s="42">
        <f>_xlfn.XLOOKUP(82132,Trip[shape_id],Trip[shape_id],"Não encontrado")</f>
        <v/>
      </c>
      <c r="B15541" s="43" t="n">
        <v>-23.552008</v>
      </c>
      <c r="C15541" s="43" t="n">
        <v>-46.572813</v>
      </c>
      <c r="D15541" s="43" t="n">
        <v>43</v>
      </c>
      <c r="E15541" s="44" t="n">
        <v>1383.4773</v>
      </c>
    </row>
    <row r="15542">
      <c r="A15542" s="39">
        <f>_xlfn.XLOOKUP(82132,Trip[shape_id],Trip[shape_id],"Não encontrado")</f>
        <v/>
      </c>
      <c r="B15542" s="40" t="n">
        <v>-23.55248</v>
      </c>
      <c r="C15542" s="40" t="n">
        <v>-46.5727</v>
      </c>
      <c r="D15542" s="40" t="n">
        <v>44</v>
      </c>
      <c r="E15542" s="41" t="n">
        <v>1437.0101</v>
      </c>
    </row>
    <row r="15543">
      <c r="A15543" s="42">
        <f>_xlfn.XLOOKUP(82132,Trip[shape_id],Trip[shape_id],"Não encontrado")</f>
        <v/>
      </c>
      <c r="B15543" s="43" t="n">
        <v>-23.55241</v>
      </c>
      <c r="C15543" s="43" t="n">
        <v>-46.572327</v>
      </c>
      <c r="D15543" s="43" t="n">
        <v>45</v>
      </c>
      <c r="E15543" s="44" t="n">
        <v>1475.8746</v>
      </c>
    </row>
    <row r="15544">
      <c r="A15544" s="39">
        <f>_xlfn.XLOOKUP(82132,Trip[shape_id],Trip[shape_id],"Não encontrado")</f>
        <v/>
      </c>
      <c r="B15544" s="40" t="n">
        <v>-23.552683</v>
      </c>
      <c r="C15544" s="40" t="n">
        <v>-46.572271</v>
      </c>
      <c r="D15544" s="40" t="n">
        <v>46</v>
      </c>
      <c r="E15544" s="41" t="n">
        <v>1506.6456</v>
      </c>
    </row>
    <row r="15545">
      <c r="A15545" s="42">
        <f>_xlfn.XLOOKUP(82132,Trip[shape_id],Trip[shape_id],"Não encontrado")</f>
        <v/>
      </c>
      <c r="B15545" s="43" t="n">
        <v>-23.552888</v>
      </c>
      <c r="C15545" s="43" t="n">
        <v>-46.572247</v>
      </c>
      <c r="D15545" s="43" t="n">
        <v>47</v>
      </c>
      <c r="E15545" s="44" t="n">
        <v>1529.4816</v>
      </c>
    </row>
    <row r="15546">
      <c r="A15546" s="39">
        <f>_xlfn.XLOOKUP(82132,Trip[shape_id],Trip[shape_id],"Não encontrado")</f>
        <v/>
      </c>
      <c r="B15546" s="40" t="n">
        <v>-23.553548</v>
      </c>
      <c r="C15546" s="40" t="n">
        <v>-46.571251</v>
      </c>
      <c r="D15546" s="40" t="n">
        <v>48</v>
      </c>
      <c r="E15546" s="41" t="n">
        <v>1677.7552</v>
      </c>
    </row>
    <row r="15547">
      <c r="A15547" s="42">
        <f>_xlfn.XLOOKUP(82132,Trip[shape_id],Trip[shape_id],"Não encontrado")</f>
        <v/>
      </c>
      <c r="B15547" s="43" t="n">
        <v>-23.553677</v>
      </c>
      <c r="C15547" s="43" t="n">
        <v>-46.571074</v>
      </c>
      <c r="D15547" s="43" t="n">
        <v>49</v>
      </c>
      <c r="E15547" s="44" t="n">
        <v>1677.7552</v>
      </c>
    </row>
    <row r="15548">
      <c r="A15548" s="39">
        <f>_xlfn.XLOOKUP(82132,Trip[shape_id],Trip[shape_id],"Não encontrado")</f>
        <v/>
      </c>
      <c r="B15548" s="40" t="n">
        <v>-23.553603</v>
      </c>
      <c r="C15548" s="40" t="n">
        <v>-46.570983</v>
      </c>
      <c r="D15548" s="40" t="n">
        <v>50</v>
      </c>
      <c r="E15548" s="41" t="n">
        <v>1728.2555</v>
      </c>
    </row>
    <row r="15549">
      <c r="A15549" s="42">
        <f>_xlfn.XLOOKUP(82132,Trip[shape_id],Trip[shape_id],"Não encontrado")</f>
        <v/>
      </c>
      <c r="B15549" s="43" t="n">
        <v>-23.553397</v>
      </c>
      <c r="C15549" s="43" t="n">
        <v>-46.570684</v>
      </c>
      <c r="D15549" s="43" t="n">
        <v>51</v>
      </c>
      <c r="E15549" s="44" t="n">
        <v>1755.6559</v>
      </c>
    </row>
    <row r="15550">
      <c r="A15550" s="39">
        <f>_xlfn.XLOOKUP(82132,Trip[shape_id],Trip[shape_id],"Não encontrado")</f>
        <v/>
      </c>
      <c r="B15550" s="40" t="n">
        <v>-23.553268</v>
      </c>
      <c r="C15550" s="40" t="n">
        <v>-46.570455</v>
      </c>
      <c r="D15550" s="40" t="n">
        <v>52</v>
      </c>
      <c r="E15550" s="41" t="n">
        <v>1779.3873</v>
      </c>
    </row>
    <row r="15551">
      <c r="A15551" s="42">
        <f>_xlfn.XLOOKUP(82132,Trip[shape_id],Trip[shape_id],"Não encontrado")</f>
        <v/>
      </c>
      <c r="B15551" s="43" t="n">
        <v>-23.553162</v>
      </c>
      <c r="C15551" s="43" t="n">
        <v>-46.570253</v>
      </c>
      <c r="D15551" s="43" t="n">
        <v>53</v>
      </c>
      <c r="E15551" s="44" t="n">
        <v>1794.7333</v>
      </c>
    </row>
    <row r="15552">
      <c r="A15552" s="39">
        <f>_xlfn.XLOOKUP(82132,Trip[shape_id],Trip[shape_id],"Não encontrado")</f>
        <v/>
      </c>
      <c r="B15552" s="40" t="n">
        <v>-23.553103</v>
      </c>
      <c r="C15552" s="40" t="n">
        <v>-46.570117</v>
      </c>
      <c r="D15552" s="40" t="n">
        <v>54</v>
      </c>
      <c r="E15552" s="41" t="n">
        <v>1803.9397</v>
      </c>
    </row>
    <row r="15553">
      <c r="A15553" s="42">
        <f>_xlfn.XLOOKUP(82132,Trip[shape_id],Trip[shape_id],"Não encontrado")</f>
        <v/>
      </c>
      <c r="B15553" s="43" t="n">
        <v>-23.553078</v>
      </c>
      <c r="C15553" s="43" t="n">
        <v>-46.570031</v>
      </c>
      <c r="D15553" s="43" t="n">
        <v>55</v>
      </c>
      <c r="E15553" s="44" t="n">
        <v>1813.0438</v>
      </c>
    </row>
    <row r="15554">
      <c r="A15554" s="39">
        <f>_xlfn.XLOOKUP(82132,Trip[shape_id],Trip[shape_id],"Não encontrado")</f>
        <v/>
      </c>
      <c r="B15554" s="40" t="n">
        <v>-23.553073</v>
      </c>
      <c r="C15554" s="40" t="n">
        <v>-46.569942</v>
      </c>
      <c r="D15554" s="40" t="n">
        <v>56</v>
      </c>
      <c r="E15554" s="41" t="n">
        <v>1813.0438</v>
      </c>
    </row>
    <row r="15555">
      <c r="A15555" s="42">
        <f>_xlfn.XLOOKUP(82132,Trip[shape_id],Trip[shape_id],"Não encontrado")</f>
        <v/>
      </c>
      <c r="B15555" s="43" t="n">
        <v>-23.553243</v>
      </c>
      <c r="C15555" s="43" t="n">
        <v>-46.569634</v>
      </c>
      <c r="D15555" s="43" t="n">
        <v>57</v>
      </c>
      <c r="E15555" s="44" t="n">
        <v>1864.0227</v>
      </c>
    </row>
    <row r="15556">
      <c r="A15556" s="39">
        <f>_xlfn.XLOOKUP(82132,Trip[shape_id],Trip[shape_id],"Não encontrado")</f>
        <v/>
      </c>
      <c r="B15556" s="40" t="n">
        <v>-23.553313</v>
      </c>
      <c r="C15556" s="40" t="n">
        <v>-46.569516</v>
      </c>
      <c r="D15556" s="40" t="n">
        <v>58</v>
      </c>
      <c r="E15556" s="41" t="n">
        <v>1864.0227</v>
      </c>
    </row>
    <row r="15557">
      <c r="A15557" s="42">
        <f>_xlfn.XLOOKUP(82132,Trip[shape_id],Trip[shape_id],"Não encontrado")</f>
        <v/>
      </c>
      <c r="B15557" s="43" t="n">
        <v>-23.55335</v>
      </c>
      <c r="C15557" s="43" t="n">
        <v>-46.569454</v>
      </c>
      <c r="D15557" s="43" t="n">
        <v>59</v>
      </c>
      <c r="E15557" s="44" t="n">
        <v>1887.7598</v>
      </c>
    </row>
    <row r="15558">
      <c r="A15558" s="39">
        <f>_xlfn.XLOOKUP(82132,Trip[shape_id],Trip[shape_id],"Não encontrado")</f>
        <v/>
      </c>
      <c r="B15558" s="40" t="n">
        <v>-23.553417</v>
      </c>
      <c r="C15558" s="40" t="n">
        <v>-46.569313</v>
      </c>
      <c r="D15558" s="40" t="n">
        <v>60</v>
      </c>
      <c r="E15558" s="41" t="n">
        <v>1898.5757</v>
      </c>
    </row>
    <row r="15559">
      <c r="A15559" s="42">
        <f>_xlfn.XLOOKUP(82132,Trip[shape_id],Trip[shape_id],"Não encontrado")</f>
        <v/>
      </c>
      <c r="B15559" s="43" t="n">
        <v>-23.553467</v>
      </c>
      <c r="C15559" s="43" t="n">
        <v>-46.569222</v>
      </c>
      <c r="D15559" s="43" t="n">
        <v>61</v>
      </c>
      <c r="E15559" s="44" t="n">
        <v>1898.5757</v>
      </c>
    </row>
    <row r="15560">
      <c r="A15560" s="39">
        <f>_xlfn.XLOOKUP(82132,Trip[shape_id],Trip[shape_id],"Não encontrado")</f>
        <v/>
      </c>
      <c r="B15560" s="40" t="n">
        <v>-23.553488</v>
      </c>
      <c r="C15560" s="40" t="n">
        <v>-46.569185</v>
      </c>
      <c r="D15560" s="40" t="n">
        <v>62</v>
      </c>
      <c r="E15560" s="41" t="n">
        <v>1920.9932</v>
      </c>
    </row>
    <row r="15561">
      <c r="A15561" s="42">
        <f>_xlfn.XLOOKUP(82132,Trip[shape_id],Trip[shape_id],"Não encontrado")</f>
        <v/>
      </c>
      <c r="B15561" s="43" t="n">
        <v>-23.553576</v>
      </c>
      <c r="C15561" s="43" t="n">
        <v>-46.569037</v>
      </c>
      <c r="D15561" s="43" t="n">
        <v>63</v>
      </c>
      <c r="E15561" s="44" t="n">
        <v>1931.4104</v>
      </c>
    </row>
    <row r="15562">
      <c r="A15562" s="39">
        <f>_xlfn.XLOOKUP(82132,Trip[shape_id],Trip[shape_id],"Não encontrado")</f>
        <v/>
      </c>
      <c r="B15562" s="40" t="n">
        <v>-23.553622</v>
      </c>
      <c r="C15562" s="40" t="n">
        <v>-46.568948</v>
      </c>
      <c r="D15562" s="40" t="n">
        <v>64</v>
      </c>
      <c r="E15562" s="41" t="n">
        <v>1931.4104</v>
      </c>
    </row>
    <row r="15563">
      <c r="A15563" s="42">
        <f>_xlfn.XLOOKUP(82132,Trip[shape_id],Trip[shape_id],"Não encontrado")</f>
        <v/>
      </c>
      <c r="B15563" s="43" t="n">
        <v>-23.553548</v>
      </c>
      <c r="C15563" s="43" t="n">
        <v>-46.568777</v>
      </c>
      <c r="D15563" s="43" t="n">
        <v>65</v>
      </c>
      <c r="E15563" s="44" t="n">
        <v>1963.3097</v>
      </c>
    </row>
    <row r="15564">
      <c r="A15564" s="39">
        <f>_xlfn.XLOOKUP(82132,Trip[shape_id],Trip[shape_id],"Não encontrado")</f>
        <v/>
      </c>
      <c r="B15564" s="40" t="n">
        <v>-23.553502</v>
      </c>
      <c r="C15564" s="40" t="n">
        <v>-46.568664</v>
      </c>
      <c r="D15564" s="40" t="n">
        <v>66</v>
      </c>
      <c r="E15564" s="41" t="n">
        <v>1963.3097</v>
      </c>
    </row>
    <row r="15565">
      <c r="A15565" s="42">
        <f>_xlfn.XLOOKUP(82132,Trip[shape_id],Trip[shape_id],"Não encontrado")</f>
        <v/>
      </c>
      <c r="B15565" s="43" t="n">
        <v>-23.553435</v>
      </c>
      <c r="C15565" s="43" t="n">
        <v>-46.568498</v>
      </c>
      <c r="D15565" s="43" t="n">
        <v>67</v>
      </c>
      <c r="E15565" s="44" t="n">
        <v>2013.256</v>
      </c>
    </row>
    <row r="15566">
      <c r="A15566" s="39">
        <f>_xlfn.XLOOKUP(82132,Trip[shape_id],Trip[shape_id],"Não encontrado")</f>
        <v/>
      </c>
      <c r="B15566" s="40" t="n">
        <v>-23.553323</v>
      </c>
      <c r="C15566" s="40" t="n">
        <v>-46.568215</v>
      </c>
      <c r="D15566" s="40" t="n">
        <v>68</v>
      </c>
      <c r="E15566" s="41" t="n">
        <v>2013.256</v>
      </c>
    </row>
    <row r="15567">
      <c r="A15567" s="42">
        <f>_xlfn.XLOOKUP(82132,Trip[shape_id],Trip[shape_id],"Não encontrado")</f>
        <v/>
      </c>
      <c r="B15567" s="43" t="n">
        <v>-23.552958</v>
      </c>
      <c r="C15567" s="43" t="n">
        <v>-46.567293</v>
      </c>
      <c r="D15567" s="43" t="n">
        <v>69</v>
      </c>
      <c r="E15567" s="44" t="n">
        <v>2115.7048</v>
      </c>
    </row>
    <row r="15568">
      <c r="A15568" s="39">
        <f>_xlfn.XLOOKUP(82132,Trip[shape_id],Trip[shape_id],"Não encontrado")</f>
        <v/>
      </c>
      <c r="B15568" s="40" t="n">
        <v>-23.552916</v>
      </c>
      <c r="C15568" s="40" t="n">
        <v>-46.567193</v>
      </c>
      <c r="D15568" s="40" t="n">
        <v>70</v>
      </c>
      <c r="E15568" s="41" t="n">
        <v>2126.9248</v>
      </c>
    </row>
    <row r="15569">
      <c r="A15569" s="42">
        <f>_xlfn.XLOOKUP(82132,Trip[shape_id],Trip[shape_id],"Não encontrado")</f>
        <v/>
      </c>
      <c r="B15569" s="43" t="n">
        <v>-23.552807</v>
      </c>
      <c r="C15569" s="43" t="n">
        <v>-46.567146</v>
      </c>
      <c r="D15569" s="43" t="n">
        <v>71</v>
      </c>
      <c r="E15569" s="44" t="n">
        <v>2150.4028</v>
      </c>
    </row>
    <row r="15570">
      <c r="A15570" s="39">
        <f>_xlfn.XLOOKUP(82132,Trip[shape_id],Trip[shape_id],"Não encontrado")</f>
        <v/>
      </c>
      <c r="B15570" s="40" t="n">
        <v>-23.552771</v>
      </c>
      <c r="C15570" s="40" t="n">
        <v>-46.567051</v>
      </c>
      <c r="D15570" s="40" t="n">
        <v>72</v>
      </c>
      <c r="E15570" s="41" t="n">
        <v>2158.1638</v>
      </c>
    </row>
    <row r="15571">
      <c r="A15571" s="42">
        <f>_xlfn.XLOOKUP(82132,Trip[shape_id],Trip[shape_id],"Não encontrado")</f>
        <v/>
      </c>
      <c r="B15571" s="43" t="n">
        <v>-23.55277</v>
      </c>
      <c r="C15571" s="43" t="n">
        <v>-46.566975</v>
      </c>
      <c r="D15571" s="43" t="n">
        <v>73</v>
      </c>
      <c r="E15571" s="44" t="n">
        <v>2163.2266</v>
      </c>
    </row>
    <row r="15572">
      <c r="A15572" s="39">
        <f>_xlfn.XLOOKUP(82132,Trip[shape_id],Trip[shape_id],"Não encontrado")</f>
        <v/>
      </c>
      <c r="B15572" s="40" t="n">
        <v>-23.552777</v>
      </c>
      <c r="C15572" s="40" t="n">
        <v>-46.566926</v>
      </c>
      <c r="D15572" s="40" t="n">
        <v>74</v>
      </c>
      <c r="E15572" s="41" t="n">
        <v>2174.187</v>
      </c>
    </row>
    <row r="15573">
      <c r="A15573" s="42">
        <f>_xlfn.XLOOKUP(82132,Trip[shape_id],Trip[shape_id],"Não encontrado")</f>
        <v/>
      </c>
      <c r="B15573" s="43" t="n">
        <v>-23.552785</v>
      </c>
      <c r="C15573" s="43" t="n">
        <v>-46.566819</v>
      </c>
      <c r="D15573" s="43" t="n">
        <v>75</v>
      </c>
      <c r="E15573" s="44" t="n">
        <v>2174.187</v>
      </c>
    </row>
    <row r="15574">
      <c r="A15574" s="39">
        <f>_xlfn.XLOOKUP(82132,Trip[shape_id],Trip[shape_id],"Não encontrado")</f>
        <v/>
      </c>
      <c r="B15574" s="40" t="n">
        <v>-23.55283</v>
      </c>
      <c r="C15574" s="40" t="n">
        <v>-46.566378</v>
      </c>
      <c r="D15574" s="40" t="n">
        <v>76</v>
      </c>
      <c r="E15574" s="41" t="n">
        <v>2219.488</v>
      </c>
    </row>
    <row r="15575">
      <c r="A15575" s="42">
        <f>_xlfn.XLOOKUP(82132,Trip[shape_id],Trip[shape_id],"Não encontrado")</f>
        <v/>
      </c>
      <c r="B15575" s="43" t="n">
        <v>-23.552869</v>
      </c>
      <c r="C15575" s="43" t="n">
        <v>-46.565934</v>
      </c>
      <c r="D15575" s="43" t="n">
        <v>77</v>
      </c>
      <c r="E15575" s="44" t="n">
        <v>2265.0259</v>
      </c>
    </row>
    <row r="15576">
      <c r="A15576" s="39">
        <f>_xlfn.XLOOKUP(82132,Trip[shape_id],Trip[shape_id],"Não encontrado")</f>
        <v/>
      </c>
      <c r="B15576" s="40" t="n">
        <v>-23.552911</v>
      </c>
      <c r="C15576" s="40" t="n">
        <v>-46.565494</v>
      </c>
      <c r="D15576" s="40" t="n">
        <v>78</v>
      </c>
      <c r="E15576" s="41" t="n">
        <v>2310.1902</v>
      </c>
    </row>
    <row r="15577">
      <c r="A15577" s="42">
        <f>_xlfn.XLOOKUP(82132,Trip[shape_id],Trip[shape_id],"Não encontrado")</f>
        <v/>
      </c>
      <c r="B15577" s="43" t="n">
        <v>-23.552959</v>
      </c>
      <c r="C15577" s="43" t="n">
        <v>-46.565056</v>
      </c>
      <c r="D15577" s="43" t="n">
        <v>79</v>
      </c>
      <c r="E15577" s="44" t="n">
        <v>2355.2249</v>
      </c>
    </row>
    <row r="15578">
      <c r="A15578" s="39">
        <f>_xlfn.XLOOKUP(82132,Trip[shape_id],Trip[shape_id],"Não encontrado")</f>
        <v/>
      </c>
      <c r="B15578" s="40" t="n">
        <v>-23.552995</v>
      </c>
      <c r="C15578" s="40" t="n">
        <v>-46.564574</v>
      </c>
      <c r="D15578" s="40" t="n">
        <v>80</v>
      </c>
      <c r="E15578" s="41" t="n">
        <v>2404.5984</v>
      </c>
    </row>
    <row r="15579">
      <c r="A15579" s="42">
        <f>_xlfn.XLOOKUP(82132,Trip[shape_id],Trip[shape_id],"Não encontrado")</f>
        <v/>
      </c>
      <c r="B15579" s="43" t="n">
        <v>-23.553079</v>
      </c>
      <c r="C15579" s="43" t="n">
        <v>-46.563826</v>
      </c>
      <c r="D15579" s="43" t="n">
        <v>81</v>
      </c>
      <c r="E15579" s="44" t="n">
        <v>2481.5339</v>
      </c>
    </row>
    <row r="15580">
      <c r="A15580" s="39">
        <f>_xlfn.XLOOKUP(82132,Trip[shape_id],Trip[shape_id],"Não encontrado")</f>
        <v/>
      </c>
      <c r="B15580" s="40" t="n">
        <v>-23.553143</v>
      </c>
      <c r="C15580" s="40" t="n">
        <v>-46.563139</v>
      </c>
      <c r="D15580" s="40" t="n">
        <v>82</v>
      </c>
      <c r="E15580" s="41" t="n">
        <v>2552.0339</v>
      </c>
    </row>
    <row r="15581">
      <c r="A15581" s="42">
        <f>_xlfn.XLOOKUP(82132,Trip[shape_id],Trip[shape_id],"Não encontrado")</f>
        <v/>
      </c>
      <c r="B15581" s="43" t="n">
        <v>-23.55321</v>
      </c>
      <c r="C15581" s="43" t="n">
        <v>-46.562459</v>
      </c>
      <c r="D15581" s="43" t="n">
        <v>83</v>
      </c>
      <c r="E15581" s="44" t="n">
        <v>2621.8574</v>
      </c>
    </row>
    <row r="15582">
      <c r="A15582" s="39">
        <f>_xlfn.XLOOKUP(82132,Trip[shape_id],Trip[shape_id],"Não encontrado")</f>
        <v/>
      </c>
      <c r="B15582" s="40" t="n">
        <v>-23.553278</v>
      </c>
      <c r="C15582" s="40" t="n">
        <v>-46.561773</v>
      </c>
      <c r="D15582" s="40" t="n">
        <v>84</v>
      </c>
      <c r="E15582" s="41" t="n">
        <v>2692.3018</v>
      </c>
    </row>
    <row r="15583">
      <c r="A15583" s="42">
        <f>_xlfn.XLOOKUP(82132,Trip[shape_id],Trip[shape_id],"Não encontrado")</f>
        <v/>
      </c>
      <c r="B15583" s="43" t="n">
        <v>-23.553392</v>
      </c>
      <c r="C15583" s="43" t="n">
        <v>-46.561694</v>
      </c>
      <c r="D15583" s="43" t="n">
        <v>85</v>
      </c>
      <c r="E15583" s="44" t="n">
        <v>2729.0564</v>
      </c>
    </row>
    <row r="15584">
      <c r="A15584" s="39">
        <f>_xlfn.XLOOKUP(82132,Trip[shape_id],Trip[shape_id],"Não encontrado")</f>
        <v/>
      </c>
      <c r="B15584" s="40" t="n">
        <v>-23.553503</v>
      </c>
      <c r="C15584" s="40" t="n">
        <v>-46.561518</v>
      </c>
      <c r="D15584" s="40" t="n">
        <v>86</v>
      </c>
      <c r="E15584" s="41" t="n">
        <v>2729.0564</v>
      </c>
    </row>
    <row r="15585">
      <c r="A15585" s="42">
        <f>_xlfn.XLOOKUP(82132,Trip[shape_id],Trip[shape_id],"Não encontrado")</f>
        <v/>
      </c>
      <c r="B15585" s="43" t="n">
        <v>-23.55363</v>
      </c>
      <c r="C15585" s="43" t="n">
        <v>-46.561346</v>
      </c>
      <c r="D15585" s="43" t="n">
        <v>87</v>
      </c>
      <c r="E15585" s="44" t="n">
        <v>2775.2874</v>
      </c>
    </row>
    <row r="15586">
      <c r="A15586" s="39">
        <f>_xlfn.XLOOKUP(82132,Trip[shape_id],Trip[shape_id],"Não encontrado")</f>
        <v/>
      </c>
      <c r="B15586" s="40" t="n">
        <v>-23.553756</v>
      </c>
      <c r="C15586" s="40" t="n">
        <v>-46.561158</v>
      </c>
      <c r="D15586" s="40" t="n">
        <v>88</v>
      </c>
      <c r="E15586" s="41" t="n">
        <v>2775.2874</v>
      </c>
    </row>
    <row r="15587">
      <c r="A15587" s="42">
        <f>_xlfn.XLOOKUP(82132,Trip[shape_id],Trip[shape_id],"Não encontrado")</f>
        <v/>
      </c>
      <c r="B15587" s="43" t="n">
        <v>-23.554111</v>
      </c>
      <c r="C15587" s="43" t="n">
        <v>-46.560645</v>
      </c>
      <c r="D15587" s="43" t="n">
        <v>89</v>
      </c>
      <c r="E15587" s="44" t="n">
        <v>2840.7791</v>
      </c>
    </row>
    <row r="15588">
      <c r="A15588" s="39">
        <f>_xlfn.XLOOKUP(82132,Trip[shape_id],Trip[shape_id],"Não encontrado")</f>
        <v/>
      </c>
      <c r="B15588" s="40" t="n">
        <v>-23.554276</v>
      </c>
      <c r="C15588" s="40" t="n">
        <v>-46.560406</v>
      </c>
      <c r="D15588" s="40" t="n">
        <v>90</v>
      </c>
      <c r="E15588" s="41" t="n">
        <v>2871.2649</v>
      </c>
    </row>
    <row r="15589">
      <c r="A15589" s="42">
        <f>_xlfn.XLOOKUP(82132,Trip[shape_id],Trip[shape_id],"Não encontrado")</f>
        <v/>
      </c>
      <c r="B15589" s="43" t="n">
        <v>-23.554418</v>
      </c>
      <c r="C15589" s="43" t="n">
        <v>-46.560154</v>
      </c>
      <c r="D15589" s="43" t="n">
        <v>91</v>
      </c>
      <c r="E15589" s="44" t="n">
        <v>2933.5754</v>
      </c>
    </row>
    <row r="15590">
      <c r="A15590" s="39">
        <f>_xlfn.XLOOKUP(82132,Trip[shape_id],Trip[shape_id],"Não encontrado")</f>
        <v/>
      </c>
      <c r="B15590" s="40" t="n">
        <v>-23.554569</v>
      </c>
      <c r="C15590" s="40" t="n">
        <v>-46.559885</v>
      </c>
      <c r="D15590" s="40" t="n">
        <v>92</v>
      </c>
      <c r="E15590" s="41" t="n">
        <v>2933.5754</v>
      </c>
    </row>
    <row r="15591">
      <c r="A15591" s="42">
        <f>_xlfn.XLOOKUP(82132,Trip[shape_id],Trip[shape_id],"Não encontrado")</f>
        <v/>
      </c>
      <c r="B15591" s="43" t="n">
        <v>-23.554682</v>
      </c>
      <c r="C15591" s="43" t="n">
        <v>-46.559673</v>
      </c>
      <c r="D15591" s="43" t="n">
        <v>93</v>
      </c>
      <c r="E15591" s="44" t="n">
        <v>2958.5781</v>
      </c>
    </row>
    <row r="15592">
      <c r="A15592" s="39">
        <f>_xlfn.XLOOKUP(82132,Trip[shape_id],Trip[shape_id],"Não encontrado")</f>
        <v/>
      </c>
      <c r="B15592" s="40" t="n">
        <v>-23.554775</v>
      </c>
      <c r="C15592" s="40" t="n">
        <v>-46.559452</v>
      </c>
      <c r="D15592" s="40" t="n">
        <v>94</v>
      </c>
      <c r="E15592" s="41" t="n">
        <v>2995.2036</v>
      </c>
    </row>
    <row r="15593">
      <c r="A15593" s="42">
        <f>_xlfn.XLOOKUP(82132,Trip[shape_id],Trip[shape_id],"Não encontrado")</f>
        <v/>
      </c>
      <c r="B15593" s="43" t="n">
        <v>-23.55482</v>
      </c>
      <c r="C15593" s="43" t="n">
        <v>-46.559347</v>
      </c>
      <c r="D15593" s="43" t="n">
        <v>95</v>
      </c>
      <c r="E15593" s="44" t="n">
        <v>2995.2036</v>
      </c>
    </row>
    <row r="15594">
      <c r="A15594" s="39">
        <f>_xlfn.XLOOKUP(82132,Trip[shape_id],Trip[shape_id],"Não encontrado")</f>
        <v/>
      </c>
      <c r="B15594" s="40" t="n">
        <v>-23.554901</v>
      </c>
      <c r="C15594" s="40" t="n">
        <v>-46.55914</v>
      </c>
      <c r="D15594" s="40" t="n">
        <v>96</v>
      </c>
      <c r="E15594" s="41" t="n">
        <v>3018.1631</v>
      </c>
    </row>
    <row r="15595">
      <c r="A15595" s="42">
        <f>_xlfn.XLOOKUP(82132,Trip[shape_id],Trip[shape_id],"Não encontrado")</f>
        <v/>
      </c>
      <c r="B15595" s="43" t="n">
        <v>-23.555122</v>
      </c>
      <c r="C15595" s="43" t="n">
        <v>-46.559239</v>
      </c>
      <c r="D15595" s="43" t="n">
        <v>97</v>
      </c>
      <c r="E15595" s="44" t="n">
        <v>3044.644</v>
      </c>
    </row>
    <row r="15596">
      <c r="A15596" s="39">
        <f>_xlfn.XLOOKUP(82132,Trip[shape_id],Trip[shape_id],"Não encontrado")</f>
        <v/>
      </c>
      <c r="B15596" s="40" t="n">
        <v>-23.555208</v>
      </c>
      <c r="C15596" s="40" t="n">
        <v>-46.559278</v>
      </c>
      <c r="D15596" s="40" t="n">
        <v>98</v>
      </c>
      <c r="E15596" s="41" t="n">
        <v>3054.9678</v>
      </c>
    </row>
    <row r="15597">
      <c r="A15597" s="42">
        <f>_xlfn.XLOOKUP(82132,Trip[shape_id],Trip[shape_id],"Não encontrado")</f>
        <v/>
      </c>
      <c r="B15597" s="43" t="n">
        <v>-23.555391</v>
      </c>
      <c r="C15597" s="43" t="n">
        <v>-46.559436</v>
      </c>
      <c r="D15597" s="43" t="n">
        <v>99</v>
      </c>
      <c r="E15597" s="44" t="n">
        <v>3080.8716</v>
      </c>
    </row>
    <row r="15598">
      <c r="A15598" s="39">
        <f>_xlfn.XLOOKUP(82132,Trip[shape_id],Trip[shape_id],"Não encontrado")</f>
        <v/>
      </c>
      <c r="B15598" s="40" t="n">
        <v>-23.555633</v>
      </c>
      <c r="C15598" s="40" t="n">
        <v>-46.559673</v>
      </c>
      <c r="D15598" s="40" t="n">
        <v>100</v>
      </c>
      <c r="E15598" s="41" t="n">
        <v>3116.9805</v>
      </c>
    </row>
    <row r="15599">
      <c r="A15599" s="42">
        <f>_xlfn.XLOOKUP(82132,Trip[shape_id],Trip[shape_id],"Não encontrado")</f>
        <v/>
      </c>
      <c r="B15599" s="43" t="n">
        <v>-23.555889</v>
      </c>
      <c r="C15599" s="43" t="n">
        <v>-46.559943</v>
      </c>
      <c r="D15599" s="43" t="n">
        <v>101</v>
      </c>
      <c r="E15599" s="44" t="n">
        <v>3156.5251</v>
      </c>
    </row>
    <row r="15600">
      <c r="A15600" s="39">
        <f>_xlfn.XLOOKUP(82132,Trip[shape_id],Trip[shape_id],"Não encontrado")</f>
        <v/>
      </c>
      <c r="B15600" s="40" t="n">
        <v>-23.556218</v>
      </c>
      <c r="C15600" s="40" t="n">
        <v>-46.560304</v>
      </c>
      <c r="D15600" s="40" t="n">
        <v>102</v>
      </c>
      <c r="E15600" s="41" t="n">
        <v>3208.3533</v>
      </c>
    </row>
    <row r="15601">
      <c r="A15601" s="42">
        <f>_xlfn.XLOOKUP(82132,Trip[shape_id],Trip[shape_id],"Não encontrado")</f>
        <v/>
      </c>
      <c r="B15601" s="43" t="n">
        <v>-23.556305</v>
      </c>
      <c r="C15601" s="43" t="n">
        <v>-46.560207</v>
      </c>
      <c r="D15601" s="43" t="n">
        <v>103</v>
      </c>
      <c r="E15601" s="44" t="n">
        <v>3222.1707</v>
      </c>
    </row>
    <row r="15602">
      <c r="A15602" s="39">
        <f>_xlfn.XLOOKUP(82132,Trip[shape_id],Trip[shape_id],"Não encontrado")</f>
        <v/>
      </c>
      <c r="B15602" s="40" t="n">
        <v>-23.556362</v>
      </c>
      <c r="C15602" s="40" t="n">
        <v>-46.56014</v>
      </c>
      <c r="D15602" s="40" t="n">
        <v>104</v>
      </c>
      <c r="E15602" s="41" t="n">
        <v>3231.4795</v>
      </c>
    </row>
    <row r="15603">
      <c r="A15603" s="42">
        <f>_xlfn.XLOOKUP(82132,Trip[shape_id],Trip[shape_id],"Não encontrado")</f>
        <v/>
      </c>
      <c r="B15603" s="43" t="n">
        <v>-23.556575</v>
      </c>
      <c r="C15603" s="43" t="n">
        <v>-46.559895</v>
      </c>
      <c r="D15603" s="43" t="n">
        <v>105</v>
      </c>
      <c r="E15603" s="44" t="n">
        <v>3265.8623</v>
      </c>
    </row>
    <row r="15604">
      <c r="A15604" s="39">
        <f>_xlfn.XLOOKUP(82132,Trip[shape_id],Trip[shape_id],"Não encontrado")</f>
        <v/>
      </c>
      <c r="B15604" s="40" t="n">
        <v>-23.556652</v>
      </c>
      <c r="C15604" s="40" t="n">
        <v>-46.559803</v>
      </c>
      <c r="D15604" s="40" t="n">
        <v>106</v>
      </c>
      <c r="E15604" s="41" t="n">
        <v>3278.5491</v>
      </c>
    </row>
    <row r="15605">
      <c r="A15605" s="42">
        <f>_xlfn.XLOOKUP(82132,Trip[shape_id],Trip[shape_id],"Não encontrado")</f>
        <v/>
      </c>
      <c r="B15605" s="43" t="n">
        <v>-23.556764</v>
      </c>
      <c r="C15605" s="43" t="n">
        <v>-46.559676</v>
      </c>
      <c r="D15605" s="43" t="n">
        <v>107</v>
      </c>
      <c r="E15605" s="44" t="n">
        <v>3296.4929</v>
      </c>
    </row>
    <row r="15606">
      <c r="A15606" s="39">
        <f>_xlfn.XLOOKUP(82132,Trip[shape_id],Trip[shape_id],"Não encontrado")</f>
        <v/>
      </c>
      <c r="B15606" s="40" t="n">
        <v>-23.556997</v>
      </c>
      <c r="C15606" s="40" t="n">
        <v>-46.559405</v>
      </c>
      <c r="D15606" s="40" t="n">
        <v>108</v>
      </c>
      <c r="E15606" s="41" t="n">
        <v>3370.3613</v>
      </c>
    </row>
    <row r="15607">
      <c r="A15607" s="42">
        <f>_xlfn.XLOOKUP(82132,Trip[shape_id],Trip[shape_id],"Não encontrado")</f>
        <v/>
      </c>
      <c r="B15607" s="43" t="n">
        <v>-23.557215</v>
      </c>
      <c r="C15607" s="43" t="n">
        <v>-46.559143</v>
      </c>
      <c r="D15607" s="43" t="n">
        <v>109</v>
      </c>
      <c r="E15607" s="44" t="n">
        <v>3370.3613</v>
      </c>
    </row>
    <row r="15608">
      <c r="A15608" s="39">
        <f>_xlfn.XLOOKUP(82132,Trip[shape_id],Trip[shape_id],"Não encontrado")</f>
        <v/>
      </c>
      <c r="B15608" s="40" t="n">
        <v>-23.557644</v>
      </c>
      <c r="C15608" s="40" t="n">
        <v>-46.559584</v>
      </c>
      <c r="D15608" s="40" t="n">
        <v>110</v>
      </c>
      <c r="E15608" s="41" t="n">
        <v>3435.8186</v>
      </c>
    </row>
    <row r="15609">
      <c r="A15609" s="42">
        <f>_xlfn.XLOOKUP(82132,Trip[shape_id],Trip[shape_id],"Não encontrado")</f>
        <v/>
      </c>
      <c r="B15609" s="43" t="n">
        <v>-23.558053</v>
      </c>
      <c r="C15609" s="43" t="n">
        <v>-46.559993</v>
      </c>
      <c r="D15609" s="43" t="n">
        <v>111</v>
      </c>
      <c r="E15609" s="44" t="n">
        <v>3497.4268</v>
      </c>
    </row>
    <row r="15610">
      <c r="A15610" s="39">
        <f>_xlfn.XLOOKUP(82132,Trip[shape_id],Trip[shape_id],"Não encontrado")</f>
        <v/>
      </c>
      <c r="B15610" s="40" t="n">
        <v>-23.558372</v>
      </c>
      <c r="C15610" s="40" t="n">
        <v>-46.560342</v>
      </c>
      <c r="D15610" s="40" t="n">
        <v>112</v>
      </c>
      <c r="E15610" s="41" t="n">
        <v>3547.6045</v>
      </c>
    </row>
    <row r="15611">
      <c r="A15611" s="42">
        <f>_xlfn.XLOOKUP(82132,Trip[shape_id],Trip[shape_id],"Não encontrado")</f>
        <v/>
      </c>
      <c r="B15611" s="43" t="n">
        <v>-23.558365</v>
      </c>
      <c r="C15611" s="43" t="n">
        <v>-46.560385</v>
      </c>
      <c r="D15611" s="43" t="n">
        <v>113</v>
      </c>
      <c r="E15611" s="44" t="n">
        <v>3556.9822</v>
      </c>
    </row>
    <row r="15612">
      <c r="A15612" s="39">
        <f>_xlfn.XLOOKUP(82132,Trip[shape_id],Trip[shape_id],"Não encontrado")</f>
        <v/>
      </c>
      <c r="B15612" s="40" t="n">
        <v>-23.558369</v>
      </c>
      <c r="C15612" s="40" t="n">
        <v>-46.560433</v>
      </c>
      <c r="D15612" s="40" t="n">
        <v>114</v>
      </c>
      <c r="E15612" s="41" t="n">
        <v>3561.3428</v>
      </c>
    </row>
    <row r="15613">
      <c r="A15613" s="42">
        <f>_xlfn.XLOOKUP(82132,Trip[shape_id],Trip[shape_id],"Não encontrado")</f>
        <v/>
      </c>
      <c r="B15613" s="43" t="n">
        <v>-23.55838</v>
      </c>
      <c r="C15613" s="43" t="n">
        <v>-46.560474</v>
      </c>
      <c r="D15613" s="43" t="n">
        <v>115</v>
      </c>
      <c r="E15613" s="44" t="n">
        <v>3561.3428</v>
      </c>
    </row>
    <row r="15614">
      <c r="A15614" s="39">
        <f>_xlfn.XLOOKUP(82132,Trip[shape_id],Trip[shape_id],"Não encontrado")</f>
        <v/>
      </c>
      <c r="B15614" s="40" t="n">
        <v>-23.558398</v>
      </c>
      <c r="C15614" s="40" t="n">
        <v>-46.560513</v>
      </c>
      <c r="D15614" s="40" t="n">
        <v>116</v>
      </c>
      <c r="E15614" s="41" t="n">
        <v>3571.4502</v>
      </c>
    </row>
    <row r="15615">
      <c r="A15615" s="42">
        <f>_xlfn.XLOOKUP(82132,Trip[shape_id],Trip[shape_id],"Não encontrado")</f>
        <v/>
      </c>
      <c r="B15615" s="43" t="n">
        <v>-23.558439</v>
      </c>
      <c r="C15615" s="43" t="n">
        <v>-46.560546</v>
      </c>
      <c r="D15615" s="43" t="n">
        <v>117</v>
      </c>
      <c r="E15615" s="44" t="n">
        <v>3576.3469</v>
      </c>
    </row>
    <row r="15616">
      <c r="A15616" s="39">
        <f>_xlfn.XLOOKUP(82132,Trip[shape_id],Trip[shape_id],"Não encontrado")</f>
        <v/>
      </c>
      <c r="B15616" s="40" t="n">
        <v>-23.558481</v>
      </c>
      <c r="C15616" s="40" t="n">
        <v>-46.560561</v>
      </c>
      <c r="D15616" s="40" t="n">
        <v>118</v>
      </c>
      <c r="E15616" s="41" t="n">
        <v>3576.3469</v>
      </c>
    </row>
    <row r="15617">
      <c r="A15617" s="42">
        <f>_xlfn.XLOOKUP(82132,Trip[shape_id],Trip[shape_id],"Não encontrado")</f>
        <v/>
      </c>
      <c r="B15617" s="43" t="n">
        <v>-23.558538</v>
      </c>
      <c r="C15617" s="43" t="n">
        <v>-46.560564</v>
      </c>
      <c r="D15617" s="43" t="n">
        <v>119</v>
      </c>
      <c r="E15617" s="44" t="n">
        <v>3587.8528</v>
      </c>
    </row>
    <row r="15618">
      <c r="A15618" s="39">
        <f>_xlfn.XLOOKUP(82132,Trip[shape_id],Trip[shape_id],"Não encontrado")</f>
        <v/>
      </c>
      <c r="B15618" s="40" t="n">
        <v>-23.558583</v>
      </c>
      <c r="C15618" s="40" t="n">
        <v>-46.56055</v>
      </c>
      <c r="D15618" s="40" t="n">
        <v>120</v>
      </c>
      <c r="E15618" s="41" t="n">
        <v>3587.8528</v>
      </c>
    </row>
    <row r="15619">
      <c r="A15619" s="42">
        <f>_xlfn.XLOOKUP(82132,Trip[shape_id],Trip[shape_id],"Não encontrado")</f>
        <v/>
      </c>
      <c r="B15619" s="43" t="n">
        <v>-23.558799</v>
      </c>
      <c r="C15619" s="43" t="n">
        <v>-46.560683</v>
      </c>
      <c r="D15619" s="43" t="n">
        <v>121</v>
      </c>
      <c r="E15619" s="44" t="n">
        <v>3615.3604</v>
      </c>
    </row>
    <row r="15620">
      <c r="A15620" s="39">
        <f>_xlfn.XLOOKUP(82132,Trip[shape_id],Trip[shape_id],"Não encontrado")</f>
        <v/>
      </c>
      <c r="B15620" s="40" t="n">
        <v>-23.559189</v>
      </c>
      <c r="C15620" s="40" t="n">
        <v>-46.560882</v>
      </c>
      <c r="D15620" s="40" t="n">
        <v>122</v>
      </c>
      <c r="E15620" s="41" t="n">
        <v>3663.0933</v>
      </c>
    </row>
    <row r="15621">
      <c r="A15621" s="42">
        <f>_xlfn.XLOOKUP(82132,Trip[shape_id],Trip[shape_id],"Não encontrado")</f>
        <v/>
      </c>
      <c r="B15621" s="43" t="n">
        <v>-23.559426</v>
      </c>
      <c r="C15621" s="43" t="n">
        <v>-46.561038</v>
      </c>
      <c r="D15621" s="43" t="n">
        <v>123</v>
      </c>
      <c r="E15621" s="44" t="n">
        <v>3693.7957</v>
      </c>
    </row>
    <row r="15622">
      <c r="A15622" s="39">
        <f>_xlfn.XLOOKUP(82132,Trip[shape_id],Trip[shape_id],"Não encontrado")</f>
        <v/>
      </c>
      <c r="B15622" s="40" t="n">
        <v>-23.559779</v>
      </c>
      <c r="C15622" s="40" t="n">
        <v>-46.56124</v>
      </c>
      <c r="D15622" s="40" t="n">
        <v>124</v>
      </c>
      <c r="E15622" s="41" t="n">
        <v>3737.9971</v>
      </c>
    </row>
    <row r="15623">
      <c r="A15623" s="42">
        <f>_xlfn.XLOOKUP(82132,Trip[shape_id],Trip[shape_id],"Não encontrado")</f>
        <v/>
      </c>
      <c r="B15623" s="43" t="n">
        <v>-23.559923</v>
      </c>
      <c r="C15623" s="43" t="n">
        <v>-46.561317</v>
      </c>
      <c r="D15623" s="43" t="n">
        <v>125</v>
      </c>
      <c r="E15623" s="44" t="n">
        <v>3755.7773</v>
      </c>
    </row>
    <row r="15624">
      <c r="A15624" s="39">
        <f>_xlfn.XLOOKUP(82132,Trip[shape_id],Trip[shape_id],"Não encontrado")</f>
        <v/>
      </c>
      <c r="B15624" s="40" t="n">
        <v>-23.56018</v>
      </c>
      <c r="C15624" s="40" t="n">
        <v>-46.561461</v>
      </c>
      <c r="D15624" s="40" t="n">
        <v>126</v>
      </c>
      <c r="E15624" s="41" t="n">
        <v>3787.8132</v>
      </c>
    </row>
    <row r="15625">
      <c r="A15625" s="42">
        <f>_xlfn.XLOOKUP(82132,Trip[shape_id],Trip[shape_id],"Não encontrado")</f>
        <v/>
      </c>
      <c r="B15625" s="43" t="n">
        <v>-23.560309</v>
      </c>
      <c r="C15625" s="43" t="n">
        <v>-46.561549</v>
      </c>
      <c r="D15625" s="43" t="n">
        <v>127</v>
      </c>
      <c r="E15625" s="44" t="n">
        <v>3804.6907</v>
      </c>
    </row>
    <row r="15626">
      <c r="A15626" s="39">
        <f>_xlfn.XLOOKUP(82132,Trip[shape_id],Trip[shape_id],"Não encontrado")</f>
        <v/>
      </c>
      <c r="B15626" s="40" t="n">
        <v>-23.560426</v>
      </c>
      <c r="C15626" s="40" t="n">
        <v>-46.561635</v>
      </c>
      <c r="D15626" s="40" t="n">
        <v>128</v>
      </c>
      <c r="E15626" s="41" t="n">
        <v>3820.343</v>
      </c>
    </row>
    <row r="15627">
      <c r="A15627" s="42">
        <f>_xlfn.XLOOKUP(82132,Trip[shape_id],Trip[shape_id],"Não encontrado")</f>
        <v/>
      </c>
      <c r="B15627" s="43" t="n">
        <v>-23.560528</v>
      </c>
      <c r="C15627" s="43" t="n">
        <v>-46.561722</v>
      </c>
      <c r="D15627" s="43" t="n">
        <v>129</v>
      </c>
      <c r="E15627" s="44" t="n">
        <v>3834.7134</v>
      </c>
    </row>
    <row r="15628">
      <c r="A15628" s="39">
        <f>_xlfn.XLOOKUP(82132,Trip[shape_id],Trip[shape_id],"Não encontrado")</f>
        <v/>
      </c>
      <c r="B15628" s="40" t="n">
        <v>-23.560611</v>
      </c>
      <c r="C15628" s="40" t="n">
        <v>-46.561802</v>
      </c>
      <c r="D15628" s="40" t="n">
        <v>130</v>
      </c>
      <c r="E15628" s="41" t="n">
        <v>3847.0098</v>
      </c>
    </row>
    <row r="15629">
      <c r="A15629" s="42">
        <f>_xlfn.XLOOKUP(82132,Trip[shape_id],Trip[shape_id],"Não encontrado")</f>
        <v/>
      </c>
      <c r="B15629" s="43" t="n">
        <v>-23.560717</v>
      </c>
      <c r="C15629" s="43" t="n">
        <v>-46.561919</v>
      </c>
      <c r="D15629" s="43" t="n">
        <v>131</v>
      </c>
      <c r="E15629" s="44" t="n">
        <v>3863.7581</v>
      </c>
    </row>
    <row r="15630">
      <c r="A15630" s="39">
        <f>_xlfn.XLOOKUP(82132,Trip[shape_id],Trip[shape_id],"Não encontrado")</f>
        <v/>
      </c>
      <c r="B15630" s="40" t="n">
        <v>-23.560912</v>
      </c>
      <c r="C15630" s="40" t="n">
        <v>-46.562162</v>
      </c>
      <c r="D15630" s="40" t="n">
        <v>132</v>
      </c>
      <c r="E15630" s="41" t="n">
        <v>3896.6501</v>
      </c>
    </row>
    <row r="15631">
      <c r="A15631" s="42">
        <f>_xlfn.XLOOKUP(82132,Trip[shape_id],Trip[shape_id],"Não encontrado")</f>
        <v/>
      </c>
      <c r="B15631" s="43" t="n">
        <v>-23.561021</v>
      </c>
      <c r="C15631" s="43" t="n">
        <v>-46.562321</v>
      </c>
      <c r="D15631" s="43" t="n">
        <v>133</v>
      </c>
      <c r="E15631" s="44" t="n">
        <v>3916.8796</v>
      </c>
    </row>
    <row r="15632">
      <c r="A15632" s="39">
        <f>_xlfn.XLOOKUP(82132,Trip[shape_id],Trip[shape_id],"Não encontrado")</f>
        <v/>
      </c>
      <c r="B15632" s="40" t="n">
        <v>-23.561203</v>
      </c>
      <c r="C15632" s="40" t="n">
        <v>-46.562677</v>
      </c>
      <c r="D15632" s="40" t="n">
        <v>134</v>
      </c>
      <c r="E15632" s="41" t="n">
        <v>3958.4402</v>
      </c>
    </row>
    <row r="15633">
      <c r="A15633" s="42">
        <f>_xlfn.XLOOKUP(82132,Trip[shape_id],Trip[shape_id],"Não encontrado")</f>
        <v/>
      </c>
      <c r="B15633" s="43" t="n">
        <v>-23.561254</v>
      </c>
      <c r="C15633" s="43" t="n">
        <v>-46.562812</v>
      </c>
      <c r="D15633" s="43" t="n">
        <v>135</v>
      </c>
      <c r="E15633" s="44" t="n">
        <v>3973.3354</v>
      </c>
    </row>
    <row r="15634">
      <c r="A15634" s="39">
        <f>_xlfn.XLOOKUP(82132,Trip[shape_id],Trip[shape_id],"Não encontrado")</f>
        <v/>
      </c>
      <c r="B15634" s="40" t="n">
        <v>-23.561298</v>
      </c>
      <c r="C15634" s="40" t="n">
        <v>-46.562944</v>
      </c>
      <c r="D15634" s="40" t="n">
        <v>136</v>
      </c>
      <c r="E15634" s="41" t="n">
        <v>3987.666</v>
      </c>
    </row>
    <row r="15635">
      <c r="A15635" s="42">
        <f>_xlfn.XLOOKUP(82132,Trip[shape_id],Trip[shape_id],"Não encontrado")</f>
        <v/>
      </c>
      <c r="B15635" s="43" t="n">
        <v>-23.561337</v>
      </c>
      <c r="C15635" s="43" t="n">
        <v>-46.563101</v>
      </c>
      <c r="D15635" s="43" t="n">
        <v>137</v>
      </c>
      <c r="E15635" s="44" t="n">
        <v>4004.2666</v>
      </c>
    </row>
    <row r="15636">
      <c r="A15636" s="39">
        <f>_xlfn.XLOOKUP(82132,Trip[shape_id],Trip[shape_id],"Não encontrado")</f>
        <v/>
      </c>
      <c r="B15636" s="40" t="n">
        <v>-23.561362</v>
      </c>
      <c r="C15636" s="40" t="n">
        <v>-46.563139</v>
      </c>
      <c r="D15636" s="40" t="n">
        <v>138</v>
      </c>
      <c r="E15636" s="41" t="n">
        <v>4009.0332</v>
      </c>
    </row>
    <row r="15637">
      <c r="A15637" s="42">
        <f>_xlfn.XLOOKUP(82132,Trip[shape_id],Trip[shape_id],"Não encontrado")</f>
        <v/>
      </c>
      <c r="B15637" s="43" t="n">
        <v>-23.561408</v>
      </c>
      <c r="C15637" s="43" t="n">
        <v>-46.563171</v>
      </c>
      <c r="D15637" s="43" t="n">
        <v>139</v>
      </c>
      <c r="E15637" s="44" t="n">
        <v>4015.0859</v>
      </c>
    </row>
    <row r="15638">
      <c r="A15638" s="39">
        <f>_xlfn.XLOOKUP(82132,Trip[shape_id],Trip[shape_id],"Não encontrado")</f>
        <v/>
      </c>
      <c r="B15638" s="40" t="n">
        <v>-23.561583</v>
      </c>
      <c r="C15638" s="40" t="n">
        <v>-46.563195</v>
      </c>
      <c r="D15638" s="40" t="n">
        <v>140</v>
      </c>
      <c r="E15638" s="41" t="n">
        <v>4034.6216</v>
      </c>
    </row>
    <row r="15639">
      <c r="A15639" s="42">
        <f>_xlfn.XLOOKUP(82132,Trip[shape_id],Trip[shape_id],"Não encontrado")</f>
        <v/>
      </c>
      <c r="B15639" s="43" t="n">
        <v>-23.561658</v>
      </c>
      <c r="C15639" s="43" t="n">
        <v>-46.563017</v>
      </c>
      <c r="D15639" s="43" t="n">
        <v>141</v>
      </c>
      <c r="E15639" s="44" t="n">
        <v>4054.6025</v>
      </c>
    </row>
    <row r="15640">
      <c r="A15640" s="39">
        <f>_xlfn.XLOOKUP(82132,Trip[shape_id],Trip[shape_id],"Não encontrado")</f>
        <v/>
      </c>
      <c r="B15640" s="40" t="n">
        <v>-23.561972</v>
      </c>
      <c r="C15640" s="40" t="n">
        <v>-46.562284</v>
      </c>
      <c r="D15640" s="40" t="n">
        <v>142</v>
      </c>
      <c r="E15640" s="41" t="n">
        <v>4192.5049</v>
      </c>
    </row>
    <row r="15641">
      <c r="A15641" s="42">
        <f>_xlfn.XLOOKUP(82132,Trip[shape_id],Trip[shape_id],"Não encontrado")</f>
        <v/>
      </c>
      <c r="B15641" s="43" t="n">
        <v>-23.562196</v>
      </c>
      <c r="C15641" s="43" t="n">
        <v>-46.561799</v>
      </c>
      <c r="D15641" s="43" t="n">
        <v>143</v>
      </c>
      <c r="E15641" s="44" t="n">
        <v>4192.5049</v>
      </c>
    </row>
    <row r="15642">
      <c r="A15642" s="39">
        <f>_xlfn.XLOOKUP(82132,Trip[shape_id],Trip[shape_id],"Não encontrado")</f>
        <v/>
      </c>
      <c r="B15642" s="40" t="n">
        <v>-23.562471</v>
      </c>
      <c r="C15642" s="40" t="n">
        <v>-46.561177</v>
      </c>
      <c r="D15642" s="40" t="n">
        <v>144</v>
      </c>
      <c r="E15642" s="41" t="n">
        <v>4299.9409</v>
      </c>
    </row>
    <row r="15643">
      <c r="A15643" s="42">
        <f>_xlfn.XLOOKUP(82132,Trip[shape_id],Trip[shape_id],"Não encontrado")</f>
        <v/>
      </c>
      <c r="B15643" s="43" t="n">
        <v>-23.562619</v>
      </c>
      <c r="C15643" s="43" t="n">
        <v>-46.560852</v>
      </c>
      <c r="D15643" s="43" t="n">
        <v>145</v>
      </c>
      <c r="E15643" s="44" t="n">
        <v>4299.9409</v>
      </c>
    </row>
    <row r="15644">
      <c r="A15644" s="39">
        <f>_xlfn.XLOOKUP(82132,Trip[shape_id],Trip[shape_id],"Não encontrado")</f>
        <v/>
      </c>
      <c r="B15644" s="40" t="n">
        <v>-23.562812</v>
      </c>
      <c r="C15644" s="40" t="n">
        <v>-46.56035</v>
      </c>
      <c r="D15644" s="40" t="n">
        <v>146</v>
      </c>
      <c r="E15644" s="41" t="n">
        <v>4355.4702</v>
      </c>
    </row>
    <row r="15645">
      <c r="A15645" s="42">
        <f>_xlfn.XLOOKUP(82132,Trip[shape_id],Trip[shape_id],"Não encontrado")</f>
        <v/>
      </c>
      <c r="B15645" s="43" t="n">
        <v>-23.562851</v>
      </c>
      <c r="C15645" s="43" t="n">
        <v>-46.560175</v>
      </c>
      <c r="D15645" s="43" t="n">
        <v>147</v>
      </c>
      <c r="E15645" s="44" t="n">
        <v>4373.8511</v>
      </c>
    </row>
    <row r="15646">
      <c r="A15646" s="39">
        <f>_xlfn.XLOOKUP(82132,Trip[shape_id],Trip[shape_id],"Não encontrado")</f>
        <v/>
      </c>
      <c r="B15646" s="40" t="n">
        <v>-23.562878</v>
      </c>
      <c r="C15646" s="40" t="n">
        <v>-46.560003</v>
      </c>
      <c r="D15646" s="40" t="n">
        <v>148</v>
      </c>
      <c r="E15646" s="41" t="n">
        <v>4391.6636</v>
      </c>
    </row>
    <row r="15647">
      <c r="A15647" s="42">
        <f>_xlfn.XLOOKUP(82132,Trip[shape_id],Trip[shape_id],"Não encontrado")</f>
        <v/>
      </c>
      <c r="B15647" s="43" t="n">
        <v>-23.562879</v>
      </c>
      <c r="C15647" s="43" t="n">
        <v>-46.559926</v>
      </c>
      <c r="D15647" s="43" t="n">
        <v>149</v>
      </c>
      <c r="E15647" s="44" t="n">
        <v>4399.5249</v>
      </c>
    </row>
    <row r="15648">
      <c r="A15648" s="39">
        <f>_xlfn.XLOOKUP(82132,Trip[shape_id],Trip[shape_id],"Não encontrado")</f>
        <v/>
      </c>
      <c r="B15648" s="40" t="n">
        <v>-23.562878</v>
      </c>
      <c r="C15648" s="40" t="n">
        <v>-46.55966</v>
      </c>
      <c r="D15648" s="40" t="n">
        <v>150</v>
      </c>
      <c r="E15648" s="41" t="n">
        <v>4426.6816</v>
      </c>
    </row>
    <row r="15649">
      <c r="A15649" s="42">
        <f>_xlfn.XLOOKUP(82132,Trip[shape_id],Trip[shape_id],"Não encontrado")</f>
        <v/>
      </c>
      <c r="B15649" s="43" t="n">
        <v>-23.562856</v>
      </c>
      <c r="C15649" s="43" t="n">
        <v>-46.559448</v>
      </c>
      <c r="D15649" s="43" t="n">
        <v>151</v>
      </c>
      <c r="E15649" s="44" t="n">
        <v>4448.4619</v>
      </c>
    </row>
    <row r="15650">
      <c r="A15650" s="39">
        <f>_xlfn.XLOOKUP(82132,Trip[shape_id],Trip[shape_id],"Não encontrado")</f>
        <v/>
      </c>
      <c r="B15650" s="40" t="n">
        <v>-23.562827</v>
      </c>
      <c r="C15650" s="40" t="n">
        <v>-46.559191</v>
      </c>
      <c r="D15650" s="40" t="n">
        <v>152</v>
      </c>
      <c r="E15650" s="41" t="n">
        <v>4474.8955</v>
      </c>
    </row>
    <row r="15651">
      <c r="A15651" s="42">
        <f>_xlfn.XLOOKUP(82132,Trip[shape_id],Trip[shape_id],"Não encontrado")</f>
        <v/>
      </c>
      <c r="B15651" s="43" t="n">
        <v>-23.562783</v>
      </c>
      <c r="C15651" s="43" t="n">
        <v>-46.559005</v>
      </c>
      <c r="D15651" s="43" t="n">
        <v>153</v>
      </c>
      <c r="E15651" s="44" t="n">
        <v>4494.5</v>
      </c>
    </row>
    <row r="15652">
      <c r="A15652" s="39">
        <f>_xlfn.XLOOKUP(82132,Trip[shape_id],Trip[shape_id],"Não encontrado")</f>
        <v/>
      </c>
      <c r="B15652" s="40" t="n">
        <v>-23.562652</v>
      </c>
      <c r="C15652" s="40" t="n">
        <v>-46.558394</v>
      </c>
      <c r="D15652" s="40" t="n">
        <v>154</v>
      </c>
      <c r="E15652" s="41" t="n">
        <v>4558.5435</v>
      </c>
    </row>
    <row r="15653">
      <c r="A15653" s="42">
        <f>_xlfn.XLOOKUP(82132,Trip[shape_id],Trip[shape_id],"Não encontrado")</f>
        <v/>
      </c>
      <c r="B15653" s="43" t="n">
        <v>-23.562564</v>
      </c>
      <c r="C15653" s="43" t="n">
        <v>-46.558066</v>
      </c>
      <c r="D15653" s="43" t="n">
        <v>155</v>
      </c>
      <c r="E15653" s="44" t="n">
        <v>4608.2729</v>
      </c>
    </row>
    <row r="15654">
      <c r="A15654" s="39">
        <f>_xlfn.XLOOKUP(82132,Trip[shape_id],Trip[shape_id],"Não encontrado")</f>
        <v/>
      </c>
      <c r="B15654" s="40" t="n">
        <v>-23.562514</v>
      </c>
      <c r="C15654" s="40" t="n">
        <v>-46.557931</v>
      </c>
      <c r="D15654" s="40" t="n">
        <v>156</v>
      </c>
      <c r="E15654" s="41" t="n">
        <v>4608.2729</v>
      </c>
    </row>
    <row r="15655">
      <c r="A15655" s="42">
        <f>_xlfn.XLOOKUP(82132,Trip[shape_id],Trip[shape_id],"Não encontrado")</f>
        <v/>
      </c>
      <c r="B15655" s="43" t="n">
        <v>-23.56238</v>
      </c>
      <c r="C15655" s="43" t="n">
        <v>-46.557333</v>
      </c>
      <c r="D15655" s="43" t="n">
        <v>157</v>
      </c>
      <c r="E15655" s="44" t="n">
        <v>4671.1025</v>
      </c>
    </row>
    <row r="15656">
      <c r="A15656" s="39">
        <f>_xlfn.XLOOKUP(82132,Trip[shape_id],Trip[shape_id],"Não encontrado")</f>
        <v/>
      </c>
      <c r="B15656" s="40" t="n">
        <v>-23.562326</v>
      </c>
      <c r="C15656" s="40" t="n">
        <v>-46.557103</v>
      </c>
      <c r="D15656" s="40" t="n">
        <v>158</v>
      </c>
      <c r="E15656" s="41" t="n">
        <v>4695.3335</v>
      </c>
    </row>
    <row r="15657">
      <c r="A15657" s="42">
        <f>_xlfn.XLOOKUP(82132,Trip[shape_id],Trip[shape_id],"Não encontrado")</f>
        <v/>
      </c>
      <c r="B15657" s="43" t="n">
        <v>-23.562262</v>
      </c>
      <c r="C15657" s="43" t="n">
        <v>-46.556791</v>
      </c>
      <c r="D15657" s="43" t="n">
        <v>159</v>
      </c>
      <c r="E15657" s="44" t="n">
        <v>4727.9658</v>
      </c>
    </row>
    <row r="15658">
      <c r="A15658" s="39">
        <f>_xlfn.XLOOKUP(82132,Trip[shape_id],Trip[shape_id],"Não encontrado")</f>
        <v/>
      </c>
      <c r="B15658" s="40" t="n">
        <v>-23.56218</v>
      </c>
      <c r="C15658" s="40" t="n">
        <v>-46.556456</v>
      </c>
      <c r="D15658" s="40" t="n">
        <v>160</v>
      </c>
      <c r="E15658" s="41" t="n">
        <v>4763.3521</v>
      </c>
    </row>
    <row r="15659">
      <c r="A15659" s="42">
        <f>_xlfn.XLOOKUP(82132,Trip[shape_id],Trip[shape_id],"Não encontrado")</f>
        <v/>
      </c>
      <c r="B15659" s="43" t="n">
        <v>-23.562144</v>
      </c>
      <c r="C15659" s="43" t="n">
        <v>-46.55627</v>
      </c>
      <c r="D15659" s="43" t="n">
        <v>161</v>
      </c>
      <c r="E15659" s="44" t="n">
        <v>4794.7251</v>
      </c>
    </row>
    <row r="15660">
      <c r="A15660" s="39">
        <f>_xlfn.XLOOKUP(82132,Trip[shape_id],Trip[shape_id],"Não encontrado")</f>
        <v/>
      </c>
      <c r="B15660" s="40" t="n">
        <v>-23.562137</v>
      </c>
      <c r="C15660" s="40" t="n">
        <v>-46.556153</v>
      </c>
      <c r="D15660" s="40" t="n">
        <v>162</v>
      </c>
      <c r="E15660" s="41" t="n">
        <v>4794.7251</v>
      </c>
    </row>
    <row r="15661">
      <c r="A15661" s="42">
        <f>_xlfn.XLOOKUP(82132,Trip[shape_id],Trip[shape_id],"Não encontrado")</f>
        <v/>
      </c>
      <c r="B15661" s="43" t="n">
        <v>-23.562141</v>
      </c>
      <c r="C15661" s="43" t="n">
        <v>-46.556017</v>
      </c>
      <c r="D15661" s="43" t="n">
        <v>163</v>
      </c>
      <c r="E15661" s="44" t="n">
        <v>4827.2148</v>
      </c>
    </row>
    <row r="15662">
      <c r="A15662" s="39">
        <f>_xlfn.XLOOKUP(82132,Trip[shape_id],Trip[shape_id],"Não encontrado")</f>
        <v/>
      </c>
      <c r="B15662" s="40" t="n">
        <v>-23.56216</v>
      </c>
      <c r="C15662" s="40" t="n">
        <v>-46.555836</v>
      </c>
      <c r="D15662" s="40" t="n">
        <v>164</v>
      </c>
      <c r="E15662" s="41" t="n">
        <v>4839.1895</v>
      </c>
    </row>
    <row r="15663">
      <c r="A15663" s="42">
        <f>_xlfn.XLOOKUP(82132,Trip[shape_id],Trip[shape_id],"Não encontrado")</f>
        <v/>
      </c>
      <c r="B15663" s="43" t="n">
        <v>-23.562176</v>
      </c>
      <c r="C15663" s="43" t="n">
        <v>-46.55572</v>
      </c>
      <c r="D15663" s="43" t="n">
        <v>165</v>
      </c>
      <c r="E15663" s="44" t="n">
        <v>4856.9492</v>
      </c>
    </row>
    <row r="15664">
      <c r="A15664" s="39">
        <f>_xlfn.XLOOKUP(82132,Trip[shape_id],Trip[shape_id],"Não encontrado")</f>
        <v/>
      </c>
      <c r="B15664" s="40" t="n">
        <v>-23.562214</v>
      </c>
      <c r="C15664" s="40" t="n">
        <v>-46.555551</v>
      </c>
      <c r="D15664" s="40" t="n">
        <v>166</v>
      </c>
      <c r="E15664" s="41" t="n">
        <v>4856.9492</v>
      </c>
    </row>
    <row r="15665">
      <c r="A15665" s="42">
        <f>_xlfn.XLOOKUP(82132,Trip[shape_id],Trip[shape_id],"Não encontrado")</f>
        <v/>
      </c>
      <c r="B15665" s="43" t="n">
        <v>-23.562285</v>
      </c>
      <c r="C15665" s="43" t="n">
        <v>-46.555364</v>
      </c>
      <c r="D15665" s="43" t="n">
        <v>167</v>
      </c>
      <c r="E15665" s="44" t="n">
        <v>4898.2441</v>
      </c>
    </row>
    <row r="15666">
      <c r="A15666" s="39">
        <f>_xlfn.XLOOKUP(82132,Trip[shape_id],Trip[shape_id],"Não encontrado")</f>
        <v/>
      </c>
      <c r="B15666" s="40" t="n">
        <v>-23.56237</v>
      </c>
      <c r="C15666" s="40" t="n">
        <v>-46.555184</v>
      </c>
      <c r="D15666" s="40" t="n">
        <v>168</v>
      </c>
      <c r="E15666" s="41" t="n">
        <v>4898.2441</v>
      </c>
    </row>
    <row r="15667">
      <c r="A15667" s="42">
        <f>_xlfn.XLOOKUP(82132,Trip[shape_id],Trip[shape_id],"Não encontrado")</f>
        <v/>
      </c>
      <c r="B15667" s="43" t="n">
        <v>-23.5625</v>
      </c>
      <c r="C15667" s="43" t="n">
        <v>-46.554956</v>
      </c>
      <c r="D15667" s="43" t="n">
        <v>169</v>
      </c>
      <c r="E15667" s="44" t="n">
        <v>4925.6143</v>
      </c>
    </row>
    <row r="15668">
      <c r="A15668" s="39">
        <f>_xlfn.XLOOKUP(82132,Trip[shape_id],Trip[shape_id],"Não encontrado")</f>
        <v/>
      </c>
      <c r="B15668" s="40" t="n">
        <v>-23.562672</v>
      </c>
      <c r="C15668" s="40" t="n">
        <v>-46.554743</v>
      </c>
      <c r="D15668" s="40" t="n">
        <v>170</v>
      </c>
      <c r="E15668" s="41" t="n">
        <v>4954.5234</v>
      </c>
    </row>
    <row r="15669">
      <c r="A15669" s="42">
        <f>_xlfn.XLOOKUP(82132,Trip[shape_id],Trip[shape_id],"Não encontrado")</f>
        <v/>
      </c>
      <c r="B15669" s="43" t="n">
        <v>-23.562841</v>
      </c>
      <c r="C15669" s="43" t="n">
        <v>-46.554526</v>
      </c>
      <c r="D15669" s="43" t="n">
        <v>171</v>
      </c>
      <c r="E15669" s="44" t="n">
        <v>5005.8755</v>
      </c>
    </row>
    <row r="15670">
      <c r="A15670" s="39">
        <f>_xlfn.XLOOKUP(82132,Trip[shape_id],Trip[shape_id],"Não encontrado")</f>
        <v/>
      </c>
      <c r="B15670" s="40" t="n">
        <v>-23.562967</v>
      </c>
      <c r="C15670" s="40" t="n">
        <v>-46.554355</v>
      </c>
      <c r="D15670" s="40" t="n">
        <v>172</v>
      </c>
      <c r="E15670" s="41" t="n">
        <v>5005.8755</v>
      </c>
    </row>
    <row r="15671">
      <c r="A15671" s="42">
        <f>_xlfn.XLOOKUP(82132,Trip[shape_id],Trip[shape_id],"Não encontrado")</f>
        <v/>
      </c>
      <c r="B15671" s="43" t="n">
        <v>-23.563309</v>
      </c>
      <c r="C15671" s="43" t="n">
        <v>-46.55393</v>
      </c>
      <c r="D15671" s="43" t="n">
        <v>173</v>
      </c>
      <c r="E15671" s="44" t="n">
        <v>5076.1768</v>
      </c>
    </row>
    <row r="15672">
      <c r="A15672" s="39">
        <f>_xlfn.XLOOKUP(82132,Trip[shape_id],Trip[shape_id],"Não encontrado")</f>
        <v/>
      </c>
      <c r="B15672" s="40" t="n">
        <v>-23.563372</v>
      </c>
      <c r="C15672" s="40" t="n">
        <v>-46.553826</v>
      </c>
      <c r="D15672" s="40" t="n">
        <v>174</v>
      </c>
      <c r="E15672" s="41" t="n">
        <v>5076.1768</v>
      </c>
    </row>
    <row r="15673">
      <c r="A15673" s="42">
        <f>_xlfn.XLOOKUP(82132,Trip[shape_id],Trip[shape_id],"Não encontrado")</f>
        <v/>
      </c>
      <c r="B15673" s="43" t="n">
        <v>-23.563458</v>
      </c>
      <c r="C15673" s="43" t="n">
        <v>-46.553608</v>
      </c>
      <c r="D15673" s="43" t="n">
        <v>175</v>
      </c>
      <c r="E15673" s="44" t="n">
        <v>5121.0723</v>
      </c>
    </row>
    <row r="15674">
      <c r="A15674" s="39">
        <f>_xlfn.XLOOKUP(82132,Trip[shape_id],Trip[shape_id],"Não encontrado")</f>
        <v/>
      </c>
      <c r="B15674" s="40" t="n">
        <v>-23.563488</v>
      </c>
      <c r="C15674" s="40" t="n">
        <v>-46.553408</v>
      </c>
      <c r="D15674" s="40" t="n">
        <v>176</v>
      </c>
      <c r="E15674" s="41" t="n">
        <v>5143.0396</v>
      </c>
    </row>
    <row r="15675">
      <c r="A15675" s="42">
        <f>_xlfn.XLOOKUP(82132,Trip[shape_id],Trip[shape_id],"Não encontrado")</f>
        <v/>
      </c>
      <c r="B15675" s="43" t="n">
        <v>-23.563496</v>
      </c>
      <c r="C15675" s="43" t="n">
        <v>-46.553193</v>
      </c>
      <c r="D15675" s="43" t="n">
        <v>177</v>
      </c>
      <c r="E15675" s="44" t="n">
        <v>5162.5186</v>
      </c>
    </row>
    <row r="15676">
      <c r="A15676" s="39">
        <f>_xlfn.XLOOKUP(82132,Trip[shape_id],Trip[shape_id],"Não encontrado")</f>
        <v/>
      </c>
      <c r="B15676" s="40" t="n">
        <v>-23.563466</v>
      </c>
      <c r="C15676" s="40" t="n">
        <v>-46.553005</v>
      </c>
      <c r="D15676" s="40" t="n">
        <v>178</v>
      </c>
      <c r="E15676" s="41" t="n">
        <v>5180.6826</v>
      </c>
    </row>
    <row r="15677">
      <c r="A15677" s="42">
        <f>_xlfn.XLOOKUP(82132,Trip[shape_id],Trip[shape_id],"Não encontrado")</f>
        <v/>
      </c>
      <c r="B15677" s="43" t="n">
        <v>-23.563412</v>
      </c>
      <c r="C15677" s="43" t="n">
        <v>-46.552837</v>
      </c>
      <c r="D15677" s="43" t="n">
        <v>179</v>
      </c>
      <c r="E15677" s="44" t="n">
        <v>5193.5337</v>
      </c>
    </row>
    <row r="15678">
      <c r="A15678" s="39">
        <f>_xlfn.XLOOKUP(82132,Trip[shape_id],Trip[shape_id],"Não encontrado")</f>
        <v/>
      </c>
      <c r="B15678" s="40" t="n">
        <v>-23.563348</v>
      </c>
      <c r="C15678" s="40" t="n">
        <v>-46.552732</v>
      </c>
      <c r="D15678" s="40" t="n">
        <v>180</v>
      </c>
      <c r="E15678" s="41" t="n">
        <v>5202.2925</v>
      </c>
    </row>
    <row r="15679">
      <c r="A15679" s="42">
        <f>_xlfn.XLOOKUP(82132,Trip[shape_id],Trip[shape_id],"Não encontrado")</f>
        <v/>
      </c>
      <c r="B15679" s="43" t="n">
        <v>-23.563301</v>
      </c>
      <c r="C15679" s="43" t="n">
        <v>-46.552663</v>
      </c>
      <c r="D15679" s="43" t="n">
        <v>181</v>
      </c>
      <c r="E15679" s="44" t="n">
        <v>5216.5566</v>
      </c>
    </row>
    <row r="15680">
      <c r="A15680" s="39">
        <f>_xlfn.XLOOKUP(82132,Trip[shape_id],Trip[shape_id],"Não encontrado")</f>
        <v/>
      </c>
      <c r="B15680" s="40" t="n">
        <v>-23.563224</v>
      </c>
      <c r="C15680" s="40" t="n">
        <v>-46.552551</v>
      </c>
      <c r="D15680" s="40" t="n">
        <v>182</v>
      </c>
      <c r="E15680" s="41" t="n">
        <v>5237.4463</v>
      </c>
    </row>
    <row r="15681">
      <c r="A15681" s="42">
        <f>_xlfn.XLOOKUP(82132,Trip[shape_id],Trip[shape_id],"Não encontrado")</f>
        <v/>
      </c>
      <c r="B15681" s="43" t="n">
        <v>-23.56309</v>
      </c>
      <c r="C15681" s="43" t="n">
        <v>-46.552407</v>
      </c>
      <c r="D15681" s="43" t="n">
        <v>183</v>
      </c>
      <c r="E15681" s="44" t="n">
        <v>5265.9097</v>
      </c>
    </row>
    <row r="15682">
      <c r="A15682" s="39">
        <f>_xlfn.XLOOKUP(82132,Trip[shape_id],Trip[shape_id],"Não encontrado")</f>
        <v/>
      </c>
      <c r="B15682" s="40" t="n">
        <v>-23.562877</v>
      </c>
      <c r="C15682" s="40" t="n">
        <v>-46.552251</v>
      </c>
      <c r="D15682" s="40" t="n">
        <v>184</v>
      </c>
      <c r="E15682" s="41" t="n">
        <v>5265.9097</v>
      </c>
    </row>
    <row r="15683">
      <c r="A15683" s="42">
        <f>_xlfn.XLOOKUP(82132,Trip[shape_id],Trip[shape_id],"Não encontrado")</f>
        <v/>
      </c>
      <c r="B15683" s="43" t="n">
        <v>-23.562783</v>
      </c>
      <c r="C15683" s="43" t="n">
        <v>-46.55218</v>
      </c>
      <c r="D15683" s="43" t="n">
        <v>185</v>
      </c>
      <c r="E15683" s="44" t="n">
        <v>5288.6333</v>
      </c>
    </row>
    <row r="15684">
      <c r="A15684" s="39">
        <f>_xlfn.XLOOKUP(82132,Trip[shape_id],Trip[shape_id],"Não encontrado")</f>
        <v/>
      </c>
      <c r="B15684" s="40" t="n">
        <v>-23.562715</v>
      </c>
      <c r="C15684" s="40" t="n">
        <v>-46.552115</v>
      </c>
      <c r="D15684" s="40" t="n">
        <v>186</v>
      </c>
      <c r="E15684" s="41" t="n">
        <v>5304.4434</v>
      </c>
    </row>
    <row r="15685">
      <c r="A15685" s="42">
        <f>_xlfn.XLOOKUP(82132,Trip[shape_id],Trip[shape_id],"Não encontrado")</f>
        <v/>
      </c>
      <c r="B15685" s="43" t="n">
        <v>-23.562606</v>
      </c>
      <c r="C15685" s="43" t="n">
        <v>-46.552015</v>
      </c>
      <c r="D15685" s="43" t="n">
        <v>187</v>
      </c>
      <c r="E15685" s="44" t="n">
        <v>5323.3667</v>
      </c>
    </row>
    <row r="15686">
      <c r="A15686" s="39">
        <f>_xlfn.XLOOKUP(82132,Trip[shape_id],Trip[shape_id],"Não encontrado")</f>
        <v/>
      </c>
      <c r="B15686" s="40" t="n">
        <v>-23.562479</v>
      </c>
      <c r="C15686" s="40" t="n">
        <v>-46.551891</v>
      </c>
      <c r="D15686" s="40" t="n">
        <v>188</v>
      </c>
      <c r="E15686" s="41" t="n">
        <v>5338.0093</v>
      </c>
    </row>
    <row r="15687">
      <c r="A15687" s="42">
        <f>_xlfn.XLOOKUP(82132,Trip[shape_id],Trip[shape_id],"Não encontrado")</f>
        <v/>
      </c>
      <c r="B15687" s="43" t="n">
        <v>-23.562411</v>
      </c>
      <c r="C15687" s="43" t="n">
        <v>-46.551768</v>
      </c>
      <c r="D15687" s="43" t="n">
        <v>189</v>
      </c>
      <c r="E15687" s="44" t="n">
        <v>5349.8833</v>
      </c>
    </row>
    <row r="15688">
      <c r="A15688" s="39">
        <f>_xlfn.XLOOKUP(82132,Trip[shape_id],Trip[shape_id],"Não encontrado")</f>
        <v/>
      </c>
      <c r="B15688" s="40" t="n">
        <v>-23.562363</v>
      </c>
      <c r="C15688" s="40" t="n">
        <v>-46.551664</v>
      </c>
      <c r="D15688" s="40" t="n">
        <v>190</v>
      </c>
      <c r="E15688" s="41" t="n">
        <v>5349.8833</v>
      </c>
    </row>
    <row r="15689">
      <c r="A15689" s="42">
        <f>_xlfn.XLOOKUP(82132,Trip[shape_id],Trip[shape_id],"Não encontrado")</f>
        <v/>
      </c>
      <c r="B15689" s="43" t="n">
        <v>-23.562325</v>
      </c>
      <c r="C15689" s="43" t="n">
        <v>-46.551401</v>
      </c>
      <c r="D15689" s="43" t="n">
        <v>191</v>
      </c>
      <c r="E15689" s="44" t="n">
        <v>5413.5762</v>
      </c>
    </row>
    <row r="15690">
      <c r="A15690" s="39">
        <f>_xlfn.XLOOKUP(82132,Trip[shape_id],Trip[shape_id],"Não encontrado")</f>
        <v/>
      </c>
      <c r="B15690" s="40" t="n">
        <v>-23.562305</v>
      </c>
      <c r="C15690" s="40" t="n">
        <v>-46.551044</v>
      </c>
      <c r="D15690" s="40" t="n">
        <v>192</v>
      </c>
      <c r="E15690" s="41" t="n">
        <v>5413.5762</v>
      </c>
    </row>
    <row r="15691">
      <c r="A15691" s="42">
        <f>_xlfn.XLOOKUP(82132,Trip[shape_id],Trip[shape_id],"Não encontrado")</f>
        <v/>
      </c>
      <c r="B15691" s="43" t="n">
        <v>-23.562367</v>
      </c>
      <c r="C15691" s="43" t="n">
        <v>-46.550756</v>
      </c>
      <c r="D15691" s="43" t="n">
        <v>193</v>
      </c>
      <c r="E15691" s="44" t="n">
        <v>5443.77</v>
      </c>
    </row>
    <row r="15692">
      <c r="A15692" s="39">
        <f>_xlfn.XLOOKUP(82132,Trip[shape_id],Trip[shape_id],"Não encontrado")</f>
        <v/>
      </c>
      <c r="B15692" s="40" t="n">
        <v>-23.562414</v>
      </c>
      <c r="C15692" s="40" t="n">
        <v>-46.550573</v>
      </c>
      <c r="D15692" s="40" t="n">
        <v>194</v>
      </c>
      <c r="E15692" s="41" t="n">
        <v>5485.0474</v>
      </c>
    </row>
    <row r="15693">
      <c r="A15693" s="42">
        <f>_xlfn.XLOOKUP(82132,Trip[shape_id],Trip[shape_id],"Não encontrado")</f>
        <v/>
      </c>
      <c r="B15693" s="43" t="n">
        <v>-23.562498</v>
      </c>
      <c r="C15693" s="43" t="n">
        <v>-46.550379</v>
      </c>
      <c r="D15693" s="43" t="n">
        <v>195</v>
      </c>
      <c r="E15693" s="44" t="n">
        <v>5503.334</v>
      </c>
    </row>
    <row r="15694">
      <c r="A15694" s="39">
        <f>_xlfn.XLOOKUP(82132,Trip[shape_id],Trip[shape_id],"Não encontrado")</f>
        <v/>
      </c>
      <c r="B15694" s="40" t="n">
        <v>-23.562591</v>
      </c>
      <c r="C15694" s="40" t="n">
        <v>-46.550231</v>
      </c>
      <c r="D15694" s="40" t="n">
        <v>196</v>
      </c>
      <c r="E15694" s="41" t="n">
        <v>5522.4775</v>
      </c>
    </row>
    <row r="15695">
      <c r="A15695" s="42">
        <f>_xlfn.XLOOKUP(82132,Trip[shape_id],Trip[shape_id],"Não encontrado")</f>
        <v/>
      </c>
      <c r="B15695" s="43" t="n">
        <v>-23.56271</v>
      </c>
      <c r="C15695" s="43" t="n">
        <v>-46.550095</v>
      </c>
      <c r="D15695" s="43" t="n">
        <v>197</v>
      </c>
      <c r="E15695" s="44" t="n">
        <v>5594.1318</v>
      </c>
    </row>
    <row r="15696">
      <c r="A15696" s="39">
        <f>_xlfn.XLOOKUP(82132,Trip[shape_id],Trip[shape_id],"Não encontrado")</f>
        <v/>
      </c>
      <c r="B15696" s="40" t="n">
        <v>-23.563175</v>
      </c>
      <c r="C15696" s="40" t="n">
        <v>-46.549607</v>
      </c>
      <c r="D15696" s="40" t="n">
        <v>198</v>
      </c>
      <c r="E15696" s="41" t="n">
        <v>5594.1318</v>
      </c>
    </row>
    <row r="15697">
      <c r="A15697" s="42">
        <f>_xlfn.XLOOKUP(82132,Trip[shape_id],Trip[shape_id],"Não encontrado")</f>
        <v/>
      </c>
      <c r="B15697" s="43" t="n">
        <v>-23.563414</v>
      </c>
      <c r="C15697" s="43" t="n">
        <v>-46.54937</v>
      </c>
      <c r="D15697" s="43" t="n">
        <v>199</v>
      </c>
      <c r="E15697" s="44" t="n">
        <v>5670.1548</v>
      </c>
    </row>
    <row r="15698">
      <c r="A15698" s="39">
        <f>_xlfn.XLOOKUP(82132,Trip[shape_id],Trip[shape_id],"Não encontrado")</f>
        <v/>
      </c>
      <c r="B15698" s="40" t="n">
        <v>-23.563682</v>
      </c>
      <c r="C15698" s="40" t="n">
        <v>-46.549105</v>
      </c>
      <c r="D15698" s="40" t="n">
        <v>200</v>
      </c>
      <c r="E15698" s="41" t="n">
        <v>5670.1548</v>
      </c>
    </row>
    <row r="15699">
      <c r="A15699" s="42">
        <f>_xlfn.XLOOKUP(82132,Trip[shape_id],Trip[shape_id],"Não encontrado")</f>
        <v/>
      </c>
      <c r="B15699" s="43" t="n">
        <v>-23.5638</v>
      </c>
      <c r="C15699" s="43" t="n">
        <v>-46.548977</v>
      </c>
      <c r="D15699" s="43" t="n">
        <v>201</v>
      </c>
      <c r="E15699" s="44" t="n">
        <v>5716.436</v>
      </c>
    </row>
    <row r="15700">
      <c r="A15700" s="39">
        <f>_xlfn.XLOOKUP(82132,Trip[shape_id],Trip[shape_id],"Não encontrado")</f>
        <v/>
      </c>
      <c r="B15700" s="40" t="n">
        <v>-23.563962</v>
      </c>
      <c r="C15700" s="40" t="n">
        <v>-46.548769</v>
      </c>
      <c r="D15700" s="40" t="n">
        <v>202</v>
      </c>
      <c r="E15700" s="41" t="n">
        <v>5744.4214</v>
      </c>
    </row>
    <row r="15701">
      <c r="A15701" s="42">
        <f>_xlfn.XLOOKUP(82132,Trip[shape_id],Trip[shape_id],"Não encontrado")</f>
        <v/>
      </c>
      <c r="B15701" s="43" t="n">
        <v>-23.564105</v>
      </c>
      <c r="C15701" s="43" t="n">
        <v>-46.548543</v>
      </c>
      <c r="D15701" s="43" t="n">
        <v>203</v>
      </c>
      <c r="E15701" s="44" t="n">
        <v>5774.0571</v>
      </c>
    </row>
    <row r="15702">
      <c r="A15702" s="39">
        <f>_xlfn.XLOOKUP(82132,Trip[shape_id],Trip[shape_id],"Não encontrado")</f>
        <v/>
      </c>
      <c r="B15702" s="40" t="n">
        <v>-23.564224</v>
      </c>
      <c r="C15702" s="40" t="n">
        <v>-46.548283</v>
      </c>
      <c r="D15702" s="40" t="n">
        <v>204</v>
      </c>
      <c r="E15702" s="41" t="n">
        <v>5779.0659</v>
      </c>
    </row>
    <row r="15703">
      <c r="A15703" s="42">
        <f>_xlfn.XLOOKUP(82132,Trip[shape_id],Trip[shape_id],"Não encontrado")</f>
        <v/>
      </c>
      <c r="B15703" s="43" t="n">
        <v>-23.564242</v>
      </c>
      <c r="C15703" s="43" t="n">
        <v>-46.548238</v>
      </c>
      <c r="D15703" s="43" t="n">
        <v>205</v>
      </c>
      <c r="E15703" s="44" t="n">
        <v>5804.7803</v>
      </c>
    </row>
    <row r="15704">
      <c r="A15704" s="39">
        <f>_xlfn.XLOOKUP(82132,Trip[shape_id],Trip[shape_id],"Não encontrado")</f>
        <v/>
      </c>
      <c r="B15704" s="40" t="n">
        <v>-23.564318</v>
      </c>
      <c r="C15704" s="40" t="n">
        <v>-46.548</v>
      </c>
      <c r="D15704" s="40" t="n">
        <v>206</v>
      </c>
      <c r="E15704" s="41" t="n">
        <v>5825.3164</v>
      </c>
    </row>
    <row r="15705">
      <c r="A15705" s="42">
        <f>_xlfn.XLOOKUP(82132,Trip[shape_id],Trip[shape_id],"Não encontrado")</f>
        <v/>
      </c>
      <c r="B15705" s="43" t="n">
        <v>-23.564367</v>
      </c>
      <c r="C15705" s="43" t="n">
        <v>-46.547806</v>
      </c>
      <c r="D15705" s="43" t="n">
        <v>207</v>
      </c>
      <c r="E15705" s="44" t="n">
        <v>5825.3164</v>
      </c>
    </row>
    <row r="15706">
      <c r="A15706" s="39">
        <f>_xlfn.XLOOKUP(82132,Trip[shape_id],Trip[shape_id],"Não encontrado")</f>
        <v/>
      </c>
      <c r="B15706" s="40" t="n">
        <v>-23.564459</v>
      </c>
      <c r="C15706" s="40" t="n">
        <v>-46.5474</v>
      </c>
      <c r="D15706" s="40" t="n">
        <v>208</v>
      </c>
      <c r="E15706" s="41" t="n">
        <v>5896.3594</v>
      </c>
    </row>
    <row r="15707">
      <c r="A15707" s="42">
        <f>_xlfn.XLOOKUP(82132,Trip[shape_id],Trip[shape_id],"Não encontrado")</f>
        <v/>
      </c>
      <c r="B15707" s="43" t="n">
        <v>-23.564511</v>
      </c>
      <c r="C15707" s="43" t="n">
        <v>-46.547128</v>
      </c>
      <c r="D15707" s="43" t="n">
        <v>209</v>
      </c>
      <c r="E15707" s="44" t="n">
        <v>5896.3594</v>
      </c>
    </row>
    <row r="15708">
      <c r="A15708" s="39">
        <f>_xlfn.XLOOKUP(82132,Trip[shape_id],Trip[shape_id],"Não encontrado")</f>
        <v/>
      </c>
      <c r="B15708" s="40" t="n">
        <v>-23.564632</v>
      </c>
      <c r="C15708" s="40" t="n">
        <v>-46.546513</v>
      </c>
      <c r="D15708" s="40" t="n">
        <v>210</v>
      </c>
      <c r="E15708" s="41" t="n">
        <v>5974.9878</v>
      </c>
    </row>
    <row r="15709">
      <c r="A15709" s="42">
        <f>_xlfn.XLOOKUP(82132,Trip[shape_id],Trip[shape_id],"Não encontrado")</f>
        <v/>
      </c>
      <c r="B15709" s="43" t="n">
        <v>-23.564664</v>
      </c>
      <c r="C15709" s="43" t="n">
        <v>-46.546376</v>
      </c>
      <c r="D15709" s="43" t="n">
        <v>211</v>
      </c>
      <c r="E15709" s="44" t="n">
        <v>5994.9165</v>
      </c>
    </row>
    <row r="15710">
      <c r="A15710" s="39">
        <f>_xlfn.XLOOKUP(82132,Trip[shape_id],Trip[shape_id],"Não encontrado")</f>
        <v/>
      </c>
      <c r="B15710" s="40" t="n">
        <v>-23.564709</v>
      </c>
      <c r="C15710" s="40" t="n">
        <v>-46.546187</v>
      </c>
      <c r="D15710" s="40" t="n">
        <v>212</v>
      </c>
      <c r="E15710" s="41" t="n">
        <v>6011.5229</v>
      </c>
    </row>
    <row r="15711">
      <c r="A15711" s="42">
        <f>_xlfn.XLOOKUP(82132,Trip[shape_id],Trip[shape_id],"Não encontrado")</f>
        <v/>
      </c>
      <c r="B15711" s="43" t="n">
        <v>-23.564767</v>
      </c>
      <c r="C15711" s="43" t="n">
        <v>-46.546037</v>
      </c>
      <c r="D15711" s="43" t="n">
        <v>213</v>
      </c>
      <c r="E15711" s="44" t="n">
        <v>6011.5229</v>
      </c>
    </row>
    <row r="15712">
      <c r="A15712" s="39">
        <f>_xlfn.XLOOKUP(82132,Trip[shape_id],Trip[shape_id],"Não encontrado")</f>
        <v/>
      </c>
      <c r="B15712" s="40" t="n">
        <v>-23.565066</v>
      </c>
      <c r="C15712" s="40" t="n">
        <v>-46.545558</v>
      </c>
      <c r="D15712" s="40" t="n">
        <v>214</v>
      </c>
      <c r="E15712" s="41" t="n">
        <v>6082.2822</v>
      </c>
    </row>
    <row r="15713">
      <c r="A15713" s="42">
        <f>_xlfn.XLOOKUP(82132,Trip[shape_id],Trip[shape_id],"Não encontrado")</f>
        <v/>
      </c>
      <c r="B15713" s="43" t="n">
        <v>-23.565129</v>
      </c>
      <c r="C15713" s="43" t="n">
        <v>-46.545466</v>
      </c>
      <c r="D15713" s="43" t="n">
        <v>215</v>
      </c>
      <c r="E15713" s="44" t="n">
        <v>6082.2822</v>
      </c>
    </row>
    <row r="15714">
      <c r="A15714" s="39">
        <f>_xlfn.XLOOKUP(82132,Trip[shape_id],Trip[shape_id],"Não encontrado")</f>
        <v/>
      </c>
      <c r="B15714" s="40" t="n">
        <v>-23.56529</v>
      </c>
      <c r="C15714" s="40" t="n">
        <v>-46.545294</v>
      </c>
      <c r="D15714" s="40" t="n">
        <v>216</v>
      </c>
      <c r="E15714" s="41" t="n">
        <v>6107.3081</v>
      </c>
    </row>
    <row r="15715">
      <c r="A15715" s="42">
        <f>_xlfn.XLOOKUP(82132,Trip[shape_id],Trip[shape_id],"Não encontrado")</f>
        <v/>
      </c>
      <c r="B15715" s="43" t="n">
        <v>-23.565479</v>
      </c>
      <c r="C15715" s="43" t="n">
        <v>-46.545116</v>
      </c>
      <c r="D15715" s="43" t="n">
        <v>217</v>
      </c>
      <c r="E15715" s="44" t="n">
        <v>6135.0278</v>
      </c>
    </row>
    <row r="15716">
      <c r="A15716" s="39">
        <f>_xlfn.XLOOKUP(82132,Trip[shape_id],Trip[shape_id],"Não encontrado")</f>
        <v/>
      </c>
      <c r="B15716" s="40" t="n">
        <v>-23.565745</v>
      </c>
      <c r="C15716" s="40" t="n">
        <v>-46.544917</v>
      </c>
      <c r="D15716" s="40" t="n">
        <v>218</v>
      </c>
      <c r="E15716" s="41" t="n">
        <v>6170.814</v>
      </c>
    </row>
    <row r="15717">
      <c r="A15717" s="42">
        <f>_xlfn.XLOOKUP(82132,Trip[shape_id],Trip[shape_id],"Não encontrado")</f>
        <v/>
      </c>
      <c r="B15717" s="43" t="n">
        <v>-23.56598</v>
      </c>
      <c r="C15717" s="43" t="n">
        <v>-46.544726</v>
      </c>
      <c r="D15717" s="43" t="n">
        <v>219</v>
      </c>
      <c r="E15717" s="44" t="n">
        <v>6203.335</v>
      </c>
    </row>
    <row r="15718">
      <c r="A15718" s="39">
        <f>_xlfn.XLOOKUP(82132,Trip[shape_id],Trip[shape_id],"Não encontrado")</f>
        <v/>
      </c>
      <c r="B15718" s="40" t="n">
        <v>-23.566871</v>
      </c>
      <c r="C15718" s="40" t="n">
        <v>-46.543981</v>
      </c>
      <c r="D15718" s="40" t="n">
        <v>220</v>
      </c>
      <c r="E15718" s="41" t="n">
        <v>6327.9238</v>
      </c>
    </row>
    <row r="15719">
      <c r="A15719" s="42">
        <f>_xlfn.XLOOKUP(82132,Trip[shape_id],Trip[shape_id],"Não encontrado")</f>
        <v/>
      </c>
      <c r="B15719" s="43" t="n">
        <v>-23.56695</v>
      </c>
      <c r="C15719" s="43" t="n">
        <v>-46.543871</v>
      </c>
      <c r="D15719" s="43" t="n">
        <v>221</v>
      </c>
      <c r="E15719" s="44" t="n">
        <v>6355.228</v>
      </c>
    </row>
    <row r="15720">
      <c r="A15720" s="39">
        <f>_xlfn.XLOOKUP(82132,Trip[shape_id],Trip[shape_id],"Não encontrado")</f>
        <v/>
      </c>
      <c r="B15720" s="40" t="n">
        <v>-23.567027</v>
      </c>
      <c r="C15720" s="40" t="n">
        <v>-46.543774</v>
      </c>
      <c r="D15720" s="40" t="n">
        <v>222</v>
      </c>
      <c r="E15720" s="41" t="n">
        <v>6364.8633</v>
      </c>
    </row>
    <row r="15721">
      <c r="A15721" s="42">
        <f>_xlfn.XLOOKUP(82132,Trip[shape_id],Trip[shape_id],"Não encontrado")</f>
        <v/>
      </c>
      <c r="B15721" s="43" t="n">
        <v>-23.567081</v>
      </c>
      <c r="C15721" s="43" t="n">
        <v>-46.5437</v>
      </c>
      <c r="D15721" s="43" t="n">
        <v>223</v>
      </c>
      <c r="E15721" s="44" t="n">
        <v>6364.8633</v>
      </c>
    </row>
    <row r="15722">
      <c r="A15722" s="39">
        <f>_xlfn.XLOOKUP(82132,Trip[shape_id],Trip[shape_id],"Não encontrado")</f>
        <v/>
      </c>
      <c r="B15722" s="40" t="n">
        <v>-23.567138</v>
      </c>
      <c r="C15722" s="40" t="n">
        <v>-46.543599</v>
      </c>
      <c r="D15722" s="40" t="n">
        <v>224</v>
      </c>
      <c r="E15722" s="41" t="n">
        <v>6389.6094</v>
      </c>
    </row>
    <row r="15723">
      <c r="A15723" s="42">
        <f>_xlfn.XLOOKUP(82132,Trip[shape_id],Trip[shape_id],"Não encontrado")</f>
        <v/>
      </c>
      <c r="B15723" s="43" t="n">
        <v>-23.567185</v>
      </c>
      <c r="C15723" s="43" t="n">
        <v>-46.543486</v>
      </c>
      <c r="D15723" s="43" t="n">
        <v>225</v>
      </c>
      <c r="E15723" s="44" t="n">
        <v>6399.2524</v>
      </c>
    </row>
    <row r="15724">
      <c r="A15724" s="39">
        <f>_xlfn.XLOOKUP(82132,Trip[shape_id],Trip[shape_id],"Não encontrado")</f>
        <v/>
      </c>
      <c r="B15724" s="40" t="n">
        <v>-23.567221</v>
      </c>
      <c r="C15724" s="40" t="n">
        <v>-46.5434</v>
      </c>
      <c r="D15724" s="40" t="n">
        <v>226</v>
      </c>
      <c r="E15724" s="41" t="n">
        <v>6399.2524</v>
      </c>
    </row>
    <row r="15725">
      <c r="A15725" s="42">
        <f>_xlfn.XLOOKUP(82132,Trip[shape_id],Trip[shape_id],"Não encontrado")</f>
        <v/>
      </c>
      <c r="B15725" s="43" t="n">
        <v>-23.567284</v>
      </c>
      <c r="C15725" s="43" t="n">
        <v>-46.543132</v>
      </c>
      <c r="D15725" s="43" t="n">
        <v>227</v>
      </c>
      <c r="E15725" s="44" t="n">
        <v>6437.0464</v>
      </c>
    </row>
    <row r="15726">
      <c r="A15726" s="39">
        <f>_xlfn.XLOOKUP(82132,Trip[shape_id],Trip[shape_id],"Não encontrado")</f>
        <v/>
      </c>
      <c r="B15726" s="40" t="n">
        <v>-23.567294</v>
      </c>
      <c r="C15726" s="40" t="n">
        <v>-46.543039</v>
      </c>
      <c r="D15726" s="40" t="n">
        <v>228</v>
      </c>
      <c r="E15726" s="41" t="n">
        <v>6437.0464</v>
      </c>
    </row>
    <row r="15727">
      <c r="A15727" s="42">
        <f>_xlfn.XLOOKUP(82132,Trip[shape_id],Trip[shape_id],"Não encontrado")</f>
        <v/>
      </c>
      <c r="B15727" s="43" t="n">
        <v>-23.567359</v>
      </c>
      <c r="C15727" s="43" t="n">
        <v>-46.542193</v>
      </c>
      <c r="D15727" s="43" t="n">
        <v>229</v>
      </c>
      <c r="E15727" s="44" t="n">
        <v>6523.7134</v>
      </c>
    </row>
    <row r="15728">
      <c r="A15728" s="39">
        <f>_xlfn.XLOOKUP(82132,Trip[shape_id],Trip[shape_id],"Não encontrado")</f>
        <v/>
      </c>
      <c r="B15728" s="40" t="n">
        <v>-23.567362</v>
      </c>
      <c r="C15728" s="40" t="n">
        <v>-46.542027</v>
      </c>
      <c r="D15728" s="40" t="n">
        <v>230</v>
      </c>
      <c r="E15728" s="41" t="n">
        <v>6540.6631</v>
      </c>
    </row>
    <row r="15729">
      <c r="A15729" s="42">
        <f>_xlfn.XLOOKUP(82132,Trip[shape_id],Trip[shape_id],"Não encontrado")</f>
        <v/>
      </c>
      <c r="B15729" s="43" t="n">
        <v>-23.567473</v>
      </c>
      <c r="C15729" s="43" t="n">
        <v>-46.541706</v>
      </c>
      <c r="D15729" s="43" t="n">
        <v>231</v>
      </c>
      <c r="E15729" s="44" t="n">
        <v>6593.5352</v>
      </c>
    </row>
    <row r="15730">
      <c r="A15730" s="39">
        <f>_xlfn.XLOOKUP(82132,Trip[shape_id],Trip[shape_id],"Não encontrado")</f>
        <v/>
      </c>
      <c r="B15730" s="40" t="n">
        <v>-23.567548</v>
      </c>
      <c r="C15730" s="40" t="n">
        <v>-46.541551</v>
      </c>
      <c r="D15730" s="40" t="n">
        <v>232</v>
      </c>
      <c r="E15730" s="41" t="n">
        <v>6593.5352</v>
      </c>
    </row>
    <row r="15731">
      <c r="A15731" s="42">
        <f>_xlfn.XLOOKUP(82132,Trip[shape_id],Trip[shape_id],"Não encontrado")</f>
        <v/>
      </c>
      <c r="B15731" s="43" t="n">
        <v>-23.567591</v>
      </c>
      <c r="C15731" s="43" t="n">
        <v>-46.541475</v>
      </c>
      <c r="D15731" s="43" t="n">
        <v>233</v>
      </c>
      <c r="E15731" s="44" t="n">
        <v>6621.7881</v>
      </c>
    </row>
    <row r="15732">
      <c r="A15732" s="39">
        <f>_xlfn.XLOOKUP(82132,Trip[shape_id],Trip[shape_id],"Não encontrado")</f>
        <v/>
      </c>
      <c r="B15732" s="40" t="n">
        <v>-23.567687</v>
      </c>
      <c r="C15732" s="40" t="n">
        <v>-46.541319</v>
      </c>
      <c r="D15732" s="40" t="n">
        <v>234</v>
      </c>
      <c r="E15732" s="41" t="n">
        <v>6629.8213</v>
      </c>
    </row>
    <row r="15733">
      <c r="A15733" s="42">
        <f>_xlfn.XLOOKUP(82132,Trip[shape_id],Trip[shape_id],"Não encontrado")</f>
        <v/>
      </c>
      <c r="B15733" s="43" t="n">
        <v>-23.567735</v>
      </c>
      <c r="C15733" s="43" t="n">
        <v>-46.54126</v>
      </c>
      <c r="D15733" s="43" t="n">
        <v>235</v>
      </c>
      <c r="E15733" s="44" t="n">
        <v>6649.002</v>
      </c>
    </row>
    <row r="15734">
      <c r="A15734" s="39">
        <f>_xlfn.XLOOKUP(82132,Trip[shape_id],Trip[shape_id],"Não encontrado")</f>
        <v/>
      </c>
      <c r="B15734" s="40" t="n">
        <v>-23.567844</v>
      </c>
      <c r="C15734" s="40" t="n">
        <v>-46.541114</v>
      </c>
      <c r="D15734" s="40" t="n">
        <v>236</v>
      </c>
      <c r="E15734" s="41" t="n">
        <v>6672.1548</v>
      </c>
    </row>
    <row r="15735">
      <c r="A15735" s="42">
        <f>_xlfn.XLOOKUP(82132,Trip[shape_id],Trip[shape_id],"Não encontrado")</f>
        <v/>
      </c>
      <c r="B15735" s="43" t="n">
        <v>-23.568007</v>
      </c>
      <c r="C15735" s="43" t="n">
        <v>-46.540972</v>
      </c>
      <c r="D15735" s="43" t="n">
        <v>237</v>
      </c>
      <c r="E15735" s="44" t="n">
        <v>6682.5137</v>
      </c>
    </row>
    <row r="15736">
      <c r="A15736" s="39">
        <f>_xlfn.XLOOKUP(82132,Trip[shape_id],Trip[shape_id],"Não encontrado")</f>
        <v/>
      </c>
      <c r="B15736" s="40" t="n">
        <v>-23.568085</v>
      </c>
      <c r="C15736" s="40" t="n">
        <v>-46.540916</v>
      </c>
      <c r="D15736" s="40" t="n">
        <v>238</v>
      </c>
      <c r="E15736" s="41" t="n">
        <v>6693.3721</v>
      </c>
    </row>
    <row r="15737">
      <c r="A15737" s="42">
        <f>_xlfn.XLOOKUP(82132,Trip[shape_id],Trip[shape_id],"Não encontrado")</f>
        <v/>
      </c>
      <c r="B15737" s="43" t="n">
        <v>-23.56817</v>
      </c>
      <c r="C15737" s="43" t="n">
        <v>-46.540863</v>
      </c>
      <c r="D15737" s="43" t="n">
        <v>239</v>
      </c>
      <c r="E15737" s="44" t="n">
        <v>6731.7964</v>
      </c>
    </row>
    <row r="15738">
      <c r="A15738" s="39">
        <f>_xlfn.XLOOKUP(82132,Trip[shape_id],Trip[shape_id],"Não encontrado")</f>
        <v/>
      </c>
      <c r="B15738" s="40" t="n">
        <v>-23.56848</v>
      </c>
      <c r="C15738" s="40" t="n">
        <v>-46.540694</v>
      </c>
      <c r="D15738" s="40" t="n">
        <v>240</v>
      </c>
      <c r="E15738" s="41" t="n">
        <v>6791.5762</v>
      </c>
    </row>
    <row r="15739">
      <c r="A15739" s="42">
        <f>_xlfn.XLOOKUP(82132,Trip[shape_id],Trip[shape_id],"Não encontrado")</f>
        <v/>
      </c>
      <c r="B15739" s="43" t="n">
        <v>-23.568965</v>
      </c>
      <c r="C15739" s="43" t="n">
        <v>-46.540437</v>
      </c>
      <c r="D15739" s="43" t="n">
        <v>241</v>
      </c>
      <c r="E15739" s="44" t="n">
        <v>6791.5762</v>
      </c>
    </row>
    <row r="15740">
      <c r="A15740" s="39">
        <f>_xlfn.XLOOKUP(82132,Trip[shape_id],Trip[shape_id],"Não encontrado")</f>
        <v/>
      </c>
      <c r="B15740" s="40" t="n">
        <v>-23.568771</v>
      </c>
      <c r="C15740" s="40" t="n">
        <v>-46.540466</v>
      </c>
      <c r="D15740" s="40" t="n">
        <v>242</v>
      </c>
      <c r="E15740" s="41" t="n">
        <v>6813.2651</v>
      </c>
    </row>
    <row r="15741">
      <c r="A15741" s="42">
        <f>_xlfn.XLOOKUP(82132,Trip[shape_id],Trip[shape_id],"Não encontrado")</f>
        <v/>
      </c>
      <c r="B15741" s="43" t="n">
        <v>-23.568666</v>
      </c>
      <c r="C15741" s="43" t="n">
        <v>-46.540466</v>
      </c>
      <c r="D15741" s="43" t="n">
        <v>243</v>
      </c>
      <c r="E15741" s="44" t="n">
        <v>6824.894</v>
      </c>
    </row>
    <row r="15742">
      <c r="A15742" s="39">
        <f>_xlfn.XLOOKUP(82132,Trip[shape_id],Trip[shape_id],"Não encontrado")</f>
        <v/>
      </c>
      <c r="B15742" s="40" t="n">
        <v>-23.568505</v>
      </c>
      <c r="C15742" s="40" t="n">
        <v>-46.540462</v>
      </c>
      <c r="D15742" s="40" t="n">
        <v>244</v>
      </c>
      <c r="E15742" s="41" t="n">
        <v>6842.7295</v>
      </c>
    </row>
    <row r="15743">
      <c r="A15743" s="42">
        <f>_xlfn.XLOOKUP(82132,Trip[shape_id],Trip[shape_id],"Não encontrado")</f>
        <v/>
      </c>
      <c r="B15743" s="43" t="n">
        <v>-23.56801</v>
      </c>
      <c r="C15743" s="43" t="n">
        <v>-46.540378</v>
      </c>
      <c r="D15743" s="43" t="n">
        <v>245</v>
      </c>
      <c r="E15743" s="44" t="n">
        <v>6898.2183</v>
      </c>
    </row>
    <row r="15744">
      <c r="A15744" s="39">
        <f>_xlfn.XLOOKUP(82132,Trip[shape_id],Trip[shape_id],"Não encontrado")</f>
        <v/>
      </c>
      <c r="B15744" s="40" t="n">
        <v>-23.567356</v>
      </c>
      <c r="C15744" s="40" t="n">
        <v>-46.540199</v>
      </c>
      <c r="D15744" s="40" t="n">
        <v>246</v>
      </c>
      <c r="E15744" s="41" t="n">
        <v>6972.9199</v>
      </c>
    </row>
    <row r="15745">
      <c r="A15745" s="42">
        <f>_xlfn.XLOOKUP(82132,Trip[shape_id],Trip[shape_id],"Não encontrado")</f>
        <v/>
      </c>
      <c r="B15745" s="43" t="n">
        <v>-23.567285</v>
      </c>
      <c r="C15745" s="43" t="n">
        <v>-46.54024</v>
      </c>
      <c r="D15745" s="43" t="n">
        <v>247</v>
      </c>
      <c r="E15745" s="44" t="n">
        <v>6981.8281</v>
      </c>
    </row>
    <row r="15746">
      <c r="A15746" s="39">
        <f>_xlfn.XLOOKUP(82132,Trip[shape_id],Trip[shape_id],"Não encontrado")</f>
        <v/>
      </c>
      <c r="B15746" s="40" t="n">
        <v>-23.567235</v>
      </c>
      <c r="C15746" s="40" t="n">
        <v>-46.540282</v>
      </c>
      <c r="D15746" s="40" t="n">
        <v>248</v>
      </c>
      <c r="E15746" s="41" t="n">
        <v>6988.832</v>
      </c>
    </row>
    <row r="15747">
      <c r="A15747" s="42">
        <f>_xlfn.XLOOKUP(82132,Trip[shape_id],Trip[shape_id],"Não encontrado")</f>
        <v/>
      </c>
      <c r="B15747" s="43" t="n">
        <v>-23.567198</v>
      </c>
      <c r="C15747" s="43" t="n">
        <v>-46.540351</v>
      </c>
      <c r="D15747" s="43" t="n">
        <v>249</v>
      </c>
      <c r="E15747" s="44" t="n">
        <v>6996.981</v>
      </c>
    </row>
    <row r="15748">
      <c r="A15748" s="39">
        <f>_xlfn.XLOOKUP(82132,Trip[shape_id],Trip[shape_id],"Não encontrado")</f>
        <v/>
      </c>
      <c r="B15748" s="40" t="n">
        <v>-23.567174</v>
      </c>
      <c r="C15748" s="40" t="n">
        <v>-46.54041</v>
      </c>
      <c r="D15748" s="40" t="n">
        <v>250</v>
      </c>
      <c r="E15748" s="41" t="n">
        <v>7003.564</v>
      </c>
    </row>
    <row r="15749">
      <c r="A15749" s="42">
        <f>_xlfn.XLOOKUP(82132,Trip[shape_id],Trip[shape_id],"Não encontrado")</f>
        <v/>
      </c>
      <c r="B15749" s="43" t="n">
        <v>-23.56729</v>
      </c>
      <c r="C15749" s="43" t="n">
        <v>-46.540711</v>
      </c>
      <c r="D15749" s="43" t="n">
        <v>251</v>
      </c>
      <c r="E15749" s="44" t="n">
        <v>7036.8706</v>
      </c>
    </row>
    <row r="15750">
      <c r="A15750" s="39">
        <f>_xlfn.XLOOKUP(82132,Trip[shape_id],Trip[shape_id],"Não encontrado")</f>
        <v/>
      </c>
      <c r="B15750" s="40" t="n">
        <v>-23.567328</v>
      </c>
      <c r="C15750" s="40" t="n">
        <v>-46.540864</v>
      </c>
      <c r="D15750" s="40" t="n">
        <v>252</v>
      </c>
      <c r="E15750" s="41" t="n">
        <v>7053.0474</v>
      </c>
    </row>
    <row r="15751">
      <c r="A15751" s="42">
        <f>_xlfn.XLOOKUP(82132,Trip[shape_id],Trip[shape_id],"Não encontrado")</f>
        <v/>
      </c>
      <c r="B15751" s="43" t="n">
        <v>-23.567352</v>
      </c>
      <c r="C15751" s="43" t="n">
        <v>-46.541015</v>
      </c>
      <c r="D15751" s="43" t="n">
        <v>253</v>
      </c>
      <c r="E15751" s="44" t="n">
        <v>7068.6899</v>
      </c>
    </row>
    <row r="15752">
      <c r="A15752" s="39">
        <f>_xlfn.XLOOKUP(82132,Trip[shape_id],Trip[shape_id],"Não encontrado")</f>
        <v/>
      </c>
      <c r="B15752" s="40" t="n">
        <v>-23.567362</v>
      </c>
      <c r="C15752" s="40" t="n">
        <v>-46.541103</v>
      </c>
      <c r="D15752" s="40" t="n">
        <v>254</v>
      </c>
      <c r="E15752" s="41" t="n">
        <v>7077.7422</v>
      </c>
    </row>
    <row r="15753">
      <c r="A15753" s="42">
        <f>_xlfn.XLOOKUP(82132,Trip[shape_id],Trip[shape_id],"Não encontrado")</f>
        <v/>
      </c>
      <c r="B15753" s="43" t="n">
        <v>-23.56737</v>
      </c>
      <c r="C15753" s="43" t="n">
        <v>-46.541221</v>
      </c>
      <c r="D15753" s="43" t="n">
        <v>255</v>
      </c>
      <c r="E15753" s="44" t="n">
        <v>7089.8208</v>
      </c>
    </row>
    <row r="15754">
      <c r="A15754" s="39">
        <f>_xlfn.XLOOKUP(82132,Trip[shape_id],Trip[shape_id],"Não encontrado")</f>
        <v/>
      </c>
      <c r="B15754" s="40" t="n">
        <v>-23.567366</v>
      </c>
      <c r="C15754" s="40" t="n">
        <v>-46.541335</v>
      </c>
      <c r="D15754" s="40" t="n">
        <v>256</v>
      </c>
      <c r="E15754" s="41" t="n">
        <v>7101.4673</v>
      </c>
    </row>
    <row r="15755">
      <c r="A15755" s="42">
        <f>_xlfn.XLOOKUP(82132,Trip[shape_id],Trip[shape_id],"Não encontrado")</f>
        <v/>
      </c>
      <c r="B15755" s="43" t="n">
        <v>-23.567351</v>
      </c>
      <c r="C15755" s="43" t="n">
        <v>-46.541517</v>
      </c>
      <c r="D15755" s="43" t="n">
        <v>257</v>
      </c>
      <c r="E15755" s="44" t="n">
        <v>7120.1216</v>
      </c>
    </row>
    <row r="15756">
      <c r="A15756" s="39">
        <f>_xlfn.XLOOKUP(82132,Trip[shape_id],Trip[shape_id],"Não encontrado")</f>
        <v/>
      </c>
      <c r="B15756" s="40" t="n">
        <v>-23.567333</v>
      </c>
      <c r="C15756" s="40" t="n">
        <v>-46.541773</v>
      </c>
      <c r="D15756" s="40" t="n">
        <v>258</v>
      </c>
      <c r="E15756" s="41" t="n">
        <v>7146.3325</v>
      </c>
    </row>
    <row r="15757">
      <c r="A15757" s="42">
        <f>_xlfn.XLOOKUP(82132,Trip[shape_id],Trip[shape_id],"Não encontrado")</f>
        <v/>
      </c>
      <c r="B15757" s="43" t="n">
        <v>-23.567089</v>
      </c>
      <c r="C15757" s="43" t="n">
        <v>-46.541758</v>
      </c>
      <c r="D15757" s="43" t="n">
        <v>259</v>
      </c>
      <c r="E15757" s="44" t="n">
        <v>7173.3994</v>
      </c>
    </row>
    <row r="15758">
      <c r="A15758" s="39">
        <f>_xlfn.XLOOKUP(82132,Trip[shape_id],Trip[shape_id],"Não encontrado")</f>
        <v/>
      </c>
      <c r="B15758" s="40" t="n">
        <v>-23.566673</v>
      </c>
      <c r="C15758" s="40" t="n">
        <v>-46.541746</v>
      </c>
      <c r="D15758" s="40" t="n">
        <v>260</v>
      </c>
      <c r="E15758" s="41" t="n">
        <v>7219.4888</v>
      </c>
    </row>
    <row r="15759">
      <c r="A15759" s="42">
        <f>_xlfn.XLOOKUP(82132,Trip[shape_id],Trip[shape_id],"Não encontrado")</f>
        <v/>
      </c>
      <c r="B15759" s="43" t="n">
        <v>-23.566455</v>
      </c>
      <c r="C15759" s="43" t="n">
        <v>-46.541754</v>
      </c>
      <c r="D15759" s="43" t="n">
        <v>261</v>
      </c>
      <c r="E15759" s="44" t="n">
        <v>7243.6465</v>
      </c>
    </row>
    <row r="15760">
      <c r="A15760" s="39">
        <f>_xlfn.XLOOKUP(82132,Trip[shape_id],Trip[shape_id],"Não encontrado")</f>
        <v/>
      </c>
      <c r="B15760" s="40" t="n">
        <v>-23.56609</v>
      </c>
      <c r="C15760" s="40" t="n">
        <v>-46.541806</v>
      </c>
      <c r="D15760" s="40" t="n">
        <v>262</v>
      </c>
      <c r="E15760" s="41" t="n">
        <v>7284.418</v>
      </c>
    </row>
    <row r="15761">
      <c r="A15761" s="42">
        <f>_xlfn.XLOOKUP(82132,Trip[shape_id],Trip[shape_id],"Não encontrado")</f>
        <v/>
      </c>
      <c r="B15761" s="43" t="n">
        <v>-23.565879</v>
      </c>
      <c r="C15761" s="43" t="n">
        <v>-46.541858</v>
      </c>
      <c r="D15761" s="43" t="n">
        <v>263</v>
      </c>
      <c r="E15761" s="44" t="n">
        <v>7308.3818</v>
      </c>
    </row>
    <row r="15762">
      <c r="A15762" s="39">
        <f>_xlfn.XLOOKUP(82132,Trip[shape_id],Trip[shape_id],"Não encontrado")</f>
        <v/>
      </c>
      <c r="B15762" s="40" t="n">
        <v>-23.565826</v>
      </c>
      <c r="C15762" s="40" t="n">
        <v>-46.54188</v>
      </c>
      <c r="D15762" s="40" t="n">
        <v>264</v>
      </c>
      <c r="E15762" s="41" t="n">
        <v>7314.6665</v>
      </c>
    </row>
    <row r="15763">
      <c r="A15763" s="42">
        <f>_xlfn.XLOOKUP(82132,Trip[shape_id],Trip[shape_id],"Não encontrado")</f>
        <v/>
      </c>
      <c r="B15763" s="43" t="n">
        <v>-23.565638</v>
      </c>
      <c r="C15763" s="43" t="n">
        <v>-46.541962</v>
      </c>
      <c r="D15763" s="43" t="n">
        <v>265</v>
      </c>
      <c r="E15763" s="44" t="n">
        <v>7337.1074</v>
      </c>
    </row>
    <row r="15764">
      <c r="A15764" s="39">
        <f>_xlfn.XLOOKUP(82132,Trip[shape_id],Trip[shape_id],"Não encontrado")</f>
        <v/>
      </c>
      <c r="B15764" s="40" t="n">
        <v>-23.565499</v>
      </c>
      <c r="C15764" s="40" t="n">
        <v>-46.542044</v>
      </c>
      <c r="D15764" s="40" t="n">
        <v>266</v>
      </c>
      <c r="E15764" s="41" t="n">
        <v>7354.6309</v>
      </c>
    </row>
    <row r="15765">
      <c r="A15765" s="42">
        <f>_xlfn.XLOOKUP(82132,Trip[shape_id],Trip[shape_id],"Não encontrado")</f>
        <v/>
      </c>
      <c r="B15765" s="43" t="n">
        <v>-23.565118</v>
      </c>
      <c r="C15765" s="43" t="n">
        <v>-46.542249</v>
      </c>
      <c r="D15765" s="43" t="n">
        <v>267</v>
      </c>
      <c r="E15765" s="44" t="n">
        <v>7401.7324</v>
      </c>
    </row>
    <row r="15766">
      <c r="A15766" s="39">
        <f>_xlfn.XLOOKUP(82132,Trip[shape_id],Trip[shape_id],"Não encontrado")</f>
        <v/>
      </c>
      <c r="B15766" s="40" t="n">
        <v>-23.564865</v>
      </c>
      <c r="C15766" s="40" t="n">
        <v>-46.542407</v>
      </c>
      <c r="D15766" s="40" t="n">
        <v>268</v>
      </c>
      <c r="E15766" s="41" t="n">
        <v>7434.064</v>
      </c>
    </row>
    <row r="15767">
      <c r="A15767" s="42">
        <f>_xlfn.XLOOKUP(82132,Trip[shape_id],Trip[shape_id],"Não encontrado")</f>
        <v/>
      </c>
      <c r="B15767" s="43" t="n">
        <v>-23.564345</v>
      </c>
      <c r="C15767" s="43" t="n">
        <v>-46.542782</v>
      </c>
      <c r="D15767" s="43" t="n">
        <v>269</v>
      </c>
      <c r="E15767" s="44" t="n">
        <v>7503.2188</v>
      </c>
    </row>
    <row r="15768">
      <c r="A15768" s="39">
        <f>_xlfn.XLOOKUP(82132,Trip[shape_id],Trip[shape_id],"Não encontrado")</f>
        <v/>
      </c>
      <c r="B15768" s="40" t="n">
        <v>-23.564227</v>
      </c>
      <c r="C15768" s="40" t="n">
        <v>-46.542821</v>
      </c>
      <c r="D15768" s="40" t="n">
        <v>270</v>
      </c>
      <c r="E15768" s="41" t="n">
        <v>7541.6357</v>
      </c>
    </row>
    <row r="15769">
      <c r="A15769" s="42">
        <f>_xlfn.XLOOKUP(82132,Trip[shape_id],Trip[shape_id],"Não encontrado")</f>
        <v/>
      </c>
      <c r="B15769" s="43" t="n">
        <v>-23.564016</v>
      </c>
      <c r="C15769" s="43" t="n">
        <v>-46.542901</v>
      </c>
      <c r="D15769" s="43" t="n">
        <v>271</v>
      </c>
      <c r="E15769" s="44" t="n">
        <v>7558.585</v>
      </c>
    </row>
    <row r="15770">
      <c r="A15770" s="39">
        <f>_xlfn.XLOOKUP(82132,Trip[shape_id],Trip[shape_id],"Não encontrado")</f>
        <v/>
      </c>
      <c r="B15770" s="40" t="n">
        <v>-23.563865</v>
      </c>
      <c r="C15770" s="40" t="n">
        <v>-46.542928</v>
      </c>
      <c r="D15770" s="40" t="n">
        <v>272</v>
      </c>
      <c r="E15770" s="41" t="n">
        <v>7563.8262</v>
      </c>
    </row>
    <row r="15771">
      <c r="A15771" s="42">
        <f>_xlfn.XLOOKUP(82132,Trip[shape_id],Trip[shape_id],"Não encontrado")</f>
        <v/>
      </c>
      <c r="B15771" s="43" t="n">
        <v>-23.563818</v>
      </c>
      <c r="C15771" s="43" t="n">
        <v>-46.542934</v>
      </c>
      <c r="D15771" s="43" t="n">
        <v>273</v>
      </c>
      <c r="E15771" s="44" t="n">
        <v>7579.4756</v>
      </c>
    </row>
    <row r="15772">
      <c r="A15772" s="39">
        <f>_xlfn.XLOOKUP(82132,Trip[shape_id],Trip[shape_id],"Não encontrado")</f>
        <v/>
      </c>
      <c r="B15772" s="40" t="n">
        <v>-23.563677</v>
      </c>
      <c r="C15772" s="40" t="n">
        <v>-46.542944</v>
      </c>
      <c r="D15772" s="40" t="n">
        <v>274</v>
      </c>
      <c r="E15772" s="41" t="n">
        <v>7585.1382</v>
      </c>
    </row>
    <row r="15773">
      <c r="A15773" s="42">
        <f>_xlfn.XLOOKUP(82132,Trip[shape_id],Trip[shape_id],"Não encontrado")</f>
        <v/>
      </c>
      <c r="B15773" s="43" t="n">
        <v>-23.563626</v>
      </c>
      <c r="C15773" s="43" t="n">
        <v>-46.54294</v>
      </c>
      <c r="D15773" s="43" t="n">
        <v>275</v>
      </c>
      <c r="E15773" s="44" t="n">
        <v>7620.1064</v>
      </c>
    </row>
    <row r="15774">
      <c r="A15774" s="39">
        <f>_xlfn.XLOOKUP(82132,Trip[shape_id],Trip[shape_id],"Não encontrado")</f>
        <v/>
      </c>
      <c r="B15774" s="40" t="n">
        <v>-23.563316</v>
      </c>
      <c r="C15774" s="40" t="n">
        <v>-46.542875</v>
      </c>
      <c r="D15774" s="40" t="n">
        <v>276</v>
      </c>
      <c r="E15774" s="41" t="n">
        <v>7620.1064</v>
      </c>
    </row>
    <row r="15775">
      <c r="A15775" s="42">
        <f>_xlfn.XLOOKUP(82132,Trip[shape_id],Trip[shape_id],"Não encontrado")</f>
        <v/>
      </c>
      <c r="B15775" s="43" t="n">
        <v>-23.563148</v>
      </c>
      <c r="C15775" s="43" t="n">
        <v>-46.542743</v>
      </c>
      <c r="D15775" s="43" t="n">
        <v>277</v>
      </c>
      <c r="E15775" s="44" t="n">
        <v>7651.4268</v>
      </c>
    </row>
    <row r="15776">
      <c r="A15776" s="39">
        <f>_xlfn.XLOOKUP(82132,Trip[shape_id],Trip[shape_id],"Não encontrado")</f>
        <v/>
      </c>
      <c r="B15776" s="40" t="n">
        <v>-23.563087</v>
      </c>
      <c r="C15776" s="40" t="n">
        <v>-46.542695</v>
      </c>
      <c r="D15776" s="40" t="n">
        <v>278</v>
      </c>
      <c r="E15776" s="41" t="n">
        <v>7664.793</v>
      </c>
    </row>
    <row r="15777">
      <c r="A15777" s="42">
        <f>_xlfn.XLOOKUP(82132,Trip[shape_id],Trip[shape_id],"Não encontrado")</f>
        <v/>
      </c>
      <c r="B15777" s="43" t="n">
        <v>-23.563003</v>
      </c>
      <c r="C15777" s="43" t="n">
        <v>-46.542601</v>
      </c>
      <c r="D15777" s="43" t="n">
        <v>279</v>
      </c>
      <c r="E15777" s="44" t="n">
        <v>7664.793</v>
      </c>
    </row>
    <row r="15778">
      <c r="A15778" s="39">
        <f>_xlfn.XLOOKUP(82132,Trip[shape_id],Trip[shape_id],"Não encontrado")</f>
        <v/>
      </c>
      <c r="B15778" s="40" t="n">
        <v>-23.562943</v>
      </c>
      <c r="C15778" s="40" t="n">
        <v>-46.542678</v>
      </c>
      <c r="D15778" s="40" t="n">
        <v>280</v>
      </c>
      <c r="E15778" s="41" t="n">
        <v>7675.0864</v>
      </c>
    </row>
    <row r="15779">
      <c r="A15779" s="42">
        <f>_xlfn.XLOOKUP(82132,Trip[shape_id],Trip[shape_id],"Não encontrado")</f>
        <v/>
      </c>
      <c r="B15779" s="43" t="n">
        <v>-23.562785</v>
      </c>
      <c r="C15779" s="43" t="n">
        <v>-46.542957</v>
      </c>
      <c r="D15779" s="43" t="n">
        <v>281</v>
      </c>
      <c r="E15779" s="44" t="n">
        <v>7708.5161</v>
      </c>
    </row>
    <row r="15780">
      <c r="A15780" s="39">
        <f>_xlfn.XLOOKUP(82132,Trip[shape_id],Trip[shape_id],"Não encontrado")</f>
        <v/>
      </c>
      <c r="B15780" s="40" t="n">
        <v>-23.562631</v>
      </c>
      <c r="C15780" s="40" t="n">
        <v>-46.543133</v>
      </c>
      <c r="D15780" s="40" t="n">
        <v>282</v>
      </c>
      <c r="E15780" s="41" t="n">
        <v>7733.2905</v>
      </c>
    </row>
    <row r="15781">
      <c r="A15781" s="42">
        <f>_xlfn.XLOOKUP(82132,Trip[shape_id],Trip[shape_id],"Não encontrado")</f>
        <v/>
      </c>
      <c r="B15781" s="43" t="n">
        <v>-23.562578</v>
      </c>
      <c r="C15781" s="43" t="n">
        <v>-46.543171</v>
      </c>
      <c r="D15781" s="43" t="n">
        <v>283</v>
      </c>
      <c r="E15781" s="44" t="n">
        <v>7740.3267</v>
      </c>
    </row>
    <row r="15782">
      <c r="A15782" s="39">
        <f>_xlfn.XLOOKUP(82132,Trip[shape_id],Trip[shape_id],"Não encontrado")</f>
        <v/>
      </c>
      <c r="B15782" s="40" t="n">
        <v>-23.562484</v>
      </c>
      <c r="C15782" s="40" t="n">
        <v>-46.543246</v>
      </c>
      <c r="D15782" s="40" t="n">
        <v>284</v>
      </c>
      <c r="E15782" s="41" t="n">
        <v>7753.2505</v>
      </c>
    </row>
    <row r="15783">
      <c r="A15783" s="42">
        <f>_xlfn.XLOOKUP(82132,Trip[shape_id],Trip[shape_id],"Não encontrado")</f>
        <v/>
      </c>
      <c r="B15783" s="43" t="n">
        <v>-23.562344</v>
      </c>
      <c r="C15783" s="43" t="n">
        <v>-46.543303</v>
      </c>
      <c r="D15783" s="43" t="n">
        <v>285</v>
      </c>
      <c r="E15783" s="44" t="n">
        <v>7769.8115</v>
      </c>
    </row>
    <row r="15784">
      <c r="A15784" s="39">
        <f>_xlfn.XLOOKUP(82132,Trip[shape_id],Trip[shape_id],"Não encontrado")</f>
        <v/>
      </c>
      <c r="B15784" s="40" t="n">
        <v>-23.562214</v>
      </c>
      <c r="C15784" s="40" t="n">
        <v>-46.543344</v>
      </c>
      <c r="D15784" s="40" t="n">
        <v>286</v>
      </c>
      <c r="E15784" s="41" t="n">
        <v>7784.8052</v>
      </c>
    </row>
    <row r="15785">
      <c r="A15785" s="42">
        <f>_xlfn.XLOOKUP(82132,Trip[shape_id],Trip[shape_id],"Não encontrado")</f>
        <v/>
      </c>
      <c r="B15785" s="43" t="n">
        <v>-23.562073</v>
      </c>
      <c r="C15785" s="43" t="n">
        <v>-46.543346</v>
      </c>
      <c r="D15785" s="43" t="n">
        <v>287</v>
      </c>
      <c r="E15785" s="44" t="n">
        <v>7800.4224</v>
      </c>
    </row>
    <row r="15786">
      <c r="A15786" s="39">
        <f>_xlfn.XLOOKUP(82132,Trip[shape_id],Trip[shape_id],"Não encontrado")</f>
        <v/>
      </c>
      <c r="B15786" s="40" t="n">
        <v>-23.5618</v>
      </c>
      <c r="C15786" s="40" t="n">
        <v>-46.543338</v>
      </c>
      <c r="D15786" s="40" t="n">
        <v>288</v>
      </c>
      <c r="E15786" s="41" t="n">
        <v>7830.6689</v>
      </c>
    </row>
    <row r="15787">
      <c r="A15787" s="42">
        <f>_xlfn.XLOOKUP(82132,Trip[shape_id],Trip[shape_id],"Não encontrado")</f>
        <v/>
      </c>
      <c r="B15787" s="43" t="n">
        <v>-23.561715</v>
      </c>
      <c r="C15787" s="43" t="n">
        <v>-46.543336</v>
      </c>
      <c r="D15787" s="43" t="n">
        <v>289</v>
      </c>
      <c r="E15787" s="44" t="n">
        <v>7840.0854</v>
      </c>
    </row>
    <row r="15788">
      <c r="A15788" s="39">
        <f>_xlfn.XLOOKUP(82132,Trip[shape_id],Trip[shape_id],"Não encontrado")</f>
        <v/>
      </c>
      <c r="B15788" s="40" t="n">
        <v>-23.561692</v>
      </c>
      <c r="C15788" s="40" t="n">
        <v>-46.543334</v>
      </c>
      <c r="D15788" s="40" t="n">
        <v>290</v>
      </c>
      <c r="E15788" s="41" t="n">
        <v>7842.6426</v>
      </c>
    </row>
    <row r="15789">
      <c r="A15789" s="42">
        <f>_xlfn.XLOOKUP(82132,Trip[shape_id],Trip[shape_id],"Não encontrado")</f>
        <v/>
      </c>
      <c r="B15789" s="43" t="n">
        <v>-23.561493</v>
      </c>
      <c r="C15789" s="43" t="n">
        <v>-46.543326</v>
      </c>
      <c r="D15789" s="43" t="n">
        <v>291</v>
      </c>
      <c r="E15789" s="44" t="n">
        <v>7864.6973</v>
      </c>
    </row>
    <row r="15790">
      <c r="A15790" s="39">
        <f>_xlfn.XLOOKUP(82132,Trip[shape_id],Trip[shape_id],"Não encontrado")</f>
        <v/>
      </c>
      <c r="B15790" s="40" t="n">
        <v>-23.560934</v>
      </c>
      <c r="C15790" s="40" t="n">
        <v>-46.543326</v>
      </c>
      <c r="D15790" s="40" t="n">
        <v>292</v>
      </c>
      <c r="E15790" s="41" t="n">
        <v>7926.6074</v>
      </c>
    </row>
    <row r="15791">
      <c r="A15791" s="42">
        <f>_xlfn.XLOOKUP(82132,Trip[shape_id],Trip[shape_id],"Não encontrado")</f>
        <v/>
      </c>
      <c r="B15791" s="43" t="n">
        <v>-23.560629</v>
      </c>
      <c r="C15791" s="43" t="n">
        <v>-46.543369</v>
      </c>
      <c r="D15791" s="43" t="n">
        <v>293</v>
      </c>
      <c r="E15791" s="44" t="n">
        <v>7960.6709</v>
      </c>
    </row>
    <row r="15792">
      <c r="A15792" s="39">
        <f>_xlfn.XLOOKUP(82132,Trip[shape_id],Trip[shape_id],"Não encontrado")</f>
        <v/>
      </c>
      <c r="B15792" s="40" t="n">
        <v>-23.560517</v>
      </c>
      <c r="C15792" s="40" t="n">
        <v>-46.543385</v>
      </c>
      <c r="D15792" s="40" t="n">
        <v>294</v>
      </c>
      <c r="E15792" s="41" t="n">
        <v>7973.1821</v>
      </c>
    </row>
    <row r="15793">
      <c r="A15793" s="42">
        <f>_xlfn.XLOOKUP(82132,Trip[shape_id],Trip[shape_id],"Não encontrado")</f>
        <v/>
      </c>
      <c r="B15793" s="43" t="n">
        <v>-23.56035</v>
      </c>
      <c r="C15793" s="43" t="n">
        <v>-46.543418</v>
      </c>
      <c r="D15793" s="43" t="n">
        <v>295</v>
      </c>
      <c r="E15793" s="44" t="n">
        <v>7991.9819</v>
      </c>
    </row>
    <row r="15794">
      <c r="A15794" s="39">
        <f>_xlfn.XLOOKUP(82132,Trip[shape_id],Trip[shape_id],"Não encontrado")</f>
        <v/>
      </c>
      <c r="B15794" s="40" t="n">
        <v>-23.559911</v>
      </c>
      <c r="C15794" s="40" t="n">
        <v>-46.543582</v>
      </c>
      <c r="D15794" s="40" t="n">
        <v>296</v>
      </c>
      <c r="E15794" s="41" t="n">
        <v>8043.4043</v>
      </c>
    </row>
    <row r="15795">
      <c r="A15795" s="42">
        <f>_xlfn.XLOOKUP(82132,Trip[shape_id],Trip[shape_id],"Não encontrado")</f>
        <v/>
      </c>
      <c r="B15795" s="43" t="n">
        <v>-23.559241</v>
      </c>
      <c r="C15795" s="43" t="n">
        <v>-46.543832</v>
      </c>
      <c r="D15795" s="43" t="n">
        <v>297</v>
      </c>
      <c r="E15795" s="44" t="n">
        <v>8121.875</v>
      </c>
    </row>
    <row r="15796">
      <c r="A15796" s="39">
        <f>_xlfn.XLOOKUP(82132,Trip[shape_id],Trip[shape_id],"Não encontrado")</f>
        <v/>
      </c>
      <c r="B15796" s="40" t="n">
        <v>-23.558857</v>
      </c>
      <c r="C15796" s="40" t="n">
        <v>-46.54398</v>
      </c>
      <c r="D15796" s="40" t="n">
        <v>298</v>
      </c>
      <c r="E15796" s="41" t="n">
        <v>8167.0083</v>
      </c>
    </row>
    <row r="15797">
      <c r="A15797" s="42">
        <f>_xlfn.XLOOKUP(82132,Trip[shape_id],Trip[shape_id],"Não encontrado")</f>
        <v/>
      </c>
      <c r="B15797" s="43" t="n">
        <v>-23.558506</v>
      </c>
      <c r="C15797" s="43" t="n">
        <v>-46.544119</v>
      </c>
      <c r="D15797" s="43" t="n">
        <v>299</v>
      </c>
      <c r="E15797" s="44" t="n">
        <v>8208.391600000001</v>
      </c>
    </row>
    <row r="15798">
      <c r="A15798" s="39">
        <f>_xlfn.XLOOKUP(82132,Trip[shape_id],Trip[shape_id],"Não encontrado")</f>
        <v/>
      </c>
      <c r="B15798" s="40" t="n">
        <v>-23.557543</v>
      </c>
      <c r="C15798" s="40" t="n">
        <v>-46.544495</v>
      </c>
      <c r="D15798" s="40" t="n">
        <v>300</v>
      </c>
      <c r="E15798" s="41" t="n">
        <v>8321.7441</v>
      </c>
    </row>
    <row r="15799">
      <c r="A15799" s="42">
        <f>_xlfn.XLOOKUP(82132,Trip[shape_id],Trip[shape_id],"Não encontrado")</f>
        <v/>
      </c>
      <c r="B15799" s="43" t="n">
        <v>-23.556892</v>
      </c>
      <c r="C15799" s="43" t="n">
        <v>-46.544746</v>
      </c>
      <c r="D15799" s="43" t="n">
        <v>301</v>
      </c>
      <c r="E15799" s="44" t="n">
        <v>8398.262699999999</v>
      </c>
    </row>
    <row r="15800">
      <c r="A15800" s="39">
        <f>_xlfn.XLOOKUP(82132,Trip[shape_id],Trip[shape_id],"Não encontrado")</f>
        <v/>
      </c>
      <c r="B15800" s="40" t="n">
        <v>-23.556734</v>
      </c>
      <c r="C15800" s="40" t="n">
        <v>-46.544805</v>
      </c>
      <c r="D15800" s="40" t="n">
        <v>302</v>
      </c>
      <c r="E15800" s="41" t="n">
        <v>8416.7695</v>
      </c>
    </row>
    <row r="15801">
      <c r="A15801" s="42">
        <f>_xlfn.XLOOKUP(82132,Trip[shape_id],Trip[shape_id],"Não encontrado")</f>
        <v/>
      </c>
      <c r="B15801" s="43" t="n">
        <v>-23.555938</v>
      </c>
      <c r="C15801" s="43" t="n">
        <v>-46.545118</v>
      </c>
      <c r="D15801" s="43" t="n">
        <v>303</v>
      </c>
      <c r="E15801" s="44" t="n">
        <v>8510.540999999999</v>
      </c>
    </row>
    <row r="15802">
      <c r="A15802" s="39">
        <f>_xlfn.XLOOKUP(82132,Trip[shape_id],Trip[shape_id],"Não encontrado")</f>
        <v/>
      </c>
      <c r="B15802" s="40" t="n">
        <v>-23.555641</v>
      </c>
      <c r="C15802" s="40" t="n">
        <v>-46.545234</v>
      </c>
      <c r="D15802" s="40" t="n">
        <v>304</v>
      </c>
      <c r="E15802" s="41" t="n">
        <v>8545.502</v>
      </c>
    </row>
    <row r="15803">
      <c r="A15803" s="42">
        <f>_xlfn.XLOOKUP(82132,Trip[shape_id],Trip[shape_id],"Não encontrado")</f>
        <v/>
      </c>
      <c r="B15803" s="43" t="n">
        <v>-23.555305</v>
      </c>
      <c r="C15803" s="43" t="n">
        <v>-46.545359</v>
      </c>
      <c r="D15803" s="43" t="n">
        <v>305</v>
      </c>
      <c r="E15803" s="44" t="n">
        <v>8584.8418</v>
      </c>
    </row>
    <row r="15804">
      <c r="A15804" s="39">
        <f>_xlfn.XLOOKUP(82132,Trip[shape_id],Trip[shape_id],"Não encontrado")</f>
        <v/>
      </c>
      <c r="B15804" s="40" t="n">
        <v>-23.555188</v>
      </c>
      <c r="C15804" s="40" t="n">
        <v>-46.545405</v>
      </c>
      <c r="D15804" s="40" t="n">
        <v>306</v>
      </c>
      <c r="E15804" s="41" t="n">
        <v>8598.625</v>
      </c>
    </row>
    <row r="15805">
      <c r="A15805" s="42">
        <f>_xlfn.XLOOKUP(82132,Trip[shape_id],Trip[shape_id],"Não encontrado")</f>
        <v/>
      </c>
      <c r="B15805" s="43" t="n">
        <v>-23.555043</v>
      </c>
      <c r="C15805" s="43" t="n">
        <v>-46.545445</v>
      </c>
      <c r="D15805" s="43" t="n">
        <v>307</v>
      </c>
      <c r="E15805" s="44" t="n">
        <v>8615.195299999999</v>
      </c>
    </row>
    <row r="15806">
      <c r="A15806" s="39">
        <f>_xlfn.XLOOKUP(82132,Trip[shape_id],Trip[shape_id],"Não encontrado")</f>
        <v/>
      </c>
      <c r="B15806" s="40" t="n">
        <v>-23.554968</v>
      </c>
      <c r="C15806" s="40" t="n">
        <v>-46.545456</v>
      </c>
      <c r="D15806" s="40" t="n">
        <v>308</v>
      </c>
      <c r="E15806" s="41" t="n">
        <v>8623.578100000001</v>
      </c>
    </row>
    <row r="15807">
      <c r="A15807" s="42">
        <f>_xlfn.XLOOKUP(82132,Trip[shape_id],Trip[shape_id],"Não encontrado")</f>
        <v/>
      </c>
      <c r="B15807" s="43" t="n">
        <v>-23.554867</v>
      </c>
      <c r="C15807" s="43" t="n">
        <v>-46.545459</v>
      </c>
      <c r="D15807" s="43" t="n">
        <v>309</v>
      </c>
      <c r="E15807" s="44" t="n">
        <v>8634.767599999999</v>
      </c>
    </row>
    <row r="15808">
      <c r="A15808" s="39">
        <f>_xlfn.XLOOKUP(82132,Trip[shape_id],Trip[shape_id],"Não encontrado")</f>
        <v/>
      </c>
      <c r="B15808" s="40" t="n">
        <v>-23.554686</v>
      </c>
      <c r="C15808" s="40" t="n">
        <v>-46.545437</v>
      </c>
      <c r="D15808" s="40" t="n">
        <v>310</v>
      </c>
      <c r="E15808" s="41" t="n">
        <v>8654.9395</v>
      </c>
    </row>
    <row r="15809">
      <c r="A15809" s="42">
        <f>_xlfn.XLOOKUP(82132,Trip[shape_id],Trip[shape_id],"Não encontrado")</f>
        <v/>
      </c>
      <c r="B15809" s="43" t="n">
        <v>-23.554336</v>
      </c>
      <c r="C15809" s="43" t="n">
        <v>-46.545248</v>
      </c>
      <c r="D15809" s="43" t="n">
        <v>311</v>
      </c>
      <c r="E15809" s="44" t="n">
        <v>8698.2402</v>
      </c>
    </row>
    <row r="15810">
      <c r="A15810" s="39">
        <f>_xlfn.XLOOKUP(82132,Trip[shape_id],Trip[shape_id],"Não encontrado")</f>
        <v/>
      </c>
      <c r="B15810" s="40" t="n">
        <v>-23.553905</v>
      </c>
      <c r="C15810" s="40" t="n">
        <v>-46.54503</v>
      </c>
      <c r="D15810" s="40" t="n">
        <v>312</v>
      </c>
      <c r="E15810" s="41" t="n">
        <v>8750.9082</v>
      </c>
    </row>
    <row r="15811">
      <c r="A15811" s="42">
        <f>_xlfn.XLOOKUP(82132,Trip[shape_id],Trip[shape_id],"Não encontrado")</f>
        <v/>
      </c>
      <c r="B15811" s="43" t="n">
        <v>-23.553519</v>
      </c>
      <c r="C15811" s="43" t="n">
        <v>-46.54483</v>
      </c>
      <c r="D15811" s="43" t="n">
        <v>313</v>
      </c>
      <c r="E15811" s="44" t="n">
        <v>8798.2852</v>
      </c>
    </row>
    <row r="15812">
      <c r="A15812" s="39">
        <f>_xlfn.XLOOKUP(82132,Trip[shape_id],Trip[shape_id],"Não encontrado")</f>
        <v/>
      </c>
      <c r="B15812" s="40" t="n">
        <v>-23.552555</v>
      </c>
      <c r="C15812" s="40" t="n">
        <v>-46.544349</v>
      </c>
      <c r="D15812" s="40" t="n">
        <v>314</v>
      </c>
      <c r="E15812" s="41" t="n">
        <v>8915.8037</v>
      </c>
    </row>
    <row r="15813">
      <c r="A15813" s="42">
        <f>_xlfn.XLOOKUP(82132,Trip[shape_id],Trip[shape_id],"Não encontrado")</f>
        <v/>
      </c>
      <c r="B15813" s="43" t="n">
        <v>-23.553018</v>
      </c>
      <c r="C15813" s="43" t="n">
        <v>-46.543324</v>
      </c>
      <c r="D15813" s="43" t="n">
        <v>315</v>
      </c>
      <c r="E15813" s="44" t="n">
        <v>9032.343800000001</v>
      </c>
    </row>
    <row r="15814">
      <c r="A15814" s="39">
        <f>_xlfn.XLOOKUP(82132,Trip[shape_id],Trip[shape_id],"Não encontrado")</f>
        <v/>
      </c>
      <c r="B15814" s="40" t="n">
        <v>-23.553194</v>
      </c>
      <c r="C15814" s="40" t="n">
        <v>-46.543422</v>
      </c>
      <c r="D15814" s="40" t="n">
        <v>316</v>
      </c>
      <c r="E15814" s="41" t="n">
        <v>9090.260700000001</v>
      </c>
    </row>
    <row r="15815">
      <c r="A15815" s="42">
        <f>_xlfn.XLOOKUP(82132,Trip[shape_id],Trip[shape_id],"Não encontrado")</f>
        <v/>
      </c>
      <c r="B15815" s="43" t="n">
        <v>-23.553492</v>
      </c>
      <c r="C15815" s="43" t="n">
        <v>-46.543563</v>
      </c>
      <c r="D15815" s="43" t="n">
        <v>317</v>
      </c>
      <c r="E15815" s="44" t="n">
        <v>9101.786099999999</v>
      </c>
    </row>
    <row r="15816">
      <c r="A15816" s="39">
        <f>_xlfn.XLOOKUP(82132,Trip[shape_id],Trip[shape_id],"Não encontrado")</f>
        <v/>
      </c>
      <c r="B15816" s="40" t="n">
        <v>-23.553596</v>
      </c>
      <c r="C15816" s="40" t="n">
        <v>-46.543567</v>
      </c>
      <c r="D15816" s="40" t="n">
        <v>318</v>
      </c>
      <c r="E15816" s="41" t="n">
        <v>9118.487300000001</v>
      </c>
    </row>
    <row r="15817">
      <c r="A15817" s="42">
        <f>_xlfn.XLOOKUP(82132,Trip[shape_id],Trip[shape_id],"Não encontrado")</f>
        <v/>
      </c>
      <c r="B15817" s="43" t="n">
        <v>-23.553737</v>
      </c>
      <c r="C15817" s="43" t="n">
        <v>-46.543509</v>
      </c>
      <c r="D15817" s="43" t="n">
        <v>319</v>
      </c>
      <c r="E15817" s="44" t="n">
        <v>9118.487300000001</v>
      </c>
    </row>
    <row r="15818">
      <c r="A15818" s="39">
        <f>_xlfn.XLOOKUP(82132,Trip[shape_id],Trip[shape_id],"Não encontrado")</f>
        <v/>
      </c>
      <c r="B15818" s="40" t="n">
        <v>-23.554954</v>
      </c>
      <c r="C15818" s="40" t="n">
        <v>-46.543033</v>
      </c>
      <c r="D15818" s="40" t="n">
        <v>320</v>
      </c>
      <c r="E15818" s="41" t="n">
        <v>9261.766600000001</v>
      </c>
    </row>
    <row r="15819">
      <c r="A15819" s="42">
        <f>_xlfn.XLOOKUP(82132,Trip[shape_id],Trip[shape_id],"Não encontrado")</f>
        <v/>
      </c>
      <c r="B15819" s="43" t="n">
        <v>-23.55517</v>
      </c>
      <c r="C15819" s="43" t="n">
        <v>-46.542957</v>
      </c>
      <c r="D15819" s="43" t="n">
        <v>321</v>
      </c>
      <c r="E15819" s="44" t="n">
        <v>9308.168</v>
      </c>
    </row>
    <row r="15820">
      <c r="A15820" s="39">
        <f>_xlfn.XLOOKUP(82132,Trip[shape_id],Trip[shape_id],"Não encontrado")</f>
        <v/>
      </c>
      <c r="B15820" s="40" t="n">
        <v>-23.555349</v>
      </c>
      <c r="C15820" s="40" t="n">
        <v>-46.542882</v>
      </c>
      <c r="D15820" s="40" t="n">
        <v>322</v>
      </c>
      <c r="E15820" s="41" t="n">
        <v>9325.9092</v>
      </c>
    </row>
    <row r="15821">
      <c r="A15821" s="42">
        <f>_xlfn.XLOOKUP(82132,Trip[shape_id],Trip[shape_id],"Não encontrado")</f>
        <v/>
      </c>
      <c r="B15821" s="43" t="n">
        <v>-23.5555</v>
      </c>
      <c r="C15821" s="43" t="n">
        <v>-46.542824</v>
      </c>
      <c r="D15821" s="43" t="n">
        <v>323</v>
      </c>
      <c r="E15821" s="44" t="n">
        <v>9340.8037</v>
      </c>
    </row>
    <row r="15822">
      <c r="A15822" s="39">
        <f>_xlfn.XLOOKUP(82132,Trip[shape_id],Trip[shape_id],"Não encontrado")</f>
        <v/>
      </c>
      <c r="B15822" s="40" t="n">
        <v>-23.555626</v>
      </c>
      <c r="C15822" s="40" t="n">
        <v>-46.542773</v>
      </c>
      <c r="D15822" s="40" t="n">
        <v>324</v>
      </c>
      <c r="E15822" s="41" t="n">
        <v>9349.0566</v>
      </c>
    </row>
    <row r="15823">
      <c r="A15823" s="42">
        <f>_xlfn.XLOOKUP(82132,Trip[shape_id],Trip[shape_id],"Não encontrado")</f>
        <v/>
      </c>
      <c r="B15823" s="43" t="n">
        <v>-23.555658</v>
      </c>
      <c r="C15823" s="43" t="n">
        <v>-46.5427</v>
      </c>
      <c r="D15823" s="43" t="n">
        <v>325</v>
      </c>
      <c r="E15823" s="44" t="n">
        <v>9359.468800000001</v>
      </c>
    </row>
    <row r="15824">
      <c r="A15824" s="39">
        <f>_xlfn.XLOOKUP(82132,Trip[shape_id],Trip[shape_id],"Não encontrado")</f>
        <v/>
      </c>
      <c r="B15824" s="40" t="n">
        <v>-23.55575</v>
      </c>
      <c r="C15824" s="40" t="n">
        <v>-46.542721</v>
      </c>
      <c r="D15824" s="40" t="n">
        <v>326</v>
      </c>
      <c r="E15824" s="41" t="n">
        <v>9410.820299999999</v>
      </c>
    </row>
    <row r="15825">
      <c r="A15825" s="42">
        <f>_xlfn.XLOOKUP(82132,Trip[shape_id],Trip[shape_id],"Não encontrado")</f>
        <v/>
      </c>
      <c r="B15825" s="43" t="n">
        <v>-23.556188</v>
      </c>
      <c r="C15825" s="43" t="n">
        <v>-46.542556</v>
      </c>
      <c r="D15825" s="43" t="n">
        <v>327</v>
      </c>
      <c r="E15825" s="44" t="n">
        <v>9410.820299999999</v>
      </c>
    </row>
    <row r="15826">
      <c r="A15826" s="39">
        <f>_xlfn.XLOOKUP(82132,Trip[shape_id],Trip[shape_id],"Não encontrado")</f>
        <v/>
      </c>
      <c r="B15826" s="40" t="n">
        <v>-23.557497</v>
      </c>
      <c r="C15826" s="40" t="n">
        <v>-46.542039</v>
      </c>
      <c r="D15826" s="40" t="n">
        <v>328</v>
      </c>
      <c r="E15826" s="41" t="n">
        <v>9565.104499999999</v>
      </c>
    </row>
    <row r="15827">
      <c r="A15827" s="42">
        <f>_xlfn.XLOOKUP(82132,Trip[shape_id],Trip[shape_id],"Não encontrado")</f>
        <v/>
      </c>
      <c r="B15827" s="43" t="n">
        <v>-23.557741</v>
      </c>
      <c r="C15827" s="43" t="n">
        <v>-46.541943</v>
      </c>
      <c r="D15827" s="43" t="n">
        <v>329</v>
      </c>
      <c r="E15827" s="44" t="n">
        <v>9599.1631</v>
      </c>
    </row>
    <row r="15828">
      <c r="A15828" s="39">
        <f>_xlfn.XLOOKUP(82132,Trip[shape_id],Trip[shape_id],"Não encontrado")</f>
        <v/>
      </c>
      <c r="B15828" s="40" t="n">
        <v>-23.557786</v>
      </c>
      <c r="C15828" s="40" t="n">
        <v>-46.541925</v>
      </c>
      <c r="D15828" s="40" t="n">
        <v>330</v>
      </c>
      <c r="E15828" s="41" t="n">
        <v>9608.852500000001</v>
      </c>
    </row>
    <row r="15829">
      <c r="A15829" s="42">
        <f>_xlfn.XLOOKUP(82132,Trip[shape_id],Trip[shape_id],"Não encontrado")</f>
        <v/>
      </c>
      <c r="B15829" s="43" t="n">
        <v>-23.557869</v>
      </c>
      <c r="C15829" s="43" t="n">
        <v>-46.541895</v>
      </c>
      <c r="D15829" s="43" t="n">
        <v>331</v>
      </c>
      <c r="E15829" s="44" t="n">
        <v>9638.204100000001</v>
      </c>
    </row>
    <row r="15830">
      <c r="A15830" s="39">
        <f>_xlfn.XLOOKUP(82132,Trip[shape_id],Trip[shape_id],"Não encontrado")</f>
        <v/>
      </c>
      <c r="B15830" s="40" t="n">
        <v>-23.558121</v>
      </c>
      <c r="C15830" s="40" t="n">
        <v>-46.541806</v>
      </c>
      <c r="D15830" s="40" t="n">
        <v>332</v>
      </c>
      <c r="E15830" s="41" t="n">
        <v>9638.204100000001</v>
      </c>
    </row>
    <row r="15831">
      <c r="A15831" s="42">
        <f>_xlfn.XLOOKUP(82132,Trip[shape_id],Trip[shape_id],"Não encontrado")</f>
        <v/>
      </c>
      <c r="B15831" s="43" t="n">
        <v>-23.558399</v>
      </c>
      <c r="C15831" s="43" t="n">
        <v>-46.541697</v>
      </c>
      <c r="D15831" s="43" t="n">
        <v>333</v>
      </c>
      <c r="E15831" s="44" t="n">
        <v>9670.9424</v>
      </c>
    </row>
    <row r="15832">
      <c r="A15832" s="39">
        <f>_xlfn.XLOOKUP(82132,Trip[shape_id],Trip[shape_id],"Não encontrado")</f>
        <v/>
      </c>
      <c r="B15832" s="40" t="n">
        <v>-23.559872</v>
      </c>
      <c r="C15832" s="40" t="n">
        <v>-46.541129</v>
      </c>
      <c r="D15832" s="40" t="n">
        <v>334</v>
      </c>
      <c r="E15832" s="41" t="n">
        <v>9844.080099999999</v>
      </c>
    </row>
    <row r="15833">
      <c r="A15833" s="42">
        <f>_xlfn.XLOOKUP(82132,Trip[shape_id],Trip[shape_id],"Não encontrado")</f>
        <v/>
      </c>
      <c r="B15833" s="43" t="n">
        <v>-23.559887</v>
      </c>
      <c r="C15833" s="43" t="n">
        <v>-46.540866</v>
      </c>
      <c r="D15833" s="43" t="n">
        <v>335</v>
      </c>
      <c r="E15833" s="44" t="n">
        <v>9870.982400000001</v>
      </c>
    </row>
    <row r="15834">
      <c r="A15834" s="39">
        <f>_xlfn.XLOOKUP(82132,Trip[shape_id],Trip[shape_id],"Não encontrado")</f>
        <v/>
      </c>
      <c r="B15834" s="40" t="n">
        <v>-23.559775</v>
      </c>
      <c r="C15834" s="40" t="n">
        <v>-46.54054</v>
      </c>
      <c r="D15834" s="40" t="n">
        <v>336</v>
      </c>
      <c r="E15834" s="41" t="n">
        <v>9923.5625</v>
      </c>
    </row>
    <row r="15835">
      <c r="A15835" s="42">
        <f>_xlfn.XLOOKUP(82132,Trip[shape_id],Trip[shape_id],"Não encontrado")</f>
        <v/>
      </c>
      <c r="B15835" s="43" t="n">
        <v>-23.559711</v>
      </c>
      <c r="C15835" s="43" t="n">
        <v>-46.540388</v>
      </c>
      <c r="D15835" s="43" t="n">
        <v>337</v>
      </c>
      <c r="E15835" s="44" t="n">
        <v>9935.707</v>
      </c>
    </row>
    <row r="15836">
      <c r="A15836" s="39">
        <f>_xlfn.XLOOKUP(82132,Trip[shape_id],Trip[shape_id],"Não encontrado")</f>
        <v/>
      </c>
      <c r="B15836" s="40" t="n">
        <v>-23.559645</v>
      </c>
      <c r="C15836" s="40" t="n">
        <v>-46.540293</v>
      </c>
      <c r="D15836" s="40" t="n">
        <v>338</v>
      </c>
      <c r="E15836" s="41" t="n">
        <v>9943.9375</v>
      </c>
    </row>
    <row r="15837">
      <c r="A15837" s="42">
        <f>_xlfn.XLOOKUP(82132,Trip[shape_id],Trip[shape_id],"Não encontrado")</f>
        <v/>
      </c>
      <c r="B15837" s="43" t="n">
        <v>-23.559589</v>
      </c>
      <c r="C15837" s="43" t="n">
        <v>-46.54024</v>
      </c>
      <c r="D15837" s="43" t="n">
        <v>339</v>
      </c>
      <c r="E15837" s="44" t="n">
        <v>9951.776400000001</v>
      </c>
    </row>
    <row r="15838">
      <c r="A15838" s="39">
        <f>_xlfn.XLOOKUP(82132,Trip[shape_id],Trip[shape_id],"Não encontrado")</f>
        <v/>
      </c>
      <c r="B15838" s="40" t="n">
        <v>-23.559531</v>
      </c>
      <c r="C15838" s="40" t="n">
        <v>-46.540196</v>
      </c>
      <c r="D15838" s="40" t="n">
        <v>340</v>
      </c>
      <c r="E15838" s="41" t="n">
        <v>9961.4727</v>
      </c>
    </row>
    <row r="15839">
      <c r="A15839" s="42">
        <f>_xlfn.XLOOKUP(82132,Trip[shape_id],Trip[shape_id],"Não encontrado")</f>
        <v/>
      </c>
      <c r="B15839" s="43" t="n">
        <v>-23.559456</v>
      </c>
      <c r="C15839" s="43" t="n">
        <v>-46.540147</v>
      </c>
      <c r="D15839" s="43" t="n">
        <v>341</v>
      </c>
      <c r="E15839" s="44" t="n">
        <v>9988.988300000001</v>
      </c>
    </row>
    <row r="15840">
      <c r="A15840" s="39">
        <f>_xlfn.XLOOKUP(82132,Trip[shape_id],Trip[shape_id],"Não encontrado")</f>
        <v/>
      </c>
      <c r="B15840" s="40" t="n">
        <v>-23.559234</v>
      </c>
      <c r="C15840" s="40" t="n">
        <v>-46.540026</v>
      </c>
      <c r="D15840" s="40" t="n">
        <v>342</v>
      </c>
      <c r="E15840" s="41" t="n">
        <v>10013.425</v>
      </c>
    </row>
    <row r="15841">
      <c r="A15841" s="42">
        <f>_xlfn.XLOOKUP(82132,Trip[shape_id],Trip[shape_id],"Não encontrado")</f>
        <v/>
      </c>
      <c r="B15841" s="43" t="n">
        <v>-23.559039</v>
      </c>
      <c r="C15841" s="43" t="n">
        <v>-46.539914</v>
      </c>
      <c r="D15841" s="43" t="n">
        <v>343</v>
      </c>
      <c r="E15841" s="44" t="n">
        <v>10028.821</v>
      </c>
    </row>
    <row r="15842">
      <c r="A15842" s="39">
        <f>_xlfn.XLOOKUP(82132,Trip[shape_id],Trip[shape_id],"Não encontrado")</f>
        <v/>
      </c>
      <c r="B15842" s="40" t="n">
        <v>-23.558914</v>
      </c>
      <c r="C15842" s="40" t="n">
        <v>-46.539848</v>
      </c>
      <c r="D15842" s="40" t="n">
        <v>344</v>
      </c>
      <c r="E15842" s="41" t="n">
        <v>10028.821</v>
      </c>
    </row>
    <row r="15843">
      <c r="A15843" s="42">
        <f>_xlfn.XLOOKUP(82132,Trip[shape_id],Trip[shape_id],"Não encontrado")</f>
        <v/>
      </c>
      <c r="B15843" s="43" t="n">
        <v>-23.558629</v>
      </c>
      <c r="C15843" s="43" t="n">
        <v>-46.539691</v>
      </c>
      <c r="D15843" s="43" t="n">
        <v>345</v>
      </c>
      <c r="E15843" s="44" t="n">
        <v>10135.051</v>
      </c>
    </row>
    <row r="15844">
      <c r="A15844" s="39">
        <f>_xlfn.XLOOKUP(82132,Trip[shape_id],Trip[shape_id],"Não encontrado")</f>
        <v/>
      </c>
      <c r="B15844" s="40" t="n">
        <v>-23.558064</v>
      </c>
      <c r="C15844" s="40" t="n">
        <v>-46.539366</v>
      </c>
      <c r="D15844" s="40" t="n">
        <v>346</v>
      </c>
      <c r="E15844" s="41" t="n">
        <v>10135.051</v>
      </c>
    </row>
    <row r="15845">
      <c r="A15845" s="42">
        <f>_xlfn.XLOOKUP(82132,Trip[shape_id],Trip[shape_id],"Não encontrado")</f>
        <v/>
      </c>
      <c r="B15845" s="43" t="n">
        <v>-23.55794</v>
      </c>
      <c r="C15845" s="43" t="n">
        <v>-46.539166</v>
      </c>
      <c r="D15845" s="43" t="n">
        <v>347</v>
      </c>
      <c r="E15845" s="44" t="n">
        <v>10174.593</v>
      </c>
    </row>
    <row r="15846">
      <c r="A15846" s="39">
        <f>_xlfn.XLOOKUP(82132,Trip[shape_id],Trip[shape_id],"Não encontrado")</f>
        <v/>
      </c>
      <c r="B15846" s="40" t="n">
        <v>-23.55788</v>
      </c>
      <c r="C15846" s="40" t="n">
        <v>-46.539035</v>
      </c>
      <c r="D15846" s="40" t="n">
        <v>348</v>
      </c>
      <c r="E15846" s="41" t="n">
        <v>10192.266</v>
      </c>
    </row>
    <row r="15847">
      <c r="A15847" s="42">
        <f>_xlfn.XLOOKUP(82132,Trip[shape_id],Trip[shape_id],"Não encontrado")</f>
        <v/>
      </c>
      <c r="B15847" s="43" t="n">
        <v>-23.557838</v>
      </c>
      <c r="C15847" s="43" t="n">
        <v>-46.538868</v>
      </c>
      <c r="D15847" s="43" t="n">
        <v>349</v>
      </c>
      <c r="E15847" s="44" t="n">
        <v>10208.313</v>
      </c>
    </row>
    <row r="15848">
      <c r="A15848" s="39">
        <f>_xlfn.XLOOKUP(82132,Trip[shape_id],Trip[shape_id],"Não encontrado")</f>
        <v/>
      </c>
      <c r="B15848" s="40" t="n">
        <v>-23.557809</v>
      </c>
      <c r="C15848" s="40" t="n">
        <v>-46.538714</v>
      </c>
      <c r="D15848" s="40" t="n">
        <v>350</v>
      </c>
      <c r="E15848" s="41" t="n">
        <v>10214.747</v>
      </c>
    </row>
    <row r="15849">
      <c r="A15849" s="42">
        <f>_xlfn.XLOOKUP(82132,Trip[shape_id],Trip[shape_id],"Não encontrado")</f>
        <v/>
      </c>
      <c r="B15849" s="43" t="n">
        <v>-23.55781</v>
      </c>
      <c r="C15849" s="43" t="n">
        <v>-46.538651</v>
      </c>
      <c r="D15849" s="43" t="n">
        <v>351</v>
      </c>
      <c r="E15849" s="44" t="n">
        <v>10218.752</v>
      </c>
    </row>
    <row r="15850">
      <c r="A15850" s="39">
        <f>_xlfn.XLOOKUP(82132,Trip[shape_id],Trip[shape_id],"Não encontrado")</f>
        <v/>
      </c>
      <c r="B15850" s="40" t="n">
        <v>-23.557801</v>
      </c>
      <c r="C15850" s="40" t="n">
        <v>-46.538613</v>
      </c>
      <c r="D15850" s="40" t="n">
        <v>352</v>
      </c>
      <c r="E15850" s="41" t="n">
        <v>10223.144</v>
      </c>
    </row>
    <row r="15851">
      <c r="A15851" s="42">
        <f>_xlfn.XLOOKUP(82132,Trip[shape_id],Trip[shape_id],"Não encontrado")</f>
        <v/>
      </c>
      <c r="B15851" s="43" t="n">
        <v>-23.557813</v>
      </c>
      <c r="C15851" s="43" t="n">
        <v>-46.538572</v>
      </c>
      <c r="D15851" s="43" t="n">
        <v>353</v>
      </c>
      <c r="E15851" s="44" t="n">
        <v>10231.958</v>
      </c>
    </row>
    <row r="15852">
      <c r="A15852" s="39">
        <f>_xlfn.XLOOKUP(82132,Trip[shape_id],Trip[shape_id],"Não encontrado")</f>
        <v/>
      </c>
      <c r="B15852" s="40" t="n">
        <v>-23.55782</v>
      </c>
      <c r="C15852" s="40" t="n">
        <v>-46.538486</v>
      </c>
      <c r="D15852" s="40" t="n">
        <v>354</v>
      </c>
      <c r="E15852" s="41" t="n">
        <v>10250.712</v>
      </c>
    </row>
    <row r="15853">
      <c r="A15853" s="42">
        <f>_xlfn.XLOOKUP(82132,Trip[shape_id],Trip[shape_id],"Não encontrado")</f>
        <v/>
      </c>
      <c r="B15853" s="43" t="n">
        <v>-23.557858</v>
      </c>
      <c r="C15853" s="43" t="n">
        <v>-46.538307</v>
      </c>
      <c r="D15853" s="43" t="n">
        <v>355</v>
      </c>
      <c r="E15853" s="44" t="n">
        <v>10274.392</v>
      </c>
    </row>
    <row r="15854">
      <c r="A15854" s="39">
        <f>_xlfn.XLOOKUP(82132,Trip[shape_id],Trip[shape_id],"Não encontrado")</f>
        <v/>
      </c>
      <c r="B15854" s="40" t="n">
        <v>-23.557931</v>
      </c>
      <c r="C15854" s="40" t="n">
        <v>-46.538089</v>
      </c>
      <c r="D15854" s="40" t="n">
        <v>356</v>
      </c>
      <c r="E15854" s="41" t="n">
        <v>10274.392</v>
      </c>
    </row>
    <row r="15855">
      <c r="A15855" s="42">
        <f>_xlfn.XLOOKUP(82132,Trip[shape_id],Trip[shape_id],"Não encontrado")</f>
        <v/>
      </c>
      <c r="B15855" s="43" t="n">
        <v>-23.557432</v>
      </c>
      <c r="C15855" s="43" t="n">
        <v>-46.53775</v>
      </c>
      <c r="D15855" s="43" t="n">
        <v>357</v>
      </c>
      <c r="E15855" s="44" t="n">
        <v>10339.6</v>
      </c>
    </row>
    <row r="15856">
      <c r="A15856" s="39">
        <f>_xlfn.XLOOKUP(82132,Trip[shape_id],Trip[shape_id],"Não encontrado")</f>
        <v/>
      </c>
      <c r="B15856" s="40" t="n">
        <v>-23.556958</v>
      </c>
      <c r="C15856" s="40" t="n">
        <v>-46.53744</v>
      </c>
      <c r="D15856" s="40" t="n">
        <v>358</v>
      </c>
      <c r="E15856" s="41" t="n">
        <v>10400.898</v>
      </c>
    </row>
    <row r="15857">
      <c r="A15857" s="42">
        <f>_xlfn.XLOOKUP(82132,Trip[shape_id],Trip[shape_id],"Não encontrado")</f>
        <v/>
      </c>
      <c r="B15857" s="43" t="n">
        <v>-23.556739</v>
      </c>
      <c r="C15857" s="43" t="n">
        <v>-46.537296</v>
      </c>
      <c r="D15857" s="43" t="n">
        <v>359</v>
      </c>
      <c r="E15857" s="44" t="n">
        <v>10433.16</v>
      </c>
    </row>
    <row r="15858">
      <c r="A15858" s="39">
        <f>_xlfn.XLOOKUP(82132,Trip[shape_id],Trip[shape_id],"Não encontrado")</f>
        <v/>
      </c>
      <c r="B15858" s="40" t="n">
        <v>-23.556709</v>
      </c>
      <c r="C15858" s="40" t="n">
        <v>-46.537276</v>
      </c>
      <c r="D15858" s="40" t="n">
        <v>360</v>
      </c>
      <c r="E15858" s="41" t="n">
        <v>10433.16</v>
      </c>
    </row>
    <row r="15859">
      <c r="A15859" s="42">
        <f>_xlfn.XLOOKUP(82132,Trip[shape_id],Trip[shape_id],"Não encontrado")</f>
        <v/>
      </c>
      <c r="B15859" s="43" t="n">
        <v>-23.556463</v>
      </c>
      <c r="C15859" s="43" t="n">
        <v>-46.5371</v>
      </c>
      <c r="D15859" s="43" t="n">
        <v>361</v>
      </c>
      <c r="E15859" s="44" t="n">
        <v>10479.026</v>
      </c>
    </row>
    <row r="15860">
      <c r="A15860" s="39">
        <f>_xlfn.XLOOKUP(82132,Trip[shape_id],Trip[shape_id],"Não encontrado")</f>
        <v/>
      </c>
      <c r="B15860" s="40" t="n">
        <v>-23.556354</v>
      </c>
      <c r="C15860" s="40" t="n">
        <v>-46.537047</v>
      </c>
      <c r="D15860" s="40" t="n">
        <v>362</v>
      </c>
      <c r="E15860" s="41" t="n">
        <v>10479.026</v>
      </c>
    </row>
    <row r="15861">
      <c r="A15861" s="42">
        <f>_xlfn.XLOOKUP(82132,Trip[shape_id],Trip[shape_id],"Não encontrado")</f>
        <v/>
      </c>
      <c r="B15861" s="43" t="n">
        <v>-23.556398</v>
      </c>
      <c r="C15861" s="43" t="n">
        <v>-46.537201</v>
      </c>
      <c r="D15861" s="43" t="n">
        <v>363</v>
      </c>
      <c r="E15861" s="44" t="n">
        <v>10495.487</v>
      </c>
    </row>
    <row r="15862">
      <c r="A15862" s="39">
        <f>_xlfn.XLOOKUP(82132,Trip[shape_id],Trip[shape_id],"Não encontrado")</f>
        <v/>
      </c>
      <c r="B15862" s="40" t="n">
        <v>-23.556452</v>
      </c>
      <c r="C15862" s="40" t="n">
        <v>-46.537374</v>
      </c>
      <c r="D15862" s="40" t="n">
        <v>364</v>
      </c>
      <c r="E15862" s="41" t="n">
        <v>10514.135</v>
      </c>
    </row>
    <row r="15863">
      <c r="A15863" s="42">
        <f>_xlfn.XLOOKUP(82132,Trip[shape_id],Trip[shape_id],"Não encontrado")</f>
        <v/>
      </c>
      <c r="B15863" s="43" t="n">
        <v>-23.556491</v>
      </c>
      <c r="C15863" s="43" t="n">
        <v>-46.537492</v>
      </c>
      <c r="D15863" s="43" t="n">
        <v>365</v>
      </c>
      <c r="E15863" s="44" t="n">
        <v>10526.934</v>
      </c>
    </row>
    <row r="15864">
      <c r="A15864" s="42">
        <f>_xlfn.XLOOKUP(82135,Trip[shape_id],Trip[shape_id],"Não encontrado")</f>
        <v/>
      </c>
      <c r="B15864" s="43" t="n">
        <v>-23.542253</v>
      </c>
      <c r="C15864" s="43" t="n">
        <v>-46.589879</v>
      </c>
      <c r="D15864" s="43" t="n">
        <v>1</v>
      </c>
      <c r="E15864" s="44" t="n">
        <v>2.7670391</v>
      </c>
    </row>
    <row r="15865">
      <c r="A15865" s="39">
        <f>_xlfn.XLOOKUP(82135,Trip[shape_id],Trip[shape_id],"Não encontrado")</f>
        <v/>
      </c>
      <c r="B15865" s="40" t="n">
        <v>-23.542246</v>
      </c>
      <c r="C15865" s="40" t="n">
        <v>-46.589853</v>
      </c>
      <c r="D15865" s="40" t="n">
        <v>2</v>
      </c>
      <c r="E15865" s="41" t="n">
        <v>2.7670391</v>
      </c>
    </row>
    <row r="15866">
      <c r="A15866" s="42">
        <f>_xlfn.XLOOKUP(82135,Trip[shape_id],Trip[shape_id],"Não encontrado")</f>
        <v/>
      </c>
      <c r="B15866" s="43" t="n">
        <v>-23.542231</v>
      </c>
      <c r="C15866" s="43" t="n">
        <v>-46.589806</v>
      </c>
      <c r="D15866" s="43" t="n">
        <v>3</v>
      </c>
      <c r="E15866" s="44" t="n">
        <v>10.589273</v>
      </c>
    </row>
    <row r="15867">
      <c r="A15867" s="39">
        <f>_xlfn.XLOOKUP(82135,Trip[shape_id],Trip[shape_id],"Não encontrado")</f>
        <v/>
      </c>
      <c r="B15867" s="40" t="n">
        <v>-23.542208</v>
      </c>
      <c r="C15867" s="40" t="n">
        <v>-46.589796</v>
      </c>
      <c r="D15867" s="40" t="n">
        <v>4</v>
      </c>
      <c r="E15867" s="41" t="n">
        <v>10.589273</v>
      </c>
    </row>
    <row r="15868">
      <c r="A15868" s="42">
        <f>_xlfn.XLOOKUP(82135,Trip[shape_id],Trip[shape_id],"Não encontrado")</f>
        <v/>
      </c>
      <c r="B15868" s="43" t="n">
        <v>-23.542185</v>
      </c>
      <c r="C15868" s="43" t="n">
        <v>-46.589787</v>
      </c>
      <c r="D15868" s="43" t="n">
        <v>5</v>
      </c>
      <c r="E15868" s="44" t="n">
        <v>13.297427</v>
      </c>
    </row>
    <row r="15869">
      <c r="A15869" s="39">
        <f>_xlfn.XLOOKUP(82135,Trip[shape_id],Trip[shape_id],"Não encontrado")</f>
        <v/>
      </c>
      <c r="B15869" s="40" t="n">
        <v>-23.54214</v>
      </c>
      <c r="C15869" s="40" t="n">
        <v>-46.589773</v>
      </c>
      <c r="D15869" s="40" t="n">
        <v>6</v>
      </c>
      <c r="E15869" s="41" t="n">
        <v>18.482576</v>
      </c>
    </row>
    <row r="15870">
      <c r="A15870" s="42">
        <f>_xlfn.XLOOKUP(82135,Trip[shape_id],Trip[shape_id],"Não encontrado")</f>
        <v/>
      </c>
      <c r="B15870" s="43" t="n">
        <v>-23.542101</v>
      </c>
      <c r="C15870" s="43" t="n">
        <v>-46.589642</v>
      </c>
      <c r="D15870" s="43" t="n">
        <v>7</v>
      </c>
      <c r="E15870" s="44" t="n">
        <v>32.5392</v>
      </c>
    </row>
    <row r="15871">
      <c r="A15871" s="39">
        <f>_xlfn.XLOOKUP(82135,Trip[shape_id],Trip[shape_id],"Não encontrado")</f>
        <v/>
      </c>
      <c r="B15871" s="40" t="n">
        <v>-23.541728</v>
      </c>
      <c r="C15871" s="40" t="n">
        <v>-46.588428</v>
      </c>
      <c r="D15871" s="40" t="n">
        <v>8</v>
      </c>
      <c r="E15871" s="41" t="n">
        <v>163.20145</v>
      </c>
    </row>
    <row r="15872">
      <c r="A15872" s="42">
        <f>_xlfn.XLOOKUP(82135,Trip[shape_id],Trip[shape_id],"Não encontrado")</f>
        <v/>
      </c>
      <c r="B15872" s="43" t="n">
        <v>-23.541652</v>
      </c>
      <c r="C15872" s="43" t="n">
        <v>-46.588524</v>
      </c>
      <c r="D15872" s="43" t="n">
        <v>9</v>
      </c>
      <c r="E15872" s="44" t="n">
        <v>176.12207</v>
      </c>
    </row>
    <row r="15873">
      <c r="A15873" s="39">
        <f>_xlfn.XLOOKUP(82135,Trip[shape_id],Trip[shape_id],"Não encontrado")</f>
        <v/>
      </c>
      <c r="B15873" s="40" t="n">
        <v>-23.54089</v>
      </c>
      <c r="C15873" s="40" t="n">
        <v>-46.589273</v>
      </c>
      <c r="D15873" s="40" t="n">
        <v>10</v>
      </c>
      <c r="E15873" s="41" t="n">
        <v>290.01367</v>
      </c>
    </row>
    <row r="15874">
      <c r="A15874" s="42">
        <f>_xlfn.XLOOKUP(82135,Trip[shape_id],Trip[shape_id],"Não encontrado")</f>
        <v/>
      </c>
      <c r="B15874" s="43" t="n">
        <v>-23.540832</v>
      </c>
      <c r="C15874" s="43" t="n">
        <v>-46.589273</v>
      </c>
      <c r="D15874" s="43" t="n">
        <v>11</v>
      </c>
      <c r="E15874" s="44" t="n">
        <v>296.43735</v>
      </c>
    </row>
    <row r="15875">
      <c r="A15875" s="39">
        <f>_xlfn.XLOOKUP(82135,Trip[shape_id],Trip[shape_id],"Não encontrado")</f>
        <v/>
      </c>
      <c r="B15875" s="40" t="n">
        <v>-23.541118</v>
      </c>
      <c r="C15875" s="40" t="n">
        <v>-46.590071</v>
      </c>
      <c r="D15875" s="40" t="n">
        <v>12</v>
      </c>
      <c r="E15875" s="41" t="n">
        <v>383.86063</v>
      </c>
    </row>
    <row r="15876">
      <c r="A15876" s="42">
        <f>_xlfn.XLOOKUP(82135,Trip[shape_id],Trip[shape_id],"Não encontrado")</f>
        <v/>
      </c>
      <c r="B15876" s="43" t="n">
        <v>-23.54156</v>
      </c>
      <c r="C15876" s="43" t="n">
        <v>-46.591343</v>
      </c>
      <c r="D15876" s="43" t="n">
        <v>13</v>
      </c>
      <c r="E15876" s="44" t="n">
        <v>522.6621699999999</v>
      </c>
    </row>
    <row r="15877">
      <c r="A15877" s="39">
        <f>_xlfn.XLOOKUP(82135,Trip[shape_id],Trip[shape_id],"Não encontrado")</f>
        <v/>
      </c>
      <c r="B15877" s="40" t="n">
        <v>-23.541925</v>
      </c>
      <c r="C15877" s="40" t="n">
        <v>-46.592373</v>
      </c>
      <c r="D15877" s="40" t="n">
        <v>14</v>
      </c>
      <c r="E15877" s="41" t="n">
        <v>635.33563</v>
      </c>
    </row>
    <row r="15878">
      <c r="A15878" s="42">
        <f>_xlfn.XLOOKUP(82135,Trip[shape_id],Trip[shape_id],"Não encontrado")</f>
        <v/>
      </c>
      <c r="B15878" s="43" t="n">
        <v>-23.540948</v>
      </c>
      <c r="C15878" s="43" t="n">
        <v>-46.592806</v>
      </c>
      <c r="D15878" s="43" t="n">
        <v>15</v>
      </c>
      <c r="E15878" s="44" t="n">
        <v>752.22443</v>
      </c>
    </row>
    <row r="15879">
      <c r="A15879" s="39">
        <f>_xlfn.XLOOKUP(82135,Trip[shape_id],Trip[shape_id],"Não encontrado")</f>
        <v/>
      </c>
      <c r="B15879" s="40" t="n">
        <v>-23.540211</v>
      </c>
      <c r="C15879" s="40" t="n">
        <v>-46.59312</v>
      </c>
      <c r="D15879" s="40" t="n">
        <v>16</v>
      </c>
      <c r="E15879" s="41" t="n">
        <v>839.9198</v>
      </c>
    </row>
    <row r="15880">
      <c r="A15880" s="42">
        <f>_xlfn.XLOOKUP(82135,Trip[shape_id],Trip[shape_id],"Não encontrado")</f>
        <v/>
      </c>
      <c r="B15880" s="43" t="n">
        <v>-23.540124</v>
      </c>
      <c r="C15880" s="43" t="n">
        <v>-46.593496</v>
      </c>
      <c r="D15880" s="43" t="n">
        <v>17</v>
      </c>
      <c r="E15880" s="44" t="n">
        <v>879.50366</v>
      </c>
    </row>
    <row r="15881">
      <c r="A15881" s="39">
        <f>_xlfn.XLOOKUP(82135,Trip[shape_id],Trip[shape_id],"Não encontrado")</f>
        <v/>
      </c>
      <c r="B15881" s="40" t="n">
        <v>-23.540026</v>
      </c>
      <c r="C15881" s="40" t="n">
        <v>-46.593958</v>
      </c>
      <c r="D15881" s="40" t="n">
        <v>18</v>
      </c>
      <c r="E15881" s="41" t="n">
        <v>927.91095</v>
      </c>
    </row>
    <row r="15882">
      <c r="A15882" s="42">
        <f>_xlfn.XLOOKUP(82135,Trip[shape_id],Trip[shape_id],"Não encontrado")</f>
        <v/>
      </c>
      <c r="B15882" s="43" t="n">
        <v>-23.540252</v>
      </c>
      <c r="C15882" s="43" t="n">
        <v>-46.594376</v>
      </c>
      <c r="D15882" s="43" t="n">
        <v>19</v>
      </c>
      <c r="E15882" s="44" t="n">
        <v>977.39081</v>
      </c>
    </row>
    <row r="15883">
      <c r="A15883" s="39">
        <f>_xlfn.XLOOKUP(82135,Trip[shape_id],Trip[shape_id],"Não encontrado")</f>
        <v/>
      </c>
      <c r="B15883" s="40" t="n">
        <v>-23.540277</v>
      </c>
      <c r="C15883" s="40" t="n">
        <v>-46.594421</v>
      </c>
      <c r="D15883" s="40" t="n">
        <v>20</v>
      </c>
      <c r="E15883" s="41" t="n">
        <v>982.7547</v>
      </c>
    </row>
    <row r="15884">
      <c r="A15884" s="42">
        <f>_xlfn.XLOOKUP(82135,Trip[shape_id],Trip[shape_id],"Não encontrado")</f>
        <v/>
      </c>
      <c r="B15884" s="43" t="n">
        <v>-23.540577</v>
      </c>
      <c r="C15884" s="43" t="n">
        <v>-46.59498</v>
      </c>
      <c r="D15884" s="43" t="n">
        <v>21</v>
      </c>
      <c r="E15884" s="44" t="n">
        <v>1048.8</v>
      </c>
    </row>
    <row r="15885">
      <c r="A15885" s="39">
        <f>_xlfn.XLOOKUP(82135,Trip[shape_id],Trip[shape_id],"Não encontrado")</f>
        <v/>
      </c>
      <c r="B15885" s="40" t="n">
        <v>-23.540977</v>
      </c>
      <c r="C15885" s="40" t="n">
        <v>-46.594814</v>
      </c>
      <c r="D15885" s="40" t="n">
        <v>22</v>
      </c>
      <c r="E15885" s="41" t="n">
        <v>1163.8477</v>
      </c>
    </row>
    <row r="15886">
      <c r="A15886" s="42">
        <f>_xlfn.XLOOKUP(82135,Trip[shape_id],Trip[shape_id],"Não encontrado")</f>
        <v/>
      </c>
      <c r="B15886" s="43" t="n">
        <v>-23.541546</v>
      </c>
      <c r="C15886" s="43" t="n">
        <v>-46.594574</v>
      </c>
      <c r="D15886" s="43" t="n">
        <v>23</v>
      </c>
      <c r="E15886" s="44" t="n">
        <v>1163.8477</v>
      </c>
    </row>
    <row r="15887">
      <c r="A15887" s="39">
        <f>_xlfn.XLOOKUP(82135,Trip[shape_id],Trip[shape_id],"Não encontrado")</f>
        <v/>
      </c>
      <c r="B15887" s="40" t="n">
        <v>-23.541914</v>
      </c>
      <c r="C15887" s="40" t="n">
        <v>-46.594438</v>
      </c>
      <c r="D15887" s="40" t="n">
        <v>24</v>
      </c>
      <c r="E15887" s="41" t="n">
        <v>1282.6719</v>
      </c>
    </row>
    <row r="15888">
      <c r="A15888" s="42">
        <f>_xlfn.XLOOKUP(82135,Trip[shape_id],Trip[shape_id],"Não encontrado")</f>
        <v/>
      </c>
      <c r="B15888" s="43" t="n">
        <v>-23.542553</v>
      </c>
      <c r="C15888" s="43" t="n">
        <v>-46.594173</v>
      </c>
      <c r="D15888" s="43" t="n">
        <v>25</v>
      </c>
      <c r="E15888" s="44" t="n">
        <v>1282.6719</v>
      </c>
    </row>
    <row r="15889">
      <c r="A15889" s="39">
        <f>_xlfn.XLOOKUP(82135,Trip[shape_id],Trip[shape_id],"Não encontrado")</f>
        <v/>
      </c>
      <c r="B15889" s="40" t="n">
        <v>-23.54333</v>
      </c>
      <c r="C15889" s="40" t="n">
        <v>-46.593842</v>
      </c>
      <c r="D15889" s="40" t="n">
        <v>26</v>
      </c>
      <c r="E15889" s="41" t="n">
        <v>1375.125</v>
      </c>
    </row>
    <row r="15890">
      <c r="A15890" s="42">
        <f>_xlfn.XLOOKUP(82135,Trip[shape_id],Trip[shape_id],"Não encontrado")</f>
        <v/>
      </c>
      <c r="B15890" s="43" t="n">
        <v>-23.543628</v>
      </c>
      <c r="C15890" s="43" t="n">
        <v>-46.593718</v>
      </c>
      <c r="D15890" s="43" t="n">
        <v>27</v>
      </c>
      <c r="E15890" s="44" t="n">
        <v>1410.4742</v>
      </c>
    </row>
    <row r="15891">
      <c r="A15891" s="39">
        <f>_xlfn.XLOOKUP(82135,Trip[shape_id],Trip[shape_id],"Não encontrado")</f>
        <v/>
      </c>
      <c r="B15891" s="40" t="n">
        <v>-23.544143</v>
      </c>
      <c r="C15891" s="40" t="n">
        <v>-46.59349</v>
      </c>
      <c r="D15891" s="40" t="n">
        <v>28</v>
      </c>
      <c r="E15891" s="41" t="n">
        <v>1472.0796</v>
      </c>
    </row>
    <row r="15892">
      <c r="A15892" s="42">
        <f>_xlfn.XLOOKUP(82135,Trip[shape_id],Trip[shape_id],"Não encontrado")</f>
        <v/>
      </c>
      <c r="B15892" s="43" t="n">
        <v>-23.54439</v>
      </c>
      <c r="C15892" s="43" t="n">
        <v>-46.593382</v>
      </c>
      <c r="D15892" s="43" t="n">
        <v>29</v>
      </c>
      <c r="E15892" s="44" t="n">
        <v>1501.5742</v>
      </c>
    </row>
    <row r="15893">
      <c r="A15893" s="39">
        <f>_xlfn.XLOOKUP(82135,Trip[shape_id],Trip[shape_id],"Não encontrado")</f>
        <v/>
      </c>
      <c r="B15893" s="40" t="n">
        <v>-23.544523</v>
      </c>
      <c r="C15893" s="40" t="n">
        <v>-46.593299</v>
      </c>
      <c r="D15893" s="40" t="n">
        <v>30</v>
      </c>
      <c r="E15893" s="41" t="n">
        <v>1542.9304</v>
      </c>
    </row>
    <row r="15894">
      <c r="A15894" s="42">
        <f>_xlfn.XLOOKUP(82135,Trip[shape_id],Trip[shape_id],"Não encontrado")</f>
        <v/>
      </c>
      <c r="B15894" s="43" t="n">
        <v>-23.544705</v>
      </c>
      <c r="C15894" s="43" t="n">
        <v>-46.593165</v>
      </c>
      <c r="D15894" s="43" t="n">
        <v>31</v>
      </c>
      <c r="E15894" s="44" t="n">
        <v>1554.0624</v>
      </c>
    </row>
    <row r="15895">
      <c r="A15895" s="39">
        <f>_xlfn.XLOOKUP(82135,Trip[shape_id],Trip[shape_id],"Não encontrado")</f>
        <v/>
      </c>
      <c r="B15895" s="40" t="n">
        <v>-23.544785</v>
      </c>
      <c r="C15895" s="40" t="n">
        <v>-46.593099</v>
      </c>
      <c r="D15895" s="40" t="n">
        <v>32</v>
      </c>
      <c r="E15895" s="41" t="n">
        <v>1554.0624</v>
      </c>
    </row>
    <row r="15896">
      <c r="A15896" s="42">
        <f>_xlfn.XLOOKUP(82135,Trip[shape_id],Trip[shape_id],"Não encontrado")</f>
        <v/>
      </c>
      <c r="B15896" s="43" t="n">
        <v>-23.545129</v>
      </c>
      <c r="C15896" s="43" t="n">
        <v>-46.592785</v>
      </c>
      <c r="D15896" s="43" t="n">
        <v>33</v>
      </c>
      <c r="E15896" s="44" t="n">
        <v>1657.5819</v>
      </c>
    </row>
    <row r="15897">
      <c r="A15897" s="39">
        <f>_xlfn.XLOOKUP(82135,Trip[shape_id],Trip[shape_id],"Não encontrado")</f>
        <v/>
      </c>
      <c r="B15897" s="40" t="n">
        <v>-23.5455</v>
      </c>
      <c r="C15897" s="40" t="n">
        <v>-46.592446</v>
      </c>
      <c r="D15897" s="40" t="n">
        <v>34</v>
      </c>
      <c r="E15897" s="41" t="n">
        <v>1675.3994</v>
      </c>
    </row>
    <row r="15898">
      <c r="A15898" s="42">
        <f>_xlfn.XLOOKUP(82135,Trip[shape_id],Trip[shape_id],"Não encontrado")</f>
        <v/>
      </c>
      <c r="B15898" s="43" t="n">
        <v>-23.545621</v>
      </c>
      <c r="C15898" s="43" t="n">
        <v>-46.592331</v>
      </c>
      <c r="D15898" s="43" t="n">
        <v>35</v>
      </c>
      <c r="E15898" s="44" t="n">
        <v>1675.3994</v>
      </c>
    </row>
    <row r="15899">
      <c r="A15899" s="39">
        <f>_xlfn.XLOOKUP(82135,Trip[shape_id],Trip[shape_id],"Não encontrado")</f>
        <v/>
      </c>
      <c r="B15899" s="40" t="n">
        <v>-23.545688</v>
      </c>
      <c r="C15899" s="40" t="n">
        <v>-46.592418</v>
      </c>
      <c r="D15899" s="40" t="n">
        <v>36</v>
      </c>
      <c r="E15899" s="41" t="n">
        <v>1686.974</v>
      </c>
    </row>
    <row r="15900">
      <c r="A15900" s="42">
        <f>_xlfn.XLOOKUP(82135,Trip[shape_id],Trip[shape_id],"Não encontrado")</f>
        <v/>
      </c>
      <c r="B15900" s="43" t="n">
        <v>-23.545985</v>
      </c>
      <c r="C15900" s="43" t="n">
        <v>-46.592159</v>
      </c>
      <c r="D15900" s="43" t="n">
        <v>37</v>
      </c>
      <c r="E15900" s="44" t="n">
        <v>1729.1797</v>
      </c>
    </row>
    <row r="15901">
      <c r="A15901" s="39">
        <f>_xlfn.XLOOKUP(82135,Trip[shape_id],Trip[shape_id],"Não encontrado")</f>
        <v/>
      </c>
      <c r="B15901" s="40" t="n">
        <v>-23.547045</v>
      </c>
      <c r="C15901" s="40" t="n">
        <v>-46.591203</v>
      </c>
      <c r="D15901" s="40" t="n">
        <v>38</v>
      </c>
      <c r="E15901" s="41" t="n">
        <v>1881.8566</v>
      </c>
    </row>
    <row r="15902">
      <c r="A15902" s="42">
        <f>_xlfn.XLOOKUP(82135,Trip[shape_id],Trip[shape_id],"Não encontrado")</f>
        <v/>
      </c>
      <c r="B15902" s="43" t="n">
        <v>-23.546998</v>
      </c>
      <c r="C15902" s="43" t="n">
        <v>-46.591091</v>
      </c>
      <c r="D15902" s="43" t="n">
        <v>39</v>
      </c>
      <c r="E15902" s="44" t="n">
        <v>2056.3416</v>
      </c>
    </row>
    <row r="15903">
      <c r="A15903" s="39">
        <f>_xlfn.XLOOKUP(82135,Trip[shape_id],Trip[shape_id],"Não encontrado")</f>
        <v/>
      </c>
      <c r="B15903" s="40" t="n">
        <v>-23.546689</v>
      </c>
      <c r="C15903" s="40" t="n">
        <v>-46.589541</v>
      </c>
      <c r="D15903" s="40" t="n">
        <v>40</v>
      </c>
      <c r="E15903" s="41" t="n">
        <v>2056.3416</v>
      </c>
    </row>
    <row r="15904">
      <c r="A15904" s="42">
        <f>_xlfn.XLOOKUP(82135,Trip[shape_id],Trip[shape_id],"Não encontrado")</f>
        <v/>
      </c>
      <c r="B15904" s="43" t="n">
        <v>-23.54656</v>
      </c>
      <c r="C15904" s="43" t="n">
        <v>-46.588819</v>
      </c>
      <c r="D15904" s="43" t="n">
        <v>41</v>
      </c>
      <c r="E15904" s="44" t="n">
        <v>2131.4331</v>
      </c>
    </row>
    <row r="15905">
      <c r="A15905" s="39">
        <f>_xlfn.XLOOKUP(82135,Trip[shape_id],Trip[shape_id],"Não encontrado")</f>
        <v/>
      </c>
      <c r="B15905" s="40" t="n">
        <v>-23.546477</v>
      </c>
      <c r="C15905" s="40" t="n">
        <v>-46.588384</v>
      </c>
      <c r="D15905" s="40" t="n">
        <v>42</v>
      </c>
      <c r="E15905" s="41" t="n">
        <v>2176.79</v>
      </c>
    </row>
    <row r="15906">
      <c r="A15906" s="42">
        <f>_xlfn.XLOOKUP(82135,Trip[shape_id],Trip[shape_id],"Não encontrado")</f>
        <v/>
      </c>
      <c r="B15906" s="43" t="n">
        <v>-23.546408</v>
      </c>
      <c r="C15906" s="43" t="n">
        <v>-46.588043</v>
      </c>
      <c r="D15906" s="43" t="n">
        <v>43</v>
      </c>
      <c r="E15906" s="44" t="n">
        <v>2212.4368</v>
      </c>
    </row>
    <row r="15907">
      <c r="A15907" s="39">
        <f>_xlfn.XLOOKUP(82135,Trip[shape_id],Trip[shape_id],"Não encontrado")</f>
        <v/>
      </c>
      <c r="B15907" s="40" t="n">
        <v>-23.546378</v>
      </c>
      <c r="C15907" s="40" t="n">
        <v>-46.587902</v>
      </c>
      <c r="D15907" s="40" t="n">
        <v>44</v>
      </c>
      <c r="E15907" s="41" t="n">
        <v>2227.2124</v>
      </c>
    </row>
    <row r="15908">
      <c r="A15908" s="42">
        <f>_xlfn.XLOOKUP(82135,Trip[shape_id],Trip[shape_id],"Não encontrado")</f>
        <v/>
      </c>
      <c r="B15908" s="43" t="n">
        <v>-23.546253</v>
      </c>
      <c r="C15908" s="43" t="n">
        <v>-46.587304</v>
      </c>
      <c r="D15908" s="43" t="n">
        <v>45</v>
      </c>
      <c r="E15908" s="44" t="n">
        <v>2289.821</v>
      </c>
    </row>
    <row r="15909">
      <c r="A15909" s="39">
        <f>_xlfn.XLOOKUP(82135,Trip[shape_id],Trip[shape_id],"Não encontrado")</f>
        <v/>
      </c>
      <c r="B15909" s="40" t="n">
        <v>-23.546134</v>
      </c>
      <c r="C15909" s="40" t="n">
        <v>-46.586665</v>
      </c>
      <c r="D15909" s="40" t="n">
        <v>46</v>
      </c>
      <c r="E15909" s="41" t="n">
        <v>2356.3843</v>
      </c>
    </row>
    <row r="15910">
      <c r="A15910" s="42">
        <f>_xlfn.XLOOKUP(82135,Trip[shape_id],Trip[shape_id],"Não encontrado")</f>
        <v/>
      </c>
      <c r="B15910" s="43" t="n">
        <v>-23.546051</v>
      </c>
      <c r="C15910" s="43" t="n">
        <v>-46.586254</v>
      </c>
      <c r="D15910" s="43" t="n">
        <v>47</v>
      </c>
      <c r="E15910" s="44" t="n">
        <v>2399.3447</v>
      </c>
    </row>
    <row r="15911">
      <c r="A15911" s="39">
        <f>_xlfn.XLOOKUP(82135,Trip[shape_id],Trip[shape_id],"Não encontrado")</f>
        <v/>
      </c>
      <c r="B15911" s="40" t="n">
        <v>-23.545867</v>
      </c>
      <c r="C15911" s="40" t="n">
        <v>-46.585286</v>
      </c>
      <c r="D15911" s="40" t="n">
        <v>48</v>
      </c>
      <c r="E15911" s="41" t="n">
        <v>2500.2617</v>
      </c>
    </row>
    <row r="15912">
      <c r="A15912" s="42">
        <f>_xlfn.XLOOKUP(82135,Trip[shape_id],Trip[shape_id],"Não encontrado")</f>
        <v/>
      </c>
      <c r="B15912" s="43" t="n">
        <v>-23.545795</v>
      </c>
      <c r="C15912" s="43" t="n">
        <v>-46.584964</v>
      </c>
      <c r="D15912" s="43" t="n">
        <v>49</v>
      </c>
      <c r="E15912" s="44" t="n">
        <v>2534.0928</v>
      </c>
    </row>
    <row r="15913">
      <c r="A15913" s="39">
        <f>_xlfn.XLOOKUP(82135,Trip[shape_id],Trip[shape_id],"Não encontrado")</f>
        <v/>
      </c>
      <c r="B15913" s="40" t="n">
        <v>-23.546272</v>
      </c>
      <c r="C15913" s="40" t="n">
        <v>-46.584563</v>
      </c>
      <c r="D15913" s="40" t="n">
        <v>50</v>
      </c>
      <c r="E15913" s="41" t="n">
        <v>2600.9307</v>
      </c>
    </row>
    <row r="15914">
      <c r="A15914" s="42">
        <f>_xlfn.XLOOKUP(82135,Trip[shape_id],Trip[shape_id],"Não encontrado")</f>
        <v/>
      </c>
      <c r="B15914" s="43" t="n">
        <v>-23.547496</v>
      </c>
      <c r="C15914" s="43" t="n">
        <v>-46.583073</v>
      </c>
      <c r="D15914" s="43" t="n">
        <v>51</v>
      </c>
      <c r="E15914" s="44" t="n">
        <v>2814.8347</v>
      </c>
    </row>
    <row r="15915">
      <c r="A15915" s="39">
        <f>_xlfn.XLOOKUP(82135,Trip[shape_id],Trip[shape_id],"Não encontrado")</f>
        <v/>
      </c>
      <c r="B15915" s="40" t="n">
        <v>-23.547558</v>
      </c>
      <c r="C15915" s="40" t="n">
        <v>-46.583</v>
      </c>
      <c r="D15915" s="40" t="n">
        <v>52</v>
      </c>
      <c r="E15915" s="41" t="n">
        <v>2814.8347</v>
      </c>
    </row>
    <row r="15916">
      <c r="A15916" s="42">
        <f>_xlfn.XLOOKUP(82135,Trip[shape_id],Trip[shape_id],"Não encontrado")</f>
        <v/>
      </c>
      <c r="B15916" s="43" t="n">
        <v>-23.548403</v>
      </c>
      <c r="C15916" s="43" t="n">
        <v>-46.582086</v>
      </c>
      <c r="D15916" s="43" t="n">
        <v>53</v>
      </c>
      <c r="E15916" s="44" t="n">
        <v>2975.0645</v>
      </c>
    </row>
    <row r="15917">
      <c r="A15917" s="39">
        <f>_xlfn.XLOOKUP(82135,Trip[shape_id],Trip[shape_id],"Não encontrado")</f>
        <v/>
      </c>
      <c r="B15917" s="40" t="n">
        <v>-23.548587</v>
      </c>
      <c r="C15917" s="40" t="n">
        <v>-46.581897</v>
      </c>
      <c r="D15917" s="40" t="n">
        <v>54</v>
      </c>
      <c r="E15917" s="41" t="n">
        <v>3004.3958</v>
      </c>
    </row>
    <row r="15918">
      <c r="A15918" s="42">
        <f>_xlfn.XLOOKUP(82135,Trip[shape_id],Trip[shape_id],"Não encontrado")</f>
        <v/>
      </c>
      <c r="B15918" s="43" t="n">
        <v>-23.548778</v>
      </c>
      <c r="C15918" s="43" t="n">
        <v>-46.581698</v>
      </c>
      <c r="D15918" s="43" t="n">
        <v>55</v>
      </c>
      <c r="E15918" s="44" t="n">
        <v>3030.5779</v>
      </c>
    </row>
    <row r="15919">
      <c r="A15919" s="39">
        <f>_xlfn.XLOOKUP(82135,Trip[shape_id],Trip[shape_id],"Não encontrado")</f>
        <v/>
      </c>
      <c r="B15919" s="40" t="n">
        <v>-23.548962</v>
      </c>
      <c r="C15919" s="40" t="n">
        <v>-46.581537</v>
      </c>
      <c r="D15919" s="40" t="n">
        <v>56</v>
      </c>
      <c r="E15919" s="41" t="n">
        <v>3030.5779</v>
      </c>
    </row>
    <row r="15920">
      <c r="A15920" s="42">
        <f>_xlfn.XLOOKUP(82135,Trip[shape_id],Trip[shape_id],"Não encontrado")</f>
        <v/>
      </c>
      <c r="B15920" s="43" t="n">
        <v>-23.549521</v>
      </c>
      <c r="C15920" s="43" t="n">
        <v>-46.58107</v>
      </c>
      <c r="D15920" s="43" t="n">
        <v>57</v>
      </c>
      <c r="E15920" s="44" t="n">
        <v>3108.7217</v>
      </c>
    </row>
    <row r="15921">
      <c r="A15921" s="39">
        <f>_xlfn.XLOOKUP(82135,Trip[shape_id],Trip[shape_id],"Não encontrado")</f>
        <v/>
      </c>
      <c r="B15921" s="40" t="n">
        <v>-23.550061</v>
      </c>
      <c r="C15921" s="40" t="n">
        <v>-46.580642</v>
      </c>
      <c r="D15921" s="40" t="n">
        <v>58</v>
      </c>
      <c r="E15921" s="41" t="n">
        <v>3182.7922</v>
      </c>
    </row>
    <row r="15922">
      <c r="A15922" s="42">
        <f>_xlfn.XLOOKUP(82135,Trip[shape_id],Trip[shape_id],"Não encontrado")</f>
        <v/>
      </c>
      <c r="B15922" s="43" t="n">
        <v>-23.550327</v>
      </c>
      <c r="C15922" s="43" t="n">
        <v>-46.580468</v>
      </c>
      <c r="D15922" s="43" t="n">
        <v>59</v>
      </c>
      <c r="E15922" s="44" t="n">
        <v>3217.1943</v>
      </c>
    </row>
    <row r="15923">
      <c r="A15923" s="39">
        <f>_xlfn.XLOOKUP(82135,Trip[shape_id],Trip[shape_id],"Não encontrado")</f>
        <v/>
      </c>
      <c r="B15923" s="40" t="n">
        <v>-23.550723</v>
      </c>
      <c r="C15923" s="40" t="n">
        <v>-46.580215</v>
      </c>
      <c r="D15923" s="40" t="n">
        <v>60</v>
      </c>
      <c r="E15923" s="41" t="n">
        <v>3268.094</v>
      </c>
    </row>
    <row r="15924">
      <c r="A15924" s="42">
        <f>_xlfn.XLOOKUP(82135,Trip[shape_id],Trip[shape_id],"Não encontrado")</f>
        <v/>
      </c>
      <c r="B15924" s="43" t="n">
        <v>-23.551324</v>
      </c>
      <c r="C15924" s="43" t="n">
        <v>-46.579874</v>
      </c>
      <c r="D15924" s="43" t="n">
        <v>61</v>
      </c>
      <c r="E15924" s="44" t="n">
        <v>3343.2117</v>
      </c>
    </row>
    <row r="15925">
      <c r="A15925" s="39">
        <f>_xlfn.XLOOKUP(82135,Trip[shape_id],Trip[shape_id],"Não encontrado")</f>
        <v/>
      </c>
      <c r="B15925" s="40" t="n">
        <v>-23.551373</v>
      </c>
      <c r="C15925" s="40" t="n">
        <v>-46.579846</v>
      </c>
      <c r="D15925" s="40" t="n">
        <v>62</v>
      </c>
      <c r="E15925" s="41" t="n">
        <v>3365.2163</v>
      </c>
    </row>
    <row r="15926">
      <c r="A15926" s="42">
        <f>_xlfn.XLOOKUP(82135,Trip[shape_id],Trip[shape_id],"Não encontrado")</f>
        <v/>
      </c>
      <c r="B15926" s="43" t="n">
        <v>-23.5515</v>
      </c>
      <c r="C15926" s="43" t="n">
        <v>-46.579774</v>
      </c>
      <c r="D15926" s="43" t="n">
        <v>63</v>
      </c>
      <c r="E15926" s="44" t="n">
        <v>3368.9641</v>
      </c>
    </row>
    <row r="15927">
      <c r="A15927" s="39">
        <f>_xlfn.XLOOKUP(82135,Trip[shape_id],Trip[shape_id],"Não encontrado")</f>
        <v/>
      </c>
      <c r="B15927" s="40" t="n">
        <v>-23.55153</v>
      </c>
      <c r="C15927" s="40" t="n">
        <v>-46.579757</v>
      </c>
      <c r="D15927" s="40" t="n">
        <v>64</v>
      </c>
      <c r="E15927" s="41" t="n">
        <v>3369.7463</v>
      </c>
    </row>
    <row r="15928">
      <c r="A15928" s="42">
        <f>_xlfn.XLOOKUP(82135,Trip[shape_id],Trip[shape_id],"Não encontrado")</f>
        <v/>
      </c>
      <c r="B15928" s="43" t="n">
        <v>-23.551536</v>
      </c>
      <c r="C15928" s="43" t="n">
        <v>-46.579753</v>
      </c>
      <c r="D15928" s="43" t="n">
        <v>65</v>
      </c>
      <c r="E15928" s="44" t="n">
        <v>3369.7463</v>
      </c>
    </row>
    <row r="15929">
      <c r="A15929" s="39">
        <f>_xlfn.XLOOKUP(82135,Trip[shape_id],Trip[shape_id],"Não encontrado")</f>
        <v/>
      </c>
      <c r="B15929" s="40" t="n">
        <v>-23.551858</v>
      </c>
      <c r="C15929" s="40" t="n">
        <v>-46.579575</v>
      </c>
      <c r="D15929" s="40" t="n">
        <v>66</v>
      </c>
      <c r="E15929" s="41" t="n">
        <v>3409.7725</v>
      </c>
    </row>
    <row r="15930">
      <c r="A15930" s="42">
        <f>_xlfn.XLOOKUP(82135,Trip[shape_id],Trip[shape_id],"Não encontrado")</f>
        <v/>
      </c>
      <c r="B15930" s="43" t="n">
        <v>-23.55232</v>
      </c>
      <c r="C15930" s="43" t="n">
        <v>-46.579311</v>
      </c>
      <c r="D15930" s="43" t="n">
        <v>67</v>
      </c>
      <c r="E15930" s="44" t="n">
        <v>3467.6052</v>
      </c>
    </row>
    <row r="15931">
      <c r="A15931" s="39">
        <f>_xlfn.XLOOKUP(82135,Trip[shape_id],Trip[shape_id],"Não encontrado")</f>
        <v/>
      </c>
      <c r="B15931" s="40" t="n">
        <v>-23.553304</v>
      </c>
      <c r="C15931" s="40" t="n">
        <v>-46.578766</v>
      </c>
      <c r="D15931" s="40" t="n">
        <v>68</v>
      </c>
      <c r="E15931" s="41" t="n">
        <v>3589.969</v>
      </c>
    </row>
    <row r="15932">
      <c r="A15932" s="42">
        <f>_xlfn.XLOOKUP(82135,Trip[shape_id],Trip[shape_id],"Não encontrado")</f>
        <v/>
      </c>
      <c r="B15932" s="43" t="n">
        <v>-23.553413</v>
      </c>
      <c r="C15932" s="43" t="n">
        <v>-46.57848</v>
      </c>
      <c r="D15932" s="43" t="n">
        <v>69</v>
      </c>
      <c r="E15932" s="44" t="n">
        <v>3676.9185</v>
      </c>
    </row>
    <row r="15933">
      <c r="A15933" s="39">
        <f>_xlfn.XLOOKUP(82135,Trip[shape_id],Trip[shape_id],"Não encontrado")</f>
        <v/>
      </c>
      <c r="B15933" s="40" t="n">
        <v>-23.55359</v>
      </c>
      <c r="C15933" s="40" t="n">
        <v>-46.577973</v>
      </c>
      <c r="D15933" s="40" t="n">
        <v>70</v>
      </c>
      <c r="E15933" s="41" t="n">
        <v>3746.1309</v>
      </c>
    </row>
    <row r="15934">
      <c r="A15934" s="42">
        <f>_xlfn.XLOOKUP(82135,Trip[shape_id],Trip[shape_id],"Não encontrado")</f>
        <v/>
      </c>
      <c r="B15934" s="43" t="n">
        <v>-23.553832</v>
      </c>
      <c r="C15934" s="43" t="n">
        <v>-46.577348</v>
      </c>
      <c r="D15934" s="43" t="n">
        <v>71</v>
      </c>
      <c r="E15934" s="44" t="n">
        <v>3756.7986</v>
      </c>
    </row>
    <row r="15935">
      <c r="A15935" s="39">
        <f>_xlfn.XLOOKUP(82135,Trip[shape_id],Trip[shape_id],"Não encontrado")</f>
        <v/>
      </c>
      <c r="B15935" s="40" t="n">
        <v>-23.5539</v>
      </c>
      <c r="C15935" s="40" t="n">
        <v>-46.577274</v>
      </c>
      <c r="D15935" s="40" t="n">
        <v>72</v>
      </c>
      <c r="E15935" s="41" t="n">
        <v>3770.156</v>
      </c>
    </row>
    <row r="15936">
      <c r="A15936" s="42">
        <f>_xlfn.XLOOKUP(82135,Trip[shape_id],Trip[shape_id],"Não encontrado")</f>
        <v/>
      </c>
      <c r="B15936" s="43" t="n">
        <v>-23.554009</v>
      </c>
      <c r="C15936" s="43" t="n">
        <v>-46.577218</v>
      </c>
      <c r="D15936" s="43" t="n">
        <v>73</v>
      </c>
      <c r="E15936" s="44" t="n">
        <v>3770.156</v>
      </c>
    </row>
    <row r="15937">
      <c r="A15937" s="39">
        <f>_xlfn.XLOOKUP(82135,Trip[shape_id],Trip[shape_id],"Não encontrado")</f>
        <v/>
      </c>
      <c r="B15937" s="40" t="n">
        <v>-23.554129</v>
      </c>
      <c r="C15937" s="40" t="n">
        <v>-46.577265</v>
      </c>
      <c r="D15937" s="40" t="n">
        <v>74</v>
      </c>
      <c r="E15937" s="41" t="n">
        <v>3797.3838</v>
      </c>
    </row>
    <row r="15938">
      <c r="A15938" s="42">
        <f>_xlfn.XLOOKUP(82135,Trip[shape_id],Trip[shape_id],"Não encontrado")</f>
        <v/>
      </c>
      <c r="B15938" s="43" t="n">
        <v>-23.554245</v>
      </c>
      <c r="C15938" s="43" t="n">
        <v>-46.57729</v>
      </c>
      <c r="D15938" s="43" t="n">
        <v>75</v>
      </c>
      <c r="E15938" s="44" t="n">
        <v>3797.3838</v>
      </c>
    </row>
    <row r="15939">
      <c r="A15939" s="39">
        <f>_xlfn.XLOOKUP(82135,Trip[shape_id],Trip[shape_id],"Não encontrado")</f>
        <v/>
      </c>
      <c r="B15939" s="40" t="n">
        <v>-23.554443</v>
      </c>
      <c r="C15939" s="40" t="n">
        <v>-46.577217</v>
      </c>
      <c r="D15939" s="40" t="n">
        <v>76</v>
      </c>
      <c r="E15939" s="41" t="n">
        <v>3820.5449</v>
      </c>
    </row>
    <row r="15940">
      <c r="A15940" s="42">
        <f>_xlfn.XLOOKUP(82135,Trip[shape_id],Trip[shape_id],"Não encontrado")</f>
        <v/>
      </c>
      <c r="B15940" s="43" t="n">
        <v>-23.554582</v>
      </c>
      <c r="C15940" s="43" t="n">
        <v>-46.577124</v>
      </c>
      <c r="D15940" s="43" t="n">
        <v>77</v>
      </c>
      <c r="E15940" s="44" t="n">
        <v>3838.6321</v>
      </c>
    </row>
    <row r="15941">
      <c r="A15941" s="39">
        <f>_xlfn.XLOOKUP(82135,Trip[shape_id],Trip[shape_id],"Não encontrado")</f>
        <v/>
      </c>
      <c r="B15941" s="40" t="n">
        <v>-23.554679</v>
      </c>
      <c r="C15941" s="40" t="n">
        <v>-46.577013</v>
      </c>
      <c r="D15941" s="40" t="n">
        <v>78</v>
      </c>
      <c r="E15941" s="41" t="n">
        <v>3854.2478</v>
      </c>
    </row>
    <row r="15942">
      <c r="A15942" s="42">
        <f>_xlfn.XLOOKUP(82135,Trip[shape_id],Trip[shape_id],"Não encontrado")</f>
        <v/>
      </c>
      <c r="B15942" s="43" t="n">
        <v>-23.554719</v>
      </c>
      <c r="C15942" s="43" t="n">
        <v>-46.576928</v>
      </c>
      <c r="D15942" s="43" t="n">
        <v>79</v>
      </c>
      <c r="E15942" s="44" t="n">
        <v>3877.2527</v>
      </c>
    </row>
    <row r="15943">
      <c r="A15943" s="39">
        <f>_xlfn.XLOOKUP(82135,Trip[shape_id],Trip[shape_id],"Não encontrado")</f>
        <v/>
      </c>
      <c r="B15943" s="40" t="n">
        <v>-23.554771</v>
      </c>
      <c r="C15943" s="40" t="n">
        <v>-46.576811</v>
      </c>
      <c r="D15943" s="40" t="n">
        <v>80</v>
      </c>
      <c r="E15943" s="41" t="n">
        <v>3877.2527</v>
      </c>
    </row>
    <row r="15944">
      <c r="A15944" s="42">
        <f>_xlfn.XLOOKUP(82135,Trip[shape_id],Trip[shape_id],"Não encontrado")</f>
        <v/>
      </c>
      <c r="B15944" s="43" t="n">
        <v>-23.554821</v>
      </c>
      <c r="C15944" s="43" t="n">
        <v>-46.576662</v>
      </c>
      <c r="D15944" s="43" t="n">
        <v>81</v>
      </c>
      <c r="E15944" s="44" t="n">
        <v>3893.4419</v>
      </c>
    </row>
    <row r="15945">
      <c r="A15945" s="39">
        <f>_xlfn.XLOOKUP(82135,Trip[shape_id],Trip[shape_id],"Não encontrado")</f>
        <v/>
      </c>
      <c r="B15945" s="40" t="n">
        <v>-23.554847</v>
      </c>
      <c r="C15945" s="40" t="n">
        <v>-46.576584</v>
      </c>
      <c r="D15945" s="40" t="n">
        <v>82</v>
      </c>
      <c r="E15945" s="41" t="n">
        <v>3901.9102</v>
      </c>
    </row>
    <row r="15946">
      <c r="A15946" s="42">
        <f>_xlfn.XLOOKUP(82135,Trip[shape_id],Trip[shape_id],"Não encontrado")</f>
        <v/>
      </c>
      <c r="B15946" s="43" t="n">
        <v>-23.554866</v>
      </c>
      <c r="C15946" s="43" t="n">
        <v>-46.576521</v>
      </c>
      <c r="D15946" s="43" t="n">
        <v>83</v>
      </c>
      <c r="E15946" s="44" t="n">
        <v>3908.6782</v>
      </c>
    </row>
    <row r="15947">
      <c r="A15947" s="39">
        <f>_xlfn.XLOOKUP(82135,Trip[shape_id],Trip[shape_id],"Não encontrado")</f>
        <v/>
      </c>
      <c r="B15947" s="40" t="n">
        <v>-23.554892</v>
      </c>
      <c r="C15947" s="40" t="n">
        <v>-46.576435</v>
      </c>
      <c r="D15947" s="40" t="n">
        <v>84</v>
      </c>
      <c r="E15947" s="41" t="n">
        <v>3917.9187</v>
      </c>
    </row>
    <row r="15948">
      <c r="A15948" s="42">
        <f>_xlfn.XLOOKUP(82135,Trip[shape_id],Trip[shape_id],"Não encontrado")</f>
        <v/>
      </c>
      <c r="B15948" s="43" t="n">
        <v>-23.554904</v>
      </c>
      <c r="C15948" s="43" t="n">
        <v>-46.576388</v>
      </c>
      <c r="D15948" s="43" t="n">
        <v>85</v>
      </c>
      <c r="E15948" s="44" t="n">
        <v>3922.8982</v>
      </c>
    </row>
    <row r="15949">
      <c r="A15949" s="39">
        <f>_xlfn.XLOOKUP(82135,Trip[shape_id],Trip[shape_id],"Não encontrado")</f>
        <v/>
      </c>
      <c r="B15949" s="40" t="n">
        <v>-23.554909</v>
      </c>
      <c r="C15949" s="40" t="n">
        <v>-46.576333</v>
      </c>
      <c r="D15949" s="40" t="n">
        <v>86</v>
      </c>
      <c r="E15949" s="41" t="n">
        <v>3928.5415</v>
      </c>
    </row>
    <row r="15950">
      <c r="A15950" s="42">
        <f>_xlfn.XLOOKUP(82135,Trip[shape_id],Trip[shape_id],"Não encontrado")</f>
        <v/>
      </c>
      <c r="B15950" s="43" t="n">
        <v>-23.555038</v>
      </c>
      <c r="C15950" s="43" t="n">
        <v>-46.576002</v>
      </c>
      <c r="D15950" s="43" t="n">
        <v>87</v>
      </c>
      <c r="E15950" s="44" t="n">
        <v>4064.167</v>
      </c>
    </row>
    <row r="15951">
      <c r="A15951" s="39">
        <f>_xlfn.XLOOKUP(82135,Trip[shape_id],Trip[shape_id],"Não encontrado")</f>
        <v/>
      </c>
      <c r="B15951" s="40" t="n">
        <v>-23.555412</v>
      </c>
      <c r="C15951" s="40" t="n">
        <v>-46.575122</v>
      </c>
      <c r="D15951" s="40" t="n">
        <v>88</v>
      </c>
      <c r="E15951" s="41" t="n">
        <v>4166.834</v>
      </c>
    </row>
    <row r="15952">
      <c r="A15952" s="42">
        <f>_xlfn.XLOOKUP(82135,Trip[shape_id],Trip[shape_id],"Não encontrado")</f>
        <v/>
      </c>
      <c r="B15952" s="43" t="n">
        <v>-23.555818</v>
      </c>
      <c r="C15952" s="43" t="n">
        <v>-46.574218</v>
      </c>
      <c r="D15952" s="43" t="n">
        <v>89</v>
      </c>
      <c r="E15952" s="44" t="n">
        <v>4166.834</v>
      </c>
    </row>
    <row r="15953">
      <c r="A15953" s="39">
        <f>_xlfn.XLOOKUP(82135,Trip[shape_id],Trip[shape_id],"Não encontrado")</f>
        <v/>
      </c>
      <c r="B15953" s="40" t="n">
        <v>-23.556799</v>
      </c>
      <c r="C15953" s="40" t="n">
        <v>-46.571977</v>
      </c>
      <c r="D15953" s="40" t="n">
        <v>90</v>
      </c>
      <c r="E15953" s="41" t="n">
        <v>4420.1206</v>
      </c>
    </row>
    <row r="15954">
      <c r="A15954" s="42">
        <f>_xlfn.XLOOKUP(82135,Trip[shape_id],Trip[shape_id],"Não encontrado")</f>
        <v/>
      </c>
      <c r="B15954" s="43" t="n">
        <v>-23.556915</v>
      </c>
      <c r="C15954" s="43" t="n">
        <v>-46.571704</v>
      </c>
      <c r="D15954" s="43" t="n">
        <v>91</v>
      </c>
      <c r="E15954" s="44" t="n">
        <v>4500.8882</v>
      </c>
    </row>
    <row r="15955">
      <c r="A15955" s="39">
        <f>_xlfn.XLOOKUP(82135,Trip[shape_id],Trip[shape_id],"Não encontrado")</f>
        <v/>
      </c>
      <c r="B15955" s="40" t="n">
        <v>-23.557111</v>
      </c>
      <c r="C15955" s="40" t="n">
        <v>-46.571262</v>
      </c>
      <c r="D15955" s="40" t="n">
        <v>92</v>
      </c>
      <c r="E15955" s="41" t="n">
        <v>4549.7974</v>
      </c>
    </row>
    <row r="15956">
      <c r="A15956" s="42">
        <f>_xlfn.XLOOKUP(82135,Trip[shape_id],Trip[shape_id],"Não encontrado")</f>
        <v/>
      </c>
      <c r="B15956" s="43" t="n">
        <v>-23.55732</v>
      </c>
      <c r="C15956" s="43" t="n">
        <v>-46.57084</v>
      </c>
      <c r="D15956" s="43" t="n">
        <v>93</v>
      </c>
      <c r="E15956" s="44" t="n">
        <v>4593.7529</v>
      </c>
    </row>
    <row r="15957">
      <c r="A15957" s="39">
        <f>_xlfn.XLOOKUP(82135,Trip[shape_id],Trip[shape_id],"Não encontrado")</f>
        <v/>
      </c>
      <c r="B15957" s="40" t="n">
        <v>-23.557492</v>
      </c>
      <c r="C15957" s="40" t="n">
        <v>-46.570452</v>
      </c>
      <c r="D15957" s="40" t="n">
        <v>94</v>
      </c>
      <c r="E15957" s="41" t="n">
        <v>4648.5054</v>
      </c>
    </row>
    <row r="15958">
      <c r="A15958" s="42">
        <f>_xlfn.XLOOKUP(82135,Trip[shape_id],Trip[shape_id],"Não encontrado")</f>
        <v/>
      </c>
      <c r="B15958" s="43" t="n">
        <v>-23.557701</v>
      </c>
      <c r="C15958" s="43" t="n">
        <v>-46.569966</v>
      </c>
      <c r="D15958" s="43" t="n">
        <v>95</v>
      </c>
      <c r="E15958" s="44" t="n">
        <v>4648.5054</v>
      </c>
    </row>
    <row r="15959">
      <c r="A15959" s="39">
        <f>_xlfn.XLOOKUP(82135,Trip[shape_id],Trip[shape_id],"Não encontrado")</f>
        <v/>
      </c>
      <c r="B15959" s="40" t="n">
        <v>-23.55816</v>
      </c>
      <c r="C15959" s="40" t="n">
        <v>-46.568862</v>
      </c>
      <c r="D15959" s="40" t="n">
        <v>96</v>
      </c>
      <c r="E15959" s="41" t="n">
        <v>4772.1528</v>
      </c>
    </row>
    <row r="15960">
      <c r="A15960" s="42">
        <f>_xlfn.XLOOKUP(82135,Trip[shape_id],Trip[shape_id],"Não encontrado")</f>
        <v/>
      </c>
      <c r="B15960" s="43" t="n">
        <v>-23.558213</v>
      </c>
      <c r="C15960" s="43" t="n">
        <v>-46.568724</v>
      </c>
      <c r="D15960" s="43" t="n">
        <v>97</v>
      </c>
      <c r="E15960" s="44" t="n">
        <v>4787.416</v>
      </c>
    </row>
    <row r="15961">
      <c r="A15961" s="39">
        <f>_xlfn.XLOOKUP(82135,Trip[shape_id],Trip[shape_id],"Não encontrado")</f>
        <v/>
      </c>
      <c r="B15961" s="40" t="n">
        <v>-23.558521</v>
      </c>
      <c r="C15961" s="40" t="n">
        <v>-46.568018</v>
      </c>
      <c r="D15961" s="40" t="n">
        <v>98</v>
      </c>
      <c r="E15961" s="41" t="n">
        <v>4890.4502</v>
      </c>
    </row>
    <row r="15962">
      <c r="A15962" s="42">
        <f>_xlfn.XLOOKUP(82135,Trip[shape_id],Trip[shape_id],"Não encontrado")</f>
        <v/>
      </c>
      <c r="B15962" s="43" t="n">
        <v>-23.558649</v>
      </c>
      <c r="C15962" s="43" t="n">
        <v>-46.567837</v>
      </c>
      <c r="D15962" s="43" t="n">
        <v>99</v>
      </c>
      <c r="E15962" s="44" t="n">
        <v>4937.6367</v>
      </c>
    </row>
    <row r="15963">
      <c r="A15963" s="39">
        <f>_xlfn.XLOOKUP(82135,Trip[shape_id],Trip[shape_id],"Não encontrado")</f>
        <v/>
      </c>
      <c r="B15963" s="40" t="n">
        <v>-23.55898</v>
      </c>
      <c r="C15963" s="40" t="n">
        <v>-46.567546</v>
      </c>
      <c r="D15963" s="40" t="n">
        <v>100</v>
      </c>
      <c r="E15963" s="41" t="n">
        <v>4937.6367</v>
      </c>
    </row>
    <row r="15964">
      <c r="A15964" s="42">
        <f>_xlfn.XLOOKUP(82135,Trip[shape_id],Trip[shape_id],"Não encontrado")</f>
        <v/>
      </c>
      <c r="B15964" s="43" t="n">
        <v>-23.559277</v>
      </c>
      <c r="C15964" s="43" t="n">
        <v>-46.567303</v>
      </c>
      <c r="D15964" s="43" t="n">
        <v>101</v>
      </c>
      <c r="E15964" s="44" t="n">
        <v>5023.1162</v>
      </c>
    </row>
    <row r="15965">
      <c r="A15965" s="39">
        <f>_xlfn.XLOOKUP(82135,Trip[shape_id],Trip[shape_id],"Não encontrado")</f>
        <v/>
      </c>
      <c r="B15965" s="40" t="n">
        <v>-23.559597</v>
      </c>
      <c r="C15965" s="40" t="n">
        <v>-46.567043</v>
      </c>
      <c r="D15965" s="40" t="n">
        <v>102</v>
      </c>
      <c r="E15965" s="41" t="n">
        <v>5053.812</v>
      </c>
    </row>
    <row r="15966">
      <c r="A15966" s="42">
        <f>_xlfn.XLOOKUP(82135,Trip[shape_id],Trip[shape_id],"Não encontrado")</f>
        <v/>
      </c>
      <c r="B15966" s="43" t="n">
        <v>-23.559819</v>
      </c>
      <c r="C15966" s="43" t="n">
        <v>-46.566863</v>
      </c>
      <c r="D15966" s="43" t="n">
        <v>103</v>
      </c>
      <c r="E15966" s="44" t="n">
        <v>5053.812</v>
      </c>
    </row>
    <row r="15967">
      <c r="A15967" s="39">
        <f>_xlfn.XLOOKUP(82135,Trip[shape_id],Trip[shape_id],"Não encontrado")</f>
        <v/>
      </c>
      <c r="B15967" s="40" t="n">
        <v>-23.559896</v>
      </c>
      <c r="C15967" s="40" t="n">
        <v>-46.566809</v>
      </c>
      <c r="D15967" s="40" t="n">
        <v>104</v>
      </c>
      <c r="E15967" s="41" t="n">
        <v>5063.9668</v>
      </c>
    </row>
    <row r="15968">
      <c r="A15968" s="42">
        <f>_xlfn.XLOOKUP(82135,Trip[shape_id],Trip[shape_id],"Não encontrado")</f>
        <v/>
      </c>
      <c r="B15968" s="43" t="n">
        <v>-23.559948</v>
      </c>
      <c r="C15968" s="43" t="n">
        <v>-46.56667</v>
      </c>
      <c r="D15968" s="43" t="n">
        <v>105</v>
      </c>
      <c r="E15968" s="44" t="n">
        <v>5103.668</v>
      </c>
    </row>
    <row r="15969">
      <c r="A15969" s="39">
        <f>_xlfn.XLOOKUP(82135,Trip[shape_id],Trip[shape_id],"Não encontrado")</f>
        <v/>
      </c>
      <c r="B15969" s="40" t="n">
        <v>-23.560061</v>
      </c>
      <c r="C15969" s="40" t="n">
        <v>-46.566465</v>
      </c>
      <c r="D15969" s="40" t="n">
        <v>106</v>
      </c>
      <c r="E15969" s="41" t="n">
        <v>5103.668</v>
      </c>
    </row>
    <row r="15970">
      <c r="A15970" s="42">
        <f>_xlfn.XLOOKUP(82135,Trip[shape_id],Trip[shape_id],"Não encontrado")</f>
        <v/>
      </c>
      <c r="B15970" s="43" t="n">
        <v>-23.560165</v>
      </c>
      <c r="C15970" s="43" t="n">
        <v>-46.566297</v>
      </c>
      <c r="D15970" s="43" t="n">
        <v>107</v>
      </c>
      <c r="E15970" s="44" t="n">
        <v>5141.2363</v>
      </c>
    </row>
    <row r="15971">
      <c r="A15971" s="39">
        <f>_xlfn.XLOOKUP(82135,Trip[shape_id],Trip[shape_id],"Não encontrado")</f>
        <v/>
      </c>
      <c r="B15971" s="40" t="n">
        <v>-23.560248</v>
      </c>
      <c r="C15971" s="40" t="n">
        <v>-46.566158</v>
      </c>
      <c r="D15971" s="40" t="n">
        <v>108</v>
      </c>
      <c r="E15971" s="41" t="n">
        <v>5141.2363</v>
      </c>
    </row>
    <row r="15972">
      <c r="A15972" s="42">
        <f>_xlfn.XLOOKUP(82135,Trip[shape_id],Trip[shape_id],"Não encontrado")</f>
        <v/>
      </c>
      <c r="B15972" s="43" t="n">
        <v>-23.560302</v>
      </c>
      <c r="C15972" s="43" t="n">
        <v>-46.565984</v>
      </c>
      <c r="D15972" s="43" t="n">
        <v>109</v>
      </c>
      <c r="E15972" s="44" t="n">
        <v>5201.6738</v>
      </c>
    </row>
    <row r="15973">
      <c r="A15973" s="39">
        <f>_xlfn.XLOOKUP(82135,Trip[shape_id],Trip[shape_id],"Não encontrado")</f>
        <v/>
      </c>
      <c r="B15973" s="40" t="n">
        <v>-23.560469</v>
      </c>
      <c r="C15973" s="40" t="n">
        <v>-46.565618</v>
      </c>
      <c r="D15973" s="40" t="n">
        <v>110</v>
      </c>
      <c r="E15973" s="41" t="n">
        <v>5201.6738</v>
      </c>
    </row>
    <row r="15974">
      <c r="A15974" s="42">
        <f>_xlfn.XLOOKUP(82135,Trip[shape_id],Trip[shape_id],"Não encontrado")</f>
        <v/>
      </c>
      <c r="B15974" s="43" t="n">
        <v>-23.561046</v>
      </c>
      <c r="C15974" s="43" t="n">
        <v>-46.564338</v>
      </c>
      <c r="D15974" s="43" t="n">
        <v>111</v>
      </c>
      <c r="E15974" s="44" t="n">
        <v>5400.0503</v>
      </c>
    </row>
    <row r="15975">
      <c r="A15975" s="39">
        <f>_xlfn.XLOOKUP(82135,Trip[shape_id],Trip[shape_id],"Não encontrado")</f>
        <v/>
      </c>
      <c r="B15975" s="40" t="n">
        <v>-23.561266</v>
      </c>
      <c r="C15975" s="40" t="n">
        <v>-46.563878</v>
      </c>
      <c r="D15975" s="40" t="n">
        <v>112</v>
      </c>
      <c r="E15975" s="41" t="n">
        <v>5400.0503</v>
      </c>
    </row>
    <row r="15976">
      <c r="A15976" s="42">
        <f>_xlfn.XLOOKUP(82135,Trip[shape_id],Trip[shape_id],"Não encontrado")</f>
        <v/>
      </c>
      <c r="B15976" s="43" t="n">
        <v>-23.561329</v>
      </c>
      <c r="C15976" s="43" t="n">
        <v>-46.5638</v>
      </c>
      <c r="D15976" s="43" t="n">
        <v>113</v>
      </c>
      <c r="E15976" s="44" t="n">
        <v>5448.564</v>
      </c>
    </row>
    <row r="15977">
      <c r="A15977" s="39">
        <f>_xlfn.XLOOKUP(82135,Trip[shape_id],Trip[shape_id],"Não encontrado")</f>
        <v/>
      </c>
      <c r="B15977" s="40" t="n">
        <v>-23.561477</v>
      </c>
      <c r="C15977" s="40" t="n">
        <v>-46.563465</v>
      </c>
      <c r="D15977" s="40" t="n">
        <v>114</v>
      </c>
      <c r="E15977" s="41" t="n">
        <v>5448.564</v>
      </c>
    </row>
    <row r="15978">
      <c r="A15978" s="42">
        <f>_xlfn.XLOOKUP(82135,Trip[shape_id],Trip[shape_id],"Não encontrado")</f>
        <v/>
      </c>
      <c r="B15978" s="43" t="n">
        <v>-23.561583</v>
      </c>
      <c r="C15978" s="43" t="n">
        <v>-46.563195</v>
      </c>
      <c r="D15978" s="43" t="n">
        <v>115</v>
      </c>
      <c r="E15978" s="44" t="n">
        <v>5478.5249</v>
      </c>
    </row>
    <row r="15979">
      <c r="A15979" s="39">
        <f>_xlfn.XLOOKUP(82135,Trip[shape_id],Trip[shape_id],"Não encontrado")</f>
        <v/>
      </c>
      <c r="B15979" s="40" t="n">
        <v>-23.561658</v>
      </c>
      <c r="C15979" s="40" t="n">
        <v>-46.563017</v>
      </c>
      <c r="D15979" s="40" t="n">
        <v>116</v>
      </c>
      <c r="E15979" s="41" t="n">
        <v>5498.5059</v>
      </c>
    </row>
    <row r="15980">
      <c r="A15980" s="42">
        <f>_xlfn.XLOOKUP(82135,Trip[shape_id],Trip[shape_id],"Não encontrado")</f>
        <v/>
      </c>
      <c r="B15980" s="43" t="n">
        <v>-23.561972</v>
      </c>
      <c r="C15980" s="43" t="n">
        <v>-46.562284</v>
      </c>
      <c r="D15980" s="43" t="n">
        <v>117</v>
      </c>
      <c r="E15980" s="44" t="n">
        <v>5636.4082</v>
      </c>
    </row>
    <row r="15981">
      <c r="A15981" s="39">
        <f>_xlfn.XLOOKUP(82135,Trip[shape_id],Trip[shape_id],"Não encontrado")</f>
        <v/>
      </c>
      <c r="B15981" s="40" t="n">
        <v>-23.562196</v>
      </c>
      <c r="C15981" s="40" t="n">
        <v>-46.561799</v>
      </c>
      <c r="D15981" s="40" t="n">
        <v>118</v>
      </c>
      <c r="E15981" s="41" t="n">
        <v>5636.4082</v>
      </c>
    </row>
    <row r="15982">
      <c r="A15982" s="42">
        <f>_xlfn.XLOOKUP(82135,Trip[shape_id],Trip[shape_id],"Não encontrado")</f>
        <v/>
      </c>
      <c r="B15982" s="43" t="n">
        <v>-23.562471</v>
      </c>
      <c r="C15982" s="43" t="n">
        <v>-46.561177</v>
      </c>
      <c r="D15982" s="43" t="n">
        <v>119</v>
      </c>
      <c r="E15982" s="44" t="n">
        <v>5743.8442</v>
      </c>
    </row>
    <row r="15983">
      <c r="A15983" s="39">
        <f>_xlfn.XLOOKUP(82135,Trip[shape_id],Trip[shape_id],"Não encontrado")</f>
        <v/>
      </c>
      <c r="B15983" s="40" t="n">
        <v>-23.562619</v>
      </c>
      <c r="C15983" s="40" t="n">
        <v>-46.560852</v>
      </c>
      <c r="D15983" s="40" t="n">
        <v>120</v>
      </c>
      <c r="E15983" s="41" t="n">
        <v>5743.8442</v>
      </c>
    </row>
    <row r="15984">
      <c r="A15984" s="42">
        <f>_xlfn.XLOOKUP(82135,Trip[shape_id],Trip[shape_id],"Não encontrado")</f>
        <v/>
      </c>
      <c r="B15984" s="43" t="n">
        <v>-23.562812</v>
      </c>
      <c r="C15984" s="43" t="n">
        <v>-46.56035</v>
      </c>
      <c r="D15984" s="43" t="n">
        <v>121</v>
      </c>
      <c r="E15984" s="44" t="n">
        <v>5799.3735</v>
      </c>
    </row>
    <row r="15985">
      <c r="A15985" s="39">
        <f>_xlfn.XLOOKUP(82135,Trip[shape_id],Trip[shape_id],"Não encontrado")</f>
        <v/>
      </c>
      <c r="B15985" s="40" t="n">
        <v>-23.562851</v>
      </c>
      <c r="C15985" s="40" t="n">
        <v>-46.560175</v>
      </c>
      <c r="D15985" s="40" t="n">
        <v>122</v>
      </c>
      <c r="E15985" s="41" t="n">
        <v>5817.7544</v>
      </c>
    </row>
    <row r="15986">
      <c r="A15986" s="42">
        <f>_xlfn.XLOOKUP(82135,Trip[shape_id],Trip[shape_id],"Não encontrado")</f>
        <v/>
      </c>
      <c r="B15986" s="43" t="n">
        <v>-23.562878</v>
      </c>
      <c r="C15986" s="43" t="n">
        <v>-46.560003</v>
      </c>
      <c r="D15986" s="43" t="n">
        <v>123</v>
      </c>
      <c r="E15986" s="44" t="n">
        <v>5835.5669</v>
      </c>
    </row>
    <row r="15987">
      <c r="A15987" s="39">
        <f>_xlfn.XLOOKUP(82135,Trip[shape_id],Trip[shape_id],"Não encontrado")</f>
        <v/>
      </c>
      <c r="B15987" s="40" t="n">
        <v>-23.562879</v>
      </c>
      <c r="C15987" s="40" t="n">
        <v>-46.559926</v>
      </c>
      <c r="D15987" s="40" t="n">
        <v>124</v>
      </c>
      <c r="E15987" s="41" t="n">
        <v>5843.4282</v>
      </c>
    </row>
    <row r="15988">
      <c r="A15988" s="42">
        <f>_xlfn.XLOOKUP(82135,Trip[shape_id],Trip[shape_id],"Não encontrado")</f>
        <v/>
      </c>
      <c r="B15988" s="43" t="n">
        <v>-23.562878</v>
      </c>
      <c r="C15988" s="43" t="n">
        <v>-46.55966</v>
      </c>
      <c r="D15988" s="43" t="n">
        <v>125</v>
      </c>
      <c r="E15988" s="44" t="n">
        <v>5870.585</v>
      </c>
    </row>
    <row r="15989">
      <c r="A15989" s="39">
        <f>_xlfn.XLOOKUP(82135,Trip[shape_id],Trip[shape_id],"Não encontrado")</f>
        <v/>
      </c>
      <c r="B15989" s="40" t="n">
        <v>-23.562856</v>
      </c>
      <c r="C15989" s="40" t="n">
        <v>-46.559448</v>
      </c>
      <c r="D15989" s="40" t="n">
        <v>126</v>
      </c>
      <c r="E15989" s="41" t="n">
        <v>5892.3652</v>
      </c>
    </row>
    <row r="15990">
      <c r="A15990" s="42">
        <f>_xlfn.XLOOKUP(82135,Trip[shape_id],Trip[shape_id],"Não encontrado")</f>
        <v/>
      </c>
      <c r="B15990" s="43" t="n">
        <v>-23.562827</v>
      </c>
      <c r="C15990" s="43" t="n">
        <v>-46.559191</v>
      </c>
      <c r="D15990" s="43" t="n">
        <v>127</v>
      </c>
      <c r="E15990" s="44" t="n">
        <v>5918.7988</v>
      </c>
    </row>
    <row r="15991">
      <c r="A15991" s="39">
        <f>_xlfn.XLOOKUP(82135,Trip[shape_id],Trip[shape_id],"Não encontrado")</f>
        <v/>
      </c>
      <c r="B15991" s="40" t="n">
        <v>-23.562783</v>
      </c>
      <c r="C15991" s="40" t="n">
        <v>-46.559005</v>
      </c>
      <c r="D15991" s="40" t="n">
        <v>128</v>
      </c>
      <c r="E15991" s="41" t="n">
        <v>5938.4033</v>
      </c>
    </row>
    <row r="15992">
      <c r="A15992" s="42">
        <f>_xlfn.XLOOKUP(82135,Trip[shape_id],Trip[shape_id],"Não encontrado")</f>
        <v/>
      </c>
      <c r="B15992" s="43" t="n">
        <v>-23.562652</v>
      </c>
      <c r="C15992" s="43" t="n">
        <v>-46.558394</v>
      </c>
      <c r="D15992" s="43" t="n">
        <v>129</v>
      </c>
      <c r="E15992" s="44" t="n">
        <v>6002.4468</v>
      </c>
    </row>
    <row r="15993">
      <c r="A15993" s="39">
        <f>_xlfn.XLOOKUP(82135,Trip[shape_id],Trip[shape_id],"Não encontrado")</f>
        <v/>
      </c>
      <c r="B15993" s="40" t="n">
        <v>-23.562564</v>
      </c>
      <c r="C15993" s="40" t="n">
        <v>-46.558066</v>
      </c>
      <c r="D15993" s="40" t="n">
        <v>130</v>
      </c>
      <c r="E15993" s="41" t="n">
        <v>6052.1763</v>
      </c>
    </row>
    <row r="15994">
      <c r="A15994" s="42">
        <f>_xlfn.XLOOKUP(82135,Trip[shape_id],Trip[shape_id],"Não encontrado")</f>
        <v/>
      </c>
      <c r="B15994" s="43" t="n">
        <v>-23.562514</v>
      </c>
      <c r="C15994" s="43" t="n">
        <v>-46.557931</v>
      </c>
      <c r="D15994" s="43" t="n">
        <v>131</v>
      </c>
      <c r="E15994" s="44" t="n">
        <v>6052.1763</v>
      </c>
    </row>
    <row r="15995">
      <c r="A15995" s="39">
        <f>_xlfn.XLOOKUP(82135,Trip[shape_id],Trip[shape_id],"Não encontrado")</f>
        <v/>
      </c>
      <c r="B15995" s="40" t="n">
        <v>-23.56238</v>
      </c>
      <c r="C15995" s="40" t="n">
        <v>-46.557333</v>
      </c>
      <c r="D15995" s="40" t="n">
        <v>132</v>
      </c>
      <c r="E15995" s="41" t="n">
        <v>6115.0059</v>
      </c>
    </row>
    <row r="15996">
      <c r="A15996" s="42">
        <f>_xlfn.XLOOKUP(82135,Trip[shape_id],Trip[shape_id],"Não encontrado")</f>
        <v/>
      </c>
      <c r="B15996" s="43" t="n">
        <v>-23.562326</v>
      </c>
      <c r="C15996" s="43" t="n">
        <v>-46.557103</v>
      </c>
      <c r="D15996" s="43" t="n">
        <v>133</v>
      </c>
      <c r="E15996" s="44" t="n">
        <v>6139.2368</v>
      </c>
    </row>
    <row r="15997">
      <c r="A15997" s="39">
        <f>_xlfn.XLOOKUP(82135,Trip[shape_id],Trip[shape_id],"Não encontrado")</f>
        <v/>
      </c>
      <c r="B15997" s="40" t="n">
        <v>-23.562262</v>
      </c>
      <c r="C15997" s="40" t="n">
        <v>-46.556791</v>
      </c>
      <c r="D15997" s="40" t="n">
        <v>134</v>
      </c>
      <c r="E15997" s="41" t="n">
        <v>6171.8691</v>
      </c>
    </row>
    <row r="15998">
      <c r="A15998" s="42">
        <f>_xlfn.XLOOKUP(82135,Trip[shape_id],Trip[shape_id],"Não encontrado")</f>
        <v/>
      </c>
      <c r="B15998" s="43" t="n">
        <v>-23.56218</v>
      </c>
      <c r="C15998" s="43" t="n">
        <v>-46.556456</v>
      </c>
      <c r="D15998" s="43" t="n">
        <v>135</v>
      </c>
      <c r="E15998" s="44" t="n">
        <v>6207.2554</v>
      </c>
    </row>
    <row r="15999">
      <c r="A15999" s="39">
        <f>_xlfn.XLOOKUP(82135,Trip[shape_id],Trip[shape_id],"Não encontrado")</f>
        <v/>
      </c>
      <c r="B15999" s="40" t="n">
        <v>-23.562144</v>
      </c>
      <c r="C15999" s="40" t="n">
        <v>-46.55627</v>
      </c>
      <c r="D15999" s="40" t="n">
        <v>136</v>
      </c>
      <c r="E15999" s="41" t="n">
        <v>6238.6284</v>
      </c>
    </row>
    <row r="16000">
      <c r="A16000" s="42">
        <f>_xlfn.XLOOKUP(82135,Trip[shape_id],Trip[shape_id],"Não encontrado")</f>
        <v/>
      </c>
      <c r="B16000" s="43" t="n">
        <v>-23.562137</v>
      </c>
      <c r="C16000" s="43" t="n">
        <v>-46.556153</v>
      </c>
      <c r="D16000" s="43" t="n">
        <v>137</v>
      </c>
      <c r="E16000" s="44" t="n">
        <v>6238.6284</v>
      </c>
    </row>
    <row r="16001">
      <c r="A16001" s="39">
        <f>_xlfn.XLOOKUP(82135,Trip[shape_id],Trip[shape_id],"Não encontrado")</f>
        <v/>
      </c>
      <c r="B16001" s="40" t="n">
        <v>-23.562141</v>
      </c>
      <c r="C16001" s="40" t="n">
        <v>-46.556017</v>
      </c>
      <c r="D16001" s="40" t="n">
        <v>138</v>
      </c>
      <c r="E16001" s="41" t="n">
        <v>6271.1182</v>
      </c>
    </row>
    <row r="16002">
      <c r="A16002" s="42">
        <f>_xlfn.XLOOKUP(82135,Trip[shape_id],Trip[shape_id],"Não encontrado")</f>
        <v/>
      </c>
      <c r="B16002" s="43" t="n">
        <v>-23.56216</v>
      </c>
      <c r="C16002" s="43" t="n">
        <v>-46.555836</v>
      </c>
      <c r="D16002" s="43" t="n">
        <v>139</v>
      </c>
      <c r="E16002" s="44" t="n">
        <v>6283.0928</v>
      </c>
    </row>
    <row r="16003">
      <c r="A16003" s="39">
        <f>_xlfn.XLOOKUP(82135,Trip[shape_id],Trip[shape_id],"Não encontrado")</f>
        <v/>
      </c>
      <c r="B16003" s="40" t="n">
        <v>-23.562176</v>
      </c>
      <c r="C16003" s="40" t="n">
        <v>-46.55572</v>
      </c>
      <c r="D16003" s="40" t="n">
        <v>140</v>
      </c>
      <c r="E16003" s="41" t="n">
        <v>6300.8525</v>
      </c>
    </row>
    <row r="16004">
      <c r="A16004" s="42">
        <f>_xlfn.XLOOKUP(82135,Trip[shape_id],Trip[shape_id],"Não encontrado")</f>
        <v/>
      </c>
      <c r="B16004" s="43" t="n">
        <v>-23.562214</v>
      </c>
      <c r="C16004" s="43" t="n">
        <v>-46.555551</v>
      </c>
      <c r="D16004" s="43" t="n">
        <v>141</v>
      </c>
      <c r="E16004" s="44" t="n">
        <v>6300.8525</v>
      </c>
    </row>
    <row r="16005">
      <c r="A16005" s="39">
        <f>_xlfn.XLOOKUP(82135,Trip[shape_id],Trip[shape_id],"Não encontrado")</f>
        <v/>
      </c>
      <c r="B16005" s="40" t="n">
        <v>-23.562285</v>
      </c>
      <c r="C16005" s="40" t="n">
        <v>-46.555364</v>
      </c>
      <c r="D16005" s="40" t="n">
        <v>142</v>
      </c>
      <c r="E16005" s="41" t="n">
        <v>6342.1475</v>
      </c>
    </row>
    <row r="16006">
      <c r="A16006" s="42">
        <f>_xlfn.XLOOKUP(82135,Trip[shape_id],Trip[shape_id],"Não encontrado")</f>
        <v/>
      </c>
      <c r="B16006" s="43" t="n">
        <v>-23.56237</v>
      </c>
      <c r="C16006" s="43" t="n">
        <v>-46.555184</v>
      </c>
      <c r="D16006" s="43" t="n">
        <v>143</v>
      </c>
      <c r="E16006" s="44" t="n">
        <v>6342.1475</v>
      </c>
    </row>
    <row r="16007">
      <c r="A16007" s="39">
        <f>_xlfn.XLOOKUP(82135,Trip[shape_id],Trip[shape_id],"Não encontrado")</f>
        <v/>
      </c>
      <c r="B16007" s="40" t="n">
        <v>-23.5625</v>
      </c>
      <c r="C16007" s="40" t="n">
        <v>-46.554956</v>
      </c>
      <c r="D16007" s="40" t="n">
        <v>144</v>
      </c>
      <c r="E16007" s="41" t="n">
        <v>6369.5176</v>
      </c>
    </row>
    <row r="16008">
      <c r="A16008" s="42">
        <f>_xlfn.XLOOKUP(82135,Trip[shape_id],Trip[shape_id],"Não encontrado")</f>
        <v/>
      </c>
      <c r="B16008" s="43" t="n">
        <v>-23.562672</v>
      </c>
      <c r="C16008" s="43" t="n">
        <v>-46.554743</v>
      </c>
      <c r="D16008" s="43" t="n">
        <v>145</v>
      </c>
      <c r="E16008" s="44" t="n">
        <v>6398.4268</v>
      </c>
    </row>
    <row r="16009">
      <c r="A16009" s="39">
        <f>_xlfn.XLOOKUP(82135,Trip[shape_id],Trip[shape_id],"Não encontrado")</f>
        <v/>
      </c>
      <c r="B16009" s="40" t="n">
        <v>-23.562841</v>
      </c>
      <c r="C16009" s="40" t="n">
        <v>-46.554526</v>
      </c>
      <c r="D16009" s="40" t="n">
        <v>146</v>
      </c>
      <c r="E16009" s="41" t="n">
        <v>6449.7788</v>
      </c>
    </row>
    <row r="16010">
      <c r="A16010" s="42">
        <f>_xlfn.XLOOKUP(82135,Trip[shape_id],Trip[shape_id],"Não encontrado")</f>
        <v/>
      </c>
      <c r="B16010" s="43" t="n">
        <v>-23.562967</v>
      </c>
      <c r="C16010" s="43" t="n">
        <v>-46.554355</v>
      </c>
      <c r="D16010" s="43" t="n">
        <v>147</v>
      </c>
      <c r="E16010" s="44" t="n">
        <v>6449.7788</v>
      </c>
    </row>
    <row r="16011">
      <c r="A16011" s="39">
        <f>_xlfn.XLOOKUP(82135,Trip[shape_id],Trip[shape_id],"Não encontrado")</f>
        <v/>
      </c>
      <c r="B16011" s="40" t="n">
        <v>-23.563309</v>
      </c>
      <c r="C16011" s="40" t="n">
        <v>-46.55393</v>
      </c>
      <c r="D16011" s="40" t="n">
        <v>148</v>
      </c>
      <c r="E16011" s="41" t="n">
        <v>6520.0801</v>
      </c>
    </row>
    <row r="16012">
      <c r="A16012" s="42">
        <f>_xlfn.XLOOKUP(82135,Trip[shape_id],Trip[shape_id],"Não encontrado")</f>
        <v/>
      </c>
      <c r="B16012" s="43" t="n">
        <v>-23.563372</v>
      </c>
      <c r="C16012" s="43" t="n">
        <v>-46.553826</v>
      </c>
      <c r="D16012" s="43" t="n">
        <v>149</v>
      </c>
      <c r="E16012" s="44" t="n">
        <v>6520.0801</v>
      </c>
    </row>
    <row r="16013">
      <c r="A16013" s="39">
        <f>_xlfn.XLOOKUP(82135,Trip[shape_id],Trip[shape_id],"Não encontrado")</f>
        <v/>
      </c>
      <c r="B16013" s="40" t="n">
        <v>-23.563458</v>
      </c>
      <c r="C16013" s="40" t="n">
        <v>-46.553608</v>
      </c>
      <c r="D16013" s="40" t="n">
        <v>150</v>
      </c>
      <c r="E16013" s="41" t="n">
        <v>6564.9756</v>
      </c>
    </row>
    <row r="16014">
      <c r="A16014" s="42">
        <f>_xlfn.XLOOKUP(82135,Trip[shape_id],Trip[shape_id],"Não encontrado")</f>
        <v/>
      </c>
      <c r="B16014" s="43" t="n">
        <v>-23.563488</v>
      </c>
      <c r="C16014" s="43" t="n">
        <v>-46.553408</v>
      </c>
      <c r="D16014" s="43" t="n">
        <v>151</v>
      </c>
      <c r="E16014" s="44" t="n">
        <v>6586.9429</v>
      </c>
    </row>
    <row r="16015">
      <c r="A16015" s="39">
        <f>_xlfn.XLOOKUP(82135,Trip[shape_id],Trip[shape_id],"Não encontrado")</f>
        <v/>
      </c>
      <c r="B16015" s="40" t="n">
        <v>-23.563496</v>
      </c>
      <c r="C16015" s="40" t="n">
        <v>-46.553193</v>
      </c>
      <c r="D16015" s="40" t="n">
        <v>152</v>
      </c>
      <c r="E16015" s="41" t="n">
        <v>6606.4219</v>
      </c>
    </row>
    <row r="16016">
      <c r="A16016" s="42">
        <f>_xlfn.XLOOKUP(82135,Trip[shape_id],Trip[shape_id],"Não encontrado")</f>
        <v/>
      </c>
      <c r="B16016" s="43" t="n">
        <v>-23.563466</v>
      </c>
      <c r="C16016" s="43" t="n">
        <v>-46.553005</v>
      </c>
      <c r="D16016" s="43" t="n">
        <v>153</v>
      </c>
      <c r="E16016" s="44" t="n">
        <v>6624.5859</v>
      </c>
    </row>
    <row r="16017">
      <c r="A16017" s="39">
        <f>_xlfn.XLOOKUP(82135,Trip[shape_id],Trip[shape_id],"Não encontrado")</f>
        <v/>
      </c>
      <c r="B16017" s="40" t="n">
        <v>-23.563412</v>
      </c>
      <c r="C16017" s="40" t="n">
        <v>-46.552837</v>
      </c>
      <c r="D16017" s="40" t="n">
        <v>154</v>
      </c>
      <c r="E16017" s="41" t="n">
        <v>6637.437</v>
      </c>
    </row>
    <row r="16018">
      <c r="A16018" s="42">
        <f>_xlfn.XLOOKUP(82135,Trip[shape_id],Trip[shape_id],"Não encontrado")</f>
        <v/>
      </c>
      <c r="B16018" s="43" t="n">
        <v>-23.563348</v>
      </c>
      <c r="C16018" s="43" t="n">
        <v>-46.552732</v>
      </c>
      <c r="D16018" s="43" t="n">
        <v>155</v>
      </c>
      <c r="E16018" s="44" t="n">
        <v>6646.1958</v>
      </c>
    </row>
    <row r="16019">
      <c r="A16019" s="39">
        <f>_xlfn.XLOOKUP(82135,Trip[shape_id],Trip[shape_id],"Não encontrado")</f>
        <v/>
      </c>
      <c r="B16019" s="40" t="n">
        <v>-23.563301</v>
      </c>
      <c r="C16019" s="40" t="n">
        <v>-46.552663</v>
      </c>
      <c r="D16019" s="40" t="n">
        <v>156</v>
      </c>
      <c r="E16019" s="41" t="n">
        <v>6660.46</v>
      </c>
    </row>
    <row r="16020">
      <c r="A16020" s="42">
        <f>_xlfn.XLOOKUP(82135,Trip[shape_id],Trip[shape_id],"Não encontrado")</f>
        <v/>
      </c>
      <c r="B16020" s="43" t="n">
        <v>-23.563224</v>
      </c>
      <c r="C16020" s="43" t="n">
        <v>-46.552551</v>
      </c>
      <c r="D16020" s="43" t="n">
        <v>157</v>
      </c>
      <c r="E16020" s="44" t="n">
        <v>6681.3496</v>
      </c>
    </row>
    <row r="16021">
      <c r="A16021" s="39">
        <f>_xlfn.XLOOKUP(82135,Trip[shape_id],Trip[shape_id],"Não encontrado")</f>
        <v/>
      </c>
      <c r="B16021" s="40" t="n">
        <v>-23.56309</v>
      </c>
      <c r="C16021" s="40" t="n">
        <v>-46.552407</v>
      </c>
      <c r="D16021" s="40" t="n">
        <v>158</v>
      </c>
      <c r="E16021" s="41" t="n">
        <v>6709.813</v>
      </c>
    </row>
    <row r="16022">
      <c r="A16022" s="42">
        <f>_xlfn.XLOOKUP(82135,Trip[shape_id],Trip[shape_id],"Não encontrado")</f>
        <v/>
      </c>
      <c r="B16022" s="43" t="n">
        <v>-23.562877</v>
      </c>
      <c r="C16022" s="43" t="n">
        <v>-46.552251</v>
      </c>
      <c r="D16022" s="43" t="n">
        <v>159</v>
      </c>
      <c r="E16022" s="44" t="n">
        <v>6709.813</v>
      </c>
    </row>
    <row r="16023">
      <c r="A16023" s="39">
        <f>_xlfn.XLOOKUP(82135,Trip[shape_id],Trip[shape_id],"Não encontrado")</f>
        <v/>
      </c>
      <c r="B16023" s="40" t="n">
        <v>-23.562783</v>
      </c>
      <c r="C16023" s="40" t="n">
        <v>-46.55218</v>
      </c>
      <c r="D16023" s="40" t="n">
        <v>160</v>
      </c>
      <c r="E16023" s="41" t="n">
        <v>6732.5366</v>
      </c>
    </row>
    <row r="16024">
      <c r="A16024" s="42">
        <f>_xlfn.XLOOKUP(82135,Trip[shape_id],Trip[shape_id],"Não encontrado")</f>
        <v/>
      </c>
      <c r="B16024" s="43" t="n">
        <v>-23.562715</v>
      </c>
      <c r="C16024" s="43" t="n">
        <v>-46.552115</v>
      </c>
      <c r="D16024" s="43" t="n">
        <v>161</v>
      </c>
      <c r="E16024" s="44" t="n">
        <v>6748.3467</v>
      </c>
    </row>
    <row r="16025">
      <c r="A16025" s="39">
        <f>_xlfn.XLOOKUP(82135,Trip[shape_id],Trip[shape_id],"Não encontrado")</f>
        <v/>
      </c>
      <c r="B16025" s="40" t="n">
        <v>-23.562606</v>
      </c>
      <c r="C16025" s="40" t="n">
        <v>-46.552015</v>
      </c>
      <c r="D16025" s="40" t="n">
        <v>162</v>
      </c>
      <c r="E16025" s="41" t="n">
        <v>6767.27</v>
      </c>
    </row>
    <row r="16026">
      <c r="A16026" s="42">
        <f>_xlfn.XLOOKUP(82135,Trip[shape_id],Trip[shape_id],"Não encontrado")</f>
        <v/>
      </c>
      <c r="B16026" s="43" t="n">
        <v>-23.562479</v>
      </c>
      <c r="C16026" s="43" t="n">
        <v>-46.551891</v>
      </c>
      <c r="D16026" s="43" t="n">
        <v>163</v>
      </c>
      <c r="E16026" s="44" t="n">
        <v>6781.9126</v>
      </c>
    </row>
    <row r="16027">
      <c r="A16027" s="39">
        <f>_xlfn.XLOOKUP(82135,Trip[shape_id],Trip[shape_id],"Não encontrado")</f>
        <v/>
      </c>
      <c r="B16027" s="40" t="n">
        <v>-23.562411</v>
      </c>
      <c r="C16027" s="40" t="n">
        <v>-46.551768</v>
      </c>
      <c r="D16027" s="40" t="n">
        <v>164</v>
      </c>
      <c r="E16027" s="41" t="n">
        <v>6793.7866</v>
      </c>
    </row>
    <row r="16028">
      <c r="A16028" s="42">
        <f>_xlfn.XLOOKUP(82135,Trip[shape_id],Trip[shape_id],"Não encontrado")</f>
        <v/>
      </c>
      <c r="B16028" s="43" t="n">
        <v>-23.562363</v>
      </c>
      <c r="C16028" s="43" t="n">
        <v>-46.551664</v>
      </c>
      <c r="D16028" s="43" t="n">
        <v>165</v>
      </c>
      <c r="E16028" s="44" t="n">
        <v>6793.7866</v>
      </c>
    </row>
    <row r="16029">
      <c r="A16029" s="39">
        <f>_xlfn.XLOOKUP(82135,Trip[shape_id],Trip[shape_id],"Não encontrado")</f>
        <v/>
      </c>
      <c r="B16029" s="40" t="n">
        <v>-23.562325</v>
      </c>
      <c r="C16029" s="40" t="n">
        <v>-46.551401</v>
      </c>
      <c r="D16029" s="40" t="n">
        <v>166</v>
      </c>
      <c r="E16029" s="41" t="n">
        <v>6857.4795</v>
      </c>
    </row>
    <row r="16030">
      <c r="A16030" s="42">
        <f>_xlfn.XLOOKUP(82135,Trip[shape_id],Trip[shape_id],"Não encontrado")</f>
        <v/>
      </c>
      <c r="B16030" s="43" t="n">
        <v>-23.562305</v>
      </c>
      <c r="C16030" s="43" t="n">
        <v>-46.551044</v>
      </c>
      <c r="D16030" s="43" t="n">
        <v>167</v>
      </c>
      <c r="E16030" s="44" t="n">
        <v>6857.4795</v>
      </c>
    </row>
    <row r="16031">
      <c r="A16031" s="39">
        <f>_xlfn.XLOOKUP(82135,Trip[shape_id],Trip[shape_id],"Não encontrado")</f>
        <v/>
      </c>
      <c r="B16031" s="40" t="n">
        <v>-23.562367</v>
      </c>
      <c r="C16031" s="40" t="n">
        <v>-46.550756</v>
      </c>
      <c r="D16031" s="40" t="n">
        <v>168</v>
      </c>
      <c r="E16031" s="41" t="n">
        <v>6887.6733</v>
      </c>
    </row>
    <row r="16032">
      <c r="A16032" s="42">
        <f>_xlfn.XLOOKUP(82135,Trip[shape_id],Trip[shape_id],"Não encontrado")</f>
        <v/>
      </c>
      <c r="B16032" s="43" t="n">
        <v>-23.562414</v>
      </c>
      <c r="C16032" s="43" t="n">
        <v>-46.550573</v>
      </c>
      <c r="D16032" s="43" t="n">
        <v>169</v>
      </c>
      <c r="E16032" s="44" t="n">
        <v>6928.9507</v>
      </c>
    </row>
    <row r="16033">
      <c r="A16033" s="39">
        <f>_xlfn.XLOOKUP(82135,Trip[shape_id],Trip[shape_id],"Não encontrado")</f>
        <v/>
      </c>
      <c r="B16033" s="40" t="n">
        <v>-23.562498</v>
      </c>
      <c r="C16033" s="40" t="n">
        <v>-46.550379</v>
      </c>
      <c r="D16033" s="40" t="n">
        <v>170</v>
      </c>
      <c r="E16033" s="41" t="n">
        <v>6947.2373</v>
      </c>
    </row>
    <row r="16034">
      <c r="A16034" s="42">
        <f>_xlfn.XLOOKUP(82135,Trip[shape_id],Trip[shape_id],"Não encontrado")</f>
        <v/>
      </c>
      <c r="B16034" s="43" t="n">
        <v>-23.562591</v>
      </c>
      <c r="C16034" s="43" t="n">
        <v>-46.550231</v>
      </c>
      <c r="D16034" s="43" t="n">
        <v>171</v>
      </c>
      <c r="E16034" s="44" t="n">
        <v>6966.3809</v>
      </c>
    </row>
    <row r="16035">
      <c r="A16035" s="39">
        <f>_xlfn.XLOOKUP(82135,Trip[shape_id],Trip[shape_id],"Não encontrado")</f>
        <v/>
      </c>
      <c r="B16035" s="40" t="n">
        <v>-23.56271</v>
      </c>
      <c r="C16035" s="40" t="n">
        <v>-46.550095</v>
      </c>
      <c r="D16035" s="40" t="n">
        <v>172</v>
      </c>
      <c r="E16035" s="41" t="n">
        <v>7038.0352</v>
      </c>
    </row>
    <row r="16036">
      <c r="A16036" s="42">
        <f>_xlfn.XLOOKUP(82135,Trip[shape_id],Trip[shape_id],"Não encontrado")</f>
        <v/>
      </c>
      <c r="B16036" s="43" t="n">
        <v>-23.563175</v>
      </c>
      <c r="C16036" s="43" t="n">
        <v>-46.549607</v>
      </c>
      <c r="D16036" s="43" t="n">
        <v>173</v>
      </c>
      <c r="E16036" s="44" t="n">
        <v>7038.0352</v>
      </c>
    </row>
    <row r="16037">
      <c r="A16037" s="39">
        <f>_xlfn.XLOOKUP(82135,Trip[shape_id],Trip[shape_id],"Não encontrado")</f>
        <v/>
      </c>
      <c r="B16037" s="40" t="n">
        <v>-23.563414</v>
      </c>
      <c r="C16037" s="40" t="n">
        <v>-46.54937</v>
      </c>
      <c r="D16037" s="40" t="n">
        <v>174</v>
      </c>
      <c r="E16037" s="41" t="n">
        <v>7114.0581</v>
      </c>
    </row>
    <row r="16038">
      <c r="A16038" s="42">
        <f>_xlfn.XLOOKUP(82135,Trip[shape_id],Trip[shape_id],"Não encontrado")</f>
        <v/>
      </c>
      <c r="B16038" s="43" t="n">
        <v>-23.563682</v>
      </c>
      <c r="C16038" s="43" t="n">
        <v>-46.549105</v>
      </c>
      <c r="D16038" s="43" t="n">
        <v>175</v>
      </c>
      <c r="E16038" s="44" t="n">
        <v>7114.0581</v>
      </c>
    </row>
    <row r="16039">
      <c r="A16039" s="39">
        <f>_xlfn.XLOOKUP(82135,Trip[shape_id],Trip[shape_id],"Não encontrado")</f>
        <v/>
      </c>
      <c r="B16039" s="40" t="n">
        <v>-23.5638</v>
      </c>
      <c r="C16039" s="40" t="n">
        <v>-46.548977</v>
      </c>
      <c r="D16039" s="40" t="n">
        <v>176</v>
      </c>
      <c r="E16039" s="41" t="n">
        <v>7160.3394</v>
      </c>
    </row>
    <row r="16040">
      <c r="A16040" s="42">
        <f>_xlfn.XLOOKUP(82135,Trip[shape_id],Trip[shape_id],"Não encontrado")</f>
        <v/>
      </c>
      <c r="B16040" s="43" t="n">
        <v>-23.563962</v>
      </c>
      <c r="C16040" s="43" t="n">
        <v>-46.548769</v>
      </c>
      <c r="D16040" s="43" t="n">
        <v>177</v>
      </c>
      <c r="E16040" s="44" t="n">
        <v>7188.3247</v>
      </c>
    </row>
    <row r="16041">
      <c r="A16041" s="39">
        <f>_xlfn.XLOOKUP(82135,Trip[shape_id],Trip[shape_id],"Não encontrado")</f>
        <v/>
      </c>
      <c r="B16041" s="40" t="n">
        <v>-23.564105</v>
      </c>
      <c r="C16041" s="40" t="n">
        <v>-46.548543</v>
      </c>
      <c r="D16041" s="40" t="n">
        <v>178</v>
      </c>
      <c r="E16041" s="41" t="n">
        <v>7217.9604</v>
      </c>
    </row>
    <row r="16042">
      <c r="A16042" s="42">
        <f>_xlfn.XLOOKUP(82135,Trip[shape_id],Trip[shape_id],"Não encontrado")</f>
        <v/>
      </c>
      <c r="B16042" s="43" t="n">
        <v>-23.564224</v>
      </c>
      <c r="C16042" s="43" t="n">
        <v>-46.548283</v>
      </c>
      <c r="D16042" s="43" t="n">
        <v>179</v>
      </c>
      <c r="E16042" s="44" t="n">
        <v>7222.9692</v>
      </c>
    </row>
    <row r="16043">
      <c r="A16043" s="39">
        <f>_xlfn.XLOOKUP(82135,Trip[shape_id],Trip[shape_id],"Não encontrado")</f>
        <v/>
      </c>
      <c r="B16043" s="40" t="n">
        <v>-23.564242</v>
      </c>
      <c r="C16043" s="40" t="n">
        <v>-46.548238</v>
      </c>
      <c r="D16043" s="40" t="n">
        <v>180</v>
      </c>
      <c r="E16043" s="41" t="n">
        <v>7248.6836</v>
      </c>
    </row>
    <row r="16044">
      <c r="A16044" s="42">
        <f>_xlfn.XLOOKUP(82135,Trip[shape_id],Trip[shape_id],"Não encontrado")</f>
        <v/>
      </c>
      <c r="B16044" s="43" t="n">
        <v>-23.564318</v>
      </c>
      <c r="C16044" s="43" t="n">
        <v>-46.548</v>
      </c>
      <c r="D16044" s="43" t="n">
        <v>181</v>
      </c>
      <c r="E16044" s="44" t="n">
        <v>7269.2197</v>
      </c>
    </row>
    <row r="16045">
      <c r="A16045" s="39">
        <f>_xlfn.XLOOKUP(82135,Trip[shape_id],Trip[shape_id],"Não encontrado")</f>
        <v/>
      </c>
      <c r="B16045" s="40" t="n">
        <v>-23.564367</v>
      </c>
      <c r="C16045" s="40" t="n">
        <v>-46.547806</v>
      </c>
      <c r="D16045" s="40" t="n">
        <v>182</v>
      </c>
      <c r="E16045" s="41" t="n">
        <v>7269.2197</v>
      </c>
    </row>
    <row r="16046">
      <c r="A16046" s="42">
        <f>_xlfn.XLOOKUP(82135,Trip[shape_id],Trip[shape_id],"Não encontrado")</f>
        <v/>
      </c>
      <c r="B16046" s="43" t="n">
        <v>-23.564459</v>
      </c>
      <c r="C16046" s="43" t="n">
        <v>-46.5474</v>
      </c>
      <c r="D16046" s="43" t="n">
        <v>183</v>
      </c>
      <c r="E16046" s="44" t="n">
        <v>7340.2627</v>
      </c>
    </row>
    <row r="16047">
      <c r="A16047" s="39">
        <f>_xlfn.XLOOKUP(82135,Trip[shape_id],Trip[shape_id],"Não encontrado")</f>
        <v/>
      </c>
      <c r="B16047" s="40" t="n">
        <v>-23.564511</v>
      </c>
      <c r="C16047" s="40" t="n">
        <v>-46.547128</v>
      </c>
      <c r="D16047" s="40" t="n">
        <v>184</v>
      </c>
      <c r="E16047" s="41" t="n">
        <v>7340.2627</v>
      </c>
    </row>
    <row r="16048">
      <c r="A16048" s="42">
        <f>_xlfn.XLOOKUP(82135,Trip[shape_id],Trip[shape_id],"Não encontrado")</f>
        <v/>
      </c>
      <c r="B16048" s="43" t="n">
        <v>-23.564632</v>
      </c>
      <c r="C16048" s="43" t="n">
        <v>-46.546513</v>
      </c>
      <c r="D16048" s="43" t="n">
        <v>185</v>
      </c>
      <c r="E16048" s="44" t="n">
        <v>7418.8911</v>
      </c>
    </row>
    <row r="16049">
      <c r="A16049" s="39">
        <f>_xlfn.XLOOKUP(82135,Trip[shape_id],Trip[shape_id],"Não encontrado")</f>
        <v/>
      </c>
      <c r="B16049" s="40" t="n">
        <v>-23.564664</v>
      </c>
      <c r="C16049" s="40" t="n">
        <v>-46.546376</v>
      </c>
      <c r="D16049" s="40" t="n">
        <v>186</v>
      </c>
      <c r="E16049" s="41" t="n">
        <v>7438.8198</v>
      </c>
    </row>
    <row r="16050">
      <c r="A16050" s="42">
        <f>_xlfn.XLOOKUP(82135,Trip[shape_id],Trip[shape_id],"Não encontrado")</f>
        <v/>
      </c>
      <c r="B16050" s="43" t="n">
        <v>-23.564709</v>
      </c>
      <c r="C16050" s="43" t="n">
        <v>-46.546187</v>
      </c>
      <c r="D16050" s="43" t="n">
        <v>187</v>
      </c>
      <c r="E16050" s="44" t="n">
        <v>7455.4263</v>
      </c>
    </row>
    <row r="16051">
      <c r="A16051" s="39">
        <f>_xlfn.XLOOKUP(82135,Trip[shape_id],Trip[shape_id],"Não encontrado")</f>
        <v/>
      </c>
      <c r="B16051" s="40" t="n">
        <v>-23.564767</v>
      </c>
      <c r="C16051" s="40" t="n">
        <v>-46.546037</v>
      </c>
      <c r="D16051" s="40" t="n">
        <v>188</v>
      </c>
      <c r="E16051" s="41" t="n">
        <v>7455.4263</v>
      </c>
    </row>
    <row r="16052">
      <c r="A16052" s="42">
        <f>_xlfn.XLOOKUP(82135,Trip[shape_id],Trip[shape_id],"Não encontrado")</f>
        <v/>
      </c>
      <c r="B16052" s="43" t="n">
        <v>-23.565066</v>
      </c>
      <c r="C16052" s="43" t="n">
        <v>-46.545558</v>
      </c>
      <c r="D16052" s="43" t="n">
        <v>189</v>
      </c>
      <c r="E16052" s="44" t="n">
        <v>7526.1855</v>
      </c>
    </row>
    <row r="16053">
      <c r="A16053" s="39">
        <f>_xlfn.XLOOKUP(82135,Trip[shape_id],Trip[shape_id],"Não encontrado")</f>
        <v/>
      </c>
      <c r="B16053" s="40" t="n">
        <v>-23.565129</v>
      </c>
      <c r="C16053" s="40" t="n">
        <v>-46.545466</v>
      </c>
      <c r="D16053" s="40" t="n">
        <v>190</v>
      </c>
      <c r="E16053" s="41" t="n">
        <v>7526.1855</v>
      </c>
    </row>
    <row r="16054">
      <c r="A16054" s="42">
        <f>_xlfn.XLOOKUP(82135,Trip[shape_id],Trip[shape_id],"Não encontrado")</f>
        <v/>
      </c>
      <c r="B16054" s="43" t="n">
        <v>-23.56529</v>
      </c>
      <c r="C16054" s="43" t="n">
        <v>-46.545294</v>
      </c>
      <c r="D16054" s="43" t="n">
        <v>191</v>
      </c>
      <c r="E16054" s="44" t="n">
        <v>7551.2114</v>
      </c>
    </row>
    <row r="16055">
      <c r="A16055" s="39">
        <f>_xlfn.XLOOKUP(82135,Trip[shape_id],Trip[shape_id],"Não encontrado")</f>
        <v/>
      </c>
      <c r="B16055" s="40" t="n">
        <v>-23.565479</v>
      </c>
      <c r="C16055" s="40" t="n">
        <v>-46.545116</v>
      </c>
      <c r="D16055" s="40" t="n">
        <v>192</v>
      </c>
      <c r="E16055" s="41" t="n">
        <v>7578.9312</v>
      </c>
    </row>
    <row r="16056">
      <c r="A16056" s="42">
        <f>_xlfn.XLOOKUP(82135,Trip[shape_id],Trip[shape_id],"Não encontrado")</f>
        <v/>
      </c>
      <c r="B16056" s="43" t="n">
        <v>-23.565745</v>
      </c>
      <c r="C16056" s="43" t="n">
        <v>-46.544917</v>
      </c>
      <c r="D16056" s="43" t="n">
        <v>193</v>
      </c>
      <c r="E16056" s="44" t="n">
        <v>7614.7173</v>
      </c>
    </row>
    <row r="16057">
      <c r="A16057" s="39">
        <f>_xlfn.XLOOKUP(82135,Trip[shape_id],Trip[shape_id],"Não encontrado")</f>
        <v/>
      </c>
      <c r="B16057" s="40" t="n">
        <v>-23.56598</v>
      </c>
      <c r="C16057" s="40" t="n">
        <v>-46.544726</v>
      </c>
      <c r="D16057" s="40" t="n">
        <v>194</v>
      </c>
      <c r="E16057" s="41" t="n">
        <v>7647.2383</v>
      </c>
    </row>
    <row r="16058">
      <c r="A16058" s="42">
        <f>_xlfn.XLOOKUP(82135,Trip[shape_id],Trip[shape_id],"Não encontrado")</f>
        <v/>
      </c>
      <c r="B16058" s="43" t="n">
        <v>-23.566871</v>
      </c>
      <c r="C16058" s="43" t="n">
        <v>-46.543981</v>
      </c>
      <c r="D16058" s="43" t="n">
        <v>195</v>
      </c>
      <c r="E16058" s="44" t="n">
        <v>7771.8271</v>
      </c>
    </row>
    <row r="16059">
      <c r="A16059" s="39">
        <f>_xlfn.XLOOKUP(82135,Trip[shape_id],Trip[shape_id],"Não encontrado")</f>
        <v/>
      </c>
      <c r="B16059" s="40" t="n">
        <v>-23.56695</v>
      </c>
      <c r="C16059" s="40" t="n">
        <v>-46.543871</v>
      </c>
      <c r="D16059" s="40" t="n">
        <v>196</v>
      </c>
      <c r="E16059" s="41" t="n">
        <v>7799.1313</v>
      </c>
    </row>
    <row r="16060">
      <c r="A16060" s="42">
        <f>_xlfn.XLOOKUP(82135,Trip[shape_id],Trip[shape_id],"Não encontrado")</f>
        <v/>
      </c>
      <c r="B16060" s="43" t="n">
        <v>-23.567027</v>
      </c>
      <c r="C16060" s="43" t="n">
        <v>-46.543774</v>
      </c>
      <c r="D16060" s="43" t="n">
        <v>197</v>
      </c>
      <c r="E16060" s="44" t="n">
        <v>7808.7666</v>
      </c>
    </row>
    <row r="16061">
      <c r="A16061" s="39">
        <f>_xlfn.XLOOKUP(82135,Trip[shape_id],Trip[shape_id],"Não encontrado")</f>
        <v/>
      </c>
      <c r="B16061" s="40" t="n">
        <v>-23.567081</v>
      </c>
      <c r="C16061" s="40" t="n">
        <v>-46.5437</v>
      </c>
      <c r="D16061" s="40" t="n">
        <v>198</v>
      </c>
      <c r="E16061" s="41" t="n">
        <v>7808.7666</v>
      </c>
    </row>
    <row r="16062">
      <c r="A16062" s="42">
        <f>_xlfn.XLOOKUP(82135,Trip[shape_id],Trip[shape_id],"Não encontrado")</f>
        <v/>
      </c>
      <c r="B16062" s="43" t="n">
        <v>-23.567138</v>
      </c>
      <c r="C16062" s="43" t="n">
        <v>-46.543599</v>
      </c>
      <c r="D16062" s="43" t="n">
        <v>199</v>
      </c>
      <c r="E16062" s="44" t="n">
        <v>7833.5127</v>
      </c>
    </row>
    <row r="16063">
      <c r="A16063" s="39">
        <f>_xlfn.XLOOKUP(82135,Trip[shape_id],Trip[shape_id],"Não encontrado")</f>
        <v/>
      </c>
      <c r="B16063" s="40" t="n">
        <v>-23.567185</v>
      </c>
      <c r="C16063" s="40" t="n">
        <v>-46.543486</v>
      </c>
      <c r="D16063" s="40" t="n">
        <v>200</v>
      </c>
      <c r="E16063" s="41" t="n">
        <v>7843.1558</v>
      </c>
    </row>
    <row r="16064">
      <c r="A16064" s="42">
        <f>_xlfn.XLOOKUP(82135,Trip[shape_id],Trip[shape_id],"Não encontrado")</f>
        <v/>
      </c>
      <c r="B16064" s="43" t="n">
        <v>-23.567221</v>
      </c>
      <c r="C16064" s="43" t="n">
        <v>-46.5434</v>
      </c>
      <c r="D16064" s="43" t="n">
        <v>201</v>
      </c>
      <c r="E16064" s="44" t="n">
        <v>7843.1558</v>
      </c>
    </row>
    <row r="16065">
      <c r="A16065" s="39">
        <f>_xlfn.XLOOKUP(82135,Trip[shape_id],Trip[shape_id],"Não encontrado")</f>
        <v/>
      </c>
      <c r="B16065" s="40" t="n">
        <v>-23.567284</v>
      </c>
      <c r="C16065" s="40" t="n">
        <v>-46.543132</v>
      </c>
      <c r="D16065" s="40" t="n">
        <v>202</v>
      </c>
      <c r="E16065" s="41" t="n">
        <v>7880.9497</v>
      </c>
    </row>
    <row r="16066">
      <c r="A16066" s="42">
        <f>_xlfn.XLOOKUP(82135,Trip[shape_id],Trip[shape_id],"Não encontrado")</f>
        <v/>
      </c>
      <c r="B16066" s="43" t="n">
        <v>-23.567294</v>
      </c>
      <c r="C16066" s="43" t="n">
        <v>-46.543039</v>
      </c>
      <c r="D16066" s="43" t="n">
        <v>203</v>
      </c>
      <c r="E16066" s="44" t="n">
        <v>7880.9497</v>
      </c>
    </row>
    <row r="16067">
      <c r="A16067" s="39">
        <f>_xlfn.XLOOKUP(82135,Trip[shape_id],Trip[shape_id],"Não encontrado")</f>
        <v/>
      </c>
      <c r="B16067" s="40" t="n">
        <v>-23.567359</v>
      </c>
      <c r="C16067" s="40" t="n">
        <v>-46.542193</v>
      </c>
      <c r="D16067" s="40" t="n">
        <v>204</v>
      </c>
      <c r="E16067" s="41" t="n">
        <v>7967.6167</v>
      </c>
    </row>
    <row r="16068">
      <c r="A16068" s="42">
        <f>_xlfn.XLOOKUP(82135,Trip[shape_id],Trip[shape_id],"Não encontrado")</f>
        <v/>
      </c>
      <c r="B16068" s="43" t="n">
        <v>-23.567362</v>
      </c>
      <c r="C16068" s="43" t="n">
        <v>-46.542027</v>
      </c>
      <c r="D16068" s="43" t="n">
        <v>205</v>
      </c>
      <c r="E16068" s="44" t="n">
        <v>7984.5664</v>
      </c>
    </row>
    <row r="16069">
      <c r="A16069" s="39">
        <f>_xlfn.XLOOKUP(82135,Trip[shape_id],Trip[shape_id],"Não encontrado")</f>
        <v/>
      </c>
      <c r="B16069" s="40" t="n">
        <v>-23.567344</v>
      </c>
      <c r="C16069" s="40" t="n">
        <v>-46.541975</v>
      </c>
      <c r="D16069" s="40" t="n">
        <v>206</v>
      </c>
      <c r="E16069" s="41" t="n">
        <v>7995.2363</v>
      </c>
    </row>
    <row r="16070">
      <c r="A16070" s="42">
        <f>_xlfn.XLOOKUP(82135,Trip[shape_id],Trip[shape_id],"Não encontrado")</f>
        <v/>
      </c>
      <c r="B16070" s="43" t="n">
        <v>-23.567335</v>
      </c>
      <c r="C16070" s="43" t="n">
        <v>-46.541927</v>
      </c>
      <c r="D16070" s="43" t="n">
        <v>207</v>
      </c>
      <c r="E16070" s="44" t="n">
        <v>8010.9595</v>
      </c>
    </row>
    <row r="16071">
      <c r="A16071" s="39">
        <f>_xlfn.XLOOKUP(82135,Trip[shape_id],Trip[shape_id],"Não encontrado")</f>
        <v/>
      </c>
      <c r="B16071" s="40" t="n">
        <v>-23.567333</v>
      </c>
      <c r="C16071" s="40" t="n">
        <v>-46.541773</v>
      </c>
      <c r="D16071" s="40" t="n">
        <v>208</v>
      </c>
      <c r="E16071" s="41" t="n">
        <v>8010.9595</v>
      </c>
    </row>
    <row r="16072">
      <c r="A16072" s="42">
        <f>_xlfn.XLOOKUP(82135,Trip[shape_id],Trip[shape_id],"Não encontrado")</f>
        <v/>
      </c>
      <c r="B16072" s="43" t="n">
        <v>-23.567351</v>
      </c>
      <c r="C16072" s="43" t="n">
        <v>-46.541517</v>
      </c>
      <c r="D16072" s="43" t="n">
        <v>209</v>
      </c>
      <c r="E16072" s="44" t="n">
        <v>8037.1704</v>
      </c>
    </row>
    <row r="16073">
      <c r="A16073" s="39">
        <f>_xlfn.XLOOKUP(82135,Trip[shape_id],Trip[shape_id],"Não encontrado")</f>
        <v/>
      </c>
      <c r="B16073" s="40" t="n">
        <v>-23.567397</v>
      </c>
      <c r="C16073" s="40" t="n">
        <v>-46.541544</v>
      </c>
      <c r="D16073" s="40" t="n">
        <v>210</v>
      </c>
      <c r="E16073" s="41" t="n">
        <v>8042.9624</v>
      </c>
    </row>
    <row r="16074">
      <c r="A16074" s="42">
        <f>_xlfn.XLOOKUP(82135,Trip[shape_id],Trip[shape_id],"Não encontrado")</f>
        <v/>
      </c>
      <c r="B16074" s="43" t="n">
        <v>-23.567433</v>
      </c>
      <c r="C16074" s="43" t="n">
        <v>-46.541553</v>
      </c>
      <c r="D16074" s="43" t="n">
        <v>211</v>
      </c>
      <c r="E16074" s="44" t="n">
        <v>8047.0547</v>
      </c>
    </row>
    <row r="16075">
      <c r="A16075" s="39">
        <f>_xlfn.XLOOKUP(82135,Trip[shape_id],Trip[shape_id],"Não encontrado")</f>
        <v/>
      </c>
      <c r="B16075" s="40" t="n">
        <v>-23.567458</v>
      </c>
      <c r="C16075" s="40" t="n">
        <v>-46.541558</v>
      </c>
      <c r="D16075" s="40" t="n">
        <v>212</v>
      </c>
      <c r="E16075" s="41" t="n">
        <v>8049.8696</v>
      </c>
    </row>
    <row r="16076">
      <c r="A16076" s="42">
        <f>_xlfn.XLOOKUP(82135,Trip[shape_id],Trip[shape_id],"Não encontrado")</f>
        <v/>
      </c>
      <c r="B16076" s="43" t="n">
        <v>-23.567476</v>
      </c>
      <c r="C16076" s="43" t="n">
        <v>-46.541562</v>
      </c>
      <c r="D16076" s="43" t="n">
        <v>213</v>
      </c>
      <c r="E16076" s="44" t="n">
        <v>8051.9023</v>
      </c>
    </row>
    <row r="16077">
      <c r="A16077" s="39">
        <f>_xlfn.XLOOKUP(82135,Trip[shape_id],Trip[shape_id],"Não encontrado")</f>
        <v/>
      </c>
      <c r="B16077" s="40" t="n">
        <v>-23.567548</v>
      </c>
      <c r="C16077" s="40" t="n">
        <v>-46.541551</v>
      </c>
      <c r="D16077" s="40" t="n">
        <v>214</v>
      </c>
      <c r="E16077" s="41" t="n">
        <v>8059.9546</v>
      </c>
    </row>
    <row r="16078">
      <c r="A16078" s="42">
        <f>_xlfn.XLOOKUP(82135,Trip[shape_id],Trip[shape_id],"Não encontrado")</f>
        <v/>
      </c>
      <c r="B16078" s="43" t="n">
        <v>-23.567591</v>
      </c>
      <c r="C16078" s="43" t="n">
        <v>-46.541475</v>
      </c>
      <c r="D16078" s="43" t="n">
        <v>215</v>
      </c>
      <c r="E16078" s="44" t="n">
        <v>8088.2075</v>
      </c>
    </row>
    <row r="16079">
      <c r="A16079" s="39">
        <f>_xlfn.XLOOKUP(82135,Trip[shape_id],Trip[shape_id],"Não encontrado")</f>
        <v/>
      </c>
      <c r="B16079" s="40" t="n">
        <v>-23.567687</v>
      </c>
      <c r="C16079" s="40" t="n">
        <v>-46.541319</v>
      </c>
      <c r="D16079" s="40" t="n">
        <v>216</v>
      </c>
      <c r="E16079" s="41" t="n">
        <v>8096.2407</v>
      </c>
    </row>
    <row r="16080">
      <c r="A16080" s="42">
        <f>_xlfn.XLOOKUP(82135,Trip[shape_id],Trip[shape_id],"Não encontrado")</f>
        <v/>
      </c>
      <c r="B16080" s="43" t="n">
        <v>-23.567735</v>
      </c>
      <c r="C16080" s="43" t="n">
        <v>-46.54126</v>
      </c>
      <c r="D16080" s="43" t="n">
        <v>217</v>
      </c>
      <c r="E16080" s="44" t="n">
        <v>8115.4214</v>
      </c>
    </row>
    <row r="16081">
      <c r="A16081" s="39">
        <f>_xlfn.XLOOKUP(82135,Trip[shape_id],Trip[shape_id],"Não encontrado")</f>
        <v/>
      </c>
      <c r="B16081" s="40" t="n">
        <v>-23.567844</v>
      </c>
      <c r="C16081" s="40" t="n">
        <v>-46.541114</v>
      </c>
      <c r="D16081" s="40" t="n">
        <v>218</v>
      </c>
      <c r="E16081" s="41" t="n">
        <v>8138.5742</v>
      </c>
    </row>
    <row r="16082">
      <c r="A16082" s="42">
        <f>_xlfn.XLOOKUP(82135,Trip[shape_id],Trip[shape_id],"Não encontrado")</f>
        <v/>
      </c>
      <c r="B16082" s="43" t="n">
        <v>-23.568007</v>
      </c>
      <c r="C16082" s="43" t="n">
        <v>-46.540972</v>
      </c>
      <c r="D16082" s="43" t="n">
        <v>219</v>
      </c>
      <c r="E16082" s="44" t="n">
        <v>8148.9331</v>
      </c>
    </row>
    <row r="16083">
      <c r="A16083" s="39">
        <f>_xlfn.XLOOKUP(82135,Trip[shape_id],Trip[shape_id],"Não encontrado")</f>
        <v/>
      </c>
      <c r="B16083" s="40" t="n">
        <v>-23.568085</v>
      </c>
      <c r="C16083" s="40" t="n">
        <v>-46.540916</v>
      </c>
      <c r="D16083" s="40" t="n">
        <v>220</v>
      </c>
      <c r="E16083" s="41" t="n">
        <v>8159.7915</v>
      </c>
    </row>
    <row r="16084">
      <c r="A16084" s="42">
        <f>_xlfn.XLOOKUP(82135,Trip[shape_id],Trip[shape_id],"Não encontrado")</f>
        <v/>
      </c>
      <c r="B16084" s="43" t="n">
        <v>-23.56817</v>
      </c>
      <c r="C16084" s="43" t="n">
        <v>-46.540863</v>
      </c>
      <c r="D16084" s="43" t="n">
        <v>221</v>
      </c>
      <c r="E16084" s="44" t="n">
        <v>8198.2158</v>
      </c>
    </row>
    <row r="16085">
      <c r="A16085" s="39">
        <f>_xlfn.XLOOKUP(82135,Trip[shape_id],Trip[shape_id],"Não encontrado")</f>
        <v/>
      </c>
      <c r="B16085" s="40" t="n">
        <v>-23.56848</v>
      </c>
      <c r="C16085" s="40" t="n">
        <v>-46.540694</v>
      </c>
      <c r="D16085" s="40" t="n">
        <v>222</v>
      </c>
      <c r="E16085" s="41" t="n">
        <v>8257.9961</v>
      </c>
    </row>
    <row r="16086">
      <c r="A16086" s="42">
        <f>_xlfn.XLOOKUP(82135,Trip[shape_id],Trip[shape_id],"Não encontrado")</f>
        <v/>
      </c>
      <c r="B16086" s="43" t="n">
        <v>-23.568965</v>
      </c>
      <c r="C16086" s="43" t="n">
        <v>-46.540437</v>
      </c>
      <c r="D16086" s="43" t="n">
        <v>223</v>
      </c>
      <c r="E16086" s="44" t="n">
        <v>8257.9961</v>
      </c>
    </row>
    <row r="16087">
      <c r="A16087" s="39">
        <f>_xlfn.XLOOKUP(82135,Trip[shape_id],Trip[shape_id],"Não encontrado")</f>
        <v/>
      </c>
      <c r="B16087" s="40" t="n">
        <v>-23.569113</v>
      </c>
      <c r="C16087" s="40" t="n">
        <v>-46.540361</v>
      </c>
      <c r="D16087" s="40" t="n">
        <v>224</v>
      </c>
      <c r="E16087" s="41" t="n">
        <v>8286.949199999999</v>
      </c>
    </row>
    <row r="16088">
      <c r="A16088" s="42">
        <f>_xlfn.XLOOKUP(82135,Trip[shape_id],Trip[shape_id],"Não encontrado")</f>
        <v/>
      </c>
      <c r="B16088" s="43" t="n">
        <v>-23.569201</v>
      </c>
      <c r="C16088" s="43" t="n">
        <v>-46.540315</v>
      </c>
      <c r="D16088" s="43" t="n">
        <v>225</v>
      </c>
      <c r="E16088" s="44" t="n">
        <v>8286.949199999999</v>
      </c>
    </row>
    <row r="16089">
      <c r="A16089" s="39">
        <f>_xlfn.XLOOKUP(82135,Trip[shape_id],Trip[shape_id],"Não encontrado")</f>
        <v/>
      </c>
      <c r="B16089" s="40" t="n">
        <v>-23.569375</v>
      </c>
      <c r="C16089" s="40" t="n">
        <v>-46.54035</v>
      </c>
      <c r="D16089" s="40" t="n">
        <v>226</v>
      </c>
      <c r="E16089" s="41" t="n">
        <v>8317.545899999999</v>
      </c>
    </row>
    <row r="16090">
      <c r="A16090" s="42">
        <f>_xlfn.XLOOKUP(82135,Trip[shape_id],Trip[shape_id],"Não encontrado")</f>
        <v/>
      </c>
      <c r="B16090" s="43" t="n">
        <v>-23.569472</v>
      </c>
      <c r="C16090" s="43" t="n">
        <v>-46.540373</v>
      </c>
      <c r="D16090" s="43" t="n">
        <v>227</v>
      </c>
      <c r="E16090" s="44" t="n">
        <v>8317.545899999999</v>
      </c>
    </row>
    <row r="16091">
      <c r="A16091" s="39">
        <f>_xlfn.XLOOKUP(82135,Trip[shape_id],Trip[shape_id],"Não encontrado")</f>
        <v/>
      </c>
      <c r="B16091" s="40" t="n">
        <v>-23.569777</v>
      </c>
      <c r="C16091" s="40" t="n">
        <v>-46.54057</v>
      </c>
      <c r="D16091" s="40" t="n">
        <v>228</v>
      </c>
      <c r="E16091" s="41" t="n">
        <v>8368.434600000001</v>
      </c>
    </row>
    <row r="16092">
      <c r="A16092" s="42">
        <f>_xlfn.XLOOKUP(82135,Trip[shape_id],Trip[shape_id],"Não encontrado")</f>
        <v/>
      </c>
      <c r="B16092" s="43" t="n">
        <v>-23.569877</v>
      </c>
      <c r="C16092" s="43" t="n">
        <v>-46.540603</v>
      </c>
      <c r="D16092" s="43" t="n">
        <v>229</v>
      </c>
      <c r="E16092" s="44" t="n">
        <v>8374.748</v>
      </c>
    </row>
    <row r="16093">
      <c r="A16093" s="39">
        <f>_xlfn.XLOOKUP(82135,Trip[shape_id],Trip[shape_id],"Não encontrado")</f>
        <v/>
      </c>
      <c r="B16093" s="40" t="n">
        <v>-23.569934</v>
      </c>
      <c r="C16093" s="40" t="n">
        <v>-46.540602</v>
      </c>
      <c r="D16093" s="40" t="n">
        <v>230</v>
      </c>
      <c r="E16093" s="41" t="n">
        <v>8378.180700000001</v>
      </c>
    </row>
    <row r="16094">
      <c r="A16094" s="42">
        <f>_xlfn.XLOOKUP(82135,Trip[shape_id],Trip[shape_id],"Não encontrado")</f>
        <v/>
      </c>
      <c r="B16094" s="43" t="n">
        <v>-23.569965</v>
      </c>
      <c r="C16094" s="43" t="n">
        <v>-46.540602</v>
      </c>
      <c r="D16094" s="43" t="n">
        <v>231</v>
      </c>
      <c r="E16094" s="44" t="n">
        <v>8388.206099999999</v>
      </c>
    </row>
    <row r="16095">
      <c r="A16095" s="39">
        <f>_xlfn.XLOOKUP(82135,Trip[shape_id],Trip[shape_id],"Não encontrado")</f>
        <v/>
      </c>
      <c r="B16095" s="40" t="n">
        <v>-23.570053</v>
      </c>
      <c r="C16095" s="40" t="n">
        <v>-46.540579</v>
      </c>
      <c r="D16095" s="40" t="n">
        <v>232</v>
      </c>
      <c r="E16095" s="41" t="n">
        <v>8400.843800000001</v>
      </c>
    </row>
    <row r="16096">
      <c r="A16096" s="42">
        <f>_xlfn.XLOOKUP(82135,Trip[shape_id],Trip[shape_id],"Não encontrado")</f>
        <v/>
      </c>
      <c r="B16096" s="43" t="n">
        <v>-23.57016</v>
      </c>
      <c r="C16096" s="43" t="n">
        <v>-46.540536</v>
      </c>
      <c r="D16096" s="43" t="n">
        <v>233</v>
      </c>
      <c r="E16096" s="44" t="n">
        <v>8400.843800000001</v>
      </c>
    </row>
    <row r="16097">
      <c r="A16097" s="39">
        <f>_xlfn.XLOOKUP(82135,Trip[shape_id],Trip[shape_id],"Não encontrado")</f>
        <v/>
      </c>
      <c r="B16097" s="40" t="n">
        <v>-23.570263</v>
      </c>
      <c r="C16097" s="40" t="n">
        <v>-46.540403</v>
      </c>
      <c r="D16097" s="40" t="n">
        <v>234</v>
      </c>
      <c r="E16097" s="41" t="n">
        <v>8426.728499999999</v>
      </c>
    </row>
    <row r="16098">
      <c r="A16098" s="42">
        <f>_xlfn.XLOOKUP(82135,Trip[shape_id],Trip[shape_id],"Não encontrado")</f>
        <v/>
      </c>
      <c r="B16098" s="43" t="n">
        <v>-23.570307</v>
      </c>
      <c r="C16098" s="43" t="n">
        <v>-46.540339</v>
      </c>
      <c r="D16098" s="43" t="n">
        <v>235</v>
      </c>
      <c r="E16098" s="44" t="n">
        <v>8436.5859</v>
      </c>
    </row>
    <row r="16099">
      <c r="A16099" s="39">
        <f>_xlfn.XLOOKUP(82135,Trip[shape_id],Trip[shape_id],"Não encontrado")</f>
        <v/>
      </c>
      <c r="B16099" s="40" t="n">
        <v>-23.570354</v>
      </c>
      <c r="C16099" s="40" t="n">
        <v>-46.540257</v>
      </c>
      <c r="D16099" s="40" t="n">
        <v>236</v>
      </c>
      <c r="E16099" s="41" t="n">
        <v>8436.5859</v>
      </c>
    </row>
    <row r="16100">
      <c r="A16100" s="42">
        <f>_xlfn.XLOOKUP(82135,Trip[shape_id],Trip[shape_id],"Não encontrado")</f>
        <v/>
      </c>
      <c r="B16100" s="43" t="n">
        <v>-23.570552</v>
      </c>
      <c r="C16100" s="43" t="n">
        <v>-46.539682</v>
      </c>
      <c r="D16100" s="43" t="n">
        <v>237</v>
      </c>
      <c r="E16100" s="44" t="n">
        <v>8564.901400000001</v>
      </c>
    </row>
    <row r="16101">
      <c r="A16101" s="39">
        <f>_xlfn.XLOOKUP(82135,Trip[shape_id],Trip[shape_id],"Não encontrado")</f>
        <v/>
      </c>
      <c r="B16101" s="40" t="n">
        <v>-23.570763</v>
      </c>
      <c r="C16101" s="40" t="n">
        <v>-46.539081</v>
      </c>
      <c r="D16101" s="40" t="n">
        <v>238</v>
      </c>
      <c r="E16101" s="41" t="n">
        <v>8599.479499999999</v>
      </c>
    </row>
    <row r="16102">
      <c r="A16102" s="42">
        <f>_xlfn.XLOOKUP(82135,Trip[shape_id],Trip[shape_id],"Não encontrado")</f>
        <v/>
      </c>
      <c r="B16102" s="43" t="n">
        <v>-23.570873</v>
      </c>
      <c r="C16102" s="43" t="n">
        <v>-46.538764</v>
      </c>
      <c r="D16102" s="43" t="n">
        <v>239</v>
      </c>
      <c r="E16102" s="44" t="n">
        <v>8599.479499999999</v>
      </c>
    </row>
    <row r="16103">
      <c r="A16103" s="39">
        <f>_xlfn.XLOOKUP(82135,Trip[shape_id],Trip[shape_id],"Não encontrado")</f>
        <v/>
      </c>
      <c r="B16103" s="40" t="n">
        <v>-23.570938</v>
      </c>
      <c r="C16103" s="40" t="n">
        <v>-46.538579</v>
      </c>
      <c r="D16103" s="40" t="n">
        <v>240</v>
      </c>
      <c r="E16103" s="41" t="n">
        <v>8677.3789</v>
      </c>
    </row>
    <row r="16104">
      <c r="A16104" s="42">
        <f>_xlfn.XLOOKUP(82135,Trip[shape_id],Trip[shape_id],"Não encontrado")</f>
        <v/>
      </c>
      <c r="B16104" s="43" t="n">
        <v>-23.571126</v>
      </c>
      <c r="C16104" s="43" t="n">
        <v>-46.538052</v>
      </c>
      <c r="D16104" s="43" t="n">
        <v>241</v>
      </c>
      <c r="E16104" s="44" t="n">
        <v>8714.584999999999</v>
      </c>
    </row>
    <row r="16105">
      <c r="A16105" s="39">
        <f>_xlfn.XLOOKUP(82135,Trip[shape_id],Trip[shape_id],"Não encontrado")</f>
        <v/>
      </c>
      <c r="B16105" s="40" t="n">
        <v>-23.571247</v>
      </c>
      <c r="C16105" s="40" t="n">
        <v>-46.537712</v>
      </c>
      <c r="D16105" s="40" t="n">
        <v>242</v>
      </c>
      <c r="E16105" s="41" t="n">
        <v>8755.9355</v>
      </c>
    </row>
    <row r="16106">
      <c r="A16106" s="42">
        <f>_xlfn.XLOOKUP(82135,Trip[shape_id],Trip[shape_id],"Não encontrado")</f>
        <v/>
      </c>
      <c r="B16106" s="43" t="n">
        <v>-23.571403</v>
      </c>
      <c r="C16106" s="43" t="n">
        <v>-46.537344</v>
      </c>
      <c r="D16106" s="43" t="n">
        <v>243</v>
      </c>
      <c r="E16106" s="44" t="n">
        <v>8755.9355</v>
      </c>
    </row>
    <row r="16107">
      <c r="A16107" s="39">
        <f>_xlfn.XLOOKUP(82135,Trip[shape_id],Trip[shape_id],"Não encontrado")</f>
        <v/>
      </c>
      <c r="B16107" s="40" t="n">
        <v>-23.571564</v>
      </c>
      <c r="C16107" s="40" t="n">
        <v>-46.53696</v>
      </c>
      <c r="D16107" s="40" t="n">
        <v>244</v>
      </c>
      <c r="E16107" s="41" t="n">
        <v>8799.001</v>
      </c>
    </row>
    <row r="16108">
      <c r="A16108" s="42">
        <f>_xlfn.XLOOKUP(82135,Trip[shape_id],Trip[shape_id],"Não encontrado")</f>
        <v/>
      </c>
      <c r="B16108" s="43" t="n">
        <v>-23.571741</v>
      </c>
      <c r="C16108" s="43" t="n">
        <v>-46.536594</v>
      </c>
      <c r="D16108" s="43" t="n">
        <v>245</v>
      </c>
      <c r="E16108" s="44" t="n">
        <v>8841.194299999999</v>
      </c>
    </row>
    <row r="16109">
      <c r="A16109" s="39">
        <f>_xlfn.XLOOKUP(82135,Trip[shape_id],Trip[shape_id],"Não encontrado")</f>
        <v/>
      </c>
      <c r="B16109" s="40" t="n">
        <v>-23.572661</v>
      </c>
      <c r="C16109" s="40" t="n">
        <v>-46.534615</v>
      </c>
      <c r="D16109" s="40" t="n">
        <v>246</v>
      </c>
      <c r="E16109" s="41" t="n">
        <v>9067.4609</v>
      </c>
    </row>
    <row r="16110">
      <c r="A16110" s="42">
        <f>_xlfn.XLOOKUP(82135,Trip[shape_id],Trip[shape_id],"Não encontrado")</f>
        <v/>
      </c>
      <c r="B16110" s="43" t="n">
        <v>-23.572746</v>
      </c>
      <c r="C16110" s="43" t="n">
        <v>-46.53444</v>
      </c>
      <c r="D16110" s="43" t="n">
        <v>247</v>
      </c>
      <c r="E16110" s="44" t="n">
        <v>9114.8662</v>
      </c>
    </row>
    <row r="16111">
      <c r="A16111" s="39">
        <f>_xlfn.XLOOKUP(82135,Trip[shape_id],Trip[shape_id],"Não encontrado")</f>
        <v/>
      </c>
      <c r="B16111" s="40" t="n">
        <v>-23.572847</v>
      </c>
      <c r="C16111" s="40" t="n">
        <v>-46.534197</v>
      </c>
      <c r="D16111" s="40" t="n">
        <v>248</v>
      </c>
      <c r="E16111" s="41" t="n">
        <v>9122.8428</v>
      </c>
    </row>
    <row r="16112">
      <c r="A16112" s="42">
        <f>_xlfn.XLOOKUP(82135,Trip[shape_id],Trip[shape_id],"Não encontrado")</f>
        <v/>
      </c>
      <c r="B16112" s="43" t="n">
        <v>-23.572879</v>
      </c>
      <c r="C16112" s="43" t="n">
        <v>-46.534127</v>
      </c>
      <c r="D16112" s="43" t="n">
        <v>249</v>
      </c>
      <c r="E16112" s="44" t="n">
        <v>9136.5586</v>
      </c>
    </row>
    <row r="16113">
      <c r="A16113" s="39">
        <f>_xlfn.XLOOKUP(82135,Trip[shape_id],Trip[shape_id],"Não encontrado")</f>
        <v/>
      </c>
      <c r="B16113" s="40" t="n">
        <v>-23.572922</v>
      </c>
      <c r="C16113" s="40" t="n">
        <v>-46.534001</v>
      </c>
      <c r="D16113" s="40" t="n">
        <v>250</v>
      </c>
      <c r="E16113" s="41" t="n">
        <v>9146.234399999999</v>
      </c>
    </row>
    <row r="16114">
      <c r="A16114" s="42">
        <f>_xlfn.XLOOKUP(82135,Trip[shape_id],Trip[shape_id],"Não encontrado")</f>
        <v/>
      </c>
      <c r="B16114" s="43" t="n">
        <v>-23.572943</v>
      </c>
      <c r="C16114" s="43" t="n">
        <v>-46.533909</v>
      </c>
      <c r="D16114" s="43" t="n">
        <v>251</v>
      </c>
      <c r="E16114" s="44" t="n">
        <v>9146.234399999999</v>
      </c>
    </row>
    <row r="16115">
      <c r="A16115" s="39">
        <f>_xlfn.XLOOKUP(82135,Trip[shape_id],Trip[shape_id],"Não encontrado")</f>
        <v/>
      </c>
      <c r="B16115" s="40" t="n">
        <v>-23.572972</v>
      </c>
      <c r="C16115" s="40" t="n">
        <v>-46.533783</v>
      </c>
      <c r="D16115" s="40" t="n">
        <v>252</v>
      </c>
      <c r="E16115" s="41" t="n">
        <v>9178.406300000001</v>
      </c>
    </row>
    <row r="16116">
      <c r="A16116" s="42">
        <f>_xlfn.XLOOKUP(82135,Trip[shape_id],Trip[shape_id],"Não encontrado")</f>
        <v/>
      </c>
      <c r="B16116" s="43" t="n">
        <v>-23.573004</v>
      </c>
      <c r="C16116" s="43" t="n">
        <v>-46.533601</v>
      </c>
      <c r="D16116" s="43" t="n">
        <v>253</v>
      </c>
      <c r="E16116" s="44" t="n">
        <v>9199.357400000001</v>
      </c>
    </row>
    <row r="16117">
      <c r="A16117" s="39">
        <f>_xlfn.XLOOKUP(82135,Trip[shape_id],Trip[shape_id],"Não encontrado")</f>
        <v/>
      </c>
      <c r="B16117" s="40" t="n">
        <v>-23.573013</v>
      </c>
      <c r="C16117" s="40" t="n">
        <v>-46.533396</v>
      </c>
      <c r="D16117" s="40" t="n">
        <v>254</v>
      </c>
      <c r="E16117" s="41" t="n">
        <v>9208.954100000001</v>
      </c>
    </row>
    <row r="16118">
      <c r="A16118" s="42">
        <f>_xlfn.XLOOKUP(82135,Trip[shape_id],Trip[shape_id],"Não encontrado")</f>
        <v/>
      </c>
      <c r="B16118" s="43" t="n">
        <v>-23.573014</v>
      </c>
      <c r="C16118" s="43" t="n">
        <v>-46.533302</v>
      </c>
      <c r="D16118" s="43" t="n">
        <v>255</v>
      </c>
      <c r="E16118" s="44" t="n">
        <v>9208.954100000001</v>
      </c>
    </row>
    <row r="16119">
      <c r="A16119" s="39">
        <f>_xlfn.XLOOKUP(82135,Trip[shape_id],Trip[shape_id],"Não encontrado")</f>
        <v/>
      </c>
      <c r="B16119" s="40" t="n">
        <v>-23.573014</v>
      </c>
      <c r="C16119" s="40" t="n">
        <v>-46.533172</v>
      </c>
      <c r="D16119" s="40" t="n">
        <v>256</v>
      </c>
      <c r="E16119" s="41" t="n">
        <v>9227.8496</v>
      </c>
    </row>
    <row r="16120">
      <c r="A16120" s="42">
        <f>_xlfn.XLOOKUP(82135,Trip[shape_id],Trip[shape_id],"Não encontrado")</f>
        <v/>
      </c>
      <c r="B16120" s="43" t="n">
        <v>-23.573011</v>
      </c>
      <c r="C16120" s="43" t="n">
        <v>-46.533117</v>
      </c>
      <c r="D16120" s="43" t="n">
        <v>257</v>
      </c>
      <c r="E16120" s="44" t="n">
        <v>9227.8496</v>
      </c>
    </row>
    <row r="16121">
      <c r="A16121" s="39">
        <f>_xlfn.XLOOKUP(82135,Trip[shape_id],Trip[shape_id],"Não encontrado")</f>
        <v/>
      </c>
      <c r="B16121" s="40" t="n">
        <v>-23.573027</v>
      </c>
      <c r="C16121" s="40" t="n">
        <v>-46.5331</v>
      </c>
      <c r="D16121" s="40" t="n">
        <v>258</v>
      </c>
      <c r="E16121" s="41" t="n">
        <v>9230.332</v>
      </c>
    </row>
    <row r="16122">
      <c r="A16122" s="42">
        <f>_xlfn.XLOOKUP(82135,Trip[shape_id],Trip[shape_id],"Não encontrado")</f>
        <v/>
      </c>
      <c r="B16122" s="43" t="n">
        <v>-23.573135</v>
      </c>
      <c r="C16122" s="43" t="n">
        <v>-46.533063</v>
      </c>
      <c r="D16122" s="43" t="n">
        <v>259</v>
      </c>
      <c r="E16122" s="44" t="n">
        <v>9242.875</v>
      </c>
    </row>
    <row r="16123">
      <c r="A16123" s="39">
        <f>_xlfn.XLOOKUP(82135,Trip[shape_id],Trip[shape_id],"Não encontrado")</f>
        <v/>
      </c>
      <c r="B16123" s="40" t="n">
        <v>-23.573203</v>
      </c>
      <c r="C16123" s="40" t="n">
        <v>-46.533041</v>
      </c>
      <c r="D16123" s="40" t="n">
        <v>260</v>
      </c>
      <c r="E16123" s="41" t="n">
        <v>9250.733399999999</v>
      </c>
    </row>
    <row r="16124">
      <c r="A16124" s="42">
        <f>_xlfn.XLOOKUP(82135,Trip[shape_id],Trip[shape_id],"Não encontrado")</f>
        <v/>
      </c>
      <c r="B16124" s="43" t="n">
        <v>-23.573272</v>
      </c>
      <c r="C16124" s="43" t="n">
        <v>-46.53303</v>
      </c>
      <c r="D16124" s="43" t="n">
        <v>261</v>
      </c>
      <c r="E16124" s="44" t="n">
        <v>9258.458000000001</v>
      </c>
    </row>
    <row r="16125">
      <c r="A16125" s="39">
        <f>_xlfn.XLOOKUP(82135,Trip[shape_id],Trip[shape_id],"Não encontrado")</f>
        <v/>
      </c>
      <c r="B16125" s="40" t="n">
        <v>-23.573301</v>
      </c>
      <c r="C16125" s="40" t="n">
        <v>-46.533026</v>
      </c>
      <c r="D16125" s="40" t="n">
        <v>262</v>
      </c>
      <c r="E16125" s="41" t="n">
        <v>9261.694299999999</v>
      </c>
    </row>
    <row r="16126">
      <c r="A16126" s="42">
        <f>_xlfn.XLOOKUP(82135,Trip[shape_id],Trip[shape_id],"Não encontrado")</f>
        <v/>
      </c>
      <c r="B16126" s="43" t="n">
        <v>-23.573427</v>
      </c>
      <c r="C16126" s="43" t="n">
        <v>-46.533047</v>
      </c>
      <c r="D16126" s="43" t="n">
        <v>263</v>
      </c>
      <c r="E16126" s="44" t="n">
        <v>9275.8135</v>
      </c>
    </row>
    <row r="16127">
      <c r="A16127" s="39">
        <f>_xlfn.XLOOKUP(82135,Trip[shape_id],Trip[shape_id],"Não encontrado")</f>
        <v/>
      </c>
      <c r="B16127" s="40" t="n">
        <v>-23.573507</v>
      </c>
      <c r="C16127" s="40" t="n">
        <v>-46.533073</v>
      </c>
      <c r="D16127" s="40" t="n">
        <v>264</v>
      </c>
      <c r="E16127" s="41" t="n">
        <v>9285.0625</v>
      </c>
    </row>
    <row r="16128">
      <c r="A16128" s="42">
        <f>_xlfn.XLOOKUP(82135,Trip[shape_id],Trip[shape_id],"Não encontrado")</f>
        <v/>
      </c>
      <c r="B16128" s="43" t="n">
        <v>-23.573579</v>
      </c>
      <c r="C16128" s="43" t="n">
        <v>-46.533105</v>
      </c>
      <c r="D16128" s="43" t="n">
        <v>265</v>
      </c>
      <c r="E16128" s="44" t="n">
        <v>9293.679700000001</v>
      </c>
    </row>
    <row r="16129">
      <c r="A16129" s="39">
        <f>_xlfn.XLOOKUP(82135,Trip[shape_id],Trip[shape_id],"Não encontrado")</f>
        <v/>
      </c>
      <c r="B16129" s="40" t="n">
        <v>-23.573807</v>
      </c>
      <c r="C16129" s="40" t="n">
        <v>-46.533232</v>
      </c>
      <c r="D16129" s="40" t="n">
        <v>266</v>
      </c>
      <c r="E16129" s="41" t="n">
        <v>9322.0645</v>
      </c>
    </row>
    <row r="16130">
      <c r="A16130" s="42">
        <f>_xlfn.XLOOKUP(82135,Trip[shape_id],Trip[shape_id],"Não encontrado")</f>
        <v/>
      </c>
      <c r="B16130" s="43" t="n">
        <v>-23.574419</v>
      </c>
      <c r="C16130" s="43" t="n">
        <v>-46.533625</v>
      </c>
      <c r="D16130" s="43" t="n">
        <v>267</v>
      </c>
      <c r="E16130" s="44" t="n">
        <v>9400.828100000001</v>
      </c>
    </row>
    <row r="16131">
      <c r="A16131" s="39">
        <f>_xlfn.XLOOKUP(82135,Trip[shape_id],Trip[shape_id],"Não encontrado")</f>
        <v/>
      </c>
      <c r="B16131" s="40" t="n">
        <v>-23.574502</v>
      </c>
      <c r="C16131" s="40" t="n">
        <v>-46.533677</v>
      </c>
      <c r="D16131" s="40" t="n">
        <v>268</v>
      </c>
      <c r="E16131" s="41" t="n">
        <v>9411.4434</v>
      </c>
    </row>
    <row r="16132">
      <c r="A16132" s="42">
        <f>_xlfn.XLOOKUP(82135,Trip[shape_id],Trip[shape_id],"Não encontrado")</f>
        <v/>
      </c>
      <c r="B16132" s="43" t="n">
        <v>-23.574589</v>
      </c>
      <c r="C16132" s="43" t="n">
        <v>-46.533692</v>
      </c>
      <c r="D16132" s="43" t="n">
        <v>269</v>
      </c>
      <c r="E16132" s="44" t="n">
        <v>9421.200199999999</v>
      </c>
    </row>
    <row r="16133">
      <c r="A16133" s="39">
        <f>_xlfn.XLOOKUP(82135,Trip[shape_id],Trip[shape_id],"Não encontrado")</f>
        <v/>
      </c>
      <c r="B16133" s="40" t="n">
        <v>-23.574625</v>
      </c>
      <c r="C16133" s="40" t="n">
        <v>-46.533685</v>
      </c>
      <c r="D16133" s="40" t="n">
        <v>270</v>
      </c>
      <c r="E16133" s="41" t="n">
        <v>9425.25</v>
      </c>
    </row>
    <row r="16134">
      <c r="A16134" s="42">
        <f>_xlfn.XLOOKUP(82135,Trip[shape_id],Trip[shape_id],"Não encontrado")</f>
        <v/>
      </c>
      <c r="B16134" s="43" t="n">
        <v>-23.574651</v>
      </c>
      <c r="C16134" s="43" t="n">
        <v>-46.533668</v>
      </c>
      <c r="D16134" s="43" t="n">
        <v>271</v>
      </c>
      <c r="E16134" s="44" t="n">
        <v>9433.9395</v>
      </c>
    </row>
    <row r="16135">
      <c r="A16135" s="39">
        <f>_xlfn.XLOOKUP(82135,Trip[shape_id],Trip[shape_id],"Não encontrado")</f>
        <v/>
      </c>
      <c r="B16135" s="40" t="n">
        <v>-23.574689</v>
      </c>
      <c r="C16135" s="40" t="n">
        <v>-46.533636</v>
      </c>
      <c r="D16135" s="40" t="n">
        <v>272</v>
      </c>
      <c r="E16135" s="41" t="n">
        <v>9447.190399999999</v>
      </c>
    </row>
    <row r="16136">
      <c r="A16136" s="42">
        <f>_xlfn.XLOOKUP(82135,Trip[shape_id],Trip[shape_id],"Não encontrado")</f>
        <v/>
      </c>
      <c r="B16136" s="43" t="n">
        <v>-23.574763</v>
      </c>
      <c r="C16136" s="43" t="n">
        <v>-46.533534</v>
      </c>
      <c r="D16136" s="43" t="n">
        <v>273</v>
      </c>
      <c r="E16136" s="44" t="n">
        <v>9461.75</v>
      </c>
    </row>
    <row r="16137">
      <c r="A16137" s="39">
        <f>_xlfn.XLOOKUP(82135,Trip[shape_id],Trip[shape_id],"Não encontrado")</f>
        <v/>
      </c>
      <c r="B16137" s="40" t="n">
        <v>-23.574842</v>
      </c>
      <c r="C16137" s="40" t="n">
        <v>-46.53342</v>
      </c>
      <c r="D16137" s="40" t="n">
        <v>274</v>
      </c>
      <c r="E16137" s="41" t="n">
        <v>9473.261699999999</v>
      </c>
    </row>
    <row r="16138">
      <c r="A16138" s="42">
        <f>_xlfn.XLOOKUP(82135,Trip[shape_id],Trip[shape_id],"Não encontrado")</f>
        <v/>
      </c>
      <c r="B16138" s="43" t="n">
        <v>-23.574898</v>
      </c>
      <c r="C16138" s="43" t="n">
        <v>-46.533325</v>
      </c>
      <c r="D16138" s="43" t="n">
        <v>275</v>
      </c>
      <c r="E16138" s="44" t="n">
        <v>9473.261699999999</v>
      </c>
    </row>
    <row r="16139">
      <c r="A16139" s="39">
        <f>_xlfn.XLOOKUP(82135,Trip[shape_id],Trip[shape_id],"Não encontrado")</f>
        <v/>
      </c>
      <c r="B16139" s="40" t="n">
        <v>-23.575011</v>
      </c>
      <c r="C16139" s="40" t="n">
        <v>-46.533036</v>
      </c>
      <c r="D16139" s="40" t="n">
        <v>276</v>
      </c>
      <c r="E16139" s="41" t="n">
        <v>9533.1582</v>
      </c>
    </row>
    <row r="16140">
      <c r="A16140" s="42">
        <f>_xlfn.XLOOKUP(82135,Trip[shape_id],Trip[shape_id],"Não encontrado")</f>
        <v/>
      </c>
      <c r="B16140" s="43" t="n">
        <v>-23.57509</v>
      </c>
      <c r="C16140" s="43" t="n">
        <v>-46.532777</v>
      </c>
      <c r="D16140" s="43" t="n">
        <v>277</v>
      </c>
      <c r="E16140" s="44" t="n">
        <v>9533.1582</v>
      </c>
    </row>
    <row r="16141">
      <c r="A16141" s="39">
        <f>_xlfn.XLOOKUP(82135,Trip[shape_id],Trip[shape_id],"Não encontrado")</f>
        <v/>
      </c>
      <c r="B16141" s="40" t="n">
        <v>-23.575192</v>
      </c>
      <c r="C16141" s="40" t="n">
        <v>-46.532471</v>
      </c>
      <c r="D16141" s="40" t="n">
        <v>278</v>
      </c>
      <c r="E16141" s="41" t="n">
        <v>9600.881799999999</v>
      </c>
    </row>
    <row r="16142">
      <c r="A16142" s="42">
        <f>_xlfn.XLOOKUP(82135,Trip[shape_id],Trip[shape_id],"Não encontrado")</f>
        <v/>
      </c>
      <c r="B16142" s="43" t="n">
        <v>-23.575305</v>
      </c>
      <c r="C16142" s="43" t="n">
        <v>-46.532156</v>
      </c>
      <c r="D16142" s="43" t="n">
        <v>279</v>
      </c>
      <c r="E16142" s="44" t="n">
        <v>9644.627899999999</v>
      </c>
    </row>
    <row r="16143">
      <c r="A16143" s="39">
        <f>_xlfn.XLOOKUP(82135,Trip[shape_id],Trip[shape_id],"Não encontrado")</f>
        <v/>
      </c>
      <c r="B16143" s="40" t="n">
        <v>-23.575407</v>
      </c>
      <c r="C16143" s="40" t="n">
        <v>-46.531742</v>
      </c>
      <c r="D16143" s="40" t="n">
        <v>280</v>
      </c>
      <c r="E16143" s="41" t="n">
        <v>9644.627899999999</v>
      </c>
    </row>
    <row r="16144">
      <c r="A16144" s="42">
        <f>_xlfn.XLOOKUP(82135,Trip[shape_id],Trip[shape_id],"Não encontrado")</f>
        <v/>
      </c>
      <c r="B16144" s="43" t="n">
        <v>-23.575434</v>
      </c>
      <c r="C16144" s="43" t="n">
        <v>-46.531655</v>
      </c>
      <c r="D16144" s="43" t="n">
        <v>281</v>
      </c>
      <c r="E16144" s="44" t="n">
        <v>9685.1855</v>
      </c>
    </row>
    <row r="16145">
      <c r="A16145" s="39">
        <f>_xlfn.XLOOKUP(82135,Trip[shape_id],Trip[shape_id],"Não encontrado")</f>
        <v/>
      </c>
      <c r="B16145" s="40" t="n">
        <v>-23.575533</v>
      </c>
      <c r="C16145" s="40" t="n">
        <v>-46.531369</v>
      </c>
      <c r="D16145" s="40" t="n">
        <v>282</v>
      </c>
      <c r="E16145" s="41" t="n">
        <v>9698.084999999999</v>
      </c>
    </row>
    <row r="16146">
      <c r="A16146" s="42">
        <f>_xlfn.XLOOKUP(82135,Trip[shape_id],Trip[shape_id],"Não encontrado")</f>
        <v/>
      </c>
      <c r="B16146" s="43" t="n">
        <v>-23.575577</v>
      </c>
      <c r="C16146" s="43" t="n">
        <v>-46.531252</v>
      </c>
      <c r="D16146" s="43" t="n">
        <v>283</v>
      </c>
      <c r="E16146" s="44" t="n">
        <v>9707.507799999999</v>
      </c>
    </row>
    <row r="16147">
      <c r="A16147" s="39">
        <f>_xlfn.XLOOKUP(82135,Trip[shape_id],Trip[shape_id],"Não encontrado")</f>
        <v/>
      </c>
      <c r="B16147" s="40" t="n">
        <v>-23.575621</v>
      </c>
      <c r="C16147" s="40" t="n">
        <v>-46.531173</v>
      </c>
      <c r="D16147" s="40" t="n">
        <v>284</v>
      </c>
      <c r="E16147" s="41" t="n">
        <v>9715.2803</v>
      </c>
    </row>
    <row r="16148">
      <c r="A16148" s="42">
        <f>_xlfn.XLOOKUP(82135,Trip[shape_id],Trip[shape_id],"Não encontrado")</f>
        <v/>
      </c>
      <c r="B16148" s="43" t="n">
        <v>-23.575663</v>
      </c>
      <c r="C16148" s="43" t="n">
        <v>-46.531112</v>
      </c>
      <c r="D16148" s="43" t="n">
        <v>285</v>
      </c>
      <c r="E16148" s="44" t="n">
        <v>9715.2803</v>
      </c>
    </row>
    <row r="16149">
      <c r="A16149" s="39">
        <f>_xlfn.XLOOKUP(82135,Trip[shape_id],Trip[shape_id],"Não encontrado")</f>
        <v/>
      </c>
      <c r="B16149" s="40" t="n">
        <v>-23.575862</v>
      </c>
      <c r="C16149" s="40" t="n">
        <v>-46.530734</v>
      </c>
      <c r="D16149" s="40" t="n">
        <v>286</v>
      </c>
      <c r="E16149" s="41" t="n">
        <v>9768.2598</v>
      </c>
    </row>
    <row r="16150">
      <c r="A16150" s="42">
        <f>_xlfn.XLOOKUP(82135,Trip[shape_id],Trip[shape_id],"Não encontrado")</f>
        <v/>
      </c>
      <c r="B16150" s="43" t="n">
        <v>-23.575898</v>
      </c>
      <c r="C16150" s="43" t="n">
        <v>-46.53066</v>
      </c>
      <c r="D16150" s="43" t="n">
        <v>287</v>
      </c>
      <c r="E16150" s="44" t="n">
        <v>9777.3408</v>
      </c>
    </row>
    <row r="16151">
      <c r="A16151" s="39">
        <f>_xlfn.XLOOKUP(82135,Trip[shape_id],Trip[shape_id],"Não encontrado")</f>
        <v/>
      </c>
      <c r="B16151" s="40" t="n">
        <v>-23.575925</v>
      </c>
      <c r="C16151" s="40" t="n">
        <v>-46.530576</v>
      </c>
      <c r="D16151" s="40" t="n">
        <v>288</v>
      </c>
      <c r="E16151" s="41" t="n">
        <v>9786.1963</v>
      </c>
    </row>
    <row r="16152">
      <c r="A16152" s="42">
        <f>_xlfn.XLOOKUP(82135,Trip[shape_id],Trip[shape_id],"Não encontrado")</f>
        <v/>
      </c>
      <c r="B16152" s="43" t="n">
        <v>-23.575941</v>
      </c>
      <c r="C16152" s="43" t="n">
        <v>-46.530491</v>
      </c>
      <c r="D16152" s="43" t="n">
        <v>289</v>
      </c>
      <c r="E16152" s="44" t="n">
        <v>9826.352500000001</v>
      </c>
    </row>
    <row r="16153">
      <c r="A16153" s="39">
        <f>_xlfn.XLOOKUP(82135,Trip[shape_id],Trip[shape_id],"Não encontrado")</f>
        <v/>
      </c>
      <c r="B16153" s="40" t="n">
        <v>-23.576006</v>
      </c>
      <c r="C16153" s="40" t="n">
        <v>-46.530104</v>
      </c>
      <c r="D16153" s="40" t="n">
        <v>290</v>
      </c>
      <c r="E16153" s="41" t="n">
        <v>9856.622100000001</v>
      </c>
    </row>
    <row r="16154">
      <c r="A16154" s="42">
        <f>_xlfn.XLOOKUP(82135,Trip[shape_id],Trip[shape_id],"Não encontrado")</f>
        <v/>
      </c>
      <c r="B16154" s="43" t="n">
        <v>-23.576063</v>
      </c>
      <c r="C16154" s="43" t="n">
        <v>-46.529814</v>
      </c>
      <c r="D16154" s="43" t="n">
        <v>291</v>
      </c>
      <c r="E16154" s="44" t="n">
        <v>9856.622100000001</v>
      </c>
    </row>
    <row r="16155">
      <c r="A16155" s="39">
        <f>_xlfn.XLOOKUP(82135,Trip[shape_id],Trip[shape_id],"Não encontrado")</f>
        <v/>
      </c>
      <c r="B16155" s="40" t="n">
        <v>-23.576141</v>
      </c>
      <c r="C16155" s="40" t="n">
        <v>-46.529385</v>
      </c>
      <c r="D16155" s="40" t="n">
        <v>292</v>
      </c>
      <c r="E16155" s="41" t="n">
        <v>9901.2588</v>
      </c>
    </row>
    <row r="16156">
      <c r="A16156" s="42">
        <f>_xlfn.XLOOKUP(82135,Trip[shape_id],Trip[shape_id],"Não encontrado")</f>
        <v/>
      </c>
      <c r="B16156" s="43" t="n">
        <v>-23.576146</v>
      </c>
      <c r="C16156" s="43" t="n">
        <v>-46.529305</v>
      </c>
      <c r="D16156" s="43" t="n">
        <v>293</v>
      </c>
      <c r="E16156" s="44" t="n">
        <v>9915.674800000001</v>
      </c>
    </row>
    <row r="16157">
      <c r="A16157" s="39">
        <f>_xlfn.XLOOKUP(82135,Trip[shape_id],Trip[shape_id],"Não encontrado")</f>
        <v/>
      </c>
      <c r="B16157" s="40" t="n">
        <v>-23.576144</v>
      </c>
      <c r="C16157" s="40" t="n">
        <v>-46.529244</v>
      </c>
      <c r="D16157" s="40" t="n">
        <v>294</v>
      </c>
      <c r="E16157" s="41" t="n">
        <v>9923.381799999999</v>
      </c>
    </row>
    <row r="16158">
      <c r="A16158" s="42">
        <f>_xlfn.XLOOKUP(82135,Trip[shape_id],Trip[shape_id],"Não encontrado")</f>
        <v/>
      </c>
      <c r="B16158" s="43" t="n">
        <v>-23.576136</v>
      </c>
      <c r="C16158" s="43" t="n">
        <v>-46.529169</v>
      </c>
      <c r="D16158" s="43" t="n">
        <v>295</v>
      </c>
      <c r="E16158" s="44" t="n">
        <v>9931.5947</v>
      </c>
    </row>
    <row r="16159">
      <c r="A16159" s="39">
        <f>_xlfn.XLOOKUP(82135,Trip[shape_id],Trip[shape_id],"Não encontrado")</f>
        <v/>
      </c>
      <c r="B16159" s="40" t="n">
        <v>-23.576122</v>
      </c>
      <c r="C16159" s="40" t="n">
        <v>-46.52909</v>
      </c>
      <c r="D16159" s="40" t="n">
        <v>296</v>
      </c>
      <c r="E16159" s="41" t="n">
        <v>9931.5947</v>
      </c>
    </row>
    <row r="16160">
      <c r="A16160" s="42">
        <f>_xlfn.XLOOKUP(82135,Trip[shape_id],Trip[shape_id],"Não encontrado")</f>
        <v/>
      </c>
      <c r="B16160" s="43" t="n">
        <v>-23.576083</v>
      </c>
      <c r="C16160" s="43" t="n">
        <v>-46.528929</v>
      </c>
      <c r="D16160" s="43" t="n">
        <v>297</v>
      </c>
      <c r="E16160" s="44" t="n">
        <v>9965.5664</v>
      </c>
    </row>
    <row r="16161">
      <c r="A16161" s="39">
        <f>_xlfn.XLOOKUP(82135,Trip[shape_id],Trip[shape_id],"Não encontrado")</f>
        <v/>
      </c>
      <c r="B16161" s="40" t="n">
        <v>-23.576038</v>
      </c>
      <c r="C16161" s="40" t="n">
        <v>-46.52877</v>
      </c>
      <c r="D16161" s="40" t="n">
        <v>298</v>
      </c>
      <c r="E16161" s="41" t="n">
        <v>9965.5664</v>
      </c>
    </row>
    <row r="16162">
      <c r="A16162" s="42">
        <f>_xlfn.XLOOKUP(82135,Trip[shape_id],Trip[shape_id],"Não encontrado")</f>
        <v/>
      </c>
      <c r="B16162" s="43" t="n">
        <v>-23.576184</v>
      </c>
      <c r="C16162" s="43" t="n">
        <v>-46.528231</v>
      </c>
      <c r="D16162" s="43" t="n">
        <v>299</v>
      </c>
      <c r="E16162" s="44" t="n">
        <v>10022.916</v>
      </c>
    </row>
    <row r="16163">
      <c r="A16163" s="39">
        <f>_xlfn.XLOOKUP(82135,Trip[shape_id],Trip[shape_id],"Não encontrado")</f>
        <v/>
      </c>
      <c r="B16163" s="40" t="n">
        <v>-23.576409</v>
      </c>
      <c r="C16163" s="40" t="n">
        <v>-46.527386</v>
      </c>
      <c r="D16163" s="40" t="n">
        <v>300</v>
      </c>
      <c r="E16163" s="41" t="n">
        <v>10112.703</v>
      </c>
    </row>
    <row r="16164">
      <c r="A16164" s="42">
        <f>_xlfn.XLOOKUP(82135,Trip[shape_id],Trip[shape_id],"Não encontrado")</f>
        <v/>
      </c>
      <c r="B16164" s="43" t="n">
        <v>-23.576461</v>
      </c>
      <c r="C16164" s="43" t="n">
        <v>-46.52717</v>
      </c>
      <c r="D16164" s="43" t="n">
        <v>301</v>
      </c>
      <c r="E16164" s="44" t="n">
        <v>10156.274</v>
      </c>
    </row>
    <row r="16165">
      <c r="A16165" s="39">
        <f>_xlfn.XLOOKUP(82135,Trip[shape_id],Trip[shape_id],"Não encontrado")</f>
        <v/>
      </c>
      <c r="B16165" s="40" t="n">
        <v>-23.576533</v>
      </c>
      <c r="C16165" s="40" t="n">
        <v>-46.526982</v>
      </c>
      <c r="D16165" s="40" t="n">
        <v>302</v>
      </c>
      <c r="E16165" s="41" t="n">
        <v>10188.424</v>
      </c>
    </row>
    <row r="16166">
      <c r="A16166" s="42">
        <f>_xlfn.XLOOKUP(82135,Trip[shape_id],Trip[shape_id],"Não encontrado")</f>
        <v/>
      </c>
      <c r="B16166" s="43" t="n">
        <v>-23.576644</v>
      </c>
      <c r="C16166" s="43" t="n">
        <v>-46.526691</v>
      </c>
      <c r="D16166" s="43" t="n">
        <v>303</v>
      </c>
      <c r="E16166" s="44" t="n">
        <v>10227.075</v>
      </c>
    </row>
    <row r="16167">
      <c r="A16167" s="39">
        <f>_xlfn.XLOOKUP(82135,Trip[shape_id],Trip[shape_id],"Não encontrado")</f>
        <v/>
      </c>
      <c r="B16167" s="40" t="n">
        <v>-23.576832</v>
      </c>
      <c r="C16167" s="40" t="n">
        <v>-46.526372</v>
      </c>
      <c r="D16167" s="40" t="n">
        <v>304</v>
      </c>
      <c r="E16167" s="41" t="n">
        <v>10274.397</v>
      </c>
    </row>
    <row r="16168">
      <c r="A16168" s="42">
        <f>_xlfn.XLOOKUP(82135,Trip[shape_id],Trip[shape_id],"Não encontrado")</f>
        <v/>
      </c>
      <c r="B16168" s="43" t="n">
        <v>-23.57707</v>
      </c>
      <c r="C16168" s="43" t="n">
        <v>-46.525987</v>
      </c>
      <c r="D16168" s="43" t="n">
        <v>305</v>
      </c>
      <c r="E16168" s="44" t="n">
        <v>10294.972</v>
      </c>
    </row>
    <row r="16169">
      <c r="A16169" s="39">
        <f>_xlfn.XLOOKUP(82135,Trip[shape_id],Trip[shape_id],"Não encontrado")</f>
        <v/>
      </c>
      <c r="B16169" s="40" t="n">
        <v>-23.577174</v>
      </c>
      <c r="C16169" s="40" t="n">
        <v>-46.52582</v>
      </c>
      <c r="D16169" s="40" t="n">
        <v>306</v>
      </c>
      <c r="E16169" s="41" t="n">
        <v>10294.972</v>
      </c>
    </row>
    <row r="16170">
      <c r="A16170" s="42">
        <f>_xlfn.XLOOKUP(82135,Trip[shape_id],Trip[shape_id],"Não encontrado")</f>
        <v/>
      </c>
      <c r="B16170" s="43" t="n">
        <v>-23.577445</v>
      </c>
      <c r="C16170" s="43" t="n">
        <v>-46.525368</v>
      </c>
      <c r="D16170" s="43" t="n">
        <v>307</v>
      </c>
      <c r="E16170" s="44" t="n">
        <v>10350.016</v>
      </c>
    </row>
    <row r="16171">
      <c r="A16171" s="39">
        <f>_xlfn.XLOOKUP(82135,Trip[shape_id],Trip[shape_id],"Não encontrado")</f>
        <v/>
      </c>
      <c r="B16171" s="40" t="n">
        <v>-23.577567</v>
      </c>
      <c r="C16171" s="40" t="n">
        <v>-46.52496</v>
      </c>
      <c r="D16171" s="40" t="n">
        <v>308</v>
      </c>
      <c r="E16171" s="41" t="n">
        <v>10393.802</v>
      </c>
    </row>
    <row r="16172">
      <c r="A16172" s="42">
        <f>_xlfn.XLOOKUP(82135,Trip[shape_id],Trip[shape_id],"Não encontrado")</f>
        <v/>
      </c>
      <c r="B16172" s="43" t="n">
        <v>-23.577448</v>
      </c>
      <c r="C16172" s="43" t="n">
        <v>-46.524801</v>
      </c>
      <c r="D16172" s="43" t="n">
        <v>309</v>
      </c>
      <c r="E16172" s="44" t="n">
        <v>10450.319</v>
      </c>
    </row>
    <row r="16173">
      <c r="A16173" s="39">
        <f>_xlfn.XLOOKUP(82135,Trip[shape_id],Trip[shape_id],"Não encontrado")</f>
        <v/>
      </c>
      <c r="B16173" s="40" t="n">
        <v>-23.57724</v>
      </c>
      <c r="C16173" s="40" t="n">
        <v>-46.524535</v>
      </c>
      <c r="D16173" s="40" t="n">
        <v>310</v>
      </c>
      <c r="E16173" s="41" t="n">
        <v>10470.06</v>
      </c>
    </row>
    <row r="16174">
      <c r="A16174" s="42">
        <f>_xlfn.XLOOKUP(82135,Trip[shape_id],Trip[shape_id],"Não encontrado")</f>
        <v/>
      </c>
      <c r="B16174" s="43" t="n">
        <v>-23.577131</v>
      </c>
      <c r="C16174" s="43" t="n">
        <v>-46.524382</v>
      </c>
      <c r="D16174" s="43" t="n">
        <v>311</v>
      </c>
      <c r="E16174" s="44" t="n">
        <v>10470.06</v>
      </c>
    </row>
    <row r="16175">
      <c r="A16175" s="39">
        <f>_xlfn.XLOOKUP(82135,Trip[shape_id],Trip[shape_id],"Não encontrado")</f>
        <v/>
      </c>
      <c r="B16175" s="40" t="n">
        <v>-23.577051</v>
      </c>
      <c r="C16175" s="40" t="n">
        <v>-46.524211</v>
      </c>
      <c r="D16175" s="40" t="n">
        <v>312</v>
      </c>
      <c r="E16175" s="41" t="n">
        <v>10507.205</v>
      </c>
    </row>
    <row r="16176">
      <c r="A16176" s="42">
        <f>_xlfn.XLOOKUP(82135,Trip[shape_id],Trip[shape_id],"Não encontrado")</f>
        <v/>
      </c>
      <c r="B16176" s="43" t="n">
        <v>-23.576986</v>
      </c>
      <c r="C16176" s="43" t="n">
        <v>-46.524054</v>
      </c>
      <c r="D16176" s="43" t="n">
        <v>313</v>
      </c>
      <c r="E16176" s="44" t="n">
        <v>10507.205</v>
      </c>
    </row>
    <row r="16177">
      <c r="A16177" s="39">
        <f>_xlfn.XLOOKUP(82135,Trip[shape_id],Trip[shape_id],"Não encontrado")</f>
        <v/>
      </c>
      <c r="B16177" s="40" t="n">
        <v>-23.576915</v>
      </c>
      <c r="C16177" s="40" t="n">
        <v>-46.523853</v>
      </c>
      <c r="D16177" s="40" t="n">
        <v>314</v>
      </c>
      <c r="E16177" s="41" t="n">
        <v>10529.179</v>
      </c>
    </row>
    <row r="16178">
      <c r="A16178" s="42">
        <f>_xlfn.XLOOKUP(82135,Trip[shape_id],Trip[shape_id],"Não encontrado")</f>
        <v/>
      </c>
      <c r="B16178" s="43" t="n">
        <v>-23.576859</v>
      </c>
      <c r="C16178" s="43" t="n">
        <v>-46.52367</v>
      </c>
      <c r="D16178" s="43" t="n">
        <v>315</v>
      </c>
      <c r="E16178" s="44" t="n">
        <v>10585.2</v>
      </c>
    </row>
    <row r="16179">
      <c r="A16179" s="39">
        <f>_xlfn.XLOOKUP(82135,Trip[shape_id],Trip[shape_id],"Não encontrado")</f>
        <v/>
      </c>
      <c r="B16179" s="40" t="n">
        <v>-23.576768</v>
      </c>
      <c r="C16179" s="40" t="n">
        <v>-46.523328</v>
      </c>
      <c r="D16179" s="40" t="n">
        <v>316</v>
      </c>
      <c r="E16179" s="41" t="n">
        <v>10602.99</v>
      </c>
    </row>
    <row r="16180">
      <c r="A16180" s="42">
        <f>_xlfn.XLOOKUP(82135,Trip[shape_id],Trip[shape_id],"Não encontrado")</f>
        <v/>
      </c>
      <c r="B16180" s="43" t="n">
        <v>-23.576737</v>
      </c>
      <c r="C16180" s="43" t="n">
        <v>-46.523157</v>
      </c>
      <c r="D16180" s="43" t="n">
        <v>317</v>
      </c>
      <c r="E16180" s="44" t="n">
        <v>10629.378</v>
      </c>
    </row>
    <row r="16181">
      <c r="A16181" s="39">
        <f>_xlfn.XLOOKUP(82135,Trip[shape_id],Trip[shape_id],"Não encontrado")</f>
        <v/>
      </c>
      <c r="B16181" s="40" t="n">
        <v>-23.576704</v>
      </c>
      <c r="C16181" s="40" t="n">
        <v>-46.522901</v>
      </c>
      <c r="D16181" s="40" t="n">
        <v>318</v>
      </c>
      <c r="E16181" s="41" t="n">
        <v>10637.971</v>
      </c>
    </row>
    <row r="16182">
      <c r="A16182" s="42">
        <f>_xlfn.XLOOKUP(82135,Trip[shape_id],Trip[shape_id],"Não encontrado")</f>
        <v/>
      </c>
      <c r="B16182" s="43" t="n">
        <v>-23.576699</v>
      </c>
      <c r="C16182" s="43" t="n">
        <v>-46.522817</v>
      </c>
      <c r="D16182" s="43" t="n">
        <v>319</v>
      </c>
      <c r="E16182" s="44" t="n">
        <v>10637.971</v>
      </c>
    </row>
    <row r="16183">
      <c r="A16183" s="39">
        <f>_xlfn.XLOOKUP(82135,Trip[shape_id],Trip[shape_id],"Não encontrado")</f>
        <v/>
      </c>
      <c r="B16183" s="40" t="n">
        <v>-23.576692</v>
      </c>
      <c r="C16183" s="40" t="n">
        <v>-46.522718</v>
      </c>
      <c r="D16183" s="40" t="n">
        <v>320</v>
      </c>
      <c r="E16183" s="41" t="n">
        <v>10673.737</v>
      </c>
    </row>
    <row r="16184">
      <c r="A16184" s="42">
        <f>_xlfn.XLOOKUP(82135,Trip[shape_id],Trip[shape_id],"Não encontrado")</f>
        <v/>
      </c>
      <c r="B16184" s="43" t="n">
        <v>-23.576686</v>
      </c>
      <c r="C16184" s="43" t="n">
        <v>-46.522467</v>
      </c>
      <c r="D16184" s="43" t="n">
        <v>321</v>
      </c>
      <c r="E16184" s="44" t="n">
        <v>10673.737</v>
      </c>
    </row>
    <row r="16185">
      <c r="A16185" s="39">
        <f>_xlfn.XLOOKUP(82135,Trip[shape_id],Trip[shape_id],"Não encontrado")</f>
        <v/>
      </c>
      <c r="B16185" s="40" t="n">
        <v>-23.576675</v>
      </c>
      <c r="C16185" s="40" t="n">
        <v>-46.52232</v>
      </c>
      <c r="D16185" s="40" t="n">
        <v>322</v>
      </c>
      <c r="E16185" s="41" t="n">
        <v>10699.001</v>
      </c>
    </row>
    <row r="16186">
      <c r="A16186" s="42">
        <f>_xlfn.XLOOKUP(82135,Trip[shape_id],Trip[shape_id],"Não encontrado")</f>
        <v/>
      </c>
      <c r="B16186" s="43" t="n">
        <v>-23.576662</v>
      </c>
      <c r="C16186" s="43" t="n">
        <v>-46.522221</v>
      </c>
      <c r="D16186" s="43" t="n">
        <v>323</v>
      </c>
      <c r="E16186" s="44" t="n">
        <v>10710.815</v>
      </c>
    </row>
    <row r="16187">
      <c r="A16187" s="39">
        <f>_xlfn.XLOOKUP(82135,Trip[shape_id],Trip[shape_id],"Não encontrado")</f>
        <v/>
      </c>
      <c r="B16187" s="40" t="n">
        <v>-23.57665</v>
      </c>
      <c r="C16187" s="40" t="n">
        <v>-46.522106</v>
      </c>
      <c r="D16187" s="40" t="n">
        <v>324</v>
      </c>
      <c r="E16187" s="41" t="n">
        <v>10722.32</v>
      </c>
    </row>
    <row r="16188">
      <c r="A16188" s="42">
        <f>_xlfn.XLOOKUP(82135,Trip[shape_id],Trip[shape_id],"Não encontrado")</f>
        <v/>
      </c>
      <c r="B16188" s="43" t="n">
        <v>-23.576632</v>
      </c>
      <c r="C16188" s="43" t="n">
        <v>-46.521995</v>
      </c>
      <c r="D16188" s="43" t="n">
        <v>325</v>
      </c>
      <c r="E16188" s="44" t="n">
        <v>10736.616</v>
      </c>
    </row>
    <row r="16189">
      <c r="A16189" s="39">
        <f>_xlfn.XLOOKUP(82135,Trip[shape_id],Trip[shape_id],"Não encontrado")</f>
        <v/>
      </c>
      <c r="B16189" s="40" t="n">
        <v>-23.57661</v>
      </c>
      <c r="C16189" s="40" t="n">
        <v>-46.521857</v>
      </c>
      <c r="D16189" s="40" t="n">
        <v>326</v>
      </c>
      <c r="E16189" s="41" t="n">
        <v>10755.261</v>
      </c>
    </row>
    <row r="16190">
      <c r="A16190" s="42">
        <f>_xlfn.XLOOKUP(82135,Trip[shape_id],Trip[shape_id],"Não encontrado")</f>
        <v/>
      </c>
      <c r="B16190" s="43" t="n">
        <v>-23.576565</v>
      </c>
      <c r="C16190" s="43" t="n">
        <v>-46.521681</v>
      </c>
      <c r="D16190" s="43" t="n">
        <v>327</v>
      </c>
      <c r="E16190" s="44" t="n">
        <v>10774.712</v>
      </c>
    </row>
    <row r="16191">
      <c r="A16191" s="39">
        <f>_xlfn.XLOOKUP(82135,Trip[shape_id],Trip[shape_id],"Não encontrado")</f>
        <v/>
      </c>
      <c r="B16191" s="40" t="n">
        <v>-23.576513</v>
      </c>
      <c r="C16191" s="40" t="n">
        <v>-46.521499</v>
      </c>
      <c r="D16191" s="40" t="n">
        <v>328</v>
      </c>
      <c r="E16191" s="41" t="n">
        <v>10785.938</v>
      </c>
    </row>
    <row r="16192">
      <c r="A16192" s="42">
        <f>_xlfn.XLOOKUP(82135,Trip[shape_id],Trip[shape_id],"Não encontrado")</f>
        <v/>
      </c>
      <c r="B16192" s="43" t="n">
        <v>-23.576486</v>
      </c>
      <c r="C16192" s="43" t="n">
        <v>-46.521393</v>
      </c>
      <c r="D16192" s="43" t="n">
        <v>329</v>
      </c>
      <c r="E16192" s="44" t="n">
        <v>10785.938</v>
      </c>
    </row>
    <row r="16193">
      <c r="A16193" s="39">
        <f>_xlfn.XLOOKUP(82135,Trip[shape_id],Trip[shape_id],"Não encontrado")</f>
        <v/>
      </c>
      <c r="B16193" s="40" t="n">
        <v>-23.576447</v>
      </c>
      <c r="C16193" s="40" t="n">
        <v>-46.521291</v>
      </c>
      <c r="D16193" s="40" t="n">
        <v>330</v>
      </c>
      <c r="E16193" s="41" t="n">
        <v>10797.211</v>
      </c>
    </row>
    <row r="16194">
      <c r="A16194" s="42">
        <f>_xlfn.XLOOKUP(82135,Trip[shape_id],Trip[shape_id],"Não encontrado")</f>
        <v/>
      </c>
      <c r="B16194" s="43" t="n">
        <v>-23.576484</v>
      </c>
      <c r="C16194" s="43" t="n">
        <v>-46.520913</v>
      </c>
      <c r="D16194" s="43" t="n">
        <v>331</v>
      </c>
      <c r="E16194" s="44" t="n">
        <v>10843.801</v>
      </c>
    </row>
    <row r="16195">
      <c r="A16195" s="39">
        <f>_xlfn.XLOOKUP(82135,Trip[shape_id],Trip[shape_id],"Não encontrado")</f>
        <v/>
      </c>
      <c r="B16195" s="40" t="n">
        <v>-23.57649</v>
      </c>
      <c r="C16195" s="40" t="n">
        <v>-46.520837</v>
      </c>
      <c r="D16195" s="40" t="n">
        <v>332</v>
      </c>
      <c r="E16195" s="41" t="n">
        <v>10855.95</v>
      </c>
    </row>
    <row r="16196">
      <c r="A16196" s="42">
        <f>_xlfn.XLOOKUP(82135,Trip[shape_id],Trip[shape_id],"Não encontrado")</f>
        <v/>
      </c>
      <c r="B16196" s="43" t="n">
        <v>-23.576492</v>
      </c>
      <c r="C16196" s="43" t="n">
        <v>-46.520718</v>
      </c>
      <c r="D16196" s="43" t="n">
        <v>333</v>
      </c>
      <c r="E16196" s="44" t="n">
        <v>10855.95</v>
      </c>
    </row>
    <row r="16197">
      <c r="A16197" s="39">
        <f>_xlfn.XLOOKUP(82135,Trip[shape_id],Trip[shape_id],"Não encontrado")</f>
        <v/>
      </c>
      <c r="B16197" s="40" t="n">
        <v>-23.576494</v>
      </c>
      <c r="C16197" s="40" t="n">
        <v>-46.520672</v>
      </c>
      <c r="D16197" s="40" t="n">
        <v>334</v>
      </c>
      <c r="E16197" s="41" t="n">
        <v>10867.391</v>
      </c>
    </row>
    <row r="16198">
      <c r="A16198" s="42">
        <f>_xlfn.XLOOKUP(82135,Trip[shape_id],Trip[shape_id],"Não encontrado")</f>
        <v/>
      </c>
      <c r="B16198" s="43" t="n">
        <v>-23.576492</v>
      </c>
      <c r="C16198" s="43" t="n">
        <v>-46.520606</v>
      </c>
      <c r="D16198" s="43" t="n">
        <v>335</v>
      </c>
      <c r="E16198" s="44" t="n">
        <v>10872.957</v>
      </c>
    </row>
    <row r="16199">
      <c r="A16199" s="39">
        <f>_xlfn.XLOOKUP(82135,Trip[shape_id],Trip[shape_id],"Não encontrado")</f>
        <v/>
      </c>
      <c r="B16199" s="40" t="n">
        <v>-23.576485</v>
      </c>
      <c r="C16199" s="40" t="n">
        <v>-46.520552</v>
      </c>
      <c r="D16199" s="40" t="n">
        <v>336</v>
      </c>
      <c r="E16199" s="41" t="n">
        <v>10872.957</v>
      </c>
    </row>
    <row r="16200">
      <c r="A16200" s="42">
        <f>_xlfn.XLOOKUP(82135,Trip[shape_id],Trip[shape_id],"Não encontrado")</f>
        <v/>
      </c>
      <c r="B16200" s="43" t="n">
        <v>-23.57647</v>
      </c>
      <c r="C16200" s="43" t="n">
        <v>-46.5204</v>
      </c>
      <c r="D16200" s="43" t="n">
        <v>337</v>
      </c>
      <c r="E16200" s="44" t="n">
        <v>10888.562</v>
      </c>
    </row>
    <row r="16201">
      <c r="A16201" s="39">
        <f>_xlfn.XLOOKUP(82135,Trip[shape_id],Trip[shape_id],"Não encontrado")</f>
        <v/>
      </c>
      <c r="B16201" s="40" t="n">
        <v>-23.576417</v>
      </c>
      <c r="C16201" s="40" t="n">
        <v>-46.520249</v>
      </c>
      <c r="D16201" s="40" t="n">
        <v>338</v>
      </c>
      <c r="E16201" s="41" t="n">
        <v>10917.062</v>
      </c>
    </row>
    <row r="16202">
      <c r="A16202" s="42">
        <f>_xlfn.XLOOKUP(82135,Trip[shape_id],Trip[shape_id],"Não encontrado")</f>
        <v/>
      </c>
      <c r="B16202" s="43" t="n">
        <v>-23.576372</v>
      </c>
      <c r="C16202" s="43" t="n">
        <v>-46.520142</v>
      </c>
      <c r="D16202" s="43" t="n">
        <v>339</v>
      </c>
      <c r="E16202" s="44" t="n">
        <v>10922.393</v>
      </c>
    </row>
    <row r="16203">
      <c r="A16203" s="39">
        <f>_xlfn.XLOOKUP(82135,Trip[shape_id],Trip[shape_id],"Não encontrado")</f>
        <v/>
      </c>
      <c r="B16203" s="40" t="n">
        <v>-23.576351</v>
      </c>
      <c r="C16203" s="40" t="n">
        <v>-46.520095</v>
      </c>
      <c r="D16203" s="40" t="n">
        <v>340</v>
      </c>
      <c r="E16203" s="41" t="n">
        <v>10922.393</v>
      </c>
    </row>
    <row r="16204">
      <c r="A16204" s="42">
        <f>_xlfn.XLOOKUP(82135,Trip[shape_id],Trip[shape_id],"Não encontrado")</f>
        <v/>
      </c>
      <c r="B16204" s="43" t="n">
        <v>-23.576258</v>
      </c>
      <c r="C16204" s="43" t="n">
        <v>-46.519899</v>
      </c>
      <c r="D16204" s="43" t="n">
        <v>341</v>
      </c>
      <c r="E16204" s="44" t="n">
        <v>10956.58</v>
      </c>
    </row>
    <row r="16205">
      <c r="A16205" s="39">
        <f>_xlfn.XLOOKUP(82135,Trip[shape_id],Trip[shape_id],"Não encontrado")</f>
        <v/>
      </c>
      <c r="B16205" s="40" t="n">
        <v>-23.576212</v>
      </c>
      <c r="C16205" s="40" t="n">
        <v>-46.519796</v>
      </c>
      <c r="D16205" s="40" t="n">
        <v>342</v>
      </c>
      <c r="E16205" s="41" t="n">
        <v>10974.796</v>
      </c>
    </row>
    <row r="16206">
      <c r="A16206" s="42">
        <f>_xlfn.XLOOKUP(82135,Trip[shape_id],Trip[shape_id],"Não encontrado")</f>
        <v/>
      </c>
      <c r="B16206" s="43" t="n">
        <v>-23.576162</v>
      </c>
      <c r="C16206" s="43" t="n">
        <v>-46.519626</v>
      </c>
      <c r="D16206" s="43" t="n">
        <v>343</v>
      </c>
      <c r="E16206" s="44" t="n">
        <v>10974.796</v>
      </c>
    </row>
    <row r="16207">
      <c r="A16207" s="39">
        <f>_xlfn.XLOOKUP(82135,Trip[shape_id],Trip[shape_id],"Não encontrado")</f>
        <v/>
      </c>
      <c r="B16207" s="40" t="n">
        <v>-23.576163</v>
      </c>
      <c r="C16207" s="40" t="n">
        <v>-46.519597</v>
      </c>
      <c r="D16207" s="40" t="n">
        <v>344</v>
      </c>
      <c r="E16207" s="41" t="n">
        <v>11003.273</v>
      </c>
    </row>
    <row r="16208">
      <c r="A16208" s="42">
        <f>_xlfn.XLOOKUP(82135,Trip[shape_id],Trip[shape_id],"Não encontrado")</f>
        <v/>
      </c>
      <c r="B16208" s="43" t="n">
        <v>-23.576183</v>
      </c>
      <c r="C16208" s="43" t="n">
        <v>-46.519348</v>
      </c>
      <c r="D16208" s="43" t="n">
        <v>345</v>
      </c>
      <c r="E16208" s="44" t="n">
        <v>11020.06</v>
      </c>
    </row>
    <row r="16209">
      <c r="A16209" s="39">
        <f>_xlfn.XLOOKUP(82135,Trip[shape_id],Trip[shape_id],"Não encontrado")</f>
        <v/>
      </c>
      <c r="B16209" s="40" t="n">
        <v>-23.576194</v>
      </c>
      <c r="C16209" s="40" t="n">
        <v>-46.519184</v>
      </c>
      <c r="D16209" s="40" t="n">
        <v>346</v>
      </c>
      <c r="E16209" s="41" t="n">
        <v>11020.06</v>
      </c>
    </row>
    <row r="16210">
      <c r="A16210" s="42">
        <f>_xlfn.XLOOKUP(82135,Trip[shape_id],Trip[shape_id],"Não encontrado")</f>
        <v/>
      </c>
      <c r="B16210" s="43" t="n">
        <v>-23.576231</v>
      </c>
      <c r="C16210" s="43" t="n">
        <v>-46.518855</v>
      </c>
      <c r="D16210" s="43" t="n">
        <v>347</v>
      </c>
      <c r="E16210" s="44" t="n">
        <v>11053.894</v>
      </c>
    </row>
    <row r="16211">
      <c r="A16211" s="39">
        <f>_xlfn.XLOOKUP(82135,Trip[shape_id],Trip[shape_id],"Não encontrado")</f>
        <v/>
      </c>
      <c r="B16211" s="40" t="n">
        <v>-23.576234</v>
      </c>
      <c r="C16211" s="40" t="n">
        <v>-46.518789</v>
      </c>
      <c r="D16211" s="40" t="n">
        <v>348</v>
      </c>
      <c r="E16211" s="41" t="n">
        <v>11081.694</v>
      </c>
    </row>
    <row r="16212">
      <c r="A16212" s="42">
        <f>_xlfn.XLOOKUP(82135,Trip[shape_id],Trip[shape_id],"Não encontrado")</f>
        <v/>
      </c>
      <c r="B16212" s="43" t="n">
        <v>-23.576262</v>
      </c>
      <c r="C16212" s="43" t="n">
        <v>-46.518585</v>
      </c>
      <c r="D16212" s="43" t="n">
        <v>349</v>
      </c>
      <c r="E16212" s="44" t="n">
        <v>11081.694</v>
      </c>
    </row>
    <row r="16213">
      <c r="A16213" s="39">
        <f>_xlfn.XLOOKUP(82135,Trip[shape_id],Trip[shape_id],"Não encontrado")</f>
        <v/>
      </c>
      <c r="B16213" s="40" t="n">
        <v>-23.576291</v>
      </c>
      <c r="C16213" s="40" t="n">
        <v>-46.518395</v>
      </c>
      <c r="D16213" s="40" t="n">
        <v>350</v>
      </c>
      <c r="E16213" s="41" t="n">
        <v>11124.184</v>
      </c>
    </row>
    <row r="16214">
      <c r="A16214" s="42">
        <f>_xlfn.XLOOKUP(82135,Trip[shape_id],Trip[shape_id],"Não encontrado")</f>
        <v/>
      </c>
      <c r="B16214" s="43" t="n">
        <v>-23.576328</v>
      </c>
      <c r="C16214" s="43" t="n">
        <v>-46.518175</v>
      </c>
      <c r="D16214" s="43" t="n">
        <v>351</v>
      </c>
      <c r="E16214" s="44" t="n">
        <v>11124.184</v>
      </c>
    </row>
    <row r="16215">
      <c r="A16215" s="39">
        <f>_xlfn.XLOOKUP(82135,Trip[shape_id],Trip[shape_id],"Não encontrado")</f>
        <v/>
      </c>
      <c r="B16215" s="40" t="n">
        <v>-23.576408</v>
      </c>
      <c r="C16215" s="40" t="n">
        <v>-46.517821</v>
      </c>
      <c r="D16215" s="40" t="n">
        <v>352</v>
      </c>
      <c r="E16215" s="41" t="n">
        <v>11189.796</v>
      </c>
    </row>
    <row r="16216">
      <c r="A16216" s="42">
        <f>_xlfn.XLOOKUP(82135,Trip[shape_id],Trip[shape_id],"Não encontrado")</f>
        <v/>
      </c>
      <c r="B16216" s="43" t="n">
        <v>-23.576477</v>
      </c>
      <c r="C16216" s="43" t="n">
        <v>-46.517553</v>
      </c>
      <c r="D16216" s="43" t="n">
        <v>353</v>
      </c>
      <c r="E16216" s="44" t="n">
        <v>11189.796</v>
      </c>
    </row>
    <row r="16217">
      <c r="A16217" s="39">
        <f>_xlfn.XLOOKUP(82135,Trip[shape_id],Trip[shape_id],"Não encontrado")</f>
        <v/>
      </c>
      <c r="B16217" s="40" t="n">
        <v>-23.57658</v>
      </c>
      <c r="C16217" s="40" t="n">
        <v>-46.517218</v>
      </c>
      <c r="D16217" s="40" t="n">
        <v>354</v>
      </c>
      <c r="E16217" s="41" t="n">
        <v>11253.489</v>
      </c>
    </row>
    <row r="16218">
      <c r="A16218" s="42">
        <f>_xlfn.XLOOKUP(82135,Trip[shape_id],Trip[shape_id],"Não encontrado")</f>
        <v/>
      </c>
      <c r="B16218" s="43" t="n">
        <v>-23.576669</v>
      </c>
      <c r="C16218" s="43" t="n">
        <v>-46.516965</v>
      </c>
      <c r="D16218" s="43" t="n">
        <v>355</v>
      </c>
      <c r="E16218" s="44" t="n">
        <v>11253.489</v>
      </c>
    </row>
    <row r="16219">
      <c r="A16219" s="39">
        <f>_xlfn.XLOOKUP(82135,Trip[shape_id],Trip[shape_id],"Não encontrado")</f>
        <v/>
      </c>
      <c r="B16219" s="40" t="n">
        <v>-23.576712</v>
      </c>
      <c r="C16219" s="40" t="n">
        <v>-46.516838</v>
      </c>
      <c r="D16219" s="40" t="n">
        <v>356</v>
      </c>
      <c r="E16219" s="41" t="n">
        <v>11270.557</v>
      </c>
    </row>
    <row r="16220">
      <c r="A16220" s="42">
        <f>_xlfn.XLOOKUP(82135,Trip[shape_id],Trip[shape_id],"Não encontrado")</f>
        <v/>
      </c>
      <c r="B16220" s="43" t="n">
        <v>-23.576722</v>
      </c>
      <c r="C16220" s="43" t="n">
        <v>-46.516808</v>
      </c>
      <c r="D16220" s="43" t="n">
        <v>357</v>
      </c>
      <c r="E16220" s="44" t="n">
        <v>11270.557</v>
      </c>
    </row>
    <row r="16221">
      <c r="A16221" s="39">
        <f>_xlfn.XLOOKUP(82135,Trip[shape_id],Trip[shape_id],"Não encontrado")</f>
        <v/>
      </c>
      <c r="B16221" s="40" t="n">
        <v>-23.576857</v>
      </c>
      <c r="C16221" s="40" t="n">
        <v>-46.516519</v>
      </c>
      <c r="D16221" s="40" t="n">
        <v>358</v>
      </c>
      <c r="E16221" s="41" t="n">
        <v>11303.631</v>
      </c>
    </row>
    <row r="16222">
      <c r="A16222" s="42">
        <f>_xlfn.XLOOKUP(82135,Trip[shape_id],Trip[shape_id],"Não encontrado")</f>
        <v/>
      </c>
      <c r="B16222" s="43" t="n">
        <v>-23.57691</v>
      </c>
      <c r="C16222" s="43" t="n">
        <v>-46.516367</v>
      </c>
      <c r="D16222" s="43" t="n">
        <v>359</v>
      </c>
      <c r="E16222" s="44" t="n">
        <v>11320.221</v>
      </c>
    </row>
    <row r="16223">
      <c r="A16223" s="39">
        <f>_xlfn.XLOOKUP(82135,Trip[shape_id],Trip[shape_id],"Não encontrado")</f>
        <v/>
      </c>
      <c r="B16223" s="40" t="n">
        <v>-23.576993</v>
      </c>
      <c r="C16223" s="40" t="n">
        <v>-46.516075</v>
      </c>
      <c r="D16223" s="40" t="n">
        <v>360</v>
      </c>
      <c r="E16223" s="41" t="n">
        <v>11403.889</v>
      </c>
    </row>
    <row r="16224">
      <c r="A16224" s="42">
        <f>_xlfn.XLOOKUP(82135,Trip[shape_id],Trip[shape_id],"Não encontrado")</f>
        <v/>
      </c>
      <c r="B16224" s="43" t="n">
        <v>-23.577114</v>
      </c>
      <c r="C16224" s="43" t="n">
        <v>-46.515578</v>
      </c>
      <c r="D16224" s="43" t="n">
        <v>361</v>
      </c>
      <c r="E16224" s="44" t="n">
        <v>11403.889</v>
      </c>
    </row>
    <row r="16225">
      <c r="A16225" s="39">
        <f>_xlfn.XLOOKUP(82135,Trip[shape_id],Trip[shape_id],"Não encontrado")</f>
        <v/>
      </c>
      <c r="B16225" s="40" t="n">
        <v>-23.577171</v>
      </c>
      <c r="C16225" s="40" t="n">
        <v>-46.515342</v>
      </c>
      <c r="D16225" s="40" t="n">
        <v>362</v>
      </c>
      <c r="E16225" s="41" t="n">
        <v>11443.771</v>
      </c>
    </row>
    <row r="16226">
      <c r="A16226" s="42">
        <f>_xlfn.XLOOKUP(82135,Trip[shape_id],Trip[shape_id],"Não encontrado")</f>
        <v/>
      </c>
      <c r="B16226" s="43" t="n">
        <v>-23.577224</v>
      </c>
      <c r="C16226" s="43" t="n">
        <v>-46.515207</v>
      </c>
      <c r="D16226" s="43" t="n">
        <v>363</v>
      </c>
      <c r="E16226" s="44" t="n">
        <v>11458.532</v>
      </c>
    </row>
    <row r="16227">
      <c r="A16227" s="39">
        <f>_xlfn.XLOOKUP(82135,Trip[shape_id],Trip[shape_id],"Não encontrado")</f>
        <v/>
      </c>
      <c r="B16227" s="40" t="n">
        <v>-23.577286</v>
      </c>
      <c r="C16227" s="40" t="n">
        <v>-46.515079</v>
      </c>
      <c r="D16227" s="40" t="n">
        <v>364</v>
      </c>
      <c r="E16227" s="41" t="n">
        <v>11466.596</v>
      </c>
    </row>
    <row r="16228">
      <c r="A16228" s="42">
        <f>_xlfn.XLOOKUP(82135,Trip[shape_id],Trip[shape_id],"Não encontrado")</f>
        <v/>
      </c>
      <c r="B16228" s="43" t="n">
        <v>-23.577326</v>
      </c>
      <c r="C16228" s="43" t="n">
        <v>-46.515013</v>
      </c>
      <c r="D16228" s="43" t="n">
        <v>365</v>
      </c>
      <c r="E16228" s="44" t="n">
        <v>11482.836</v>
      </c>
    </row>
    <row r="16229">
      <c r="A16229" s="39">
        <f>_xlfn.XLOOKUP(82135,Trip[shape_id],Trip[shape_id],"Não encontrado")</f>
        <v/>
      </c>
      <c r="B16229" s="40" t="n">
        <v>-23.577419</v>
      </c>
      <c r="C16229" s="40" t="n">
        <v>-46.51489</v>
      </c>
      <c r="D16229" s="40" t="n">
        <v>366</v>
      </c>
      <c r="E16229" s="41" t="n">
        <v>11546.661</v>
      </c>
    </row>
    <row r="16230">
      <c r="A16230" s="42">
        <f>_xlfn.XLOOKUP(82135,Trip[shape_id],Trip[shape_id],"Não encontrado")</f>
        <v/>
      </c>
      <c r="B16230" s="43" t="n">
        <v>-23.577821</v>
      </c>
      <c r="C16230" s="43" t="n">
        <v>-46.514442</v>
      </c>
      <c r="D16230" s="43" t="n">
        <v>367</v>
      </c>
      <c r="E16230" s="44" t="n">
        <v>11546.661</v>
      </c>
    </row>
    <row r="16231">
      <c r="A16231" s="39">
        <f>_xlfn.XLOOKUP(82135,Trip[shape_id],Trip[shape_id],"Não encontrado")</f>
        <v/>
      </c>
      <c r="B16231" s="40" t="n">
        <v>-23.578035</v>
      </c>
      <c r="C16231" s="40" t="n">
        <v>-46.514222</v>
      </c>
      <c r="D16231" s="40" t="n">
        <v>368</v>
      </c>
      <c r="E16231" s="41" t="n">
        <v>11606.936</v>
      </c>
    </row>
    <row r="16232">
      <c r="A16232" s="42">
        <f>_xlfn.XLOOKUP(82135,Trip[shape_id],Trip[shape_id],"Não encontrado")</f>
        <v/>
      </c>
      <c r="B16232" s="43" t="n">
        <v>-23.578205</v>
      </c>
      <c r="C16232" s="43" t="n">
        <v>-46.514024</v>
      </c>
      <c r="D16232" s="43" t="n">
        <v>369</v>
      </c>
      <c r="E16232" s="44" t="n">
        <v>11606.936</v>
      </c>
    </row>
    <row r="16233">
      <c r="A16233" s="39">
        <f>_xlfn.XLOOKUP(82135,Trip[shape_id],Trip[shape_id],"Não encontrado")</f>
        <v/>
      </c>
      <c r="B16233" s="40" t="n">
        <v>-23.578478</v>
      </c>
      <c r="C16233" s="40" t="n">
        <v>-46.513653</v>
      </c>
      <c r="D16233" s="40" t="n">
        <v>370</v>
      </c>
      <c r="E16233" s="41" t="n">
        <v>11655.396</v>
      </c>
    </row>
    <row r="16234">
      <c r="A16234" s="42">
        <f>_xlfn.XLOOKUP(82135,Trip[shape_id],Trip[shape_id],"Não encontrado")</f>
        <v/>
      </c>
      <c r="B16234" s="43" t="n">
        <v>-23.578607</v>
      </c>
      <c r="C16234" s="43" t="n">
        <v>-46.513484</v>
      </c>
      <c r="D16234" s="43" t="n">
        <v>371</v>
      </c>
      <c r="E16234" s="44" t="n">
        <v>11702.272</v>
      </c>
    </row>
    <row r="16235">
      <c r="A16235" s="39">
        <f>_xlfn.XLOOKUP(82135,Trip[shape_id],Trip[shape_id],"Não encontrado")</f>
        <v/>
      </c>
      <c r="B16235" s="40" t="n">
        <v>-23.578743</v>
      </c>
      <c r="C16235" s="40" t="n">
        <v>-46.513295</v>
      </c>
      <c r="D16235" s="40" t="n">
        <v>372</v>
      </c>
      <c r="E16235" s="41" t="n">
        <v>11702.272</v>
      </c>
    </row>
    <row r="16236">
      <c r="A16236" s="42">
        <f>_xlfn.XLOOKUP(82135,Trip[shape_id],Trip[shape_id],"Não encontrado")</f>
        <v/>
      </c>
      <c r="B16236" s="43" t="n">
        <v>-23.578882</v>
      </c>
      <c r="C16236" s="43" t="n">
        <v>-46.513133</v>
      </c>
      <c r="D16236" s="43" t="n">
        <v>373</v>
      </c>
      <c r="E16236" s="44" t="n">
        <v>11738.415</v>
      </c>
    </row>
    <row r="16237">
      <c r="A16237" s="39">
        <f>_xlfn.XLOOKUP(82135,Trip[shape_id],Trip[shape_id],"Não encontrado")</f>
        <v/>
      </c>
      <c r="B16237" s="40" t="n">
        <v>-23.578958</v>
      </c>
      <c r="C16237" s="40" t="n">
        <v>-46.513029</v>
      </c>
      <c r="D16237" s="40" t="n">
        <v>374</v>
      </c>
      <c r="E16237" s="41" t="n">
        <v>11784.793</v>
      </c>
    </row>
    <row r="16238">
      <c r="A16238" s="42">
        <f>_xlfn.XLOOKUP(82135,Trip[shape_id],Trip[shape_id],"Não encontrado")</f>
        <v/>
      </c>
      <c r="B16238" s="43" t="n">
        <v>-23.579225</v>
      </c>
      <c r="C16238" s="43" t="n">
        <v>-46.512679</v>
      </c>
      <c r="D16238" s="43" t="n">
        <v>375</v>
      </c>
      <c r="E16238" s="44" t="n">
        <v>11800.218</v>
      </c>
    </row>
    <row r="16239">
      <c r="A16239" s="39">
        <f>_xlfn.XLOOKUP(82135,Trip[shape_id],Trip[shape_id],"Não encontrado")</f>
        <v/>
      </c>
      <c r="B16239" s="40" t="n">
        <v>-23.579312</v>
      </c>
      <c r="C16239" s="40" t="n">
        <v>-46.512561</v>
      </c>
      <c r="D16239" s="40" t="n">
        <v>376</v>
      </c>
      <c r="E16239" s="41" t="n">
        <v>11814.311</v>
      </c>
    </row>
    <row r="16240">
      <c r="A16240" s="42">
        <f>_xlfn.XLOOKUP(82135,Trip[shape_id],Trip[shape_id],"Não encontrado")</f>
        <v/>
      </c>
      <c r="B16240" s="43" t="n">
        <v>-23.579364</v>
      </c>
      <c r="C16240" s="43" t="n">
        <v>-46.512435</v>
      </c>
      <c r="D16240" s="43" t="n">
        <v>377</v>
      </c>
      <c r="E16240" s="44" t="n">
        <v>11814.311</v>
      </c>
    </row>
    <row r="16241">
      <c r="A16241" s="39">
        <f>_xlfn.XLOOKUP(82135,Trip[shape_id],Trip[shape_id],"Não encontrado")</f>
        <v/>
      </c>
      <c r="B16241" s="40" t="n">
        <v>-23.579384</v>
      </c>
      <c r="C16241" s="40" t="n">
        <v>-46.512359</v>
      </c>
      <c r="D16241" s="40" t="n">
        <v>378</v>
      </c>
      <c r="E16241" s="41" t="n">
        <v>11839.75</v>
      </c>
    </row>
    <row r="16242">
      <c r="A16242" s="42">
        <f>_xlfn.XLOOKUP(82135,Trip[shape_id],Trip[shape_id],"Não encontrado")</f>
        <v/>
      </c>
      <c r="B16242" s="43" t="n">
        <v>-23.579391</v>
      </c>
      <c r="C16242" s="43" t="n">
        <v>-46.512189</v>
      </c>
      <c r="D16242" s="43" t="n">
        <v>379</v>
      </c>
      <c r="E16242" s="44" t="n">
        <v>11839.75</v>
      </c>
    </row>
    <row r="16243">
      <c r="A16243" s="39">
        <f>_xlfn.XLOOKUP(82135,Trip[shape_id],Trip[shape_id],"Não encontrado")</f>
        <v/>
      </c>
      <c r="B16243" s="40" t="n">
        <v>-23.579396</v>
      </c>
      <c r="C16243" s="40" t="n">
        <v>-46.512053</v>
      </c>
      <c r="D16243" s="40" t="n">
        <v>380</v>
      </c>
      <c r="E16243" s="41" t="n">
        <v>11859.691</v>
      </c>
    </row>
    <row r="16244">
      <c r="A16244" s="42">
        <f>_xlfn.XLOOKUP(82135,Trip[shape_id],Trip[shape_id],"Não encontrado")</f>
        <v/>
      </c>
      <c r="B16244" s="43" t="n">
        <v>-23.579401</v>
      </c>
      <c r="C16244" s="43" t="n">
        <v>-46.511994</v>
      </c>
      <c r="D16244" s="43" t="n">
        <v>381</v>
      </c>
      <c r="E16244" s="44" t="n">
        <v>11880.042</v>
      </c>
    </row>
    <row r="16245">
      <c r="A16245" s="39">
        <f>_xlfn.XLOOKUP(82135,Trip[shape_id],Trip[shape_id],"Não encontrado")</f>
        <v/>
      </c>
      <c r="B16245" s="40" t="n">
        <v>-23.579412</v>
      </c>
      <c r="C16245" s="40" t="n">
        <v>-46.511795</v>
      </c>
      <c r="D16245" s="40" t="n">
        <v>382</v>
      </c>
      <c r="E16245" s="41" t="n">
        <v>11880.042</v>
      </c>
    </row>
    <row r="16246">
      <c r="A16246" s="42">
        <f>_xlfn.XLOOKUP(82135,Trip[shape_id],Trip[shape_id],"Não encontrado")</f>
        <v/>
      </c>
      <c r="B16246" s="43" t="n">
        <v>-23.579448</v>
      </c>
      <c r="C16246" s="43" t="n">
        <v>-46.511549</v>
      </c>
      <c r="D16246" s="43" t="n">
        <v>383</v>
      </c>
      <c r="E16246" s="44" t="n">
        <v>11905.468</v>
      </c>
    </row>
    <row r="16247">
      <c r="A16247" s="39">
        <f>_xlfn.XLOOKUP(82135,Trip[shape_id],Trip[shape_id],"Não encontrado")</f>
        <v/>
      </c>
      <c r="B16247" s="40" t="n">
        <v>-23.579502</v>
      </c>
      <c r="C16247" s="40" t="n">
        <v>-46.51132</v>
      </c>
      <c r="D16247" s="40" t="n">
        <v>384</v>
      </c>
      <c r="E16247" s="41" t="n">
        <v>11961.312</v>
      </c>
    </row>
    <row r="16248">
      <c r="A16248" s="42">
        <f>_xlfn.XLOOKUP(82135,Trip[shape_id],Trip[shape_id],"Não encontrado")</f>
        <v/>
      </c>
      <c r="B16248" s="43" t="n">
        <v>-23.579583</v>
      </c>
      <c r="C16248" s="43" t="n">
        <v>-46.511022</v>
      </c>
      <c r="D16248" s="43" t="n">
        <v>385</v>
      </c>
      <c r="E16248" s="44" t="n">
        <v>11961.312</v>
      </c>
    </row>
    <row r="16249">
      <c r="A16249" s="39">
        <f>_xlfn.XLOOKUP(82135,Trip[shape_id],Trip[shape_id],"Não encontrado")</f>
        <v/>
      </c>
      <c r="B16249" s="40" t="n">
        <v>-23.579741</v>
      </c>
      <c r="C16249" s="40" t="n">
        <v>-46.510528</v>
      </c>
      <c r="D16249" s="40" t="n">
        <v>386</v>
      </c>
      <c r="E16249" s="41" t="n">
        <v>12014.688</v>
      </c>
    </row>
    <row r="16250">
      <c r="A16250" s="42">
        <f>_xlfn.XLOOKUP(82135,Trip[shape_id],Trip[shape_id],"Não encontrado")</f>
        <v/>
      </c>
      <c r="B16250" s="43" t="n">
        <v>-23.579767</v>
      </c>
      <c r="C16250" s="43" t="n">
        <v>-46.510452</v>
      </c>
      <c r="D16250" s="43" t="n">
        <v>387</v>
      </c>
      <c r="E16250" s="44" t="n">
        <v>12022.964</v>
      </c>
    </row>
    <row r="16251">
      <c r="A16251" s="39">
        <f>_xlfn.XLOOKUP(82135,Trip[shape_id],Trip[shape_id],"Não encontrado")</f>
        <v/>
      </c>
      <c r="B16251" s="40" t="n">
        <v>-23.579803</v>
      </c>
      <c r="C16251" s="40" t="n">
        <v>-46.510391</v>
      </c>
      <c r="D16251" s="40" t="n">
        <v>388</v>
      </c>
      <c r="E16251" s="41" t="n">
        <v>12030.357</v>
      </c>
    </row>
    <row r="16252">
      <c r="A16252" s="42">
        <f>_xlfn.XLOOKUP(82135,Trip[shape_id],Trip[shape_id],"Não encontrado")</f>
        <v/>
      </c>
      <c r="B16252" s="43" t="n">
        <v>-23.580006</v>
      </c>
      <c r="C16252" s="43" t="n">
        <v>-46.509809</v>
      </c>
      <c r="D16252" s="43" t="n">
        <v>389</v>
      </c>
      <c r="E16252" s="44" t="n">
        <v>12093.88</v>
      </c>
    </row>
    <row r="16253">
      <c r="A16253" s="39">
        <f>_xlfn.XLOOKUP(82135,Trip[shape_id],Trip[shape_id],"Não encontrado")</f>
        <v/>
      </c>
      <c r="B16253" s="40" t="n">
        <v>-23.580113</v>
      </c>
      <c r="C16253" s="40" t="n">
        <v>-46.509476</v>
      </c>
      <c r="D16253" s="40" t="n">
        <v>390</v>
      </c>
      <c r="E16253" s="41" t="n">
        <v>12129.879</v>
      </c>
    </row>
    <row r="16254">
      <c r="A16254" s="42">
        <f>_xlfn.XLOOKUP(82135,Trip[shape_id],Trip[shape_id],"Não encontrado")</f>
        <v/>
      </c>
      <c r="B16254" s="43" t="n">
        <v>-23.580179</v>
      </c>
      <c r="C16254" s="43" t="n">
        <v>-46.509371</v>
      </c>
      <c r="D16254" s="43" t="n">
        <v>391</v>
      </c>
      <c r="E16254" s="44" t="n">
        <v>12191.309</v>
      </c>
    </row>
    <row r="16255">
      <c r="A16255" s="39">
        <f>_xlfn.XLOOKUP(82135,Trip[shape_id],Trip[shape_id],"Não encontrado")</f>
        <v/>
      </c>
      <c r="B16255" s="40" t="n">
        <v>-23.580294</v>
      </c>
      <c r="C16255" s="40" t="n">
        <v>-46.508913</v>
      </c>
      <c r="D16255" s="40" t="n">
        <v>392</v>
      </c>
      <c r="E16255" s="41" t="n">
        <v>12191.309</v>
      </c>
    </row>
    <row r="16256">
      <c r="A16256" s="42">
        <f>_xlfn.XLOOKUP(82135,Trip[shape_id],Trip[shape_id],"Não encontrado")</f>
        <v/>
      </c>
      <c r="B16256" s="43" t="n">
        <v>-23.580218</v>
      </c>
      <c r="C16256" s="43" t="n">
        <v>-46.508523</v>
      </c>
      <c r="D16256" s="43" t="n">
        <v>393</v>
      </c>
      <c r="E16256" s="44" t="n">
        <v>12241.298</v>
      </c>
    </row>
    <row r="16257">
      <c r="A16257" s="39">
        <f>_xlfn.XLOOKUP(82135,Trip[shape_id],Trip[shape_id],"Não encontrado")</f>
        <v/>
      </c>
      <c r="B16257" s="40" t="n">
        <v>-23.580205</v>
      </c>
      <c r="C16257" s="40" t="n">
        <v>-46.508433</v>
      </c>
      <c r="D16257" s="40" t="n">
        <v>394</v>
      </c>
      <c r="E16257" s="41" t="n">
        <v>12241.298</v>
      </c>
    </row>
    <row r="16258">
      <c r="A16258" s="42">
        <f>_xlfn.XLOOKUP(82135,Trip[shape_id],Trip[shape_id],"Não encontrado")</f>
        <v/>
      </c>
      <c r="B16258" s="43" t="n">
        <v>-23.580194</v>
      </c>
      <c r="C16258" s="43" t="n">
        <v>-46.508361</v>
      </c>
      <c r="D16258" s="43" t="n">
        <v>395</v>
      </c>
      <c r="E16258" s="44" t="n">
        <v>12273.449</v>
      </c>
    </row>
    <row r="16259">
      <c r="A16259" s="39">
        <f>_xlfn.XLOOKUP(82135,Trip[shape_id],Trip[shape_id],"Não encontrado")</f>
        <v/>
      </c>
      <c r="B16259" s="40" t="n">
        <v>-23.580174</v>
      </c>
      <c r="C16259" s="40" t="n">
        <v>-46.50812</v>
      </c>
      <c r="D16259" s="40" t="n">
        <v>396</v>
      </c>
      <c r="E16259" s="41" t="n">
        <v>12273.449</v>
      </c>
    </row>
    <row r="16260">
      <c r="A16260" s="42">
        <f>_xlfn.XLOOKUP(82135,Trip[shape_id],Trip[shape_id],"Não encontrado")</f>
        <v/>
      </c>
      <c r="B16260" s="43" t="n">
        <v>-23.580163</v>
      </c>
      <c r="C16260" s="43" t="n">
        <v>-46.507942</v>
      </c>
      <c r="D16260" s="43" t="n">
        <v>397</v>
      </c>
      <c r="E16260" s="44" t="n">
        <v>12326.045</v>
      </c>
    </row>
    <row r="16261">
      <c r="A16261" s="39">
        <f>_xlfn.XLOOKUP(82135,Trip[shape_id],Trip[shape_id],"Não encontrado")</f>
        <v/>
      </c>
      <c r="B16261" s="40" t="n">
        <v>-23.580141</v>
      </c>
      <c r="C16261" s="40" t="n">
        <v>-46.507606</v>
      </c>
      <c r="D16261" s="40" t="n">
        <v>398</v>
      </c>
      <c r="E16261" s="41" t="n">
        <v>12326.045</v>
      </c>
    </row>
    <row r="16262">
      <c r="A16262" s="42">
        <f>_xlfn.XLOOKUP(82135,Trip[shape_id],Trip[shape_id],"Não encontrado")</f>
        <v/>
      </c>
      <c r="B16262" s="43" t="n">
        <v>-23.580123</v>
      </c>
      <c r="C16262" s="43" t="n">
        <v>-46.507123</v>
      </c>
      <c r="D16262" s="43" t="n">
        <v>399</v>
      </c>
      <c r="E16262" s="44" t="n">
        <v>12375.39</v>
      </c>
    </row>
    <row r="16263">
      <c r="A16263" s="39">
        <f>_xlfn.XLOOKUP(82135,Trip[shape_id],Trip[shape_id],"Não encontrado")</f>
        <v/>
      </c>
      <c r="B16263" s="40" t="n">
        <v>-23.580105</v>
      </c>
      <c r="C16263" s="40" t="n">
        <v>-46.506624</v>
      </c>
      <c r="D16263" s="40" t="n">
        <v>400</v>
      </c>
      <c r="E16263" s="41" t="n">
        <v>12426.366</v>
      </c>
    </row>
    <row r="16264">
      <c r="A16264" s="42">
        <f>_xlfn.XLOOKUP(82135,Trip[shape_id],Trip[shape_id],"Não encontrado")</f>
        <v/>
      </c>
      <c r="B16264" s="43" t="n">
        <v>-23.580109</v>
      </c>
      <c r="C16264" s="43" t="n">
        <v>-46.506528</v>
      </c>
      <c r="D16264" s="43" t="n">
        <v>401</v>
      </c>
      <c r="E16264" s="44" t="n">
        <v>12436.176</v>
      </c>
    </row>
    <row r="16265">
      <c r="A16265" s="39">
        <f>_xlfn.XLOOKUP(82135,Trip[shape_id],Trip[shape_id],"Não encontrado")</f>
        <v/>
      </c>
      <c r="B16265" s="40" t="n">
        <v>-23.580075</v>
      </c>
      <c r="C16265" s="40" t="n">
        <v>-46.505546</v>
      </c>
      <c r="D16265" s="40" t="n">
        <v>402</v>
      </c>
      <c r="E16265" s="41" t="n">
        <v>12536.488</v>
      </c>
    </row>
    <row r="16266">
      <c r="A16266" s="42">
        <f>_xlfn.XLOOKUP(82135,Trip[shape_id],Trip[shape_id],"Não encontrado")</f>
        <v/>
      </c>
      <c r="B16266" s="43" t="n">
        <v>-23.580049</v>
      </c>
      <c r="C16266" s="43" t="n">
        <v>-46.504922</v>
      </c>
      <c r="D16266" s="43" t="n">
        <v>403</v>
      </c>
      <c r="E16266" s="44" t="n">
        <v>12600.251</v>
      </c>
    </row>
    <row r="16267">
      <c r="A16267" s="39">
        <f>_xlfn.XLOOKUP(82135,Trip[shape_id],Trip[shape_id],"Não encontrado")</f>
        <v/>
      </c>
      <c r="B16267" s="40" t="n">
        <v>-23.580038</v>
      </c>
      <c r="C16267" s="40" t="n">
        <v>-46.504582</v>
      </c>
      <c r="D16267" s="40" t="n">
        <v>404</v>
      </c>
      <c r="E16267" s="41" t="n">
        <v>12634.979</v>
      </c>
    </row>
    <row r="16268">
      <c r="A16268" s="42">
        <f>_xlfn.XLOOKUP(82135,Trip[shape_id],Trip[shape_id],"Não encontrado")</f>
        <v/>
      </c>
      <c r="B16268" s="43" t="n">
        <v>-23.57994</v>
      </c>
      <c r="C16268" s="43" t="n">
        <v>-46.504364</v>
      </c>
      <c r="D16268" s="43" t="n">
        <v>405</v>
      </c>
      <c r="E16268" s="44" t="n">
        <v>12659.738</v>
      </c>
    </row>
    <row r="16269">
      <c r="A16269" s="39">
        <f>_xlfn.XLOOKUP(82135,Trip[shape_id],Trip[shape_id],"Não encontrado")</f>
        <v/>
      </c>
      <c r="B16269" s="40" t="n">
        <v>-23.579856</v>
      </c>
      <c r="C16269" s="40" t="n">
        <v>-46.504215</v>
      </c>
      <c r="D16269" s="40" t="n">
        <v>406</v>
      </c>
      <c r="E16269" s="41" t="n">
        <v>12686.108</v>
      </c>
    </row>
    <row r="16270">
      <c r="A16270" s="42">
        <f>_xlfn.XLOOKUP(82135,Trip[shape_id],Trip[shape_id],"Não encontrado")</f>
        <v/>
      </c>
      <c r="B16270" s="43" t="n">
        <v>-23.57982</v>
      </c>
      <c r="C16270" s="43" t="n">
        <v>-46.504141</v>
      </c>
      <c r="D16270" s="43" t="n">
        <v>407</v>
      </c>
      <c r="E16270" s="44" t="n">
        <v>12850.345</v>
      </c>
    </row>
    <row r="16271">
      <c r="A16271" s="39">
        <f>_xlfn.XLOOKUP(82135,Trip[shape_id],Trip[shape_id],"Não encontrado")</f>
        <v/>
      </c>
      <c r="B16271" s="40" t="n">
        <v>-23.579207</v>
      </c>
      <c r="C16271" s="40" t="n">
        <v>-46.502676</v>
      </c>
      <c r="D16271" s="40" t="n">
        <v>408</v>
      </c>
      <c r="E16271" s="41" t="n">
        <v>12850.345</v>
      </c>
    </row>
    <row r="16272">
      <c r="A16272" s="42">
        <f>_xlfn.XLOOKUP(82135,Trip[shape_id],Trip[shape_id],"Não encontrado")</f>
        <v/>
      </c>
      <c r="B16272" s="43" t="n">
        <v>-23.579905</v>
      </c>
      <c r="C16272" s="43" t="n">
        <v>-46.50233</v>
      </c>
      <c r="D16272" s="43" t="n">
        <v>409</v>
      </c>
      <c r="E16272" s="44" t="n">
        <v>12935.336</v>
      </c>
    </row>
    <row r="16273">
      <c r="A16273" s="39">
        <f>_xlfn.XLOOKUP(82135,Trip[shape_id],Trip[shape_id],"Não encontrado")</f>
        <v/>
      </c>
      <c r="B16273" s="40" t="n">
        <v>-23.580016</v>
      </c>
      <c r="C16273" s="40" t="n">
        <v>-46.502278</v>
      </c>
      <c r="D16273" s="40" t="n">
        <v>410</v>
      </c>
      <c r="E16273" s="41" t="n">
        <v>12959.888</v>
      </c>
    </row>
    <row r="16274">
      <c r="A16274" s="42">
        <f>_xlfn.XLOOKUP(82135,Trip[shape_id],Trip[shape_id],"Não encontrado")</f>
        <v/>
      </c>
      <c r="B16274" s="43" t="n">
        <v>-23.580102</v>
      </c>
      <c r="C16274" s="43" t="n">
        <v>-46.502221</v>
      </c>
      <c r="D16274" s="43" t="n">
        <v>411</v>
      </c>
      <c r="E16274" s="44" t="n">
        <v>12959.888</v>
      </c>
    </row>
    <row r="16275">
      <c r="A16275" s="39">
        <f>_xlfn.XLOOKUP(82135,Trip[shape_id],Trip[shape_id],"Não encontrado")</f>
        <v/>
      </c>
      <c r="B16275" s="40" t="n">
        <v>-23.580154</v>
      </c>
      <c r="C16275" s="40" t="n">
        <v>-46.502185</v>
      </c>
      <c r="D16275" s="40" t="n">
        <v>412</v>
      </c>
      <c r="E16275" s="41" t="n">
        <v>12976.687</v>
      </c>
    </row>
    <row r="16276">
      <c r="A16276" s="42">
        <f>_xlfn.XLOOKUP(82135,Trip[shape_id],Trip[shape_id],"Não encontrado")</f>
        <v/>
      </c>
      <c r="B16276" s="43" t="n">
        <v>-23.580225</v>
      </c>
      <c r="C16276" s="43" t="n">
        <v>-46.502125</v>
      </c>
      <c r="D16276" s="43" t="n">
        <v>413</v>
      </c>
      <c r="E16276" s="44" t="n">
        <v>12985.877</v>
      </c>
    </row>
    <row r="16277">
      <c r="A16277" s="39">
        <f>_xlfn.XLOOKUP(82135,Trip[shape_id],Trip[shape_id],"Não encontrado")</f>
        <v/>
      </c>
      <c r="B16277" s="40" t="n">
        <v>-23.580268</v>
      </c>
      <c r="C16277" s="40" t="n">
        <v>-46.502048</v>
      </c>
      <c r="D16277" s="40" t="n">
        <v>414</v>
      </c>
      <c r="E16277" s="41" t="n">
        <v>12991.629</v>
      </c>
    </row>
    <row r="16278">
      <c r="A16278" s="42">
        <f>_xlfn.XLOOKUP(82135,Trip[shape_id],Trip[shape_id],"Não encontrado")</f>
        <v/>
      </c>
      <c r="B16278" s="43" t="n">
        <v>-23.580298</v>
      </c>
      <c r="C16278" s="43" t="n">
        <v>-46.502002</v>
      </c>
      <c r="D16278" s="43" t="n">
        <v>415</v>
      </c>
      <c r="E16278" s="44" t="n">
        <v>12991.629</v>
      </c>
    </row>
    <row r="16279">
      <c r="A16279" s="39">
        <f>_xlfn.XLOOKUP(82135,Trip[shape_id],Trip[shape_id],"Não encontrado")</f>
        <v/>
      </c>
      <c r="B16279" s="40" t="n">
        <v>-23.580328</v>
      </c>
      <c r="C16279" s="40" t="n">
        <v>-46.501929</v>
      </c>
      <c r="D16279" s="40" t="n">
        <v>416</v>
      </c>
      <c r="E16279" s="41" t="n">
        <v>13005.774</v>
      </c>
    </row>
    <row r="16280">
      <c r="A16280" s="42">
        <f>_xlfn.XLOOKUP(82135,Trip[shape_id],Trip[shape_id],"Não encontrado")</f>
        <v/>
      </c>
      <c r="B16280" s="43" t="n">
        <v>-23.580336</v>
      </c>
      <c r="C16280" s="43" t="n">
        <v>-46.501871</v>
      </c>
      <c r="D16280" s="43" t="n">
        <v>417</v>
      </c>
      <c r="E16280" s="44" t="n">
        <v>13017.329</v>
      </c>
    </row>
    <row r="16281">
      <c r="A16281" s="39">
        <f>_xlfn.XLOOKUP(82135,Trip[shape_id],Trip[shape_id],"Não encontrado")</f>
        <v/>
      </c>
      <c r="B16281" s="40" t="n">
        <v>-23.580342</v>
      </c>
      <c r="C16281" s="40" t="n">
        <v>-46.501758</v>
      </c>
      <c r="D16281" s="40" t="n">
        <v>418</v>
      </c>
      <c r="E16281" s="41" t="n">
        <v>13017.329</v>
      </c>
    </row>
    <row r="16282">
      <c r="A16282" s="42">
        <f>_xlfn.XLOOKUP(82135,Trip[shape_id],Trip[shape_id],"Não encontrado")</f>
        <v/>
      </c>
      <c r="B16282" s="43" t="n">
        <v>-23.580345</v>
      </c>
      <c r="C16282" s="43" t="n">
        <v>-46.501658</v>
      </c>
      <c r="D16282" s="43" t="n">
        <v>419</v>
      </c>
      <c r="E16282" s="44" t="n">
        <v>13107.278</v>
      </c>
    </row>
    <row r="16283">
      <c r="A16283" s="39">
        <f>_xlfn.XLOOKUP(82135,Trip[shape_id],Trip[shape_id],"Não encontrado")</f>
        <v/>
      </c>
      <c r="B16283" s="40" t="n">
        <v>-23.580292</v>
      </c>
      <c r="C16283" s="40" t="n">
        <v>-46.500879</v>
      </c>
      <c r="D16283" s="40" t="n">
        <v>420</v>
      </c>
      <c r="E16283" s="41" t="n">
        <v>13107.278</v>
      </c>
    </row>
    <row r="16284">
      <c r="A16284" s="42">
        <f>_xlfn.XLOOKUP(82135,Trip[shape_id],Trip[shape_id],"Não encontrado")</f>
        <v/>
      </c>
      <c r="B16284" s="43" t="n">
        <v>-23.580297</v>
      </c>
      <c r="C16284" s="43" t="n">
        <v>-46.500754</v>
      </c>
      <c r="D16284" s="43" t="n">
        <v>421</v>
      </c>
      <c r="E16284" s="44" t="n">
        <v>13132.062</v>
      </c>
    </row>
    <row r="16285">
      <c r="A16285" s="39">
        <f>_xlfn.XLOOKUP(82135,Trip[shape_id],Trip[shape_id],"Não encontrado")</f>
        <v/>
      </c>
      <c r="B16285" s="40" t="n">
        <v>-23.580333</v>
      </c>
      <c r="C16285" s="40" t="n">
        <v>-46.500643</v>
      </c>
      <c r="D16285" s="40" t="n">
        <v>422</v>
      </c>
      <c r="E16285" s="41" t="n">
        <v>13132.062</v>
      </c>
    </row>
    <row r="16286">
      <c r="A16286" s="42">
        <f>_xlfn.XLOOKUP(82135,Trip[shape_id],Trip[shape_id],"Não encontrado")</f>
        <v/>
      </c>
      <c r="B16286" s="43" t="n">
        <v>-23.580376</v>
      </c>
      <c r="C16286" s="43" t="n">
        <v>-46.500467</v>
      </c>
      <c r="D16286" s="43" t="n">
        <v>423</v>
      </c>
      <c r="E16286" s="44" t="n">
        <v>13191.115</v>
      </c>
    </row>
    <row r="16287">
      <c r="A16287" s="39">
        <f>_xlfn.XLOOKUP(82135,Trip[shape_id],Trip[shape_id],"Não encontrado")</f>
        <v/>
      </c>
      <c r="B16287" s="40" t="n">
        <v>-23.580527</v>
      </c>
      <c r="C16287" s="40" t="n">
        <v>-46.500106</v>
      </c>
      <c r="D16287" s="40" t="n">
        <v>424</v>
      </c>
      <c r="E16287" s="41" t="n">
        <v>13267.974</v>
      </c>
    </row>
    <row r="16288">
      <c r="A16288" s="42">
        <f>_xlfn.XLOOKUP(82135,Trip[shape_id],Trip[shape_id],"Não encontrado")</f>
        <v/>
      </c>
      <c r="B16288" s="43" t="n">
        <v>-23.580811</v>
      </c>
      <c r="C16288" s="43" t="n">
        <v>-46.499419</v>
      </c>
      <c r="D16288" s="43" t="n">
        <v>425</v>
      </c>
      <c r="E16288" s="44" t="n">
        <v>13267.974</v>
      </c>
    </row>
    <row r="16289">
      <c r="A16289" s="39">
        <f>_xlfn.XLOOKUP(82135,Trip[shape_id],Trip[shape_id],"Não encontrado")</f>
        <v/>
      </c>
      <c r="B16289" s="40" t="n">
        <v>-23.580838</v>
      </c>
      <c r="C16289" s="40" t="n">
        <v>-46.499345</v>
      </c>
      <c r="D16289" s="40" t="n">
        <v>426</v>
      </c>
      <c r="E16289" s="41" t="n">
        <v>13276.098</v>
      </c>
    </row>
    <row r="16290">
      <c r="A16290" s="42">
        <f>_xlfn.XLOOKUP(82135,Trip[shape_id],Trip[shape_id],"Não encontrado")</f>
        <v/>
      </c>
      <c r="B16290" s="43" t="n">
        <v>-23.580919</v>
      </c>
      <c r="C16290" s="43" t="n">
        <v>-46.499173</v>
      </c>
      <c r="D16290" s="43" t="n">
        <v>427</v>
      </c>
      <c r="E16290" s="44" t="n">
        <v>13323.478</v>
      </c>
    </row>
    <row r="16291">
      <c r="A16291" s="39">
        <f>_xlfn.XLOOKUP(82135,Trip[shape_id],Trip[shape_id],"Não encontrado")</f>
        <v/>
      </c>
      <c r="B16291" s="40" t="n">
        <v>-23.581035</v>
      </c>
      <c r="C16291" s="40" t="n">
        <v>-46.498933</v>
      </c>
      <c r="D16291" s="40" t="n">
        <v>428</v>
      </c>
      <c r="E16291" s="41" t="n">
        <v>13341.773</v>
      </c>
    </row>
    <row r="16292">
      <c r="A16292" s="42">
        <f>_xlfn.XLOOKUP(82135,Trip[shape_id],Trip[shape_id],"Não encontrado")</f>
        <v/>
      </c>
      <c r="B16292" s="43" t="n">
        <v>-23.581124</v>
      </c>
      <c r="C16292" s="43" t="n">
        <v>-46.498782</v>
      </c>
      <c r="D16292" s="43" t="n">
        <v>429</v>
      </c>
      <c r="E16292" s="44" t="n">
        <v>13353.54</v>
      </c>
    </row>
    <row r="16293">
      <c r="A16293" s="39">
        <f>_xlfn.XLOOKUP(82135,Trip[shape_id],Trip[shape_id],"Não encontrado")</f>
        <v/>
      </c>
      <c r="B16293" s="40" t="n">
        <v>-23.581188</v>
      </c>
      <c r="C16293" s="40" t="n">
        <v>-46.49869</v>
      </c>
      <c r="D16293" s="40" t="n">
        <v>430</v>
      </c>
      <c r="E16293" s="41" t="n">
        <v>13374.509</v>
      </c>
    </row>
    <row r="16294">
      <c r="A16294" s="42">
        <f>_xlfn.XLOOKUP(82135,Trip[shape_id],Trip[shape_id],"Não encontrado")</f>
        <v/>
      </c>
      <c r="B16294" s="43" t="n">
        <v>-23.581302</v>
      </c>
      <c r="C16294" s="43" t="n">
        <v>-46.498526</v>
      </c>
      <c r="D16294" s="43" t="n">
        <v>431</v>
      </c>
      <c r="E16294" s="44" t="n">
        <v>13394.426</v>
      </c>
    </row>
    <row r="16295">
      <c r="A16295" s="39">
        <f>_xlfn.XLOOKUP(82135,Trip[shape_id],Trip[shape_id],"Não encontrado")</f>
        <v/>
      </c>
      <c r="B16295" s="40" t="n">
        <v>-23.581417</v>
      </c>
      <c r="C16295" s="40" t="n">
        <v>-46.498376</v>
      </c>
      <c r="D16295" s="40" t="n">
        <v>432</v>
      </c>
      <c r="E16295" s="41" t="n">
        <v>13394.426</v>
      </c>
    </row>
    <row r="16296">
      <c r="A16296" s="42">
        <f>_xlfn.XLOOKUP(82135,Trip[shape_id],Trip[shape_id],"Não encontrado")</f>
        <v/>
      </c>
      <c r="B16296" s="43" t="n">
        <v>-23.58181</v>
      </c>
      <c r="C16296" s="43" t="n">
        <v>-46.497867</v>
      </c>
      <c r="D16296" s="43" t="n">
        <v>433</v>
      </c>
      <c r="E16296" s="44" t="n">
        <v>13462.205</v>
      </c>
    </row>
    <row r="16297">
      <c r="A16297" s="39">
        <f>_xlfn.XLOOKUP(82135,Trip[shape_id],Trip[shape_id],"Não encontrado")</f>
        <v/>
      </c>
      <c r="B16297" s="40" t="n">
        <v>-23.581868</v>
      </c>
      <c r="C16297" s="40" t="n">
        <v>-46.49779</v>
      </c>
      <c r="D16297" s="40" t="n">
        <v>434</v>
      </c>
      <c r="E16297" s="41" t="n">
        <v>13472.356</v>
      </c>
    </row>
    <row r="16298">
      <c r="A16298" s="42">
        <f>_xlfn.XLOOKUP(82135,Trip[shape_id],Trip[shape_id],"Não encontrado")</f>
        <v/>
      </c>
      <c r="B16298" s="43" t="n">
        <v>-23.582043</v>
      </c>
      <c r="C16298" s="43" t="n">
        <v>-46.497568</v>
      </c>
      <c r="D16298" s="43" t="n">
        <v>435</v>
      </c>
      <c r="E16298" s="44" t="n">
        <v>13502.176</v>
      </c>
    </row>
    <row r="16299">
      <c r="A16299" s="39">
        <f>_xlfn.XLOOKUP(82135,Trip[shape_id],Trip[shape_id],"Não encontrado")</f>
        <v/>
      </c>
      <c r="B16299" s="40" t="n">
        <v>-23.582134</v>
      </c>
      <c r="C16299" s="40" t="n">
        <v>-46.497449</v>
      </c>
      <c r="D16299" s="40" t="n">
        <v>436</v>
      </c>
      <c r="E16299" s="41" t="n">
        <v>13546.128</v>
      </c>
    </row>
    <row r="16300">
      <c r="A16300" s="42">
        <f>_xlfn.XLOOKUP(82135,Trip[shape_id],Trip[shape_id],"Não encontrado")</f>
        <v/>
      </c>
      <c r="B16300" s="43" t="n">
        <v>-23.582299</v>
      </c>
      <c r="C16300" s="43" t="n">
        <v>-46.497239</v>
      </c>
      <c r="D16300" s="43" t="n">
        <v>437</v>
      </c>
      <c r="E16300" s="44" t="n">
        <v>13546.128</v>
      </c>
    </row>
    <row r="16301">
      <c r="A16301" s="39">
        <f>_xlfn.XLOOKUP(82135,Trip[shape_id],Trip[shape_id],"Não encontrado")</f>
        <v/>
      </c>
      <c r="B16301" s="40" t="n">
        <v>-23.582711</v>
      </c>
      <c r="C16301" s="40" t="n">
        <v>-46.4967</v>
      </c>
      <c r="D16301" s="40" t="n">
        <v>438</v>
      </c>
      <c r="E16301" s="41" t="n">
        <v>13633.058</v>
      </c>
    </row>
    <row r="16302">
      <c r="A16302" s="42">
        <f>_xlfn.XLOOKUP(82135,Trip[shape_id],Trip[shape_id],"Não encontrado")</f>
        <v/>
      </c>
      <c r="B16302" s="43" t="n">
        <v>-23.582791</v>
      </c>
      <c r="C16302" s="43" t="n">
        <v>-46.496576</v>
      </c>
      <c r="D16302" s="43" t="n">
        <v>439</v>
      </c>
      <c r="E16302" s="44" t="n">
        <v>13633.058</v>
      </c>
    </row>
    <row r="16303">
      <c r="A16303" s="39">
        <f>_xlfn.XLOOKUP(82135,Trip[shape_id],Trip[shape_id],"Não encontrado")</f>
        <v/>
      </c>
      <c r="B16303" s="40" t="n">
        <v>-23.582911</v>
      </c>
      <c r="C16303" s="40" t="n">
        <v>-46.496383</v>
      </c>
      <c r="D16303" s="40" t="n">
        <v>440</v>
      </c>
      <c r="E16303" s="41" t="n">
        <v>13689.979</v>
      </c>
    </row>
    <row r="16304">
      <c r="A16304" s="42">
        <f>_xlfn.XLOOKUP(82135,Trip[shape_id],Trip[shape_id],"Não encontrado")</f>
        <v/>
      </c>
      <c r="B16304" s="43" t="n">
        <v>-23.583044</v>
      </c>
      <c r="C16304" s="43" t="n">
        <v>-46.496092</v>
      </c>
      <c r="D16304" s="43" t="n">
        <v>441</v>
      </c>
      <c r="E16304" s="44" t="n">
        <v>13689.979</v>
      </c>
    </row>
    <row r="16305">
      <c r="A16305" s="39">
        <f>_xlfn.XLOOKUP(82135,Trip[shape_id],Trip[shape_id],"Não encontrado")</f>
        <v/>
      </c>
      <c r="B16305" s="40" t="n">
        <v>-23.583117</v>
      </c>
      <c r="C16305" s="40" t="n">
        <v>-46.495921</v>
      </c>
      <c r="D16305" s="40" t="n">
        <v>442</v>
      </c>
      <c r="E16305" s="41" t="n">
        <v>13728.294</v>
      </c>
    </row>
    <row r="16306">
      <c r="A16306" s="42">
        <f>_xlfn.XLOOKUP(82135,Trip[shape_id],Trip[shape_id],"Não encontrado")</f>
        <v/>
      </c>
      <c r="B16306" s="43" t="n">
        <v>-23.583175</v>
      </c>
      <c r="C16306" s="43" t="n">
        <v>-46.495745</v>
      </c>
      <c r="D16306" s="43" t="n">
        <v>443</v>
      </c>
      <c r="E16306" s="44" t="n">
        <v>13739.885</v>
      </c>
    </row>
    <row r="16307">
      <c r="A16307" s="39">
        <f>_xlfn.XLOOKUP(82135,Trip[shape_id],Trip[shape_id],"Não encontrado")</f>
        <v/>
      </c>
      <c r="B16307" s="40" t="n">
        <v>-23.583221</v>
      </c>
      <c r="C16307" s="40" t="n">
        <v>-46.495643</v>
      </c>
      <c r="D16307" s="40" t="n">
        <v>444</v>
      </c>
      <c r="E16307" s="41" t="n">
        <v>13739.885</v>
      </c>
    </row>
    <row r="16308">
      <c r="A16308" s="42">
        <f>_xlfn.XLOOKUP(82135,Trip[shape_id],Trip[shape_id],"Não encontrado")</f>
        <v/>
      </c>
      <c r="B16308" s="43" t="n">
        <v>-23.583323</v>
      </c>
      <c r="C16308" s="43" t="n">
        <v>-46.495378</v>
      </c>
      <c r="D16308" s="43" t="n">
        <v>445</v>
      </c>
      <c r="E16308" s="44" t="n">
        <v>13769.199</v>
      </c>
    </row>
    <row r="16309">
      <c r="A16309" s="39">
        <f>_xlfn.XLOOKUP(82135,Trip[shape_id],Trip[shape_id],"Não encontrado")</f>
        <v/>
      </c>
      <c r="B16309" s="40" t="n">
        <v>-23.583428</v>
      </c>
      <c r="C16309" s="40" t="n">
        <v>-46.495083</v>
      </c>
      <c r="D16309" s="40" t="n">
        <v>446</v>
      </c>
      <c r="E16309" s="41" t="n">
        <v>13801.479</v>
      </c>
    </row>
    <row r="16310">
      <c r="A16310" s="42">
        <f>_xlfn.XLOOKUP(82135,Trip[shape_id],Trip[shape_id],"Não encontrado")</f>
        <v/>
      </c>
      <c r="B16310" s="43" t="n">
        <v>-23.583527</v>
      </c>
      <c r="C16310" s="43" t="n">
        <v>-46.494809</v>
      </c>
      <c r="D16310" s="43" t="n">
        <v>447</v>
      </c>
      <c r="E16310" s="44" t="n">
        <v>13867.559</v>
      </c>
    </row>
    <row r="16311">
      <c r="A16311" s="39">
        <f>_xlfn.XLOOKUP(82135,Trip[shape_id],Trip[shape_id],"Não encontrado")</f>
        <v/>
      </c>
      <c r="B16311" s="40" t="n">
        <v>-23.583624</v>
      </c>
      <c r="C16311" s="40" t="n">
        <v>-46.494472</v>
      </c>
      <c r="D16311" s="40" t="n">
        <v>448</v>
      </c>
      <c r="E16311" s="41" t="n">
        <v>13867.559</v>
      </c>
    </row>
    <row r="16312">
      <c r="A16312" s="42">
        <f>_xlfn.XLOOKUP(82135,Trip[shape_id],Trip[shape_id],"Não encontrado")</f>
        <v/>
      </c>
      <c r="B16312" s="43" t="n">
        <v>-23.583788</v>
      </c>
      <c r="C16312" s="43" t="n">
        <v>-46.493838</v>
      </c>
      <c r="D16312" s="43" t="n">
        <v>449</v>
      </c>
      <c r="E16312" s="44" t="n">
        <v>13934.775</v>
      </c>
    </row>
    <row r="16313">
      <c r="A16313" s="39">
        <f>_xlfn.XLOOKUP(82135,Trip[shape_id],Trip[shape_id],"Não encontrado")</f>
        <v/>
      </c>
      <c r="B16313" s="40" t="n">
        <v>-23.583862</v>
      </c>
      <c r="C16313" s="40" t="n">
        <v>-46.493561</v>
      </c>
      <c r="D16313" s="40" t="n">
        <v>450</v>
      </c>
      <c r="E16313" s="41" t="n">
        <v>13964.215</v>
      </c>
    </row>
    <row r="16314">
      <c r="A16314" s="42">
        <f>_xlfn.XLOOKUP(82135,Trip[shape_id],Trip[shape_id],"Não encontrado")</f>
        <v/>
      </c>
      <c r="B16314" s="43" t="n">
        <v>-23.583869</v>
      </c>
      <c r="C16314" s="43" t="n">
        <v>-46.49351</v>
      </c>
      <c r="D16314" s="43" t="n">
        <v>451</v>
      </c>
      <c r="E16314" s="44" t="n">
        <v>13969.479</v>
      </c>
    </row>
    <row r="16315">
      <c r="A16315" s="39">
        <f>_xlfn.XLOOKUP(82135,Trip[shape_id],Trip[shape_id],"Não encontrado")</f>
        <v/>
      </c>
      <c r="B16315" s="40" t="n">
        <v>-23.583896</v>
      </c>
      <c r="C16315" s="40" t="n">
        <v>-46.493345</v>
      </c>
      <c r="D16315" s="40" t="n">
        <v>452</v>
      </c>
      <c r="E16315" s="41" t="n">
        <v>14006.061</v>
      </c>
    </row>
    <row r="16316">
      <c r="A16316" s="42">
        <f>_xlfn.XLOOKUP(82135,Trip[shape_id],Trip[shape_id],"Não encontrado")</f>
        <v/>
      </c>
      <c r="B16316" s="43" t="n">
        <v>-23.583912</v>
      </c>
      <c r="C16316" s="43" t="n">
        <v>-46.493155</v>
      </c>
      <c r="D16316" s="43" t="n">
        <v>453</v>
      </c>
      <c r="E16316" s="44" t="n">
        <v>14026.114</v>
      </c>
    </row>
    <row r="16317">
      <c r="A16317" s="39">
        <f>_xlfn.XLOOKUP(82135,Trip[shape_id],Trip[shape_id],"Não encontrado")</f>
        <v/>
      </c>
      <c r="B16317" s="40" t="n">
        <v>-23.583934</v>
      </c>
      <c r="C16317" s="40" t="n">
        <v>-46.49296</v>
      </c>
      <c r="D16317" s="40" t="n">
        <v>454</v>
      </c>
      <c r="E16317" s="41" t="n">
        <v>14033.098</v>
      </c>
    </row>
    <row r="16318">
      <c r="A16318" s="42">
        <f>_xlfn.XLOOKUP(82135,Trip[shape_id],Trip[shape_id],"Não encontrado")</f>
        <v/>
      </c>
      <c r="B16318" s="43" t="n">
        <v>-23.583941</v>
      </c>
      <c r="C16318" s="43" t="n">
        <v>-46.492892</v>
      </c>
      <c r="D16318" s="43" t="n">
        <v>455</v>
      </c>
      <c r="E16318" s="44" t="n">
        <v>14056.098</v>
      </c>
    </row>
    <row r="16319">
      <c r="A16319" s="39">
        <f>_xlfn.XLOOKUP(82135,Trip[shape_id],Trip[shape_id],"Não encontrado")</f>
        <v/>
      </c>
      <c r="B16319" s="40" t="n">
        <v>-23.584006</v>
      </c>
      <c r="C16319" s="40" t="n">
        <v>-46.492678</v>
      </c>
      <c r="D16319" s="40" t="n">
        <v>456</v>
      </c>
      <c r="E16319" s="41" t="n">
        <v>14073.271</v>
      </c>
    </row>
    <row r="16320">
      <c r="A16320" s="42">
        <f>_xlfn.XLOOKUP(82135,Trip[shape_id],Trip[shape_id],"Não encontrado")</f>
        <v/>
      </c>
      <c r="B16320" s="43" t="n">
        <v>-23.584078</v>
      </c>
      <c r="C16320" s="43" t="n">
        <v>-46.492529</v>
      </c>
      <c r="D16320" s="43" t="n">
        <v>457</v>
      </c>
      <c r="E16320" s="44" t="n">
        <v>14073.271</v>
      </c>
    </row>
    <row r="16321">
      <c r="A16321" s="39">
        <f>_xlfn.XLOOKUP(82135,Trip[shape_id],Trip[shape_id],"Não encontrado")</f>
        <v/>
      </c>
      <c r="B16321" s="40" t="n">
        <v>-23.584121</v>
      </c>
      <c r="C16321" s="40" t="n">
        <v>-46.492435</v>
      </c>
      <c r="D16321" s="40" t="n">
        <v>458</v>
      </c>
      <c r="E16321" s="41" t="n">
        <v>14097.376</v>
      </c>
    </row>
    <row r="16322">
      <c r="A16322" s="42">
        <f>_xlfn.XLOOKUP(82135,Trip[shape_id],Trip[shape_id],"Não encontrado")</f>
        <v/>
      </c>
      <c r="B16322" s="43" t="n">
        <v>-23.584191</v>
      </c>
      <c r="C16322" s="43" t="n">
        <v>-46.492328</v>
      </c>
      <c r="D16322" s="43" t="n">
        <v>459</v>
      </c>
      <c r="E16322" s="44" t="n">
        <v>14108.776</v>
      </c>
    </row>
    <row r="16323">
      <c r="A16323" s="39">
        <f>_xlfn.XLOOKUP(82135,Trip[shape_id],Trip[shape_id],"Não encontrado")</f>
        <v/>
      </c>
      <c r="B16323" s="40" t="n">
        <v>-23.584248</v>
      </c>
      <c r="C16323" s="40" t="n">
        <v>-46.492235</v>
      </c>
      <c r="D16323" s="40" t="n">
        <v>460</v>
      </c>
      <c r="E16323" s="41" t="n">
        <v>14119.973</v>
      </c>
    </row>
    <row r="16324">
      <c r="A16324" s="42">
        <f>_xlfn.XLOOKUP(82135,Trip[shape_id],Trip[shape_id],"Não encontrado")</f>
        <v/>
      </c>
      <c r="B16324" s="43" t="n">
        <v>-23.58432</v>
      </c>
      <c r="C16324" s="43" t="n">
        <v>-46.492158</v>
      </c>
      <c r="D16324" s="43" t="n">
        <v>461</v>
      </c>
      <c r="E16324" s="44" t="n">
        <v>14122.533</v>
      </c>
    </row>
    <row r="16325">
      <c r="A16325" s="39">
        <f>_xlfn.XLOOKUP(82135,Trip[shape_id],Trip[shape_id],"Não encontrado")</f>
        <v/>
      </c>
      <c r="B16325" s="40" t="n">
        <v>-23.584337</v>
      </c>
      <c r="C16325" s="40" t="n">
        <v>-46.492141</v>
      </c>
      <c r="D16325" s="40" t="n">
        <v>462</v>
      </c>
      <c r="E16325" s="41" t="n">
        <v>14122.533</v>
      </c>
    </row>
    <row r="16326">
      <c r="A16326" s="42">
        <f>_xlfn.XLOOKUP(82135,Trip[shape_id],Trip[shape_id],"Não encontrado")</f>
        <v/>
      </c>
      <c r="B16326" s="43" t="n">
        <v>-23.584383</v>
      </c>
      <c r="C16326" s="43" t="n">
        <v>-46.492091</v>
      </c>
      <c r="D16326" s="43" t="n">
        <v>463</v>
      </c>
      <c r="E16326" s="44" t="n">
        <v>14139.933</v>
      </c>
    </row>
    <row r="16327">
      <c r="A16327" s="39">
        <f>_xlfn.XLOOKUP(82135,Trip[shape_id],Trip[shape_id],"Não encontrado")</f>
        <v/>
      </c>
      <c r="B16327" s="40" t="n">
        <v>-23.584452</v>
      </c>
      <c r="C16327" s="40" t="n">
        <v>-46.492025</v>
      </c>
      <c r="D16327" s="40" t="n">
        <v>464</v>
      </c>
      <c r="E16327" s="41" t="n">
        <v>14145.473</v>
      </c>
    </row>
    <row r="16328">
      <c r="A16328" s="42">
        <f>_xlfn.XLOOKUP(82135,Trip[shape_id],Trip[shape_id],"Não encontrado")</f>
        <v/>
      </c>
      <c r="B16328" s="43" t="n">
        <v>-23.584491</v>
      </c>
      <c r="C16328" s="43" t="n">
        <v>-46.491991</v>
      </c>
      <c r="D16328" s="43" t="n">
        <v>465</v>
      </c>
      <c r="E16328" s="44" t="n">
        <v>14147.352</v>
      </c>
    </row>
    <row r="16329">
      <c r="A16329" s="39">
        <f>_xlfn.XLOOKUP(82135,Trip[shape_id],Trip[shape_id],"Não encontrado")</f>
        <v/>
      </c>
      <c r="B16329" s="40" t="n">
        <v>-23.584503</v>
      </c>
      <c r="C16329" s="40" t="n">
        <v>-46.491978</v>
      </c>
      <c r="D16329" s="40" t="n">
        <v>466</v>
      </c>
      <c r="E16329" s="41" t="n">
        <v>14147.352</v>
      </c>
    </row>
    <row r="16330">
      <c r="A16330" s="42">
        <f>_xlfn.XLOOKUP(82135,Trip[shape_id],Trip[shape_id],"Não encontrado")</f>
        <v/>
      </c>
      <c r="B16330" s="43" t="n">
        <v>-23.58458</v>
      </c>
      <c r="C16330" s="43" t="n">
        <v>-46.49188</v>
      </c>
      <c r="D16330" s="43" t="n">
        <v>467</v>
      </c>
      <c r="E16330" s="44" t="n">
        <v>14160.496</v>
      </c>
    </row>
    <row r="16331">
      <c r="A16331" s="39">
        <f>_xlfn.XLOOKUP(82135,Trip[shape_id],Trip[shape_id],"Não encontrado")</f>
        <v/>
      </c>
      <c r="B16331" s="40" t="n">
        <v>-23.584797</v>
      </c>
      <c r="C16331" s="40" t="n">
        <v>-46.49179</v>
      </c>
      <c r="D16331" s="40" t="n">
        <v>468</v>
      </c>
      <c r="E16331" s="41" t="n">
        <v>14326.314</v>
      </c>
    </row>
    <row r="16332">
      <c r="A16332" s="42">
        <f>_xlfn.XLOOKUP(82135,Trip[shape_id],Trip[shape_id],"Não encontrado")</f>
        <v/>
      </c>
      <c r="B16332" s="43" t="n">
        <v>-23.585982</v>
      </c>
      <c r="C16332" s="43" t="n">
        <v>-46.49131</v>
      </c>
      <c r="D16332" s="43" t="n">
        <v>469</v>
      </c>
      <c r="E16332" s="44" t="n">
        <v>14326.314</v>
      </c>
    </row>
    <row r="16333">
      <c r="A16333" s="39">
        <f>_xlfn.XLOOKUP(82135,Trip[shape_id],Trip[shape_id],"Não encontrado")</f>
        <v/>
      </c>
      <c r="B16333" s="40" t="n">
        <v>-23.58609</v>
      </c>
      <c r="C16333" s="40" t="n">
        <v>-46.491263</v>
      </c>
      <c r="D16333" s="40" t="n">
        <v>470</v>
      </c>
      <c r="E16333" s="41" t="n">
        <v>14339.202</v>
      </c>
    </row>
    <row r="16334">
      <c r="A16334" s="42">
        <f>_xlfn.XLOOKUP(82135,Trip[shape_id],Trip[shape_id],"Não encontrado")</f>
        <v/>
      </c>
      <c r="B16334" s="43" t="n">
        <v>-23.586353</v>
      </c>
      <c r="C16334" s="43" t="n">
        <v>-46.491156</v>
      </c>
      <c r="D16334" s="43" t="n">
        <v>471</v>
      </c>
      <c r="E16334" s="44" t="n">
        <v>14370.311</v>
      </c>
    </row>
    <row r="16335">
      <c r="A16335" s="39">
        <f>_xlfn.XLOOKUP(82135,Trip[shape_id],Trip[shape_id],"Não encontrado")</f>
        <v/>
      </c>
      <c r="B16335" s="40" t="n">
        <v>-23.587041</v>
      </c>
      <c r="C16335" s="40" t="n">
        <v>-46.490893</v>
      </c>
      <c r="D16335" s="40" t="n">
        <v>472</v>
      </c>
      <c r="E16335" s="41" t="n">
        <v>14528.421</v>
      </c>
    </row>
    <row r="16336">
      <c r="A16336" s="42">
        <f>_xlfn.XLOOKUP(82135,Trip[shape_id],Trip[shape_id],"Não encontrado")</f>
        <v/>
      </c>
      <c r="B16336" s="43" t="n">
        <v>-23.587701</v>
      </c>
      <c r="C16336" s="43" t="n">
        <v>-46.490646</v>
      </c>
      <c r="D16336" s="43" t="n">
        <v>473</v>
      </c>
      <c r="E16336" s="44" t="n">
        <v>14528.421</v>
      </c>
    </row>
    <row r="16337">
      <c r="A16337" s="39">
        <f>_xlfn.XLOOKUP(82135,Trip[shape_id],Trip[shape_id],"Não encontrado")</f>
        <v/>
      </c>
      <c r="B16337" s="40" t="n">
        <v>-23.588132</v>
      </c>
      <c r="C16337" s="40" t="n">
        <v>-46.490488</v>
      </c>
      <c r="D16337" s="40" t="n">
        <v>474</v>
      </c>
      <c r="E16337" s="41" t="n">
        <v>14668.063</v>
      </c>
    </row>
    <row r="16338">
      <c r="A16338" s="42">
        <f>_xlfn.XLOOKUP(82135,Trip[shape_id],Trip[shape_id],"Não encontrado")</f>
        <v/>
      </c>
      <c r="B16338" s="43" t="n">
        <v>-23.588891</v>
      </c>
      <c r="C16338" s="43" t="n">
        <v>-46.490194</v>
      </c>
      <c r="D16338" s="43" t="n">
        <v>475</v>
      </c>
      <c r="E16338" s="44" t="n">
        <v>14668.063</v>
      </c>
    </row>
    <row r="16339">
      <c r="A16339" s="39">
        <f>_xlfn.XLOOKUP(82135,Trip[shape_id],Trip[shape_id],"Não encontrado")</f>
        <v/>
      </c>
      <c r="B16339" s="40" t="n">
        <v>-23.590022</v>
      </c>
      <c r="C16339" s="40" t="n">
        <v>-46.489774</v>
      </c>
      <c r="D16339" s="40" t="n">
        <v>476</v>
      </c>
      <c r="E16339" s="41" t="n">
        <v>14800.456</v>
      </c>
    </row>
    <row r="16340">
      <c r="A16340" s="42">
        <f>_xlfn.XLOOKUP(82135,Trip[shape_id],Trip[shape_id],"Não encontrado")</f>
        <v/>
      </c>
      <c r="B16340" s="43" t="n">
        <v>-23.591183</v>
      </c>
      <c r="C16340" s="43" t="n">
        <v>-46.489328</v>
      </c>
      <c r="D16340" s="43" t="n">
        <v>477</v>
      </c>
      <c r="E16340" s="44" t="n">
        <v>14936.86</v>
      </c>
    </row>
    <row r="16341">
      <c r="A16341" s="39">
        <f>_xlfn.XLOOKUP(82135,Trip[shape_id],Trip[shape_id],"Não encontrado")</f>
        <v/>
      </c>
      <c r="B16341" s="40" t="n">
        <v>-23.593036</v>
      </c>
      <c r="C16341" s="40" t="n">
        <v>-46.488631</v>
      </c>
      <c r="D16341" s="40" t="n">
        <v>478</v>
      </c>
      <c r="E16341" s="41" t="n">
        <v>15154.065</v>
      </c>
    </row>
    <row r="16342">
      <c r="A16342" s="42">
        <f>_xlfn.XLOOKUP(82135,Trip[shape_id],Trip[shape_id],"Não encontrado")</f>
        <v/>
      </c>
      <c r="B16342" s="43" t="n">
        <v>-23.594041</v>
      </c>
      <c r="C16342" s="43" t="n">
        <v>-46.488251</v>
      </c>
      <c r="D16342" s="43" t="n">
        <v>479</v>
      </c>
      <c r="E16342" s="44" t="n">
        <v>15316.616</v>
      </c>
    </row>
    <row r="16343">
      <c r="A16343" s="39">
        <f>_xlfn.XLOOKUP(82135,Trip[shape_id],Trip[shape_id],"Não encontrado")</f>
        <v/>
      </c>
      <c r="B16343" s="40" t="n">
        <v>-23.594421</v>
      </c>
      <c r="C16343" s="40" t="n">
        <v>-46.488104</v>
      </c>
      <c r="D16343" s="40" t="n">
        <v>480</v>
      </c>
      <c r="E16343" s="41" t="n">
        <v>15316.616</v>
      </c>
    </row>
    <row r="16344">
      <c r="A16344" s="42">
        <f>_xlfn.XLOOKUP(82135,Trip[shape_id],Trip[shape_id],"Não encontrado")</f>
        <v/>
      </c>
      <c r="B16344" s="43" t="n">
        <v>-23.595785</v>
      </c>
      <c r="C16344" s="43" t="n">
        <v>-46.487584</v>
      </c>
      <c r="D16344" s="43" t="n">
        <v>481</v>
      </c>
      <c r="E16344" s="44" t="n">
        <v>15476.735</v>
      </c>
    </row>
    <row r="16345">
      <c r="A16345" s="39">
        <f>_xlfn.XLOOKUP(82135,Trip[shape_id],Trip[shape_id],"Não encontrado")</f>
        <v/>
      </c>
      <c r="B16345" s="40" t="n">
        <v>-23.596661</v>
      </c>
      <c r="C16345" s="40" t="n">
        <v>-46.487257</v>
      </c>
      <c r="D16345" s="40" t="n">
        <v>482</v>
      </c>
      <c r="E16345" s="41" t="n">
        <v>15627.391</v>
      </c>
    </row>
    <row r="16346">
      <c r="A16346" s="42">
        <f>_xlfn.XLOOKUP(82135,Trip[shape_id],Trip[shape_id],"Não encontrado")</f>
        <v/>
      </c>
      <c r="B16346" s="43" t="n">
        <v>-23.597058</v>
      </c>
      <c r="C16346" s="43" t="n">
        <v>-46.487067</v>
      </c>
      <c r="D16346" s="43" t="n">
        <v>483</v>
      </c>
      <c r="E16346" s="44" t="n">
        <v>15655.088</v>
      </c>
    </row>
    <row r="16347">
      <c r="A16347" s="39">
        <f>_xlfn.XLOOKUP(82135,Trip[shape_id],Trip[shape_id],"Não encontrado")</f>
        <v/>
      </c>
      <c r="B16347" s="40" t="n">
        <v>-23.597279</v>
      </c>
      <c r="C16347" s="40" t="n">
        <v>-46.48694</v>
      </c>
      <c r="D16347" s="40" t="n">
        <v>484</v>
      </c>
      <c r="E16347" s="41" t="n">
        <v>15655.088</v>
      </c>
    </row>
    <row r="16348">
      <c r="A16348" s="42">
        <f>_xlfn.XLOOKUP(82135,Trip[shape_id],Trip[shape_id],"Não encontrado")</f>
        <v/>
      </c>
      <c r="B16348" s="43" t="n">
        <v>-23.597777</v>
      </c>
      <c r="C16348" s="43" t="n">
        <v>-46.486603</v>
      </c>
      <c r="D16348" s="43" t="n">
        <v>485</v>
      </c>
      <c r="E16348" s="44" t="n">
        <v>15720.089</v>
      </c>
    </row>
    <row r="16349">
      <c r="A16349" s="39">
        <f>_xlfn.XLOOKUP(82135,Trip[shape_id],Trip[shape_id],"Não encontrado")</f>
        <v/>
      </c>
      <c r="B16349" s="40" t="n">
        <v>-23.598584</v>
      </c>
      <c r="C16349" s="40" t="n">
        <v>-46.485923</v>
      </c>
      <c r="D16349" s="40" t="n">
        <v>486</v>
      </c>
      <c r="E16349" s="41" t="n">
        <v>15833.249</v>
      </c>
    </row>
    <row r="16350">
      <c r="A16350" s="42">
        <f>_xlfn.XLOOKUP(82135,Trip[shape_id],Trip[shape_id],"Não encontrado")</f>
        <v/>
      </c>
      <c r="B16350" s="43" t="n">
        <v>-23.599492</v>
      </c>
      <c r="C16350" s="43" t="n">
        <v>-46.48515</v>
      </c>
      <c r="D16350" s="43" t="n">
        <v>487</v>
      </c>
      <c r="E16350" s="44" t="n">
        <v>15993.708</v>
      </c>
    </row>
    <row r="16351">
      <c r="A16351" s="39">
        <f>_xlfn.XLOOKUP(82135,Trip[shape_id],Trip[shape_id],"Não encontrado")</f>
        <v/>
      </c>
      <c r="B16351" s="40" t="n">
        <v>-23.599727</v>
      </c>
      <c r="C16351" s="40" t="n">
        <v>-46.484957</v>
      </c>
      <c r="D16351" s="40" t="n">
        <v>488</v>
      </c>
      <c r="E16351" s="41" t="n">
        <v>15993.708</v>
      </c>
    </row>
    <row r="16352">
      <c r="A16352" s="42">
        <f>_xlfn.XLOOKUP(82135,Trip[shape_id],Trip[shape_id],"Não encontrado")</f>
        <v/>
      </c>
      <c r="B16352" s="43" t="n">
        <v>-23.600378</v>
      </c>
      <c r="C16352" s="43" t="n">
        <v>-46.484398</v>
      </c>
      <c r="D16352" s="43" t="n">
        <v>489</v>
      </c>
      <c r="E16352" s="44" t="n">
        <v>16085.651</v>
      </c>
    </row>
    <row r="16353">
      <c r="A16353" s="39">
        <f>_xlfn.XLOOKUP(82135,Trip[shape_id],Trip[shape_id],"Não encontrado")</f>
        <v/>
      </c>
      <c r="B16353" s="40" t="n">
        <v>-23.600864</v>
      </c>
      <c r="C16353" s="40" t="n">
        <v>-46.483992</v>
      </c>
      <c r="D16353" s="40" t="n">
        <v>490</v>
      </c>
      <c r="E16353" s="41" t="n">
        <v>16153.58</v>
      </c>
    </row>
    <row r="16354">
      <c r="A16354" s="42">
        <f>_xlfn.XLOOKUP(82135,Trip[shape_id],Trip[shape_id],"Não encontrado")</f>
        <v/>
      </c>
      <c r="B16354" s="43" t="n">
        <v>-23.601529</v>
      </c>
      <c r="C16354" s="43" t="n">
        <v>-46.483435</v>
      </c>
      <c r="D16354" s="43" t="n">
        <v>491</v>
      </c>
      <c r="E16354" s="44" t="n">
        <v>16314.274</v>
      </c>
    </row>
    <row r="16355">
      <c r="A16355" s="39">
        <f>_xlfn.XLOOKUP(82135,Trip[shape_id],Trip[shape_id],"Não encontrado")</f>
        <v/>
      </c>
      <c r="B16355" s="40" t="n">
        <v>-23.602009</v>
      </c>
      <c r="C16355" s="40" t="n">
        <v>-46.483025</v>
      </c>
      <c r="D16355" s="40" t="n">
        <v>492</v>
      </c>
      <c r="E16355" s="41" t="n">
        <v>16314.274</v>
      </c>
    </row>
    <row r="16356">
      <c r="A16356" s="42">
        <f>_xlfn.XLOOKUP(82135,Trip[shape_id],Trip[shape_id],"Não encontrado")</f>
        <v/>
      </c>
      <c r="B16356" s="43" t="n">
        <v>-23.603142</v>
      </c>
      <c r="C16356" s="43" t="n">
        <v>-46.482058</v>
      </c>
      <c r="D16356" s="43" t="n">
        <v>493</v>
      </c>
      <c r="E16356" s="44" t="n">
        <v>16473.918</v>
      </c>
    </row>
    <row r="16357">
      <c r="A16357" s="39">
        <f>_xlfn.XLOOKUP(82135,Trip[shape_id],Trip[shape_id],"Não encontrado")</f>
        <v/>
      </c>
      <c r="B16357" s="40" t="n">
        <v>-23.603813</v>
      </c>
      <c r="C16357" s="40" t="n">
        <v>-46.481496</v>
      </c>
      <c r="D16357" s="40" t="n">
        <v>494</v>
      </c>
      <c r="E16357" s="41" t="n">
        <v>16613.729</v>
      </c>
    </row>
    <row r="16358">
      <c r="A16358" s="42">
        <f>_xlfn.XLOOKUP(82135,Trip[shape_id],Trip[shape_id],"Não encontrado")</f>
        <v/>
      </c>
      <c r="B16358" s="43" t="n">
        <v>-23.604137</v>
      </c>
      <c r="C16358" s="43" t="n">
        <v>-46.481215</v>
      </c>
      <c r="D16358" s="43" t="n">
        <v>495</v>
      </c>
      <c r="E16358" s="44" t="n">
        <v>16613.729</v>
      </c>
    </row>
    <row r="16359">
      <c r="A16359" s="39">
        <f>_xlfn.XLOOKUP(82135,Trip[shape_id],Trip[shape_id],"Não encontrado")</f>
        <v/>
      </c>
      <c r="B16359" s="40" t="n">
        <v>-23.604718</v>
      </c>
      <c r="C16359" s="40" t="n">
        <v>-46.480724</v>
      </c>
      <c r="D16359" s="40" t="n">
        <v>496</v>
      </c>
      <c r="E16359" s="41" t="n">
        <v>16695.287</v>
      </c>
    </row>
    <row r="16360">
      <c r="A16360" s="42">
        <f>_xlfn.XLOOKUP(82135,Trip[shape_id],Trip[shape_id],"Não encontrado")</f>
        <v/>
      </c>
      <c r="B16360" s="43" t="n">
        <v>-23.604781</v>
      </c>
      <c r="C16360" s="43" t="n">
        <v>-46.480676</v>
      </c>
      <c r="D16360" s="43" t="n">
        <v>497</v>
      </c>
      <c r="E16360" s="44" t="n">
        <v>16703.813</v>
      </c>
    </row>
    <row r="16361">
      <c r="A16361" s="39">
        <f>_xlfn.XLOOKUP(82135,Trip[shape_id],Trip[shape_id],"Não encontrado")</f>
        <v/>
      </c>
      <c r="B16361" s="40" t="n">
        <v>-23.605016</v>
      </c>
      <c r="C16361" s="40" t="n">
        <v>-46.480476</v>
      </c>
      <c r="D16361" s="40" t="n">
        <v>498</v>
      </c>
      <c r="E16361" s="41" t="n">
        <v>16736.889</v>
      </c>
    </row>
    <row r="16362">
      <c r="A16362" s="42">
        <f>_xlfn.XLOOKUP(82135,Trip[shape_id],Trip[shape_id],"Não encontrado")</f>
        <v/>
      </c>
      <c r="B16362" s="43" t="n">
        <v>-23.605261</v>
      </c>
      <c r="C16362" s="43" t="n">
        <v>-46.480267</v>
      </c>
      <c r="D16362" s="43" t="n">
        <v>499</v>
      </c>
      <c r="E16362" s="44" t="n">
        <v>16771.404</v>
      </c>
    </row>
    <row r="16363">
      <c r="A16363" s="39">
        <f>_xlfn.XLOOKUP(82135,Trip[shape_id],Trip[shape_id],"Não encontrado")</f>
        <v/>
      </c>
      <c r="B16363" s="40" t="n">
        <v>-23.60576</v>
      </c>
      <c r="C16363" s="40" t="n">
        <v>-46.479831</v>
      </c>
      <c r="D16363" s="40" t="n">
        <v>500</v>
      </c>
      <c r="E16363" s="41" t="n">
        <v>16842.357</v>
      </c>
    </row>
    <row r="16364">
      <c r="A16364" s="42">
        <f>_xlfn.XLOOKUP(82135,Trip[shape_id],Trip[shape_id],"Não encontrado")</f>
        <v/>
      </c>
      <c r="B16364" s="43" t="n">
        <v>-23.606331</v>
      </c>
      <c r="C16364" s="43" t="n">
        <v>-46.479345</v>
      </c>
      <c r="D16364" s="43" t="n">
        <v>501</v>
      </c>
      <c r="E16364" s="44" t="n">
        <v>16922.729</v>
      </c>
    </row>
    <row r="16365">
      <c r="A16365" s="39">
        <f>_xlfn.XLOOKUP(82135,Trip[shape_id],Trip[shape_id],"Não encontrado")</f>
        <v/>
      </c>
      <c r="B16365" s="40" t="n">
        <v>-23.606518</v>
      </c>
      <c r="C16365" s="40" t="n">
        <v>-46.479198</v>
      </c>
      <c r="D16365" s="40" t="n">
        <v>502</v>
      </c>
      <c r="E16365" s="41" t="n">
        <v>17007.488</v>
      </c>
    </row>
    <row r="16366">
      <c r="A16366" s="42">
        <f>_xlfn.XLOOKUP(82135,Trip[shape_id],Trip[shape_id],"Não encontrado")</f>
        <v/>
      </c>
      <c r="B16366" s="43" t="n">
        <v>-23.606977</v>
      </c>
      <c r="C16366" s="43" t="n">
        <v>-46.478901</v>
      </c>
      <c r="D16366" s="43" t="n">
        <v>503</v>
      </c>
      <c r="E16366" s="44" t="n">
        <v>17007.488</v>
      </c>
    </row>
    <row r="16367">
      <c r="A16367" s="39">
        <f>_xlfn.XLOOKUP(82135,Trip[shape_id],Trip[shape_id],"Não encontrado")</f>
        <v/>
      </c>
      <c r="B16367" s="40" t="n">
        <v>-23.608361</v>
      </c>
      <c r="C16367" s="40" t="n">
        <v>-46.477993</v>
      </c>
      <c r="D16367" s="40" t="n">
        <v>504</v>
      </c>
      <c r="E16367" s="41" t="n">
        <v>17186.605</v>
      </c>
    </row>
    <row r="16368">
      <c r="A16368" s="42">
        <f>_xlfn.XLOOKUP(82135,Trip[shape_id],Trip[shape_id],"Não encontrado")</f>
        <v/>
      </c>
      <c r="B16368" s="43" t="n">
        <v>-23.609137</v>
      </c>
      <c r="C16368" s="43" t="n">
        <v>-46.477489</v>
      </c>
      <c r="D16368" s="43" t="n">
        <v>505</v>
      </c>
      <c r="E16368" s="44" t="n">
        <v>17364.311</v>
      </c>
    </row>
    <row r="16369">
      <c r="A16369" s="39">
        <f>_xlfn.XLOOKUP(82135,Trip[shape_id],Trip[shape_id],"Não encontrado")</f>
        <v/>
      </c>
      <c r="B16369" s="40" t="n">
        <v>-23.60973</v>
      </c>
      <c r="C16369" s="40" t="n">
        <v>-46.477085</v>
      </c>
      <c r="D16369" s="40" t="n">
        <v>506</v>
      </c>
      <c r="E16369" s="41" t="n">
        <v>17364.311</v>
      </c>
    </row>
    <row r="16370">
      <c r="A16370" s="42">
        <f>_xlfn.XLOOKUP(82135,Trip[shape_id],Trip[shape_id],"Não encontrado")</f>
        <v/>
      </c>
      <c r="B16370" s="43" t="n">
        <v>-23.610004</v>
      </c>
      <c r="C16370" s="43" t="n">
        <v>-46.476904</v>
      </c>
      <c r="D16370" s="43" t="n">
        <v>507</v>
      </c>
      <c r="E16370" s="44" t="n">
        <v>17399.836</v>
      </c>
    </row>
    <row r="16371">
      <c r="A16371" s="39">
        <f>_xlfn.XLOOKUP(82135,Trip[shape_id],Trip[shape_id],"Não encontrado")</f>
        <v/>
      </c>
      <c r="B16371" s="40" t="n">
        <v>-23.610098</v>
      </c>
      <c r="C16371" s="40" t="n">
        <v>-46.476838</v>
      </c>
      <c r="D16371" s="40" t="n">
        <v>508</v>
      </c>
      <c r="E16371" s="41" t="n">
        <v>17412.236</v>
      </c>
    </row>
    <row r="16372">
      <c r="A16372" s="42">
        <f>_xlfn.XLOOKUP(82135,Trip[shape_id],Trip[shape_id],"Não encontrado")</f>
        <v/>
      </c>
      <c r="B16372" s="43" t="n">
        <v>-23.611082</v>
      </c>
      <c r="C16372" s="43" t="n">
        <v>-46.476175</v>
      </c>
      <c r="D16372" s="43" t="n">
        <v>509</v>
      </c>
      <c r="E16372" s="44" t="n">
        <v>17540.514</v>
      </c>
    </row>
    <row r="16373">
      <c r="A16373" s="39">
        <f>_xlfn.XLOOKUP(82135,Trip[shape_id],Trip[shape_id],"Não encontrado")</f>
        <v/>
      </c>
      <c r="B16373" s="40" t="n">
        <v>-23.611256</v>
      </c>
      <c r="C16373" s="40" t="n">
        <v>-46.476058</v>
      </c>
      <c r="D16373" s="40" t="n">
        <v>510</v>
      </c>
      <c r="E16373" s="41" t="n">
        <v>17563.184</v>
      </c>
    </row>
    <row r="16374">
      <c r="A16374" s="42">
        <f>_xlfn.XLOOKUP(82135,Trip[shape_id],Trip[shape_id],"Não encontrado")</f>
        <v/>
      </c>
      <c r="B16374" s="43" t="n">
        <v>-23.611361</v>
      </c>
      <c r="C16374" s="43" t="n">
        <v>-46.475983</v>
      </c>
      <c r="D16374" s="43" t="n">
        <v>511</v>
      </c>
      <c r="E16374" s="44" t="n">
        <v>17577.105</v>
      </c>
    </row>
    <row r="16375">
      <c r="A16375" s="39">
        <f>_xlfn.XLOOKUP(82135,Trip[shape_id],Trip[shape_id],"Não encontrado")</f>
        <v/>
      </c>
      <c r="B16375" s="40" t="n">
        <v>-23.611431</v>
      </c>
      <c r="C16375" s="40" t="n">
        <v>-46.476077</v>
      </c>
      <c r="D16375" s="40" t="n">
        <v>512</v>
      </c>
      <c r="E16375" s="41" t="n">
        <v>17589.439</v>
      </c>
    </row>
    <row r="16376">
      <c r="A16376" s="42">
        <f>_xlfn.XLOOKUP(82135,Trip[shape_id],Trip[shape_id],"Não encontrado")</f>
        <v/>
      </c>
      <c r="B16376" s="43" t="n">
        <v>-23.611531</v>
      </c>
      <c r="C16376" s="43" t="n">
        <v>-46.476185</v>
      </c>
      <c r="D16376" s="43" t="n">
        <v>513</v>
      </c>
      <c r="E16376" s="44" t="n">
        <v>17605.064</v>
      </c>
    </row>
    <row r="16377">
      <c r="A16377" s="39">
        <f>_xlfn.XLOOKUP(82135,Trip[shape_id],Trip[shape_id],"Não encontrado")</f>
        <v/>
      </c>
      <c r="B16377" s="40" t="n">
        <v>-23.611603</v>
      </c>
      <c r="C16377" s="40" t="n">
        <v>-46.476235</v>
      </c>
      <c r="D16377" s="40" t="n">
        <v>514</v>
      </c>
      <c r="E16377" s="41" t="n">
        <v>17614.531</v>
      </c>
    </row>
    <row r="16378">
      <c r="A16378" s="42">
        <f>_xlfn.XLOOKUP(82135,Trip[shape_id],Trip[shape_id],"Não encontrado")</f>
        <v/>
      </c>
      <c r="B16378" s="43" t="n">
        <v>-23.611689</v>
      </c>
      <c r="C16378" s="43" t="n">
        <v>-46.476266</v>
      </c>
      <c r="D16378" s="43" t="n">
        <v>515</v>
      </c>
      <c r="E16378" s="44" t="n">
        <v>17624.568</v>
      </c>
    </row>
    <row r="16379">
      <c r="A16379" s="39">
        <f>_xlfn.XLOOKUP(82135,Trip[shape_id],Trip[shape_id],"Não encontrado")</f>
        <v/>
      </c>
      <c r="B16379" s="40" t="n">
        <v>-23.611732</v>
      </c>
      <c r="C16379" s="40" t="n">
        <v>-46.47628</v>
      </c>
      <c r="D16379" s="40" t="n">
        <v>516</v>
      </c>
      <c r="E16379" s="41" t="n">
        <v>17629.541</v>
      </c>
    </row>
    <row r="16380">
      <c r="A16380" s="42">
        <f>_xlfn.XLOOKUP(82135,Trip[shape_id],Trip[shape_id],"Não encontrado")</f>
        <v/>
      </c>
      <c r="B16380" s="43" t="n">
        <v>-23.611854</v>
      </c>
      <c r="C16380" s="43" t="n">
        <v>-46.476283</v>
      </c>
      <c r="D16380" s="43" t="n">
        <v>517</v>
      </c>
      <c r="E16380" s="44" t="n">
        <v>17643.057</v>
      </c>
    </row>
    <row r="16381">
      <c r="A16381" s="39">
        <f>_xlfn.XLOOKUP(82135,Trip[shape_id],Trip[shape_id],"Não encontrado")</f>
        <v/>
      </c>
      <c r="B16381" s="40" t="n">
        <v>-23.611983</v>
      </c>
      <c r="C16381" s="40" t="n">
        <v>-46.476271</v>
      </c>
      <c r="D16381" s="40" t="n">
        <v>518</v>
      </c>
      <c r="E16381" s="41" t="n">
        <v>17657.396</v>
      </c>
    </row>
    <row r="16382">
      <c r="A16382" s="42">
        <f>_xlfn.XLOOKUP(82135,Trip[shape_id],Trip[shape_id],"Não encontrado")</f>
        <v/>
      </c>
      <c r="B16382" s="43" t="n">
        <v>-23.612094</v>
      </c>
      <c r="C16382" s="43" t="n">
        <v>-46.476248</v>
      </c>
      <c r="D16382" s="43" t="n">
        <v>519</v>
      </c>
      <c r="E16382" s="44" t="n">
        <v>17669.912</v>
      </c>
    </row>
    <row r="16383">
      <c r="A16383" s="39">
        <f>_xlfn.XLOOKUP(82135,Trip[shape_id],Trip[shape_id],"Não encontrado")</f>
        <v/>
      </c>
      <c r="B16383" s="40" t="n">
        <v>-23.612198</v>
      </c>
      <c r="C16383" s="40" t="n">
        <v>-46.476231</v>
      </c>
      <c r="D16383" s="40" t="n">
        <v>520</v>
      </c>
      <c r="E16383" s="41" t="n">
        <v>17681.561</v>
      </c>
    </row>
    <row r="16384">
      <c r="A16384" s="42">
        <f>_xlfn.XLOOKUP(82135,Trip[shape_id],Trip[shape_id],"Não encontrado")</f>
        <v/>
      </c>
      <c r="B16384" s="43" t="n">
        <v>-23.612258</v>
      </c>
      <c r="C16384" s="43" t="n">
        <v>-46.476218</v>
      </c>
      <c r="D16384" s="43" t="n">
        <v>521</v>
      </c>
      <c r="E16384" s="44" t="n">
        <v>17688.338</v>
      </c>
    </row>
    <row r="16385">
      <c r="A16385" s="39">
        <f>_xlfn.XLOOKUP(82135,Trip[shape_id],Trip[shape_id],"Não encontrado")</f>
        <v/>
      </c>
      <c r="B16385" s="40" t="n">
        <v>-23.612281</v>
      </c>
      <c r="C16385" s="40" t="n">
        <v>-46.476211</v>
      </c>
      <c r="D16385" s="40" t="n">
        <v>522</v>
      </c>
      <c r="E16385" s="41" t="n">
        <v>17690.982</v>
      </c>
    </row>
    <row r="16386">
      <c r="A16386" s="42">
        <f>_xlfn.XLOOKUP(82135,Trip[shape_id],Trip[shape_id],"Não encontrado")</f>
        <v/>
      </c>
      <c r="B16386" s="43" t="n">
        <v>-23.612305</v>
      </c>
      <c r="C16386" s="43" t="n">
        <v>-46.476196</v>
      </c>
      <c r="D16386" s="43" t="n">
        <v>523</v>
      </c>
      <c r="E16386" s="44" t="n">
        <v>17694.049</v>
      </c>
    </row>
    <row r="16387">
      <c r="A16387" s="39">
        <f>_xlfn.XLOOKUP(82135,Trip[shape_id],Trip[shape_id],"Não encontrado")</f>
        <v/>
      </c>
      <c r="B16387" s="40" t="n">
        <v>-23.612325</v>
      </c>
      <c r="C16387" s="40" t="n">
        <v>-46.476172</v>
      </c>
      <c r="D16387" s="40" t="n">
        <v>524</v>
      </c>
      <c r="E16387" s="41" t="n">
        <v>17697.352</v>
      </c>
    </row>
    <row r="16388">
      <c r="A16388" s="42">
        <f>_xlfn.XLOOKUP(82135,Trip[shape_id],Trip[shape_id],"Não encontrado")</f>
        <v/>
      </c>
      <c r="B16388" s="43" t="n">
        <v>-23.612417</v>
      </c>
      <c r="C16388" s="43" t="n">
        <v>-46.476268</v>
      </c>
      <c r="D16388" s="43" t="n">
        <v>525</v>
      </c>
      <c r="E16388" s="44" t="n">
        <v>17711.486</v>
      </c>
    </row>
    <row r="16389">
      <c r="A16389" s="39">
        <f>_xlfn.XLOOKUP(82135,Trip[shape_id],Trip[shape_id],"Não encontrado")</f>
        <v/>
      </c>
      <c r="B16389" s="40" t="n">
        <v>-23.612483</v>
      </c>
      <c r="C16389" s="40" t="n">
        <v>-46.47631</v>
      </c>
      <c r="D16389" s="40" t="n">
        <v>526</v>
      </c>
      <c r="E16389" s="41" t="n">
        <v>17719.959</v>
      </c>
    </row>
    <row r="16390">
      <c r="A16390" s="42">
        <f>_xlfn.XLOOKUP(82135,Trip[shape_id],Trip[shape_id],"Não encontrado")</f>
        <v/>
      </c>
      <c r="B16390" s="43" t="n">
        <v>-23.612605</v>
      </c>
      <c r="C16390" s="43" t="n">
        <v>-46.476355</v>
      </c>
      <c r="D16390" s="43" t="n">
        <v>527</v>
      </c>
      <c r="E16390" s="44" t="n">
        <v>17734.23</v>
      </c>
    </row>
    <row r="16391">
      <c r="A16391" s="39">
        <f>_xlfn.XLOOKUP(82135,Trip[shape_id],Trip[shape_id],"Não encontrado")</f>
        <v/>
      </c>
      <c r="B16391" s="40" t="n">
        <v>-23.612725</v>
      </c>
      <c r="C16391" s="40" t="n">
        <v>-46.476392</v>
      </c>
      <c r="D16391" s="40" t="n">
        <v>528</v>
      </c>
      <c r="E16391" s="41" t="n">
        <v>17748.047</v>
      </c>
    </row>
    <row r="16392">
      <c r="A16392" s="42">
        <f>_xlfn.XLOOKUP(83160,Trip[shape_id],Trip[shape_id],"Não encontrado")</f>
        <v/>
      </c>
      <c r="B16392" s="43" t="n">
        <v>-23.593693</v>
      </c>
      <c r="C16392" s="43" t="n">
        <v>-46.498458</v>
      </c>
      <c r="D16392" s="43" t="n">
        <v>1</v>
      </c>
      <c r="E16392" s="44" t="n">
        <v>0</v>
      </c>
    </row>
    <row r="16393">
      <c r="A16393" s="39">
        <f>_xlfn.XLOOKUP(83160,Trip[shape_id],Trip[shape_id],"Não encontrado")</f>
        <v/>
      </c>
      <c r="B16393" s="40" t="n">
        <v>-23.593665</v>
      </c>
      <c r="C16393" s="40" t="n">
        <v>-46.49848</v>
      </c>
      <c r="D16393" s="40" t="n">
        <v>2</v>
      </c>
      <c r="E16393" s="41" t="n">
        <v>3.827687</v>
      </c>
    </row>
    <row r="16394">
      <c r="A16394" s="42">
        <f>_xlfn.XLOOKUP(83160,Trip[shape_id],Trip[shape_id],"Não encontrado")</f>
        <v/>
      </c>
      <c r="B16394" s="43" t="n">
        <v>-23.59365</v>
      </c>
      <c r="C16394" s="43" t="n">
        <v>-46.49848</v>
      </c>
      <c r="D16394" s="43" t="n">
        <v>3</v>
      </c>
      <c r="E16394" s="44" t="n">
        <v>5.4909611</v>
      </c>
    </row>
    <row r="16395">
      <c r="A16395" s="39">
        <f>_xlfn.XLOOKUP(83160,Trip[shape_id],Trip[shape_id],"Não encontrado")</f>
        <v/>
      </c>
      <c r="B16395" s="40" t="n">
        <v>-23.593492</v>
      </c>
      <c r="C16395" s="40" t="n">
        <v>-46.498731</v>
      </c>
      <c r="D16395" s="40" t="n">
        <v>4</v>
      </c>
      <c r="E16395" s="41" t="n">
        <v>36.51593</v>
      </c>
    </row>
    <row r="16396">
      <c r="A16396" s="42">
        <f>_xlfn.XLOOKUP(83160,Trip[shape_id],Trip[shape_id],"Não encontrado")</f>
        <v/>
      </c>
      <c r="B16396" s="43" t="n">
        <v>-23.593407</v>
      </c>
      <c r="C16396" s="43" t="n">
        <v>-46.498892</v>
      </c>
      <c r="D16396" s="43" t="n">
        <v>5</v>
      </c>
      <c r="E16396" s="44" t="n">
        <v>55.454388</v>
      </c>
    </row>
    <row r="16397">
      <c r="A16397" s="39">
        <f>_xlfn.XLOOKUP(83160,Trip[shape_id],Trip[shape_id],"Não encontrado")</f>
        <v/>
      </c>
      <c r="B16397" s="40" t="n">
        <v>-23.593365</v>
      </c>
      <c r="C16397" s="40" t="n">
        <v>-46.498977</v>
      </c>
      <c r="D16397" s="40" t="n">
        <v>6</v>
      </c>
      <c r="E16397" s="41" t="n">
        <v>65.29863</v>
      </c>
    </row>
    <row r="16398">
      <c r="A16398" s="42">
        <f>_xlfn.XLOOKUP(83160,Trip[shape_id],Trip[shape_id],"Não encontrado")</f>
        <v/>
      </c>
      <c r="B16398" s="43" t="n">
        <v>-23.593342</v>
      </c>
      <c r="C16398" s="43" t="n">
        <v>-46.49904</v>
      </c>
      <c r="D16398" s="43" t="n">
        <v>7</v>
      </c>
      <c r="E16398" s="44" t="n">
        <v>72.21511099999999</v>
      </c>
    </row>
    <row r="16399">
      <c r="A16399" s="39">
        <f>_xlfn.XLOOKUP(83160,Trip[shape_id],Trip[shape_id],"Não encontrado")</f>
        <v/>
      </c>
      <c r="B16399" s="40" t="n">
        <v>-23.593318</v>
      </c>
      <c r="C16399" s="40" t="n">
        <v>-46.499114</v>
      </c>
      <c r="D16399" s="40" t="n">
        <v>8</v>
      </c>
      <c r="E16399" s="41" t="n">
        <v>80.222092</v>
      </c>
    </row>
    <row r="16400">
      <c r="A16400" s="42">
        <f>_xlfn.XLOOKUP(83160,Trip[shape_id],Trip[shape_id],"Não encontrado")</f>
        <v/>
      </c>
      <c r="B16400" s="43" t="n">
        <v>-23.593299</v>
      </c>
      <c r="C16400" s="43" t="n">
        <v>-46.499209</v>
      </c>
      <c r="D16400" s="43" t="n">
        <v>9</v>
      </c>
      <c r="E16400" s="44" t="n">
        <v>90.144379</v>
      </c>
    </row>
    <row r="16401">
      <c r="A16401" s="39">
        <f>_xlfn.XLOOKUP(83160,Trip[shape_id],Trip[shape_id],"Não encontrado")</f>
        <v/>
      </c>
      <c r="B16401" s="40" t="n">
        <v>-23.593275</v>
      </c>
      <c r="C16401" s="40" t="n">
        <v>-46.49934</v>
      </c>
      <c r="D16401" s="40" t="n">
        <v>10</v>
      </c>
      <c r="E16401" s="41" t="n">
        <v>103.77733</v>
      </c>
    </row>
    <row r="16402">
      <c r="A16402" s="42">
        <f>_xlfn.XLOOKUP(83160,Trip[shape_id],Trip[shape_id],"Não encontrado")</f>
        <v/>
      </c>
      <c r="B16402" s="43" t="n">
        <v>-23.59322</v>
      </c>
      <c r="C16402" s="43" t="n">
        <v>-46.499707</v>
      </c>
      <c r="D16402" s="43" t="n">
        <v>11</v>
      </c>
      <c r="E16402" s="44" t="n">
        <v>141.72868</v>
      </c>
    </row>
    <row r="16403">
      <c r="A16403" s="39">
        <f>_xlfn.XLOOKUP(83160,Trip[shape_id],Trip[shape_id],"Não encontrado")</f>
        <v/>
      </c>
      <c r="B16403" s="40" t="n">
        <v>-23.593225</v>
      </c>
      <c r="C16403" s="40" t="n">
        <v>-46.499767</v>
      </c>
      <c r="D16403" s="40" t="n">
        <v>12</v>
      </c>
      <c r="E16403" s="41" t="n">
        <v>147.87767</v>
      </c>
    </row>
    <row r="16404">
      <c r="A16404" s="42">
        <f>_xlfn.XLOOKUP(83160,Trip[shape_id],Trip[shape_id],"Não encontrado")</f>
        <v/>
      </c>
      <c r="B16404" s="43" t="n">
        <v>-23.593818</v>
      </c>
      <c r="C16404" s="43" t="n">
        <v>-46.49968</v>
      </c>
      <c r="D16404" s="43" t="n">
        <v>13</v>
      </c>
      <c r="E16404" s="44" t="n">
        <v>214.15144</v>
      </c>
    </row>
    <row r="16405">
      <c r="A16405" s="39">
        <f>_xlfn.XLOOKUP(83160,Trip[shape_id],Trip[shape_id],"Não encontrado")</f>
        <v/>
      </c>
      <c r="B16405" s="40" t="n">
        <v>-23.594248</v>
      </c>
      <c r="C16405" s="40" t="n">
        <v>-46.499618</v>
      </c>
      <c r="D16405" s="40" t="n">
        <v>14</v>
      </c>
      <c r="E16405" s="41" t="n">
        <v>262.19354</v>
      </c>
    </row>
    <row r="16406">
      <c r="A16406" s="42">
        <f>_xlfn.XLOOKUP(83160,Trip[shape_id],Trip[shape_id],"Não encontrado")</f>
        <v/>
      </c>
      <c r="B16406" s="43" t="n">
        <v>-23.594314</v>
      </c>
      <c r="C16406" s="43" t="n">
        <v>-46.49965</v>
      </c>
      <c r="D16406" s="43" t="n">
        <v>15</v>
      </c>
      <c r="E16406" s="44" t="n">
        <v>275.56912</v>
      </c>
    </row>
    <row r="16407">
      <c r="A16407" s="39">
        <f>_xlfn.XLOOKUP(83160,Trip[shape_id],Trip[shape_id],"Não encontrado")</f>
        <v/>
      </c>
      <c r="B16407" s="40" t="n">
        <v>-23.594351</v>
      </c>
      <c r="C16407" s="40" t="n">
        <v>-46.499684</v>
      </c>
      <c r="D16407" s="40" t="n">
        <v>16</v>
      </c>
      <c r="E16407" s="41" t="n">
        <v>283.03143</v>
      </c>
    </row>
    <row r="16408">
      <c r="A16408" s="42">
        <f>_xlfn.XLOOKUP(83160,Trip[shape_id],Trip[shape_id],"Não encontrado")</f>
        <v/>
      </c>
      <c r="B16408" s="43" t="n">
        <v>-23.594401</v>
      </c>
      <c r="C16408" s="43" t="n">
        <v>-46.499733</v>
      </c>
      <c r="D16408" s="43" t="n">
        <v>17</v>
      </c>
      <c r="E16408" s="44" t="n">
        <v>283.03143</v>
      </c>
    </row>
    <row r="16409">
      <c r="A16409" s="39">
        <f>_xlfn.XLOOKUP(83160,Trip[shape_id],Trip[shape_id],"Não encontrado")</f>
        <v/>
      </c>
      <c r="B16409" s="40" t="n">
        <v>-23.594408</v>
      </c>
      <c r="C16409" s="40" t="n">
        <v>-46.499762</v>
      </c>
      <c r="D16409" s="40" t="n">
        <v>18</v>
      </c>
      <c r="E16409" s="41" t="n">
        <v>295.55609</v>
      </c>
    </row>
    <row r="16410">
      <c r="A16410" s="42">
        <f>_xlfn.XLOOKUP(83160,Trip[shape_id],Trip[shape_id],"Não encontrado")</f>
        <v/>
      </c>
      <c r="B16410" s="43" t="n">
        <v>-23.59444</v>
      </c>
      <c r="C16410" s="43" t="n">
        <v>-46.499848</v>
      </c>
      <c r="D16410" s="43" t="n">
        <v>19</v>
      </c>
      <c r="E16410" s="44" t="n">
        <v>304.98776</v>
      </c>
    </row>
    <row r="16411">
      <c r="A16411" s="39">
        <f>_xlfn.XLOOKUP(83160,Trip[shape_id],Trip[shape_id],"Não encontrado")</f>
        <v/>
      </c>
      <c r="B16411" s="40" t="n">
        <v>-23.594491</v>
      </c>
      <c r="C16411" s="40" t="n">
        <v>-46.499922</v>
      </c>
      <c r="D16411" s="40" t="n">
        <v>20</v>
      </c>
      <c r="E16411" s="41" t="n">
        <v>309.62793</v>
      </c>
    </row>
    <row r="16412">
      <c r="A16412" s="42">
        <f>_xlfn.XLOOKUP(83160,Trip[shape_id],Trip[shape_id],"Não encontrado")</f>
        <v/>
      </c>
      <c r="B16412" s="43" t="n">
        <v>-23.594524</v>
      </c>
      <c r="C16412" s="43" t="n">
        <v>-46.49995</v>
      </c>
      <c r="D16412" s="43" t="n">
        <v>21</v>
      </c>
      <c r="E16412" s="44" t="n">
        <v>317.13208</v>
      </c>
    </row>
    <row r="16413">
      <c r="A16413" s="39">
        <f>_xlfn.XLOOKUP(83160,Trip[shape_id],Trip[shape_id],"Não encontrado")</f>
        <v/>
      </c>
      <c r="B16413" s="40" t="n">
        <v>-23.594582</v>
      </c>
      <c r="C16413" s="40" t="n">
        <v>-46.499988</v>
      </c>
      <c r="D16413" s="40" t="n">
        <v>22</v>
      </c>
      <c r="E16413" s="41" t="n">
        <v>317.13208</v>
      </c>
    </row>
    <row r="16414">
      <c r="A16414" s="42">
        <f>_xlfn.XLOOKUP(83160,Trip[shape_id],Trip[shape_id],"Não encontrado")</f>
        <v/>
      </c>
      <c r="B16414" s="43" t="n">
        <v>-23.594639</v>
      </c>
      <c r="C16414" s="43" t="n">
        <v>-46.500003</v>
      </c>
      <c r="D16414" s="43" t="n">
        <v>23</v>
      </c>
      <c r="E16414" s="44" t="n">
        <v>329.98129</v>
      </c>
    </row>
    <row r="16415">
      <c r="A16415" s="39">
        <f>_xlfn.XLOOKUP(83160,Trip[shape_id],Trip[shape_id],"Não encontrado")</f>
        <v/>
      </c>
      <c r="B16415" s="40" t="n">
        <v>-23.594696</v>
      </c>
      <c r="C16415" s="40" t="n">
        <v>-46.50001</v>
      </c>
      <c r="D16415" s="40" t="n">
        <v>24</v>
      </c>
      <c r="E16415" s="41" t="n">
        <v>336.18301</v>
      </c>
    </row>
    <row r="16416">
      <c r="A16416" s="42">
        <f>_xlfn.XLOOKUP(83160,Trip[shape_id],Trip[shape_id],"Não encontrado")</f>
        <v/>
      </c>
      <c r="B16416" s="43" t="n">
        <v>-23.594752</v>
      </c>
      <c r="C16416" s="43" t="n">
        <v>-46.50001</v>
      </c>
      <c r="D16416" s="43" t="n">
        <v>25</v>
      </c>
      <c r="E16416" s="44" t="n">
        <v>341.63409</v>
      </c>
    </row>
    <row r="16417">
      <c r="A16417" s="39">
        <f>_xlfn.XLOOKUP(83160,Trip[shape_id],Trip[shape_id],"Não encontrado")</f>
        <v/>
      </c>
      <c r="B16417" s="40" t="n">
        <v>-23.594801</v>
      </c>
      <c r="C16417" s="40" t="n">
        <v>-46.500005</v>
      </c>
      <c r="D16417" s="40" t="n">
        <v>26</v>
      </c>
      <c r="E16417" s="41" t="n">
        <v>349.57748</v>
      </c>
    </row>
    <row r="16418">
      <c r="A16418" s="42">
        <f>_xlfn.XLOOKUP(83160,Trip[shape_id],Trip[shape_id],"Não encontrado")</f>
        <v/>
      </c>
      <c r="B16418" s="43" t="n">
        <v>-23.594872</v>
      </c>
      <c r="C16418" s="43" t="n">
        <v>-46.499994</v>
      </c>
      <c r="D16418" s="43" t="n">
        <v>27</v>
      </c>
      <c r="E16418" s="44" t="n">
        <v>357.92896</v>
      </c>
    </row>
    <row r="16419">
      <c r="A16419" s="39">
        <f>_xlfn.XLOOKUP(83160,Trip[shape_id],Trip[shape_id],"Não encontrado")</f>
        <v/>
      </c>
      <c r="B16419" s="40" t="n">
        <v>-23.594941</v>
      </c>
      <c r="C16419" s="40" t="n">
        <v>-46.499961</v>
      </c>
      <c r="D16419" s="40" t="n">
        <v>28</v>
      </c>
      <c r="E16419" s="41" t="n">
        <v>357.92896</v>
      </c>
    </row>
    <row r="16420">
      <c r="A16420" s="42">
        <f>_xlfn.XLOOKUP(83160,Trip[shape_id],Trip[shape_id],"Não encontrado")</f>
        <v/>
      </c>
      <c r="B16420" s="43" t="n">
        <v>-23.595044</v>
      </c>
      <c r="C16420" s="43" t="n">
        <v>-46.499977</v>
      </c>
      <c r="D16420" s="43" t="n">
        <v>29</v>
      </c>
      <c r="E16420" s="44" t="n">
        <v>401.34625</v>
      </c>
    </row>
    <row r="16421">
      <c r="A16421" s="39">
        <f>_xlfn.XLOOKUP(83160,Trip[shape_id],Trip[shape_id],"Não encontrado")</f>
        <v/>
      </c>
      <c r="B16421" s="40" t="n">
        <v>-23.595324</v>
      </c>
      <c r="C16421" s="40" t="n">
        <v>-46.499904</v>
      </c>
      <c r="D16421" s="40" t="n">
        <v>30</v>
      </c>
      <c r="E16421" s="41" t="n">
        <v>406.41455</v>
      </c>
    </row>
    <row r="16422">
      <c r="A16422" s="42">
        <f>_xlfn.XLOOKUP(83160,Trip[shape_id],Trip[shape_id],"Não encontrado")</f>
        <v/>
      </c>
      <c r="B16422" s="43" t="n">
        <v>-23.595367</v>
      </c>
      <c r="C16422" s="43" t="n">
        <v>-46.499887</v>
      </c>
      <c r="D16422" s="43" t="n">
        <v>31</v>
      </c>
      <c r="E16422" s="44" t="n">
        <v>406.41455</v>
      </c>
    </row>
    <row r="16423">
      <c r="A16423" s="39">
        <f>_xlfn.XLOOKUP(83160,Trip[shape_id],Trip[shape_id],"Não encontrado")</f>
        <v/>
      </c>
      <c r="B16423" s="40" t="n">
        <v>-23.595692</v>
      </c>
      <c r="C16423" s="40" t="n">
        <v>-46.500031</v>
      </c>
      <c r="D16423" s="40" t="n">
        <v>32</v>
      </c>
      <c r="E16423" s="41" t="n">
        <v>445.29416</v>
      </c>
    </row>
    <row r="16424">
      <c r="A16424" s="42">
        <f>_xlfn.XLOOKUP(83160,Trip[shape_id],Trip[shape_id],"Não encontrado")</f>
        <v/>
      </c>
      <c r="B16424" s="43" t="n">
        <v>-23.596042</v>
      </c>
      <c r="C16424" s="43" t="n">
        <v>-46.500178</v>
      </c>
      <c r="D16424" s="43" t="n">
        <v>33</v>
      </c>
      <c r="E16424" s="44" t="n">
        <v>526.2656899999999</v>
      </c>
    </row>
    <row r="16425">
      <c r="A16425" s="39">
        <f>_xlfn.XLOOKUP(83160,Trip[shape_id],Trip[shape_id],"Não encontrado")</f>
        <v/>
      </c>
      <c r="B16425" s="40" t="n">
        <v>-23.596371</v>
      </c>
      <c r="C16425" s="40" t="n">
        <v>-46.500325</v>
      </c>
      <c r="D16425" s="40" t="n">
        <v>34</v>
      </c>
      <c r="E16425" s="41" t="n">
        <v>526.2656899999999</v>
      </c>
    </row>
    <row r="16426">
      <c r="A16426" s="42">
        <f>_xlfn.XLOOKUP(83160,Trip[shape_id],Trip[shape_id],"Não encontrado")</f>
        <v/>
      </c>
      <c r="B16426" s="43" t="n">
        <v>-23.596472</v>
      </c>
      <c r="C16426" s="43" t="n">
        <v>-46.500366</v>
      </c>
      <c r="D16426" s="43" t="n">
        <v>35</v>
      </c>
      <c r="E16426" s="44" t="n">
        <v>538.20905</v>
      </c>
    </row>
    <row r="16427">
      <c r="A16427" s="39">
        <f>_xlfn.XLOOKUP(83160,Trip[shape_id],Trip[shape_id],"Não encontrado")</f>
        <v/>
      </c>
      <c r="B16427" s="40" t="n">
        <v>-23.596864</v>
      </c>
      <c r="C16427" s="40" t="n">
        <v>-46.500583</v>
      </c>
      <c r="D16427" s="40" t="n">
        <v>36</v>
      </c>
      <c r="E16427" s="41" t="n">
        <v>586.94727</v>
      </c>
    </row>
    <row r="16428">
      <c r="A16428" s="42">
        <f>_xlfn.XLOOKUP(83160,Trip[shape_id],Trip[shape_id],"Não encontrado")</f>
        <v/>
      </c>
      <c r="B16428" s="43" t="n">
        <v>-23.596809</v>
      </c>
      <c r="C16428" s="43" t="n">
        <v>-46.500702</v>
      </c>
      <c r="D16428" s="43" t="n">
        <v>37</v>
      </c>
      <c r="E16428" s="44" t="n">
        <v>600.53479</v>
      </c>
    </row>
    <row r="16429">
      <c r="A16429" s="39">
        <f>_xlfn.XLOOKUP(83160,Trip[shape_id],Trip[shape_id],"Não encontrado")</f>
        <v/>
      </c>
      <c r="B16429" s="40" t="n">
        <v>-23.596661</v>
      </c>
      <c r="C16429" s="40" t="n">
        <v>-46.501073</v>
      </c>
      <c r="D16429" s="40" t="n">
        <v>38</v>
      </c>
      <c r="E16429" s="41" t="n">
        <v>641.7968100000001</v>
      </c>
    </row>
    <row r="16430">
      <c r="A16430" s="42">
        <f>_xlfn.XLOOKUP(83160,Trip[shape_id],Trip[shape_id],"Não encontrado")</f>
        <v/>
      </c>
      <c r="B16430" s="43" t="n">
        <v>-23.596594</v>
      </c>
      <c r="C16430" s="43" t="n">
        <v>-46.501263</v>
      </c>
      <c r="D16430" s="43" t="n">
        <v>39</v>
      </c>
      <c r="E16430" s="44" t="n">
        <v>662.56067</v>
      </c>
    </row>
    <row r="16431">
      <c r="A16431" s="39">
        <f>_xlfn.XLOOKUP(83160,Trip[shape_id],Trip[shape_id],"Não encontrado")</f>
        <v/>
      </c>
      <c r="B16431" s="40" t="n">
        <v>-23.596558</v>
      </c>
      <c r="C16431" s="40" t="n">
        <v>-46.501292</v>
      </c>
      <c r="D16431" s="40" t="n">
        <v>40</v>
      </c>
      <c r="E16431" s="41" t="n">
        <v>667.52655</v>
      </c>
    </row>
    <row r="16432">
      <c r="A16432" s="42">
        <f>_xlfn.XLOOKUP(83160,Trip[shape_id],Trip[shape_id],"Não encontrado")</f>
        <v/>
      </c>
      <c r="B16432" s="43" t="n">
        <v>-23.596566</v>
      </c>
      <c r="C16432" s="43" t="n">
        <v>-46.501333</v>
      </c>
      <c r="D16432" s="43" t="n">
        <v>41</v>
      </c>
      <c r="E16432" s="44" t="n">
        <v>671.80396</v>
      </c>
    </row>
    <row r="16433">
      <c r="A16433" s="39">
        <f>_xlfn.XLOOKUP(83160,Trip[shape_id],Trip[shape_id],"Não encontrado")</f>
        <v/>
      </c>
      <c r="B16433" s="40" t="n">
        <v>-23.596522</v>
      </c>
      <c r="C16433" s="40" t="n">
        <v>-46.501446</v>
      </c>
      <c r="D16433" s="40" t="n">
        <v>42</v>
      </c>
      <c r="E16433" s="41" t="n">
        <v>684.32465</v>
      </c>
    </row>
    <row r="16434">
      <c r="A16434" s="42">
        <f>_xlfn.XLOOKUP(83160,Trip[shape_id],Trip[shape_id],"Não encontrado")</f>
        <v/>
      </c>
      <c r="B16434" s="43" t="n">
        <v>-23.596387</v>
      </c>
      <c r="C16434" s="43" t="n">
        <v>-46.501759</v>
      </c>
      <c r="D16434" s="43" t="n">
        <v>43</v>
      </c>
      <c r="E16434" s="44" t="n">
        <v>719.59723</v>
      </c>
    </row>
    <row r="16435">
      <c r="A16435" s="39">
        <f>_xlfn.XLOOKUP(83160,Trip[shape_id],Trip[shape_id],"Não encontrado")</f>
        <v/>
      </c>
      <c r="B16435" s="40" t="n">
        <v>-23.59636</v>
      </c>
      <c r="C16435" s="40" t="n">
        <v>-46.501819</v>
      </c>
      <c r="D16435" s="40" t="n">
        <v>44</v>
      </c>
      <c r="E16435" s="41" t="n">
        <v>726.41272</v>
      </c>
    </row>
    <row r="16436">
      <c r="A16436" s="42">
        <f>_xlfn.XLOOKUP(83160,Trip[shape_id],Trip[shape_id],"Não encontrado")</f>
        <v/>
      </c>
      <c r="B16436" s="43" t="n">
        <v>-23.596254</v>
      </c>
      <c r="C16436" s="43" t="n">
        <v>-46.502126</v>
      </c>
      <c r="D16436" s="43" t="n">
        <v>45</v>
      </c>
      <c r="E16436" s="44" t="n">
        <v>759.87408</v>
      </c>
    </row>
    <row r="16437">
      <c r="A16437" s="39">
        <f>_xlfn.XLOOKUP(83160,Trip[shape_id],Trip[shape_id],"Não encontrado")</f>
        <v/>
      </c>
      <c r="B16437" s="40" t="n">
        <v>-23.596228</v>
      </c>
      <c r="C16437" s="40" t="n">
        <v>-46.502208</v>
      </c>
      <c r="D16437" s="40" t="n">
        <v>46</v>
      </c>
      <c r="E16437" s="41" t="n">
        <v>768.7251</v>
      </c>
    </row>
    <row r="16438">
      <c r="A16438" s="42">
        <f>_xlfn.XLOOKUP(83160,Trip[shape_id],Trip[shape_id],"Não encontrado")</f>
        <v/>
      </c>
      <c r="B16438" s="43" t="n">
        <v>-23.596219</v>
      </c>
      <c r="C16438" s="43" t="n">
        <v>-46.502242</v>
      </c>
      <c r="D16438" s="43" t="n">
        <v>47</v>
      </c>
      <c r="E16438" s="44" t="n">
        <v>772.33588</v>
      </c>
    </row>
    <row r="16439">
      <c r="A16439" s="39">
        <f>_xlfn.XLOOKUP(83160,Trip[shape_id],Trip[shape_id],"Não encontrado")</f>
        <v/>
      </c>
      <c r="B16439" s="40" t="n">
        <v>-23.596169</v>
      </c>
      <c r="C16439" s="40" t="n">
        <v>-46.502399</v>
      </c>
      <c r="D16439" s="40" t="n">
        <v>48</v>
      </c>
      <c r="E16439" s="41" t="n">
        <v>789.2902800000001</v>
      </c>
    </row>
    <row r="16440">
      <c r="A16440" s="42">
        <f>_xlfn.XLOOKUP(83160,Trip[shape_id],Trip[shape_id],"Não encontrado")</f>
        <v/>
      </c>
      <c r="B16440" s="43" t="n">
        <v>-23.596151</v>
      </c>
      <c r="C16440" s="43" t="n">
        <v>-46.502405</v>
      </c>
      <c r="D16440" s="43" t="n">
        <v>49</v>
      </c>
      <c r="E16440" s="44" t="n">
        <v>791.3757900000001</v>
      </c>
    </row>
    <row r="16441">
      <c r="A16441" s="39">
        <f>_xlfn.XLOOKUP(83160,Trip[shape_id],Trip[shape_id],"Não encontrado")</f>
        <v/>
      </c>
      <c r="B16441" s="40" t="n">
        <v>-23.596003</v>
      </c>
      <c r="C16441" s="40" t="n">
        <v>-46.502474</v>
      </c>
      <c r="D16441" s="40" t="n">
        <v>50</v>
      </c>
      <c r="E16441" s="41" t="n">
        <v>809.21619</v>
      </c>
    </row>
    <row r="16442">
      <c r="A16442" s="42">
        <f>_xlfn.XLOOKUP(83160,Trip[shape_id],Trip[shape_id],"Não encontrado")</f>
        <v/>
      </c>
      <c r="B16442" s="43" t="n">
        <v>-23.595722</v>
      </c>
      <c r="C16442" s="43" t="n">
        <v>-46.502617</v>
      </c>
      <c r="D16442" s="43" t="n">
        <v>51</v>
      </c>
      <c r="E16442" s="44" t="n">
        <v>843.59015</v>
      </c>
    </row>
    <row r="16443">
      <c r="A16443" s="39">
        <f>_xlfn.XLOOKUP(83160,Trip[shape_id],Trip[shape_id],"Não encontrado")</f>
        <v/>
      </c>
      <c r="B16443" s="40" t="n">
        <v>-23.595399</v>
      </c>
      <c r="C16443" s="40" t="n">
        <v>-46.502739</v>
      </c>
      <c r="D16443" s="40" t="n">
        <v>52</v>
      </c>
      <c r="E16443" s="41" t="n">
        <v>881.46851</v>
      </c>
    </row>
    <row r="16444">
      <c r="A16444" s="42">
        <f>_xlfn.XLOOKUP(83160,Trip[shape_id],Trip[shape_id],"Não encontrado")</f>
        <v/>
      </c>
      <c r="B16444" s="43" t="n">
        <v>-23.595262</v>
      </c>
      <c r="C16444" s="43" t="n">
        <v>-46.502765</v>
      </c>
      <c r="D16444" s="43" t="n">
        <v>53</v>
      </c>
      <c r="E16444" s="44" t="n">
        <v>896.87164</v>
      </c>
    </row>
    <row r="16445">
      <c r="A16445" s="39">
        <f>_xlfn.XLOOKUP(83160,Trip[shape_id],Trip[shape_id],"Não encontrado")</f>
        <v/>
      </c>
      <c r="B16445" s="40" t="n">
        <v>-23.59518</v>
      </c>
      <c r="C16445" s="40" t="n">
        <v>-46.502773</v>
      </c>
      <c r="D16445" s="40" t="n">
        <v>54</v>
      </c>
      <c r="E16445" s="41" t="n">
        <v>905.98987</v>
      </c>
    </row>
    <row r="16446">
      <c r="A16446" s="42">
        <f>_xlfn.XLOOKUP(83160,Trip[shape_id],Trip[shape_id],"Não encontrado")</f>
        <v/>
      </c>
      <c r="B16446" s="43" t="n">
        <v>-23.595008</v>
      </c>
      <c r="C16446" s="43" t="n">
        <v>-46.50277</v>
      </c>
      <c r="D16446" s="43" t="n">
        <v>55</v>
      </c>
      <c r="E16446" s="44" t="n">
        <v>925.04156</v>
      </c>
    </row>
    <row r="16447">
      <c r="A16447" s="39">
        <f>_xlfn.XLOOKUP(83160,Trip[shape_id],Trip[shape_id],"Não encontrado")</f>
        <v/>
      </c>
      <c r="B16447" s="40" t="n">
        <v>-23.594945</v>
      </c>
      <c r="C16447" s="40" t="n">
        <v>-46.502769</v>
      </c>
      <c r="D16447" s="40" t="n">
        <v>56</v>
      </c>
      <c r="E16447" s="41" t="n">
        <v>932.02014</v>
      </c>
    </row>
    <row r="16448">
      <c r="A16448" s="42">
        <f>_xlfn.XLOOKUP(83160,Trip[shape_id],Trip[shape_id],"Não encontrado")</f>
        <v/>
      </c>
      <c r="B16448" s="43" t="n">
        <v>-23.594845</v>
      </c>
      <c r="C16448" s="43" t="n">
        <v>-46.502767</v>
      </c>
      <c r="D16448" s="43" t="n">
        <v>57</v>
      </c>
      <c r="E16448" s="44" t="n">
        <v>943.09692</v>
      </c>
    </row>
    <row r="16449">
      <c r="A16449" s="39">
        <f>_xlfn.XLOOKUP(83160,Trip[shape_id],Trip[shape_id],"Não encontrado")</f>
        <v/>
      </c>
      <c r="B16449" s="40" t="n">
        <v>-23.594789</v>
      </c>
      <c r="C16449" s="40" t="n">
        <v>-46.502766</v>
      </c>
      <c r="D16449" s="40" t="n">
        <v>58</v>
      </c>
      <c r="E16449" s="41" t="n">
        <v>949.30011</v>
      </c>
    </row>
    <row r="16450">
      <c r="A16450" s="42">
        <f>_xlfn.XLOOKUP(83160,Trip[shape_id],Trip[shape_id],"Não encontrado")</f>
        <v/>
      </c>
      <c r="B16450" s="43" t="n">
        <v>-23.594741</v>
      </c>
      <c r="C16450" s="43" t="n">
        <v>-46.502765</v>
      </c>
      <c r="D16450" s="43" t="n">
        <v>59</v>
      </c>
      <c r="E16450" s="44" t="n">
        <v>954.61761</v>
      </c>
    </row>
    <row r="16451">
      <c r="A16451" s="39">
        <f>_xlfn.XLOOKUP(83160,Trip[shape_id],Trip[shape_id],"Não encontrado")</f>
        <v/>
      </c>
      <c r="B16451" s="40" t="n">
        <v>-23.594699</v>
      </c>
      <c r="C16451" s="40" t="n">
        <v>-46.502764</v>
      </c>
      <c r="D16451" s="40" t="n">
        <v>60</v>
      </c>
      <c r="E16451" s="41" t="n">
        <v>959.27026</v>
      </c>
    </row>
    <row r="16452">
      <c r="A16452" s="42">
        <f>_xlfn.XLOOKUP(83160,Trip[shape_id],Trip[shape_id],"Não encontrado")</f>
        <v/>
      </c>
      <c r="B16452" s="43" t="n">
        <v>-23.594682</v>
      </c>
      <c r="C16452" s="43" t="n">
        <v>-46.502766</v>
      </c>
      <c r="D16452" s="43" t="n">
        <v>61</v>
      </c>
      <c r="E16452" s="44" t="n">
        <v>961.16583</v>
      </c>
    </row>
    <row r="16453">
      <c r="A16453" s="39">
        <f>_xlfn.XLOOKUP(83160,Trip[shape_id],Trip[shape_id],"Não encontrado")</f>
        <v/>
      </c>
      <c r="B16453" s="40" t="n">
        <v>-23.594622</v>
      </c>
      <c r="C16453" s="40" t="n">
        <v>-46.502776</v>
      </c>
      <c r="D16453" s="40" t="n">
        <v>62</v>
      </c>
      <c r="E16453" s="41" t="n">
        <v>967.88922</v>
      </c>
    </row>
    <row r="16454">
      <c r="A16454" s="42">
        <f>_xlfn.XLOOKUP(83160,Trip[shape_id],Trip[shape_id],"Não encontrado")</f>
        <v/>
      </c>
      <c r="B16454" s="43" t="n">
        <v>-23.594561</v>
      </c>
      <c r="C16454" s="43" t="n">
        <v>-46.502811</v>
      </c>
      <c r="D16454" s="43" t="n">
        <v>63</v>
      </c>
      <c r="E16454" s="44" t="n">
        <v>975.53131</v>
      </c>
    </row>
    <row r="16455">
      <c r="A16455" s="39">
        <f>_xlfn.XLOOKUP(83160,Trip[shape_id],Trip[shape_id],"Não encontrado")</f>
        <v/>
      </c>
      <c r="B16455" s="40" t="n">
        <v>-23.594476</v>
      </c>
      <c r="C16455" s="40" t="n">
        <v>-46.502916</v>
      </c>
      <c r="D16455" s="40" t="n">
        <v>64</v>
      </c>
      <c r="E16455" s="41" t="n">
        <v>989.79596</v>
      </c>
    </row>
    <row r="16456">
      <c r="A16456" s="42">
        <f>_xlfn.XLOOKUP(83160,Trip[shape_id],Trip[shape_id],"Não encontrado")</f>
        <v/>
      </c>
      <c r="B16456" s="43" t="n">
        <v>-23.594457</v>
      </c>
      <c r="C16456" s="43" t="n">
        <v>-46.503</v>
      </c>
      <c r="D16456" s="43" t="n">
        <v>65</v>
      </c>
      <c r="E16456" s="44" t="n">
        <v>998.62372</v>
      </c>
    </row>
    <row r="16457">
      <c r="A16457" s="39">
        <f>_xlfn.XLOOKUP(83160,Trip[shape_id],Trip[shape_id],"Não encontrado")</f>
        <v/>
      </c>
      <c r="B16457" s="40" t="n">
        <v>-23.594474</v>
      </c>
      <c r="C16457" s="40" t="n">
        <v>-46.503071</v>
      </c>
      <c r="D16457" s="40" t="n">
        <v>66</v>
      </c>
      <c r="E16457" s="41" t="n">
        <v>1006.1108</v>
      </c>
    </row>
    <row r="16458">
      <c r="A16458" s="42">
        <f>_xlfn.XLOOKUP(83160,Trip[shape_id],Trip[shape_id],"Não encontrado")</f>
        <v/>
      </c>
      <c r="B16458" s="43" t="n">
        <v>-23.594504</v>
      </c>
      <c r="C16458" s="43" t="n">
        <v>-46.503127</v>
      </c>
      <c r="D16458" s="43" t="n">
        <v>67</v>
      </c>
      <c r="E16458" s="44" t="n">
        <v>1012.7222</v>
      </c>
    </row>
    <row r="16459">
      <c r="A16459" s="39">
        <f>_xlfn.XLOOKUP(83160,Trip[shape_id],Trip[shape_id],"Não encontrado")</f>
        <v/>
      </c>
      <c r="B16459" s="40" t="n">
        <v>-23.59456</v>
      </c>
      <c r="C16459" s="40" t="n">
        <v>-46.503171</v>
      </c>
      <c r="D16459" s="40" t="n">
        <v>68</v>
      </c>
      <c r="E16459" s="41" t="n">
        <v>1020.3799</v>
      </c>
    </row>
    <row r="16460">
      <c r="A16460" s="42">
        <f>_xlfn.XLOOKUP(83160,Trip[shape_id],Trip[shape_id],"Não encontrado")</f>
        <v/>
      </c>
      <c r="B16460" s="43" t="n">
        <v>-23.594701</v>
      </c>
      <c r="C16460" s="43" t="n">
        <v>-46.503264</v>
      </c>
      <c r="D16460" s="43" t="n">
        <v>69</v>
      </c>
      <c r="E16460" s="44" t="n">
        <v>1038.6544</v>
      </c>
    </row>
    <row r="16461">
      <c r="A16461" s="39">
        <f>_xlfn.XLOOKUP(83160,Trip[shape_id],Trip[shape_id],"Não encontrado")</f>
        <v/>
      </c>
      <c r="B16461" s="40" t="n">
        <v>-23.594955</v>
      </c>
      <c r="C16461" s="40" t="n">
        <v>-46.503476</v>
      </c>
      <c r="D16461" s="40" t="n">
        <v>70</v>
      </c>
      <c r="E16461" s="41" t="n">
        <v>1074.145</v>
      </c>
    </row>
    <row r="16462">
      <c r="A16462" s="42">
        <f>_xlfn.XLOOKUP(83160,Trip[shape_id],Trip[shape_id],"Não encontrado")</f>
        <v/>
      </c>
      <c r="B16462" s="43" t="n">
        <v>-23.59488</v>
      </c>
      <c r="C16462" s="43" t="n">
        <v>-46.503648</v>
      </c>
      <c r="D16462" s="43" t="n">
        <v>71</v>
      </c>
      <c r="E16462" s="44" t="n">
        <v>1093.5668</v>
      </c>
    </row>
    <row r="16463">
      <c r="A16463" s="39">
        <f>_xlfn.XLOOKUP(83160,Trip[shape_id],Trip[shape_id],"Não encontrado")</f>
        <v/>
      </c>
      <c r="B16463" s="40" t="n">
        <v>-23.594714</v>
      </c>
      <c r="C16463" s="40" t="n">
        <v>-46.504018</v>
      </c>
      <c r="D16463" s="40" t="n">
        <v>72</v>
      </c>
      <c r="E16463" s="41" t="n">
        <v>1135.5692</v>
      </c>
    </row>
    <row r="16464">
      <c r="A16464" s="42">
        <f>_xlfn.XLOOKUP(83160,Trip[shape_id],Trip[shape_id],"Não encontrado")</f>
        <v/>
      </c>
      <c r="B16464" s="43" t="n">
        <v>-23.594605</v>
      </c>
      <c r="C16464" s="43" t="n">
        <v>-46.504264</v>
      </c>
      <c r="D16464" s="43" t="n">
        <v>73</v>
      </c>
      <c r="E16464" s="44" t="n">
        <v>1163.4293</v>
      </c>
    </row>
    <row r="16465">
      <c r="A16465" s="39">
        <f>_xlfn.XLOOKUP(83160,Trip[shape_id],Trip[shape_id],"Não encontrado")</f>
        <v/>
      </c>
      <c r="B16465" s="40" t="n">
        <v>-23.594371</v>
      </c>
      <c r="C16465" s="40" t="n">
        <v>-46.504801</v>
      </c>
      <c r="D16465" s="40" t="n">
        <v>74</v>
      </c>
      <c r="E16465" s="41" t="n">
        <v>1224.0581</v>
      </c>
    </row>
    <row r="16466">
      <c r="A16466" s="42">
        <f>_xlfn.XLOOKUP(83160,Trip[shape_id],Trip[shape_id],"Não encontrado")</f>
        <v/>
      </c>
      <c r="B16466" s="43" t="n">
        <v>-23.59422</v>
      </c>
      <c r="C16466" s="43" t="n">
        <v>-46.505135</v>
      </c>
      <c r="D16466" s="43" t="n">
        <v>75</v>
      </c>
      <c r="E16466" s="44" t="n">
        <v>1262.0299</v>
      </c>
    </row>
    <row r="16467">
      <c r="A16467" s="39">
        <f>_xlfn.XLOOKUP(83160,Trip[shape_id],Trip[shape_id],"Não encontrado")</f>
        <v/>
      </c>
      <c r="B16467" s="40" t="n">
        <v>-23.594615</v>
      </c>
      <c r="C16467" s="40" t="n">
        <v>-46.505366</v>
      </c>
      <c r="D16467" s="40" t="n">
        <v>76</v>
      </c>
      <c r="E16467" s="41" t="n">
        <v>1311.7263</v>
      </c>
    </row>
    <row r="16468">
      <c r="A16468" s="42">
        <f>_xlfn.XLOOKUP(83160,Trip[shape_id],Trip[shape_id],"Não encontrado")</f>
        <v/>
      </c>
      <c r="B16468" s="43" t="n">
        <v>-23.594828</v>
      </c>
      <c r="C16468" s="43" t="n">
        <v>-46.505486</v>
      </c>
      <c r="D16468" s="43" t="n">
        <v>77</v>
      </c>
      <c r="E16468" s="44" t="n">
        <v>1338.3066</v>
      </c>
    </row>
    <row r="16469">
      <c r="A16469" s="39">
        <f>_xlfn.XLOOKUP(83160,Trip[shape_id],Trip[shape_id],"Não encontrado")</f>
        <v/>
      </c>
      <c r="B16469" s="40" t="n">
        <v>-23.594988</v>
      </c>
      <c r="C16469" s="40" t="n">
        <v>-46.505576</v>
      </c>
      <c r="D16469" s="40" t="n">
        <v>78</v>
      </c>
      <c r="E16469" s="41" t="n">
        <v>1358.2666</v>
      </c>
    </row>
    <row r="16470">
      <c r="A16470" s="42">
        <f>_xlfn.XLOOKUP(83160,Trip[shape_id],Trip[shape_id],"Não encontrado")</f>
        <v/>
      </c>
      <c r="B16470" s="43" t="n">
        <v>-23.595216</v>
      </c>
      <c r="C16470" s="43" t="n">
        <v>-46.505706</v>
      </c>
      <c r="D16470" s="43" t="n">
        <v>79</v>
      </c>
      <c r="E16470" s="44" t="n">
        <v>1386.7921</v>
      </c>
    </row>
    <row r="16471">
      <c r="A16471" s="39">
        <f>_xlfn.XLOOKUP(83160,Trip[shape_id],Trip[shape_id],"Não encontrado")</f>
        <v/>
      </c>
      <c r="B16471" s="40" t="n">
        <v>-23.595355</v>
      </c>
      <c r="C16471" s="40" t="n">
        <v>-46.50578</v>
      </c>
      <c r="D16471" s="40" t="n">
        <v>80</v>
      </c>
      <c r="E16471" s="41" t="n">
        <v>1403.9396</v>
      </c>
    </row>
    <row r="16472">
      <c r="A16472" s="42">
        <f>_xlfn.XLOOKUP(83160,Trip[shape_id],Trip[shape_id],"Não encontrado")</f>
        <v/>
      </c>
      <c r="B16472" s="43" t="n">
        <v>-23.595727</v>
      </c>
      <c r="C16472" s="43" t="n">
        <v>-46.505989</v>
      </c>
      <c r="D16472" s="43" t="n">
        <v>81</v>
      </c>
      <c r="E16472" s="44" t="n">
        <v>1450.3346</v>
      </c>
    </row>
    <row r="16473">
      <c r="A16473" s="39">
        <f>_xlfn.XLOOKUP(83160,Trip[shape_id],Trip[shape_id],"Não encontrado")</f>
        <v/>
      </c>
      <c r="B16473" s="40" t="n">
        <v>-23.596104</v>
      </c>
      <c r="C16473" s="40" t="n">
        <v>-46.506191</v>
      </c>
      <c r="D16473" s="40" t="n">
        <v>82</v>
      </c>
      <c r="E16473" s="41" t="n">
        <v>1496.9012</v>
      </c>
    </row>
    <row r="16474">
      <c r="A16474" s="42">
        <f>_xlfn.XLOOKUP(83160,Trip[shape_id],Trip[shape_id],"Não encontrado")</f>
        <v/>
      </c>
      <c r="B16474" s="43" t="n">
        <v>-23.596177</v>
      </c>
      <c r="C16474" s="43" t="n">
        <v>-46.506245</v>
      </c>
      <c r="D16474" s="43" t="n">
        <v>83</v>
      </c>
      <c r="E16474" s="44" t="n">
        <v>1506.6859</v>
      </c>
    </row>
    <row r="16475">
      <c r="A16475" s="39">
        <f>_xlfn.XLOOKUP(83160,Trip[shape_id],Trip[shape_id],"Não encontrado")</f>
        <v/>
      </c>
      <c r="B16475" s="40" t="n">
        <v>-23.596235</v>
      </c>
      <c r="C16475" s="40" t="n">
        <v>-46.506336</v>
      </c>
      <c r="D16475" s="40" t="n">
        <v>84</v>
      </c>
      <c r="E16475" s="41" t="n">
        <v>1517.9788</v>
      </c>
    </row>
    <row r="16476">
      <c r="A16476" s="42">
        <f>_xlfn.XLOOKUP(83160,Trip[shape_id],Trip[shape_id],"Não encontrado")</f>
        <v/>
      </c>
      <c r="B16476" s="43" t="n">
        <v>-23.59631</v>
      </c>
      <c r="C16476" s="43" t="n">
        <v>-46.506527</v>
      </c>
      <c r="D16476" s="43" t="n">
        <v>85</v>
      </c>
      <c r="E16476" s="44" t="n">
        <v>1539.1692</v>
      </c>
    </row>
    <row r="16477">
      <c r="A16477" s="39">
        <f>_xlfn.XLOOKUP(83160,Trip[shape_id],Trip[shape_id],"Não encontrado")</f>
        <v/>
      </c>
      <c r="B16477" s="40" t="n">
        <v>-23.596245</v>
      </c>
      <c r="C16477" s="40" t="n">
        <v>-46.506739</v>
      </c>
      <c r="D16477" s="40" t="n">
        <v>86</v>
      </c>
      <c r="E16477" s="41" t="n">
        <v>1561.9735</v>
      </c>
    </row>
    <row r="16478">
      <c r="A16478" s="42">
        <f>_xlfn.XLOOKUP(83160,Trip[shape_id],Trip[shape_id],"Não encontrado")</f>
        <v/>
      </c>
      <c r="B16478" s="43" t="n">
        <v>-23.596248</v>
      </c>
      <c r="C16478" s="43" t="n">
        <v>-46.506786</v>
      </c>
      <c r="D16478" s="43" t="n">
        <v>87</v>
      </c>
      <c r="E16478" s="44" t="n">
        <v>1566.7822</v>
      </c>
    </row>
    <row r="16479">
      <c r="A16479" s="39">
        <f>_xlfn.XLOOKUP(83160,Trip[shape_id],Trip[shape_id],"Não encontrado")</f>
        <v/>
      </c>
      <c r="B16479" s="40" t="n">
        <v>-23.596194</v>
      </c>
      <c r="C16479" s="40" t="n">
        <v>-46.506782</v>
      </c>
      <c r="D16479" s="40" t="n">
        <v>88</v>
      </c>
      <c r="E16479" s="41" t="n">
        <v>1576.2328</v>
      </c>
    </row>
    <row r="16480">
      <c r="A16480" s="42">
        <f>_xlfn.XLOOKUP(83160,Trip[shape_id],Trip[shape_id],"Não encontrado")</f>
        <v/>
      </c>
      <c r="B16480" s="43" t="n">
        <v>-23.596163</v>
      </c>
      <c r="C16480" s="43" t="n">
        <v>-46.506786</v>
      </c>
      <c r="D16480" s="43" t="n">
        <v>89</v>
      </c>
      <c r="E16480" s="44" t="n">
        <v>1580.4341</v>
      </c>
    </row>
    <row r="16481">
      <c r="A16481" s="39">
        <f>_xlfn.XLOOKUP(83160,Trip[shape_id],Trip[shape_id],"Não encontrado")</f>
        <v/>
      </c>
      <c r="B16481" s="40" t="n">
        <v>-23.596127</v>
      </c>
      <c r="C16481" s="40" t="n">
        <v>-46.506799</v>
      </c>
      <c r="D16481" s="40" t="n">
        <v>90</v>
      </c>
      <c r="E16481" s="41" t="n">
        <v>1582.9178</v>
      </c>
    </row>
    <row r="16482">
      <c r="A16482" s="42">
        <f>_xlfn.XLOOKUP(83160,Trip[shape_id],Trip[shape_id],"Não encontrado")</f>
        <v/>
      </c>
      <c r="B16482" s="43" t="n">
        <v>-23.596107</v>
      </c>
      <c r="C16482" s="43" t="n">
        <v>-46.50681</v>
      </c>
      <c r="D16482" s="43" t="n">
        <v>91</v>
      </c>
      <c r="E16482" s="44" t="n">
        <v>1585.5533</v>
      </c>
    </row>
    <row r="16483">
      <c r="A16483" s="39">
        <f>_xlfn.XLOOKUP(83160,Trip[shape_id],Trip[shape_id],"Não encontrado")</f>
        <v/>
      </c>
      <c r="B16483" s="40" t="n">
        <v>-23.596087</v>
      </c>
      <c r="C16483" s="40" t="n">
        <v>-46.506824</v>
      </c>
      <c r="D16483" s="40" t="n">
        <v>92</v>
      </c>
      <c r="E16483" s="41" t="n">
        <v>1588.2823</v>
      </c>
    </row>
    <row r="16484">
      <c r="A16484" s="42">
        <f>_xlfn.XLOOKUP(83160,Trip[shape_id],Trip[shape_id],"Não encontrado")</f>
        <v/>
      </c>
      <c r="B16484" s="43" t="n">
        <v>-23.596073</v>
      </c>
      <c r="C16484" s="43" t="n">
        <v>-46.506846</v>
      </c>
      <c r="D16484" s="43" t="n">
        <v>93</v>
      </c>
      <c r="E16484" s="44" t="n">
        <v>1593.979</v>
      </c>
    </row>
    <row r="16485">
      <c r="A16485" s="39">
        <f>_xlfn.XLOOKUP(83160,Trip[shape_id],Trip[shape_id],"Não encontrado")</f>
        <v/>
      </c>
      <c r="B16485" s="40" t="n">
        <v>-23.59606</v>
      </c>
      <c r="C16485" s="40" t="n">
        <v>-46.5069</v>
      </c>
      <c r="D16485" s="40" t="n">
        <v>94</v>
      </c>
      <c r="E16485" s="41" t="n">
        <v>1597.8583</v>
      </c>
    </row>
    <row r="16486">
      <c r="A16486" s="42">
        <f>_xlfn.XLOOKUP(83160,Trip[shape_id],Trip[shape_id],"Não encontrado")</f>
        <v/>
      </c>
      <c r="B16486" s="43" t="n">
        <v>-23.596061</v>
      </c>
      <c r="C16486" s="43" t="n">
        <v>-46.506938</v>
      </c>
      <c r="D16486" s="43" t="n">
        <v>95</v>
      </c>
      <c r="E16486" s="44" t="n">
        <v>1601.7539</v>
      </c>
    </row>
    <row r="16487">
      <c r="A16487" s="39">
        <f>_xlfn.XLOOKUP(83160,Trip[shape_id],Trip[shape_id],"Não encontrado")</f>
        <v/>
      </c>
      <c r="B16487" s="40" t="n">
        <v>-23.596077</v>
      </c>
      <c r="C16487" s="40" t="n">
        <v>-46.506972</v>
      </c>
      <c r="D16487" s="40" t="n">
        <v>96</v>
      </c>
      <c r="E16487" s="41" t="n">
        <v>1608.7524</v>
      </c>
    </row>
    <row r="16488">
      <c r="A16488" s="42">
        <f>_xlfn.XLOOKUP(83160,Trip[shape_id],Trip[shape_id],"Não encontrado")</f>
        <v/>
      </c>
      <c r="B16488" s="43" t="n">
        <v>-23.596104</v>
      </c>
      <c r="C16488" s="43" t="n">
        <v>-46.507034</v>
      </c>
      <c r="D16488" s="43" t="n">
        <v>97</v>
      </c>
      <c r="E16488" s="44" t="n">
        <v>1608.7524</v>
      </c>
    </row>
    <row r="16489">
      <c r="A16489" s="39">
        <f>_xlfn.XLOOKUP(83160,Trip[shape_id],Trip[shape_id],"Não encontrado")</f>
        <v/>
      </c>
      <c r="B16489" s="40" t="n">
        <v>-23.596151</v>
      </c>
      <c r="C16489" s="40" t="n">
        <v>-46.507057</v>
      </c>
      <c r="D16489" s="40" t="n">
        <v>98</v>
      </c>
      <c r="E16489" s="41" t="n">
        <v>1620.7743</v>
      </c>
    </row>
    <row r="16490">
      <c r="A16490" s="42">
        <f>_xlfn.XLOOKUP(83160,Trip[shape_id],Trip[shape_id],"Não encontrado")</f>
        <v/>
      </c>
      <c r="B16490" s="43" t="n">
        <v>-23.596208</v>
      </c>
      <c r="C16490" s="43" t="n">
        <v>-46.507057</v>
      </c>
      <c r="D16490" s="43" t="n">
        <v>99</v>
      </c>
      <c r="E16490" s="44" t="n">
        <v>1626.4259</v>
      </c>
    </row>
    <row r="16491">
      <c r="A16491" s="39">
        <f>_xlfn.XLOOKUP(83160,Trip[shape_id],Trip[shape_id],"Não encontrado")</f>
        <v/>
      </c>
      <c r="B16491" s="40" t="n">
        <v>-23.596259</v>
      </c>
      <c r="C16491" s="40" t="n">
        <v>-46.507055</v>
      </c>
      <c r="D16491" s="40" t="n">
        <v>100</v>
      </c>
      <c r="E16491" s="41" t="n">
        <v>1630.9711</v>
      </c>
    </row>
    <row r="16492">
      <c r="A16492" s="42">
        <f>_xlfn.XLOOKUP(83160,Trip[shape_id],Trip[shape_id],"Não encontrado")</f>
        <v/>
      </c>
      <c r="B16492" s="43" t="n">
        <v>-23.5963</v>
      </c>
      <c r="C16492" s="43" t="n">
        <v>-46.507053</v>
      </c>
      <c r="D16492" s="43" t="n">
        <v>101</v>
      </c>
      <c r="E16492" s="44" t="n">
        <v>1637.8381</v>
      </c>
    </row>
    <row r="16493">
      <c r="A16493" s="39">
        <f>_xlfn.XLOOKUP(83160,Trip[shape_id],Trip[shape_id],"Não encontrado")</f>
        <v/>
      </c>
      <c r="B16493" s="40" t="n">
        <v>-23.596362</v>
      </c>
      <c r="C16493" s="40" t="n">
        <v>-46.507053</v>
      </c>
      <c r="D16493" s="40" t="n">
        <v>102</v>
      </c>
      <c r="E16493" s="41" t="n">
        <v>1644.1721</v>
      </c>
    </row>
    <row r="16494">
      <c r="A16494" s="42">
        <f>_xlfn.XLOOKUP(83160,Trip[shape_id],Trip[shape_id],"Não encontrado")</f>
        <v/>
      </c>
      <c r="B16494" s="43" t="n">
        <v>-23.596411</v>
      </c>
      <c r="C16494" s="43" t="n">
        <v>-46.507085</v>
      </c>
      <c r="D16494" s="43" t="n">
        <v>103</v>
      </c>
      <c r="E16494" s="44" t="n">
        <v>1652.5775</v>
      </c>
    </row>
    <row r="16495">
      <c r="A16495" s="39">
        <f>_xlfn.XLOOKUP(83160,Trip[shape_id],Trip[shape_id],"Não encontrado")</f>
        <v/>
      </c>
      <c r="B16495" s="40" t="n">
        <v>-23.596472</v>
      </c>
      <c r="C16495" s="40" t="n">
        <v>-46.507134</v>
      </c>
      <c r="D16495" s="40" t="n">
        <v>104</v>
      </c>
      <c r="E16495" s="41" t="n">
        <v>1657.8878</v>
      </c>
    </row>
    <row r="16496">
      <c r="A16496" s="42">
        <f>_xlfn.XLOOKUP(83160,Trip[shape_id],Trip[shape_id],"Não encontrado")</f>
        <v/>
      </c>
      <c r="B16496" s="43" t="n">
        <v>-23.596515</v>
      </c>
      <c r="C16496" s="43" t="n">
        <v>-46.507157</v>
      </c>
      <c r="D16496" s="43" t="n">
        <v>105</v>
      </c>
      <c r="E16496" s="44" t="n">
        <v>1671.1572</v>
      </c>
    </row>
    <row r="16497">
      <c r="A16497" s="39">
        <f>_xlfn.XLOOKUP(83160,Trip[shape_id],Trip[shape_id],"Não encontrado")</f>
        <v/>
      </c>
      <c r="B16497" s="40" t="n">
        <v>-23.596632</v>
      </c>
      <c r="C16497" s="40" t="n">
        <v>-46.507185</v>
      </c>
      <c r="D16497" s="40" t="n">
        <v>106</v>
      </c>
      <c r="E16497" s="41" t="n">
        <v>1671.1572</v>
      </c>
    </row>
    <row r="16498">
      <c r="A16498" s="42">
        <f>_xlfn.XLOOKUP(83160,Trip[shape_id],Trip[shape_id],"Não encontrado")</f>
        <v/>
      </c>
      <c r="B16498" s="43" t="n">
        <v>-23.596671</v>
      </c>
      <c r="C16498" s="43" t="n">
        <v>-46.507191</v>
      </c>
      <c r="D16498" s="43" t="n">
        <v>107</v>
      </c>
      <c r="E16498" s="44" t="n">
        <v>1675.5192</v>
      </c>
    </row>
    <row r="16499">
      <c r="A16499" s="39">
        <f>_xlfn.XLOOKUP(83160,Trip[shape_id],Trip[shape_id],"Não encontrado")</f>
        <v/>
      </c>
      <c r="B16499" s="40" t="n">
        <v>-23.596881</v>
      </c>
      <c r="C16499" s="40" t="n">
        <v>-46.507232</v>
      </c>
      <c r="D16499" s="40" t="n">
        <v>108</v>
      </c>
      <c r="E16499" s="41" t="n">
        <v>1699.1505</v>
      </c>
    </row>
    <row r="16500">
      <c r="A16500" s="42">
        <f>_xlfn.XLOOKUP(83160,Trip[shape_id],Trip[shape_id],"Não encontrado")</f>
        <v/>
      </c>
      <c r="B16500" s="43" t="n">
        <v>-23.59725</v>
      </c>
      <c r="C16500" s="43" t="n">
        <v>-46.507306</v>
      </c>
      <c r="D16500" s="43" t="n">
        <v>109</v>
      </c>
      <c r="E16500" s="44" t="n">
        <v>1740.7103</v>
      </c>
    </row>
    <row r="16501">
      <c r="A16501" s="39">
        <f>_xlfn.XLOOKUP(83160,Trip[shape_id],Trip[shape_id],"Não encontrado")</f>
        <v/>
      </c>
      <c r="B16501" s="40" t="n">
        <v>-23.597343</v>
      </c>
      <c r="C16501" s="40" t="n">
        <v>-46.507336</v>
      </c>
      <c r="D16501" s="40" t="n">
        <v>110</v>
      </c>
      <c r="E16501" s="41" t="n">
        <v>1751.4562</v>
      </c>
    </row>
    <row r="16502">
      <c r="A16502" s="42">
        <f>_xlfn.XLOOKUP(83160,Trip[shape_id],Trip[shape_id],"Não encontrado")</f>
        <v/>
      </c>
      <c r="B16502" s="43" t="n">
        <v>-23.597396</v>
      </c>
      <c r="C16502" s="43" t="n">
        <v>-46.507368</v>
      </c>
      <c r="D16502" s="43" t="n">
        <v>111</v>
      </c>
      <c r="E16502" s="44" t="n">
        <v>1758.1729</v>
      </c>
    </row>
    <row r="16503">
      <c r="A16503" s="39">
        <f>_xlfn.XLOOKUP(83160,Trip[shape_id],Trip[shape_id],"Não encontrado")</f>
        <v/>
      </c>
      <c r="B16503" s="40" t="n">
        <v>-23.597423</v>
      </c>
      <c r="C16503" s="40" t="n">
        <v>-46.507381</v>
      </c>
      <c r="D16503" s="40" t="n">
        <v>112</v>
      </c>
      <c r="E16503" s="41" t="n">
        <v>1761.4437</v>
      </c>
    </row>
    <row r="16504">
      <c r="A16504" s="42">
        <f>_xlfn.XLOOKUP(83160,Trip[shape_id],Trip[shape_id],"Não encontrado")</f>
        <v/>
      </c>
      <c r="B16504" s="43" t="n">
        <v>-23.597464</v>
      </c>
      <c r="C16504" s="43" t="n">
        <v>-46.507431</v>
      </c>
      <c r="D16504" s="43" t="n">
        <v>113</v>
      </c>
      <c r="E16504" s="44" t="n">
        <v>1768.2742</v>
      </c>
    </row>
    <row r="16505">
      <c r="A16505" s="39">
        <f>_xlfn.XLOOKUP(83160,Trip[shape_id],Trip[shape_id],"Não encontrado")</f>
        <v/>
      </c>
      <c r="B16505" s="40" t="n">
        <v>-23.597483</v>
      </c>
      <c r="C16505" s="40" t="n">
        <v>-46.507463</v>
      </c>
      <c r="D16505" s="40" t="n">
        <v>114</v>
      </c>
      <c r="E16505" s="41" t="n">
        <v>1772.1595</v>
      </c>
    </row>
    <row r="16506">
      <c r="A16506" s="42">
        <f>_xlfn.XLOOKUP(83160,Trip[shape_id],Trip[shape_id],"Não encontrado")</f>
        <v/>
      </c>
      <c r="B16506" s="43" t="n">
        <v>-23.597502</v>
      </c>
      <c r="C16506" s="43" t="n">
        <v>-46.507526</v>
      </c>
      <c r="D16506" s="43" t="n">
        <v>115</v>
      </c>
      <c r="E16506" s="44" t="n">
        <v>1778.925</v>
      </c>
    </row>
    <row r="16507">
      <c r="A16507" s="39">
        <f>_xlfn.XLOOKUP(83160,Trip[shape_id],Trip[shape_id],"Não encontrado")</f>
        <v/>
      </c>
      <c r="B16507" s="40" t="n">
        <v>-23.5975</v>
      </c>
      <c r="C16507" s="40" t="n">
        <v>-46.507608</v>
      </c>
      <c r="D16507" s="40" t="n">
        <v>116</v>
      </c>
      <c r="E16507" s="41" t="n">
        <v>1787.2974</v>
      </c>
    </row>
    <row r="16508">
      <c r="A16508" s="42">
        <f>_xlfn.XLOOKUP(83160,Trip[shape_id],Trip[shape_id],"Não encontrado")</f>
        <v/>
      </c>
      <c r="B16508" s="43" t="n">
        <v>-23.597503</v>
      </c>
      <c r="C16508" s="43" t="n">
        <v>-46.507701</v>
      </c>
      <c r="D16508" s="43" t="n">
        <v>117</v>
      </c>
      <c r="E16508" s="44" t="n">
        <v>1796.7948</v>
      </c>
    </row>
    <row r="16509">
      <c r="A16509" s="39">
        <f>_xlfn.XLOOKUP(83160,Trip[shape_id],Trip[shape_id],"Não encontrado")</f>
        <v/>
      </c>
      <c r="B16509" s="40" t="n">
        <v>-23.59747</v>
      </c>
      <c r="C16509" s="40" t="n">
        <v>-46.508068</v>
      </c>
      <c r="D16509" s="40" t="n">
        <v>118</v>
      </c>
      <c r="E16509" s="41" t="n">
        <v>1834.4308</v>
      </c>
    </row>
    <row r="16510">
      <c r="A16510" s="42">
        <f>_xlfn.XLOOKUP(83160,Trip[shape_id],Trip[shape_id],"Não encontrado")</f>
        <v/>
      </c>
      <c r="B16510" s="43" t="n">
        <v>-23.597418</v>
      </c>
      <c r="C16510" s="43" t="n">
        <v>-46.508712</v>
      </c>
      <c r="D16510" s="43" t="n">
        <v>119</v>
      </c>
      <c r="E16510" s="44" t="n">
        <v>1900.413</v>
      </c>
    </row>
    <row r="16511">
      <c r="A16511" s="39">
        <f>_xlfn.XLOOKUP(83160,Trip[shape_id],Trip[shape_id],"Não encontrado")</f>
        <v/>
      </c>
      <c r="B16511" s="40" t="n">
        <v>-23.59736</v>
      </c>
      <c r="C16511" s="40" t="n">
        <v>-46.509304</v>
      </c>
      <c r="D16511" s="40" t="n">
        <v>120</v>
      </c>
      <c r="E16511" s="41" t="n">
        <v>1961.1765</v>
      </c>
    </row>
    <row r="16512">
      <c r="A16512" s="42">
        <f>_xlfn.XLOOKUP(83160,Trip[shape_id],Trip[shape_id],"Não encontrado")</f>
        <v/>
      </c>
      <c r="B16512" s="43" t="n">
        <v>-23.597316</v>
      </c>
      <c r="C16512" s="43" t="n">
        <v>-46.509801</v>
      </c>
      <c r="D16512" s="43" t="n">
        <v>121</v>
      </c>
      <c r="E16512" s="44" t="n">
        <v>2012.1368</v>
      </c>
    </row>
    <row r="16513">
      <c r="A16513" s="39">
        <f>_xlfn.XLOOKUP(83160,Trip[shape_id],Trip[shape_id],"Não encontrado")</f>
        <v/>
      </c>
      <c r="B16513" s="40" t="n">
        <v>-23.597321</v>
      </c>
      <c r="C16513" s="40" t="n">
        <v>-46.510039</v>
      </c>
      <c r="D16513" s="40" t="n">
        <v>122</v>
      </c>
      <c r="E16513" s="41" t="n">
        <v>2036.4348</v>
      </c>
    </row>
    <row r="16514">
      <c r="A16514" s="42">
        <f>_xlfn.XLOOKUP(83160,Trip[shape_id],Trip[shape_id],"Não encontrado")</f>
        <v/>
      </c>
      <c r="B16514" s="43" t="n">
        <v>-23.597499</v>
      </c>
      <c r="C16514" s="43" t="n">
        <v>-46.510179</v>
      </c>
      <c r="D16514" s="43" t="n">
        <v>123</v>
      </c>
      <c r="E16514" s="44" t="n">
        <v>2060.7827</v>
      </c>
    </row>
    <row r="16515">
      <c r="A16515" s="39">
        <f>_xlfn.XLOOKUP(83160,Trip[shape_id],Trip[shape_id],"Não encontrado")</f>
        <v/>
      </c>
      <c r="B16515" s="40" t="n">
        <v>-23.5978</v>
      </c>
      <c r="C16515" s="40" t="n">
        <v>-46.510415</v>
      </c>
      <c r="D16515" s="40" t="n">
        <v>124</v>
      </c>
      <c r="E16515" s="41" t="n">
        <v>2101.9111</v>
      </c>
    </row>
    <row r="16516">
      <c r="A16516" s="42">
        <f>_xlfn.XLOOKUP(83160,Trip[shape_id],Trip[shape_id],"Não encontrado")</f>
        <v/>
      </c>
      <c r="B16516" s="43" t="n">
        <v>-23.59796</v>
      </c>
      <c r="C16516" s="43" t="n">
        <v>-46.510545</v>
      </c>
      <c r="D16516" s="43" t="n">
        <v>125</v>
      </c>
      <c r="E16516" s="44" t="n">
        <v>2124.0486</v>
      </c>
    </row>
    <row r="16517">
      <c r="A16517" s="39">
        <f>_xlfn.XLOOKUP(83160,Trip[shape_id],Trip[shape_id],"Não encontrado")</f>
        <v/>
      </c>
      <c r="B16517" s="40" t="n">
        <v>-23.598009</v>
      </c>
      <c r="C16517" s="40" t="n">
        <v>-46.510617</v>
      </c>
      <c r="D16517" s="40" t="n">
        <v>126</v>
      </c>
      <c r="E16517" s="41" t="n">
        <v>2133.1843</v>
      </c>
    </row>
    <row r="16518">
      <c r="A16518" s="42">
        <f>_xlfn.XLOOKUP(83160,Trip[shape_id],Trip[shape_id],"Não encontrado")</f>
        <v/>
      </c>
      <c r="B16518" s="43" t="n">
        <v>-23.598055</v>
      </c>
      <c r="C16518" s="43" t="n">
        <v>-46.51075</v>
      </c>
      <c r="D16518" s="43" t="n">
        <v>127</v>
      </c>
      <c r="E16518" s="44" t="n">
        <v>2147.6836</v>
      </c>
    </row>
    <row r="16519">
      <c r="A16519" s="39">
        <f>_xlfn.XLOOKUP(83160,Trip[shape_id],Trip[shape_id],"Não encontrado")</f>
        <v/>
      </c>
      <c r="B16519" s="40" t="n">
        <v>-23.5981</v>
      </c>
      <c r="C16519" s="40" t="n">
        <v>-46.511239</v>
      </c>
      <c r="D16519" s="40" t="n">
        <v>128</v>
      </c>
      <c r="E16519" s="41" t="n">
        <v>2197.8418</v>
      </c>
    </row>
    <row r="16520">
      <c r="A16520" s="42">
        <f>_xlfn.XLOOKUP(83160,Trip[shape_id],Trip[shape_id],"Não encontrado")</f>
        <v/>
      </c>
      <c r="B16520" s="43" t="n">
        <v>-23.598172</v>
      </c>
      <c r="C16520" s="43" t="n">
        <v>-46.512153</v>
      </c>
      <c r="D16520" s="43" t="n">
        <v>129</v>
      </c>
      <c r="E16520" s="44" t="n">
        <v>2291.4697</v>
      </c>
    </row>
    <row r="16521">
      <c r="A16521" s="39">
        <f>_xlfn.XLOOKUP(83160,Trip[shape_id],Trip[shape_id],"Não encontrado")</f>
        <v/>
      </c>
      <c r="B16521" s="40" t="n">
        <v>-23.598229</v>
      </c>
      <c r="C16521" s="40" t="n">
        <v>-46.512753</v>
      </c>
      <c r="D16521" s="40" t="n">
        <v>130</v>
      </c>
      <c r="E16521" s="41" t="n">
        <v>2353.0332</v>
      </c>
    </row>
    <row r="16522">
      <c r="A16522" s="42">
        <f>_xlfn.XLOOKUP(83160,Trip[shape_id],Trip[shape_id],"Não encontrado")</f>
        <v/>
      </c>
      <c r="B16522" s="43" t="n">
        <v>-23.598266</v>
      </c>
      <c r="C16522" s="43" t="n">
        <v>-46.512821</v>
      </c>
      <c r="D16522" s="43" t="n">
        <v>131</v>
      </c>
      <c r="E16522" s="44" t="n">
        <v>2361.093</v>
      </c>
    </row>
    <row r="16523">
      <c r="A16523" s="39">
        <f>_xlfn.XLOOKUP(83160,Trip[shape_id],Trip[shape_id],"Não encontrado")</f>
        <v/>
      </c>
      <c r="B16523" s="40" t="n">
        <v>-23.598313</v>
      </c>
      <c r="C16523" s="40" t="n">
        <v>-46.512867</v>
      </c>
      <c r="D16523" s="40" t="n">
        <v>132</v>
      </c>
      <c r="E16523" s="41" t="n">
        <v>2368.1023</v>
      </c>
    </row>
    <row r="16524">
      <c r="A16524" s="42">
        <f>_xlfn.XLOOKUP(83160,Trip[shape_id],Trip[shape_id],"Não encontrado")</f>
        <v/>
      </c>
      <c r="B16524" s="43" t="n">
        <v>-23.598369</v>
      </c>
      <c r="C16524" s="43" t="n">
        <v>-46.512901</v>
      </c>
      <c r="D16524" s="43" t="n">
        <v>133</v>
      </c>
      <c r="E16524" s="44" t="n">
        <v>2375.2095</v>
      </c>
    </row>
    <row r="16525">
      <c r="A16525" s="39">
        <f>_xlfn.XLOOKUP(83160,Trip[shape_id],Trip[shape_id],"Não encontrado")</f>
        <v/>
      </c>
      <c r="B16525" s="40" t="n">
        <v>-23.598562</v>
      </c>
      <c r="C16525" s="40" t="n">
        <v>-46.51296</v>
      </c>
      <c r="D16525" s="40" t="n">
        <v>134</v>
      </c>
      <c r="E16525" s="41" t="n">
        <v>2397.4167</v>
      </c>
    </row>
    <row r="16526">
      <c r="A16526" s="42">
        <f>_xlfn.XLOOKUP(83160,Trip[shape_id],Trip[shape_id],"Não encontrado")</f>
        <v/>
      </c>
      <c r="B16526" s="43" t="n">
        <v>-23.598985</v>
      </c>
      <c r="C16526" s="43" t="n">
        <v>-46.513053</v>
      </c>
      <c r="D16526" s="43" t="n">
        <v>135</v>
      </c>
      <c r="E16526" s="44" t="n">
        <v>2445.217</v>
      </c>
    </row>
    <row r="16527">
      <c r="A16527" s="39">
        <f>_xlfn.XLOOKUP(83160,Trip[shape_id],Trip[shape_id],"Não encontrado")</f>
        <v/>
      </c>
      <c r="B16527" s="40" t="n">
        <v>-23.598845</v>
      </c>
      <c r="C16527" s="40" t="n">
        <v>-46.513172</v>
      </c>
      <c r="D16527" s="40" t="n">
        <v>136</v>
      </c>
      <c r="E16527" s="41" t="n">
        <v>2464.9133</v>
      </c>
    </row>
    <row r="16528">
      <c r="A16528" s="42">
        <f>_xlfn.XLOOKUP(83160,Trip[shape_id],Trip[shape_id],"Não encontrado")</f>
        <v/>
      </c>
      <c r="B16528" s="43" t="n">
        <v>-23.598526</v>
      </c>
      <c r="C16528" s="43" t="n">
        <v>-46.513322</v>
      </c>
      <c r="D16528" s="43" t="n">
        <v>137</v>
      </c>
      <c r="E16528" s="44" t="n">
        <v>2503.4177</v>
      </c>
    </row>
    <row r="16529">
      <c r="A16529" s="39">
        <f>_xlfn.XLOOKUP(83160,Trip[shape_id],Trip[shape_id],"Não encontrado")</f>
        <v/>
      </c>
      <c r="B16529" s="40" t="n">
        <v>-23.598366</v>
      </c>
      <c r="C16529" s="40" t="n">
        <v>-46.513394</v>
      </c>
      <c r="D16529" s="40" t="n">
        <v>138</v>
      </c>
      <c r="E16529" s="41" t="n">
        <v>2522.6013</v>
      </c>
    </row>
    <row r="16530">
      <c r="A16530" s="42">
        <f>_xlfn.XLOOKUP(83160,Trip[shape_id],Trip[shape_id],"Não encontrado")</f>
        <v/>
      </c>
      <c r="B16530" s="43" t="n">
        <v>-23.598238</v>
      </c>
      <c r="C16530" s="43" t="n">
        <v>-46.513443</v>
      </c>
      <c r="D16530" s="43" t="n">
        <v>139</v>
      </c>
      <c r="E16530" s="44" t="n">
        <v>2537.6343</v>
      </c>
    </row>
    <row r="16531">
      <c r="A16531" s="39">
        <f>_xlfn.XLOOKUP(83160,Trip[shape_id],Trip[shape_id],"Não encontrado")</f>
        <v/>
      </c>
      <c r="B16531" s="40" t="n">
        <v>-23.598113</v>
      </c>
      <c r="C16531" s="40" t="n">
        <v>-46.513465</v>
      </c>
      <c r="D16531" s="40" t="n">
        <v>140</v>
      </c>
      <c r="E16531" s="41" t="n">
        <v>2551.6592</v>
      </c>
    </row>
    <row r="16532">
      <c r="A16532" s="42">
        <f>_xlfn.XLOOKUP(83160,Trip[shape_id],Trip[shape_id],"Não encontrado")</f>
        <v/>
      </c>
      <c r="B16532" s="43" t="n">
        <v>-23.598082</v>
      </c>
      <c r="C16532" s="43" t="n">
        <v>-46.513475</v>
      </c>
      <c r="D16532" s="43" t="n">
        <v>141</v>
      </c>
      <c r="E16532" s="44" t="n">
        <v>2555.2415</v>
      </c>
    </row>
    <row r="16533">
      <c r="A16533" s="39">
        <f>_xlfn.XLOOKUP(83160,Trip[shape_id],Trip[shape_id],"Não encontrado")</f>
        <v/>
      </c>
      <c r="B16533" s="40" t="n">
        <v>-23.597698</v>
      </c>
      <c r="C16533" s="40" t="n">
        <v>-46.513469</v>
      </c>
      <c r="D16533" s="40" t="n">
        <v>142</v>
      </c>
      <c r="E16533" s="41" t="n">
        <v>2597.7747</v>
      </c>
    </row>
    <row r="16534">
      <c r="A16534" s="42">
        <f>_xlfn.XLOOKUP(83160,Trip[shape_id],Trip[shape_id],"Não encontrado")</f>
        <v/>
      </c>
      <c r="B16534" s="43" t="n">
        <v>-23.597169</v>
      </c>
      <c r="C16534" s="43" t="n">
        <v>-46.513482</v>
      </c>
      <c r="D16534" s="43" t="n">
        <v>143</v>
      </c>
      <c r="E16534" s="44" t="n">
        <v>2656.3777</v>
      </c>
    </row>
    <row r="16535">
      <c r="A16535" s="39">
        <f>_xlfn.XLOOKUP(83160,Trip[shape_id],Trip[shape_id],"Não encontrado")</f>
        <v/>
      </c>
      <c r="B16535" s="40" t="n">
        <v>-23.597106</v>
      </c>
      <c r="C16535" s="40" t="n">
        <v>-46.513487</v>
      </c>
      <c r="D16535" s="40" t="n">
        <v>144</v>
      </c>
      <c r="E16535" s="41" t="n">
        <v>2663.373</v>
      </c>
    </row>
    <row r="16536">
      <c r="A16536" s="42">
        <f>_xlfn.XLOOKUP(83160,Trip[shape_id],Trip[shape_id],"Não encontrado")</f>
        <v/>
      </c>
      <c r="B16536" s="43" t="n">
        <v>-23.597027</v>
      </c>
      <c r="C16536" s="43" t="n">
        <v>-46.513485</v>
      </c>
      <c r="D16536" s="43" t="n">
        <v>145</v>
      </c>
      <c r="E16536" s="44" t="n">
        <v>2672.1252</v>
      </c>
    </row>
    <row r="16537">
      <c r="A16537" s="39">
        <f>_xlfn.XLOOKUP(83160,Trip[shape_id],Trip[shape_id],"Não encontrado")</f>
        <v/>
      </c>
      <c r="B16537" s="40" t="n">
        <v>-23.596883</v>
      </c>
      <c r="C16537" s="40" t="n">
        <v>-46.513536</v>
      </c>
      <c r="D16537" s="40" t="n">
        <v>146</v>
      </c>
      <c r="E16537" s="41" t="n">
        <v>2688.9019</v>
      </c>
    </row>
    <row r="16538">
      <c r="A16538" s="42">
        <f>_xlfn.XLOOKUP(83160,Trip[shape_id],Trip[shape_id],"Não encontrado")</f>
        <v/>
      </c>
      <c r="B16538" s="43" t="n">
        <v>-23.596551</v>
      </c>
      <c r="C16538" s="43" t="n">
        <v>-46.513649</v>
      </c>
      <c r="D16538" s="43" t="n">
        <v>147</v>
      </c>
      <c r="E16538" s="44" t="n">
        <v>2727.438</v>
      </c>
    </row>
    <row r="16539">
      <c r="A16539" s="39">
        <f>_xlfn.XLOOKUP(83160,Trip[shape_id],Trip[shape_id],"Não encontrado")</f>
        <v/>
      </c>
      <c r="B16539" s="40" t="n">
        <v>-23.596153</v>
      </c>
      <c r="C16539" s="40" t="n">
        <v>-46.513775</v>
      </c>
      <c r="D16539" s="40" t="n">
        <v>148</v>
      </c>
      <c r="E16539" s="41" t="n">
        <v>2773.3552</v>
      </c>
    </row>
    <row r="16540">
      <c r="A16540" s="42">
        <f>_xlfn.XLOOKUP(83160,Trip[shape_id],Trip[shape_id],"Não encontrado")</f>
        <v/>
      </c>
      <c r="B16540" s="43" t="n">
        <v>-23.595976</v>
      </c>
      <c r="C16540" s="43" t="n">
        <v>-46.513824</v>
      </c>
      <c r="D16540" s="43" t="n">
        <v>149</v>
      </c>
      <c r="E16540" s="44" t="n">
        <v>2793.5862</v>
      </c>
    </row>
    <row r="16541">
      <c r="A16541" s="39">
        <f>_xlfn.XLOOKUP(83160,Trip[shape_id],Trip[shape_id],"Não encontrado")</f>
        <v/>
      </c>
      <c r="B16541" s="40" t="n">
        <v>-23.595905</v>
      </c>
      <c r="C16541" s="40" t="n">
        <v>-46.513855</v>
      </c>
      <c r="D16541" s="40" t="n">
        <v>150</v>
      </c>
      <c r="E16541" s="41" t="n">
        <v>2802.062</v>
      </c>
    </row>
    <row r="16542">
      <c r="A16542" s="42">
        <f>_xlfn.XLOOKUP(83160,Trip[shape_id],Trip[shape_id],"Não encontrado")</f>
        <v/>
      </c>
      <c r="B16542" s="43" t="n">
        <v>-23.595827</v>
      </c>
      <c r="C16542" s="43" t="n">
        <v>-46.51392</v>
      </c>
      <c r="D16542" s="43" t="n">
        <v>151</v>
      </c>
      <c r="E16542" s="44" t="n">
        <v>2812.9546</v>
      </c>
    </row>
    <row r="16543">
      <c r="A16543" s="39">
        <f>_xlfn.XLOOKUP(83160,Trip[shape_id],Trip[shape_id],"Não encontrado")</f>
        <v/>
      </c>
      <c r="B16543" s="40" t="n">
        <v>-23.595791</v>
      </c>
      <c r="C16543" s="40" t="n">
        <v>-46.513982</v>
      </c>
      <c r="D16543" s="40" t="n">
        <v>152</v>
      </c>
      <c r="E16543" s="41" t="n">
        <v>2820.4346</v>
      </c>
    </row>
    <row r="16544">
      <c r="A16544" s="42">
        <f>_xlfn.XLOOKUP(83160,Trip[shape_id],Trip[shape_id],"Não encontrado")</f>
        <v/>
      </c>
      <c r="B16544" s="43" t="n">
        <v>-23.59579</v>
      </c>
      <c r="C16544" s="43" t="n">
        <v>-46.51408</v>
      </c>
      <c r="D16544" s="43" t="n">
        <v>153</v>
      </c>
      <c r="E16544" s="44" t="n">
        <v>2830.438</v>
      </c>
    </row>
    <row r="16545">
      <c r="A16545" s="39">
        <f>_xlfn.XLOOKUP(83160,Trip[shape_id],Trip[shape_id],"Não encontrado")</f>
        <v/>
      </c>
      <c r="B16545" s="40" t="n">
        <v>-23.595793</v>
      </c>
      <c r="C16545" s="40" t="n">
        <v>-46.51413</v>
      </c>
      <c r="D16545" s="40" t="n">
        <v>154</v>
      </c>
      <c r="E16545" s="41" t="n">
        <v>2835.5525</v>
      </c>
    </row>
    <row r="16546">
      <c r="A16546" s="42">
        <f>_xlfn.XLOOKUP(83160,Trip[shape_id],Trip[shape_id],"Não encontrado")</f>
        <v/>
      </c>
      <c r="B16546" s="43" t="n">
        <v>-23.595797</v>
      </c>
      <c r="C16546" s="43" t="n">
        <v>-46.514179</v>
      </c>
      <c r="D16546" s="43" t="n">
        <v>155</v>
      </c>
      <c r="E16546" s="44" t="n">
        <v>2840.5725</v>
      </c>
    </row>
    <row r="16547">
      <c r="A16547" s="39">
        <f>_xlfn.XLOOKUP(83160,Trip[shape_id],Trip[shape_id],"Não encontrado")</f>
        <v/>
      </c>
      <c r="B16547" s="40" t="n">
        <v>-23.595827</v>
      </c>
      <c r="C16547" s="40" t="n">
        <v>-46.514367</v>
      </c>
      <c r="D16547" s="40" t="n">
        <v>156</v>
      </c>
      <c r="E16547" s="41" t="n">
        <v>2860.0469</v>
      </c>
    </row>
    <row r="16548">
      <c r="A16548" s="42">
        <f>_xlfn.XLOOKUP(83160,Trip[shape_id],Trip[shape_id],"Não encontrado")</f>
        <v/>
      </c>
      <c r="B16548" s="43" t="n">
        <v>-23.595843</v>
      </c>
      <c r="C16548" s="43" t="n">
        <v>-46.514434</v>
      </c>
      <c r="D16548" s="43" t="n">
        <v>157</v>
      </c>
      <c r="E16548" s="44" t="n">
        <v>2867.1108</v>
      </c>
    </row>
    <row r="16549">
      <c r="A16549" s="39">
        <f>_xlfn.XLOOKUP(83160,Trip[shape_id],Trip[shape_id],"Não encontrado")</f>
        <v/>
      </c>
      <c r="B16549" s="40" t="n">
        <v>-23.595864</v>
      </c>
      <c r="C16549" s="40" t="n">
        <v>-46.514504</v>
      </c>
      <c r="D16549" s="40" t="n">
        <v>158</v>
      </c>
      <c r="E16549" s="41" t="n">
        <v>2874.625</v>
      </c>
    </row>
    <row r="16550">
      <c r="A16550" s="42">
        <f>_xlfn.XLOOKUP(83160,Trip[shape_id],Trip[shape_id],"Não encontrado")</f>
        <v/>
      </c>
      <c r="B16550" s="43" t="n">
        <v>-23.595903</v>
      </c>
      <c r="C16550" s="43" t="n">
        <v>-46.514547</v>
      </c>
      <c r="D16550" s="43" t="n">
        <v>159</v>
      </c>
      <c r="E16550" s="44" t="n">
        <v>2880.7832</v>
      </c>
    </row>
    <row r="16551">
      <c r="A16551" s="39">
        <f>_xlfn.XLOOKUP(83160,Trip[shape_id],Trip[shape_id],"Não encontrado")</f>
        <v/>
      </c>
      <c r="B16551" s="40" t="n">
        <v>-23.596189</v>
      </c>
      <c r="C16551" s="40" t="n">
        <v>-46.514907</v>
      </c>
      <c r="D16551" s="40" t="n">
        <v>160</v>
      </c>
      <c r="E16551" s="41" t="n">
        <v>2929.2957</v>
      </c>
    </row>
    <row r="16552">
      <c r="A16552" s="42">
        <f>_xlfn.XLOOKUP(83160,Trip[shape_id],Trip[shape_id],"Não encontrado")</f>
        <v/>
      </c>
      <c r="B16552" s="43" t="n">
        <v>-23.59643</v>
      </c>
      <c r="C16552" s="43" t="n">
        <v>-46.515205</v>
      </c>
      <c r="D16552" s="43" t="n">
        <v>161</v>
      </c>
      <c r="E16552" s="44" t="n">
        <v>2969.7625</v>
      </c>
    </row>
    <row r="16553">
      <c r="A16553" s="39">
        <f>_xlfn.XLOOKUP(83160,Trip[shape_id],Trip[shape_id],"Não encontrado")</f>
        <v/>
      </c>
      <c r="B16553" s="40" t="n">
        <v>-23.596494</v>
      </c>
      <c r="C16553" s="40" t="n">
        <v>-46.515312</v>
      </c>
      <c r="D16553" s="40" t="n">
        <v>162</v>
      </c>
      <c r="E16553" s="41" t="n">
        <v>2982.7822</v>
      </c>
    </row>
    <row r="16554">
      <c r="A16554" s="42">
        <f>_xlfn.XLOOKUP(83160,Trip[shape_id],Trip[shape_id],"Não encontrado")</f>
        <v/>
      </c>
      <c r="B16554" s="43" t="n">
        <v>-23.59653</v>
      </c>
      <c r="C16554" s="43" t="n">
        <v>-46.515411</v>
      </c>
      <c r="D16554" s="43" t="n">
        <v>163</v>
      </c>
      <c r="E16554" s="44" t="n">
        <v>2993.6453</v>
      </c>
    </row>
    <row r="16555">
      <c r="A16555" s="39">
        <f>_xlfn.XLOOKUP(83160,Trip[shape_id],Trip[shape_id],"Não encontrado")</f>
        <v/>
      </c>
      <c r="B16555" s="40" t="n">
        <v>-23.596551</v>
      </c>
      <c r="C16555" s="40" t="n">
        <v>-46.515483</v>
      </c>
      <c r="D16555" s="40" t="n">
        <v>164</v>
      </c>
      <c r="E16555" s="41" t="n">
        <v>3001.3528</v>
      </c>
    </row>
    <row r="16556">
      <c r="A16556" s="42">
        <f>_xlfn.XLOOKUP(83160,Trip[shape_id],Trip[shape_id],"Não encontrado")</f>
        <v/>
      </c>
      <c r="B16556" s="43" t="n">
        <v>-23.596589</v>
      </c>
      <c r="C16556" s="43" t="n">
        <v>-46.515894</v>
      </c>
      <c r="D16556" s="43" t="n">
        <v>165</v>
      </c>
      <c r="E16556" s="44" t="n">
        <v>3043.5127</v>
      </c>
    </row>
    <row r="16557">
      <c r="A16557" s="39">
        <f>_xlfn.XLOOKUP(83160,Trip[shape_id],Trip[shape_id],"Não encontrado")</f>
        <v/>
      </c>
      <c r="B16557" s="40" t="n">
        <v>-23.596646</v>
      </c>
      <c r="C16557" s="40" t="n">
        <v>-46.516486</v>
      </c>
      <c r="D16557" s="40" t="n">
        <v>166</v>
      </c>
      <c r="E16557" s="41" t="n">
        <v>3104.2649</v>
      </c>
    </row>
    <row r="16558">
      <c r="A16558" s="42">
        <f>_xlfn.XLOOKUP(83160,Trip[shape_id],Trip[shape_id],"Não encontrado")</f>
        <v/>
      </c>
      <c r="B16558" s="43" t="n">
        <v>-23.596677</v>
      </c>
      <c r="C16558" s="43" t="n">
        <v>-46.516752</v>
      </c>
      <c r="D16558" s="43" t="n">
        <v>167</v>
      </c>
      <c r="E16558" s="44" t="n">
        <v>3131.6306</v>
      </c>
    </row>
    <row r="16559">
      <c r="A16559" s="39">
        <f>_xlfn.XLOOKUP(83160,Trip[shape_id],Trip[shape_id],"Não encontrado")</f>
        <v/>
      </c>
      <c r="B16559" s="40" t="n">
        <v>-23.596668</v>
      </c>
      <c r="C16559" s="40" t="n">
        <v>-46.517071</v>
      </c>
      <c r="D16559" s="40" t="n">
        <v>168</v>
      </c>
      <c r="E16559" s="41" t="n">
        <v>3164.2051</v>
      </c>
    </row>
    <row r="16560">
      <c r="A16560" s="42">
        <f>_xlfn.XLOOKUP(83160,Trip[shape_id],Trip[shape_id],"Não encontrado")</f>
        <v/>
      </c>
      <c r="B16560" s="43" t="n">
        <v>-23.596578</v>
      </c>
      <c r="C16560" s="43" t="n">
        <v>-46.517257</v>
      </c>
      <c r="D16560" s="43" t="n">
        <v>169</v>
      </c>
      <c r="E16560" s="44" t="n">
        <v>3185.647</v>
      </c>
    </row>
    <row r="16561">
      <c r="A16561" s="39">
        <f>_xlfn.XLOOKUP(83160,Trip[shape_id],Trip[shape_id],"Não encontrado")</f>
        <v/>
      </c>
      <c r="B16561" s="40" t="n">
        <v>-23.596516</v>
      </c>
      <c r="C16561" s="40" t="n">
        <v>-46.51735</v>
      </c>
      <c r="D16561" s="40" t="n">
        <v>170</v>
      </c>
      <c r="E16561" s="41" t="n">
        <v>3197.3623</v>
      </c>
    </row>
    <row r="16562">
      <c r="A16562" s="42">
        <f>_xlfn.XLOOKUP(83160,Trip[shape_id],Trip[shape_id],"Não encontrado")</f>
        <v/>
      </c>
      <c r="B16562" s="43" t="n">
        <v>-23.596399</v>
      </c>
      <c r="C16562" s="43" t="n">
        <v>-46.517481</v>
      </c>
      <c r="D16562" s="43" t="n">
        <v>171</v>
      </c>
      <c r="E16562" s="44" t="n">
        <v>3215.9819</v>
      </c>
    </row>
    <row r="16563">
      <c r="A16563" s="39">
        <f>_xlfn.XLOOKUP(83160,Trip[shape_id],Trip[shape_id],"Não encontrado")</f>
        <v/>
      </c>
      <c r="B16563" s="40" t="n">
        <v>-23.596334</v>
      </c>
      <c r="C16563" s="40" t="n">
        <v>-46.517522</v>
      </c>
      <c r="D16563" s="40" t="n">
        <v>172</v>
      </c>
      <c r="E16563" s="41" t="n">
        <v>3224.3086</v>
      </c>
    </row>
    <row r="16564">
      <c r="A16564" s="42">
        <f>_xlfn.XLOOKUP(83160,Trip[shape_id],Trip[shape_id],"Não encontrado")</f>
        <v/>
      </c>
      <c r="B16564" s="43" t="n">
        <v>-23.596113</v>
      </c>
      <c r="C16564" s="43" t="n">
        <v>-46.51769</v>
      </c>
      <c r="D16564" s="43" t="n">
        <v>173</v>
      </c>
      <c r="E16564" s="44" t="n">
        <v>3254.1936</v>
      </c>
    </row>
    <row r="16565">
      <c r="A16565" s="39">
        <f>_xlfn.XLOOKUP(83160,Trip[shape_id],Trip[shape_id],"Não encontrado")</f>
        <v/>
      </c>
      <c r="B16565" s="40" t="n">
        <v>-23.595642</v>
      </c>
      <c r="C16565" s="40" t="n">
        <v>-46.518012</v>
      </c>
      <c r="D16565" s="40" t="n">
        <v>174</v>
      </c>
      <c r="E16565" s="41" t="n">
        <v>3315.8481</v>
      </c>
    </row>
    <row r="16566">
      <c r="A16566" s="42">
        <f>_xlfn.XLOOKUP(83160,Trip[shape_id],Trip[shape_id],"Não encontrado")</f>
        <v/>
      </c>
      <c r="B16566" s="43" t="n">
        <v>-23.595275</v>
      </c>
      <c r="C16566" s="43" t="n">
        <v>-46.518293</v>
      </c>
      <c r="D16566" s="43" t="n">
        <v>175</v>
      </c>
      <c r="E16566" s="44" t="n">
        <v>3365.5945</v>
      </c>
    </row>
    <row r="16567">
      <c r="A16567" s="39">
        <f>_xlfn.XLOOKUP(83160,Trip[shape_id],Trip[shape_id],"Não encontrado")</f>
        <v/>
      </c>
      <c r="B16567" s="40" t="n">
        <v>-23.595222</v>
      </c>
      <c r="C16567" s="40" t="n">
        <v>-46.518328</v>
      </c>
      <c r="D16567" s="40" t="n">
        <v>176</v>
      </c>
      <c r="E16567" s="41" t="n">
        <v>3372.4653</v>
      </c>
    </row>
    <row r="16568">
      <c r="A16568" s="42">
        <f>_xlfn.XLOOKUP(83160,Trip[shape_id],Trip[shape_id],"Não encontrado")</f>
        <v/>
      </c>
      <c r="B16568" s="43" t="n">
        <v>-23.595065</v>
      </c>
      <c r="C16568" s="43" t="n">
        <v>-46.51847</v>
      </c>
      <c r="D16568" s="43" t="n">
        <v>177</v>
      </c>
      <c r="E16568" s="44" t="n">
        <v>3395.1018</v>
      </c>
    </row>
    <row r="16569">
      <c r="A16569" s="39">
        <f>_xlfn.XLOOKUP(83160,Trip[shape_id],Trip[shape_id],"Não encontrado")</f>
        <v/>
      </c>
      <c r="B16569" s="40" t="n">
        <v>-23.594702</v>
      </c>
      <c r="C16569" s="40" t="n">
        <v>-46.518757</v>
      </c>
      <c r="D16569" s="40" t="n">
        <v>178</v>
      </c>
      <c r="E16569" s="41" t="n">
        <v>3444.8452</v>
      </c>
    </row>
    <row r="16570">
      <c r="A16570" s="42">
        <f>_xlfn.XLOOKUP(83160,Trip[shape_id],Trip[shape_id],"Não encontrado")</f>
        <v/>
      </c>
      <c r="B16570" s="43" t="n">
        <v>-23.594605</v>
      </c>
      <c r="C16570" s="43" t="n">
        <v>-46.51883</v>
      </c>
      <c r="D16570" s="43" t="n">
        <v>179</v>
      </c>
      <c r="E16570" s="44" t="n">
        <v>3457.9194</v>
      </c>
    </row>
    <row r="16571">
      <c r="A16571" s="39">
        <f>_xlfn.XLOOKUP(83160,Trip[shape_id],Trip[shape_id],"Não encontrado")</f>
        <v/>
      </c>
      <c r="B16571" s="40" t="n">
        <v>-23.594372</v>
      </c>
      <c r="C16571" s="40" t="n">
        <v>-46.518978</v>
      </c>
      <c r="D16571" s="40" t="n">
        <v>180</v>
      </c>
      <c r="E16571" s="41" t="n">
        <v>3487.821</v>
      </c>
    </row>
    <row r="16572">
      <c r="A16572" s="42">
        <f>_xlfn.XLOOKUP(83160,Trip[shape_id],Trip[shape_id],"Não encontrado")</f>
        <v/>
      </c>
      <c r="B16572" s="43" t="n">
        <v>-23.593577</v>
      </c>
      <c r="C16572" s="43" t="n">
        <v>-46.519502</v>
      </c>
      <c r="D16572" s="43" t="n">
        <v>181</v>
      </c>
      <c r="E16572" s="44" t="n">
        <v>3590.8406</v>
      </c>
    </row>
    <row r="16573">
      <c r="A16573" s="39">
        <f>_xlfn.XLOOKUP(83160,Trip[shape_id],Trip[shape_id],"Não encontrado")</f>
        <v/>
      </c>
      <c r="B16573" s="40" t="n">
        <v>-23.593302</v>
      </c>
      <c r="C16573" s="40" t="n">
        <v>-46.519686</v>
      </c>
      <c r="D16573" s="40" t="n">
        <v>182</v>
      </c>
      <c r="E16573" s="41" t="n">
        <v>3626.6223</v>
      </c>
    </row>
    <row r="16574">
      <c r="A16574" s="42">
        <f>_xlfn.XLOOKUP(83160,Trip[shape_id],Trip[shape_id],"Não encontrado")</f>
        <v/>
      </c>
      <c r="B16574" s="43" t="n">
        <v>-23.593252</v>
      </c>
      <c r="C16574" s="43" t="n">
        <v>-46.51972</v>
      </c>
      <c r="D16574" s="43" t="n">
        <v>183</v>
      </c>
      <c r="E16574" s="44" t="n">
        <v>3633.158</v>
      </c>
    </row>
    <row r="16575">
      <c r="A16575" s="39">
        <f>_xlfn.XLOOKUP(83160,Trip[shape_id],Trip[shape_id],"Não encontrado")</f>
        <v/>
      </c>
      <c r="B16575" s="40" t="n">
        <v>-23.593211</v>
      </c>
      <c r="C16575" s="40" t="n">
        <v>-46.519739</v>
      </c>
      <c r="D16575" s="40" t="n">
        <v>184</v>
      </c>
      <c r="E16575" s="41" t="n">
        <v>3638.0957</v>
      </c>
    </row>
    <row r="16576">
      <c r="A16576" s="42">
        <f>_xlfn.XLOOKUP(83160,Trip[shape_id],Trip[shape_id],"Não encontrado")</f>
        <v/>
      </c>
      <c r="B16576" s="43" t="n">
        <v>-23.593131</v>
      </c>
      <c r="C16576" s="43" t="n">
        <v>-46.519759</v>
      </c>
      <c r="D16576" s="43" t="n">
        <v>185</v>
      </c>
      <c r="E16576" s="44" t="n">
        <v>3647.1885</v>
      </c>
    </row>
    <row r="16577">
      <c r="A16577" s="39">
        <f>_xlfn.XLOOKUP(83160,Trip[shape_id],Trip[shape_id],"Não encontrado")</f>
        <v/>
      </c>
      <c r="B16577" s="40" t="n">
        <v>-23.593081</v>
      </c>
      <c r="C16577" s="40" t="n">
        <v>-46.519763</v>
      </c>
      <c r="D16577" s="40" t="n">
        <v>186</v>
      </c>
      <c r="E16577" s="41" t="n">
        <v>3652.7407</v>
      </c>
    </row>
    <row r="16578">
      <c r="A16578" s="42">
        <f>_xlfn.XLOOKUP(83160,Trip[shape_id],Trip[shape_id],"Não encontrado")</f>
        <v/>
      </c>
      <c r="B16578" s="43" t="n">
        <v>-23.593008</v>
      </c>
      <c r="C16578" s="43" t="n">
        <v>-46.519762</v>
      </c>
      <c r="D16578" s="43" t="n">
        <v>187</v>
      </c>
      <c r="E16578" s="44" t="n">
        <v>3660.8259</v>
      </c>
    </row>
    <row r="16579">
      <c r="A16579" s="39">
        <f>_xlfn.XLOOKUP(83160,Trip[shape_id],Trip[shape_id],"Não encontrado")</f>
        <v/>
      </c>
      <c r="B16579" s="40" t="n">
        <v>-23.592911</v>
      </c>
      <c r="C16579" s="40" t="n">
        <v>-46.519737</v>
      </c>
      <c r="D16579" s="40" t="n">
        <v>188</v>
      </c>
      <c r="E16579" s="41" t="n">
        <v>3671.8679</v>
      </c>
    </row>
    <row r="16580">
      <c r="A16580" s="42">
        <f>_xlfn.XLOOKUP(83160,Trip[shape_id],Trip[shape_id],"Não encontrado")</f>
        <v/>
      </c>
      <c r="B16580" s="43" t="n">
        <v>-23.592823</v>
      </c>
      <c r="C16580" s="43" t="n">
        <v>-46.519717</v>
      </c>
      <c r="D16580" s="43" t="n">
        <v>189</v>
      </c>
      <c r="E16580" s="44" t="n">
        <v>3681.8252</v>
      </c>
    </row>
    <row r="16581">
      <c r="A16581" s="39">
        <f>_xlfn.XLOOKUP(83160,Trip[shape_id],Trip[shape_id],"Não encontrado")</f>
        <v/>
      </c>
      <c r="B16581" s="40" t="n">
        <v>-23.592304</v>
      </c>
      <c r="C16581" s="40" t="n">
        <v>-46.519594</v>
      </c>
      <c r="D16581" s="40" t="n">
        <v>190</v>
      </c>
      <c r="E16581" s="41" t="n">
        <v>3740.6609</v>
      </c>
    </row>
    <row r="16582">
      <c r="A16582" s="42">
        <f>_xlfn.XLOOKUP(83160,Trip[shape_id],Trip[shape_id],"Não encontrado")</f>
        <v/>
      </c>
      <c r="B16582" s="43" t="n">
        <v>-23.591994</v>
      </c>
      <c r="C16582" s="43" t="n">
        <v>-46.51952</v>
      </c>
      <c r="D16582" s="43" t="n">
        <v>191</v>
      </c>
      <c r="E16582" s="44" t="n">
        <v>3775.8152</v>
      </c>
    </row>
    <row r="16583">
      <c r="A16583" s="39">
        <f>_xlfn.XLOOKUP(83160,Trip[shape_id],Trip[shape_id],"Não encontrado")</f>
        <v/>
      </c>
      <c r="B16583" s="40" t="n">
        <v>-23.591826</v>
      </c>
      <c r="C16583" s="40" t="n">
        <v>-46.51948</v>
      </c>
      <c r="D16583" s="40" t="n">
        <v>192</v>
      </c>
      <c r="E16583" s="41" t="n">
        <v>3794.864</v>
      </c>
    </row>
    <row r="16584">
      <c r="A16584" s="42">
        <f>_xlfn.XLOOKUP(83160,Trip[shape_id],Trip[shape_id],"Não encontrado")</f>
        <v/>
      </c>
      <c r="B16584" s="43" t="n">
        <v>-23.591591</v>
      </c>
      <c r="C16584" s="43" t="n">
        <v>-46.519415</v>
      </c>
      <c r="D16584" s="43" t="n">
        <v>193</v>
      </c>
      <c r="E16584" s="44" t="n">
        <v>3821.7231</v>
      </c>
    </row>
    <row r="16585">
      <c r="A16585" s="39">
        <f>_xlfn.XLOOKUP(83160,Trip[shape_id],Trip[shape_id],"Não encontrado")</f>
        <v/>
      </c>
      <c r="B16585" s="40" t="n">
        <v>-23.59141</v>
      </c>
      <c r="C16585" s="40" t="n">
        <v>-46.519385</v>
      </c>
      <c r="D16585" s="40" t="n">
        <v>194</v>
      </c>
      <c r="E16585" s="41" t="n">
        <v>3842.002</v>
      </c>
    </row>
    <row r="16586">
      <c r="A16586" s="42">
        <f>_xlfn.XLOOKUP(83160,Trip[shape_id],Trip[shape_id],"Não encontrado")</f>
        <v/>
      </c>
      <c r="B16586" s="43" t="n">
        <v>-23.591173</v>
      </c>
      <c r="C16586" s="43" t="n">
        <v>-46.519341</v>
      </c>
      <c r="D16586" s="43" t="n">
        <v>195</v>
      </c>
      <c r="E16586" s="44" t="n">
        <v>3868.6316</v>
      </c>
    </row>
    <row r="16587">
      <c r="A16587" s="39">
        <f>_xlfn.XLOOKUP(83160,Trip[shape_id],Trip[shape_id],"Não encontrado")</f>
        <v/>
      </c>
      <c r="B16587" s="40" t="n">
        <v>-23.591115</v>
      </c>
      <c r="C16587" s="40" t="n">
        <v>-46.519338</v>
      </c>
      <c r="D16587" s="40" t="n">
        <v>196</v>
      </c>
      <c r="E16587" s="41" t="n">
        <v>3875.0623</v>
      </c>
    </row>
    <row r="16588">
      <c r="A16588" s="42">
        <f>_xlfn.XLOOKUP(83160,Trip[shape_id],Trip[shape_id],"Não encontrado")</f>
        <v/>
      </c>
      <c r="B16588" s="43" t="n">
        <v>-23.591052</v>
      </c>
      <c r="C16588" s="43" t="n">
        <v>-46.519352</v>
      </c>
      <c r="D16588" s="43" t="n">
        <v>197</v>
      </c>
      <c r="E16588" s="44" t="n">
        <v>3882.1843</v>
      </c>
    </row>
    <row r="16589">
      <c r="A16589" s="39">
        <f>_xlfn.XLOOKUP(83160,Trip[shape_id],Trip[shape_id],"Não encontrado")</f>
        <v/>
      </c>
      <c r="B16589" s="40" t="n">
        <v>-23.590952</v>
      </c>
      <c r="C16589" s="40" t="n">
        <v>-46.519372</v>
      </c>
      <c r="D16589" s="40" t="n">
        <v>198</v>
      </c>
      <c r="E16589" s="41" t="n">
        <v>3893.4463</v>
      </c>
    </row>
    <row r="16590">
      <c r="A16590" s="42">
        <f>_xlfn.XLOOKUP(83160,Trip[shape_id],Trip[shape_id],"Não encontrado")</f>
        <v/>
      </c>
      <c r="B16590" s="43" t="n">
        <v>-23.590448</v>
      </c>
      <c r="C16590" s="43" t="n">
        <v>-46.519493</v>
      </c>
      <c r="D16590" s="43" t="n">
        <v>199</v>
      </c>
      <c r="E16590" s="44" t="n">
        <v>3950.6155</v>
      </c>
    </row>
    <row r="16591">
      <c r="A16591" s="39">
        <f>_xlfn.XLOOKUP(83160,Trip[shape_id],Trip[shape_id],"Não encontrado")</f>
        <v/>
      </c>
      <c r="B16591" s="40" t="n">
        <v>-23.590306</v>
      </c>
      <c r="C16591" s="40" t="n">
        <v>-46.519584</v>
      </c>
      <c r="D16591" s="40" t="n">
        <v>200</v>
      </c>
      <c r="E16591" s="41" t="n">
        <v>3968.8806</v>
      </c>
    </row>
    <row r="16592">
      <c r="A16592" s="42">
        <f>_xlfn.XLOOKUP(83160,Trip[shape_id],Trip[shape_id],"Não encontrado")</f>
        <v/>
      </c>
      <c r="B16592" s="43" t="n">
        <v>-23.590228</v>
      </c>
      <c r="C16592" s="43" t="n">
        <v>-46.519645</v>
      </c>
      <c r="D16592" s="43" t="n">
        <v>201</v>
      </c>
      <c r="E16592" s="44" t="n">
        <v>3979.5293</v>
      </c>
    </row>
    <row r="16593">
      <c r="A16593" s="39">
        <f>_xlfn.XLOOKUP(83160,Trip[shape_id],Trip[shape_id],"Não encontrado")</f>
        <v/>
      </c>
      <c r="B16593" s="40" t="n">
        <v>-23.590158</v>
      </c>
      <c r="C16593" s="40" t="n">
        <v>-46.519704</v>
      </c>
      <c r="D16593" s="40" t="n">
        <v>202</v>
      </c>
      <c r="E16593" s="41" t="n">
        <v>3989.3459</v>
      </c>
    </row>
    <row r="16594">
      <c r="A16594" s="42">
        <f>_xlfn.XLOOKUP(83160,Trip[shape_id],Trip[shape_id],"Não encontrado")</f>
        <v/>
      </c>
      <c r="B16594" s="43" t="n">
        <v>-23.590097</v>
      </c>
      <c r="C16594" s="43" t="n">
        <v>-46.519712</v>
      </c>
      <c r="D16594" s="43" t="n">
        <v>203</v>
      </c>
      <c r="E16594" s="44" t="n">
        <v>3996.1514</v>
      </c>
    </row>
    <row r="16595">
      <c r="A16595" s="39">
        <f>_xlfn.XLOOKUP(83160,Trip[shape_id],Trip[shape_id],"Não encontrado")</f>
        <v/>
      </c>
      <c r="B16595" s="40" t="n">
        <v>-23.590073</v>
      </c>
      <c r="C16595" s="40" t="n">
        <v>-46.519772</v>
      </c>
      <c r="D16595" s="40" t="n">
        <v>204</v>
      </c>
      <c r="E16595" s="41" t="n">
        <v>4002.8271</v>
      </c>
    </row>
    <row r="16596">
      <c r="A16596" s="42">
        <f>_xlfn.XLOOKUP(83160,Trip[shape_id],Trip[shape_id],"Não encontrado")</f>
        <v/>
      </c>
      <c r="B16596" s="43" t="n">
        <v>-23.589525</v>
      </c>
      <c r="C16596" s="43" t="n">
        <v>-46.520236</v>
      </c>
      <c r="D16596" s="43" t="n">
        <v>205</v>
      </c>
      <c r="E16596" s="44" t="n">
        <v>4079.8118</v>
      </c>
    </row>
    <row r="16597">
      <c r="A16597" s="39">
        <f>_xlfn.XLOOKUP(83160,Trip[shape_id],Trip[shape_id],"Não encontrado")</f>
        <v/>
      </c>
      <c r="B16597" s="40" t="n">
        <v>-23.589356</v>
      </c>
      <c r="C16597" s="40" t="n">
        <v>-46.520367</v>
      </c>
      <c r="D16597" s="40" t="n">
        <v>206</v>
      </c>
      <c r="E16597" s="41" t="n">
        <v>4102.8145</v>
      </c>
    </row>
    <row r="16598">
      <c r="A16598" s="42">
        <f>_xlfn.XLOOKUP(83160,Trip[shape_id],Trip[shape_id],"Não encontrado")</f>
        <v/>
      </c>
      <c r="B16598" s="43" t="n">
        <v>-23.589296</v>
      </c>
      <c r="C16598" s="43" t="n">
        <v>-46.520417</v>
      </c>
      <c r="D16598" s="43" t="n">
        <v>207</v>
      </c>
      <c r="E16598" s="44" t="n">
        <v>4111.1934</v>
      </c>
    </row>
    <row r="16599">
      <c r="A16599" s="39">
        <f>_xlfn.XLOOKUP(83160,Trip[shape_id],Trip[shape_id],"Não encontrado")</f>
        <v/>
      </c>
      <c r="B16599" s="40" t="n">
        <v>-23.589228</v>
      </c>
      <c r="C16599" s="40" t="n">
        <v>-46.52046</v>
      </c>
      <c r="D16599" s="40" t="n">
        <v>208</v>
      </c>
      <c r="E16599" s="41" t="n">
        <v>4119.9106</v>
      </c>
    </row>
    <row r="16600">
      <c r="A16600" s="42">
        <f>_xlfn.XLOOKUP(83160,Trip[shape_id],Trip[shape_id],"Não encontrado")</f>
        <v/>
      </c>
      <c r="B16600" s="43" t="n">
        <v>-23.58915</v>
      </c>
      <c r="C16600" s="43" t="n">
        <v>-46.520482</v>
      </c>
      <c r="D16600" s="43" t="n">
        <v>209</v>
      </c>
      <c r="E16600" s="44" t="n">
        <v>4128.8359</v>
      </c>
    </row>
    <row r="16601">
      <c r="A16601" s="39">
        <f>_xlfn.XLOOKUP(83160,Trip[shape_id],Trip[shape_id],"Não encontrado")</f>
        <v/>
      </c>
      <c r="B16601" s="40" t="n">
        <v>-23.589099</v>
      </c>
      <c r="C16601" s="40" t="n">
        <v>-46.520486</v>
      </c>
      <c r="D16601" s="40" t="n">
        <v>210</v>
      </c>
      <c r="E16601" s="41" t="n">
        <v>4134.4985</v>
      </c>
    </row>
    <row r="16602">
      <c r="A16602" s="42">
        <f>_xlfn.XLOOKUP(83160,Trip[shape_id],Trip[shape_id],"Não encontrado")</f>
        <v/>
      </c>
      <c r="B16602" s="43" t="n">
        <v>-23.589051</v>
      </c>
      <c r="C16602" s="43" t="n">
        <v>-46.520481</v>
      </c>
      <c r="D16602" s="43" t="n">
        <v>211</v>
      </c>
      <c r="E16602" s="44" t="n">
        <v>4139.8398</v>
      </c>
    </row>
    <row r="16603">
      <c r="A16603" s="39">
        <f>_xlfn.XLOOKUP(83160,Trip[shape_id],Trip[shape_id],"Não encontrado")</f>
        <v/>
      </c>
      <c r="B16603" s="40" t="n">
        <v>-23.58901</v>
      </c>
      <c r="C16603" s="40" t="n">
        <v>-46.520465</v>
      </c>
      <c r="D16603" s="40" t="n">
        <v>212</v>
      </c>
      <c r="E16603" s="41" t="n">
        <v>4144.6646</v>
      </c>
    </row>
    <row r="16604">
      <c r="A16604" s="42">
        <f>_xlfn.XLOOKUP(83160,Trip[shape_id],Trip[shape_id],"Não encontrado")</f>
        <v/>
      </c>
      <c r="B16604" s="43" t="n">
        <v>-23.588967</v>
      </c>
      <c r="C16604" s="43" t="n">
        <v>-46.520443</v>
      </c>
      <c r="D16604" s="43" t="n">
        <v>213</v>
      </c>
      <c r="E16604" s="44" t="n">
        <v>4149.9302</v>
      </c>
    </row>
    <row r="16605">
      <c r="A16605" s="39">
        <f>_xlfn.XLOOKUP(83160,Trip[shape_id],Trip[shape_id],"Não encontrado")</f>
        <v/>
      </c>
      <c r="B16605" s="40" t="n">
        <v>-23.588892</v>
      </c>
      <c r="C16605" s="40" t="n">
        <v>-46.52036</v>
      </c>
      <c r="D16605" s="40" t="n">
        <v>214</v>
      </c>
      <c r="E16605" s="41" t="n">
        <v>4161.7949</v>
      </c>
    </row>
    <row r="16606">
      <c r="A16606" s="42">
        <f>_xlfn.XLOOKUP(83160,Trip[shape_id],Trip[shape_id],"Não encontrado")</f>
        <v/>
      </c>
      <c r="B16606" s="43" t="n">
        <v>-23.588718</v>
      </c>
      <c r="C16606" s="43" t="n">
        <v>-46.520156</v>
      </c>
      <c r="D16606" s="43" t="n">
        <v>215</v>
      </c>
      <c r="E16606" s="44" t="n">
        <v>4190.1665</v>
      </c>
    </row>
    <row r="16607">
      <c r="A16607" s="39">
        <f>_xlfn.XLOOKUP(83160,Trip[shape_id],Trip[shape_id],"Não encontrado")</f>
        <v/>
      </c>
      <c r="B16607" s="40" t="n">
        <v>-23.588337</v>
      </c>
      <c r="C16607" s="40" t="n">
        <v>-46.519706</v>
      </c>
      <c r="D16607" s="40" t="n">
        <v>216</v>
      </c>
      <c r="E16607" s="41" t="n">
        <v>4252.5396</v>
      </c>
    </row>
    <row r="16608">
      <c r="A16608" s="42">
        <f>_xlfn.XLOOKUP(83160,Trip[shape_id],Trip[shape_id],"Não encontrado")</f>
        <v/>
      </c>
      <c r="B16608" s="43" t="n">
        <v>-23.588216</v>
      </c>
      <c r="C16608" s="43" t="n">
        <v>-46.519577</v>
      </c>
      <c r="D16608" s="43" t="n">
        <v>217</v>
      </c>
      <c r="E16608" s="44" t="n">
        <v>4271.3271</v>
      </c>
    </row>
    <row r="16609">
      <c r="A16609" s="39">
        <f>_xlfn.XLOOKUP(83160,Trip[shape_id],Trip[shape_id],"Não encontrado")</f>
        <v/>
      </c>
      <c r="B16609" s="40" t="n">
        <v>-23.588173</v>
      </c>
      <c r="C16609" s="40" t="n">
        <v>-46.519531</v>
      </c>
      <c r="D16609" s="40" t="n">
        <v>218</v>
      </c>
      <c r="E16609" s="41" t="n">
        <v>4278.0151</v>
      </c>
    </row>
    <row r="16610">
      <c r="A16610" s="42">
        <f>_xlfn.XLOOKUP(83160,Trip[shape_id],Trip[shape_id],"Não encontrado")</f>
        <v/>
      </c>
      <c r="B16610" s="43" t="n">
        <v>-23.587994</v>
      </c>
      <c r="C16610" s="43" t="n">
        <v>-46.519394</v>
      </c>
      <c r="D16610" s="43" t="n">
        <v>219</v>
      </c>
      <c r="E16610" s="44" t="n">
        <v>4302.2754</v>
      </c>
    </row>
    <row r="16611">
      <c r="A16611" s="39">
        <f>_xlfn.XLOOKUP(83160,Trip[shape_id],Trip[shape_id],"Não encontrado")</f>
        <v/>
      </c>
      <c r="B16611" s="40" t="n">
        <v>-23.587918</v>
      </c>
      <c r="C16611" s="40" t="n">
        <v>-46.519355</v>
      </c>
      <c r="D16611" s="40" t="n">
        <v>220</v>
      </c>
      <c r="E16611" s="41" t="n">
        <v>4311.5864</v>
      </c>
    </row>
    <row r="16612">
      <c r="A16612" s="42">
        <f>_xlfn.XLOOKUP(83160,Trip[shape_id],Trip[shape_id],"Não encontrado")</f>
        <v/>
      </c>
      <c r="B16612" s="43" t="n">
        <v>-23.587816</v>
      </c>
      <c r="C16612" s="43" t="n">
        <v>-46.519299</v>
      </c>
      <c r="D16612" s="43" t="n">
        <v>221</v>
      </c>
      <c r="E16612" s="44" t="n">
        <v>4324.2476</v>
      </c>
    </row>
    <row r="16613">
      <c r="A16613" s="39">
        <f>_xlfn.XLOOKUP(83160,Trip[shape_id],Trip[shape_id],"Não encontrado")</f>
        <v/>
      </c>
      <c r="B16613" s="40" t="n">
        <v>-23.587642</v>
      </c>
      <c r="C16613" s="40" t="n">
        <v>-46.519226</v>
      </c>
      <c r="D16613" s="40" t="n">
        <v>222</v>
      </c>
      <c r="E16613" s="41" t="n">
        <v>4344.9087</v>
      </c>
    </row>
    <row r="16614">
      <c r="A16614" s="42">
        <f>_xlfn.XLOOKUP(83160,Trip[shape_id],Trip[shape_id],"Não encontrado")</f>
        <v/>
      </c>
      <c r="B16614" s="43" t="n">
        <v>-23.587402</v>
      </c>
      <c r="C16614" s="43" t="n">
        <v>-46.519144</v>
      </c>
      <c r="D16614" s="43" t="n">
        <v>223</v>
      </c>
      <c r="E16614" s="44" t="n">
        <v>4372.7759</v>
      </c>
    </row>
    <row r="16615">
      <c r="A16615" s="39">
        <f>_xlfn.XLOOKUP(83160,Trip[shape_id],Trip[shape_id],"Não encontrado")</f>
        <v/>
      </c>
      <c r="B16615" s="40" t="n">
        <v>-23.587177</v>
      </c>
      <c r="C16615" s="40" t="n">
        <v>-46.519077</v>
      </c>
      <c r="D16615" s="40" t="n">
        <v>224</v>
      </c>
      <c r="E16615" s="41" t="n">
        <v>4398.6167</v>
      </c>
    </row>
    <row r="16616">
      <c r="A16616" s="42">
        <f>_xlfn.XLOOKUP(83160,Trip[shape_id],Trip[shape_id],"Não encontrado")</f>
        <v/>
      </c>
      <c r="B16616" s="43" t="n">
        <v>-23.58642</v>
      </c>
      <c r="C16616" s="43" t="n">
        <v>-46.518841</v>
      </c>
      <c r="D16616" s="43" t="n">
        <v>225</v>
      </c>
      <c r="E16616" s="44" t="n">
        <v>4485.8481</v>
      </c>
    </row>
    <row r="16617">
      <c r="A16617" s="39">
        <f>_xlfn.XLOOKUP(83160,Trip[shape_id],Trip[shape_id],"Não encontrado")</f>
        <v/>
      </c>
      <c r="B16617" s="40" t="n">
        <v>-23.586047</v>
      </c>
      <c r="C16617" s="40" t="n">
        <v>-46.518722</v>
      </c>
      <c r="D16617" s="40" t="n">
        <v>226</v>
      </c>
      <c r="E16617" s="41" t="n">
        <v>4528.9077</v>
      </c>
    </row>
    <row r="16618">
      <c r="A16618" s="42">
        <f>_xlfn.XLOOKUP(83160,Trip[shape_id],Trip[shape_id],"Não encontrado")</f>
        <v/>
      </c>
      <c r="B16618" s="43" t="n">
        <v>-23.58575</v>
      </c>
      <c r="C16618" s="43" t="n">
        <v>-46.518634</v>
      </c>
      <c r="D16618" s="43" t="n">
        <v>227</v>
      </c>
      <c r="E16618" s="44" t="n">
        <v>4563.0054</v>
      </c>
    </row>
    <row r="16619">
      <c r="A16619" s="39">
        <f>_xlfn.XLOOKUP(83160,Trip[shape_id],Trip[shape_id],"Não encontrado")</f>
        <v/>
      </c>
      <c r="B16619" s="40" t="n">
        <v>-23.585696</v>
      </c>
      <c r="C16619" s="40" t="n">
        <v>-46.518785</v>
      </c>
      <c r="D16619" s="40" t="n">
        <v>228</v>
      </c>
      <c r="E16619" s="41" t="n">
        <v>4579.5381</v>
      </c>
    </row>
    <row r="16620">
      <c r="A16620" s="42">
        <f>_xlfn.XLOOKUP(83160,Trip[shape_id],Trip[shape_id],"Não encontrado")</f>
        <v/>
      </c>
      <c r="B16620" s="43" t="n">
        <v>-23.58565</v>
      </c>
      <c r="C16620" s="43" t="n">
        <v>-46.518914</v>
      </c>
      <c r="D16620" s="43" t="n">
        <v>229</v>
      </c>
      <c r="E16620" s="44" t="n">
        <v>4593.6567</v>
      </c>
    </row>
    <row r="16621">
      <c r="A16621" s="39">
        <f>_xlfn.XLOOKUP(83160,Trip[shape_id],Trip[shape_id],"Não encontrado")</f>
        <v/>
      </c>
      <c r="B16621" s="40" t="n">
        <v>-23.585578</v>
      </c>
      <c r="C16621" s="40" t="n">
        <v>-46.519103</v>
      </c>
      <c r="D16621" s="40" t="n">
        <v>230</v>
      </c>
      <c r="E16621" s="41" t="n">
        <v>4614.5317</v>
      </c>
    </row>
    <row r="16622">
      <c r="A16622" s="42">
        <f>_xlfn.XLOOKUP(83160,Trip[shape_id],Trip[shape_id],"Não encontrado")</f>
        <v/>
      </c>
      <c r="B16622" s="43" t="n">
        <v>-23.585484</v>
      </c>
      <c r="C16622" s="43" t="n">
        <v>-46.519361</v>
      </c>
      <c r="D16622" s="43" t="n">
        <v>231</v>
      </c>
      <c r="E16622" s="44" t="n">
        <v>4642.8501</v>
      </c>
    </row>
    <row r="16623">
      <c r="A16623" s="39">
        <f>_xlfn.XLOOKUP(83160,Trip[shape_id],Trip[shape_id],"Não encontrado")</f>
        <v/>
      </c>
      <c r="B16623" s="40" t="n">
        <v>-23.585373</v>
      </c>
      <c r="C16623" s="40" t="n">
        <v>-46.519648</v>
      </c>
      <c r="D16623" s="40" t="n">
        <v>232</v>
      </c>
      <c r="E16623" s="41" t="n">
        <v>4674.6206</v>
      </c>
    </row>
    <row r="16624">
      <c r="A16624" s="42">
        <f>_xlfn.XLOOKUP(83160,Trip[shape_id],Trip[shape_id],"Não encontrado")</f>
        <v/>
      </c>
      <c r="B16624" s="43" t="n">
        <v>-23.585311</v>
      </c>
      <c r="C16624" s="43" t="n">
        <v>-46.519811</v>
      </c>
      <c r="D16624" s="43" t="n">
        <v>233</v>
      </c>
      <c r="E16624" s="44" t="n">
        <v>4692.6201</v>
      </c>
    </row>
    <row r="16625">
      <c r="A16625" s="39">
        <f>_xlfn.XLOOKUP(83160,Trip[shape_id],Trip[shape_id],"Não encontrado")</f>
        <v/>
      </c>
      <c r="B16625" s="40" t="n">
        <v>-23.585272</v>
      </c>
      <c r="C16625" s="40" t="n">
        <v>-46.51989</v>
      </c>
      <c r="D16625" s="40" t="n">
        <v>234</v>
      </c>
      <c r="E16625" s="41" t="n">
        <v>4701.7681</v>
      </c>
    </row>
    <row r="16626">
      <c r="A16626" s="42">
        <f>_xlfn.XLOOKUP(83160,Trip[shape_id],Trip[shape_id],"Não encontrado")</f>
        <v/>
      </c>
      <c r="B16626" s="43" t="n">
        <v>-23.585225</v>
      </c>
      <c r="C16626" s="43" t="n">
        <v>-46.519992</v>
      </c>
      <c r="D16626" s="43" t="n">
        <v>235</v>
      </c>
      <c r="E16626" s="44" t="n">
        <v>4713.4087</v>
      </c>
    </row>
    <row r="16627">
      <c r="A16627" s="39">
        <f>_xlfn.XLOOKUP(83160,Trip[shape_id],Trip[shape_id],"Não encontrado")</f>
        <v/>
      </c>
      <c r="B16627" s="40" t="n">
        <v>-23.584941</v>
      </c>
      <c r="C16627" s="40" t="n">
        <v>-46.520507</v>
      </c>
      <c r="D16627" s="40" t="n">
        <v>236</v>
      </c>
      <c r="E16627" s="41" t="n">
        <v>4774.6689</v>
      </c>
    </row>
    <row r="16628">
      <c r="A16628" s="42">
        <f>_xlfn.XLOOKUP(83160,Trip[shape_id],Trip[shape_id],"Não encontrado")</f>
        <v/>
      </c>
      <c r="B16628" s="43" t="n">
        <v>-23.584801</v>
      </c>
      <c r="C16628" s="43" t="n">
        <v>-46.520752</v>
      </c>
      <c r="D16628" s="43" t="n">
        <v>237</v>
      </c>
      <c r="E16628" s="44" t="n">
        <v>4804.0942</v>
      </c>
    </row>
    <row r="16629">
      <c r="A16629" s="39">
        <f>_xlfn.XLOOKUP(83160,Trip[shape_id],Trip[shape_id],"Não encontrado")</f>
        <v/>
      </c>
      <c r="B16629" s="40" t="n">
        <v>-23.584735</v>
      </c>
      <c r="C16629" s="40" t="n">
        <v>-46.520865</v>
      </c>
      <c r="D16629" s="40" t="n">
        <v>238</v>
      </c>
      <c r="E16629" s="41" t="n">
        <v>4817.75</v>
      </c>
    </row>
    <row r="16630">
      <c r="A16630" s="42">
        <f>_xlfn.XLOOKUP(83160,Trip[shape_id],Trip[shape_id],"Não encontrado")</f>
        <v/>
      </c>
      <c r="B16630" s="43" t="n">
        <v>-23.584663</v>
      </c>
      <c r="C16630" s="43" t="n">
        <v>-46.521024</v>
      </c>
      <c r="D16630" s="43" t="n">
        <v>239</v>
      </c>
      <c r="E16630" s="44" t="n">
        <v>4835.833</v>
      </c>
    </row>
    <row r="16631">
      <c r="A16631" s="39">
        <f>_xlfn.XLOOKUP(83160,Trip[shape_id],Trip[shape_id],"Não encontrado")</f>
        <v/>
      </c>
      <c r="B16631" s="40" t="n">
        <v>-23.584656</v>
      </c>
      <c r="C16631" s="40" t="n">
        <v>-46.521107</v>
      </c>
      <c r="D16631" s="40" t="n">
        <v>240</v>
      </c>
      <c r="E16631" s="41" t="n">
        <v>4844.3408</v>
      </c>
    </row>
    <row r="16632">
      <c r="A16632" s="42">
        <f>_xlfn.XLOOKUP(83160,Trip[shape_id],Trip[shape_id],"Não encontrado")</f>
        <v/>
      </c>
      <c r="B16632" s="43" t="n">
        <v>-23.584677</v>
      </c>
      <c r="C16632" s="43" t="n">
        <v>-46.521299</v>
      </c>
      <c r="D16632" s="43" t="n">
        <v>241</v>
      </c>
      <c r="E16632" s="44" t="n">
        <v>4864.0767</v>
      </c>
    </row>
    <row r="16633">
      <c r="A16633" s="39">
        <f>_xlfn.XLOOKUP(83160,Trip[shape_id],Trip[shape_id],"Não encontrado")</f>
        <v/>
      </c>
      <c r="B16633" s="40" t="n">
        <v>-23.584703</v>
      </c>
      <c r="C16633" s="40" t="n">
        <v>-46.52159</v>
      </c>
      <c r="D16633" s="40" t="n">
        <v>242</v>
      </c>
      <c r="E16633" s="41" t="n">
        <v>4893.9199</v>
      </c>
    </row>
    <row r="16634">
      <c r="A16634" s="42">
        <f>_xlfn.XLOOKUP(83160,Trip[shape_id],Trip[shape_id],"Não encontrado")</f>
        <v/>
      </c>
      <c r="B16634" s="43" t="n">
        <v>-23.584765</v>
      </c>
      <c r="C16634" s="43" t="n">
        <v>-46.522162</v>
      </c>
      <c r="D16634" s="43" t="n">
        <v>243</v>
      </c>
      <c r="E16634" s="44" t="n">
        <v>4952.7095</v>
      </c>
    </row>
    <row r="16635">
      <c r="A16635" s="39">
        <f>_xlfn.XLOOKUP(83160,Trip[shape_id],Trip[shape_id],"Não encontrado")</f>
        <v/>
      </c>
      <c r="B16635" s="40" t="n">
        <v>-23.584777</v>
      </c>
      <c r="C16635" s="40" t="n">
        <v>-46.522273</v>
      </c>
      <c r="D16635" s="40" t="n">
        <v>244</v>
      </c>
      <c r="E16635" s="41" t="n">
        <v>4964.1172</v>
      </c>
    </row>
    <row r="16636">
      <c r="A16636" s="42">
        <f>_xlfn.XLOOKUP(83160,Trip[shape_id],Trip[shape_id],"Não encontrado")</f>
        <v/>
      </c>
      <c r="B16636" s="43" t="n">
        <v>-23.584783</v>
      </c>
      <c r="C16636" s="43" t="n">
        <v>-46.522349</v>
      </c>
      <c r="D16636" s="43" t="n">
        <v>245</v>
      </c>
      <c r="E16636" s="44" t="n">
        <v>4971.9033</v>
      </c>
    </row>
    <row r="16637">
      <c r="A16637" s="39">
        <f>_xlfn.XLOOKUP(83160,Trip[shape_id],Trip[shape_id],"Não encontrado")</f>
        <v/>
      </c>
      <c r="B16637" s="40" t="n">
        <v>-23.584815</v>
      </c>
      <c r="C16637" s="40" t="n">
        <v>-46.522653</v>
      </c>
      <c r="D16637" s="40" t="n">
        <v>246</v>
      </c>
      <c r="E16637" s="41" t="n">
        <v>5003.1362</v>
      </c>
    </row>
    <row r="16638">
      <c r="A16638" s="42">
        <f>_xlfn.XLOOKUP(83160,Trip[shape_id],Trip[shape_id],"Não encontrado")</f>
        <v/>
      </c>
      <c r="B16638" s="43" t="n">
        <v>-23.584818</v>
      </c>
      <c r="C16638" s="43" t="n">
        <v>-46.522705</v>
      </c>
      <c r="D16638" s="43" t="n">
        <v>247</v>
      </c>
      <c r="E16638" s="44" t="n">
        <v>5008.4551</v>
      </c>
    </row>
    <row r="16639">
      <c r="A16639" s="39">
        <f>_xlfn.XLOOKUP(83160,Trip[shape_id],Trip[shape_id],"Não encontrado")</f>
        <v/>
      </c>
      <c r="B16639" s="40" t="n">
        <v>-23.584872</v>
      </c>
      <c r="C16639" s="40" t="n">
        <v>-46.523174</v>
      </c>
      <c r="D16639" s="40" t="n">
        <v>248</v>
      </c>
      <c r="E16639" s="41" t="n">
        <v>5056.7007</v>
      </c>
    </row>
    <row r="16640">
      <c r="A16640" s="42">
        <f>_xlfn.XLOOKUP(83160,Trip[shape_id],Trip[shape_id],"Não encontrado")</f>
        <v/>
      </c>
      <c r="B16640" s="43" t="n">
        <v>-23.584903</v>
      </c>
      <c r="C16640" s="43" t="n">
        <v>-46.523457</v>
      </c>
      <c r="D16640" s="43" t="n">
        <v>249</v>
      </c>
      <c r="E16640" s="44" t="n">
        <v>5085.7915</v>
      </c>
    </row>
    <row r="16641">
      <c r="A16641" s="39">
        <f>_xlfn.XLOOKUP(83160,Trip[shape_id],Trip[shape_id],"Não encontrado")</f>
        <v/>
      </c>
      <c r="B16641" s="40" t="n">
        <v>-23.584912</v>
      </c>
      <c r="C16641" s="40" t="n">
        <v>-46.52359</v>
      </c>
      <c r="D16641" s="40" t="n">
        <v>250</v>
      </c>
      <c r="E16641" s="41" t="n">
        <v>5099.4038</v>
      </c>
    </row>
    <row r="16642">
      <c r="A16642" s="42">
        <f>_xlfn.XLOOKUP(83160,Trip[shape_id],Trip[shape_id],"Não encontrado")</f>
        <v/>
      </c>
      <c r="B16642" s="43" t="n">
        <v>-23.584963</v>
      </c>
      <c r="C16642" s="43" t="n">
        <v>-46.524052</v>
      </c>
      <c r="D16642" s="43" t="n">
        <v>251</v>
      </c>
      <c r="E16642" s="44" t="n">
        <v>5146.8999</v>
      </c>
    </row>
    <row r="16643">
      <c r="A16643" s="39">
        <f>_xlfn.XLOOKUP(83160,Trip[shape_id],Trip[shape_id],"Não encontrado")</f>
        <v/>
      </c>
      <c r="B16643" s="40" t="n">
        <v>-23.585003</v>
      </c>
      <c r="C16643" s="40" t="n">
        <v>-46.524512</v>
      </c>
      <c r="D16643" s="40" t="n">
        <v>252</v>
      </c>
      <c r="E16643" s="41" t="n">
        <v>5194.063</v>
      </c>
    </row>
    <row r="16644">
      <c r="A16644" s="42">
        <f>_xlfn.XLOOKUP(83160,Trip[shape_id],Trip[shape_id],"Não encontrado")</f>
        <v/>
      </c>
      <c r="B16644" s="43" t="n">
        <v>-23.585032</v>
      </c>
      <c r="C16644" s="43" t="n">
        <v>-46.524714</v>
      </c>
      <c r="D16644" s="43" t="n">
        <v>253</v>
      </c>
      <c r="E16644" s="44" t="n">
        <v>5214.9312</v>
      </c>
    </row>
    <row r="16645">
      <c r="A16645" s="39">
        <f>_xlfn.XLOOKUP(83160,Trip[shape_id],Trip[shape_id],"Não encontrado")</f>
        <v/>
      </c>
      <c r="B16645" s="40" t="n">
        <v>-23.585046</v>
      </c>
      <c r="C16645" s="40" t="n">
        <v>-46.524834</v>
      </c>
      <c r="D16645" s="40" t="n">
        <v>254</v>
      </c>
      <c r="E16645" s="41" t="n">
        <v>5227.2778</v>
      </c>
    </row>
    <row r="16646">
      <c r="A16646" s="42">
        <f>_xlfn.XLOOKUP(83160,Trip[shape_id],Trip[shape_id],"Não encontrado")</f>
        <v/>
      </c>
      <c r="B16646" s="43" t="n">
        <v>-23.584925</v>
      </c>
      <c r="C16646" s="43" t="n">
        <v>-46.52509</v>
      </c>
      <c r="D16646" s="43" t="n">
        <v>255</v>
      </c>
      <c r="E16646" s="44" t="n">
        <v>5256.645</v>
      </c>
    </row>
    <row r="16647">
      <c r="A16647" s="39">
        <f>_xlfn.XLOOKUP(83160,Trip[shape_id],Trip[shape_id],"Não encontrado")</f>
        <v/>
      </c>
      <c r="B16647" s="40" t="n">
        <v>-23.584859</v>
      </c>
      <c r="C16647" s="40" t="n">
        <v>-46.525233</v>
      </c>
      <c r="D16647" s="40" t="n">
        <v>256</v>
      </c>
      <c r="E16647" s="41" t="n">
        <v>5272.9697</v>
      </c>
    </row>
    <row r="16648">
      <c r="A16648" s="42">
        <f>_xlfn.XLOOKUP(83160,Trip[shape_id],Trip[shape_id],"Não encontrado")</f>
        <v/>
      </c>
      <c r="B16648" s="43" t="n">
        <v>-23.58483</v>
      </c>
      <c r="C16648" s="43" t="n">
        <v>-46.525288</v>
      </c>
      <c r="D16648" s="43" t="n">
        <v>257</v>
      </c>
      <c r="E16648" s="44" t="n">
        <v>5279.438</v>
      </c>
    </row>
    <row r="16649">
      <c r="A16649" s="39">
        <f>_xlfn.XLOOKUP(83160,Trip[shape_id],Trip[shape_id],"Não encontrado")</f>
        <v/>
      </c>
      <c r="B16649" s="40" t="n">
        <v>-23.58479</v>
      </c>
      <c r="C16649" s="40" t="n">
        <v>-46.525424</v>
      </c>
      <c r="D16649" s="40" t="n">
        <v>258</v>
      </c>
      <c r="E16649" s="41" t="n">
        <v>5294.0098</v>
      </c>
    </row>
    <row r="16650">
      <c r="A16650" s="42">
        <f>_xlfn.XLOOKUP(83160,Trip[shape_id],Trip[shape_id],"Não encontrado")</f>
        <v/>
      </c>
      <c r="B16650" s="43" t="n">
        <v>-23.584789</v>
      </c>
      <c r="C16650" s="43" t="n">
        <v>-46.525475</v>
      </c>
      <c r="D16650" s="43" t="n">
        <v>259</v>
      </c>
      <c r="E16650" s="44" t="n">
        <v>5299.2173</v>
      </c>
    </row>
    <row r="16651">
      <c r="A16651" s="39">
        <f>_xlfn.XLOOKUP(83160,Trip[shape_id],Trip[shape_id],"Não encontrado")</f>
        <v/>
      </c>
      <c r="B16651" s="40" t="n">
        <v>-23.584792</v>
      </c>
      <c r="C16651" s="40" t="n">
        <v>-46.5255</v>
      </c>
      <c r="D16651" s="40" t="n">
        <v>260</v>
      </c>
      <c r="E16651" s="41" t="n">
        <v>5301.792</v>
      </c>
    </row>
    <row r="16652">
      <c r="A16652" s="42">
        <f>_xlfn.XLOOKUP(83160,Trip[shape_id],Trip[shape_id],"Não encontrado")</f>
        <v/>
      </c>
      <c r="B16652" s="43" t="n">
        <v>-23.584823</v>
      </c>
      <c r="C16652" s="43" t="n">
        <v>-46.525595</v>
      </c>
      <c r="D16652" s="43" t="n">
        <v>261</v>
      </c>
      <c r="E16652" s="44" t="n">
        <v>5312.0786</v>
      </c>
    </row>
    <row r="16653">
      <c r="A16653" s="39">
        <f>_xlfn.XLOOKUP(83160,Trip[shape_id],Trip[shape_id],"Não encontrado")</f>
        <v/>
      </c>
      <c r="B16653" s="40" t="n">
        <v>-23.584879</v>
      </c>
      <c r="C16653" s="40" t="n">
        <v>-46.525712</v>
      </c>
      <c r="D16653" s="40" t="n">
        <v>262</v>
      </c>
      <c r="E16653" s="41" t="n">
        <v>5325.5356</v>
      </c>
    </row>
    <row r="16654">
      <c r="A16654" s="42">
        <f>_xlfn.XLOOKUP(83160,Trip[shape_id],Trip[shape_id],"Não encontrado")</f>
        <v/>
      </c>
      <c r="B16654" s="43" t="n">
        <v>-23.584937</v>
      </c>
      <c r="C16654" s="43" t="n">
        <v>-46.525816</v>
      </c>
      <c r="D16654" s="43" t="n">
        <v>263</v>
      </c>
      <c r="E16654" s="44" t="n">
        <v>5337.9438</v>
      </c>
    </row>
    <row r="16655">
      <c r="A16655" s="39">
        <f>_xlfn.XLOOKUP(83160,Trip[shape_id],Trip[shape_id],"Não encontrado")</f>
        <v/>
      </c>
      <c r="B16655" s="40" t="n">
        <v>-23.58493</v>
      </c>
      <c r="C16655" s="40" t="n">
        <v>-46.525925</v>
      </c>
      <c r="D16655" s="40" t="n">
        <v>264</v>
      </c>
      <c r="E16655" s="41" t="n">
        <v>5349.0972</v>
      </c>
    </row>
    <row r="16656">
      <c r="A16656" s="42">
        <f>_xlfn.XLOOKUP(83160,Trip[shape_id],Trip[shape_id],"Não encontrado")</f>
        <v/>
      </c>
      <c r="B16656" s="43" t="n">
        <v>-23.584937</v>
      </c>
      <c r="C16656" s="43" t="n">
        <v>-46.525976</v>
      </c>
      <c r="D16656" s="43" t="n">
        <v>265</v>
      </c>
      <c r="E16656" s="44" t="n">
        <v>5354.3613</v>
      </c>
    </row>
    <row r="16657">
      <c r="A16657" s="39">
        <f>_xlfn.XLOOKUP(83160,Trip[shape_id],Trip[shape_id],"Não encontrado")</f>
        <v/>
      </c>
      <c r="B16657" s="40" t="n">
        <v>-23.585155</v>
      </c>
      <c r="C16657" s="40" t="n">
        <v>-46.526153</v>
      </c>
      <c r="D16657" s="40" t="n">
        <v>266</v>
      </c>
      <c r="E16657" s="41" t="n">
        <v>5384.5171</v>
      </c>
    </row>
    <row r="16658">
      <c r="A16658" s="42">
        <f>_xlfn.XLOOKUP(83160,Trip[shape_id],Trip[shape_id],"Não encontrado")</f>
        <v/>
      </c>
      <c r="B16658" s="43" t="n">
        <v>-23.58516</v>
      </c>
      <c r="C16658" s="43" t="n">
        <v>-46.525964</v>
      </c>
      <c r="D16658" s="43" t="n">
        <v>267</v>
      </c>
      <c r="E16658" s="44" t="n">
        <v>5426.251</v>
      </c>
    </row>
    <row r="16659">
      <c r="A16659" s="39">
        <f>_xlfn.XLOOKUP(83160,Trip[shape_id],Trip[shape_id],"Não encontrado")</f>
        <v/>
      </c>
      <c r="B16659" s="40" t="n">
        <v>-23.585177</v>
      </c>
      <c r="C16659" s="40" t="n">
        <v>-46.525745</v>
      </c>
      <c r="D16659" s="40" t="n">
        <v>268</v>
      </c>
      <c r="E16659" s="41" t="n">
        <v>5426.251</v>
      </c>
    </row>
    <row r="16660">
      <c r="A16660" s="42">
        <f>_xlfn.XLOOKUP(83160,Trip[shape_id],Trip[shape_id],"Não encontrado")</f>
        <v/>
      </c>
      <c r="B16660" s="43" t="n">
        <v>-23.585259</v>
      </c>
      <c r="C16660" s="43" t="n">
        <v>-46.525733</v>
      </c>
      <c r="D16660" s="43" t="n">
        <v>269</v>
      </c>
      <c r="E16660" s="44" t="n">
        <v>5456.9551</v>
      </c>
    </row>
    <row r="16661">
      <c r="A16661" s="39">
        <f>_xlfn.XLOOKUP(83160,Trip[shape_id],Trip[shape_id],"Não encontrado")</f>
        <v/>
      </c>
      <c r="B16661" s="40" t="n">
        <v>-23.585453</v>
      </c>
      <c r="C16661" s="40" t="n">
        <v>-46.525718</v>
      </c>
      <c r="D16661" s="40" t="n">
        <v>270</v>
      </c>
      <c r="E16661" s="41" t="n">
        <v>5456.9551</v>
      </c>
    </row>
    <row r="16662">
      <c r="A16662" s="42">
        <f>_xlfn.XLOOKUP(83160,Trip[shape_id],Trip[shape_id],"Não encontrado")</f>
        <v/>
      </c>
      <c r="B16662" s="43" t="n">
        <v>-23.58563</v>
      </c>
      <c r="C16662" s="43" t="n">
        <v>-46.525713</v>
      </c>
      <c r="D16662" s="43" t="n">
        <v>271</v>
      </c>
      <c r="E16662" s="44" t="n">
        <v>5488.7334</v>
      </c>
    </row>
    <row r="16663">
      <c r="A16663" s="39">
        <f>_xlfn.XLOOKUP(83160,Trip[shape_id],Trip[shape_id],"Não encontrado")</f>
        <v/>
      </c>
      <c r="B16663" s="40" t="n">
        <v>-23.585739</v>
      </c>
      <c r="C16663" s="40" t="n">
        <v>-46.525698</v>
      </c>
      <c r="D16663" s="40" t="n">
        <v>272</v>
      </c>
      <c r="E16663" s="41" t="n">
        <v>5488.7334</v>
      </c>
    </row>
    <row r="16664">
      <c r="A16664" s="42">
        <f>_xlfn.XLOOKUP(83160,Trip[shape_id],Trip[shape_id],"Não encontrado")</f>
        <v/>
      </c>
      <c r="B16664" s="43" t="n">
        <v>-23.585737</v>
      </c>
      <c r="C16664" s="43" t="n">
        <v>-46.525715</v>
      </c>
      <c r="D16664" s="43" t="n">
        <v>273</v>
      </c>
      <c r="E16664" s="44" t="n">
        <v>5494.4277</v>
      </c>
    </row>
    <row r="16665">
      <c r="A16665" s="39">
        <f>_xlfn.XLOOKUP(83160,Trip[shape_id],Trip[shape_id],"Não encontrado")</f>
        <v/>
      </c>
      <c r="B16665" s="40" t="n">
        <v>-23.58575</v>
      </c>
      <c r="C16665" s="40" t="n">
        <v>-46.525751</v>
      </c>
      <c r="D16665" s="40" t="n">
        <v>274</v>
      </c>
      <c r="E16665" s="41" t="n">
        <v>5498.2642</v>
      </c>
    </row>
    <row r="16666">
      <c r="A16666" s="42">
        <f>_xlfn.XLOOKUP(83160,Trip[shape_id],Trip[shape_id],"Não encontrado")</f>
        <v/>
      </c>
      <c r="B16666" s="43" t="n">
        <v>-23.585775</v>
      </c>
      <c r="C16666" s="43" t="n">
        <v>-46.525777</v>
      </c>
      <c r="D16666" s="43" t="n">
        <v>275</v>
      </c>
      <c r="E16666" s="44" t="n">
        <v>5498.2642</v>
      </c>
    </row>
    <row r="16667">
      <c r="A16667" s="39">
        <f>_xlfn.XLOOKUP(83160,Trip[shape_id],Trip[shape_id],"Não encontrado")</f>
        <v/>
      </c>
      <c r="B16667" s="40" t="n">
        <v>-23.585956</v>
      </c>
      <c r="C16667" s="40" t="n">
        <v>-46.52618</v>
      </c>
      <c r="D16667" s="40" t="n">
        <v>276</v>
      </c>
      <c r="E16667" s="41" t="n">
        <v>5544.0249</v>
      </c>
    </row>
    <row r="16668">
      <c r="A16668" s="42">
        <f>_xlfn.XLOOKUP(83160,Trip[shape_id],Trip[shape_id],"Não encontrado")</f>
        <v/>
      </c>
      <c r="B16668" s="43" t="n">
        <v>-23.586237</v>
      </c>
      <c r="C16668" s="43" t="n">
        <v>-46.526759</v>
      </c>
      <c r="D16668" s="43" t="n">
        <v>277</v>
      </c>
      <c r="E16668" s="44" t="n">
        <v>5610.8193</v>
      </c>
    </row>
    <row r="16669">
      <c r="A16669" s="39">
        <f>_xlfn.XLOOKUP(83160,Trip[shape_id],Trip[shape_id],"Não encontrado")</f>
        <v/>
      </c>
      <c r="B16669" s="40" t="n">
        <v>-23.58651</v>
      </c>
      <c r="C16669" s="40" t="n">
        <v>-46.527347</v>
      </c>
      <c r="D16669" s="40" t="n">
        <v>278</v>
      </c>
      <c r="E16669" s="41" t="n">
        <v>5678.0244</v>
      </c>
    </row>
    <row r="16670">
      <c r="A16670" s="42">
        <f>_xlfn.XLOOKUP(83160,Trip[shape_id],Trip[shape_id],"Não encontrado")</f>
        <v/>
      </c>
      <c r="B16670" s="43" t="n">
        <v>-23.586785</v>
      </c>
      <c r="C16670" s="43" t="n">
        <v>-46.5279</v>
      </c>
      <c r="D16670" s="43" t="n">
        <v>279</v>
      </c>
      <c r="E16670" s="44" t="n">
        <v>5742.1641</v>
      </c>
    </row>
    <row r="16671">
      <c r="A16671" s="39">
        <f>_xlfn.XLOOKUP(83160,Trip[shape_id],Trip[shape_id],"Não encontrado")</f>
        <v/>
      </c>
      <c r="B16671" s="40" t="n">
        <v>-23.586958</v>
      </c>
      <c r="C16671" s="40" t="n">
        <v>-46.528286</v>
      </c>
      <c r="D16671" s="40" t="n">
        <v>280</v>
      </c>
      <c r="E16671" s="41" t="n">
        <v>5785.9761</v>
      </c>
    </row>
    <row r="16672">
      <c r="A16672" s="42">
        <f>_xlfn.XLOOKUP(83160,Trip[shape_id],Trip[shape_id],"Não encontrado")</f>
        <v/>
      </c>
      <c r="B16672" s="43" t="n">
        <v>-23.587063</v>
      </c>
      <c r="C16672" s="43" t="n">
        <v>-46.528495</v>
      </c>
      <c r="D16672" s="43" t="n">
        <v>281</v>
      </c>
      <c r="E16672" s="44" t="n">
        <v>5810.2729</v>
      </c>
    </row>
    <row r="16673">
      <c r="A16673" s="39">
        <f>_xlfn.XLOOKUP(83160,Trip[shape_id],Trip[shape_id],"Não encontrado")</f>
        <v/>
      </c>
      <c r="B16673" s="40" t="n">
        <v>-23.587396</v>
      </c>
      <c r="C16673" s="40" t="n">
        <v>-46.529209</v>
      </c>
      <c r="D16673" s="40" t="n">
        <v>282</v>
      </c>
      <c r="E16673" s="41" t="n">
        <v>5891.9536</v>
      </c>
    </row>
    <row r="16674">
      <c r="A16674" s="42">
        <f>_xlfn.XLOOKUP(83160,Trip[shape_id],Trip[shape_id],"Não encontrado")</f>
        <v/>
      </c>
      <c r="B16674" s="43" t="n">
        <v>-23.588077</v>
      </c>
      <c r="C16674" s="43" t="n">
        <v>-46.529678</v>
      </c>
      <c r="D16674" s="43" t="n">
        <v>283</v>
      </c>
      <c r="E16674" s="44" t="n">
        <v>5981.2861</v>
      </c>
    </row>
    <row r="16675">
      <c r="A16675" s="39">
        <f>_xlfn.XLOOKUP(83160,Trip[shape_id],Trip[shape_id],"Não encontrado")</f>
        <v/>
      </c>
      <c r="B16675" s="40" t="n">
        <v>-23.588119</v>
      </c>
      <c r="C16675" s="40" t="n">
        <v>-46.529709</v>
      </c>
      <c r="D16675" s="40" t="n">
        <v>284</v>
      </c>
      <c r="E16675" s="41" t="n">
        <v>5986.9126</v>
      </c>
    </row>
    <row r="16676">
      <c r="A16676" s="42">
        <f>_xlfn.XLOOKUP(83160,Trip[shape_id],Trip[shape_id],"Não encontrado")</f>
        <v/>
      </c>
      <c r="B16676" s="43" t="n">
        <v>-23.589107</v>
      </c>
      <c r="C16676" s="43" t="n">
        <v>-46.530413</v>
      </c>
      <c r="D16676" s="43" t="n">
        <v>285</v>
      </c>
      <c r="E16676" s="44" t="n">
        <v>6117.8218</v>
      </c>
    </row>
    <row r="16677">
      <c r="A16677" s="39">
        <f>_xlfn.XLOOKUP(83160,Trip[shape_id],Trip[shape_id],"Não encontrado")</f>
        <v/>
      </c>
      <c r="B16677" s="40" t="n">
        <v>-23.589203</v>
      </c>
      <c r="C16677" s="40" t="n">
        <v>-46.530483</v>
      </c>
      <c r="D16677" s="40" t="n">
        <v>286</v>
      </c>
      <c r="E16677" s="41" t="n">
        <v>6130.6318</v>
      </c>
    </row>
    <row r="16678">
      <c r="A16678" s="42">
        <f>_xlfn.XLOOKUP(83160,Trip[shape_id],Trip[shape_id],"Não encontrado")</f>
        <v/>
      </c>
      <c r="B16678" s="43" t="n">
        <v>-23.589298</v>
      </c>
      <c r="C16678" s="43" t="n">
        <v>-46.530561</v>
      </c>
      <c r="D16678" s="43" t="n">
        <v>287</v>
      </c>
      <c r="E16678" s="44" t="n">
        <v>6143.8262</v>
      </c>
    </row>
    <row r="16679">
      <c r="A16679" s="39">
        <f>_xlfn.XLOOKUP(83160,Trip[shape_id],Trip[shape_id],"Não encontrado")</f>
        <v/>
      </c>
      <c r="B16679" s="40" t="n">
        <v>-23.589556</v>
      </c>
      <c r="C16679" s="40" t="n">
        <v>-46.53074</v>
      </c>
      <c r="D16679" s="40" t="n">
        <v>288</v>
      </c>
      <c r="E16679" s="41" t="n">
        <v>6177.7422</v>
      </c>
    </row>
    <row r="16680">
      <c r="A16680" s="42">
        <f>_xlfn.XLOOKUP(83160,Trip[shape_id],Trip[shape_id],"Não encontrado")</f>
        <v/>
      </c>
      <c r="B16680" s="43" t="n">
        <v>-23.589642</v>
      </c>
      <c r="C16680" s="43" t="n">
        <v>-46.530759</v>
      </c>
      <c r="D16680" s="43" t="n">
        <v>289</v>
      </c>
      <c r="E16680" s="44" t="n">
        <v>6187.4619</v>
      </c>
    </row>
    <row r="16681">
      <c r="A16681" s="39">
        <f>_xlfn.XLOOKUP(83160,Trip[shape_id],Trip[shape_id],"Não encontrado")</f>
        <v/>
      </c>
      <c r="B16681" s="40" t="n">
        <v>-23.589732</v>
      </c>
      <c r="C16681" s="40" t="n">
        <v>-46.530889</v>
      </c>
      <c r="D16681" s="40" t="n">
        <v>290</v>
      </c>
      <c r="E16681" s="41" t="n">
        <v>6204.0581</v>
      </c>
    </row>
    <row r="16682">
      <c r="A16682" s="42">
        <f>_xlfn.XLOOKUP(83160,Trip[shape_id],Trip[shape_id],"Não encontrado")</f>
        <v/>
      </c>
      <c r="B16682" s="43" t="n">
        <v>-23.589772</v>
      </c>
      <c r="C16682" s="43" t="n">
        <v>-46.530987</v>
      </c>
      <c r="D16682" s="43" t="n">
        <v>291</v>
      </c>
      <c r="E16682" s="44" t="n">
        <v>6214.998</v>
      </c>
    </row>
    <row r="16683">
      <c r="A16683" s="39">
        <f>_xlfn.XLOOKUP(83160,Trip[shape_id],Trip[shape_id],"Não encontrado")</f>
        <v/>
      </c>
      <c r="B16683" s="40" t="n">
        <v>-23.589847</v>
      </c>
      <c r="C16683" s="40" t="n">
        <v>-46.531183</v>
      </c>
      <c r="D16683" s="40" t="n">
        <v>292</v>
      </c>
      <c r="E16683" s="41" t="n">
        <v>6236.6597</v>
      </c>
    </row>
    <row r="16684">
      <c r="A16684" s="42">
        <f>_xlfn.XLOOKUP(83160,Trip[shape_id],Trip[shape_id],"Não encontrado")</f>
        <v/>
      </c>
      <c r="B16684" s="43" t="n">
        <v>-23.590021</v>
      </c>
      <c r="C16684" s="43" t="n">
        <v>-46.530842</v>
      </c>
      <c r="D16684" s="43" t="n">
        <v>293</v>
      </c>
      <c r="E16684" s="44" t="n">
        <v>6283.7446</v>
      </c>
    </row>
    <row r="16685">
      <c r="A16685" s="39">
        <f>_xlfn.XLOOKUP(83160,Trip[shape_id],Trip[shape_id],"Não encontrado")</f>
        <v/>
      </c>
      <c r="B16685" s="40" t="n">
        <v>-23.590062</v>
      </c>
      <c r="C16685" s="40" t="n">
        <v>-46.530786</v>
      </c>
      <c r="D16685" s="40" t="n">
        <v>294</v>
      </c>
      <c r="E16685" s="41" t="n">
        <v>6283.7446</v>
      </c>
    </row>
    <row r="16686">
      <c r="A16686" s="42">
        <f>_xlfn.XLOOKUP(83160,Trip[shape_id],Trip[shape_id],"Não encontrado")</f>
        <v/>
      </c>
      <c r="B16686" s="43" t="n">
        <v>-23.590122</v>
      </c>
      <c r="C16686" s="43" t="n">
        <v>-46.530704</v>
      </c>
      <c r="D16686" s="43" t="n">
        <v>295</v>
      </c>
      <c r="E16686" s="44" t="n">
        <v>6320.3271</v>
      </c>
    </row>
    <row r="16687">
      <c r="A16687" s="39">
        <f>_xlfn.XLOOKUP(83160,Trip[shape_id],Trip[shape_id],"Não encontrado")</f>
        <v/>
      </c>
      <c r="B16687" s="40" t="n">
        <v>-23.590279</v>
      </c>
      <c r="C16687" s="40" t="n">
        <v>-46.530516</v>
      </c>
      <c r="D16687" s="40" t="n">
        <v>296</v>
      </c>
      <c r="E16687" s="41" t="n">
        <v>6356.4297</v>
      </c>
    </row>
    <row r="16688">
      <c r="A16688" s="42">
        <f>_xlfn.XLOOKUP(83160,Trip[shape_id],Trip[shape_id],"Não encontrado")</f>
        <v/>
      </c>
      <c r="B16688" s="43" t="n">
        <v>-23.590499</v>
      </c>
      <c r="C16688" s="43" t="n">
        <v>-46.530255</v>
      </c>
      <c r="D16688" s="43" t="n">
        <v>297</v>
      </c>
      <c r="E16688" s="44" t="n">
        <v>6356.4297</v>
      </c>
    </row>
    <row r="16689">
      <c r="A16689" s="39">
        <f>_xlfn.XLOOKUP(83160,Trip[shape_id],Trip[shape_id],"Não encontrado")</f>
        <v/>
      </c>
      <c r="B16689" s="40" t="n">
        <v>-23.59059</v>
      </c>
      <c r="C16689" s="40" t="n">
        <v>-46.530148</v>
      </c>
      <c r="D16689" s="40" t="n">
        <v>298</v>
      </c>
      <c r="E16689" s="41" t="n">
        <v>6371.291</v>
      </c>
    </row>
    <row r="16690">
      <c r="A16690" s="42">
        <f>_xlfn.XLOOKUP(83160,Trip[shape_id],Trip[shape_id],"Não encontrado")</f>
        <v/>
      </c>
      <c r="B16690" s="43" t="n">
        <v>-23.591087</v>
      </c>
      <c r="C16690" s="43" t="n">
        <v>-46.529598</v>
      </c>
      <c r="D16690" s="43" t="n">
        <v>299</v>
      </c>
      <c r="E16690" s="44" t="n">
        <v>6449.9131</v>
      </c>
    </row>
    <row r="16691">
      <c r="A16691" s="39">
        <f>_xlfn.XLOOKUP(83160,Trip[shape_id],Trip[shape_id],"Não encontrado")</f>
        <v/>
      </c>
      <c r="B16691" s="40" t="n">
        <v>-23.591594</v>
      </c>
      <c r="C16691" s="40" t="n">
        <v>-46.529001</v>
      </c>
      <c r="D16691" s="40" t="n">
        <v>300</v>
      </c>
      <c r="E16691" s="41" t="n">
        <v>6532.7754</v>
      </c>
    </row>
    <row r="16692">
      <c r="A16692" s="42">
        <f>_xlfn.XLOOKUP(83160,Trip[shape_id],Trip[shape_id],"Não encontrado")</f>
        <v/>
      </c>
      <c r="B16692" s="43" t="n">
        <v>-23.592097</v>
      </c>
      <c r="C16692" s="43" t="n">
        <v>-46.528427</v>
      </c>
      <c r="D16692" s="43" t="n">
        <v>301</v>
      </c>
      <c r="E16692" s="44" t="n">
        <v>6626.6846</v>
      </c>
    </row>
    <row r="16693">
      <c r="A16693" s="39">
        <f>_xlfn.XLOOKUP(83160,Trip[shape_id],Trip[shape_id],"Não encontrado")</f>
        <v/>
      </c>
      <c r="B16693" s="40" t="n">
        <v>-23.592179</v>
      </c>
      <c r="C16693" s="40" t="n">
        <v>-46.528335</v>
      </c>
      <c r="D16693" s="40" t="n">
        <v>302</v>
      </c>
      <c r="E16693" s="41" t="n">
        <v>6646.7739</v>
      </c>
    </row>
    <row r="16694">
      <c r="A16694" s="42">
        <f>_xlfn.XLOOKUP(83160,Trip[shape_id],Trip[shape_id],"Não encontrado")</f>
        <v/>
      </c>
      <c r="B16694" s="43" t="n">
        <v>-23.592311</v>
      </c>
      <c r="C16694" s="43" t="n">
        <v>-46.5282</v>
      </c>
      <c r="D16694" s="43" t="n">
        <v>303</v>
      </c>
      <c r="E16694" s="44" t="n">
        <v>6685.5527</v>
      </c>
    </row>
    <row r="16695">
      <c r="A16695" s="39">
        <f>_xlfn.XLOOKUP(83160,Trip[shape_id],Trip[shape_id],"Não encontrado")</f>
        <v/>
      </c>
      <c r="B16695" s="40" t="n">
        <v>-23.592561</v>
      </c>
      <c r="C16695" s="40" t="n">
        <v>-46.527934</v>
      </c>
      <c r="D16695" s="40" t="n">
        <v>304</v>
      </c>
      <c r="E16695" s="41" t="n">
        <v>6731.4082</v>
      </c>
    </row>
    <row r="16696">
      <c r="A16696" s="42">
        <f>_xlfn.XLOOKUP(83160,Trip[shape_id],Trip[shape_id],"Não encontrado")</f>
        <v/>
      </c>
      <c r="B16696" s="43" t="n">
        <v>-23.592865</v>
      </c>
      <c r="C16696" s="43" t="n">
        <v>-46.527629</v>
      </c>
      <c r="D16696" s="43" t="n">
        <v>305</v>
      </c>
      <c r="E16696" s="44" t="n">
        <v>6775.584</v>
      </c>
    </row>
    <row r="16697">
      <c r="A16697" s="39">
        <f>_xlfn.XLOOKUP(83160,Trip[shape_id],Trip[shape_id],"Não encontrado")</f>
        <v/>
      </c>
      <c r="B16697" s="40" t="n">
        <v>-23.593156</v>
      </c>
      <c r="C16697" s="40" t="n">
        <v>-46.527333</v>
      </c>
      <c r="D16697" s="40" t="n">
        <v>306</v>
      </c>
      <c r="E16697" s="41" t="n">
        <v>6775.584</v>
      </c>
    </row>
    <row r="16698">
      <c r="A16698" s="42">
        <f>_xlfn.XLOOKUP(83160,Trip[shape_id],Trip[shape_id],"Não encontrado")</f>
        <v/>
      </c>
      <c r="B16698" s="43" t="n">
        <v>-23.593763</v>
      </c>
      <c r="C16698" s="43" t="n">
        <v>-46.526703</v>
      </c>
      <c r="D16698" s="43" t="n">
        <v>307</v>
      </c>
      <c r="E16698" s="44" t="n">
        <v>6868.6128</v>
      </c>
    </row>
    <row r="16699">
      <c r="A16699" s="39">
        <f>_xlfn.XLOOKUP(83160,Trip[shape_id],Trip[shape_id],"Não encontrado")</f>
        <v/>
      </c>
      <c r="B16699" s="40" t="n">
        <v>-23.594217</v>
      </c>
      <c r="C16699" s="40" t="n">
        <v>-46.526255</v>
      </c>
      <c r="D16699" s="40" t="n">
        <v>308</v>
      </c>
      <c r="E16699" s="41" t="n">
        <v>6936.5771</v>
      </c>
    </row>
    <row r="16700">
      <c r="A16700" s="42">
        <f>_xlfn.XLOOKUP(83160,Trip[shape_id],Trip[shape_id],"Não encontrado")</f>
        <v/>
      </c>
      <c r="B16700" s="43" t="n">
        <v>-23.594534</v>
      </c>
      <c r="C16700" s="43" t="n">
        <v>-46.525932</v>
      </c>
      <c r="D16700" s="43" t="n">
        <v>309</v>
      </c>
      <c r="E16700" s="44" t="n">
        <v>7009.0571</v>
      </c>
    </row>
    <row r="16701">
      <c r="A16701" s="39">
        <f>_xlfn.XLOOKUP(83160,Trip[shape_id],Trip[shape_id],"Não encontrado")</f>
        <v/>
      </c>
      <c r="B16701" s="40" t="n">
        <v>-23.594711</v>
      </c>
      <c r="C16701" s="40" t="n">
        <v>-46.525791</v>
      </c>
      <c r="D16701" s="40" t="n">
        <v>310</v>
      </c>
      <c r="E16701" s="41" t="n">
        <v>7009.0571</v>
      </c>
    </row>
    <row r="16702">
      <c r="A16702" s="42">
        <f>_xlfn.XLOOKUP(83160,Trip[shape_id],Trip[shape_id],"Não encontrado")</f>
        <v/>
      </c>
      <c r="B16702" s="43" t="n">
        <v>-23.594665</v>
      </c>
      <c r="C16702" s="43" t="n">
        <v>-46.526064</v>
      </c>
      <c r="D16702" s="43" t="n">
        <v>311</v>
      </c>
      <c r="E16702" s="44" t="n">
        <v>7037.3838</v>
      </c>
    </row>
    <row r="16703">
      <c r="A16703" s="39">
        <f>_xlfn.XLOOKUP(83160,Trip[shape_id],Trip[shape_id],"Não encontrado")</f>
        <v/>
      </c>
      <c r="B16703" s="40" t="n">
        <v>-23.594627</v>
      </c>
      <c r="C16703" s="40" t="n">
        <v>-46.526285</v>
      </c>
      <c r="D16703" s="40" t="n">
        <v>312</v>
      </c>
      <c r="E16703" s="41" t="n">
        <v>7060.3301</v>
      </c>
    </row>
    <row r="16704">
      <c r="A16704" s="42">
        <f>_xlfn.XLOOKUP(83160,Trip[shape_id],Trip[shape_id],"Não encontrado")</f>
        <v/>
      </c>
      <c r="B16704" s="43" t="n">
        <v>-23.594609</v>
      </c>
      <c r="C16704" s="43" t="n">
        <v>-46.526432</v>
      </c>
      <c r="D16704" s="43" t="n">
        <v>313</v>
      </c>
      <c r="E16704" s="44" t="n">
        <v>7075.4658</v>
      </c>
    </row>
    <row r="16705">
      <c r="A16705" s="39">
        <f>_xlfn.XLOOKUP(83160,Trip[shape_id],Trip[shape_id],"Não encontrado")</f>
        <v/>
      </c>
      <c r="B16705" s="40" t="n">
        <v>-23.59459</v>
      </c>
      <c r="C16705" s="40" t="n">
        <v>-46.526518</v>
      </c>
      <c r="D16705" s="40" t="n">
        <v>314</v>
      </c>
      <c r="E16705" s="41" t="n">
        <v>7084.4917</v>
      </c>
    </row>
    <row r="16706">
      <c r="A16706" s="42">
        <f>_xlfn.XLOOKUP(83160,Trip[shape_id],Trip[shape_id],"Não encontrado")</f>
        <v/>
      </c>
      <c r="B16706" s="43" t="n">
        <v>-23.594552</v>
      </c>
      <c r="C16706" s="43" t="n">
        <v>-46.52667</v>
      </c>
      <c r="D16706" s="43" t="n">
        <v>315</v>
      </c>
      <c r="E16706" s="44" t="n">
        <v>7100.5664</v>
      </c>
    </row>
    <row r="16707">
      <c r="A16707" s="39">
        <f>_xlfn.XLOOKUP(83160,Trip[shape_id],Trip[shape_id],"Não encontrado")</f>
        <v/>
      </c>
      <c r="B16707" s="40" t="n">
        <v>-23.594518</v>
      </c>
      <c r="C16707" s="40" t="n">
        <v>-46.526766</v>
      </c>
      <c r="D16707" s="40" t="n">
        <v>316</v>
      </c>
      <c r="E16707" s="41" t="n">
        <v>7111.0635</v>
      </c>
    </row>
    <row r="16708">
      <c r="A16708" s="42">
        <f>_xlfn.XLOOKUP(83160,Trip[shape_id],Trip[shape_id],"Não encontrado")</f>
        <v/>
      </c>
      <c r="B16708" s="43" t="n">
        <v>-23.594483</v>
      </c>
      <c r="C16708" s="43" t="n">
        <v>-46.526861</v>
      </c>
      <c r="D16708" s="43" t="n">
        <v>317</v>
      </c>
      <c r="E16708" s="44" t="n">
        <v>7121.5063</v>
      </c>
    </row>
    <row r="16709">
      <c r="A16709" s="39">
        <f>_xlfn.XLOOKUP(83160,Trip[shape_id],Trip[shape_id],"Não encontrado")</f>
        <v/>
      </c>
      <c r="B16709" s="40" t="n">
        <v>-23.594384</v>
      </c>
      <c r="C16709" s="40" t="n">
        <v>-46.527049</v>
      </c>
      <c r="D16709" s="40" t="n">
        <v>318</v>
      </c>
      <c r="E16709" s="41" t="n">
        <v>7143.6069</v>
      </c>
    </row>
    <row r="16710">
      <c r="A16710" s="42">
        <f>_xlfn.XLOOKUP(83160,Trip[shape_id],Trip[shape_id],"Não encontrado")</f>
        <v/>
      </c>
      <c r="B16710" s="43" t="n">
        <v>-23.594305</v>
      </c>
      <c r="C16710" s="43" t="n">
        <v>-46.527179</v>
      </c>
      <c r="D16710" s="43" t="n">
        <v>319</v>
      </c>
      <c r="E16710" s="44" t="n">
        <v>7159.501</v>
      </c>
    </row>
    <row r="16711">
      <c r="A16711" s="39">
        <f>_xlfn.XLOOKUP(83160,Trip[shape_id],Trip[shape_id],"Não encontrado")</f>
        <v/>
      </c>
      <c r="B16711" s="40" t="n">
        <v>-23.594258</v>
      </c>
      <c r="C16711" s="40" t="n">
        <v>-46.527243</v>
      </c>
      <c r="D16711" s="40" t="n">
        <v>320</v>
      </c>
      <c r="E16711" s="41" t="n">
        <v>7167.8535</v>
      </c>
    </row>
    <row r="16712">
      <c r="A16712" s="42">
        <f>_xlfn.XLOOKUP(83160,Trip[shape_id],Trip[shape_id],"Não encontrado")</f>
        <v/>
      </c>
      <c r="B16712" s="43" t="n">
        <v>-23.594214</v>
      </c>
      <c r="C16712" s="43" t="n">
        <v>-46.527291</v>
      </c>
      <c r="D16712" s="43" t="n">
        <v>321</v>
      </c>
      <c r="E16712" s="44" t="n">
        <v>7174.7642</v>
      </c>
    </row>
    <row r="16713">
      <c r="A16713" s="39">
        <f>_xlfn.XLOOKUP(83160,Trip[shape_id],Trip[shape_id],"Não encontrado")</f>
        <v/>
      </c>
      <c r="B16713" s="40" t="n">
        <v>-23.593947</v>
      </c>
      <c r="C16713" s="40" t="n">
        <v>-46.527542</v>
      </c>
      <c r="D16713" s="40" t="n">
        <v>322</v>
      </c>
      <c r="E16713" s="41" t="n">
        <v>7213.8892</v>
      </c>
    </row>
    <row r="16714">
      <c r="A16714" s="42">
        <f>_xlfn.XLOOKUP(83160,Trip[shape_id],Trip[shape_id],"Não encontrado")</f>
        <v/>
      </c>
      <c r="B16714" s="43" t="n">
        <v>-23.59379</v>
      </c>
      <c r="C16714" s="43" t="n">
        <v>-46.527708</v>
      </c>
      <c r="D16714" s="43" t="n">
        <v>323</v>
      </c>
      <c r="E16714" s="44" t="n">
        <v>7238.167</v>
      </c>
    </row>
    <row r="16715">
      <c r="A16715" s="39">
        <f>_xlfn.XLOOKUP(83160,Trip[shape_id],Trip[shape_id],"Não encontrado")</f>
        <v/>
      </c>
      <c r="B16715" s="40" t="n">
        <v>-23.593626</v>
      </c>
      <c r="C16715" s="40" t="n">
        <v>-46.52786</v>
      </c>
      <c r="D16715" s="40" t="n">
        <v>324</v>
      </c>
      <c r="E16715" s="41" t="n">
        <v>7262.0542</v>
      </c>
    </row>
    <row r="16716">
      <c r="A16716" s="42">
        <f>_xlfn.XLOOKUP(83160,Trip[shape_id],Trip[shape_id],"Não encontrado")</f>
        <v/>
      </c>
      <c r="B16716" s="43" t="n">
        <v>-23.593388</v>
      </c>
      <c r="C16716" s="43" t="n">
        <v>-46.528086</v>
      </c>
      <c r="D16716" s="43" t="n">
        <v>325</v>
      </c>
      <c r="E16716" s="44" t="n">
        <v>7297.0815</v>
      </c>
    </row>
    <row r="16717">
      <c r="A16717" s="39">
        <f>_xlfn.XLOOKUP(83160,Trip[shape_id],Trip[shape_id],"Não encontrado")</f>
        <v/>
      </c>
      <c r="B16717" s="40" t="n">
        <v>-23.593238</v>
      </c>
      <c r="C16717" s="40" t="n">
        <v>-46.528223</v>
      </c>
      <c r="D16717" s="40" t="n">
        <v>326</v>
      </c>
      <c r="E16717" s="41" t="n">
        <v>7318.7964</v>
      </c>
    </row>
    <row r="16718">
      <c r="A16718" s="42">
        <f>_xlfn.XLOOKUP(83160,Trip[shape_id],Trip[shape_id],"Não encontrado")</f>
        <v/>
      </c>
      <c r="B16718" s="43" t="n">
        <v>-23.593188</v>
      </c>
      <c r="C16718" s="43" t="n">
        <v>-46.528273</v>
      </c>
      <c r="D16718" s="43" t="n">
        <v>327</v>
      </c>
      <c r="E16718" s="44" t="n">
        <v>7326.3271</v>
      </c>
    </row>
    <row r="16719">
      <c r="A16719" s="39">
        <f>_xlfn.XLOOKUP(83160,Trip[shape_id],Trip[shape_id],"Não encontrado")</f>
        <v/>
      </c>
      <c r="B16719" s="40" t="n">
        <v>-23.593131</v>
      </c>
      <c r="C16719" s="40" t="n">
        <v>-46.528336</v>
      </c>
      <c r="D16719" s="40" t="n">
        <v>328</v>
      </c>
      <c r="E16719" s="41" t="n">
        <v>7335.3379</v>
      </c>
    </row>
    <row r="16720">
      <c r="A16720" s="42">
        <f>_xlfn.XLOOKUP(83160,Trip[shape_id],Trip[shape_id],"Não encontrado")</f>
        <v/>
      </c>
      <c r="B16720" s="43" t="n">
        <v>-23.592929</v>
      </c>
      <c r="C16720" s="43" t="n">
        <v>-46.528556</v>
      </c>
      <c r="D16720" s="43" t="n">
        <v>329</v>
      </c>
      <c r="E16720" s="44" t="n">
        <v>7367.0356</v>
      </c>
    </row>
    <row r="16721">
      <c r="A16721" s="39">
        <f>_xlfn.XLOOKUP(83160,Trip[shape_id],Trip[shape_id],"Não encontrado")</f>
        <v/>
      </c>
      <c r="B16721" s="40" t="n">
        <v>-23.591913</v>
      </c>
      <c r="C16721" s="40" t="n">
        <v>-46.529728</v>
      </c>
      <c r="D16721" s="40" t="n">
        <v>330</v>
      </c>
      <c r="E16721" s="41" t="n">
        <v>7531.2671</v>
      </c>
    </row>
    <row r="16722">
      <c r="A16722" s="42">
        <f>_xlfn.XLOOKUP(83160,Trip[shape_id],Trip[shape_id],"Não encontrado")</f>
        <v/>
      </c>
      <c r="B16722" s="43" t="n">
        <v>-23.591503</v>
      </c>
      <c r="C16722" s="43" t="n">
        <v>-46.5302</v>
      </c>
      <c r="D16722" s="43" t="n">
        <v>331</v>
      </c>
      <c r="E16722" s="44" t="n">
        <v>7597.4712</v>
      </c>
    </row>
    <row r="16723">
      <c r="A16723" s="39">
        <f>_xlfn.XLOOKUP(83160,Trip[shape_id],Trip[shape_id],"Não encontrado")</f>
        <v/>
      </c>
      <c r="B16723" s="40" t="n">
        <v>-23.591387</v>
      </c>
      <c r="C16723" s="40" t="n">
        <v>-46.530357</v>
      </c>
      <c r="D16723" s="40" t="n">
        <v>332</v>
      </c>
      <c r="E16723" s="41" t="n">
        <v>7618.0103</v>
      </c>
    </row>
    <row r="16724">
      <c r="A16724" s="42">
        <f>_xlfn.XLOOKUP(83160,Trip[shape_id],Trip[shape_id],"Não encontrado")</f>
        <v/>
      </c>
      <c r="B16724" s="43" t="n">
        <v>-23.591289</v>
      </c>
      <c r="C16724" s="43" t="n">
        <v>-46.530554</v>
      </c>
      <c r="D16724" s="43" t="n">
        <v>333</v>
      </c>
      <c r="E16724" s="44" t="n">
        <v>7640.8604</v>
      </c>
    </row>
    <row r="16725">
      <c r="A16725" s="39">
        <f>_xlfn.XLOOKUP(83160,Trip[shape_id],Trip[shape_id],"Não encontrado")</f>
        <v/>
      </c>
      <c r="B16725" s="40" t="n">
        <v>-23.591264</v>
      </c>
      <c r="C16725" s="40" t="n">
        <v>-46.530603</v>
      </c>
      <c r="D16725" s="40" t="n">
        <v>334</v>
      </c>
      <c r="E16725" s="41" t="n">
        <v>7646.5767</v>
      </c>
    </row>
    <row r="16726">
      <c r="A16726" s="42">
        <f>_xlfn.XLOOKUP(83160,Trip[shape_id],Trip[shape_id],"Não encontrado")</f>
        <v/>
      </c>
      <c r="B16726" s="43" t="n">
        <v>-23.591144</v>
      </c>
      <c r="C16726" s="43" t="n">
        <v>-46.530795</v>
      </c>
      <c r="D16726" s="43" t="n">
        <v>335</v>
      </c>
      <c r="E16726" s="44" t="n">
        <v>7670.2559</v>
      </c>
    </row>
    <row r="16727">
      <c r="A16727" s="39">
        <f>_xlfn.XLOOKUP(83160,Trip[shape_id],Trip[shape_id],"Não encontrado")</f>
        <v/>
      </c>
      <c r="B16727" s="40" t="n">
        <v>-23.591006</v>
      </c>
      <c r="C16727" s="40" t="n">
        <v>-46.531055</v>
      </c>
      <c r="D16727" s="40" t="n">
        <v>336</v>
      </c>
      <c r="E16727" s="41" t="n">
        <v>7700.8809</v>
      </c>
    </row>
    <row r="16728">
      <c r="A16728" s="42">
        <f>_xlfn.XLOOKUP(83160,Trip[shape_id],Trip[shape_id],"Não encontrado")</f>
        <v/>
      </c>
      <c r="B16728" s="43" t="n">
        <v>-23.590882</v>
      </c>
      <c r="C16728" s="43" t="n">
        <v>-46.531284</v>
      </c>
      <c r="D16728" s="43" t="n">
        <v>337</v>
      </c>
      <c r="E16728" s="44" t="n">
        <v>7727.9907</v>
      </c>
    </row>
    <row r="16729">
      <c r="A16729" s="39">
        <f>_xlfn.XLOOKUP(83160,Trip[shape_id],Trip[shape_id],"Não encontrado")</f>
        <v/>
      </c>
      <c r="B16729" s="40" t="n">
        <v>-23.59073</v>
      </c>
      <c r="C16729" s="40" t="n">
        <v>-46.531547</v>
      </c>
      <c r="D16729" s="40" t="n">
        <v>338</v>
      </c>
      <c r="E16729" s="41" t="n">
        <v>7759.6772</v>
      </c>
    </row>
    <row r="16730">
      <c r="A16730" s="42">
        <f>_xlfn.XLOOKUP(83160,Trip[shape_id],Trip[shape_id],"Não encontrado")</f>
        <v/>
      </c>
      <c r="B16730" s="43" t="n">
        <v>-23.590601</v>
      </c>
      <c r="C16730" s="43" t="n">
        <v>-46.53171</v>
      </c>
      <c r="D16730" s="43" t="n">
        <v>339</v>
      </c>
      <c r="E16730" s="44" t="n">
        <v>7781.6074</v>
      </c>
    </row>
    <row r="16731">
      <c r="A16731" s="39">
        <f>_xlfn.XLOOKUP(83160,Trip[shape_id],Trip[shape_id],"Não encontrado")</f>
        <v/>
      </c>
      <c r="B16731" s="40" t="n">
        <v>-23.590508</v>
      </c>
      <c r="C16731" s="40" t="n">
        <v>-46.531788</v>
      </c>
      <c r="D16731" s="40" t="n">
        <v>340</v>
      </c>
      <c r="E16731" s="41" t="n">
        <v>7794.6255</v>
      </c>
    </row>
    <row r="16732">
      <c r="A16732" s="42">
        <f>_xlfn.XLOOKUP(83160,Trip[shape_id],Trip[shape_id],"Não encontrado")</f>
        <v/>
      </c>
      <c r="B16732" s="43" t="n">
        <v>-23.590368</v>
      </c>
      <c r="C16732" s="43" t="n">
        <v>-46.531885</v>
      </c>
      <c r="D16732" s="43" t="n">
        <v>341</v>
      </c>
      <c r="E16732" s="44" t="n">
        <v>7813.022</v>
      </c>
    </row>
    <row r="16733">
      <c r="A16733" s="39">
        <f>_xlfn.XLOOKUP(83160,Trip[shape_id],Trip[shape_id],"Não encontrado")</f>
        <v/>
      </c>
      <c r="B16733" s="40" t="n">
        <v>-23.590269</v>
      </c>
      <c r="C16733" s="40" t="n">
        <v>-46.531941</v>
      </c>
      <c r="D16733" s="40" t="n">
        <v>342</v>
      </c>
      <c r="E16733" s="41" t="n">
        <v>7825.3872</v>
      </c>
    </row>
    <row r="16734">
      <c r="A16734" s="42">
        <f>_xlfn.XLOOKUP(83160,Trip[shape_id],Trip[shape_id],"Não encontrado")</f>
        <v/>
      </c>
      <c r="B16734" s="43" t="n">
        <v>-23.590172</v>
      </c>
      <c r="C16734" s="43" t="n">
        <v>-46.531995</v>
      </c>
      <c r="D16734" s="43" t="n">
        <v>343</v>
      </c>
      <c r="E16734" s="44" t="n">
        <v>7837.4614</v>
      </c>
    </row>
    <row r="16735">
      <c r="A16735" s="39">
        <f>_xlfn.XLOOKUP(83160,Trip[shape_id],Trip[shape_id],"Não encontrado")</f>
        <v/>
      </c>
      <c r="B16735" s="40" t="n">
        <v>-23.590022</v>
      </c>
      <c r="C16735" s="40" t="n">
        <v>-46.532064</v>
      </c>
      <c r="D16735" s="40" t="n">
        <v>344</v>
      </c>
      <c r="E16735" s="41" t="n">
        <v>7855.5054</v>
      </c>
    </row>
    <row r="16736">
      <c r="A16736" s="42">
        <f>_xlfn.XLOOKUP(83160,Trip[shape_id],Trip[shape_id],"Não encontrado")</f>
        <v/>
      </c>
      <c r="B16736" s="43" t="n">
        <v>-23.5899</v>
      </c>
      <c r="C16736" s="43" t="n">
        <v>-46.5321</v>
      </c>
      <c r="D16736" s="43" t="n">
        <v>345</v>
      </c>
      <c r="E16736" s="44" t="n">
        <v>7869.5078</v>
      </c>
    </row>
    <row r="16737">
      <c r="A16737" s="39">
        <f>_xlfn.XLOOKUP(83160,Trip[shape_id],Trip[shape_id],"Não encontrado")</f>
        <v/>
      </c>
      <c r="B16737" s="40" t="n">
        <v>-23.589743</v>
      </c>
      <c r="C16737" s="40" t="n">
        <v>-46.532118</v>
      </c>
      <c r="D16737" s="40" t="n">
        <v>346</v>
      </c>
      <c r="E16737" s="41" t="n">
        <v>7886.9927</v>
      </c>
    </row>
    <row r="16738">
      <c r="A16738" s="42">
        <f>_xlfn.XLOOKUP(83160,Trip[shape_id],Trip[shape_id],"Não encontrado")</f>
        <v/>
      </c>
      <c r="B16738" s="43" t="n">
        <v>-23.589596</v>
      </c>
      <c r="C16738" s="43" t="n">
        <v>-46.532121</v>
      </c>
      <c r="D16738" s="43" t="n">
        <v>347</v>
      </c>
      <c r="E16738" s="44" t="n">
        <v>7903.2764</v>
      </c>
    </row>
    <row r="16739">
      <c r="A16739" s="39">
        <f>_xlfn.XLOOKUP(83160,Trip[shape_id],Trip[shape_id],"Não encontrado")</f>
        <v/>
      </c>
      <c r="B16739" s="40" t="n">
        <v>-23.589329</v>
      </c>
      <c r="C16739" s="40" t="n">
        <v>-46.532157</v>
      </c>
      <c r="D16739" s="40" t="n">
        <v>348</v>
      </c>
      <c r="E16739" s="41" t="n">
        <v>7933.0747</v>
      </c>
    </row>
    <row r="16740">
      <c r="A16740" s="42">
        <f>_xlfn.XLOOKUP(83160,Trip[shape_id],Trip[shape_id],"Não encontrado")</f>
        <v/>
      </c>
      <c r="B16740" s="43" t="n">
        <v>-23.588623</v>
      </c>
      <c r="C16740" s="43" t="n">
        <v>-46.532242</v>
      </c>
      <c r="D16740" s="43" t="n">
        <v>349</v>
      </c>
      <c r="E16740" s="44" t="n">
        <v>8011.7456</v>
      </c>
    </row>
    <row r="16741">
      <c r="A16741" s="39">
        <f>_xlfn.XLOOKUP(83160,Trip[shape_id],Trip[shape_id],"Não encontrado")</f>
        <v/>
      </c>
      <c r="B16741" s="40" t="n">
        <v>-23.588045</v>
      </c>
      <c r="C16741" s="40" t="n">
        <v>-46.532326</v>
      </c>
      <c r="D16741" s="40" t="n">
        <v>350</v>
      </c>
      <c r="E16741" s="41" t="n">
        <v>8076.332</v>
      </c>
    </row>
    <row r="16742">
      <c r="A16742" s="42">
        <f>_xlfn.XLOOKUP(83160,Trip[shape_id],Trip[shape_id],"Não encontrado")</f>
        <v/>
      </c>
      <c r="B16742" s="43" t="n">
        <v>-23.587952</v>
      </c>
      <c r="C16742" s="43" t="n">
        <v>-46.532343</v>
      </c>
      <c r="D16742" s="43" t="n">
        <v>351</v>
      </c>
      <c r="E16742" s="44" t="n">
        <v>8086.7769</v>
      </c>
    </row>
    <row r="16743">
      <c r="A16743" s="39">
        <f>_xlfn.XLOOKUP(83160,Trip[shape_id],Trip[shape_id],"Não encontrado")</f>
        <v/>
      </c>
      <c r="B16743" s="40" t="n">
        <v>-23.587725</v>
      </c>
      <c r="C16743" s="40" t="n">
        <v>-46.532375</v>
      </c>
      <c r="D16743" s="40" t="n">
        <v>352</v>
      </c>
      <c r="E16743" s="41" t="n">
        <v>8112.1289</v>
      </c>
    </row>
    <row r="16744">
      <c r="A16744" s="42">
        <f>_xlfn.XLOOKUP(83160,Trip[shape_id],Trip[shape_id],"Não encontrado")</f>
        <v/>
      </c>
      <c r="B16744" s="43" t="n">
        <v>-23.587643</v>
      </c>
      <c r="C16744" s="43" t="n">
        <v>-46.532393</v>
      </c>
      <c r="D16744" s="43" t="n">
        <v>353</v>
      </c>
      <c r="E16744" s="44" t="n">
        <v>8121.3945</v>
      </c>
    </row>
    <row r="16745">
      <c r="A16745" s="39">
        <f>_xlfn.XLOOKUP(83160,Trip[shape_id],Trip[shape_id],"Não encontrado")</f>
        <v/>
      </c>
      <c r="B16745" s="40" t="n">
        <v>-23.58743</v>
      </c>
      <c r="C16745" s="40" t="n">
        <v>-46.532957</v>
      </c>
      <c r="D16745" s="40" t="n">
        <v>354</v>
      </c>
      <c r="E16745" s="41" t="n">
        <v>8183.6099</v>
      </c>
    </row>
    <row r="16746">
      <c r="A16746" s="42">
        <f>_xlfn.XLOOKUP(83160,Trip[shape_id],Trip[shape_id],"Não encontrado")</f>
        <v/>
      </c>
      <c r="B16746" s="43" t="n">
        <v>-23.587178</v>
      </c>
      <c r="C16746" s="43" t="n">
        <v>-46.533576</v>
      </c>
      <c r="D16746" s="43" t="n">
        <v>355</v>
      </c>
      <c r="E16746" s="44" t="n">
        <v>8252.6826</v>
      </c>
    </row>
    <row r="16747">
      <c r="A16747" s="39">
        <f>_xlfn.XLOOKUP(83160,Trip[shape_id],Trip[shape_id],"Não encontrado")</f>
        <v/>
      </c>
      <c r="B16747" s="40" t="n">
        <v>-23.587092</v>
      </c>
      <c r="C16747" s="40" t="n">
        <v>-46.533787</v>
      </c>
      <c r="D16747" s="40" t="n">
        <v>356</v>
      </c>
      <c r="E16747" s="41" t="n">
        <v>8276.232400000001</v>
      </c>
    </row>
    <row r="16748">
      <c r="A16748" s="42">
        <f>_xlfn.XLOOKUP(83160,Trip[shape_id],Trip[shape_id],"Não encontrado")</f>
        <v/>
      </c>
      <c r="B16748" s="43" t="n">
        <v>-23.587048</v>
      </c>
      <c r="C16748" s="43" t="n">
        <v>-46.533911</v>
      </c>
      <c r="D16748" s="43" t="n">
        <v>357</v>
      </c>
      <c r="E16748" s="44" t="n">
        <v>8289.795899999999</v>
      </c>
    </row>
    <row r="16749">
      <c r="A16749" s="39">
        <f>_xlfn.XLOOKUP(83160,Trip[shape_id],Trip[shape_id],"Não encontrado")</f>
        <v/>
      </c>
      <c r="B16749" s="40" t="n">
        <v>-23.586944</v>
      </c>
      <c r="C16749" s="40" t="n">
        <v>-46.534156</v>
      </c>
      <c r="D16749" s="40" t="n">
        <v>358</v>
      </c>
      <c r="E16749" s="41" t="n">
        <v>8317.329100000001</v>
      </c>
    </row>
    <row r="16750">
      <c r="A16750" s="42">
        <f>_xlfn.XLOOKUP(83160,Trip[shape_id],Trip[shape_id],"Não encontrado")</f>
        <v/>
      </c>
      <c r="B16750" s="43" t="n">
        <v>-23.586842</v>
      </c>
      <c r="C16750" s="43" t="n">
        <v>-46.534414</v>
      </c>
      <c r="D16750" s="43" t="n">
        <v>359</v>
      </c>
      <c r="E16750" s="44" t="n">
        <v>8345.984399999999</v>
      </c>
    </row>
    <row r="16751">
      <c r="A16751" s="39">
        <f>_xlfn.XLOOKUP(83160,Trip[shape_id],Trip[shape_id],"Não encontrado")</f>
        <v/>
      </c>
      <c r="B16751" s="40" t="n">
        <v>-23.586668</v>
      </c>
      <c r="C16751" s="40" t="n">
        <v>-46.534867</v>
      </c>
      <c r="D16751" s="40" t="n">
        <v>360</v>
      </c>
      <c r="E16751" s="41" t="n">
        <v>8396.079100000001</v>
      </c>
    </row>
    <row r="16752">
      <c r="A16752" s="42">
        <f>_xlfn.XLOOKUP(83160,Trip[shape_id],Trip[shape_id],"Não encontrado")</f>
        <v/>
      </c>
      <c r="B16752" s="43" t="n">
        <v>-23.586536</v>
      </c>
      <c r="C16752" s="43" t="n">
        <v>-46.535192</v>
      </c>
      <c r="D16752" s="43" t="n">
        <v>361</v>
      </c>
      <c r="E16752" s="44" t="n">
        <v>8432.332</v>
      </c>
    </row>
    <row r="16753">
      <c r="A16753" s="39">
        <f>_xlfn.XLOOKUP(83160,Trip[shape_id],Trip[shape_id],"Não encontrado")</f>
        <v/>
      </c>
      <c r="B16753" s="40" t="n">
        <v>-23.586077</v>
      </c>
      <c r="C16753" s="40" t="n">
        <v>-46.536304</v>
      </c>
      <c r="D16753" s="40" t="n">
        <v>362</v>
      </c>
      <c r="E16753" s="41" t="n">
        <v>8556.7021</v>
      </c>
    </row>
    <row r="16754">
      <c r="A16754" s="42">
        <f>_xlfn.XLOOKUP(83160,Trip[shape_id],Trip[shape_id],"Não encontrado")</f>
        <v/>
      </c>
      <c r="B16754" s="43" t="n">
        <v>-23.585822</v>
      </c>
      <c r="C16754" s="43" t="n">
        <v>-46.53696</v>
      </c>
      <c r="D16754" s="43" t="n">
        <v>363</v>
      </c>
      <c r="E16754" s="44" t="n">
        <v>8629.375</v>
      </c>
    </row>
    <row r="16755">
      <c r="A16755" s="39">
        <f>_xlfn.XLOOKUP(83160,Trip[shape_id],Trip[shape_id],"Não encontrado")</f>
        <v/>
      </c>
      <c r="B16755" s="40" t="n">
        <v>-23.585711</v>
      </c>
      <c r="C16755" s="40" t="n">
        <v>-46.537202</v>
      </c>
      <c r="D16755" s="40" t="n">
        <v>364</v>
      </c>
      <c r="E16755" s="41" t="n">
        <v>8656.9668</v>
      </c>
    </row>
    <row r="16756">
      <c r="A16756" s="42">
        <f>_xlfn.XLOOKUP(83160,Trip[shape_id],Trip[shape_id],"Não encontrado")</f>
        <v/>
      </c>
      <c r="B16756" s="43" t="n">
        <v>-23.585567</v>
      </c>
      <c r="C16756" s="43" t="n">
        <v>-46.537557</v>
      </c>
      <c r="D16756" s="43" t="n">
        <v>365</v>
      </c>
      <c r="E16756" s="44" t="n">
        <v>8696.5576</v>
      </c>
    </row>
    <row r="16757">
      <c r="A16757" s="39">
        <f>_xlfn.XLOOKUP(83160,Trip[shape_id],Trip[shape_id],"Não encontrado")</f>
        <v/>
      </c>
      <c r="B16757" s="40" t="n">
        <v>-23.585049</v>
      </c>
      <c r="C16757" s="40" t="n">
        <v>-46.538862</v>
      </c>
      <c r="D16757" s="40" t="n">
        <v>366</v>
      </c>
      <c r="E16757" s="41" t="n">
        <v>8841.5947</v>
      </c>
    </row>
    <row r="16758">
      <c r="A16758" s="42">
        <f>_xlfn.XLOOKUP(83160,Trip[shape_id],Trip[shape_id],"Não encontrado")</f>
        <v/>
      </c>
      <c r="B16758" s="43" t="n">
        <v>-23.584808</v>
      </c>
      <c r="C16758" s="43" t="n">
        <v>-46.539479</v>
      </c>
      <c r="D16758" s="43" t="n">
        <v>367</v>
      </c>
      <c r="E16758" s="44" t="n">
        <v>8909.998</v>
      </c>
    </row>
    <row r="16759">
      <c r="A16759" s="39">
        <f>_xlfn.XLOOKUP(83160,Trip[shape_id],Trip[shape_id],"Não encontrado")</f>
        <v/>
      </c>
      <c r="B16759" s="40" t="n">
        <v>-23.584658</v>
      </c>
      <c r="C16759" s="40" t="n">
        <v>-46.539854</v>
      </c>
      <c r="D16759" s="40" t="n">
        <v>368</v>
      </c>
      <c r="E16759" s="41" t="n">
        <v>8951.7256</v>
      </c>
    </row>
    <row r="16760">
      <c r="A16760" s="42">
        <f>_xlfn.XLOOKUP(83160,Trip[shape_id],Trip[shape_id],"Não encontrado")</f>
        <v/>
      </c>
      <c r="B16760" s="43" t="n">
        <v>-23.584306</v>
      </c>
      <c r="C16760" s="43" t="n">
        <v>-46.540722</v>
      </c>
      <c r="D16760" s="43" t="n">
        <v>369</v>
      </c>
      <c r="E16760" s="44" t="n">
        <v>9048.5244</v>
      </c>
    </row>
    <row r="16761">
      <c r="A16761" s="39">
        <f>_xlfn.XLOOKUP(83160,Trip[shape_id],Trip[shape_id],"Não encontrado")</f>
        <v/>
      </c>
      <c r="B16761" s="40" t="n">
        <v>-23.584217</v>
      </c>
      <c r="C16761" s="40" t="n">
        <v>-46.540988</v>
      </c>
      <c r="D16761" s="40" t="n">
        <v>370</v>
      </c>
      <c r="E16761" s="41" t="n">
        <v>9077.4102</v>
      </c>
    </row>
    <row r="16762">
      <c r="A16762" s="42">
        <f>_xlfn.XLOOKUP(83160,Trip[shape_id],Trip[shape_id],"Não encontrado")</f>
        <v/>
      </c>
      <c r="B16762" s="43" t="n">
        <v>-23.583994</v>
      </c>
      <c r="C16762" s="43" t="n">
        <v>-46.541672</v>
      </c>
      <c r="D16762" s="43" t="n">
        <v>371</v>
      </c>
      <c r="E16762" s="44" t="n">
        <v>9151.4697</v>
      </c>
    </row>
    <row r="16763">
      <c r="A16763" s="39">
        <f>_xlfn.XLOOKUP(83160,Trip[shape_id],Trip[shape_id],"Não encontrado")</f>
        <v/>
      </c>
      <c r="B16763" s="40" t="n">
        <v>-23.58439</v>
      </c>
      <c r="C16763" s="40" t="n">
        <v>-46.541863</v>
      </c>
      <c r="D16763" s="40" t="n">
        <v>372</v>
      </c>
      <c r="E16763" s="41" t="n">
        <v>9199.4658</v>
      </c>
    </row>
    <row r="16764">
      <c r="A16764" s="42">
        <f>_xlfn.XLOOKUP(83160,Trip[shape_id],Trip[shape_id],"Não encontrado")</f>
        <v/>
      </c>
      <c r="B16764" s="43" t="n">
        <v>-23.584588</v>
      </c>
      <c r="C16764" s="43" t="n">
        <v>-46.541948</v>
      </c>
      <c r="D16764" s="43" t="n">
        <v>373</v>
      </c>
      <c r="E16764" s="44" t="n">
        <v>9223.0488</v>
      </c>
    </row>
    <row r="16765">
      <c r="A16765" s="39">
        <f>_xlfn.XLOOKUP(83160,Trip[shape_id],Trip[shape_id],"Não encontrado")</f>
        <v/>
      </c>
      <c r="B16765" s="40" t="n">
        <v>-23.585085</v>
      </c>
      <c r="C16765" s="40" t="n">
        <v>-46.542181</v>
      </c>
      <c r="D16765" s="40" t="n">
        <v>374</v>
      </c>
      <c r="E16765" s="41" t="n">
        <v>9283.011699999999</v>
      </c>
    </row>
    <row r="16766">
      <c r="A16766" s="42">
        <f>_xlfn.XLOOKUP(83160,Trip[shape_id],Trip[shape_id],"Não encontrado")</f>
        <v/>
      </c>
      <c r="B16766" s="43" t="n">
        <v>-23.585291</v>
      </c>
      <c r="C16766" s="43" t="n">
        <v>-46.542278</v>
      </c>
      <c r="D16766" s="43" t="n">
        <v>375</v>
      </c>
      <c r="E16766" s="44" t="n">
        <v>9307.882799999999</v>
      </c>
    </row>
    <row r="16767">
      <c r="A16767" s="39">
        <f>_xlfn.XLOOKUP(83160,Trip[shape_id],Trip[shape_id],"Não encontrado")</f>
        <v/>
      </c>
      <c r="B16767" s="40" t="n">
        <v>-23.585701</v>
      </c>
      <c r="C16767" s="40" t="n">
        <v>-46.542472</v>
      </c>
      <c r="D16767" s="40" t="n">
        <v>376</v>
      </c>
      <c r="E16767" s="41" t="n">
        <v>9357.420899999999</v>
      </c>
    </row>
    <row r="16768">
      <c r="A16768" s="42">
        <f>_xlfn.XLOOKUP(83160,Trip[shape_id],Trip[shape_id],"Não encontrado")</f>
        <v/>
      </c>
      <c r="B16768" s="43" t="n">
        <v>-23.586108</v>
      </c>
      <c r="C16768" s="43" t="n">
        <v>-46.542658</v>
      </c>
      <c r="D16768" s="43" t="n">
        <v>377</v>
      </c>
      <c r="E16768" s="44" t="n">
        <v>9406.332</v>
      </c>
    </row>
    <row r="16769">
      <c r="A16769" s="39">
        <f>_xlfn.XLOOKUP(83160,Trip[shape_id],Trip[shape_id],"Não encontrado")</f>
        <v/>
      </c>
      <c r="B16769" s="40" t="n">
        <v>-23.586137</v>
      </c>
      <c r="C16769" s="40" t="n">
        <v>-46.54267</v>
      </c>
      <c r="D16769" s="40" t="n">
        <v>378</v>
      </c>
      <c r="E16769" s="41" t="n">
        <v>9409.768599999999</v>
      </c>
    </row>
    <row r="16770">
      <c r="A16770" s="42">
        <f>_xlfn.XLOOKUP(83160,Trip[shape_id],Trip[shape_id],"Não encontrado")</f>
        <v/>
      </c>
      <c r="B16770" s="43" t="n">
        <v>-23.58654</v>
      </c>
      <c r="C16770" s="43" t="n">
        <v>-46.542854</v>
      </c>
      <c r="D16770" s="43" t="n">
        <v>379</v>
      </c>
      <c r="E16770" s="44" t="n">
        <v>9458.1924</v>
      </c>
    </row>
    <row r="16771">
      <c r="A16771" s="39">
        <f>_xlfn.XLOOKUP(83160,Trip[shape_id],Trip[shape_id],"Não encontrado")</f>
        <v/>
      </c>
      <c r="B16771" s="40" t="n">
        <v>-23.586982</v>
      </c>
      <c r="C16771" s="40" t="n">
        <v>-46.543056</v>
      </c>
      <c r="D16771" s="40" t="n">
        <v>380</v>
      </c>
      <c r="E16771" s="41" t="n">
        <v>9511.3105</v>
      </c>
    </row>
    <row r="16772">
      <c r="A16772" s="42">
        <f>_xlfn.XLOOKUP(83160,Trip[shape_id],Trip[shape_id],"Não encontrado")</f>
        <v/>
      </c>
      <c r="B16772" s="43" t="n">
        <v>-23.587193</v>
      </c>
      <c r="C16772" s="43" t="n">
        <v>-46.54315</v>
      </c>
      <c r="D16772" s="43" t="n">
        <v>381</v>
      </c>
      <c r="E16772" s="44" t="n">
        <v>9536.5723</v>
      </c>
    </row>
    <row r="16773">
      <c r="A16773" s="39">
        <f>_xlfn.XLOOKUP(83160,Trip[shape_id],Trip[shape_id],"Não encontrado")</f>
        <v/>
      </c>
      <c r="B16773" s="40" t="n">
        <v>-23.587405</v>
      </c>
      <c r="C16773" s="40" t="n">
        <v>-46.543249</v>
      </c>
      <c r="D16773" s="40" t="n">
        <v>382</v>
      </c>
      <c r="E16773" s="41" t="n">
        <v>9562.1338</v>
      </c>
    </row>
    <row r="16774">
      <c r="A16774" s="42">
        <f>_xlfn.XLOOKUP(83160,Trip[shape_id],Trip[shape_id],"Não encontrado")</f>
        <v/>
      </c>
      <c r="B16774" s="43" t="n">
        <v>-23.587523</v>
      </c>
      <c r="C16774" s="43" t="n">
        <v>-46.543302</v>
      </c>
      <c r="D16774" s="43" t="n">
        <v>383</v>
      </c>
      <c r="E16774" s="44" t="n">
        <v>9576.2773</v>
      </c>
    </row>
    <row r="16775">
      <c r="A16775" s="39">
        <f>_xlfn.XLOOKUP(83160,Trip[shape_id],Trip[shape_id],"Não encontrado")</f>
        <v/>
      </c>
      <c r="B16775" s="40" t="n">
        <v>-23.588162</v>
      </c>
      <c r="C16775" s="40" t="n">
        <v>-46.543601</v>
      </c>
      <c r="D16775" s="40" t="n">
        <v>384</v>
      </c>
      <c r="E16775" s="41" t="n">
        <v>9653.348599999999</v>
      </c>
    </row>
    <row r="16776">
      <c r="A16776" s="42">
        <f>_xlfn.XLOOKUP(83160,Trip[shape_id],Trip[shape_id],"Não encontrado")</f>
        <v/>
      </c>
      <c r="B16776" s="43" t="n">
        <v>-23.587866</v>
      </c>
      <c r="C16776" s="43" t="n">
        <v>-46.543819</v>
      </c>
      <c r="D16776" s="43" t="n">
        <v>385</v>
      </c>
      <c r="E16776" s="44" t="n">
        <v>9692.9697</v>
      </c>
    </row>
    <row r="16777">
      <c r="A16777" s="39">
        <f>_xlfn.XLOOKUP(83160,Trip[shape_id],Trip[shape_id],"Não encontrado")</f>
        <v/>
      </c>
      <c r="B16777" s="40" t="n">
        <v>-23.58745</v>
      </c>
      <c r="C16777" s="40" t="n">
        <v>-46.5441</v>
      </c>
      <c r="D16777" s="40" t="n">
        <v>386</v>
      </c>
      <c r="E16777" s="41" t="n">
        <v>9747.2412</v>
      </c>
    </row>
    <row r="16778">
      <c r="A16778" s="42">
        <f>_xlfn.XLOOKUP(83160,Trip[shape_id],Trip[shape_id],"Não encontrado")</f>
        <v/>
      </c>
      <c r="B16778" s="43" t="n">
        <v>-23.58743</v>
      </c>
      <c r="C16778" s="43" t="n">
        <v>-46.544116</v>
      </c>
      <c r="D16778" s="43" t="n">
        <v>387</v>
      </c>
      <c r="E16778" s="44" t="n">
        <v>9749.9941</v>
      </c>
    </row>
    <row r="16779">
      <c r="A16779" s="39">
        <f>_xlfn.XLOOKUP(83160,Trip[shape_id],Trip[shape_id],"Não encontrado")</f>
        <v/>
      </c>
      <c r="B16779" s="40" t="n">
        <v>-23.586893</v>
      </c>
      <c r="C16779" s="40" t="n">
        <v>-46.544546</v>
      </c>
      <c r="D16779" s="40" t="n">
        <v>388</v>
      </c>
      <c r="E16779" s="41" t="n">
        <v>9823.9102</v>
      </c>
    </row>
    <row r="16780">
      <c r="A16780" s="42">
        <f>_xlfn.XLOOKUP(83160,Trip[shape_id],Trip[shape_id],"Não encontrado")</f>
        <v/>
      </c>
      <c r="B16780" s="43" t="n">
        <v>-23.586624</v>
      </c>
      <c r="C16780" s="43" t="n">
        <v>-46.544792</v>
      </c>
      <c r="D16780" s="43" t="n">
        <v>389</v>
      </c>
      <c r="E16780" s="44" t="n">
        <v>9862.873</v>
      </c>
    </row>
    <row r="16781">
      <c r="A16781" s="39">
        <f>_xlfn.XLOOKUP(83160,Trip[shape_id],Trip[shape_id],"Não encontrado")</f>
        <v/>
      </c>
      <c r="B16781" s="40" t="n">
        <v>-23.586609</v>
      </c>
      <c r="C16781" s="40" t="n">
        <v>-46.544803</v>
      </c>
      <c r="D16781" s="40" t="n">
        <v>390</v>
      </c>
      <c r="E16781" s="41" t="n">
        <v>9864.876</v>
      </c>
    </row>
    <row r="16782">
      <c r="A16782" s="42">
        <f>_xlfn.XLOOKUP(83160,Trip[shape_id],Trip[shape_id],"Não encontrado")</f>
        <v/>
      </c>
      <c r="B16782" s="43" t="n">
        <v>-23.586267</v>
      </c>
      <c r="C16782" s="43" t="n">
        <v>-46.545112</v>
      </c>
      <c r="D16782" s="43" t="n">
        <v>391</v>
      </c>
      <c r="E16782" s="44" t="n">
        <v>9914.165999999999</v>
      </c>
    </row>
    <row r="16783">
      <c r="A16783" s="39">
        <f>_xlfn.XLOOKUP(83160,Trip[shape_id],Trip[shape_id],"Não encontrado")</f>
        <v/>
      </c>
      <c r="B16783" s="40" t="n">
        <v>-23.586217</v>
      </c>
      <c r="C16783" s="40" t="n">
        <v>-46.545152</v>
      </c>
      <c r="D16783" s="40" t="n">
        <v>392</v>
      </c>
      <c r="E16783" s="41" t="n">
        <v>9921.046899999999</v>
      </c>
    </row>
    <row r="16784">
      <c r="A16784" s="42">
        <f>_xlfn.XLOOKUP(83160,Trip[shape_id],Trip[shape_id],"Não encontrado")</f>
        <v/>
      </c>
      <c r="B16784" s="43" t="n">
        <v>-23.586152</v>
      </c>
      <c r="C16784" s="43" t="n">
        <v>-46.545205</v>
      </c>
      <c r="D16784" s="43" t="n">
        <v>393</v>
      </c>
      <c r="E16784" s="44" t="n">
        <v>9930.051799999999</v>
      </c>
    </row>
    <row r="16785">
      <c r="A16785" s="39">
        <f>_xlfn.XLOOKUP(83160,Trip[shape_id],Trip[shape_id],"Não encontrado")</f>
        <v/>
      </c>
      <c r="B16785" s="40" t="n">
        <v>-23.585803</v>
      </c>
      <c r="C16785" s="40" t="n">
        <v>-46.545369</v>
      </c>
      <c r="D16785" s="40" t="n">
        <v>394</v>
      </c>
      <c r="E16785" s="41" t="n">
        <v>9972.1738</v>
      </c>
    </row>
    <row r="16786">
      <c r="A16786" s="42">
        <f>_xlfn.XLOOKUP(83160,Trip[shape_id],Trip[shape_id],"Não encontrado")</f>
        <v/>
      </c>
      <c r="B16786" s="43" t="n">
        <v>-23.58568</v>
      </c>
      <c r="C16786" s="43" t="n">
        <v>-46.54543</v>
      </c>
      <c r="D16786" s="43" t="n">
        <v>395</v>
      </c>
      <c r="E16786" s="44" t="n">
        <v>9987.151400000001</v>
      </c>
    </row>
    <row r="16787">
      <c r="A16787" s="39">
        <f>_xlfn.XLOOKUP(83160,Trip[shape_id],Trip[shape_id],"Não encontrado")</f>
        <v/>
      </c>
      <c r="B16787" s="40" t="n">
        <v>-23.585315</v>
      </c>
      <c r="C16787" s="40" t="n">
        <v>-46.545638</v>
      </c>
      <c r="D16787" s="40" t="n">
        <v>396</v>
      </c>
      <c r="E16787" s="41" t="n">
        <v>10032.813</v>
      </c>
    </row>
    <row r="16788">
      <c r="A16788" s="42">
        <f>_xlfn.XLOOKUP(83160,Trip[shape_id],Trip[shape_id],"Não encontrado")</f>
        <v/>
      </c>
      <c r="B16788" s="43" t="n">
        <v>-23.585254</v>
      </c>
      <c r="C16788" s="43" t="n">
        <v>-46.545738</v>
      </c>
      <c r="D16788" s="43" t="n">
        <v>397</v>
      </c>
      <c r="E16788" s="44" t="n">
        <v>10045.053</v>
      </c>
    </row>
    <row r="16789">
      <c r="A16789" s="39">
        <f>_xlfn.XLOOKUP(83160,Trip[shape_id],Trip[shape_id],"Não encontrado")</f>
        <v/>
      </c>
      <c r="B16789" s="40" t="n">
        <v>-23.585205</v>
      </c>
      <c r="C16789" s="40" t="n">
        <v>-46.545807</v>
      </c>
      <c r="D16789" s="40" t="n">
        <v>398</v>
      </c>
      <c r="E16789" s="41" t="n">
        <v>10053.944</v>
      </c>
    </row>
    <row r="16790">
      <c r="A16790" s="42">
        <f>_xlfn.XLOOKUP(83160,Trip[shape_id],Trip[shape_id],"Não encontrado")</f>
        <v/>
      </c>
      <c r="B16790" s="43" t="n">
        <v>-23.585032</v>
      </c>
      <c r="C16790" s="43" t="n">
        <v>-46.546132</v>
      </c>
      <c r="D16790" s="43" t="n">
        <v>399</v>
      </c>
      <c r="E16790" s="44" t="n">
        <v>10092.254</v>
      </c>
    </row>
    <row r="16791">
      <c r="A16791" s="39">
        <f>_xlfn.XLOOKUP(83160,Trip[shape_id],Trip[shape_id],"Não encontrado")</f>
        <v/>
      </c>
      <c r="B16791" s="40" t="n">
        <v>-23.584961</v>
      </c>
      <c r="C16791" s="40" t="n">
        <v>-46.546248</v>
      </c>
      <c r="D16791" s="40" t="n">
        <v>400</v>
      </c>
      <c r="E16791" s="41" t="n">
        <v>10106.468</v>
      </c>
    </row>
    <row r="16792">
      <c r="A16792" s="42">
        <f>_xlfn.XLOOKUP(83160,Trip[shape_id],Trip[shape_id],"Não encontrado")</f>
        <v/>
      </c>
      <c r="B16792" s="43" t="n">
        <v>-23.584899</v>
      </c>
      <c r="C16792" s="43" t="n">
        <v>-46.546335</v>
      </c>
      <c r="D16792" s="43" t="n">
        <v>401</v>
      </c>
      <c r="E16792" s="44" t="n">
        <v>10117.693</v>
      </c>
    </row>
    <row r="16793">
      <c r="A16793" s="39">
        <f>_xlfn.XLOOKUP(83160,Trip[shape_id],Trip[shape_id],"Não encontrado")</f>
        <v/>
      </c>
      <c r="B16793" s="40" t="n">
        <v>-23.584689</v>
      </c>
      <c r="C16793" s="40" t="n">
        <v>-46.546506</v>
      </c>
      <c r="D16793" s="40" t="n">
        <v>402</v>
      </c>
      <c r="E16793" s="41" t="n">
        <v>10146.772</v>
      </c>
    </row>
    <row r="16794">
      <c r="A16794" s="42">
        <f>_xlfn.XLOOKUP(83160,Trip[shape_id],Trip[shape_id],"Não encontrado")</f>
        <v/>
      </c>
      <c r="B16794" s="43" t="n">
        <v>-23.584536</v>
      </c>
      <c r="C16794" s="43" t="n">
        <v>-46.546633</v>
      </c>
      <c r="D16794" s="43" t="n">
        <v>403</v>
      </c>
      <c r="E16794" s="44" t="n">
        <v>10168.107</v>
      </c>
    </row>
    <row r="16795">
      <c r="A16795" s="39">
        <f>_xlfn.XLOOKUP(83160,Trip[shape_id],Trip[shape_id],"Não encontrado")</f>
        <v/>
      </c>
      <c r="B16795" s="40" t="n">
        <v>-23.584454</v>
      </c>
      <c r="C16795" s="40" t="n">
        <v>-46.546701</v>
      </c>
      <c r="D16795" s="40" t="n">
        <v>404</v>
      </c>
      <c r="E16795" s="41" t="n">
        <v>10179.538</v>
      </c>
    </row>
    <row r="16796">
      <c r="A16796" s="42">
        <f>_xlfn.XLOOKUP(83160,Trip[shape_id],Trip[shape_id],"Não encontrado")</f>
        <v/>
      </c>
      <c r="B16796" s="43" t="n">
        <v>-23.584309</v>
      </c>
      <c r="C16796" s="43" t="n">
        <v>-46.546834</v>
      </c>
      <c r="D16796" s="43" t="n">
        <v>405</v>
      </c>
      <c r="E16796" s="44" t="n">
        <v>10200.566</v>
      </c>
    </row>
    <row r="16797">
      <c r="A16797" s="39">
        <f>_xlfn.XLOOKUP(83160,Trip[shape_id],Trip[shape_id],"Não encontrado")</f>
        <v/>
      </c>
      <c r="B16797" s="40" t="n">
        <v>-23.58408</v>
      </c>
      <c r="C16797" s="40" t="n">
        <v>-46.54703</v>
      </c>
      <c r="D16797" s="40" t="n">
        <v>406</v>
      </c>
      <c r="E16797" s="41" t="n">
        <v>10232.87</v>
      </c>
    </row>
    <row r="16798">
      <c r="A16798" s="42">
        <f>_xlfn.XLOOKUP(83160,Trip[shape_id],Trip[shape_id],"Não encontrado")</f>
        <v/>
      </c>
      <c r="B16798" s="43" t="n">
        <v>-23.583699</v>
      </c>
      <c r="C16798" s="43" t="n">
        <v>-46.54738</v>
      </c>
      <c r="D16798" s="43" t="n">
        <v>407</v>
      </c>
      <c r="E16798" s="44" t="n">
        <v>10288.16</v>
      </c>
    </row>
    <row r="16799">
      <c r="A16799" s="39">
        <f>_xlfn.XLOOKUP(83160,Trip[shape_id],Trip[shape_id],"Não encontrado")</f>
        <v/>
      </c>
      <c r="B16799" s="40" t="n">
        <v>-23.583628</v>
      </c>
      <c r="C16799" s="40" t="n">
        <v>-46.547472</v>
      </c>
      <c r="D16799" s="40" t="n">
        <v>408</v>
      </c>
      <c r="E16799" s="41" t="n">
        <v>10300.409</v>
      </c>
    </row>
    <row r="16800">
      <c r="A16800" s="42">
        <f>_xlfn.XLOOKUP(83160,Trip[shape_id],Trip[shape_id],"Não encontrado")</f>
        <v/>
      </c>
      <c r="B16800" s="43" t="n">
        <v>-23.583588</v>
      </c>
      <c r="C16800" s="43" t="n">
        <v>-46.547596</v>
      </c>
      <c r="D16800" s="43" t="n">
        <v>409</v>
      </c>
      <c r="E16800" s="44" t="n">
        <v>10313.819</v>
      </c>
    </row>
    <row r="16801">
      <c r="A16801" s="39">
        <f>_xlfn.XLOOKUP(83160,Trip[shape_id],Trip[shape_id],"Não encontrado")</f>
        <v/>
      </c>
      <c r="B16801" s="40" t="n">
        <v>-23.583515</v>
      </c>
      <c r="C16801" s="40" t="n">
        <v>-46.547923</v>
      </c>
      <c r="D16801" s="40" t="n">
        <v>410</v>
      </c>
      <c r="E16801" s="41" t="n">
        <v>10348.164</v>
      </c>
    </row>
    <row r="16802">
      <c r="A16802" s="42">
        <f>_xlfn.XLOOKUP(83160,Trip[shape_id],Trip[shape_id],"Não encontrado")</f>
        <v/>
      </c>
      <c r="B16802" s="43" t="n">
        <v>-23.583384</v>
      </c>
      <c r="C16802" s="43" t="n">
        <v>-46.548357</v>
      </c>
      <c r="D16802" s="43" t="n">
        <v>411</v>
      </c>
      <c r="E16802" s="44" t="n">
        <v>10394.78</v>
      </c>
    </row>
    <row r="16803">
      <c r="A16803" s="39">
        <f>_xlfn.XLOOKUP(83160,Trip[shape_id],Trip[shape_id],"Não encontrado")</f>
        <v/>
      </c>
      <c r="B16803" s="40" t="n">
        <v>-23.583254</v>
      </c>
      <c r="C16803" s="40" t="n">
        <v>-46.548748</v>
      </c>
      <c r="D16803" s="40" t="n">
        <v>412</v>
      </c>
      <c r="E16803" s="41" t="n">
        <v>10437.21</v>
      </c>
    </row>
    <row r="16804">
      <c r="A16804" s="42">
        <f>_xlfn.XLOOKUP(83160,Trip[shape_id],Trip[shape_id],"Não encontrado")</f>
        <v/>
      </c>
      <c r="B16804" s="43" t="n">
        <v>-23.583065</v>
      </c>
      <c r="C16804" s="43" t="n">
        <v>-46.549196</v>
      </c>
      <c r="D16804" s="43" t="n">
        <v>413</v>
      </c>
      <c r="E16804" s="44" t="n">
        <v>10487.503</v>
      </c>
    </row>
    <row r="16805">
      <c r="A16805" s="39">
        <f>_xlfn.XLOOKUP(83160,Trip[shape_id],Trip[shape_id],"Não encontrado")</f>
        <v/>
      </c>
      <c r="B16805" s="40" t="n">
        <v>-23.582909</v>
      </c>
      <c r="C16805" s="40" t="n">
        <v>-46.549623</v>
      </c>
      <c r="D16805" s="40" t="n">
        <v>414</v>
      </c>
      <c r="E16805" s="41" t="n">
        <v>10534.389</v>
      </c>
    </row>
    <row r="16806">
      <c r="A16806" s="42">
        <f>_xlfn.XLOOKUP(83160,Trip[shape_id],Trip[shape_id],"Não encontrado")</f>
        <v/>
      </c>
      <c r="B16806" s="43" t="n">
        <v>-23.582742</v>
      </c>
      <c r="C16806" s="43" t="n">
        <v>-46.550044</v>
      </c>
      <c r="D16806" s="43" t="n">
        <v>415</v>
      </c>
      <c r="E16806" s="44" t="n">
        <v>10581.174</v>
      </c>
    </row>
    <row r="16807">
      <c r="A16807" s="39">
        <f>_xlfn.XLOOKUP(83160,Trip[shape_id],Trip[shape_id],"Não encontrado")</f>
        <v/>
      </c>
      <c r="B16807" s="40" t="n">
        <v>-23.582668</v>
      </c>
      <c r="C16807" s="40" t="n">
        <v>-46.550204</v>
      </c>
      <c r="D16807" s="40" t="n">
        <v>416</v>
      </c>
      <c r="E16807" s="41" t="n">
        <v>10599.447</v>
      </c>
    </row>
    <row r="16808">
      <c r="A16808" s="42">
        <f>_xlfn.XLOOKUP(83160,Trip[shape_id],Trip[shape_id],"Não encontrado")</f>
        <v/>
      </c>
      <c r="B16808" s="43" t="n">
        <v>-23.582573</v>
      </c>
      <c r="C16808" s="43" t="n">
        <v>-46.550464</v>
      </c>
      <c r="D16808" s="43" t="n">
        <v>417</v>
      </c>
      <c r="E16808" s="44" t="n">
        <v>10627.997</v>
      </c>
    </row>
    <row r="16809">
      <c r="A16809" s="39">
        <f>_xlfn.XLOOKUP(83160,Trip[shape_id],Trip[shape_id],"Não encontrado")</f>
        <v/>
      </c>
      <c r="B16809" s="40" t="n">
        <v>-23.582457</v>
      </c>
      <c r="C16809" s="40" t="n">
        <v>-46.550777</v>
      </c>
      <c r="D16809" s="40" t="n">
        <v>418</v>
      </c>
      <c r="E16809" s="41" t="n">
        <v>10662.434</v>
      </c>
    </row>
    <row r="16810">
      <c r="A16810" s="42">
        <f>_xlfn.XLOOKUP(83160,Trip[shape_id],Trip[shape_id],"Não encontrado")</f>
        <v/>
      </c>
      <c r="B16810" s="43" t="n">
        <v>-23.582267</v>
      </c>
      <c r="C16810" s="43" t="n">
        <v>-46.55123</v>
      </c>
      <c r="D16810" s="43" t="n">
        <v>419</v>
      </c>
      <c r="E16810" s="44" t="n">
        <v>10713.237</v>
      </c>
    </row>
    <row r="16811">
      <c r="A16811" s="39">
        <f>_xlfn.XLOOKUP(83160,Trip[shape_id],Trip[shape_id],"Não encontrado")</f>
        <v/>
      </c>
      <c r="B16811" s="40" t="n">
        <v>-23.582187</v>
      </c>
      <c r="C16811" s="40" t="n">
        <v>-46.551468</v>
      </c>
      <c r="D16811" s="40" t="n">
        <v>420</v>
      </c>
      <c r="E16811" s="41" t="n">
        <v>10739.097</v>
      </c>
    </row>
    <row r="16812">
      <c r="A16812" s="42">
        <f>_xlfn.XLOOKUP(83160,Trip[shape_id],Trip[shape_id],"Não encontrado")</f>
        <v/>
      </c>
      <c r="B16812" s="43" t="n">
        <v>-23.582063</v>
      </c>
      <c r="C16812" s="43" t="n">
        <v>-46.551909</v>
      </c>
      <c r="D16812" s="43" t="n">
        <v>421</v>
      </c>
      <c r="E16812" s="44" t="n">
        <v>10786.161</v>
      </c>
    </row>
    <row r="16813">
      <c r="A16813" s="39">
        <f>_xlfn.XLOOKUP(83160,Trip[shape_id],Trip[shape_id],"Não encontrado")</f>
        <v/>
      </c>
      <c r="B16813" s="40" t="n">
        <v>-23.582027</v>
      </c>
      <c r="C16813" s="40" t="n">
        <v>-46.552038</v>
      </c>
      <c r="D16813" s="40" t="n">
        <v>422</v>
      </c>
      <c r="E16813" s="41" t="n">
        <v>10799.92</v>
      </c>
    </row>
    <row r="16814">
      <c r="A16814" s="42">
        <f>_xlfn.XLOOKUP(83160,Trip[shape_id],Trip[shape_id],"Não encontrado")</f>
        <v/>
      </c>
      <c r="B16814" s="43" t="n">
        <v>-23.581974</v>
      </c>
      <c r="C16814" s="43" t="n">
        <v>-46.552178</v>
      </c>
      <c r="D16814" s="43" t="n">
        <v>423</v>
      </c>
      <c r="E16814" s="44" t="n">
        <v>10815.369</v>
      </c>
    </row>
    <row r="16815">
      <c r="A16815" s="39">
        <f>_xlfn.XLOOKUP(83160,Trip[shape_id],Trip[shape_id],"Não encontrado")</f>
        <v/>
      </c>
      <c r="B16815" s="40" t="n">
        <v>-23.58185</v>
      </c>
      <c r="C16815" s="40" t="n">
        <v>-46.552624</v>
      </c>
      <c r="D16815" s="40" t="n">
        <v>424</v>
      </c>
      <c r="E16815" s="41" t="n">
        <v>10862.922</v>
      </c>
    </row>
    <row r="16816">
      <c r="A16816" s="42">
        <f>_xlfn.XLOOKUP(83160,Trip[shape_id],Trip[shape_id],"Não encontrado")</f>
        <v/>
      </c>
      <c r="B16816" s="43" t="n">
        <v>-23.581652</v>
      </c>
      <c r="C16816" s="43" t="n">
        <v>-46.553429</v>
      </c>
      <c r="D16816" s="43" t="n">
        <v>425</v>
      </c>
      <c r="E16816" s="44" t="n">
        <v>10947.971</v>
      </c>
    </row>
    <row r="16817">
      <c r="A16817" s="39">
        <f>_xlfn.XLOOKUP(83160,Trip[shape_id],Trip[shape_id],"Não encontrado")</f>
        <v/>
      </c>
      <c r="B16817" s="40" t="n">
        <v>-23.581503</v>
      </c>
      <c r="C16817" s="40" t="n">
        <v>-46.554106</v>
      </c>
      <c r="D16817" s="40" t="n">
        <v>426</v>
      </c>
      <c r="E16817" s="41" t="n">
        <v>11019.021</v>
      </c>
    </row>
    <row r="16818">
      <c r="A16818" s="42">
        <f>_xlfn.XLOOKUP(83160,Trip[shape_id],Trip[shape_id],"Não encontrado")</f>
        <v/>
      </c>
      <c r="B16818" s="43" t="n">
        <v>-23.581341</v>
      </c>
      <c r="C16818" s="43" t="n">
        <v>-46.554727</v>
      </c>
      <c r="D16818" s="43" t="n">
        <v>427</v>
      </c>
      <c r="E16818" s="44" t="n">
        <v>11084.901</v>
      </c>
    </row>
    <row r="16819">
      <c r="A16819" s="39">
        <f>_xlfn.XLOOKUP(83160,Trip[shape_id],Trip[shape_id],"Não encontrado")</f>
        <v/>
      </c>
      <c r="B16819" s="40" t="n">
        <v>-23.581223</v>
      </c>
      <c r="C16819" s="40" t="n">
        <v>-46.5552</v>
      </c>
      <c r="D16819" s="40" t="n">
        <v>428</v>
      </c>
      <c r="E16819" s="41" t="n">
        <v>11134.922</v>
      </c>
    </row>
    <row r="16820">
      <c r="A16820" s="42">
        <f>_xlfn.XLOOKUP(83160,Trip[shape_id],Trip[shape_id],"Não encontrado")</f>
        <v/>
      </c>
      <c r="B16820" s="43" t="n">
        <v>-23.581155</v>
      </c>
      <c r="C16820" s="43" t="n">
        <v>-46.555471</v>
      </c>
      <c r="D16820" s="43" t="n">
        <v>429</v>
      </c>
      <c r="E16820" s="44" t="n">
        <v>11163.592</v>
      </c>
    </row>
    <row r="16821">
      <c r="A16821" s="39">
        <f>_xlfn.XLOOKUP(83160,Trip[shape_id],Trip[shape_id],"Não encontrado")</f>
        <v/>
      </c>
      <c r="B16821" s="40" t="n">
        <v>-23.581115</v>
      </c>
      <c r="C16821" s="40" t="n">
        <v>-46.555646</v>
      </c>
      <c r="D16821" s="40" t="n">
        <v>430</v>
      </c>
      <c r="E16821" s="41" t="n">
        <v>11181.996</v>
      </c>
    </row>
    <row r="16822">
      <c r="A16822" s="42">
        <f>_xlfn.XLOOKUP(83160,Trip[shape_id],Trip[shape_id],"Não encontrado")</f>
        <v/>
      </c>
      <c r="B16822" s="43" t="n">
        <v>-23.581038</v>
      </c>
      <c r="C16822" s="43" t="n">
        <v>-46.556275</v>
      </c>
      <c r="D16822" s="43" t="n">
        <v>431</v>
      </c>
      <c r="E16822" s="44" t="n">
        <v>11246.768</v>
      </c>
    </row>
    <row r="16823">
      <c r="A16823" s="39">
        <f>_xlfn.XLOOKUP(83160,Trip[shape_id],Trip[shape_id],"Não encontrado")</f>
        <v/>
      </c>
      <c r="B16823" s="40" t="n">
        <v>-23.581029</v>
      </c>
      <c r="C16823" s="40" t="n">
        <v>-46.556387</v>
      </c>
      <c r="D16823" s="40" t="n">
        <v>432</v>
      </c>
      <c r="E16823" s="41" t="n">
        <v>11258.243</v>
      </c>
    </row>
    <row r="16824">
      <c r="A16824" s="42">
        <f>_xlfn.XLOOKUP(83160,Trip[shape_id],Trip[shape_id],"Não encontrado")</f>
        <v/>
      </c>
      <c r="B16824" s="43" t="n">
        <v>-23.581012</v>
      </c>
      <c r="C16824" s="43" t="n">
        <v>-46.556545</v>
      </c>
      <c r="D16824" s="43" t="n">
        <v>433</v>
      </c>
      <c r="E16824" s="44" t="n">
        <v>11274.481</v>
      </c>
    </row>
    <row r="16825">
      <c r="A16825" s="39">
        <f>_xlfn.XLOOKUP(83160,Trip[shape_id],Trip[shape_id],"Não encontrado")</f>
        <v/>
      </c>
      <c r="B16825" s="40" t="n">
        <v>-23.580962</v>
      </c>
      <c r="C16825" s="40" t="n">
        <v>-46.557081</v>
      </c>
      <c r="D16825" s="40" t="n">
        <v>434</v>
      </c>
      <c r="E16825" s="41" t="n">
        <v>11329.475</v>
      </c>
    </row>
    <row r="16826">
      <c r="A16826" s="42">
        <f>_xlfn.XLOOKUP(83160,Trip[shape_id],Trip[shape_id],"Não encontrado")</f>
        <v/>
      </c>
      <c r="B16826" s="43" t="n">
        <v>-23.580911</v>
      </c>
      <c r="C16826" s="43" t="n">
        <v>-46.55757</v>
      </c>
      <c r="D16826" s="43" t="n">
        <v>435</v>
      </c>
      <c r="E16826" s="44" t="n">
        <v>11379.71</v>
      </c>
    </row>
    <row r="16827">
      <c r="A16827" s="39">
        <f>_xlfn.XLOOKUP(83160,Trip[shape_id],Trip[shape_id],"Não encontrado")</f>
        <v/>
      </c>
      <c r="B16827" s="40" t="n">
        <v>-23.580878</v>
      </c>
      <c r="C16827" s="40" t="n">
        <v>-46.557902</v>
      </c>
      <c r="D16827" s="40" t="n">
        <v>436</v>
      </c>
      <c r="E16827" s="41" t="n">
        <v>11413.797</v>
      </c>
    </row>
    <row r="16828">
      <c r="A16828" s="42">
        <f>_xlfn.XLOOKUP(83160,Trip[shape_id],Trip[shape_id],"Não encontrado")</f>
        <v/>
      </c>
      <c r="B16828" s="43" t="n">
        <v>-23.58084</v>
      </c>
      <c r="C16828" s="43" t="n">
        <v>-46.558343</v>
      </c>
      <c r="D16828" s="43" t="n">
        <v>437</v>
      </c>
      <c r="E16828" s="44" t="n">
        <v>11459.01</v>
      </c>
    </row>
    <row r="16829">
      <c r="A16829" s="39">
        <f>_xlfn.XLOOKUP(83160,Trip[shape_id],Trip[shape_id],"Não encontrado")</f>
        <v/>
      </c>
      <c r="B16829" s="40" t="n">
        <v>-23.580766</v>
      </c>
      <c r="C16829" s="40" t="n">
        <v>-46.55901</v>
      </c>
      <c r="D16829" s="40" t="n">
        <v>438</v>
      </c>
      <c r="E16829" s="41" t="n">
        <v>11527.588</v>
      </c>
    </row>
    <row r="16830">
      <c r="A16830" s="42">
        <f>_xlfn.XLOOKUP(83160,Trip[shape_id],Trip[shape_id],"Não encontrado")</f>
        <v/>
      </c>
      <c r="B16830" s="43" t="n">
        <v>-23.580723</v>
      </c>
      <c r="C16830" s="43" t="n">
        <v>-46.559391</v>
      </c>
      <c r="D16830" s="43" t="n">
        <v>439</v>
      </c>
      <c r="E16830" s="44" t="n">
        <v>11566.771</v>
      </c>
    </row>
    <row r="16831">
      <c r="A16831" s="39">
        <f>_xlfn.XLOOKUP(83160,Trip[shape_id],Trip[shape_id],"Não encontrado")</f>
        <v/>
      </c>
      <c r="B16831" s="40" t="n">
        <v>-23.580704</v>
      </c>
      <c r="C16831" s="40" t="n">
        <v>-46.559534</v>
      </c>
      <c r="D16831" s="40" t="n">
        <v>440</v>
      </c>
      <c r="E16831" s="41" t="n">
        <v>11581.519</v>
      </c>
    </row>
    <row r="16832">
      <c r="A16832" s="42">
        <f>_xlfn.XLOOKUP(83160,Trip[shape_id],Trip[shape_id],"Não encontrado")</f>
        <v/>
      </c>
      <c r="B16832" s="43" t="n">
        <v>-23.580691</v>
      </c>
      <c r="C16832" s="43" t="n">
        <v>-46.559657</v>
      </c>
      <c r="D16832" s="43" t="n">
        <v>441</v>
      </c>
      <c r="E16832" s="44" t="n">
        <v>11594.157</v>
      </c>
    </row>
    <row r="16833">
      <c r="A16833" s="39">
        <f>_xlfn.XLOOKUP(83160,Trip[shape_id],Trip[shape_id],"Não encontrado")</f>
        <v/>
      </c>
      <c r="B16833" s="40" t="n">
        <v>-23.580677</v>
      </c>
      <c r="C16833" s="40" t="n">
        <v>-46.559771</v>
      </c>
      <c r="D16833" s="40" t="n">
        <v>442</v>
      </c>
      <c r="E16833" s="41" t="n">
        <v>11605.897</v>
      </c>
    </row>
    <row r="16834">
      <c r="A16834" s="42">
        <f>_xlfn.XLOOKUP(83160,Trip[shape_id],Trip[shape_id],"Não encontrado")</f>
        <v/>
      </c>
      <c r="B16834" s="43" t="n">
        <v>-23.580671</v>
      </c>
      <c r="C16834" s="43" t="n">
        <v>-46.559922</v>
      </c>
      <c r="D16834" s="43" t="n">
        <v>443</v>
      </c>
      <c r="E16834" s="44" t="n">
        <v>11621.326</v>
      </c>
    </row>
    <row r="16835">
      <c r="A16835" s="39">
        <f>_xlfn.XLOOKUP(83160,Trip[shape_id],Trip[shape_id],"Não encontrado")</f>
        <v/>
      </c>
      <c r="B16835" s="40" t="n">
        <v>-23.580745</v>
      </c>
      <c r="C16835" s="40" t="n">
        <v>-46.56029</v>
      </c>
      <c r="D16835" s="40" t="n">
        <v>444</v>
      </c>
      <c r="E16835" s="41" t="n">
        <v>11659.774</v>
      </c>
    </row>
    <row r="16836">
      <c r="A16836" s="42">
        <f>_xlfn.XLOOKUP(83160,Trip[shape_id],Trip[shape_id],"Não encontrado")</f>
        <v/>
      </c>
      <c r="B16836" s="43" t="n">
        <v>-23.580919</v>
      </c>
      <c r="C16836" s="43" t="n">
        <v>-46.561041</v>
      </c>
      <c r="D16836" s="43" t="n">
        <v>445</v>
      </c>
      <c r="E16836" s="44" t="n">
        <v>11738.82</v>
      </c>
    </row>
    <row r="16837">
      <c r="A16837" s="39">
        <f>_xlfn.XLOOKUP(83160,Trip[shape_id],Trip[shape_id],"Não encontrado")</f>
        <v/>
      </c>
      <c r="B16837" s="40" t="n">
        <v>-23.581001</v>
      </c>
      <c r="C16837" s="40" t="n">
        <v>-46.561367</v>
      </c>
      <c r="D16837" s="40" t="n">
        <v>446</v>
      </c>
      <c r="E16837" s="41" t="n">
        <v>11773.314</v>
      </c>
    </row>
    <row r="16838">
      <c r="A16838" s="42">
        <f>_xlfn.XLOOKUP(83160,Trip[shape_id],Trip[shape_id],"Não encontrado")</f>
        <v/>
      </c>
      <c r="B16838" s="43" t="n">
        <v>-23.581067</v>
      </c>
      <c r="C16838" s="43" t="n">
        <v>-46.561648</v>
      </c>
      <c r="D16838" s="43" t="n">
        <v>447</v>
      </c>
      <c r="E16838" s="44" t="n">
        <v>11802.915</v>
      </c>
    </row>
    <row r="16839">
      <c r="A16839" s="39">
        <f>_xlfn.XLOOKUP(83160,Trip[shape_id],Trip[shape_id],"Não encontrado")</f>
        <v/>
      </c>
      <c r="B16839" s="40" t="n">
        <v>-23.581119</v>
      </c>
      <c r="C16839" s="40" t="n">
        <v>-46.56183</v>
      </c>
      <c r="D16839" s="40" t="n">
        <v>448</v>
      </c>
      <c r="E16839" s="41" t="n">
        <v>11822.365</v>
      </c>
    </row>
    <row r="16840">
      <c r="A16840" s="42">
        <f>_xlfn.XLOOKUP(83160,Trip[shape_id],Trip[shape_id],"Não encontrado")</f>
        <v/>
      </c>
      <c r="B16840" s="43" t="n">
        <v>-23.581139</v>
      </c>
      <c r="C16840" s="43" t="n">
        <v>-46.562028</v>
      </c>
      <c r="D16840" s="43" t="n">
        <v>449</v>
      </c>
      <c r="E16840" s="44" t="n">
        <v>11842.697</v>
      </c>
    </row>
    <row r="16841">
      <c r="A16841" s="39">
        <f>_xlfn.XLOOKUP(83160,Trip[shape_id],Trip[shape_id],"Não encontrado")</f>
        <v/>
      </c>
      <c r="B16841" s="40" t="n">
        <v>-23.581208</v>
      </c>
      <c r="C16841" s="40" t="n">
        <v>-46.562306</v>
      </c>
      <c r="D16841" s="40" t="n">
        <v>450</v>
      </c>
      <c r="E16841" s="41" t="n">
        <v>11872.086</v>
      </c>
    </row>
    <row r="16842">
      <c r="A16842" s="42">
        <f>_xlfn.XLOOKUP(83160,Trip[shape_id],Trip[shape_id],"Não encontrado")</f>
        <v/>
      </c>
      <c r="B16842" s="43" t="n">
        <v>-23.581273</v>
      </c>
      <c r="C16842" s="43" t="n">
        <v>-46.562586</v>
      </c>
      <c r="D16842" s="43" t="n">
        <v>451</v>
      </c>
      <c r="E16842" s="44" t="n">
        <v>11901.561</v>
      </c>
    </row>
    <row r="16843">
      <c r="A16843" s="39">
        <f>_xlfn.XLOOKUP(83160,Trip[shape_id],Trip[shape_id],"Não encontrado")</f>
        <v/>
      </c>
      <c r="B16843" s="40" t="n">
        <v>-23.581381</v>
      </c>
      <c r="C16843" s="40" t="n">
        <v>-46.563002</v>
      </c>
      <c r="D16843" s="40" t="n">
        <v>452</v>
      </c>
      <c r="E16843" s="41" t="n">
        <v>11945.678</v>
      </c>
    </row>
    <row r="16844">
      <c r="A16844" s="42">
        <f>_xlfn.XLOOKUP(83160,Trip[shape_id],Trip[shape_id],"Não encontrado")</f>
        <v/>
      </c>
      <c r="B16844" s="43" t="n">
        <v>-23.581429</v>
      </c>
      <c r="C16844" s="43" t="n">
        <v>-46.563195</v>
      </c>
      <c r="D16844" s="43" t="n">
        <v>453</v>
      </c>
      <c r="E16844" s="44" t="n">
        <v>11966.084</v>
      </c>
    </row>
    <row r="16845">
      <c r="A16845" s="39">
        <f>_xlfn.XLOOKUP(83160,Trip[shape_id],Trip[shape_id],"Não encontrado")</f>
        <v/>
      </c>
      <c r="B16845" s="40" t="n">
        <v>-23.581447</v>
      </c>
      <c r="C16845" s="40" t="n">
        <v>-46.563327</v>
      </c>
      <c r="D16845" s="40" t="n">
        <v>454</v>
      </c>
      <c r="E16845" s="41" t="n">
        <v>11979.705</v>
      </c>
    </row>
    <row r="16846">
      <c r="A16846" s="42">
        <f>_xlfn.XLOOKUP(83160,Trip[shape_id],Trip[shape_id],"Não encontrado")</f>
        <v/>
      </c>
      <c r="B16846" s="43" t="n">
        <v>-23.581423</v>
      </c>
      <c r="C16846" s="43" t="n">
        <v>-46.563549</v>
      </c>
      <c r="D16846" s="43" t="n">
        <v>455</v>
      </c>
      <c r="E16846" s="44" t="n">
        <v>12002.521</v>
      </c>
    </row>
    <row r="16847">
      <c r="A16847" s="39">
        <f>_xlfn.XLOOKUP(83160,Trip[shape_id],Trip[shape_id],"Não encontrado")</f>
        <v/>
      </c>
      <c r="B16847" s="40" t="n">
        <v>-23.581422</v>
      </c>
      <c r="C16847" s="40" t="n">
        <v>-46.563787</v>
      </c>
      <c r="D16847" s="40" t="n">
        <v>456</v>
      </c>
      <c r="E16847" s="41" t="n">
        <v>12026.816</v>
      </c>
    </row>
    <row r="16848">
      <c r="A16848" s="42">
        <f>_xlfn.XLOOKUP(83160,Trip[shape_id],Trip[shape_id],"Não encontrado")</f>
        <v/>
      </c>
      <c r="B16848" s="43" t="n">
        <v>-23.581401</v>
      </c>
      <c r="C16848" s="43" t="n">
        <v>-46.564123</v>
      </c>
      <c r="D16848" s="43" t="n">
        <v>457</v>
      </c>
      <c r="E16848" s="44" t="n">
        <v>12061.193</v>
      </c>
    </row>
    <row r="16849">
      <c r="A16849" s="39">
        <f>_xlfn.XLOOKUP(83160,Trip[shape_id],Trip[shape_id],"Não encontrado")</f>
        <v/>
      </c>
      <c r="B16849" s="40" t="n">
        <v>-23.581681</v>
      </c>
      <c r="C16849" s="40" t="n">
        <v>-46.564134</v>
      </c>
      <c r="D16849" s="40" t="n">
        <v>458</v>
      </c>
      <c r="E16849" s="41" t="n">
        <v>12164.237</v>
      </c>
    </row>
    <row r="16850">
      <c r="A16850" s="42">
        <f>_xlfn.XLOOKUP(83160,Trip[shape_id],Trip[shape_id],"Não encontrado")</f>
        <v/>
      </c>
      <c r="B16850" s="43" t="n">
        <v>-23.582331</v>
      </c>
      <c r="C16850" s="43" t="n">
        <v>-46.564152</v>
      </c>
      <c r="D16850" s="43" t="n">
        <v>459</v>
      </c>
      <c r="E16850" s="44" t="n">
        <v>12171.013</v>
      </c>
    </row>
    <row r="16851">
      <c r="A16851" s="39">
        <f>_xlfn.XLOOKUP(83160,Trip[shape_id],Trip[shape_id],"Não encontrado")</f>
        <v/>
      </c>
      <c r="B16851" s="40" t="n">
        <v>-23.582392</v>
      </c>
      <c r="C16851" s="40" t="n">
        <v>-46.564147</v>
      </c>
      <c r="D16851" s="40" t="n">
        <v>460</v>
      </c>
      <c r="E16851" s="41" t="n">
        <v>12171.013</v>
      </c>
    </row>
    <row r="16852">
      <c r="A16852" s="42">
        <f>_xlfn.XLOOKUP(83160,Trip[shape_id],Trip[shape_id],"Não encontrado")</f>
        <v/>
      </c>
      <c r="B16852" s="43" t="n">
        <v>-23.582395</v>
      </c>
      <c r="C16852" s="43" t="n">
        <v>-46.564263</v>
      </c>
      <c r="D16852" s="43" t="n">
        <v>461</v>
      </c>
      <c r="E16852" s="44" t="n">
        <v>12182.858</v>
      </c>
    </row>
    <row r="16853">
      <c r="A16853" s="39">
        <f>_xlfn.XLOOKUP(83160,Trip[shape_id],Trip[shape_id],"Não encontrado")</f>
        <v/>
      </c>
      <c r="B16853" s="40" t="n">
        <v>-23.582449</v>
      </c>
      <c r="C16853" s="40" t="n">
        <v>-46.564748</v>
      </c>
      <c r="D16853" s="40" t="n">
        <v>462</v>
      </c>
      <c r="E16853" s="41" t="n">
        <v>12232.726</v>
      </c>
    </row>
    <row r="16854">
      <c r="A16854" s="42">
        <f>_xlfn.XLOOKUP(83160,Trip[shape_id],Trip[shape_id],"Não encontrado")</f>
        <v/>
      </c>
      <c r="B16854" s="43" t="n">
        <v>-23.582527</v>
      </c>
      <c r="C16854" s="43" t="n">
        <v>-46.565552</v>
      </c>
      <c r="D16854" s="43" t="n">
        <v>463</v>
      </c>
      <c r="E16854" s="44" t="n">
        <v>12315.249</v>
      </c>
    </row>
    <row r="16855">
      <c r="A16855" s="39">
        <f>_xlfn.XLOOKUP(83160,Trip[shape_id],Trip[shape_id],"Não encontrado")</f>
        <v/>
      </c>
      <c r="B16855" s="40" t="n">
        <v>-23.582575</v>
      </c>
      <c r="C16855" s="40" t="n">
        <v>-46.565988</v>
      </c>
      <c r="D16855" s="40" t="n">
        <v>464</v>
      </c>
      <c r="E16855" s="41" t="n">
        <v>12360.071</v>
      </c>
    </row>
    <row r="16856">
      <c r="A16856" s="42">
        <f>_xlfn.XLOOKUP(83160,Trip[shape_id],Trip[shape_id],"Não encontrado")</f>
        <v/>
      </c>
      <c r="B16856" s="43" t="n">
        <v>-23.582622</v>
      </c>
      <c r="C16856" s="43" t="n">
        <v>-46.566441</v>
      </c>
      <c r="D16856" s="43" t="n">
        <v>465</v>
      </c>
      <c r="E16856" s="44" t="n">
        <v>12406.604</v>
      </c>
    </row>
    <row r="16857">
      <c r="A16857" s="39">
        <f>_xlfn.XLOOKUP(83160,Trip[shape_id],Trip[shape_id],"Não encontrado")</f>
        <v/>
      </c>
      <c r="B16857" s="40" t="n">
        <v>-23.582729</v>
      </c>
      <c r="C16857" s="40" t="n">
        <v>-46.567477</v>
      </c>
      <c r="D16857" s="40" t="n">
        <v>466</v>
      </c>
      <c r="E16857" s="41" t="n">
        <v>12513.019</v>
      </c>
    </row>
    <row r="16858">
      <c r="A16858" s="42">
        <f>_xlfn.XLOOKUP(83160,Trip[shape_id],Trip[shape_id],"Não encontrado")</f>
        <v/>
      </c>
      <c r="B16858" s="43" t="n">
        <v>-23.58277</v>
      </c>
      <c r="C16858" s="43" t="n">
        <v>-46.567926</v>
      </c>
      <c r="D16858" s="43" t="n">
        <v>467</v>
      </c>
      <c r="E16858" s="44" t="n">
        <v>12559.075</v>
      </c>
    </row>
    <row r="16859">
      <c r="A16859" s="39">
        <f>_xlfn.XLOOKUP(83160,Trip[shape_id],Trip[shape_id],"Não encontrado")</f>
        <v/>
      </c>
      <c r="B16859" s="40" t="n">
        <v>-23.582843</v>
      </c>
      <c r="C16859" s="40" t="n">
        <v>-46.568627</v>
      </c>
      <c r="D16859" s="40" t="n">
        <v>468</v>
      </c>
      <c r="E16859" s="41" t="n">
        <v>12631.087</v>
      </c>
    </row>
    <row r="16860">
      <c r="A16860" s="42">
        <f>_xlfn.XLOOKUP(83160,Trip[shape_id],Trip[shape_id],"Não encontrado")</f>
        <v/>
      </c>
      <c r="B16860" s="43" t="n">
        <v>-23.582845</v>
      </c>
      <c r="C16860" s="43" t="n">
        <v>-46.568718</v>
      </c>
      <c r="D16860" s="43" t="n">
        <v>469</v>
      </c>
      <c r="E16860" s="44" t="n">
        <v>12640.379</v>
      </c>
    </row>
    <row r="16861">
      <c r="A16861" s="39">
        <f>_xlfn.XLOOKUP(83160,Trip[shape_id],Trip[shape_id],"Não encontrado")</f>
        <v/>
      </c>
      <c r="B16861" s="40" t="n">
        <v>-23.582843</v>
      </c>
      <c r="C16861" s="40" t="n">
        <v>-46.568849</v>
      </c>
      <c r="D16861" s="40" t="n">
        <v>470</v>
      </c>
      <c r="E16861" s="41" t="n">
        <v>12653.753</v>
      </c>
    </row>
    <row r="16862">
      <c r="A16862" s="42">
        <f>_xlfn.XLOOKUP(83160,Trip[shape_id],Trip[shape_id],"Não encontrado")</f>
        <v/>
      </c>
      <c r="B16862" s="43" t="n">
        <v>-23.582843</v>
      </c>
      <c r="C16862" s="43" t="n">
        <v>-46.569453</v>
      </c>
      <c r="D16862" s="43" t="n">
        <v>471</v>
      </c>
      <c r="E16862" s="44" t="n">
        <v>12715.407</v>
      </c>
    </row>
    <row r="16863">
      <c r="A16863" s="39">
        <f>_xlfn.XLOOKUP(83160,Trip[shape_id],Trip[shape_id],"Não encontrado")</f>
        <v/>
      </c>
      <c r="B16863" s="40" t="n">
        <v>-23.582839</v>
      </c>
      <c r="C16863" s="40" t="n">
        <v>-46.569818</v>
      </c>
      <c r="D16863" s="40" t="n">
        <v>472</v>
      </c>
      <c r="E16863" s="41" t="n">
        <v>12752.668</v>
      </c>
    </row>
    <row r="16864">
      <c r="A16864" s="42">
        <f>_xlfn.XLOOKUP(83160,Trip[shape_id],Trip[shape_id],"Não encontrado")</f>
        <v/>
      </c>
      <c r="B16864" s="43" t="n">
        <v>-23.582836</v>
      </c>
      <c r="C16864" s="43" t="n">
        <v>-46.570336</v>
      </c>
      <c r="D16864" s="43" t="n">
        <v>473</v>
      </c>
      <c r="E16864" s="44" t="n">
        <v>12805.545</v>
      </c>
    </row>
    <row r="16865">
      <c r="A16865" s="39">
        <f>_xlfn.XLOOKUP(83160,Trip[shape_id],Trip[shape_id],"Não encontrado")</f>
        <v/>
      </c>
      <c r="B16865" s="40" t="n">
        <v>-23.582835</v>
      </c>
      <c r="C16865" s="40" t="n">
        <v>-46.570483</v>
      </c>
      <c r="D16865" s="40" t="n">
        <v>474</v>
      </c>
      <c r="E16865" s="41" t="n">
        <v>12820.551</v>
      </c>
    </row>
    <row r="16866">
      <c r="A16866" s="42">
        <f>_xlfn.XLOOKUP(83160,Trip[shape_id],Trip[shape_id],"Não encontrado")</f>
        <v/>
      </c>
      <c r="B16866" s="43" t="n">
        <v>-23.582804</v>
      </c>
      <c r="C16866" s="43" t="n">
        <v>-46.570976</v>
      </c>
      <c r="D16866" s="43" t="n">
        <v>475</v>
      </c>
      <c r="E16866" s="44" t="n">
        <v>12870.992</v>
      </c>
    </row>
    <row r="16867">
      <c r="A16867" s="39">
        <f>_xlfn.XLOOKUP(83160,Trip[shape_id],Trip[shape_id],"Não encontrado")</f>
        <v/>
      </c>
      <c r="B16867" s="40" t="n">
        <v>-23.582791</v>
      </c>
      <c r="C16867" s="40" t="n">
        <v>-46.571219</v>
      </c>
      <c r="D16867" s="40" t="n">
        <v>476</v>
      </c>
      <c r="E16867" s="41" t="n">
        <v>12928.217</v>
      </c>
    </row>
    <row r="16868">
      <c r="A16868" s="42">
        <f>_xlfn.XLOOKUP(83160,Trip[shape_id],Trip[shape_id],"Não encontrado")</f>
        <v/>
      </c>
      <c r="B16868" s="43" t="n">
        <v>-23.582781</v>
      </c>
      <c r="C16868" s="43" t="n">
        <v>-46.571536</v>
      </c>
      <c r="D16868" s="43" t="n">
        <v>477</v>
      </c>
      <c r="E16868" s="44" t="n">
        <v>12967.216</v>
      </c>
    </row>
    <row r="16869">
      <c r="A16869" s="39">
        <f>_xlfn.XLOOKUP(83160,Trip[shape_id],Trip[shape_id],"Não encontrado")</f>
        <v/>
      </c>
      <c r="B16869" s="40" t="n">
        <v>-23.582775</v>
      </c>
      <c r="C16869" s="40" t="n">
        <v>-46.571918</v>
      </c>
      <c r="D16869" s="40" t="n">
        <v>478</v>
      </c>
      <c r="E16869" s="41" t="n">
        <v>13019.684</v>
      </c>
    </row>
    <row r="16870">
      <c r="A16870" s="42">
        <f>_xlfn.XLOOKUP(83160,Trip[shape_id],Trip[shape_id],"Não encontrado")</f>
        <v/>
      </c>
      <c r="B16870" s="43" t="n">
        <v>-23.582774</v>
      </c>
      <c r="C16870" s="43" t="n">
        <v>-46.572432</v>
      </c>
      <c r="D16870" s="43" t="n">
        <v>479</v>
      </c>
      <c r="E16870" s="44" t="n">
        <v>13019.684</v>
      </c>
    </row>
    <row r="16871">
      <c r="A16871" s="39">
        <f>_xlfn.XLOOKUP(83160,Trip[shape_id],Trip[shape_id],"Não encontrado")</f>
        <v/>
      </c>
      <c r="B16871" s="40" t="n">
        <v>-23.582778</v>
      </c>
      <c r="C16871" s="40" t="n">
        <v>-46.572806</v>
      </c>
      <c r="D16871" s="40" t="n">
        <v>480</v>
      </c>
      <c r="E16871" s="41" t="n">
        <v>13057.863</v>
      </c>
    </row>
    <row r="16872">
      <c r="A16872" s="42">
        <f>_xlfn.XLOOKUP(83160,Trip[shape_id],Trip[shape_id],"Não encontrado")</f>
        <v/>
      </c>
      <c r="B16872" s="43" t="n">
        <v>-23.582812</v>
      </c>
      <c r="C16872" s="43" t="n">
        <v>-46.573358</v>
      </c>
      <c r="D16872" s="43" t="n">
        <v>481</v>
      </c>
      <c r="E16872" s="44" t="n">
        <v>13114.336</v>
      </c>
    </row>
    <row r="16873">
      <c r="A16873" s="39">
        <f>_xlfn.XLOOKUP(83160,Trip[shape_id],Trip[shape_id],"Não encontrado")</f>
        <v/>
      </c>
      <c r="B16873" s="40" t="n">
        <v>-23.582908</v>
      </c>
      <c r="C16873" s="40" t="n">
        <v>-46.573899</v>
      </c>
      <c r="D16873" s="40" t="n">
        <v>482</v>
      </c>
      <c r="E16873" s="41" t="n">
        <v>13170.574</v>
      </c>
    </row>
    <row r="16874">
      <c r="A16874" s="42">
        <f>_xlfn.XLOOKUP(83160,Trip[shape_id],Trip[shape_id],"Não encontrado")</f>
        <v/>
      </c>
      <c r="B16874" s="43" t="n">
        <v>-23.582967</v>
      </c>
      <c r="C16874" s="43" t="n">
        <v>-46.574102</v>
      </c>
      <c r="D16874" s="43" t="n">
        <v>483</v>
      </c>
      <c r="E16874" s="44" t="n">
        <v>13192.302</v>
      </c>
    </row>
    <row r="16875">
      <c r="A16875" s="39">
        <f>_xlfn.XLOOKUP(83160,Trip[shape_id],Trip[shape_id],"Não encontrado")</f>
        <v/>
      </c>
      <c r="B16875" s="40" t="n">
        <v>-23.583127</v>
      </c>
      <c r="C16875" s="40" t="n">
        <v>-46.574539</v>
      </c>
      <c r="D16875" s="40" t="n">
        <v>484</v>
      </c>
      <c r="E16875" s="41" t="n">
        <v>13240.3</v>
      </c>
    </row>
    <row r="16876">
      <c r="A16876" s="42">
        <f>_xlfn.XLOOKUP(83160,Trip[shape_id],Trip[shape_id],"Não encontrado")</f>
        <v/>
      </c>
      <c r="B16876" s="43" t="n">
        <v>-23.583383</v>
      </c>
      <c r="C16876" s="43" t="n">
        <v>-46.575191</v>
      </c>
      <c r="D16876" s="43" t="n">
        <v>485</v>
      </c>
      <c r="E16876" s="44" t="n">
        <v>13312.642</v>
      </c>
    </row>
    <row r="16877">
      <c r="A16877" s="39">
        <f>_xlfn.XLOOKUP(83160,Trip[shape_id],Trip[shape_id],"Não encontrado")</f>
        <v/>
      </c>
      <c r="B16877" s="40" t="n">
        <v>-23.583412</v>
      </c>
      <c r="C16877" s="40" t="n">
        <v>-46.575275</v>
      </c>
      <c r="D16877" s="40" t="n">
        <v>486</v>
      </c>
      <c r="E16877" s="41" t="n">
        <v>13321.798</v>
      </c>
    </row>
    <row r="16878">
      <c r="A16878" s="42">
        <f>_xlfn.XLOOKUP(83160,Trip[shape_id],Trip[shape_id],"Não encontrado")</f>
        <v/>
      </c>
      <c r="B16878" s="43" t="n">
        <v>-23.583459</v>
      </c>
      <c r="C16878" s="43" t="n">
        <v>-46.575375</v>
      </c>
      <c r="D16878" s="43" t="n">
        <v>487</v>
      </c>
      <c r="E16878" s="44" t="n">
        <v>13333.256</v>
      </c>
    </row>
    <row r="16879">
      <c r="A16879" s="39">
        <f>_xlfn.XLOOKUP(83160,Trip[shape_id],Trip[shape_id],"Não encontrado")</f>
        <v/>
      </c>
      <c r="B16879" s="40" t="n">
        <v>-23.583633</v>
      </c>
      <c r="C16879" s="40" t="n">
        <v>-46.575576</v>
      </c>
      <c r="D16879" s="40" t="n">
        <v>488</v>
      </c>
      <c r="E16879" s="41" t="n">
        <v>13370.056</v>
      </c>
    </row>
    <row r="16880">
      <c r="A16880" s="42">
        <f>_xlfn.XLOOKUP(83160,Trip[shape_id],Trip[shape_id],"Não encontrado")</f>
        <v/>
      </c>
      <c r="B16880" s="43" t="n">
        <v>-23.583682</v>
      </c>
      <c r="C16880" s="43" t="n">
        <v>-46.575642</v>
      </c>
      <c r="D16880" s="43" t="n">
        <v>489</v>
      </c>
      <c r="E16880" s="44" t="n">
        <v>13413.767</v>
      </c>
    </row>
    <row r="16881">
      <c r="A16881" s="39">
        <f>_xlfn.XLOOKUP(83160,Trip[shape_id],Trip[shape_id],"Não encontrado")</f>
        <v/>
      </c>
      <c r="B16881" s="40" t="n">
        <v>-23.583847</v>
      </c>
      <c r="C16881" s="40" t="n">
        <v>-46.576031</v>
      </c>
      <c r="D16881" s="40" t="n">
        <v>490</v>
      </c>
      <c r="E16881" s="41" t="n">
        <v>13413.767</v>
      </c>
    </row>
    <row r="16882">
      <c r="A16882" s="42">
        <f>_xlfn.XLOOKUP(83160,Trip[shape_id],Trip[shape_id],"Não encontrado")</f>
        <v/>
      </c>
      <c r="B16882" s="43" t="n">
        <v>-23.584018</v>
      </c>
      <c r="C16882" s="43" t="n">
        <v>-46.576432</v>
      </c>
      <c r="D16882" s="43" t="n">
        <v>491</v>
      </c>
      <c r="E16882" s="44" t="n">
        <v>13490.997</v>
      </c>
    </row>
    <row r="16883">
      <c r="A16883" s="39">
        <f>_xlfn.XLOOKUP(83160,Trip[shape_id],Trip[shape_id],"Não encontrado")</f>
        <v/>
      </c>
      <c r="B16883" s="40" t="n">
        <v>-23.584038</v>
      </c>
      <c r="C16883" s="40" t="n">
        <v>-46.576746</v>
      </c>
      <c r="D16883" s="40" t="n">
        <v>492</v>
      </c>
      <c r="E16883" s="41" t="n">
        <v>13490.997</v>
      </c>
    </row>
    <row r="16884">
      <c r="A16884" s="42">
        <f>_xlfn.XLOOKUP(83160,Trip[shape_id],Trip[shape_id],"Não encontrado")</f>
        <v/>
      </c>
      <c r="B16884" s="43" t="n">
        <v>-23.584068</v>
      </c>
      <c r="C16884" s="43" t="n">
        <v>-46.576819</v>
      </c>
      <c r="D16884" s="43" t="n">
        <v>493</v>
      </c>
      <c r="E16884" s="44" t="n">
        <v>13499.156</v>
      </c>
    </row>
    <row r="16885">
      <c r="A16885" s="39">
        <f>_xlfn.XLOOKUP(83160,Trip[shape_id],Trip[shape_id],"Não encontrado")</f>
        <v/>
      </c>
      <c r="B16885" s="40" t="n">
        <v>-23.584143</v>
      </c>
      <c r="C16885" s="40" t="n">
        <v>-46.57705</v>
      </c>
      <c r="D16885" s="40" t="n">
        <v>494</v>
      </c>
      <c r="E16885" s="41" t="n">
        <v>13524.156</v>
      </c>
    </row>
    <row r="16886">
      <c r="A16886" s="42">
        <f>_xlfn.XLOOKUP(83160,Trip[shape_id],Trip[shape_id],"Não encontrado")</f>
        <v/>
      </c>
      <c r="B16886" s="43" t="n">
        <v>-23.584184</v>
      </c>
      <c r="C16886" s="43" t="n">
        <v>-46.577213</v>
      </c>
      <c r="D16886" s="43" t="n">
        <v>495</v>
      </c>
      <c r="E16886" s="44" t="n">
        <v>13541.403</v>
      </c>
    </row>
    <row r="16887">
      <c r="A16887" s="39">
        <f>_xlfn.XLOOKUP(83160,Trip[shape_id],Trip[shape_id],"Não encontrado")</f>
        <v/>
      </c>
      <c r="B16887" s="40" t="n">
        <v>-23.584365</v>
      </c>
      <c r="C16887" s="40" t="n">
        <v>-46.57837</v>
      </c>
      <c r="D16887" s="40" t="n">
        <v>496</v>
      </c>
      <c r="E16887" s="41" t="n">
        <v>13661.194</v>
      </c>
    </row>
    <row r="16888">
      <c r="A16888" s="42">
        <f>_xlfn.XLOOKUP(83160,Trip[shape_id],Trip[shape_id],"Não encontrado")</f>
        <v/>
      </c>
      <c r="B16888" s="43" t="n">
        <v>-23.584554</v>
      </c>
      <c r="C16888" s="43" t="n">
        <v>-46.579743</v>
      </c>
      <c r="D16888" s="43" t="n">
        <v>497</v>
      </c>
      <c r="E16888" s="44" t="n">
        <v>13802.899</v>
      </c>
    </row>
    <row r="16889">
      <c r="A16889" s="39">
        <f>_xlfn.XLOOKUP(83160,Trip[shape_id],Trip[shape_id],"Não encontrado")</f>
        <v/>
      </c>
      <c r="B16889" s="40" t="n">
        <v>-23.584732</v>
      </c>
      <c r="C16889" s="40" t="n">
        <v>-46.581042</v>
      </c>
      <c r="D16889" s="40" t="n">
        <v>498</v>
      </c>
      <c r="E16889" s="41" t="n">
        <v>13936.953</v>
      </c>
    </row>
    <row r="16890">
      <c r="A16890" s="42">
        <f>_xlfn.XLOOKUP(83160,Trip[shape_id],Trip[shape_id],"Não encontrado")</f>
        <v/>
      </c>
      <c r="B16890" s="43" t="n">
        <v>-23.584785</v>
      </c>
      <c r="C16890" s="43" t="n">
        <v>-46.581442</v>
      </c>
      <c r="D16890" s="43" t="n">
        <v>499</v>
      </c>
      <c r="E16890" s="44" t="n">
        <v>13978.203</v>
      </c>
    </row>
    <row r="16891">
      <c r="A16891" s="39">
        <f>_xlfn.XLOOKUP(83160,Trip[shape_id],Trip[shape_id],"Não encontrado")</f>
        <v/>
      </c>
      <c r="B16891" s="40" t="n">
        <v>-23.584878</v>
      </c>
      <c r="C16891" s="40" t="n">
        <v>-46.581703</v>
      </c>
      <c r="D16891" s="40" t="n">
        <v>500</v>
      </c>
      <c r="E16891" s="41" t="n">
        <v>14029.104</v>
      </c>
    </row>
    <row r="16892">
      <c r="A16892" s="42">
        <f>_xlfn.XLOOKUP(83160,Trip[shape_id],Trip[shape_id],"Não encontrado")</f>
        <v/>
      </c>
      <c r="B16892" s="43" t="n">
        <v>-23.584904</v>
      </c>
      <c r="C16892" s="43" t="n">
        <v>-46.58192</v>
      </c>
      <c r="D16892" s="43" t="n">
        <v>501</v>
      </c>
      <c r="E16892" s="44" t="n">
        <v>14057.237</v>
      </c>
    </row>
    <row r="16893">
      <c r="A16893" s="39">
        <f>_xlfn.XLOOKUP(83160,Trip[shape_id],Trip[shape_id],"Não encontrado")</f>
        <v/>
      </c>
      <c r="B16893" s="40" t="n">
        <v>-23.584945</v>
      </c>
      <c r="C16893" s="40" t="n">
        <v>-46.582192</v>
      </c>
      <c r="D16893" s="40" t="n">
        <v>502</v>
      </c>
      <c r="E16893" s="41" t="n">
        <v>14057.237</v>
      </c>
    </row>
    <row r="16894">
      <c r="A16894" s="42">
        <f>_xlfn.XLOOKUP(83160,Trip[shape_id],Trip[shape_id],"Não encontrado")</f>
        <v/>
      </c>
      <c r="B16894" s="43" t="n">
        <v>-23.584787</v>
      </c>
      <c r="C16894" s="43" t="n">
        <v>-46.582561</v>
      </c>
      <c r="D16894" s="43" t="n">
        <v>503</v>
      </c>
      <c r="E16894" s="44" t="n">
        <v>14098.77</v>
      </c>
    </row>
    <row r="16895">
      <c r="A16895" s="39">
        <f>_xlfn.XLOOKUP(83160,Trip[shape_id],Trip[shape_id],"Não encontrado")</f>
        <v/>
      </c>
      <c r="B16895" s="40" t="n">
        <v>-23.584767</v>
      </c>
      <c r="C16895" s="40" t="n">
        <v>-46.582608</v>
      </c>
      <c r="D16895" s="40" t="n">
        <v>504</v>
      </c>
      <c r="E16895" s="41" t="n">
        <v>14104.054</v>
      </c>
    </row>
    <row r="16896">
      <c r="A16896" s="42">
        <f>_xlfn.XLOOKUP(83160,Trip[shape_id],Trip[shape_id],"Não encontrado")</f>
        <v/>
      </c>
      <c r="B16896" s="43" t="n">
        <v>-23.584758</v>
      </c>
      <c r="C16896" s="43" t="n">
        <v>-46.582629</v>
      </c>
      <c r="D16896" s="43" t="n">
        <v>505</v>
      </c>
      <c r="E16896" s="44" t="n">
        <v>14106.419</v>
      </c>
    </row>
    <row r="16897">
      <c r="A16897" s="39">
        <f>_xlfn.XLOOKUP(83160,Trip[shape_id],Trip[shape_id],"Não encontrado")</f>
        <v/>
      </c>
      <c r="B16897" s="40" t="n">
        <v>-23.584739</v>
      </c>
      <c r="C16897" s="40" t="n">
        <v>-46.58267</v>
      </c>
      <c r="D16897" s="40" t="n">
        <v>506</v>
      </c>
      <c r="E16897" s="41" t="n">
        <v>14111.104</v>
      </c>
    </row>
    <row r="16898">
      <c r="A16898" s="42">
        <f>_xlfn.XLOOKUP(83160,Trip[shape_id],Trip[shape_id],"Não encontrado")</f>
        <v/>
      </c>
      <c r="B16898" s="43" t="n">
        <v>-23.584676</v>
      </c>
      <c r="C16898" s="43" t="n">
        <v>-46.582823</v>
      </c>
      <c r="D16898" s="43" t="n">
        <v>507</v>
      </c>
      <c r="E16898" s="44" t="n">
        <v>14128.209</v>
      </c>
    </row>
    <row r="16899">
      <c r="A16899" s="39">
        <f>_xlfn.XLOOKUP(83160,Trip[shape_id],Trip[shape_id],"Não encontrado")</f>
        <v/>
      </c>
      <c r="B16899" s="40" t="n">
        <v>-23.584655</v>
      </c>
      <c r="C16899" s="40" t="n">
        <v>-46.582872</v>
      </c>
      <c r="D16899" s="40" t="n">
        <v>508</v>
      </c>
      <c r="E16899" s="41" t="n">
        <v>14133.726</v>
      </c>
    </row>
    <row r="16900">
      <c r="A16900" s="42">
        <f>_xlfn.XLOOKUP(83160,Trip[shape_id],Trip[shape_id],"Não encontrado")</f>
        <v/>
      </c>
      <c r="B16900" s="43" t="n">
        <v>-23.584604</v>
      </c>
      <c r="C16900" s="43" t="n">
        <v>-46.582992</v>
      </c>
      <c r="D16900" s="43" t="n">
        <v>509</v>
      </c>
      <c r="E16900" s="44" t="n">
        <v>14147.214</v>
      </c>
    </row>
    <row r="16901">
      <c r="A16901" s="39">
        <f>_xlfn.XLOOKUP(83160,Trip[shape_id],Trip[shape_id],"Não encontrado")</f>
        <v/>
      </c>
      <c r="B16901" s="40" t="n">
        <v>-23.584582</v>
      </c>
      <c r="C16901" s="40" t="n">
        <v>-46.583044</v>
      </c>
      <c r="D16901" s="40" t="n">
        <v>510</v>
      </c>
      <c r="E16901" s="41" t="n">
        <v>14153.055</v>
      </c>
    </row>
    <row r="16902">
      <c r="A16902" s="42">
        <f>_xlfn.XLOOKUP(83160,Trip[shape_id],Trip[shape_id],"Não encontrado")</f>
        <v/>
      </c>
      <c r="B16902" s="43" t="n">
        <v>-23.58456</v>
      </c>
      <c r="C16902" s="43" t="n">
        <v>-46.583095</v>
      </c>
      <c r="D16902" s="43" t="n">
        <v>511</v>
      </c>
      <c r="E16902" s="44" t="n">
        <v>14158.803</v>
      </c>
    </row>
    <row r="16903">
      <c r="A16903" s="39">
        <f>_xlfn.XLOOKUP(83160,Trip[shape_id],Trip[shape_id],"Não encontrado")</f>
        <v/>
      </c>
      <c r="B16903" s="40" t="n">
        <v>-23.584471</v>
      </c>
      <c r="C16903" s="40" t="n">
        <v>-46.583301</v>
      </c>
      <c r="D16903" s="40" t="n">
        <v>512</v>
      </c>
      <c r="E16903" s="41" t="n">
        <v>14182.025</v>
      </c>
    </row>
    <row r="16904">
      <c r="A16904" s="42">
        <f>_xlfn.XLOOKUP(83160,Trip[shape_id],Trip[shape_id],"Não encontrado")</f>
        <v/>
      </c>
      <c r="B16904" s="43" t="n">
        <v>-23.584448</v>
      </c>
      <c r="C16904" s="43" t="n">
        <v>-46.583356</v>
      </c>
      <c r="D16904" s="43" t="n">
        <v>513</v>
      </c>
      <c r="E16904" s="44" t="n">
        <v>14188.19</v>
      </c>
    </row>
    <row r="16905">
      <c r="A16905" s="39">
        <f>_xlfn.XLOOKUP(83160,Trip[shape_id],Trip[shape_id],"Não encontrado")</f>
        <v/>
      </c>
      <c r="B16905" s="40" t="n">
        <v>-23.584368</v>
      </c>
      <c r="C16905" s="40" t="n">
        <v>-46.583543</v>
      </c>
      <c r="D16905" s="40" t="n">
        <v>514</v>
      </c>
      <c r="E16905" s="41" t="n">
        <v>14209.234</v>
      </c>
    </row>
    <row r="16906">
      <c r="A16906" s="42">
        <f>_xlfn.XLOOKUP(83160,Trip[shape_id],Trip[shape_id],"Não encontrado")</f>
        <v/>
      </c>
      <c r="B16906" s="43" t="n">
        <v>-23.584346</v>
      </c>
      <c r="C16906" s="43" t="n">
        <v>-46.583594</v>
      </c>
      <c r="D16906" s="43" t="n">
        <v>515</v>
      </c>
      <c r="E16906" s="44" t="n">
        <v>14214.982</v>
      </c>
    </row>
    <row r="16907">
      <c r="A16907" s="39">
        <f>_xlfn.XLOOKUP(83160,Trip[shape_id],Trip[shape_id],"Não encontrado")</f>
        <v/>
      </c>
      <c r="B16907" s="40" t="n">
        <v>-23.584266</v>
      </c>
      <c r="C16907" s="40" t="n">
        <v>-46.583783</v>
      </c>
      <c r="D16907" s="40" t="n">
        <v>516</v>
      </c>
      <c r="E16907" s="41" t="n">
        <v>14236.212</v>
      </c>
    </row>
    <row r="16908">
      <c r="A16908" s="42">
        <f>_xlfn.XLOOKUP(83160,Trip[shape_id],Trip[shape_id],"Não encontrado")</f>
        <v/>
      </c>
      <c r="B16908" s="43" t="n">
        <v>-23.584246</v>
      </c>
      <c r="C16908" s="43" t="n">
        <v>-46.583831</v>
      </c>
      <c r="D16908" s="43" t="n">
        <v>517</v>
      </c>
      <c r="E16908" s="44" t="n">
        <v>14241.589</v>
      </c>
    </row>
    <row r="16909">
      <c r="A16909" s="39">
        <f>_xlfn.XLOOKUP(83160,Trip[shape_id],Trip[shape_id],"Não encontrado")</f>
        <v/>
      </c>
      <c r="B16909" s="40" t="n">
        <v>-23.584233</v>
      </c>
      <c r="C16909" s="40" t="n">
        <v>-46.58388</v>
      </c>
      <c r="D16909" s="40" t="n">
        <v>518</v>
      </c>
      <c r="E16909" s="41" t="n">
        <v>14246.793</v>
      </c>
    </row>
    <row r="16910">
      <c r="A16910" s="42">
        <f>_xlfn.XLOOKUP(83160,Trip[shape_id],Trip[shape_id],"Não encontrado")</f>
        <v/>
      </c>
      <c r="B16910" s="43" t="n">
        <v>-23.584217</v>
      </c>
      <c r="C16910" s="43" t="n">
        <v>-46.583964</v>
      </c>
      <c r="D16910" s="43" t="n">
        <v>519</v>
      </c>
      <c r="E16910" s="44" t="n">
        <v>14255.548</v>
      </c>
    </row>
    <row r="16911">
      <c r="A16911" s="39">
        <f>_xlfn.XLOOKUP(83160,Trip[shape_id],Trip[shape_id],"Não encontrado")</f>
        <v/>
      </c>
      <c r="B16911" s="40" t="n">
        <v>-23.58405</v>
      </c>
      <c r="C16911" s="40" t="n">
        <v>-46.584378</v>
      </c>
      <c r="D16911" s="40" t="n">
        <v>520</v>
      </c>
      <c r="E16911" s="41" t="n">
        <v>14301.678</v>
      </c>
    </row>
    <row r="16912">
      <c r="A16912" s="42">
        <f>_xlfn.XLOOKUP(83160,Trip[shape_id],Trip[shape_id],"Não encontrado")</f>
        <v/>
      </c>
      <c r="B16912" s="43" t="n">
        <v>-23.584034</v>
      </c>
      <c r="C16912" s="43" t="n">
        <v>-46.58485</v>
      </c>
      <c r="D16912" s="43" t="n">
        <v>521</v>
      </c>
      <c r="E16912" s="44" t="n">
        <v>14349.891</v>
      </c>
    </row>
    <row r="16913">
      <c r="A16913" s="39">
        <f>_xlfn.XLOOKUP(83160,Trip[shape_id],Trip[shape_id],"Não encontrado")</f>
        <v/>
      </c>
      <c r="B16913" s="40" t="n">
        <v>-23.58404</v>
      </c>
      <c r="C16913" s="40" t="n">
        <v>-46.585164</v>
      </c>
      <c r="D16913" s="40" t="n">
        <v>522</v>
      </c>
      <c r="E16913" s="41" t="n">
        <v>14381.949</v>
      </c>
    </row>
    <row r="16914">
      <c r="A16914" s="42">
        <f>_xlfn.XLOOKUP(83160,Trip[shape_id],Trip[shape_id],"Não encontrado")</f>
        <v/>
      </c>
      <c r="B16914" s="43" t="n">
        <v>-23.584047</v>
      </c>
      <c r="C16914" s="43" t="n">
        <v>-46.585428</v>
      </c>
      <c r="D16914" s="43" t="n">
        <v>523</v>
      </c>
      <c r="E16914" s="44" t="n">
        <v>14408.908</v>
      </c>
    </row>
    <row r="16915">
      <c r="A16915" s="39">
        <f>_xlfn.XLOOKUP(83160,Trip[shape_id],Trip[shape_id],"Não encontrado")</f>
        <v/>
      </c>
      <c r="B16915" s="40" t="n">
        <v>-23.584063</v>
      </c>
      <c r="C16915" s="40" t="n">
        <v>-46.585606</v>
      </c>
      <c r="D16915" s="40" t="n">
        <v>524</v>
      </c>
      <c r="E16915" s="41" t="n">
        <v>14427.164</v>
      </c>
    </row>
    <row r="16916">
      <c r="A16916" s="42">
        <f>_xlfn.XLOOKUP(83160,Trip[shape_id],Trip[shape_id],"Não encontrado")</f>
        <v/>
      </c>
      <c r="B16916" s="43" t="n">
        <v>-23.584055</v>
      </c>
      <c r="C16916" s="43" t="n">
        <v>-46.585756</v>
      </c>
      <c r="D16916" s="43" t="n">
        <v>525</v>
      </c>
      <c r="E16916" s="44" t="n">
        <v>14442.501</v>
      </c>
    </row>
    <row r="16917">
      <c r="A16917" s="39">
        <f>_xlfn.XLOOKUP(83160,Trip[shape_id],Trip[shape_id],"Não encontrado")</f>
        <v/>
      </c>
      <c r="B16917" s="40" t="n">
        <v>-23.584079</v>
      </c>
      <c r="C16917" s="40" t="n">
        <v>-46.585963</v>
      </c>
      <c r="D16917" s="40" t="n">
        <v>526</v>
      </c>
      <c r="E16917" s="41" t="n">
        <v>14463.798</v>
      </c>
    </row>
    <row r="16918">
      <c r="A16918" s="42">
        <f>_xlfn.XLOOKUP(83160,Trip[shape_id],Trip[shape_id],"Não encontrado")</f>
        <v/>
      </c>
      <c r="B16918" s="43" t="n">
        <v>-23.584058</v>
      </c>
      <c r="C16918" s="43" t="n">
        <v>-46.586091</v>
      </c>
      <c r="D16918" s="43" t="n">
        <v>527</v>
      </c>
      <c r="E16918" s="44" t="n">
        <v>14477.069</v>
      </c>
    </row>
    <row r="16919">
      <c r="A16919" s="39">
        <f>_xlfn.XLOOKUP(83160,Trip[shape_id],Trip[shape_id],"Não encontrado")</f>
        <v/>
      </c>
      <c r="B16919" s="40" t="n">
        <v>-23.583991</v>
      </c>
      <c r="C16919" s="40" t="n">
        <v>-46.586191</v>
      </c>
      <c r="D16919" s="40" t="n">
        <v>528</v>
      </c>
      <c r="E16919" s="41" t="n">
        <v>14489.689</v>
      </c>
    </row>
    <row r="16920">
      <c r="A16920" s="42">
        <f>_xlfn.XLOOKUP(83160,Trip[shape_id],Trip[shape_id],"Não encontrado")</f>
        <v/>
      </c>
      <c r="B16920" s="43" t="n">
        <v>-23.583896</v>
      </c>
      <c r="C16920" s="43" t="n">
        <v>-46.586265</v>
      </c>
      <c r="D16920" s="43" t="n">
        <v>529</v>
      </c>
      <c r="E16920" s="44" t="n">
        <v>14502.642</v>
      </c>
    </row>
    <row r="16921">
      <c r="A16921" s="39">
        <f>_xlfn.XLOOKUP(83160,Trip[shape_id],Trip[shape_id],"Não encontrado")</f>
        <v/>
      </c>
      <c r="B16921" s="40" t="n">
        <v>-23.583779</v>
      </c>
      <c r="C16921" s="40" t="n">
        <v>-46.586271</v>
      </c>
      <c r="D16921" s="40" t="n">
        <v>530</v>
      </c>
      <c r="E16921" s="41" t="n">
        <v>14515.614</v>
      </c>
    </row>
    <row r="16922">
      <c r="A16922" s="42">
        <f>_xlfn.XLOOKUP(83160,Trip[shape_id],Trip[shape_id],"Não encontrado")</f>
        <v/>
      </c>
      <c r="B16922" s="43" t="n">
        <v>-23.583466</v>
      </c>
      <c r="C16922" s="43" t="n">
        <v>-46.586316</v>
      </c>
      <c r="D16922" s="43" t="n">
        <v>531</v>
      </c>
      <c r="E16922" s="44" t="n">
        <v>14550.583</v>
      </c>
    </row>
    <row r="16923">
      <c r="A16923" s="39">
        <f>_xlfn.XLOOKUP(83160,Trip[shape_id],Trip[shape_id],"Não encontrado")</f>
        <v/>
      </c>
      <c r="B16923" s="40" t="n">
        <v>-23.583365</v>
      </c>
      <c r="C16923" s="40" t="n">
        <v>-46.58633</v>
      </c>
      <c r="D16923" s="40" t="n">
        <v>532</v>
      </c>
      <c r="E16923" s="41" t="n">
        <v>14561.859</v>
      </c>
    </row>
    <row r="16924">
      <c r="A16924" s="42">
        <f>_xlfn.XLOOKUP(83160,Trip[shape_id],Trip[shape_id],"Não encontrado")</f>
        <v/>
      </c>
      <c r="B16924" s="43" t="n">
        <v>-23.583254</v>
      </c>
      <c r="C16924" s="43" t="n">
        <v>-46.586349</v>
      </c>
      <c r="D16924" s="43" t="n">
        <v>533</v>
      </c>
      <c r="E16924" s="44" t="n">
        <v>14574.305</v>
      </c>
    </row>
    <row r="16925">
      <c r="A16925" s="39">
        <f>_xlfn.XLOOKUP(83160,Trip[shape_id],Trip[shape_id],"Não encontrado")</f>
        <v/>
      </c>
      <c r="B16925" s="40" t="n">
        <v>-23.58235</v>
      </c>
      <c r="C16925" s="40" t="n">
        <v>-46.586478</v>
      </c>
      <c r="D16925" s="40" t="n">
        <v>534</v>
      </c>
      <c r="E16925" s="41" t="n">
        <v>14675.287</v>
      </c>
    </row>
    <row r="16926">
      <c r="A16926" s="42">
        <f>_xlfn.XLOOKUP(83160,Trip[shape_id],Trip[shape_id],"Não encontrado")</f>
        <v/>
      </c>
      <c r="B16926" s="43" t="n">
        <v>-23.582091</v>
      </c>
      <c r="C16926" s="43" t="n">
        <v>-46.586516</v>
      </c>
      <c r="D16926" s="43" t="n">
        <v>535</v>
      </c>
      <c r="E16926" s="44" t="n">
        <v>14704.233</v>
      </c>
    </row>
    <row r="16927">
      <c r="A16927" s="39">
        <f>_xlfn.XLOOKUP(83160,Trip[shape_id],Trip[shape_id],"Não encontrado")</f>
        <v/>
      </c>
      <c r="B16927" s="40" t="n">
        <v>-23.581502</v>
      </c>
      <c r="C16927" s="40" t="n">
        <v>-46.586587</v>
      </c>
      <c r="D16927" s="40" t="n">
        <v>536</v>
      </c>
      <c r="E16927" s="41" t="n">
        <v>14769.868</v>
      </c>
    </row>
    <row r="16928">
      <c r="A16928" s="42">
        <f>_xlfn.XLOOKUP(83160,Trip[shape_id],Trip[shape_id],"Não encontrado")</f>
        <v/>
      </c>
      <c r="B16928" s="43" t="n">
        <v>-23.580053</v>
      </c>
      <c r="C16928" s="43" t="n">
        <v>-46.586742</v>
      </c>
      <c r="D16928" s="43" t="n">
        <v>537</v>
      </c>
      <c r="E16928" s="44" t="n">
        <v>14931.126</v>
      </c>
    </row>
    <row r="16929">
      <c r="A16929" s="39">
        <f>_xlfn.XLOOKUP(83160,Trip[shape_id],Trip[shape_id],"Não encontrado")</f>
        <v/>
      </c>
      <c r="B16929" s="40" t="n">
        <v>-23.579929</v>
      </c>
      <c r="C16929" s="40" t="n">
        <v>-46.586756</v>
      </c>
      <c r="D16929" s="40" t="n">
        <v>538</v>
      </c>
      <c r="E16929" s="41" t="n">
        <v>14944.934</v>
      </c>
    </row>
    <row r="16930">
      <c r="A16930" s="42">
        <f>_xlfn.XLOOKUP(83160,Trip[shape_id],Trip[shape_id],"Não encontrado")</f>
        <v/>
      </c>
      <c r="B16930" s="43" t="n">
        <v>-23.579669</v>
      </c>
      <c r="C16930" s="43" t="n">
        <v>-46.586839</v>
      </c>
      <c r="D16930" s="43" t="n">
        <v>539</v>
      </c>
      <c r="E16930" s="44" t="n">
        <v>14989.012</v>
      </c>
    </row>
    <row r="16931">
      <c r="A16931" s="39">
        <f>_xlfn.XLOOKUP(83160,Trip[shape_id],Trip[shape_id],"Não encontrado")</f>
        <v/>
      </c>
      <c r="B16931" s="40" t="n">
        <v>-23.579543</v>
      </c>
      <c r="C16931" s="40" t="n">
        <v>-46.586856</v>
      </c>
      <c r="D16931" s="40" t="n">
        <v>540</v>
      </c>
      <c r="E16931" s="41" t="n">
        <v>14989.012</v>
      </c>
    </row>
    <row r="16932">
      <c r="A16932" s="42">
        <f>_xlfn.XLOOKUP(83160,Trip[shape_id],Trip[shape_id],"Não encontrado")</f>
        <v/>
      </c>
      <c r="B16932" s="43" t="n">
        <v>-23.579463</v>
      </c>
      <c r="C16932" s="43" t="n">
        <v>-46.58686</v>
      </c>
      <c r="D16932" s="43" t="n">
        <v>541</v>
      </c>
      <c r="E16932" s="44" t="n">
        <v>15005.744</v>
      </c>
    </row>
    <row r="16933">
      <c r="A16933" s="39">
        <f>_xlfn.XLOOKUP(83160,Trip[shape_id],Trip[shape_id],"Não encontrado")</f>
        <v/>
      </c>
      <c r="B16933" s="40" t="n">
        <v>-23.579392</v>
      </c>
      <c r="C16933" s="40" t="n">
        <v>-46.58686</v>
      </c>
      <c r="D16933" s="40" t="n">
        <v>542</v>
      </c>
      <c r="E16933" s="41" t="n">
        <v>15015.414</v>
      </c>
    </row>
    <row r="16934">
      <c r="A16934" s="42">
        <f>_xlfn.XLOOKUP(83160,Trip[shape_id],Trip[shape_id],"Não encontrado")</f>
        <v/>
      </c>
      <c r="B16934" s="43" t="n">
        <v>-23.579305</v>
      </c>
      <c r="C16934" s="43" t="n">
        <v>-46.586852</v>
      </c>
      <c r="D16934" s="43" t="n">
        <v>543</v>
      </c>
      <c r="E16934" s="44" t="n">
        <v>15027.46</v>
      </c>
    </row>
    <row r="16935">
      <c r="A16935" s="39">
        <f>_xlfn.XLOOKUP(83160,Trip[shape_id],Trip[shape_id],"Não encontrado")</f>
        <v/>
      </c>
      <c r="B16935" s="40" t="n">
        <v>-23.579197</v>
      </c>
      <c r="C16935" s="40" t="n">
        <v>-46.586866</v>
      </c>
      <c r="D16935" s="40" t="n">
        <v>544</v>
      </c>
      <c r="E16935" s="41" t="n">
        <v>15043.779</v>
      </c>
    </row>
    <row r="16936">
      <c r="A16936" s="42">
        <f>_xlfn.XLOOKUP(83160,Trip[shape_id],Trip[shape_id],"Não encontrado")</f>
        <v/>
      </c>
      <c r="B16936" s="43" t="n">
        <v>-23.57905</v>
      </c>
      <c r="C16936" s="43" t="n">
        <v>-46.586855</v>
      </c>
      <c r="D16936" s="43" t="n">
        <v>545</v>
      </c>
      <c r="E16936" s="44" t="n">
        <v>15043.779</v>
      </c>
    </row>
    <row r="16937">
      <c r="A16937" s="39">
        <f>_xlfn.XLOOKUP(83160,Trip[shape_id],Trip[shape_id],"Não encontrado")</f>
        <v/>
      </c>
      <c r="B16937" s="40" t="n">
        <v>-23.578945</v>
      </c>
      <c r="C16937" s="40" t="n">
        <v>-46.586868</v>
      </c>
      <c r="D16937" s="40" t="n">
        <v>546</v>
      </c>
      <c r="E16937" s="41" t="n">
        <v>15055.483</v>
      </c>
    </row>
    <row r="16938">
      <c r="A16938" s="42">
        <f>_xlfn.XLOOKUP(83160,Trip[shape_id],Trip[shape_id],"Não encontrado")</f>
        <v/>
      </c>
      <c r="B16938" s="43" t="n">
        <v>-23.578502</v>
      </c>
      <c r="C16938" s="43" t="n">
        <v>-46.586908</v>
      </c>
      <c r="D16938" s="43" t="n">
        <v>547</v>
      </c>
      <c r="E16938" s="44" t="n">
        <v>15104.716</v>
      </c>
    </row>
    <row r="16939">
      <c r="A16939" s="39">
        <f>_xlfn.XLOOKUP(83160,Trip[shape_id],Trip[shape_id],"Não encontrado")</f>
        <v/>
      </c>
      <c r="B16939" s="40" t="n">
        <v>-23.578138</v>
      </c>
      <c r="C16939" s="40" t="n">
        <v>-46.586952</v>
      </c>
      <c r="D16939" s="40" t="n">
        <v>548</v>
      </c>
      <c r="E16939" s="41" t="n">
        <v>15145.279</v>
      </c>
    </row>
    <row r="16940">
      <c r="A16940" s="42">
        <f>_xlfn.XLOOKUP(83160,Trip[shape_id],Trip[shape_id],"Não encontrado")</f>
        <v/>
      </c>
      <c r="B16940" s="43" t="n">
        <v>-23.577794</v>
      </c>
      <c r="C16940" s="43" t="n">
        <v>-46.586986</v>
      </c>
      <c r="D16940" s="43" t="n">
        <v>549</v>
      </c>
      <c r="E16940" s="44" t="n">
        <v>15183.536</v>
      </c>
    </row>
    <row r="16941">
      <c r="A16941" s="39">
        <f>_xlfn.XLOOKUP(83160,Trip[shape_id],Trip[shape_id],"Não encontrado")</f>
        <v/>
      </c>
      <c r="B16941" s="40" t="n">
        <v>-23.57764</v>
      </c>
      <c r="C16941" s="40" t="n">
        <v>-46.586987</v>
      </c>
      <c r="D16941" s="40" t="n">
        <v>550</v>
      </c>
      <c r="E16941" s="41" t="n">
        <v>15200.592</v>
      </c>
    </row>
    <row r="16942">
      <c r="A16942" s="42">
        <f>_xlfn.XLOOKUP(83160,Trip[shape_id],Trip[shape_id],"Não encontrado")</f>
        <v/>
      </c>
      <c r="B16942" s="43" t="n">
        <v>-23.577455</v>
      </c>
      <c r="C16942" s="43" t="n">
        <v>-46.586971</v>
      </c>
      <c r="D16942" s="43" t="n">
        <v>551</v>
      </c>
      <c r="E16942" s="44" t="n">
        <v>15221.146</v>
      </c>
    </row>
    <row r="16943">
      <c r="A16943" s="39">
        <f>_xlfn.XLOOKUP(83160,Trip[shape_id],Trip[shape_id],"Não encontrado")</f>
        <v/>
      </c>
      <c r="B16943" s="40" t="n">
        <v>-23.575981</v>
      </c>
      <c r="C16943" s="40" t="n">
        <v>-46.587149</v>
      </c>
      <c r="D16943" s="40" t="n">
        <v>552</v>
      </c>
      <c r="E16943" s="41" t="n">
        <v>15385.403</v>
      </c>
    </row>
    <row r="16944">
      <c r="A16944" s="42">
        <f>_xlfn.XLOOKUP(83160,Trip[shape_id],Trip[shape_id],"Não encontrado")</f>
        <v/>
      </c>
      <c r="B16944" s="43" t="n">
        <v>-23.57582</v>
      </c>
      <c r="C16944" s="43" t="n">
        <v>-46.58717</v>
      </c>
      <c r="D16944" s="43" t="n">
        <v>553</v>
      </c>
      <c r="E16944" s="44" t="n">
        <v>15403.362</v>
      </c>
    </row>
    <row r="16945">
      <c r="A16945" s="39">
        <f>_xlfn.XLOOKUP(83160,Trip[shape_id],Trip[shape_id],"Não encontrado")</f>
        <v/>
      </c>
      <c r="B16945" s="40" t="n">
        <v>-23.575409</v>
      </c>
      <c r="C16945" s="40" t="n">
        <v>-46.587226</v>
      </c>
      <c r="D16945" s="40" t="n">
        <v>554</v>
      </c>
      <c r="E16945" s="41" t="n">
        <v>15449.239</v>
      </c>
    </row>
    <row r="16946">
      <c r="A16946" s="42">
        <f>_xlfn.XLOOKUP(83160,Trip[shape_id],Trip[shape_id],"Não encontrado")</f>
        <v/>
      </c>
      <c r="B16946" s="43" t="n">
        <v>-23.575143</v>
      </c>
      <c r="C16946" s="43" t="n">
        <v>-46.587251</v>
      </c>
      <c r="D16946" s="43" t="n">
        <v>555</v>
      </c>
      <c r="E16946" s="44" t="n">
        <v>15478.81</v>
      </c>
    </row>
    <row r="16947">
      <c r="A16947" s="39">
        <f>_xlfn.XLOOKUP(83160,Trip[shape_id],Trip[shape_id],"Não encontrado")</f>
        <v/>
      </c>
      <c r="B16947" s="40" t="n">
        <v>-23.574569</v>
      </c>
      <c r="C16947" s="40" t="n">
        <v>-46.587323</v>
      </c>
      <c r="D16947" s="40" t="n">
        <v>556</v>
      </c>
      <c r="E16947" s="41" t="n">
        <v>15542.805</v>
      </c>
    </row>
    <row r="16948">
      <c r="A16948" s="42">
        <f>_xlfn.XLOOKUP(83160,Trip[shape_id],Trip[shape_id],"Não encontrado")</f>
        <v/>
      </c>
      <c r="B16948" s="43" t="n">
        <v>-23.574115</v>
      </c>
      <c r="C16948" s="43" t="n">
        <v>-46.587357</v>
      </c>
      <c r="D16948" s="43" t="n">
        <v>557</v>
      </c>
      <c r="E16948" s="44" t="n">
        <v>15593.206</v>
      </c>
    </row>
    <row r="16949">
      <c r="A16949" s="39">
        <f>_xlfn.XLOOKUP(83160,Trip[shape_id],Trip[shape_id],"Não encontrado")</f>
        <v/>
      </c>
      <c r="B16949" s="40" t="n">
        <v>-23.574031</v>
      </c>
      <c r="C16949" s="40" t="n">
        <v>-46.58737</v>
      </c>
      <c r="D16949" s="40" t="n">
        <v>558</v>
      </c>
      <c r="E16949" s="41" t="n">
        <v>15602.604</v>
      </c>
    </row>
    <row r="16950">
      <c r="A16950" s="42">
        <f>_xlfn.XLOOKUP(83160,Trip[shape_id],Trip[shape_id],"Não encontrado")</f>
        <v/>
      </c>
      <c r="B16950" s="43" t="n">
        <v>-23.573936</v>
      </c>
      <c r="C16950" s="43" t="n">
        <v>-46.587468</v>
      </c>
      <c r="D16950" s="43" t="n">
        <v>559</v>
      </c>
      <c r="E16950" s="44" t="n">
        <v>15630.673</v>
      </c>
    </row>
    <row r="16951">
      <c r="A16951" s="39">
        <f>_xlfn.XLOOKUP(83160,Trip[shape_id],Trip[shape_id],"Não encontrado")</f>
        <v/>
      </c>
      <c r="B16951" s="40" t="n">
        <v>-23.573814</v>
      </c>
      <c r="C16951" s="40" t="n">
        <v>-46.587478</v>
      </c>
      <c r="D16951" s="40" t="n">
        <v>560</v>
      </c>
      <c r="E16951" s="41" t="n">
        <v>15630.673</v>
      </c>
    </row>
    <row r="16952">
      <c r="A16952" s="42">
        <f>_xlfn.XLOOKUP(83160,Trip[shape_id],Trip[shape_id],"Não encontrado")</f>
        <v/>
      </c>
      <c r="B16952" s="43" t="n">
        <v>-23.573776</v>
      </c>
      <c r="C16952" s="43" t="n">
        <v>-46.587468</v>
      </c>
      <c r="D16952" s="43" t="n">
        <v>561</v>
      </c>
      <c r="E16952" s="44" t="n">
        <v>15646.585</v>
      </c>
    </row>
    <row r="16953">
      <c r="A16953" s="39">
        <f>_xlfn.XLOOKUP(83160,Trip[shape_id],Trip[shape_id],"Não encontrado")</f>
        <v/>
      </c>
      <c r="B16953" s="40" t="n">
        <v>-23.573674</v>
      </c>
      <c r="C16953" s="40" t="n">
        <v>-46.587493</v>
      </c>
      <c r="D16953" s="40" t="n">
        <v>562</v>
      </c>
      <c r="E16953" s="41" t="n">
        <v>15666.67</v>
      </c>
    </row>
    <row r="16954">
      <c r="A16954" s="42">
        <f>_xlfn.XLOOKUP(83160,Trip[shape_id],Trip[shape_id],"Não encontrado")</f>
        <v/>
      </c>
      <c r="B16954" s="43" t="n">
        <v>-23.573494</v>
      </c>
      <c r="C16954" s="43" t="n">
        <v>-46.587469</v>
      </c>
      <c r="D16954" s="43" t="n">
        <v>563</v>
      </c>
      <c r="E16954" s="44" t="n">
        <v>15678.969</v>
      </c>
    </row>
    <row r="16955">
      <c r="A16955" s="39">
        <f>_xlfn.XLOOKUP(83160,Trip[shape_id],Trip[shape_id],"Não encontrado")</f>
        <v/>
      </c>
      <c r="B16955" s="40" t="n">
        <v>-23.573386</v>
      </c>
      <c r="C16955" s="40" t="n">
        <v>-46.587441</v>
      </c>
      <c r="D16955" s="40" t="n">
        <v>564</v>
      </c>
      <c r="E16955" s="41" t="n">
        <v>15678.969</v>
      </c>
    </row>
    <row r="16956">
      <c r="A16956" s="42">
        <f>_xlfn.XLOOKUP(83160,Trip[shape_id],Trip[shape_id],"Não encontrado")</f>
        <v/>
      </c>
      <c r="B16956" s="43" t="n">
        <v>-23.57286</v>
      </c>
      <c r="C16956" s="43" t="n">
        <v>-46.587492</v>
      </c>
      <c r="D16956" s="43" t="n">
        <v>565</v>
      </c>
      <c r="E16956" s="44" t="n">
        <v>15737.457</v>
      </c>
    </row>
    <row r="16957">
      <c r="A16957" s="39">
        <f>_xlfn.XLOOKUP(83160,Trip[shape_id],Trip[shape_id],"Não encontrado")</f>
        <v/>
      </c>
      <c r="B16957" s="40" t="n">
        <v>-23.572657</v>
      </c>
      <c r="C16957" s="40" t="n">
        <v>-46.587471</v>
      </c>
      <c r="D16957" s="40" t="n">
        <v>566</v>
      </c>
      <c r="E16957" s="41" t="n">
        <v>15760.042</v>
      </c>
    </row>
    <row r="16958">
      <c r="A16958" s="42">
        <f>_xlfn.XLOOKUP(83160,Trip[shape_id],Trip[shape_id],"Não encontrado")</f>
        <v/>
      </c>
      <c r="B16958" s="43" t="n">
        <v>-23.571729</v>
      </c>
      <c r="C16958" s="43" t="n">
        <v>-46.587425</v>
      </c>
      <c r="D16958" s="43" t="n">
        <v>567</v>
      </c>
      <c r="E16958" s="44" t="n">
        <v>15862.927</v>
      </c>
    </row>
    <row r="16959">
      <c r="A16959" s="39">
        <f>_xlfn.XLOOKUP(83160,Trip[shape_id],Trip[shape_id],"Não encontrado")</f>
        <v/>
      </c>
      <c r="B16959" s="40" t="n">
        <v>-23.571211</v>
      </c>
      <c r="C16959" s="40" t="n">
        <v>-46.5874</v>
      </c>
      <c r="D16959" s="40" t="n">
        <v>568</v>
      </c>
      <c r="E16959" s="41" t="n">
        <v>15920.354</v>
      </c>
    </row>
    <row r="16960">
      <c r="A16960" s="42">
        <f>_xlfn.XLOOKUP(83160,Trip[shape_id],Trip[shape_id],"Não encontrado")</f>
        <v/>
      </c>
      <c r="B16960" s="43" t="n">
        <v>-23.570929</v>
      </c>
      <c r="C16960" s="43" t="n">
        <v>-46.587384</v>
      </c>
      <c r="D16960" s="43" t="n">
        <v>569</v>
      </c>
      <c r="E16960" s="44" t="n">
        <v>15951.628</v>
      </c>
    </row>
    <row r="16961">
      <c r="A16961" s="39">
        <f>_xlfn.XLOOKUP(83160,Trip[shape_id],Trip[shape_id],"Não encontrado")</f>
        <v/>
      </c>
      <c r="B16961" s="40" t="n">
        <v>-23.570677</v>
      </c>
      <c r="C16961" s="40" t="n">
        <v>-46.587384</v>
      </c>
      <c r="D16961" s="40" t="n">
        <v>570</v>
      </c>
      <c r="E16961" s="41" t="n">
        <v>15979.537</v>
      </c>
    </row>
    <row r="16962">
      <c r="A16962" s="42">
        <f>_xlfn.XLOOKUP(83160,Trip[shape_id],Trip[shape_id],"Não encontrado")</f>
        <v/>
      </c>
      <c r="B16962" s="43" t="n">
        <v>-23.570504</v>
      </c>
      <c r="C16962" s="43" t="n">
        <v>-46.587406</v>
      </c>
      <c r="D16962" s="43" t="n">
        <v>571</v>
      </c>
      <c r="E16962" s="44" t="n">
        <v>15998.828</v>
      </c>
    </row>
    <row r="16963">
      <c r="A16963" s="39">
        <f>_xlfn.XLOOKUP(83160,Trip[shape_id],Trip[shape_id],"Não encontrado")</f>
        <v/>
      </c>
      <c r="B16963" s="40" t="n">
        <v>-23.570345</v>
      </c>
      <c r="C16963" s="40" t="n">
        <v>-46.587431</v>
      </c>
      <c r="D16963" s="40" t="n">
        <v>572</v>
      </c>
      <c r="E16963" s="41" t="n">
        <v>16016.622</v>
      </c>
    </row>
    <row r="16964">
      <c r="A16964" s="42">
        <f>_xlfn.XLOOKUP(83160,Trip[shape_id],Trip[shape_id],"Não encontrado")</f>
        <v/>
      </c>
      <c r="B16964" s="43" t="n">
        <v>-23.570193</v>
      </c>
      <c r="C16964" s="43" t="n">
        <v>-46.58747</v>
      </c>
      <c r="D16964" s="43" t="n">
        <v>573</v>
      </c>
      <c r="E16964" s="44" t="n">
        <v>16033.921</v>
      </c>
    </row>
    <row r="16965">
      <c r="A16965" s="39">
        <f>_xlfn.XLOOKUP(83160,Trip[shape_id],Trip[shape_id],"Não encontrado")</f>
        <v/>
      </c>
      <c r="B16965" s="40" t="n">
        <v>-23.570016</v>
      </c>
      <c r="C16965" s="40" t="n">
        <v>-46.587538</v>
      </c>
      <c r="D16965" s="40" t="n">
        <v>574</v>
      </c>
      <c r="E16965" s="41" t="n">
        <v>16054.717</v>
      </c>
    </row>
    <row r="16966">
      <c r="A16966" s="42">
        <f>_xlfn.XLOOKUP(83160,Trip[shape_id],Trip[shape_id],"Não encontrado")</f>
        <v/>
      </c>
      <c r="B16966" s="43" t="n">
        <v>-23.569979</v>
      </c>
      <c r="C16966" s="43" t="n">
        <v>-46.587584</v>
      </c>
      <c r="D16966" s="43" t="n">
        <v>575</v>
      </c>
      <c r="E16966" s="44" t="n">
        <v>16079.06</v>
      </c>
    </row>
    <row r="16967">
      <c r="A16967" s="39">
        <f>_xlfn.XLOOKUP(83160,Trip[shape_id],Trip[shape_id],"Não encontrado")</f>
        <v/>
      </c>
      <c r="B16967" s="40" t="n">
        <v>-23.569837</v>
      </c>
      <c r="C16967" s="40" t="n">
        <v>-46.587672</v>
      </c>
      <c r="D16967" s="40" t="n">
        <v>576</v>
      </c>
      <c r="E16967" s="41" t="n">
        <v>16090.645</v>
      </c>
    </row>
    <row r="16968">
      <c r="A16968" s="42">
        <f>_xlfn.XLOOKUP(83160,Trip[shape_id],Trip[shape_id],"Não encontrado")</f>
        <v/>
      </c>
      <c r="B16968" s="43" t="n">
        <v>-23.56975</v>
      </c>
      <c r="C16968" s="43" t="n">
        <v>-46.587735</v>
      </c>
      <c r="D16968" s="43" t="n">
        <v>577</v>
      </c>
      <c r="E16968" s="44" t="n">
        <v>16100.244</v>
      </c>
    </row>
    <row r="16969">
      <c r="A16969" s="39">
        <f>_xlfn.XLOOKUP(83160,Trip[shape_id],Trip[shape_id],"Não encontrado")</f>
        <v/>
      </c>
      <c r="B16969" s="40" t="n">
        <v>-23.569672</v>
      </c>
      <c r="C16969" s="40" t="n">
        <v>-46.587776</v>
      </c>
      <c r="D16969" s="40" t="n">
        <v>578</v>
      </c>
      <c r="E16969" s="41" t="n">
        <v>16100.244</v>
      </c>
    </row>
    <row r="16970">
      <c r="A16970" s="42">
        <f>_xlfn.XLOOKUP(83160,Trip[shape_id],Trip[shape_id],"Não encontrado")</f>
        <v/>
      </c>
      <c r="B16970" s="43" t="n">
        <v>-23.569582</v>
      </c>
      <c r="C16970" s="43" t="n">
        <v>-46.587826</v>
      </c>
      <c r="D16970" s="43" t="n">
        <v>579</v>
      </c>
      <c r="E16970" s="44" t="n">
        <v>16120.162</v>
      </c>
    </row>
    <row r="16971">
      <c r="A16971" s="39">
        <f>_xlfn.XLOOKUP(83160,Trip[shape_id],Trip[shape_id],"Não encontrado")</f>
        <v/>
      </c>
      <c r="B16971" s="40" t="n">
        <v>-23.569509</v>
      </c>
      <c r="C16971" s="40" t="n">
        <v>-46.587858</v>
      </c>
      <c r="D16971" s="40" t="n">
        <v>580</v>
      </c>
      <c r="E16971" s="41" t="n">
        <v>16143.015</v>
      </c>
    </row>
    <row r="16972">
      <c r="A16972" s="42">
        <f>_xlfn.XLOOKUP(83160,Trip[shape_id],Trip[shape_id],"Não encontrado")</f>
        <v/>
      </c>
      <c r="B16972" s="43" t="n">
        <v>-23.569311</v>
      </c>
      <c r="C16972" s="43" t="n">
        <v>-46.587921</v>
      </c>
      <c r="D16972" s="43" t="n">
        <v>581</v>
      </c>
      <c r="E16972" s="44" t="n">
        <v>16143.015</v>
      </c>
    </row>
    <row r="16973">
      <c r="A16973" s="39">
        <f>_xlfn.XLOOKUP(83160,Trip[shape_id],Trip[shape_id],"Não encontrado")</f>
        <v/>
      </c>
      <c r="B16973" s="40" t="n">
        <v>-23.569121</v>
      </c>
      <c r="C16973" s="40" t="n">
        <v>-46.588102</v>
      </c>
      <c r="D16973" s="40" t="n">
        <v>582</v>
      </c>
      <c r="E16973" s="41" t="n">
        <v>16171.019</v>
      </c>
    </row>
    <row r="16974">
      <c r="A16974" s="42">
        <f>_xlfn.XLOOKUP(83160,Trip[shape_id],Trip[shape_id],"Não encontrado")</f>
        <v/>
      </c>
      <c r="B16974" s="43" t="n">
        <v>-23.569034</v>
      </c>
      <c r="C16974" s="43" t="n">
        <v>-46.588185</v>
      </c>
      <c r="D16974" s="43" t="n">
        <v>583</v>
      </c>
      <c r="E16974" s="44" t="n">
        <v>16183.85</v>
      </c>
    </row>
    <row r="16975">
      <c r="A16975" s="39">
        <f>_xlfn.XLOOKUP(83160,Trip[shape_id],Trip[shape_id],"Não encontrado")</f>
        <v/>
      </c>
      <c r="B16975" s="40" t="n">
        <v>-23.568893</v>
      </c>
      <c r="C16975" s="40" t="n">
        <v>-46.588339</v>
      </c>
      <c r="D16975" s="40" t="n">
        <v>584</v>
      </c>
      <c r="E16975" s="41" t="n">
        <v>16206.009</v>
      </c>
    </row>
    <row r="16976">
      <c r="A16976" s="42">
        <f>_xlfn.XLOOKUP(83160,Trip[shape_id],Trip[shape_id],"Não encontrado")</f>
        <v/>
      </c>
      <c r="B16976" s="43" t="n">
        <v>-23.568741</v>
      </c>
      <c r="C16976" s="43" t="n">
        <v>-46.588541</v>
      </c>
      <c r="D16976" s="43" t="n">
        <v>585</v>
      </c>
      <c r="E16976" s="44" t="n">
        <v>16232.629</v>
      </c>
    </row>
    <row r="16977">
      <c r="A16977" s="39">
        <f>_xlfn.XLOOKUP(83160,Trip[shape_id],Trip[shape_id],"Não encontrado")</f>
        <v/>
      </c>
      <c r="B16977" s="40" t="n">
        <v>-23.56864</v>
      </c>
      <c r="C16977" s="40" t="n">
        <v>-46.588691</v>
      </c>
      <c r="D16977" s="40" t="n">
        <v>586</v>
      </c>
      <c r="E16977" s="41" t="n">
        <v>16251.593</v>
      </c>
    </row>
    <row r="16978">
      <c r="A16978" s="42">
        <f>_xlfn.XLOOKUP(83160,Trip[shape_id],Trip[shape_id],"Não encontrado")</f>
        <v/>
      </c>
      <c r="B16978" s="43" t="n">
        <v>-23.568594</v>
      </c>
      <c r="C16978" s="43" t="n">
        <v>-46.588766</v>
      </c>
      <c r="D16978" s="43" t="n">
        <v>587</v>
      </c>
      <c r="E16978" s="44" t="n">
        <v>16260.79</v>
      </c>
    </row>
    <row r="16979">
      <c r="A16979" s="39">
        <f>_xlfn.XLOOKUP(83160,Trip[shape_id],Trip[shape_id],"Não encontrado")</f>
        <v/>
      </c>
      <c r="B16979" s="40" t="n">
        <v>-23.568408</v>
      </c>
      <c r="C16979" s="40" t="n">
        <v>-46.589117</v>
      </c>
      <c r="D16979" s="40" t="n">
        <v>588</v>
      </c>
      <c r="E16979" s="41" t="n">
        <v>16302.122</v>
      </c>
    </row>
    <row r="16980">
      <c r="A16980" s="42">
        <f>_xlfn.XLOOKUP(83160,Trip[shape_id],Trip[shape_id],"Não encontrado")</f>
        <v/>
      </c>
      <c r="B16980" s="43" t="n">
        <v>-23.567911</v>
      </c>
      <c r="C16980" s="43" t="n">
        <v>-46.590047</v>
      </c>
      <c r="D16980" s="43" t="n">
        <v>589</v>
      </c>
      <c r="E16980" s="44" t="n">
        <v>16411.867</v>
      </c>
    </row>
    <row r="16981">
      <c r="A16981" s="39">
        <f>_xlfn.XLOOKUP(83160,Trip[shape_id],Trip[shape_id],"Não encontrado")</f>
        <v/>
      </c>
      <c r="B16981" s="40" t="n">
        <v>-23.567367</v>
      </c>
      <c r="C16981" s="40" t="n">
        <v>-46.591073</v>
      </c>
      <c r="D16981" s="40" t="n">
        <v>590</v>
      </c>
      <c r="E16981" s="41" t="n">
        <v>16532.701</v>
      </c>
    </row>
    <row r="16982">
      <c r="A16982" s="42">
        <f>_xlfn.XLOOKUP(83160,Trip[shape_id],Trip[shape_id],"Não encontrado")</f>
        <v/>
      </c>
      <c r="B16982" s="43" t="n">
        <v>-23.567354</v>
      </c>
      <c r="C16982" s="43" t="n">
        <v>-46.591111</v>
      </c>
      <c r="D16982" s="43" t="n">
        <v>591</v>
      </c>
      <c r="E16982" s="44" t="n">
        <v>16536.838</v>
      </c>
    </row>
    <row r="16983">
      <c r="A16983" s="39">
        <f>_xlfn.XLOOKUP(83160,Trip[shape_id],Trip[shape_id],"Não encontrado")</f>
        <v/>
      </c>
      <c r="B16983" s="40" t="n">
        <v>-23.567321</v>
      </c>
      <c r="C16983" s="40" t="n">
        <v>-46.591251</v>
      </c>
      <c r="D16983" s="40" t="n">
        <v>592</v>
      </c>
      <c r="E16983" s="41" t="n">
        <v>16572.914</v>
      </c>
    </row>
    <row r="16984">
      <c r="A16984" s="42">
        <f>_xlfn.XLOOKUP(83160,Trip[shape_id],Trip[shape_id],"Não encontrado")</f>
        <v/>
      </c>
      <c r="B16984" s="43" t="n">
        <v>-23.567257</v>
      </c>
      <c r="C16984" s="43" t="n">
        <v>-46.591448</v>
      </c>
      <c r="D16984" s="43" t="n">
        <v>593</v>
      </c>
      <c r="E16984" s="44" t="n">
        <v>16576.441</v>
      </c>
    </row>
    <row r="16985">
      <c r="A16985" s="39">
        <f>_xlfn.XLOOKUP(83160,Trip[shape_id],Trip[shape_id],"Não encontrado")</f>
        <v/>
      </c>
      <c r="B16985" s="40" t="n">
        <v>-23.567245</v>
      </c>
      <c r="C16985" s="40" t="n">
        <v>-46.59148</v>
      </c>
      <c r="D16985" s="40" t="n">
        <v>594</v>
      </c>
      <c r="E16985" s="41" t="n">
        <v>16587.811</v>
      </c>
    </row>
    <row r="16986">
      <c r="A16986" s="42">
        <f>_xlfn.XLOOKUP(83160,Trip[shape_id],Trip[shape_id],"Não encontrado")</f>
        <v/>
      </c>
      <c r="B16986" s="43" t="n">
        <v>-23.567198</v>
      </c>
      <c r="C16986" s="43" t="n">
        <v>-46.591579</v>
      </c>
      <c r="D16986" s="43" t="n">
        <v>595</v>
      </c>
      <c r="E16986" s="44" t="n">
        <v>16587.811</v>
      </c>
    </row>
    <row r="16987">
      <c r="A16987" s="39">
        <f>_xlfn.XLOOKUP(83160,Trip[shape_id],Trip[shape_id],"Não encontrado")</f>
        <v/>
      </c>
      <c r="B16987" s="40" t="n">
        <v>-23.56718</v>
      </c>
      <c r="C16987" s="40" t="n">
        <v>-46.591616</v>
      </c>
      <c r="D16987" s="40" t="n">
        <v>596</v>
      </c>
      <c r="E16987" s="41" t="n">
        <v>16602.785</v>
      </c>
    </row>
    <row r="16988">
      <c r="A16988" s="42">
        <f>_xlfn.XLOOKUP(83160,Trip[shape_id],Trip[shape_id],"Não encontrado")</f>
        <v/>
      </c>
      <c r="B16988" s="43" t="n">
        <v>-23.567132</v>
      </c>
      <c r="C16988" s="43" t="n">
        <v>-46.591707</v>
      </c>
      <c r="D16988" s="43" t="n">
        <v>597</v>
      </c>
      <c r="E16988" s="44" t="n">
        <v>16620.131</v>
      </c>
    </row>
    <row r="16989">
      <c r="A16989" s="39">
        <f>_xlfn.XLOOKUP(83160,Trip[shape_id],Trip[shape_id],"Não encontrado")</f>
        <v/>
      </c>
      <c r="B16989" s="40" t="n">
        <v>-23.567029</v>
      </c>
      <c r="C16989" s="40" t="n">
        <v>-46.591835</v>
      </c>
      <c r="D16989" s="40" t="n">
        <v>598</v>
      </c>
      <c r="E16989" s="41" t="n">
        <v>16651.451</v>
      </c>
    </row>
    <row r="16990">
      <c r="A16990" s="42">
        <f>_xlfn.XLOOKUP(83160,Trip[shape_id],Trip[shape_id],"Não encontrado")</f>
        <v/>
      </c>
      <c r="B16990" s="43" t="n">
        <v>-23.566854</v>
      </c>
      <c r="C16990" s="43" t="n">
        <v>-46.592076</v>
      </c>
      <c r="D16990" s="43" t="n">
        <v>599</v>
      </c>
      <c r="E16990" s="44" t="n">
        <v>16651.451</v>
      </c>
    </row>
    <row r="16991">
      <c r="A16991" s="39">
        <f>_xlfn.XLOOKUP(83160,Trip[shape_id],Trip[shape_id],"Não encontrado")</f>
        <v/>
      </c>
      <c r="B16991" s="40" t="n">
        <v>-23.566331</v>
      </c>
      <c r="C16991" s="40" t="n">
        <v>-46.593072</v>
      </c>
      <c r="D16991" s="40" t="n">
        <v>600</v>
      </c>
      <c r="E16991" s="41" t="n">
        <v>16768.473</v>
      </c>
    </row>
    <row r="16992">
      <c r="A16992" s="42">
        <f>_xlfn.XLOOKUP(83160,Trip[shape_id],Trip[shape_id],"Não encontrado")</f>
        <v/>
      </c>
      <c r="B16992" s="43" t="n">
        <v>-23.565758</v>
      </c>
      <c r="C16992" s="43" t="n">
        <v>-46.594178</v>
      </c>
      <c r="D16992" s="43" t="n">
        <v>601</v>
      </c>
      <c r="E16992" s="44" t="n">
        <v>16897.996</v>
      </c>
    </row>
    <row r="16993">
      <c r="A16993" s="39">
        <f>_xlfn.XLOOKUP(83160,Trip[shape_id],Trip[shape_id],"Não encontrado")</f>
        <v/>
      </c>
      <c r="B16993" s="40" t="n">
        <v>-23.565494</v>
      </c>
      <c r="C16993" s="40" t="n">
        <v>-46.594671</v>
      </c>
      <c r="D16993" s="40" t="n">
        <v>602</v>
      </c>
      <c r="E16993" s="41" t="n">
        <v>16956.203</v>
      </c>
    </row>
    <row r="16994">
      <c r="A16994" s="42">
        <f>_xlfn.XLOOKUP(83160,Trip[shape_id],Trip[shape_id],"Não encontrado")</f>
        <v/>
      </c>
      <c r="B16994" s="43" t="n">
        <v>-23.56528</v>
      </c>
      <c r="C16994" s="43" t="n">
        <v>-46.595057</v>
      </c>
      <c r="D16994" s="43" t="n">
        <v>603</v>
      </c>
      <c r="E16994" s="44" t="n">
        <v>17002.188</v>
      </c>
    </row>
    <row r="16995">
      <c r="A16995" s="39">
        <f>_xlfn.XLOOKUP(83160,Trip[shape_id],Trip[shape_id],"Não encontrado")</f>
        <v/>
      </c>
      <c r="B16995" s="40" t="n">
        <v>-23.565246</v>
      </c>
      <c r="C16995" s="40" t="n">
        <v>-46.595106</v>
      </c>
      <c r="D16995" s="40" t="n">
        <v>604</v>
      </c>
      <c r="E16995" s="41" t="n">
        <v>17008.449</v>
      </c>
    </row>
    <row r="16996">
      <c r="A16996" s="42">
        <f>_xlfn.XLOOKUP(83160,Trip[shape_id],Trip[shape_id],"Não encontrado")</f>
        <v/>
      </c>
      <c r="B16996" s="43" t="n">
        <v>-23.565186</v>
      </c>
      <c r="C16996" s="43" t="n">
        <v>-46.595275</v>
      </c>
      <c r="D16996" s="43" t="n">
        <v>605</v>
      </c>
      <c r="E16996" s="44" t="n">
        <v>17039.41</v>
      </c>
    </row>
    <row r="16997">
      <c r="A16997" s="39">
        <f>_xlfn.XLOOKUP(83160,Trip[shape_id],Trip[shape_id],"Não encontrado")</f>
        <v/>
      </c>
      <c r="B16997" s="40" t="n">
        <v>-23.565137</v>
      </c>
      <c r="C16997" s="40" t="n">
        <v>-46.595385</v>
      </c>
      <c r="D16997" s="40" t="n">
        <v>606</v>
      </c>
      <c r="E16997" s="41" t="n">
        <v>17048.547</v>
      </c>
    </row>
    <row r="16998">
      <c r="A16998" s="42">
        <f>_xlfn.XLOOKUP(83160,Trip[shape_id],Trip[shape_id],"Não encontrado")</f>
        <v/>
      </c>
      <c r="B16998" s="43" t="n">
        <v>-23.565092</v>
      </c>
      <c r="C16998" s="43" t="n">
        <v>-46.59546</v>
      </c>
      <c r="D16998" s="43" t="n">
        <v>607</v>
      </c>
      <c r="E16998" s="44" t="n">
        <v>17048.547</v>
      </c>
    </row>
    <row r="16999">
      <c r="A16999" s="39">
        <f>_xlfn.XLOOKUP(83160,Trip[shape_id],Trip[shape_id],"Não encontrado")</f>
        <v/>
      </c>
      <c r="B16999" s="40" t="n">
        <v>-23.565049</v>
      </c>
      <c r="C16999" s="40" t="n">
        <v>-46.59554</v>
      </c>
      <c r="D16999" s="40" t="n">
        <v>608</v>
      </c>
      <c r="E16999" s="41" t="n">
        <v>17072.656</v>
      </c>
    </row>
    <row r="17000">
      <c r="A17000" s="42">
        <f>_xlfn.XLOOKUP(83160,Trip[shape_id],Trip[shape_id],"Não encontrado")</f>
        <v/>
      </c>
      <c r="B17000" s="43" t="n">
        <v>-23.564964</v>
      </c>
      <c r="C17000" s="43" t="n">
        <v>-46.59565</v>
      </c>
      <c r="D17000" s="43" t="n">
        <v>609</v>
      </c>
      <c r="E17000" s="44" t="n">
        <v>17093.082</v>
      </c>
    </row>
    <row r="17001">
      <c r="A17001" s="39">
        <f>_xlfn.XLOOKUP(83160,Trip[shape_id],Trip[shape_id],"Não encontrado")</f>
        <v/>
      </c>
      <c r="B17001" s="40" t="n">
        <v>-23.564843</v>
      </c>
      <c r="C17001" s="40" t="n">
        <v>-46.595801</v>
      </c>
      <c r="D17001" s="40" t="n">
        <v>610</v>
      </c>
      <c r="E17001" s="41" t="n">
        <v>17114.154</v>
      </c>
    </row>
    <row r="17002">
      <c r="A17002" s="42">
        <f>_xlfn.XLOOKUP(83160,Trip[shape_id],Trip[shape_id],"Não encontrado")</f>
        <v/>
      </c>
      <c r="B17002" s="43" t="n">
        <v>-23.564682</v>
      </c>
      <c r="C17002" s="43" t="n">
        <v>-46.595911</v>
      </c>
      <c r="D17002" s="43" t="n">
        <v>611</v>
      </c>
      <c r="E17002" s="44" t="n">
        <v>17114.154</v>
      </c>
    </row>
    <row r="17003">
      <c r="A17003" s="39">
        <f>_xlfn.XLOOKUP(83160,Trip[shape_id],Trip[shape_id],"Não encontrado")</f>
        <v/>
      </c>
      <c r="B17003" s="40" t="n">
        <v>-23.564566</v>
      </c>
      <c r="C17003" s="40" t="n">
        <v>-46.596047</v>
      </c>
      <c r="D17003" s="40" t="n">
        <v>612</v>
      </c>
      <c r="E17003" s="41" t="n">
        <v>17133.07</v>
      </c>
    </row>
    <row r="17004">
      <c r="A17004" s="42">
        <f>_xlfn.XLOOKUP(83160,Trip[shape_id],Trip[shape_id],"Não encontrado")</f>
        <v/>
      </c>
      <c r="B17004" s="43" t="n">
        <v>-23.564326</v>
      </c>
      <c r="C17004" s="43" t="n">
        <v>-46.596297</v>
      </c>
      <c r="D17004" s="43" t="n">
        <v>613</v>
      </c>
      <c r="E17004" s="44" t="n">
        <v>17169.92</v>
      </c>
    </row>
    <row r="17005">
      <c r="A17005" s="39">
        <f>_xlfn.XLOOKUP(83160,Trip[shape_id],Trip[shape_id],"Não encontrado")</f>
        <v/>
      </c>
      <c r="B17005" s="40" t="n">
        <v>-23.564183</v>
      </c>
      <c r="C17005" s="40" t="n">
        <v>-46.596447</v>
      </c>
      <c r="D17005" s="40" t="n">
        <v>614</v>
      </c>
      <c r="E17005" s="41" t="n">
        <v>17191.951</v>
      </c>
    </row>
    <row r="17006">
      <c r="A17006" s="42">
        <f>_xlfn.XLOOKUP(83160,Trip[shape_id],Trip[shape_id],"Não encontrado")</f>
        <v/>
      </c>
      <c r="B17006" s="43" t="n">
        <v>-23.563613</v>
      </c>
      <c r="C17006" s="43" t="n">
        <v>-46.596977</v>
      </c>
      <c r="D17006" s="43" t="n">
        <v>615</v>
      </c>
      <c r="E17006" s="44" t="n">
        <v>17275.096</v>
      </c>
    </row>
    <row r="17007">
      <c r="A17007" s="39">
        <f>_xlfn.XLOOKUP(83160,Trip[shape_id],Trip[shape_id],"Não encontrado")</f>
        <v/>
      </c>
      <c r="B17007" s="40" t="n">
        <v>-23.563184</v>
      </c>
      <c r="C17007" s="40" t="n">
        <v>-46.597341</v>
      </c>
      <c r="D17007" s="40" t="n">
        <v>616</v>
      </c>
      <c r="E17007" s="41" t="n">
        <v>17335.416</v>
      </c>
    </row>
    <row r="17008">
      <c r="A17008" s="42">
        <f>_xlfn.XLOOKUP(83160,Trip[shape_id],Trip[shape_id],"Não encontrado")</f>
        <v/>
      </c>
      <c r="B17008" s="43" t="n">
        <v>-23.562125</v>
      </c>
      <c r="C17008" s="43" t="n">
        <v>-46.598118</v>
      </c>
      <c r="D17008" s="43" t="n">
        <v>617</v>
      </c>
      <c r="E17008" s="44" t="n">
        <v>17477.01</v>
      </c>
    </row>
    <row r="17009">
      <c r="A17009" s="39">
        <f>_xlfn.XLOOKUP(83160,Trip[shape_id],Trip[shape_id],"Não encontrado")</f>
        <v/>
      </c>
      <c r="B17009" s="40" t="n">
        <v>-23.562079</v>
      </c>
      <c r="C17009" s="40" t="n">
        <v>-46.598162</v>
      </c>
      <c r="D17009" s="40" t="n">
        <v>618</v>
      </c>
      <c r="E17009" s="41" t="n">
        <v>17483.803</v>
      </c>
    </row>
    <row r="17010">
      <c r="A17010" s="42">
        <f>_xlfn.XLOOKUP(83160,Trip[shape_id],Trip[shape_id],"Não encontrado")</f>
        <v/>
      </c>
      <c r="B17010" s="43" t="n">
        <v>-23.561997</v>
      </c>
      <c r="C17010" s="43" t="n">
        <v>-46.598272</v>
      </c>
      <c r="D17010" s="43" t="n">
        <v>619</v>
      </c>
      <c r="E17010" s="44" t="n">
        <v>17515.516</v>
      </c>
    </row>
    <row r="17011">
      <c r="A17011" s="39">
        <f>_xlfn.XLOOKUP(83160,Trip[shape_id],Trip[shape_id],"Não encontrado")</f>
        <v/>
      </c>
      <c r="B17011" s="40" t="n">
        <v>-23.561894</v>
      </c>
      <c r="C17011" s="40" t="n">
        <v>-46.598399</v>
      </c>
      <c r="D17011" s="40" t="n">
        <v>620</v>
      </c>
      <c r="E17011" s="41" t="n">
        <v>17529.014</v>
      </c>
    </row>
    <row r="17012">
      <c r="A17012" s="42">
        <f>_xlfn.XLOOKUP(83160,Trip[shape_id],Trip[shape_id],"Não encontrado")</f>
        <v/>
      </c>
      <c r="B17012" s="43" t="n">
        <v>-23.561793</v>
      </c>
      <c r="C17012" s="43" t="n">
        <v>-46.598473</v>
      </c>
      <c r="D17012" s="43" t="n">
        <v>621</v>
      </c>
      <c r="E17012" s="44" t="n">
        <v>17529.014</v>
      </c>
    </row>
    <row r="17013">
      <c r="A17013" s="39">
        <f>_xlfn.XLOOKUP(83160,Trip[shape_id],Trip[shape_id],"Não encontrado")</f>
        <v/>
      </c>
      <c r="B17013" s="40" t="n">
        <v>-23.561662</v>
      </c>
      <c r="C17013" s="40" t="n">
        <v>-46.598567</v>
      </c>
      <c r="D17013" s="40" t="n">
        <v>622</v>
      </c>
      <c r="E17013" s="41" t="n">
        <v>17580.814</v>
      </c>
    </row>
    <row r="17014">
      <c r="A17014" s="42">
        <f>_xlfn.XLOOKUP(83160,Trip[shape_id],Trip[shape_id],"Não encontrado")</f>
        <v/>
      </c>
      <c r="B17014" s="43" t="n">
        <v>-23.561375</v>
      </c>
      <c r="C17014" s="43" t="n">
        <v>-46.598696</v>
      </c>
      <c r="D17014" s="43" t="n">
        <v>623</v>
      </c>
      <c r="E17014" s="44" t="n">
        <v>17580.814</v>
      </c>
    </row>
    <row r="17015">
      <c r="A17015" s="39">
        <f>_xlfn.XLOOKUP(83160,Trip[shape_id],Trip[shape_id],"Não encontrado")</f>
        <v/>
      </c>
      <c r="B17015" s="40" t="n">
        <v>-23.561105</v>
      </c>
      <c r="C17015" s="40" t="n">
        <v>-46.598904</v>
      </c>
      <c r="D17015" s="40" t="n">
        <v>624</v>
      </c>
      <c r="E17015" s="41" t="n">
        <v>17617.49</v>
      </c>
    </row>
    <row r="17016">
      <c r="A17016" s="42">
        <f>_xlfn.XLOOKUP(83160,Trip[shape_id],Trip[shape_id],"Não encontrado")</f>
        <v/>
      </c>
      <c r="B17016" s="43" t="n">
        <v>-23.560308</v>
      </c>
      <c r="C17016" s="43" t="n">
        <v>-46.599523</v>
      </c>
      <c r="D17016" s="43" t="n">
        <v>625</v>
      </c>
      <c r="E17016" s="44" t="n">
        <v>17726.051</v>
      </c>
    </row>
    <row r="17017">
      <c r="A17017" s="39">
        <f>_xlfn.XLOOKUP(83160,Trip[shape_id],Trip[shape_id],"Não encontrado")</f>
        <v/>
      </c>
      <c r="B17017" s="40" t="n">
        <v>-23.560178</v>
      </c>
      <c r="C17017" s="40" t="n">
        <v>-46.599627</v>
      </c>
      <c r="D17017" s="40" t="n">
        <v>626</v>
      </c>
      <c r="E17017" s="41" t="n">
        <v>17743.939</v>
      </c>
    </row>
    <row r="17018">
      <c r="A17018" s="42">
        <f>_xlfn.XLOOKUP(83160,Trip[shape_id],Trip[shape_id],"Não encontrado")</f>
        <v/>
      </c>
      <c r="B17018" s="43" t="n">
        <v>-23.55994</v>
      </c>
      <c r="C17018" s="43" t="n">
        <v>-46.599793</v>
      </c>
      <c r="D17018" s="43" t="n">
        <v>627</v>
      </c>
      <c r="E17018" s="44" t="n">
        <v>17775.277</v>
      </c>
    </row>
    <row r="17019">
      <c r="A17019" s="39">
        <f>_xlfn.XLOOKUP(83160,Trip[shape_id],Trip[shape_id],"Não encontrado")</f>
        <v/>
      </c>
      <c r="B17019" s="40" t="n">
        <v>-23.559609</v>
      </c>
      <c r="C17019" s="40" t="n">
        <v>-46.599968</v>
      </c>
      <c r="D17019" s="40" t="n">
        <v>628</v>
      </c>
      <c r="E17019" s="41" t="n">
        <v>17816.059</v>
      </c>
    </row>
    <row r="17020">
      <c r="A17020" s="42">
        <f>_xlfn.XLOOKUP(83160,Trip[shape_id],Trip[shape_id],"Não encontrado")</f>
        <v/>
      </c>
      <c r="B17020" s="43" t="n">
        <v>-23.559201</v>
      </c>
      <c r="C17020" s="43" t="n">
        <v>-46.600143</v>
      </c>
      <c r="D17020" s="43" t="n">
        <v>629</v>
      </c>
      <c r="E17020" s="44" t="n">
        <v>17864.648</v>
      </c>
    </row>
    <row r="17021">
      <c r="A17021" s="39">
        <f>_xlfn.XLOOKUP(83160,Trip[shape_id],Trip[shape_id],"Não encontrado")</f>
        <v/>
      </c>
      <c r="B17021" s="40" t="n">
        <v>-23.559043</v>
      </c>
      <c r="C17021" s="40" t="n">
        <v>-46.600187</v>
      </c>
      <c r="D17021" s="40" t="n">
        <v>630</v>
      </c>
      <c r="E17021" s="41" t="n">
        <v>17882.715</v>
      </c>
    </row>
    <row r="17022">
      <c r="A17022" s="42">
        <f>_xlfn.XLOOKUP(83160,Trip[shape_id],Trip[shape_id],"Não encontrado")</f>
        <v/>
      </c>
      <c r="B17022" s="43" t="n">
        <v>-23.558793</v>
      </c>
      <c r="C17022" s="43" t="n">
        <v>-46.600248</v>
      </c>
      <c r="D17022" s="43" t="n">
        <v>631</v>
      </c>
      <c r="E17022" s="44" t="n">
        <v>17911.094</v>
      </c>
    </row>
    <row r="17023">
      <c r="A17023" s="39">
        <f>_xlfn.XLOOKUP(83160,Trip[shape_id],Trip[shape_id],"Não encontrado")</f>
        <v/>
      </c>
      <c r="B17023" s="40" t="n">
        <v>-23.558432</v>
      </c>
      <c r="C17023" s="40" t="n">
        <v>-46.600291</v>
      </c>
      <c r="D17023" s="40" t="n">
        <v>632</v>
      </c>
      <c r="E17023" s="41" t="n">
        <v>17951.316</v>
      </c>
    </row>
    <row r="17024">
      <c r="A17024" s="42">
        <f>_xlfn.XLOOKUP(83160,Trip[shape_id],Trip[shape_id],"Não encontrado")</f>
        <v/>
      </c>
      <c r="B17024" s="43" t="n">
        <v>-23.558088</v>
      </c>
      <c r="C17024" s="43" t="n">
        <v>-46.600296</v>
      </c>
      <c r="D17024" s="43" t="n">
        <v>633</v>
      </c>
      <c r="E17024" s="44" t="n">
        <v>17989.418</v>
      </c>
    </row>
    <row r="17025">
      <c r="A17025" s="39">
        <f>_xlfn.XLOOKUP(83160,Trip[shape_id],Trip[shape_id],"Não encontrado")</f>
        <v/>
      </c>
      <c r="B17025" s="40" t="n">
        <v>-23.557723</v>
      </c>
      <c r="C17025" s="40" t="n">
        <v>-46.60026</v>
      </c>
      <c r="D17025" s="40" t="n">
        <v>634</v>
      </c>
      <c r="E17025" s="41" t="n">
        <v>18030.01</v>
      </c>
    </row>
    <row r="17026">
      <c r="A17026" s="42">
        <f>_xlfn.XLOOKUP(83160,Trip[shape_id],Trip[shape_id],"Não encontrado")</f>
        <v/>
      </c>
      <c r="B17026" s="43" t="n">
        <v>-23.557438</v>
      </c>
      <c r="C17026" s="43" t="n">
        <v>-46.600227</v>
      </c>
      <c r="D17026" s="43" t="n">
        <v>635</v>
      </c>
      <c r="E17026" s="44" t="n">
        <v>18061.754</v>
      </c>
    </row>
    <row r="17027">
      <c r="A17027" s="39">
        <f>_xlfn.XLOOKUP(83160,Trip[shape_id],Trip[shape_id],"Não encontrado")</f>
        <v/>
      </c>
      <c r="B17027" s="40" t="n">
        <v>-23.556464</v>
      </c>
      <c r="C17027" s="40" t="n">
        <v>-46.600128</v>
      </c>
      <c r="D17027" s="40" t="n">
        <v>636</v>
      </c>
      <c r="E17027" s="41" t="n">
        <v>18170.1</v>
      </c>
    </row>
    <row r="17028">
      <c r="A17028" s="42">
        <f>_xlfn.XLOOKUP(83160,Trip[shape_id],Trip[shape_id],"Não encontrado")</f>
        <v/>
      </c>
      <c r="B17028" s="43" t="n">
        <v>-23.556028</v>
      </c>
      <c r="C17028" s="43" t="n">
        <v>-46.600085</v>
      </c>
      <c r="D17028" s="43" t="n">
        <v>637</v>
      </c>
      <c r="E17028" s="44" t="n">
        <v>18218.586</v>
      </c>
    </row>
    <row r="17029">
      <c r="A17029" s="39">
        <f>_xlfn.XLOOKUP(83160,Trip[shape_id],Trip[shape_id],"Não encontrado")</f>
        <v/>
      </c>
      <c r="B17029" s="40" t="n">
        <v>-23.555703</v>
      </c>
      <c r="C17029" s="40" t="n">
        <v>-46.600053</v>
      </c>
      <c r="D17029" s="40" t="n">
        <v>638</v>
      </c>
      <c r="E17029" s="41" t="n">
        <v>18254.729</v>
      </c>
    </row>
    <row r="17030">
      <c r="A17030" s="42">
        <f>_xlfn.XLOOKUP(83160,Trip[shape_id],Trip[shape_id],"Não encontrado")</f>
        <v/>
      </c>
      <c r="B17030" s="43" t="n">
        <v>-23.555527</v>
      </c>
      <c r="C17030" s="43" t="n">
        <v>-46.600031</v>
      </c>
      <c r="D17030" s="43" t="n">
        <v>639</v>
      </c>
      <c r="E17030" s="44" t="n">
        <v>18274.35</v>
      </c>
    </row>
    <row r="17031">
      <c r="A17031" s="39">
        <f>_xlfn.XLOOKUP(83160,Trip[shape_id],Trip[shape_id],"Não encontrado")</f>
        <v/>
      </c>
      <c r="B17031" s="40" t="n">
        <v>-23.555035</v>
      </c>
      <c r="C17031" s="40" t="n">
        <v>-46.599976</v>
      </c>
      <c r="D17031" s="40" t="n">
        <v>640</v>
      </c>
      <c r="E17031" s="41" t="n">
        <v>18329.129</v>
      </c>
    </row>
    <row r="17032">
      <c r="A17032" s="42">
        <f>_xlfn.XLOOKUP(83160,Trip[shape_id],Trip[shape_id],"Não encontrado")</f>
        <v/>
      </c>
      <c r="B17032" s="43" t="n">
        <v>-23.554923</v>
      </c>
      <c r="C17032" s="43" t="n">
        <v>-46.599969</v>
      </c>
      <c r="D17032" s="43" t="n">
        <v>641</v>
      </c>
      <c r="E17032" s="44" t="n">
        <v>18341.553</v>
      </c>
    </row>
    <row r="17033">
      <c r="A17033" s="39">
        <f>_xlfn.XLOOKUP(83160,Trip[shape_id],Trip[shape_id],"Não encontrado")</f>
        <v/>
      </c>
      <c r="B17033" s="40" t="n">
        <v>-23.554519</v>
      </c>
      <c r="C17033" s="40" t="n">
        <v>-46.599917</v>
      </c>
      <c r="D17033" s="40" t="n">
        <v>642</v>
      </c>
      <c r="E17033" s="41" t="n">
        <v>18386.611</v>
      </c>
    </row>
    <row r="17034">
      <c r="A17034" s="42">
        <f>_xlfn.XLOOKUP(83160,Trip[shape_id],Trip[shape_id],"Não encontrado")</f>
        <v/>
      </c>
      <c r="B17034" s="43" t="n">
        <v>-23.553308</v>
      </c>
      <c r="C17034" s="43" t="n">
        <v>-46.599785</v>
      </c>
      <c r="D17034" s="43" t="n">
        <v>643</v>
      </c>
      <c r="E17034" s="44" t="n">
        <v>18521.406</v>
      </c>
    </row>
    <row r="17035">
      <c r="A17035" s="39">
        <f>_xlfn.XLOOKUP(83160,Trip[shape_id],Trip[shape_id],"Não encontrado")</f>
        <v/>
      </c>
      <c r="B17035" s="40" t="n">
        <v>-23.553132</v>
      </c>
      <c r="C17035" s="40" t="n">
        <v>-46.59977</v>
      </c>
      <c r="D17035" s="40" t="n">
        <v>644</v>
      </c>
      <c r="E17035" s="41" t="n">
        <v>18540.959</v>
      </c>
    </row>
    <row r="17036">
      <c r="A17036" s="42">
        <f>_xlfn.XLOOKUP(83160,Trip[shape_id],Trip[shape_id],"Não encontrado")</f>
        <v/>
      </c>
      <c r="B17036" s="43" t="n">
        <v>-23.552845</v>
      </c>
      <c r="C17036" s="43" t="n">
        <v>-46.599757</v>
      </c>
      <c r="D17036" s="43" t="n">
        <v>645</v>
      </c>
      <c r="E17036" s="44" t="n">
        <v>18572.771</v>
      </c>
    </row>
    <row r="17037">
      <c r="A17037" s="39">
        <f>_xlfn.XLOOKUP(83160,Trip[shape_id],Trip[shape_id],"Não encontrado")</f>
        <v/>
      </c>
      <c r="B17037" s="40" t="n">
        <v>-23.552595</v>
      </c>
      <c r="C17037" s="40" t="n">
        <v>-46.599758</v>
      </c>
      <c r="D17037" s="40" t="n">
        <v>646</v>
      </c>
      <c r="E17037" s="41" t="n">
        <v>18600.459</v>
      </c>
    </row>
    <row r="17038">
      <c r="A17038" s="42">
        <f>_xlfn.XLOOKUP(83160,Trip[shape_id],Trip[shape_id],"Não encontrado")</f>
        <v/>
      </c>
      <c r="B17038" s="43" t="n">
        <v>-23.552308</v>
      </c>
      <c r="C17038" s="43" t="n">
        <v>-46.599786</v>
      </c>
      <c r="D17038" s="43" t="n">
        <v>647</v>
      </c>
      <c r="E17038" s="44" t="n">
        <v>18632.373</v>
      </c>
    </row>
    <row r="17039">
      <c r="A17039" s="39">
        <f>_xlfn.XLOOKUP(83160,Trip[shape_id],Trip[shape_id],"Não encontrado")</f>
        <v/>
      </c>
      <c r="B17039" s="40" t="n">
        <v>-23.552037</v>
      </c>
      <c r="C17039" s="40" t="n">
        <v>-46.599853</v>
      </c>
      <c r="D17039" s="40" t="n">
        <v>648</v>
      </c>
      <c r="E17039" s="41" t="n">
        <v>18663.156</v>
      </c>
    </row>
    <row r="17040">
      <c r="A17040" s="42">
        <f>_xlfn.XLOOKUP(83160,Trip[shape_id],Trip[shape_id],"Não encontrado")</f>
        <v/>
      </c>
      <c r="B17040" s="43" t="n">
        <v>-23.551723</v>
      </c>
      <c r="C17040" s="43" t="n">
        <v>-46.599974</v>
      </c>
      <c r="D17040" s="43" t="n">
        <v>649</v>
      </c>
      <c r="E17040" s="44" t="n">
        <v>18700.061</v>
      </c>
    </row>
    <row r="17041">
      <c r="A17041" s="39">
        <f>_xlfn.XLOOKUP(83160,Trip[shape_id],Trip[shape_id],"Não encontrado")</f>
        <v/>
      </c>
      <c r="B17041" s="40" t="n">
        <v>-23.551507</v>
      </c>
      <c r="C17041" s="40" t="n">
        <v>-46.600074</v>
      </c>
      <c r="D17041" s="40" t="n">
        <v>650</v>
      </c>
      <c r="E17041" s="41" t="n">
        <v>18726.07</v>
      </c>
    </row>
    <row r="17042">
      <c r="A17042" s="42">
        <f>_xlfn.XLOOKUP(83160,Trip[shape_id],Trip[shape_id],"Não encontrado")</f>
        <v/>
      </c>
      <c r="B17042" s="43" t="n">
        <v>-23.551453</v>
      </c>
      <c r="C17042" s="43" t="n">
        <v>-46.60009</v>
      </c>
      <c r="D17042" s="43" t="n">
        <v>651</v>
      </c>
      <c r="E17042" s="44" t="n">
        <v>18750.58</v>
      </c>
    </row>
    <row r="17043">
      <c r="A17043" s="39">
        <f>_xlfn.XLOOKUP(83160,Trip[shape_id],Trip[shape_id],"Não encontrado")</f>
        <v/>
      </c>
      <c r="B17043" s="40" t="n">
        <v>-23.55131</v>
      </c>
      <c r="C17043" s="40" t="n">
        <v>-46.60018</v>
      </c>
      <c r="D17043" s="40" t="n">
        <v>652</v>
      </c>
      <c r="E17043" s="41" t="n">
        <v>18791.535</v>
      </c>
    </row>
    <row r="17044">
      <c r="A17044" s="42">
        <f>_xlfn.XLOOKUP(83160,Trip[shape_id],Trip[shape_id],"Não encontrado")</f>
        <v/>
      </c>
      <c r="B17044" s="43" t="n">
        <v>-23.550999</v>
      </c>
      <c r="C17044" s="43" t="n">
        <v>-46.600397</v>
      </c>
      <c r="D17044" s="43" t="n">
        <v>653</v>
      </c>
      <c r="E17044" s="44" t="n">
        <v>18817.266</v>
      </c>
    </row>
    <row r="17045">
      <c r="A17045" s="39">
        <f>_xlfn.XLOOKUP(83160,Trip[shape_id],Trip[shape_id],"Não encontrado")</f>
        <v/>
      </c>
      <c r="B17045" s="40" t="n">
        <v>-23.550813</v>
      </c>
      <c r="C17045" s="40" t="n">
        <v>-46.600548</v>
      </c>
      <c r="D17045" s="40" t="n">
        <v>654</v>
      </c>
      <c r="E17045" s="41" t="n">
        <v>18832.809</v>
      </c>
    </row>
    <row r="17046">
      <c r="A17046" s="42">
        <f>_xlfn.XLOOKUP(83160,Trip[shape_id],Trip[shape_id],"Não encontrado")</f>
        <v/>
      </c>
      <c r="B17046" s="43" t="n">
        <v>-23.550708</v>
      </c>
      <c r="C17046" s="43" t="n">
        <v>-46.600649</v>
      </c>
      <c r="D17046" s="43" t="n">
        <v>655</v>
      </c>
      <c r="E17046" s="44" t="n">
        <v>18832.809</v>
      </c>
    </row>
    <row r="17047">
      <c r="A17047" s="39">
        <f>_xlfn.XLOOKUP(83160,Trip[shape_id],Trip[shape_id],"Não encontrado")</f>
        <v/>
      </c>
      <c r="B17047" s="40" t="n">
        <v>-23.550412</v>
      </c>
      <c r="C17047" s="40" t="n">
        <v>-46.600844</v>
      </c>
      <c r="D17047" s="40" t="n">
        <v>656</v>
      </c>
      <c r="E17047" s="41" t="n">
        <v>18906.406</v>
      </c>
    </row>
    <row r="17048">
      <c r="A17048" s="42">
        <f>_xlfn.XLOOKUP(83160,Trip[shape_id],Trip[shape_id],"Não encontrado")</f>
        <v/>
      </c>
      <c r="B17048" s="43" t="n">
        <v>-23.550133</v>
      </c>
      <c r="C17048" s="43" t="n">
        <v>-46.60101</v>
      </c>
      <c r="D17048" s="43" t="n">
        <v>657</v>
      </c>
      <c r="E17048" s="44" t="n">
        <v>18936.777</v>
      </c>
    </row>
    <row r="17049">
      <c r="A17049" s="39">
        <f>_xlfn.XLOOKUP(83160,Trip[shape_id],Trip[shape_id],"Não encontrado")</f>
        <v/>
      </c>
      <c r="B17049" s="40" t="n">
        <v>-23.549903</v>
      </c>
      <c r="C17049" s="40" t="n">
        <v>-46.601172</v>
      </c>
      <c r="D17049" s="40" t="n">
        <v>658</v>
      </c>
      <c r="E17049" s="41" t="n">
        <v>18936.777</v>
      </c>
    </row>
    <row r="17050">
      <c r="A17050" s="42">
        <f>_xlfn.XLOOKUP(83160,Trip[shape_id],Trip[shape_id],"Não encontrado")</f>
        <v/>
      </c>
      <c r="B17050" s="43" t="n">
        <v>-23.549783</v>
      </c>
      <c r="C17050" s="43" t="n">
        <v>-46.601274</v>
      </c>
      <c r="D17050" s="43" t="n">
        <v>659</v>
      </c>
      <c r="E17050" s="44" t="n">
        <v>18953.662</v>
      </c>
    </row>
    <row r="17051">
      <c r="A17051" s="39">
        <f>_xlfn.XLOOKUP(83160,Trip[shape_id],Trip[shape_id],"Não encontrado")</f>
        <v/>
      </c>
      <c r="B17051" s="40" t="n">
        <v>-23.54963</v>
      </c>
      <c r="C17051" s="40" t="n">
        <v>-46.601343</v>
      </c>
      <c r="D17051" s="40" t="n">
        <v>660</v>
      </c>
      <c r="E17051" s="41" t="n">
        <v>18972.014</v>
      </c>
    </row>
    <row r="17052">
      <c r="A17052" s="42">
        <f>_xlfn.XLOOKUP(83160,Trip[shape_id],Trip[shape_id],"Não encontrado")</f>
        <v/>
      </c>
      <c r="B17052" s="43" t="n">
        <v>-23.549467</v>
      </c>
      <c r="C17052" s="43" t="n">
        <v>-46.60142</v>
      </c>
      <c r="D17052" s="43" t="n">
        <v>661</v>
      </c>
      <c r="E17052" s="44" t="n">
        <v>18991.703</v>
      </c>
    </row>
    <row r="17053">
      <c r="A17053" s="39">
        <f>_xlfn.XLOOKUP(83160,Trip[shape_id],Trip[shape_id],"Não encontrado")</f>
        <v/>
      </c>
      <c r="B17053" s="40" t="n">
        <v>-23.549018</v>
      </c>
      <c r="C17053" s="40" t="n">
        <v>-46.601803</v>
      </c>
      <c r="D17053" s="40" t="n">
        <v>662</v>
      </c>
      <c r="E17053" s="41" t="n">
        <v>19054.965</v>
      </c>
    </row>
    <row r="17054">
      <c r="A17054" s="42">
        <f>_xlfn.XLOOKUP(83160,Trip[shape_id],Trip[shape_id],"Não encontrado")</f>
        <v/>
      </c>
      <c r="B17054" s="43" t="n">
        <v>-23.548396</v>
      </c>
      <c r="C17054" s="43" t="n">
        <v>-46.602351</v>
      </c>
      <c r="D17054" s="43" t="n">
        <v>663</v>
      </c>
      <c r="E17054" s="44" t="n">
        <v>19143.713</v>
      </c>
    </row>
    <row r="17055">
      <c r="A17055" s="39">
        <f>_xlfn.XLOOKUP(83160,Trip[shape_id],Trip[shape_id],"Não encontrado")</f>
        <v/>
      </c>
      <c r="B17055" s="40" t="n">
        <v>-23.548146</v>
      </c>
      <c r="C17055" s="40" t="n">
        <v>-46.60257</v>
      </c>
      <c r="D17055" s="40" t="n">
        <v>664</v>
      </c>
      <c r="E17055" s="41" t="n">
        <v>19179.303</v>
      </c>
    </row>
    <row r="17056">
      <c r="A17056" s="42">
        <f>_xlfn.XLOOKUP(83160,Trip[shape_id],Trip[shape_id],"Não encontrado")</f>
        <v/>
      </c>
      <c r="B17056" s="43" t="n">
        <v>-23.547932</v>
      </c>
      <c r="C17056" s="43" t="n">
        <v>-46.602782</v>
      </c>
      <c r="D17056" s="43" t="n">
        <v>665</v>
      </c>
      <c r="E17056" s="44" t="n">
        <v>19211.4</v>
      </c>
    </row>
    <row r="17057">
      <c r="A17057" s="39">
        <f>_xlfn.XLOOKUP(83160,Trip[shape_id],Trip[shape_id],"Não encontrado")</f>
        <v/>
      </c>
      <c r="B17057" s="40" t="n">
        <v>-23.547628</v>
      </c>
      <c r="C17057" s="40" t="n">
        <v>-46.603066</v>
      </c>
      <c r="D17057" s="40" t="n">
        <v>666</v>
      </c>
      <c r="E17057" s="41" t="n">
        <v>19255.834</v>
      </c>
    </row>
    <row r="17058">
      <c r="A17058" s="42">
        <f>_xlfn.XLOOKUP(83160,Trip[shape_id],Trip[shape_id],"Não encontrado")</f>
        <v/>
      </c>
      <c r="B17058" s="43" t="n">
        <v>-23.547678</v>
      </c>
      <c r="C17058" s="43" t="n">
        <v>-46.603317</v>
      </c>
      <c r="D17058" s="43" t="n">
        <v>667</v>
      </c>
      <c r="E17058" s="44" t="n">
        <v>19282.053</v>
      </c>
    </row>
    <row r="17059">
      <c r="A17059" s="39">
        <f>_xlfn.XLOOKUP(83160,Trip[shape_id],Trip[shape_id],"Não encontrado")</f>
        <v/>
      </c>
      <c r="B17059" s="40" t="n">
        <v>-23.54697</v>
      </c>
      <c r="C17059" s="40" t="n">
        <v>-46.603933</v>
      </c>
      <c r="D17059" s="40" t="n">
        <v>668</v>
      </c>
      <c r="E17059" s="41" t="n">
        <v>19382.574</v>
      </c>
    </row>
    <row r="17060">
      <c r="A17060" s="42">
        <f>_xlfn.XLOOKUP(83160,Trip[shape_id],Trip[shape_id],"Não encontrado")</f>
        <v/>
      </c>
      <c r="B17060" s="43" t="n">
        <v>-23.546082</v>
      </c>
      <c r="C17060" s="43" t="n">
        <v>-46.604701</v>
      </c>
      <c r="D17060" s="43" t="n">
        <v>669</v>
      </c>
      <c r="E17060" s="44" t="n">
        <v>19508.357</v>
      </c>
    </row>
    <row r="17061">
      <c r="A17061" s="39">
        <f>_xlfn.XLOOKUP(83160,Trip[shape_id],Trip[shape_id],"Não encontrado")</f>
        <v/>
      </c>
      <c r="B17061" s="40" t="n">
        <v>-23.54604</v>
      </c>
      <c r="C17061" s="40" t="n">
        <v>-46.604767</v>
      </c>
      <c r="D17061" s="40" t="n">
        <v>670</v>
      </c>
      <c r="E17061" s="41" t="n">
        <v>19516.545</v>
      </c>
    </row>
    <row r="17062">
      <c r="A17062" s="42">
        <f>_xlfn.XLOOKUP(83160,Trip[shape_id],Trip[shape_id],"Não encontrado")</f>
        <v/>
      </c>
      <c r="B17062" s="43" t="n">
        <v>-23.546046</v>
      </c>
      <c r="C17062" s="43" t="n">
        <v>-46.60482</v>
      </c>
      <c r="D17062" s="43" t="n">
        <v>671</v>
      </c>
      <c r="E17062" s="44" t="n">
        <v>19521.998</v>
      </c>
    </row>
    <row r="17063">
      <c r="A17063" s="39">
        <f>_xlfn.XLOOKUP(83160,Trip[shape_id],Trip[shape_id],"Não encontrado")</f>
        <v/>
      </c>
      <c r="B17063" s="40" t="n">
        <v>-23.54606</v>
      </c>
      <c r="C17063" s="40" t="n">
        <v>-46.604885</v>
      </c>
      <c r="D17063" s="40" t="n">
        <v>672</v>
      </c>
      <c r="E17063" s="41" t="n">
        <v>19528.814</v>
      </c>
    </row>
    <row r="17064">
      <c r="A17064" s="42">
        <f>_xlfn.XLOOKUP(83160,Trip[shape_id],Trip[shape_id],"Não encontrado")</f>
        <v/>
      </c>
      <c r="B17064" s="43" t="n">
        <v>-23.546439</v>
      </c>
      <c r="C17064" s="43" t="n">
        <v>-46.60556</v>
      </c>
      <c r="D17064" s="43" t="n">
        <v>673</v>
      </c>
      <c r="E17064" s="44" t="n">
        <v>19609.512</v>
      </c>
    </row>
    <row r="17065">
      <c r="A17065" s="39">
        <f>_xlfn.XLOOKUP(83160,Trip[shape_id],Trip[shape_id],"Não encontrado")</f>
        <v/>
      </c>
      <c r="B17065" s="40" t="n">
        <v>-23.546531</v>
      </c>
      <c r="C17065" s="40" t="n">
        <v>-46.605728</v>
      </c>
      <c r="D17065" s="40" t="n">
        <v>674</v>
      </c>
      <c r="E17065" s="41" t="n">
        <v>19629.463</v>
      </c>
    </row>
    <row r="17066">
      <c r="A17066" s="42">
        <f>_xlfn.XLOOKUP(83160,Trip[shape_id],Trip[shape_id],"Não encontrado")</f>
        <v/>
      </c>
      <c r="B17066" s="43" t="n">
        <v>-23.546605</v>
      </c>
      <c r="C17066" s="43" t="n">
        <v>-46.60586</v>
      </c>
      <c r="D17066" s="43" t="n">
        <v>675</v>
      </c>
      <c r="E17066" s="44" t="n">
        <v>19645.236</v>
      </c>
    </row>
    <row r="17067">
      <c r="A17067" s="39">
        <f>_xlfn.XLOOKUP(83160,Trip[shape_id],Trip[shape_id],"Não encontrado")</f>
        <v/>
      </c>
      <c r="B17067" s="40" t="n">
        <v>-23.546697</v>
      </c>
      <c r="C17067" s="40" t="n">
        <v>-46.606023</v>
      </c>
      <c r="D17067" s="40" t="n">
        <v>676</v>
      </c>
      <c r="E17067" s="41" t="n">
        <v>19664.75</v>
      </c>
    </row>
    <row r="17068">
      <c r="A17068" s="42">
        <f>_xlfn.XLOOKUP(83160,Trip[shape_id],Trip[shape_id],"Não encontrado")</f>
        <v/>
      </c>
      <c r="B17068" s="43" t="n">
        <v>-23.546731</v>
      </c>
      <c r="C17068" s="43" t="n">
        <v>-46.606086</v>
      </c>
      <c r="D17068" s="43" t="n">
        <v>677</v>
      </c>
      <c r="E17068" s="44" t="n">
        <v>19672.203</v>
      </c>
    </row>
    <row r="17069">
      <c r="A17069" s="39">
        <f>_xlfn.XLOOKUP(83160,Trip[shape_id],Trip[shape_id],"Não encontrado")</f>
        <v/>
      </c>
      <c r="B17069" s="40" t="n">
        <v>-23.546793</v>
      </c>
      <c r="C17069" s="40" t="n">
        <v>-46.606196</v>
      </c>
      <c r="D17069" s="40" t="n">
        <v>678</v>
      </c>
      <c r="E17069" s="41" t="n">
        <v>19685.367</v>
      </c>
    </row>
    <row r="17070">
      <c r="A17070" s="42">
        <f>_xlfn.XLOOKUP(83160,Trip[shape_id],Trip[shape_id],"Não encontrado")</f>
        <v/>
      </c>
      <c r="B17070" s="43" t="n">
        <v>-23.546866</v>
      </c>
      <c r="C17070" s="43" t="n">
        <v>-46.606323</v>
      </c>
      <c r="D17070" s="43" t="n">
        <v>679</v>
      </c>
      <c r="E17070" s="44" t="n">
        <v>19700.648</v>
      </c>
    </row>
    <row r="17071">
      <c r="A17071" s="39">
        <f>_xlfn.XLOOKUP(83160,Trip[shape_id],Trip[shape_id],"Não encontrado")</f>
        <v/>
      </c>
      <c r="B17071" s="40" t="n">
        <v>-23.546945</v>
      </c>
      <c r="C17071" s="40" t="n">
        <v>-46.606466</v>
      </c>
      <c r="D17071" s="40" t="n">
        <v>680</v>
      </c>
      <c r="E17071" s="41" t="n">
        <v>19717.67</v>
      </c>
    </row>
    <row r="17072">
      <c r="A17072" s="42">
        <f>_xlfn.XLOOKUP(83161,Trip[shape_id],Trip[shape_id],"Não encontrado")</f>
        <v/>
      </c>
      <c r="B17072" s="43" t="n">
        <v>-23.546866</v>
      </c>
      <c r="C17072" s="43" t="n">
        <v>-46.606323</v>
      </c>
      <c r="D17072" s="43" t="n">
        <v>1</v>
      </c>
      <c r="E17072" s="44" t="n">
        <v>0</v>
      </c>
    </row>
    <row r="17073">
      <c r="A17073" s="39">
        <f>_xlfn.XLOOKUP(83161,Trip[shape_id],Trip[shape_id],"Não encontrado")</f>
        <v/>
      </c>
      <c r="B17073" s="40" t="n">
        <v>-23.546945</v>
      </c>
      <c r="C17073" s="40" t="n">
        <v>-46.606466</v>
      </c>
      <c r="D17073" s="40" t="n">
        <v>2</v>
      </c>
      <c r="E17073" s="41" t="n">
        <v>17.021744</v>
      </c>
    </row>
    <row r="17074">
      <c r="A17074" s="42">
        <f>_xlfn.XLOOKUP(83161,Trip[shape_id],Trip[shape_id],"Não encontrado")</f>
        <v/>
      </c>
      <c r="B17074" s="43" t="n">
        <v>-23.547187</v>
      </c>
      <c r="C17074" s="43" t="n">
        <v>-46.606896</v>
      </c>
      <c r="D17074" s="43" t="n">
        <v>3</v>
      </c>
      <c r="E17074" s="44" t="n">
        <v>68.46093</v>
      </c>
    </row>
    <row r="17075">
      <c r="A17075" s="39">
        <f>_xlfn.XLOOKUP(83161,Trip[shape_id],Trip[shape_id],"Não encontrado")</f>
        <v/>
      </c>
      <c r="B17075" s="40" t="n">
        <v>-23.547258</v>
      </c>
      <c r="C17075" s="40" t="n">
        <v>-46.607024</v>
      </c>
      <c r="D17075" s="40" t="n">
        <v>4</v>
      </c>
      <c r="E17075" s="41" t="n">
        <v>83.71363100000001</v>
      </c>
    </row>
    <row r="17076">
      <c r="A17076" s="42">
        <f>_xlfn.XLOOKUP(83161,Trip[shape_id],Trip[shape_id],"Não encontrado")</f>
        <v/>
      </c>
      <c r="B17076" s="43" t="n">
        <v>-23.547393</v>
      </c>
      <c r="C17076" s="43" t="n">
        <v>-46.607257</v>
      </c>
      <c r="D17076" s="43" t="n">
        <v>5</v>
      </c>
      <c r="E17076" s="44" t="n">
        <v>111.81219</v>
      </c>
    </row>
    <row r="17077">
      <c r="A17077" s="39">
        <f>_xlfn.XLOOKUP(83161,Trip[shape_id],Trip[shape_id],"Não encontrado")</f>
        <v/>
      </c>
      <c r="B17077" s="40" t="n">
        <v>-23.548424</v>
      </c>
      <c r="C17077" s="40" t="n">
        <v>-46.606384</v>
      </c>
      <c r="D17077" s="40" t="n">
        <v>6</v>
      </c>
      <c r="E17077" s="41" t="n">
        <v>256.66934</v>
      </c>
    </row>
    <row r="17078">
      <c r="A17078" s="42">
        <f>_xlfn.XLOOKUP(83161,Trip[shape_id],Trip[shape_id],"Não encontrado")</f>
        <v/>
      </c>
      <c r="B17078" s="43" t="n">
        <v>-23.548506</v>
      </c>
      <c r="C17078" s="43" t="n">
        <v>-46.606314</v>
      </c>
      <c r="D17078" s="43" t="n">
        <v>7</v>
      </c>
      <c r="E17078" s="44" t="n">
        <v>280.10785</v>
      </c>
    </row>
    <row r="17079">
      <c r="A17079" s="39">
        <f>_xlfn.XLOOKUP(83161,Trip[shape_id],Trip[shape_id],"Não encontrado")</f>
        <v/>
      </c>
      <c r="B17079" s="40" t="n">
        <v>-23.548541</v>
      </c>
      <c r="C17079" s="40" t="n">
        <v>-46.606204</v>
      </c>
      <c r="D17079" s="40" t="n">
        <v>8</v>
      </c>
      <c r="E17079" s="41" t="n">
        <v>289.3367</v>
      </c>
    </row>
    <row r="17080">
      <c r="A17080" s="42">
        <f>_xlfn.XLOOKUP(83161,Trip[shape_id],Trip[shape_id],"Não encontrado")</f>
        <v/>
      </c>
      <c r="B17080" s="43" t="n">
        <v>-23.548624</v>
      </c>
      <c r="C17080" s="43" t="n">
        <v>-46.606212</v>
      </c>
      <c r="D17080" s="43" t="n">
        <v>9</v>
      </c>
      <c r="E17080" s="44" t="n">
        <v>409.86887</v>
      </c>
    </row>
    <row r="17081">
      <c r="A17081" s="39">
        <f>_xlfn.XLOOKUP(83161,Trip[shape_id],Trip[shape_id],"Não encontrado")</f>
        <v/>
      </c>
      <c r="B17081" s="40" t="n">
        <v>-23.54948</v>
      </c>
      <c r="C17081" s="40" t="n">
        <v>-46.605483</v>
      </c>
      <c r="D17081" s="40" t="n">
        <v>10</v>
      </c>
      <c r="E17081" s="41" t="n">
        <v>409.86887</v>
      </c>
    </row>
    <row r="17082">
      <c r="A17082" s="42">
        <f>_xlfn.XLOOKUP(83161,Trip[shape_id],Trip[shape_id],"Não encontrado")</f>
        <v/>
      </c>
      <c r="B17082" s="43" t="n">
        <v>-23.549556</v>
      </c>
      <c r="C17082" s="43" t="n">
        <v>-46.605422</v>
      </c>
      <c r="D17082" s="43" t="n">
        <v>11</v>
      </c>
      <c r="E17082" s="44" t="n">
        <v>420.33966</v>
      </c>
    </row>
    <row r="17083">
      <c r="A17083" s="39">
        <f>_xlfn.XLOOKUP(83161,Trip[shape_id],Trip[shape_id],"Não encontrado")</f>
        <v/>
      </c>
      <c r="B17083" s="40" t="n">
        <v>-23.549673</v>
      </c>
      <c r="C17083" s="40" t="n">
        <v>-46.605316</v>
      </c>
      <c r="D17083" s="40" t="n">
        <v>12</v>
      </c>
      <c r="E17083" s="41" t="n">
        <v>437.22305</v>
      </c>
    </row>
    <row r="17084">
      <c r="A17084" s="42">
        <f>_xlfn.XLOOKUP(83161,Trip[shape_id],Trip[shape_id],"Não encontrado")</f>
        <v/>
      </c>
      <c r="B17084" s="43" t="n">
        <v>-23.550504</v>
      </c>
      <c r="C17084" s="43" t="n">
        <v>-46.604615</v>
      </c>
      <c r="D17084" s="43" t="n">
        <v>13</v>
      </c>
      <c r="E17084" s="44" t="n">
        <v>553.81287</v>
      </c>
    </row>
    <row r="17085">
      <c r="A17085" s="39">
        <f>_xlfn.XLOOKUP(83161,Trip[shape_id],Trip[shape_id],"Não encontrado")</f>
        <v/>
      </c>
      <c r="B17085" s="40" t="n">
        <v>-23.551084</v>
      </c>
      <c r="C17085" s="40" t="n">
        <v>-46.604127</v>
      </c>
      <c r="D17085" s="40" t="n">
        <v>14</v>
      </c>
      <c r="E17085" s="41" t="n">
        <v>807.55298</v>
      </c>
    </row>
    <row r="17086">
      <c r="A17086" s="42">
        <f>_xlfn.XLOOKUP(83161,Trip[shape_id],Trip[shape_id],"Não encontrado")</f>
        <v/>
      </c>
      <c r="B17086" s="43" t="n">
        <v>-23.552313</v>
      </c>
      <c r="C17086" s="43" t="n">
        <v>-46.60309</v>
      </c>
      <c r="D17086" s="43" t="n">
        <v>15</v>
      </c>
      <c r="E17086" s="44" t="n">
        <v>807.55298</v>
      </c>
    </row>
    <row r="17087">
      <c r="A17087" s="39">
        <f>_xlfn.XLOOKUP(83161,Trip[shape_id],Trip[shape_id],"Não encontrado")</f>
        <v/>
      </c>
      <c r="B17087" s="40" t="n">
        <v>-23.552849</v>
      </c>
      <c r="C17087" s="40" t="n">
        <v>-46.602624</v>
      </c>
      <c r="D17087" s="40" t="n">
        <v>16</v>
      </c>
      <c r="E17087" s="41" t="n">
        <v>883.62994</v>
      </c>
    </row>
    <row r="17088">
      <c r="A17088" s="42">
        <f>_xlfn.XLOOKUP(83161,Trip[shape_id],Trip[shape_id],"Não encontrado")</f>
        <v/>
      </c>
      <c r="B17088" s="43" t="n">
        <v>-23.552925</v>
      </c>
      <c r="C17088" s="43" t="n">
        <v>-46.602578</v>
      </c>
      <c r="D17088" s="43" t="n">
        <v>17</v>
      </c>
      <c r="E17088" s="44" t="n">
        <v>907.5376</v>
      </c>
    </row>
    <row r="17089">
      <c r="A17089" s="39">
        <f>_xlfn.XLOOKUP(83161,Trip[shape_id],Trip[shape_id],"Não encontrado")</f>
        <v/>
      </c>
      <c r="B17089" s="40" t="n">
        <v>-23.553046</v>
      </c>
      <c r="C17089" s="40" t="n">
        <v>-46.60253</v>
      </c>
      <c r="D17089" s="40" t="n">
        <v>18</v>
      </c>
      <c r="E17089" s="41" t="n">
        <v>907.5376</v>
      </c>
    </row>
    <row r="17090">
      <c r="A17090" s="42">
        <f>_xlfn.XLOOKUP(83161,Trip[shape_id],Trip[shape_id],"Não encontrado")</f>
        <v/>
      </c>
      <c r="B17090" s="43" t="n">
        <v>-23.553059</v>
      </c>
      <c r="C17090" s="43" t="n">
        <v>-46.602462</v>
      </c>
      <c r="D17090" s="43" t="n">
        <v>19</v>
      </c>
      <c r="E17090" s="44" t="n">
        <v>914.62866</v>
      </c>
    </row>
    <row r="17091">
      <c r="A17091" s="39">
        <f>_xlfn.XLOOKUP(83161,Trip[shape_id],Trip[shape_id],"Não encontrado")</f>
        <v/>
      </c>
      <c r="B17091" s="40" t="n">
        <v>-23.553117</v>
      </c>
      <c r="C17091" s="40" t="n">
        <v>-46.601701</v>
      </c>
      <c r="D17091" s="40" t="n">
        <v>20</v>
      </c>
      <c r="E17091" s="41" t="n">
        <v>1055.6096</v>
      </c>
    </row>
    <row r="17092">
      <c r="A17092" s="42">
        <f>_xlfn.XLOOKUP(83161,Trip[shape_id],Trip[shape_id],"Não encontrado")</f>
        <v/>
      </c>
      <c r="B17092" s="43" t="n">
        <v>-23.553175</v>
      </c>
      <c r="C17092" s="43" t="n">
        <v>-46.601087</v>
      </c>
      <c r="D17092" s="43" t="n">
        <v>21</v>
      </c>
      <c r="E17092" s="44" t="n">
        <v>1172.8489</v>
      </c>
    </row>
    <row r="17093">
      <c r="A17093" s="39">
        <f>_xlfn.XLOOKUP(83161,Trip[shape_id],Trip[shape_id],"Não encontrado")</f>
        <v/>
      </c>
      <c r="B17093" s="40" t="n">
        <v>-23.553294</v>
      </c>
      <c r="C17093" s="40" t="n">
        <v>-46.599946</v>
      </c>
      <c r="D17093" s="40" t="n">
        <v>22</v>
      </c>
      <c r="E17093" s="41" t="n">
        <v>1172.8489</v>
      </c>
    </row>
    <row r="17094">
      <c r="A17094" s="42">
        <f>_xlfn.XLOOKUP(83161,Trip[shape_id],Trip[shape_id],"Não encontrado")</f>
        <v/>
      </c>
      <c r="B17094" s="43" t="n">
        <v>-23.553877</v>
      </c>
      <c r="C17094" s="43" t="n">
        <v>-46.6</v>
      </c>
      <c r="D17094" s="43" t="n">
        <v>23</v>
      </c>
      <c r="E17094" s="44" t="n">
        <v>1237.6521</v>
      </c>
    </row>
    <row r="17095">
      <c r="A17095" s="39">
        <f>_xlfn.XLOOKUP(83161,Trip[shape_id],Trip[shape_id],"Não encontrado")</f>
        <v/>
      </c>
      <c r="B17095" s="40" t="n">
        <v>-23.554503</v>
      </c>
      <c r="C17095" s="40" t="n">
        <v>-46.60007</v>
      </c>
      <c r="D17095" s="40" t="n">
        <v>24</v>
      </c>
      <c r="E17095" s="41" t="n">
        <v>1307.3501</v>
      </c>
    </row>
    <row r="17096">
      <c r="A17096" s="42">
        <f>_xlfn.XLOOKUP(83161,Trip[shape_id],Trip[shape_id],"Não encontrado")</f>
        <v/>
      </c>
      <c r="B17096" s="43" t="n">
        <v>-23.555017</v>
      </c>
      <c r="C17096" s="43" t="n">
        <v>-46.600124</v>
      </c>
      <c r="D17096" s="43" t="n">
        <v>25</v>
      </c>
      <c r="E17096" s="44" t="n">
        <v>1364.543</v>
      </c>
    </row>
    <row r="17097">
      <c r="A17097" s="39">
        <f>_xlfn.XLOOKUP(83161,Trip[shape_id],Trip[shape_id],"Não encontrado")</f>
        <v/>
      </c>
      <c r="B17097" s="40" t="n">
        <v>-23.555513</v>
      </c>
      <c r="C17097" s="40" t="n">
        <v>-46.600176</v>
      </c>
      <c r="D17097" s="40" t="n">
        <v>26</v>
      </c>
      <c r="E17097" s="41" t="n">
        <v>1419.7318</v>
      </c>
    </row>
    <row r="17098">
      <c r="A17098" s="42">
        <f>_xlfn.XLOOKUP(83161,Trip[shape_id],Trip[shape_id],"Não encontrado")</f>
        <v/>
      </c>
      <c r="B17098" s="43" t="n">
        <v>-23.55644</v>
      </c>
      <c r="C17098" s="43" t="n">
        <v>-46.600275</v>
      </c>
      <c r="D17098" s="43" t="n">
        <v>27</v>
      </c>
      <c r="E17098" s="44" t="n">
        <v>1522.8951</v>
      </c>
    </row>
    <row r="17099">
      <c r="A17099" s="39">
        <f>_xlfn.XLOOKUP(83161,Trip[shape_id],Trip[shape_id],"Não encontrado")</f>
        <v/>
      </c>
      <c r="B17099" s="40" t="n">
        <v>-23.556476</v>
      </c>
      <c r="C17099" s="40" t="n">
        <v>-46.600281</v>
      </c>
      <c r="D17099" s="40" t="n">
        <v>28</v>
      </c>
      <c r="E17099" s="41" t="n">
        <v>1526.9297</v>
      </c>
    </row>
    <row r="17100">
      <c r="A17100" s="42">
        <f>_xlfn.XLOOKUP(83161,Trip[shape_id],Trip[shape_id],"Não encontrado")</f>
        <v/>
      </c>
      <c r="B17100" s="43" t="n">
        <v>-23.556628</v>
      </c>
      <c r="C17100" s="43" t="n">
        <v>-46.600253</v>
      </c>
      <c r="D17100" s="43" t="n">
        <v>29</v>
      </c>
      <c r="E17100" s="44" t="n">
        <v>1544.005</v>
      </c>
    </row>
    <row r="17101">
      <c r="A17101" s="39">
        <f>_xlfn.XLOOKUP(83161,Trip[shape_id],Trip[shape_id],"Não encontrado")</f>
        <v/>
      </c>
      <c r="B17101" s="40" t="n">
        <v>-23.556747</v>
      </c>
      <c r="C17101" s="40" t="n">
        <v>-46.600241</v>
      </c>
      <c r="D17101" s="40" t="n">
        <v>30</v>
      </c>
      <c r="E17101" s="41" t="n">
        <v>1557.2411</v>
      </c>
    </row>
    <row r="17102">
      <c r="A17102" s="42">
        <f>_xlfn.XLOOKUP(83161,Trip[shape_id],Trip[shape_id],"Não encontrado")</f>
        <v/>
      </c>
      <c r="B17102" s="43" t="n">
        <v>-23.556807</v>
      </c>
      <c r="C17102" s="43" t="n">
        <v>-46.600242</v>
      </c>
      <c r="D17102" s="43" t="n">
        <v>31</v>
      </c>
      <c r="E17102" s="44" t="n">
        <v>1563.8875</v>
      </c>
    </row>
    <row r="17103">
      <c r="A17103" s="39">
        <f>_xlfn.XLOOKUP(83161,Trip[shape_id],Trip[shape_id],"Não encontrado")</f>
        <v/>
      </c>
      <c r="B17103" s="40" t="n">
        <v>-23.556845</v>
      </c>
      <c r="C17103" s="40" t="n">
        <v>-46.600194</v>
      </c>
      <c r="D17103" s="40" t="n">
        <v>32</v>
      </c>
      <c r="E17103" s="41" t="n">
        <v>1570.3467</v>
      </c>
    </row>
    <row r="17104">
      <c r="A17104" s="42">
        <f>_xlfn.XLOOKUP(83161,Trip[shape_id],Trip[shape_id],"Não encontrado")</f>
        <v/>
      </c>
      <c r="B17104" s="43" t="n">
        <v>-23.556884</v>
      </c>
      <c r="C17104" s="43" t="n">
        <v>-46.600248</v>
      </c>
      <c r="D17104" s="43" t="n">
        <v>33</v>
      </c>
      <c r="E17104" s="44" t="n">
        <v>1577.3503</v>
      </c>
    </row>
    <row r="17105">
      <c r="A17105" s="39">
        <f>_xlfn.XLOOKUP(83161,Trip[shape_id],Trip[shape_id],"Não encontrado")</f>
        <v/>
      </c>
      <c r="B17105" s="40" t="n">
        <v>-23.556963</v>
      </c>
      <c r="C17105" s="40" t="n">
        <v>-46.600256</v>
      </c>
      <c r="D17105" s="40" t="n">
        <v>34</v>
      </c>
      <c r="E17105" s="41" t="n">
        <v>1586.1375</v>
      </c>
    </row>
    <row r="17106">
      <c r="A17106" s="42">
        <f>_xlfn.XLOOKUP(83161,Trip[shape_id],Trip[shape_id],"Não encontrado")</f>
        <v/>
      </c>
      <c r="B17106" s="43" t="n">
        <v>-23.557047</v>
      </c>
      <c r="C17106" s="43" t="n">
        <v>-46.600276</v>
      </c>
      <c r="D17106" s="43" t="n">
        <v>35</v>
      </c>
      <c r="E17106" s="44" t="n">
        <v>1595.6624</v>
      </c>
    </row>
    <row r="17107">
      <c r="A17107" s="39">
        <f>_xlfn.XLOOKUP(83161,Trip[shape_id],Trip[shape_id],"Não encontrado")</f>
        <v/>
      </c>
      <c r="B17107" s="40" t="n">
        <v>-23.557184</v>
      </c>
      <c r="C17107" s="40" t="n">
        <v>-46.600316</v>
      </c>
      <c r="D17107" s="40" t="n">
        <v>36</v>
      </c>
      <c r="E17107" s="41" t="n">
        <v>1611.3755</v>
      </c>
    </row>
    <row r="17108">
      <c r="A17108" s="42">
        <f>_xlfn.XLOOKUP(83161,Trip[shape_id],Trip[shape_id],"Não encontrado")</f>
        <v/>
      </c>
      <c r="B17108" s="43" t="n">
        <v>-23.557248</v>
      </c>
      <c r="C17108" s="43" t="n">
        <v>-46.600359</v>
      </c>
      <c r="D17108" s="43" t="n">
        <v>37</v>
      </c>
      <c r="E17108" s="44" t="n">
        <v>1619.7135</v>
      </c>
    </row>
    <row r="17109">
      <c r="A17109" s="39">
        <f>_xlfn.XLOOKUP(83161,Trip[shape_id],Trip[shape_id],"Não encontrado")</f>
        <v/>
      </c>
      <c r="B17109" s="40" t="n">
        <v>-23.55728</v>
      </c>
      <c r="C17109" s="40" t="n">
        <v>-46.600356</v>
      </c>
      <c r="D17109" s="40" t="n">
        <v>38</v>
      </c>
      <c r="E17109" s="41" t="n">
        <v>1623.2698</v>
      </c>
    </row>
    <row r="17110">
      <c r="A17110" s="42">
        <f>_xlfn.XLOOKUP(83161,Trip[shape_id],Trip[shape_id],"Não encontrado")</f>
        <v/>
      </c>
      <c r="B17110" s="43" t="n">
        <v>-23.557731</v>
      </c>
      <c r="C17110" s="43" t="n">
        <v>-46.600401</v>
      </c>
      <c r="D17110" s="43" t="n">
        <v>39</v>
      </c>
      <c r="E17110" s="44" t="n">
        <v>1696.1346</v>
      </c>
    </row>
    <row r="17111">
      <c r="A17111" s="39">
        <f>_xlfn.XLOOKUP(83161,Trip[shape_id],Trip[shape_id],"Não encontrado")</f>
        <v/>
      </c>
      <c r="B17111" s="40" t="n">
        <v>-23.557935</v>
      </c>
      <c r="C17111" s="40" t="n">
        <v>-46.600423</v>
      </c>
      <c r="D17111" s="40" t="n">
        <v>40</v>
      </c>
      <c r="E17111" s="41" t="n">
        <v>1714.6372</v>
      </c>
    </row>
    <row r="17112">
      <c r="A17112" s="42">
        <f>_xlfn.XLOOKUP(83161,Trip[shape_id],Trip[shape_id],"Não encontrado")</f>
        <v/>
      </c>
      <c r="B17112" s="43" t="n">
        <v>-23.558102</v>
      </c>
      <c r="C17112" s="43" t="n">
        <v>-46.600428</v>
      </c>
      <c r="D17112" s="43" t="n">
        <v>41</v>
      </c>
      <c r="E17112" s="44" t="n">
        <v>1747.7535</v>
      </c>
    </row>
    <row r="17113">
      <c r="A17113" s="39">
        <f>_xlfn.XLOOKUP(83161,Trip[shape_id],Trip[shape_id],"Não encontrado")</f>
        <v/>
      </c>
      <c r="B17113" s="40" t="n">
        <v>-23.558401</v>
      </c>
      <c r="C17113" s="40" t="n">
        <v>-46.600431</v>
      </c>
      <c r="D17113" s="40" t="n">
        <v>42</v>
      </c>
      <c r="E17113" s="41" t="n">
        <v>1785.9091</v>
      </c>
    </row>
    <row r="17114">
      <c r="A17114" s="42">
        <f>_xlfn.XLOOKUP(83161,Trip[shape_id],Trip[shape_id],"Não encontrado")</f>
        <v/>
      </c>
      <c r="B17114" s="43" t="n">
        <v>-23.558744</v>
      </c>
      <c r="C17114" s="43" t="n">
        <v>-46.600396</v>
      </c>
      <c r="D17114" s="43" t="n">
        <v>43</v>
      </c>
      <c r="E17114" s="44" t="n">
        <v>1802.6927</v>
      </c>
    </row>
    <row r="17115">
      <c r="A17115" s="39">
        <f>_xlfn.XLOOKUP(83161,Trip[shape_id],Trip[shape_id],"Não encontrado")</f>
        <v/>
      </c>
      <c r="B17115" s="40" t="n">
        <v>-23.558893</v>
      </c>
      <c r="C17115" s="40" t="n">
        <v>-46.600366</v>
      </c>
      <c r="D17115" s="40" t="n">
        <v>44</v>
      </c>
      <c r="E17115" s="41" t="n">
        <v>1818.8281</v>
      </c>
    </row>
    <row r="17116">
      <c r="A17116" s="42">
        <f>_xlfn.XLOOKUP(83161,Trip[shape_id],Trip[shape_id],"Não encontrado")</f>
        <v/>
      </c>
      <c r="B17116" s="43" t="n">
        <v>-23.559037</v>
      </c>
      <c r="C17116" s="43" t="n">
        <v>-46.600342</v>
      </c>
      <c r="D17116" s="43" t="n">
        <v>45</v>
      </c>
      <c r="E17116" s="44" t="n">
        <v>1818.8281</v>
      </c>
    </row>
    <row r="17117">
      <c r="A17117" s="39">
        <f>_xlfn.XLOOKUP(83161,Trip[shape_id],Trip[shape_id],"Não encontrado")</f>
        <v/>
      </c>
      <c r="B17117" s="40" t="n">
        <v>-23.55927</v>
      </c>
      <c r="C17117" s="40" t="n">
        <v>-46.600261</v>
      </c>
      <c r="D17117" s="40" t="n">
        <v>46</v>
      </c>
      <c r="E17117" s="41" t="n">
        <v>1845.9259</v>
      </c>
    </row>
    <row r="17118">
      <c r="A17118" s="42">
        <f>_xlfn.XLOOKUP(83161,Trip[shape_id],Trip[shape_id],"Não encontrado")</f>
        <v/>
      </c>
      <c r="B17118" s="43" t="n">
        <v>-23.559393</v>
      </c>
      <c r="C17118" s="43" t="n">
        <v>-46.600209</v>
      </c>
      <c r="D17118" s="43" t="n">
        <v>47</v>
      </c>
      <c r="E17118" s="44" t="n">
        <v>1900.1289</v>
      </c>
    </row>
    <row r="17119">
      <c r="A17119" s="39">
        <f>_xlfn.XLOOKUP(83161,Trip[shape_id],Trip[shape_id],"Não encontrado")</f>
        <v/>
      </c>
      <c r="B17119" s="40" t="n">
        <v>-23.559731</v>
      </c>
      <c r="C17119" s="40" t="n">
        <v>-46.600083</v>
      </c>
      <c r="D17119" s="40" t="n">
        <v>48</v>
      </c>
      <c r="E17119" s="41" t="n">
        <v>1946.6357</v>
      </c>
    </row>
    <row r="17120">
      <c r="A17120" s="42">
        <f>_xlfn.XLOOKUP(83161,Trip[shape_id],Trip[shape_id],"Não encontrado")</f>
        <v/>
      </c>
      <c r="B17120" s="43" t="n">
        <v>-23.560094</v>
      </c>
      <c r="C17120" s="43" t="n">
        <v>-46.599854</v>
      </c>
      <c r="D17120" s="43" t="n">
        <v>49</v>
      </c>
      <c r="E17120" s="44" t="n">
        <v>1951.3087</v>
      </c>
    </row>
    <row r="17121">
      <c r="A17121" s="39">
        <f>_xlfn.XLOOKUP(83161,Trip[shape_id],Trip[shape_id],"Não encontrado")</f>
        <v/>
      </c>
      <c r="B17121" s="40" t="n">
        <v>-23.560131</v>
      </c>
      <c r="C17121" s="40" t="n">
        <v>-46.599832</v>
      </c>
      <c r="D17121" s="40" t="n">
        <v>50</v>
      </c>
      <c r="E17121" s="41" t="n">
        <v>1979.8866</v>
      </c>
    </row>
    <row r="17122">
      <c r="A17122" s="42">
        <f>_xlfn.XLOOKUP(83161,Trip[shape_id],Trip[shape_id],"Não encontrado")</f>
        <v/>
      </c>
      <c r="B17122" s="43" t="n">
        <v>-23.560344</v>
      </c>
      <c r="C17122" s="43" t="n">
        <v>-46.599674</v>
      </c>
      <c r="D17122" s="43" t="n">
        <v>51</v>
      </c>
      <c r="E17122" s="44" t="n">
        <v>1979.8866</v>
      </c>
    </row>
    <row r="17123">
      <c r="A17123" s="39">
        <f>_xlfn.XLOOKUP(83161,Trip[shape_id],Trip[shape_id],"Não encontrado")</f>
        <v/>
      </c>
      <c r="B17123" s="40" t="n">
        <v>-23.561218</v>
      </c>
      <c r="C17123" s="40" t="n">
        <v>-46.599013</v>
      </c>
      <c r="D17123" s="40" t="n">
        <v>52</v>
      </c>
      <c r="E17123" s="41" t="n">
        <v>2225.3281</v>
      </c>
    </row>
    <row r="17124">
      <c r="A17124" s="42">
        <f>_xlfn.XLOOKUP(83161,Trip[shape_id],Trip[shape_id],"Não encontrado")</f>
        <v/>
      </c>
      <c r="B17124" s="43" t="n">
        <v>-23.562158</v>
      </c>
      <c r="C17124" s="43" t="n">
        <v>-46.598293</v>
      </c>
      <c r="D17124" s="43" t="n">
        <v>53</v>
      </c>
      <c r="E17124" s="44" t="n">
        <v>2225.3281</v>
      </c>
    </row>
    <row r="17125">
      <c r="A17125" s="39">
        <f>_xlfn.XLOOKUP(83161,Trip[shape_id],Trip[shape_id],"Não encontrado")</f>
        <v/>
      </c>
      <c r="B17125" s="40" t="n">
        <v>-23.562219</v>
      </c>
      <c r="C17125" s="40" t="n">
        <v>-46.598254</v>
      </c>
      <c r="D17125" s="40" t="n">
        <v>54</v>
      </c>
      <c r="E17125" s="41" t="n">
        <v>2233.1697</v>
      </c>
    </row>
    <row r="17126">
      <c r="A17126" s="42">
        <f>_xlfn.XLOOKUP(83161,Trip[shape_id],Trip[shape_id],"Não encontrado")</f>
        <v/>
      </c>
      <c r="B17126" s="43" t="n">
        <v>-23.562317</v>
      </c>
      <c r="C17126" s="43" t="n">
        <v>-46.598139</v>
      </c>
      <c r="D17126" s="43" t="n">
        <v>55</v>
      </c>
      <c r="E17126" s="44" t="n">
        <v>2249.1587</v>
      </c>
    </row>
    <row r="17127">
      <c r="A17127" s="39">
        <f>_xlfn.XLOOKUP(83161,Trip[shape_id],Trip[shape_id],"Não encontrado")</f>
        <v/>
      </c>
      <c r="B17127" s="40" t="n">
        <v>-23.562414</v>
      </c>
      <c r="C17127" s="40" t="n">
        <v>-46.598018</v>
      </c>
      <c r="D17127" s="40" t="n">
        <v>56</v>
      </c>
      <c r="E17127" s="41" t="n">
        <v>2265.53</v>
      </c>
    </row>
    <row r="17128">
      <c r="A17128" s="42">
        <f>_xlfn.XLOOKUP(83161,Trip[shape_id],Trip[shape_id],"Não encontrado")</f>
        <v/>
      </c>
      <c r="B17128" s="43" t="n">
        <v>-23.562476</v>
      </c>
      <c r="C17128" s="43" t="n">
        <v>-46.597939</v>
      </c>
      <c r="D17128" s="43" t="n">
        <v>57</v>
      </c>
      <c r="E17128" s="44" t="n">
        <v>2276.1221</v>
      </c>
    </row>
    <row r="17129">
      <c r="A17129" s="39">
        <f>_xlfn.XLOOKUP(83161,Trip[shape_id],Trip[shape_id],"Não encontrado")</f>
        <v/>
      </c>
      <c r="B17129" s="40" t="n">
        <v>-23.562622</v>
      </c>
      <c r="C17129" s="40" t="n">
        <v>-46.597859</v>
      </c>
      <c r="D17129" s="40" t="n">
        <v>58</v>
      </c>
      <c r="E17129" s="41" t="n">
        <v>2294.2375</v>
      </c>
    </row>
    <row r="17130">
      <c r="A17130" s="42">
        <f>_xlfn.XLOOKUP(83161,Trip[shape_id],Trip[shape_id],"Não encontrado")</f>
        <v/>
      </c>
      <c r="B17130" s="43" t="n">
        <v>-23.562909</v>
      </c>
      <c r="C17130" s="43" t="n">
        <v>-46.597734</v>
      </c>
      <c r="D17130" s="43" t="n">
        <v>59</v>
      </c>
      <c r="E17130" s="44" t="n">
        <v>2328.4895</v>
      </c>
    </row>
    <row r="17131">
      <c r="A17131" s="39">
        <f>_xlfn.XLOOKUP(83161,Trip[shape_id],Trip[shape_id],"Não encontrado")</f>
        <v/>
      </c>
      <c r="B17131" s="40" t="n">
        <v>-23.563073</v>
      </c>
      <c r="C17131" s="40" t="n">
        <v>-46.597601</v>
      </c>
      <c r="D17131" s="40" t="n">
        <v>60</v>
      </c>
      <c r="E17131" s="41" t="n">
        <v>2371.2544</v>
      </c>
    </row>
    <row r="17132">
      <c r="A17132" s="42">
        <f>_xlfn.XLOOKUP(83161,Trip[shape_id],Trip[shape_id],"Não encontrado")</f>
        <v/>
      </c>
      <c r="B17132" s="43" t="n">
        <v>-23.563224</v>
      </c>
      <c r="C17132" s="43" t="n">
        <v>-46.597492</v>
      </c>
      <c r="D17132" s="43" t="n">
        <v>61</v>
      </c>
      <c r="E17132" s="44" t="n">
        <v>2371.2544</v>
      </c>
    </row>
    <row r="17133">
      <c r="A17133" s="39">
        <f>_xlfn.XLOOKUP(83161,Trip[shape_id],Trip[shape_id],"Não encontrado")</f>
        <v/>
      </c>
      <c r="B17133" s="40" t="n">
        <v>-23.563407</v>
      </c>
      <c r="C17133" s="40" t="n">
        <v>-46.597355</v>
      </c>
      <c r="D17133" s="40" t="n">
        <v>62</v>
      </c>
      <c r="E17133" s="41" t="n">
        <v>2411.2556</v>
      </c>
    </row>
    <row r="17134">
      <c r="A17134" s="42">
        <f>_xlfn.XLOOKUP(83161,Trip[shape_id],Trip[shape_id],"Não encontrado")</f>
        <v/>
      </c>
      <c r="B17134" s="43" t="n">
        <v>-23.563519</v>
      </c>
      <c r="C17134" s="43" t="n">
        <v>-46.597266</v>
      </c>
      <c r="D17134" s="43" t="n">
        <v>63</v>
      </c>
      <c r="E17134" s="44" t="n">
        <v>2439.3835</v>
      </c>
    </row>
    <row r="17135">
      <c r="A17135" s="39">
        <f>_xlfn.XLOOKUP(83161,Trip[shape_id],Trip[shape_id],"Não encontrado")</f>
        <v/>
      </c>
      <c r="B17135" s="40" t="n">
        <v>-23.563721</v>
      </c>
      <c r="C17135" s="40" t="n">
        <v>-46.597099</v>
      </c>
      <c r="D17135" s="40" t="n">
        <v>64</v>
      </c>
      <c r="E17135" s="41" t="n">
        <v>2470.0315</v>
      </c>
    </row>
    <row r="17136">
      <c r="A17136" s="42">
        <f>_xlfn.XLOOKUP(83161,Trip[shape_id],Trip[shape_id],"Não encontrado")</f>
        <v/>
      </c>
      <c r="B17136" s="43" t="n">
        <v>-23.563936</v>
      </c>
      <c r="C17136" s="43" t="n">
        <v>-46.59691</v>
      </c>
      <c r="D17136" s="43" t="n">
        <v>65</v>
      </c>
      <c r="E17136" s="44" t="n">
        <v>2523.6003</v>
      </c>
    </row>
    <row r="17137">
      <c r="A17137" s="39">
        <f>_xlfn.XLOOKUP(83161,Trip[shape_id],Trip[shape_id],"Não encontrado")</f>
        <v/>
      </c>
      <c r="B17137" s="40" t="n">
        <v>-23.564298</v>
      </c>
      <c r="C17137" s="40" t="n">
        <v>-46.596562</v>
      </c>
      <c r="D17137" s="40" t="n">
        <v>66</v>
      </c>
      <c r="E17137" s="41" t="n">
        <v>2523.6003</v>
      </c>
    </row>
    <row r="17138">
      <c r="A17138" s="42">
        <f>_xlfn.XLOOKUP(83161,Trip[shape_id],Trip[shape_id],"Não encontrado")</f>
        <v/>
      </c>
      <c r="B17138" s="43" t="n">
        <v>-23.564338</v>
      </c>
      <c r="C17138" s="43" t="n">
        <v>-46.59652</v>
      </c>
      <c r="D17138" s="43" t="n">
        <v>67</v>
      </c>
      <c r="E17138" s="44" t="n">
        <v>2596.6519</v>
      </c>
    </row>
    <row r="17139">
      <c r="A17139" s="39">
        <f>_xlfn.XLOOKUP(83161,Trip[shape_id],Trip[shape_id],"Não encontrado")</f>
        <v/>
      </c>
      <c r="B17139" s="40" t="n">
        <v>-23.564752</v>
      </c>
      <c r="C17139" s="40" t="n">
        <v>-46.596043</v>
      </c>
      <c r="D17139" s="40" t="n">
        <v>68</v>
      </c>
      <c r="E17139" s="41" t="n">
        <v>2605.9597</v>
      </c>
    </row>
    <row r="17140">
      <c r="A17140" s="42">
        <f>_xlfn.XLOOKUP(83161,Trip[shape_id],Trip[shape_id],"Não encontrado")</f>
        <v/>
      </c>
      <c r="B17140" s="43" t="n">
        <v>-23.564809</v>
      </c>
      <c r="C17140" s="43" t="n">
        <v>-46.595976</v>
      </c>
      <c r="D17140" s="43" t="n">
        <v>69</v>
      </c>
      <c r="E17140" s="44" t="n">
        <v>2649.8657</v>
      </c>
    </row>
    <row r="17141">
      <c r="A17141" s="39">
        <f>_xlfn.XLOOKUP(83161,Trip[shape_id],Trip[shape_id],"Não encontrado")</f>
        <v/>
      </c>
      <c r="B17141" s="40" t="n">
        <v>-23.565061</v>
      </c>
      <c r="C17141" s="40" t="n">
        <v>-46.595644</v>
      </c>
      <c r="D17141" s="40" t="n">
        <v>70</v>
      </c>
      <c r="E17141" s="41" t="n">
        <v>2715.2368</v>
      </c>
    </row>
    <row r="17142">
      <c r="A17142" s="42">
        <f>_xlfn.XLOOKUP(83161,Trip[shape_id],Trip[shape_id],"Não encontrado")</f>
        <v/>
      </c>
      <c r="B17142" s="43" t="n">
        <v>-23.565413</v>
      </c>
      <c r="C17142" s="43" t="n">
        <v>-46.59513</v>
      </c>
      <c r="D17142" s="43" t="n">
        <v>71</v>
      </c>
      <c r="E17142" s="44" t="n">
        <v>2715.2368</v>
      </c>
    </row>
    <row r="17143">
      <c r="A17143" s="39">
        <f>_xlfn.XLOOKUP(83161,Trip[shape_id],Trip[shape_id],"Não encontrado")</f>
        <v/>
      </c>
      <c r="B17143" s="40" t="n">
        <v>-23.565459</v>
      </c>
      <c r="C17143" s="40" t="n">
        <v>-46.594957</v>
      </c>
      <c r="D17143" s="40" t="n">
        <v>72</v>
      </c>
      <c r="E17143" s="41" t="n">
        <v>2733.6184</v>
      </c>
    </row>
    <row r="17144">
      <c r="A17144" s="42">
        <f>_xlfn.XLOOKUP(83161,Trip[shape_id],Trip[shape_id],"Não encontrado")</f>
        <v/>
      </c>
      <c r="B17144" s="43" t="n">
        <v>-23.565521</v>
      </c>
      <c r="C17144" s="43" t="n">
        <v>-46.594783</v>
      </c>
      <c r="D17144" s="43" t="n">
        <v>73</v>
      </c>
      <c r="E17144" s="44" t="n">
        <v>2752.6628</v>
      </c>
    </row>
    <row r="17145">
      <c r="A17145" s="39">
        <f>_xlfn.XLOOKUP(83161,Trip[shape_id],Trip[shape_id],"Não encontrado")</f>
        <v/>
      </c>
      <c r="B17145" s="40" t="n">
        <v>-23.565518</v>
      </c>
      <c r="C17145" s="40" t="n">
        <v>-46.594734</v>
      </c>
      <c r="D17145" s="40" t="n">
        <v>74</v>
      </c>
      <c r="E17145" s="41" t="n">
        <v>2757.6758</v>
      </c>
    </row>
    <row r="17146">
      <c r="A17146" s="42">
        <f>_xlfn.XLOOKUP(83161,Trip[shape_id],Trip[shape_id],"Não encontrado")</f>
        <v/>
      </c>
      <c r="B17146" s="43" t="n">
        <v>-23.565566</v>
      </c>
      <c r="C17146" s="43" t="n">
        <v>-46.594708</v>
      </c>
      <c r="D17146" s="43" t="n">
        <v>75</v>
      </c>
      <c r="E17146" s="44" t="n">
        <v>2763.6174</v>
      </c>
    </row>
    <row r="17147">
      <c r="A17147" s="39">
        <f>_xlfn.XLOOKUP(83161,Trip[shape_id],Trip[shape_id],"Não encontrado")</f>
        <v/>
      </c>
      <c r="B17147" s="40" t="n">
        <v>-23.565611</v>
      </c>
      <c r="C17147" s="40" t="n">
        <v>-46.594629</v>
      </c>
      <c r="D17147" s="40" t="n">
        <v>76</v>
      </c>
      <c r="E17147" s="41" t="n">
        <v>2773.0979</v>
      </c>
    </row>
    <row r="17148">
      <c r="A17148" s="42">
        <f>_xlfn.XLOOKUP(83161,Trip[shape_id],Trip[shape_id],"Não encontrado")</f>
        <v/>
      </c>
      <c r="B17148" s="43" t="n">
        <v>-23.565658</v>
      </c>
      <c r="C17148" s="43" t="n">
        <v>-46.594571</v>
      </c>
      <c r="D17148" s="43" t="n">
        <v>77</v>
      </c>
      <c r="E17148" s="44" t="n">
        <v>2780.9817</v>
      </c>
    </row>
    <row r="17149">
      <c r="A17149" s="39">
        <f>_xlfn.XLOOKUP(83161,Trip[shape_id],Trip[shape_id],"Não encontrado")</f>
        <v/>
      </c>
      <c r="B17149" s="40" t="n">
        <v>-23.565756</v>
      </c>
      <c r="C17149" s="40" t="n">
        <v>-46.59443</v>
      </c>
      <c r="D17149" s="40" t="n">
        <v>78</v>
      </c>
      <c r="E17149" s="41" t="n">
        <v>2799.0095</v>
      </c>
    </row>
    <row r="17150">
      <c r="A17150" s="42">
        <f>_xlfn.XLOOKUP(83161,Trip[shape_id],Trip[shape_id],"Não encontrado")</f>
        <v/>
      </c>
      <c r="B17150" s="43" t="n">
        <v>-23.56588</v>
      </c>
      <c r="C17150" s="43" t="n">
        <v>-46.59427</v>
      </c>
      <c r="D17150" s="43" t="n">
        <v>79</v>
      </c>
      <c r="E17150" s="44" t="n">
        <v>2820.3501</v>
      </c>
    </row>
    <row r="17151">
      <c r="A17151" s="39">
        <f>_xlfn.XLOOKUP(83161,Trip[shape_id],Trip[shape_id],"Não encontrado")</f>
        <v/>
      </c>
      <c r="B17151" s="40" t="n">
        <v>-23.566181</v>
      </c>
      <c r="C17151" s="40" t="n">
        <v>-46.593694</v>
      </c>
      <c r="D17151" s="40" t="n">
        <v>80</v>
      </c>
      <c r="E17151" s="41" t="n">
        <v>2935.1394</v>
      </c>
    </row>
    <row r="17152">
      <c r="A17152" s="42">
        <f>_xlfn.XLOOKUP(83161,Trip[shape_id],Trip[shape_id],"Não encontrado")</f>
        <v/>
      </c>
      <c r="B17152" s="43" t="n">
        <v>-23.566393</v>
      </c>
      <c r="C17152" s="43" t="n">
        <v>-46.593293</v>
      </c>
      <c r="D17152" s="43" t="n">
        <v>81</v>
      </c>
      <c r="E17152" s="44" t="n">
        <v>2935.1394</v>
      </c>
    </row>
    <row r="17153">
      <c r="A17153" s="39">
        <f>_xlfn.XLOOKUP(83161,Trip[shape_id],Trip[shape_id],"Não encontrado")</f>
        <v/>
      </c>
      <c r="B17153" s="40" t="n">
        <v>-23.566468</v>
      </c>
      <c r="C17153" s="40" t="n">
        <v>-46.59316</v>
      </c>
      <c r="D17153" s="40" t="n">
        <v>82</v>
      </c>
      <c r="E17153" s="41" t="n">
        <v>2951.0566</v>
      </c>
    </row>
    <row r="17154">
      <c r="A17154" s="42">
        <f>_xlfn.XLOOKUP(83161,Trip[shape_id],Trip[shape_id],"Não encontrado")</f>
        <v/>
      </c>
      <c r="B17154" s="43" t="n">
        <v>-23.567001</v>
      </c>
      <c r="C17154" s="43" t="n">
        <v>-46.592122</v>
      </c>
      <c r="D17154" s="43" t="n">
        <v>83</v>
      </c>
      <c r="E17154" s="44" t="n">
        <v>3191.0151</v>
      </c>
    </row>
    <row r="17155">
      <c r="A17155" s="39">
        <f>_xlfn.XLOOKUP(83161,Trip[shape_id],Trip[shape_id],"Não encontrado")</f>
        <v/>
      </c>
      <c r="B17155" s="40" t="n">
        <v>-23.567536</v>
      </c>
      <c r="C17155" s="40" t="n">
        <v>-46.591115</v>
      </c>
      <c r="D17155" s="40" t="n">
        <v>84</v>
      </c>
      <c r="E17155" s="41" t="n">
        <v>3191.0151</v>
      </c>
    </row>
    <row r="17156">
      <c r="A17156" s="42">
        <f>_xlfn.XLOOKUP(83161,Trip[shape_id],Trip[shape_id],"Não encontrado")</f>
        <v/>
      </c>
      <c r="B17156" s="43" t="n">
        <v>-23.567543</v>
      </c>
      <c r="C17156" s="43" t="n">
        <v>-46.591105</v>
      </c>
      <c r="D17156" s="43" t="n">
        <v>85</v>
      </c>
      <c r="E17156" s="44" t="n">
        <v>3192.2959</v>
      </c>
    </row>
    <row r="17157">
      <c r="A17157" s="39">
        <f>_xlfn.XLOOKUP(83161,Trip[shape_id],Trip[shape_id],"Não encontrado")</f>
        <v/>
      </c>
      <c r="B17157" s="40" t="n">
        <v>-23.567547</v>
      </c>
      <c r="C17157" s="40" t="n">
        <v>-46.591006</v>
      </c>
      <c r="D17157" s="40" t="n">
        <v>86</v>
      </c>
      <c r="E17157" s="41" t="n">
        <v>3202.4124</v>
      </c>
    </row>
    <row r="17158">
      <c r="A17158" s="42">
        <f>_xlfn.XLOOKUP(83161,Trip[shape_id],Trip[shape_id],"Não encontrado")</f>
        <v/>
      </c>
      <c r="B17158" s="43" t="n">
        <v>-23.567618</v>
      </c>
      <c r="C17158" s="43" t="n">
        <v>-46.590798</v>
      </c>
      <c r="D17158" s="43" t="n">
        <v>87</v>
      </c>
      <c r="E17158" s="44" t="n">
        <v>3225.0562</v>
      </c>
    </row>
    <row r="17159">
      <c r="A17159" s="39">
        <f>_xlfn.XLOOKUP(83161,Trip[shape_id],Trip[shape_id],"Não encontrado")</f>
        <v/>
      </c>
      <c r="B17159" s="40" t="n">
        <v>-23.567637</v>
      </c>
      <c r="C17159" s="40" t="n">
        <v>-46.590753</v>
      </c>
      <c r="D17159" s="40" t="n">
        <v>88</v>
      </c>
      <c r="E17159" s="41" t="n">
        <v>3230.1096</v>
      </c>
    </row>
    <row r="17160">
      <c r="A17160" s="42">
        <f>_xlfn.XLOOKUP(83161,Trip[shape_id],Trip[shape_id],"Não encontrado")</f>
        <v/>
      </c>
      <c r="B17160" s="43" t="n">
        <v>-23.567643</v>
      </c>
      <c r="C17160" s="43" t="n">
        <v>-46.590687</v>
      </c>
      <c r="D17160" s="43" t="n">
        <v>89</v>
      </c>
      <c r="E17160" s="44" t="n">
        <v>3236.8809</v>
      </c>
    </row>
    <row r="17161">
      <c r="A17161" s="39">
        <f>_xlfn.XLOOKUP(83161,Trip[shape_id],Trip[shape_id],"Não encontrado")</f>
        <v/>
      </c>
      <c r="B17161" s="40" t="n">
        <v>-23.567651</v>
      </c>
      <c r="C17161" s="40" t="n">
        <v>-46.590674</v>
      </c>
      <c r="D17161" s="40" t="n">
        <v>90</v>
      </c>
      <c r="E17161" s="41" t="n">
        <v>3238.4756</v>
      </c>
    </row>
    <row r="17162">
      <c r="A17162" s="42">
        <f>_xlfn.XLOOKUP(83161,Trip[shape_id],Trip[shape_id],"Não encontrado")</f>
        <v/>
      </c>
      <c r="B17162" s="43" t="n">
        <v>-23.567689</v>
      </c>
      <c r="C17162" s="43" t="n">
        <v>-46.590646</v>
      </c>
      <c r="D17162" s="43" t="n">
        <v>91</v>
      </c>
      <c r="E17162" s="44" t="n">
        <v>3243.5627</v>
      </c>
    </row>
    <row r="17163">
      <c r="A17163" s="39">
        <f>_xlfn.XLOOKUP(83161,Trip[shape_id],Trip[shape_id],"Não encontrado")</f>
        <v/>
      </c>
      <c r="B17163" s="40" t="n">
        <v>-23.56771</v>
      </c>
      <c r="C17163" s="40" t="n">
        <v>-46.590611</v>
      </c>
      <c r="D17163" s="40" t="n">
        <v>92</v>
      </c>
      <c r="E17163" s="41" t="n">
        <v>3247.8264</v>
      </c>
    </row>
    <row r="17164">
      <c r="A17164" s="42">
        <f>_xlfn.XLOOKUP(83161,Trip[shape_id],Trip[shape_id],"Não encontrado")</f>
        <v/>
      </c>
      <c r="B17164" s="43" t="n">
        <v>-23.567738</v>
      </c>
      <c r="C17164" s="43" t="n">
        <v>-46.590562</v>
      </c>
      <c r="D17164" s="43" t="n">
        <v>93</v>
      </c>
      <c r="E17164" s="44" t="n">
        <v>3253.7114</v>
      </c>
    </row>
    <row r="17165">
      <c r="A17165" s="39">
        <f>_xlfn.XLOOKUP(83161,Trip[shape_id],Trip[shape_id],"Não encontrado")</f>
        <v/>
      </c>
      <c r="B17165" s="40" t="n">
        <v>-23.567874</v>
      </c>
      <c r="C17165" s="40" t="n">
        <v>-46.590373</v>
      </c>
      <c r="D17165" s="40" t="n">
        <v>94</v>
      </c>
      <c r="E17165" s="41" t="n">
        <v>3278.189</v>
      </c>
    </row>
    <row r="17166">
      <c r="A17166" s="42">
        <f>_xlfn.XLOOKUP(83161,Trip[shape_id],Trip[shape_id],"Não encontrado")</f>
        <v/>
      </c>
      <c r="B17166" s="43" t="n">
        <v>-23.568032</v>
      </c>
      <c r="C17166" s="43" t="n">
        <v>-46.590149</v>
      </c>
      <c r="D17166" s="43" t="n">
        <v>95</v>
      </c>
      <c r="E17166" s="44" t="n">
        <v>3306.9839</v>
      </c>
    </row>
    <row r="17167">
      <c r="A17167" s="39">
        <f>_xlfn.XLOOKUP(83161,Trip[shape_id],Trip[shape_id],"Não encontrado")</f>
        <v/>
      </c>
      <c r="B17167" s="40" t="n">
        <v>-23.568508</v>
      </c>
      <c r="C17167" s="40" t="n">
        <v>-46.589206</v>
      </c>
      <c r="D17167" s="40" t="n">
        <v>96</v>
      </c>
      <c r="E17167" s="41" t="n">
        <v>3416.7424</v>
      </c>
    </row>
    <row r="17168">
      <c r="A17168" s="42">
        <f>_xlfn.XLOOKUP(83161,Trip[shape_id],Trip[shape_id],"Não encontrado")</f>
        <v/>
      </c>
      <c r="B17168" s="43" t="n">
        <v>-23.568735</v>
      </c>
      <c r="C17168" s="43" t="n">
        <v>-46.58878</v>
      </c>
      <c r="D17168" s="43" t="n">
        <v>97</v>
      </c>
      <c r="E17168" s="44" t="n">
        <v>3483.0361</v>
      </c>
    </row>
    <row r="17169">
      <c r="A17169" s="39">
        <f>_xlfn.XLOOKUP(83161,Trip[shape_id],Trip[shape_id],"Não encontrado")</f>
        <v/>
      </c>
      <c r="B17169" s="40" t="n">
        <v>-23.568818</v>
      </c>
      <c r="C17169" s="40" t="n">
        <v>-46.588651</v>
      </c>
      <c r="D17169" s="40" t="n">
        <v>98</v>
      </c>
      <c r="E17169" s="41" t="n">
        <v>3503.3167</v>
      </c>
    </row>
    <row r="17170">
      <c r="A17170" s="42">
        <f>_xlfn.XLOOKUP(83161,Trip[shape_id],Trip[shape_id],"Não encontrado")</f>
        <v/>
      </c>
      <c r="B17170" s="43" t="n">
        <v>-23.568929</v>
      </c>
      <c r="C17170" s="43" t="n">
        <v>-46.588493</v>
      </c>
      <c r="D17170" s="43" t="n">
        <v>99</v>
      </c>
      <c r="E17170" s="44" t="n">
        <v>3521.792</v>
      </c>
    </row>
    <row r="17171">
      <c r="A17171" s="39">
        <f>_xlfn.XLOOKUP(83161,Trip[shape_id],Trip[shape_id],"Não encontrado")</f>
        <v/>
      </c>
      <c r="B17171" s="40" t="n">
        <v>-23.569038</v>
      </c>
      <c r="C17171" s="40" t="n">
        <v>-46.588356</v>
      </c>
      <c r="D17171" s="40" t="n">
        <v>100</v>
      </c>
      <c r="E17171" s="41" t="n">
        <v>3536.5234</v>
      </c>
    </row>
    <row r="17172">
      <c r="A17172" s="42">
        <f>_xlfn.XLOOKUP(83161,Trip[shape_id],Trip[shape_id],"Não encontrado")</f>
        <v/>
      </c>
      <c r="B17172" s="43" t="n">
        <v>-23.569133</v>
      </c>
      <c r="C17172" s="43" t="n">
        <v>-46.588255</v>
      </c>
      <c r="D17172" s="43" t="n">
        <v>101</v>
      </c>
      <c r="E17172" s="44" t="n">
        <v>3560.3201</v>
      </c>
    </row>
    <row r="17173">
      <c r="A17173" s="39">
        <f>_xlfn.XLOOKUP(83161,Trip[shape_id],Trip[shape_id],"Não encontrado")</f>
        <v/>
      </c>
      <c r="B17173" s="40" t="n">
        <v>-23.569299</v>
      </c>
      <c r="C17173" s="40" t="n">
        <v>-46.588107</v>
      </c>
      <c r="D17173" s="40" t="n">
        <v>102</v>
      </c>
      <c r="E17173" s="41" t="n">
        <v>3568.6375</v>
      </c>
    </row>
    <row r="17174">
      <c r="A17174" s="42">
        <f>_xlfn.XLOOKUP(83161,Trip[shape_id],Trip[shape_id],"Não encontrado")</f>
        <v/>
      </c>
      <c r="B17174" s="43" t="n">
        <v>-23.569359</v>
      </c>
      <c r="C17174" s="43" t="n">
        <v>-46.588058</v>
      </c>
      <c r="D17174" s="43" t="n">
        <v>103</v>
      </c>
      <c r="E17174" s="44" t="n">
        <v>3585.2754</v>
      </c>
    </row>
    <row r="17175">
      <c r="A17175" s="39">
        <f>_xlfn.XLOOKUP(83161,Trip[shape_id],Trip[shape_id],"Não encontrado")</f>
        <v/>
      </c>
      <c r="B17175" s="40" t="n">
        <v>-23.569483</v>
      </c>
      <c r="C17175" s="40" t="n">
        <v>-46.587966</v>
      </c>
      <c r="D17175" s="40" t="n">
        <v>104</v>
      </c>
      <c r="E17175" s="41" t="n">
        <v>3606.1672</v>
      </c>
    </row>
    <row r="17176">
      <c r="A17176" s="42">
        <f>_xlfn.XLOOKUP(83161,Trip[shape_id],Trip[shape_id],"Não encontrado")</f>
        <v/>
      </c>
      <c r="B17176" s="43" t="n">
        <v>-23.569646</v>
      </c>
      <c r="C17176" s="43" t="n">
        <v>-46.587863</v>
      </c>
      <c r="D17176" s="43" t="n">
        <v>105</v>
      </c>
      <c r="E17176" s="44" t="n">
        <v>3612.7878</v>
      </c>
    </row>
    <row r="17177">
      <c r="A17177" s="39">
        <f>_xlfn.XLOOKUP(83161,Trip[shape_id],Trip[shape_id],"Não encontrado")</f>
        <v/>
      </c>
      <c r="B17177" s="40" t="n">
        <v>-23.569699</v>
      </c>
      <c r="C17177" s="40" t="n">
        <v>-46.587833</v>
      </c>
      <c r="D17177" s="40" t="n">
        <v>106</v>
      </c>
      <c r="E17177" s="41" t="n">
        <v>3612.7878</v>
      </c>
    </row>
    <row r="17178">
      <c r="A17178" s="42">
        <f>_xlfn.XLOOKUP(83161,Trip[shape_id],Trip[shape_id],"Não encontrado")</f>
        <v/>
      </c>
      <c r="B17178" s="43" t="n">
        <v>-23.569809</v>
      </c>
      <c r="C17178" s="43" t="n">
        <v>-46.587754</v>
      </c>
      <c r="D17178" s="43" t="n">
        <v>107</v>
      </c>
      <c r="E17178" s="44" t="n">
        <v>3627.3979</v>
      </c>
    </row>
    <row r="17179">
      <c r="A17179" s="39">
        <f>_xlfn.XLOOKUP(83161,Trip[shape_id],Trip[shape_id],"Não encontrado")</f>
        <v/>
      </c>
      <c r="B17179" s="40" t="n">
        <v>-23.569899</v>
      </c>
      <c r="C17179" s="40" t="n">
        <v>-46.587689</v>
      </c>
      <c r="D17179" s="40" t="n">
        <v>108</v>
      </c>
      <c r="E17179" s="41" t="n">
        <v>3639.3723</v>
      </c>
    </row>
    <row r="17180">
      <c r="A17180" s="42">
        <f>_xlfn.XLOOKUP(83161,Trip[shape_id],Trip[shape_id],"Não encontrado")</f>
        <v/>
      </c>
      <c r="B17180" s="43" t="n">
        <v>-23.569956</v>
      </c>
      <c r="C17180" s="43" t="n">
        <v>-46.587653</v>
      </c>
      <c r="D17180" s="43" t="n">
        <v>109</v>
      </c>
      <c r="E17180" s="44" t="n">
        <v>3646.677</v>
      </c>
    </row>
    <row r="17181">
      <c r="A17181" s="39">
        <f>_xlfn.XLOOKUP(83161,Trip[shape_id],Trip[shape_id],"Não encontrado")</f>
        <v/>
      </c>
      <c r="B17181" s="40" t="n">
        <v>-23.570062</v>
      </c>
      <c r="C17181" s="40" t="n">
        <v>-46.587575</v>
      </c>
      <c r="D17181" s="40" t="n">
        <v>110</v>
      </c>
      <c r="E17181" s="41" t="n">
        <v>3660.8625</v>
      </c>
    </row>
    <row r="17182">
      <c r="A17182" s="42">
        <f>_xlfn.XLOOKUP(83161,Trip[shape_id],Trip[shape_id],"Não encontrado")</f>
        <v/>
      </c>
      <c r="B17182" s="43" t="n">
        <v>-23.570115</v>
      </c>
      <c r="C17182" s="43" t="n">
        <v>-46.58756</v>
      </c>
      <c r="D17182" s="43" t="n">
        <v>111</v>
      </c>
      <c r="E17182" s="44" t="n">
        <v>3666.9292</v>
      </c>
    </row>
    <row r="17183">
      <c r="A17183" s="39">
        <f>_xlfn.XLOOKUP(83161,Trip[shape_id],Trip[shape_id],"Não encontrado")</f>
        <v/>
      </c>
      <c r="B17183" s="40" t="n">
        <v>-23.570214</v>
      </c>
      <c r="C17183" s="40" t="n">
        <v>-46.587557</v>
      </c>
      <c r="D17183" s="40" t="n">
        <v>112</v>
      </c>
      <c r="E17183" s="41" t="n">
        <v>3677.8977</v>
      </c>
    </row>
    <row r="17184">
      <c r="A17184" s="42">
        <f>_xlfn.XLOOKUP(83161,Trip[shape_id],Trip[shape_id],"Não encontrado")</f>
        <v/>
      </c>
      <c r="B17184" s="43" t="n">
        <v>-23.570263</v>
      </c>
      <c r="C17184" s="43" t="n">
        <v>-46.587556</v>
      </c>
      <c r="D17184" s="43" t="n">
        <v>113</v>
      </c>
      <c r="E17184" s="44" t="n">
        <v>3683.3254</v>
      </c>
    </row>
    <row r="17185">
      <c r="A17185" s="39">
        <f>_xlfn.XLOOKUP(83161,Trip[shape_id],Trip[shape_id],"Não encontrado")</f>
        <v/>
      </c>
      <c r="B17185" s="40" t="n">
        <v>-23.570327</v>
      </c>
      <c r="C17185" s="40" t="n">
        <v>-46.587571</v>
      </c>
      <c r="D17185" s="40" t="n">
        <v>114</v>
      </c>
      <c r="E17185" s="41" t="n">
        <v>3690.5776</v>
      </c>
    </row>
    <row r="17186">
      <c r="A17186" s="42">
        <f>_xlfn.XLOOKUP(83161,Trip[shape_id],Trip[shape_id],"Não encontrado")</f>
        <v/>
      </c>
      <c r="B17186" s="43" t="n">
        <v>-23.570448</v>
      </c>
      <c r="C17186" s="43" t="n">
        <v>-46.587586</v>
      </c>
      <c r="D17186" s="43" t="n">
        <v>115</v>
      </c>
      <c r="E17186" s="44" t="n">
        <v>3704.0659</v>
      </c>
    </row>
    <row r="17187">
      <c r="A17187" s="39">
        <f>_xlfn.XLOOKUP(83161,Trip[shape_id],Trip[shape_id],"Não encontrado")</f>
        <v/>
      </c>
      <c r="B17187" s="40" t="n">
        <v>-23.570555</v>
      </c>
      <c r="C17187" s="40" t="n">
        <v>-46.587571</v>
      </c>
      <c r="D17187" s="40" t="n">
        <v>116</v>
      </c>
      <c r="E17187" s="41" t="n">
        <v>3716.0146</v>
      </c>
    </row>
    <row r="17188">
      <c r="A17188" s="42">
        <f>_xlfn.XLOOKUP(83161,Trip[shape_id],Trip[shape_id],"Não encontrado")</f>
        <v/>
      </c>
      <c r="B17188" s="43" t="n">
        <v>-23.570663</v>
      </c>
      <c r="C17188" s="43" t="n">
        <v>-46.587555</v>
      </c>
      <c r="D17188" s="43" t="n">
        <v>117</v>
      </c>
      <c r="E17188" s="44" t="n">
        <v>3745.4824</v>
      </c>
    </row>
    <row r="17189">
      <c r="A17189" s="39">
        <f>_xlfn.XLOOKUP(83161,Trip[shape_id],Trip[shape_id],"Não encontrado")</f>
        <v/>
      </c>
      <c r="B17189" s="40" t="n">
        <v>-23.57082</v>
      </c>
      <c r="C17189" s="40" t="n">
        <v>-46.58755</v>
      </c>
      <c r="D17189" s="40" t="n">
        <v>118</v>
      </c>
      <c r="E17189" s="41" t="n">
        <v>3789.1265</v>
      </c>
    </row>
    <row r="17190">
      <c r="A17190" s="42">
        <f>_xlfn.XLOOKUP(83161,Trip[shape_id],Trip[shape_id],"Não encontrado")</f>
        <v/>
      </c>
      <c r="B17190" s="43" t="n">
        <v>-23.571214</v>
      </c>
      <c r="C17190" s="43" t="n">
        <v>-46.587558</v>
      </c>
      <c r="D17190" s="43" t="n">
        <v>119</v>
      </c>
      <c r="E17190" s="44" t="n">
        <v>3860.2874</v>
      </c>
    </row>
    <row r="17191">
      <c r="A17191" s="39">
        <f>_xlfn.XLOOKUP(83161,Trip[shape_id],Trip[shape_id],"Não encontrado")</f>
        <v/>
      </c>
      <c r="B17191" s="40" t="n">
        <v>-23.571855</v>
      </c>
      <c r="C17191" s="40" t="n">
        <v>-46.587606</v>
      </c>
      <c r="D17191" s="40" t="n">
        <v>120</v>
      </c>
      <c r="E17191" s="41" t="n">
        <v>3885.8784</v>
      </c>
    </row>
    <row r="17192">
      <c r="A17192" s="42">
        <f>_xlfn.XLOOKUP(83161,Trip[shape_id],Trip[shape_id],"Não encontrado")</f>
        <v/>
      </c>
      <c r="B17192" s="43" t="n">
        <v>-23.572086</v>
      </c>
      <c r="C17192" s="43" t="n">
        <v>-46.587612</v>
      </c>
      <c r="D17192" s="43" t="n">
        <v>121</v>
      </c>
      <c r="E17192" s="44" t="n">
        <v>3938.7039</v>
      </c>
    </row>
    <row r="17193">
      <c r="A17193" s="39">
        <f>_xlfn.XLOOKUP(83161,Trip[shape_id],Trip[shape_id],"Não encontrado")</f>
        <v/>
      </c>
      <c r="B17193" s="40" t="n">
        <v>-23.572562</v>
      </c>
      <c r="C17193" s="40" t="n">
        <v>-46.587645</v>
      </c>
      <c r="D17193" s="40" t="n">
        <v>122</v>
      </c>
      <c r="E17193" s="41" t="n">
        <v>3954.3201</v>
      </c>
    </row>
    <row r="17194">
      <c r="A17194" s="42">
        <f>_xlfn.XLOOKUP(83161,Trip[shape_id],Trip[shape_id],"Não encontrado")</f>
        <v/>
      </c>
      <c r="B17194" s="43" t="n">
        <v>-23.572703</v>
      </c>
      <c r="C17194" s="43" t="n">
        <v>-46.587645</v>
      </c>
      <c r="D17194" s="43" t="n">
        <v>123</v>
      </c>
      <c r="E17194" s="44" t="n">
        <v>3975.1719</v>
      </c>
    </row>
    <row r="17195">
      <c r="A17195" s="39">
        <f>_xlfn.XLOOKUP(83161,Trip[shape_id],Trip[shape_id],"Não encontrado")</f>
        <v/>
      </c>
      <c r="B17195" s="40" t="n">
        <v>-23.572891</v>
      </c>
      <c r="C17195" s="40" t="n">
        <v>-46.587656</v>
      </c>
      <c r="D17195" s="40" t="n">
        <v>124</v>
      </c>
      <c r="E17195" s="41" t="n">
        <v>3987.1335</v>
      </c>
    </row>
    <row r="17196">
      <c r="A17196" s="42">
        <f>_xlfn.XLOOKUP(83161,Trip[shape_id],Trip[shape_id],"Não encontrado")</f>
        <v/>
      </c>
      <c r="B17196" s="43" t="n">
        <v>-23.572999</v>
      </c>
      <c r="C17196" s="43" t="n">
        <v>-46.587655</v>
      </c>
      <c r="D17196" s="43" t="n">
        <v>125</v>
      </c>
      <c r="E17196" s="44" t="n">
        <v>3987.1335</v>
      </c>
    </row>
    <row r="17197">
      <c r="A17197" s="39">
        <f>_xlfn.XLOOKUP(83161,Trip[shape_id],Trip[shape_id],"Não encontrado")</f>
        <v/>
      </c>
      <c r="B17197" s="40" t="n">
        <v>-23.573107</v>
      </c>
      <c r="C17197" s="40" t="n">
        <v>-46.587606</v>
      </c>
      <c r="D17197" s="40" t="n">
        <v>126</v>
      </c>
      <c r="E17197" s="41" t="n">
        <v>4000.0984</v>
      </c>
    </row>
    <row r="17198">
      <c r="A17198" s="42">
        <f>_xlfn.XLOOKUP(83161,Trip[shape_id],Trip[shape_id],"Não encontrado")</f>
        <v/>
      </c>
      <c r="B17198" s="43" t="n">
        <v>-23.573193</v>
      </c>
      <c r="C17198" s="43" t="n">
        <v>-46.58757</v>
      </c>
      <c r="D17198" s="43" t="n">
        <v>127</v>
      </c>
      <c r="E17198" s="44" t="n">
        <v>4010.3079</v>
      </c>
    </row>
    <row r="17199">
      <c r="A17199" s="39">
        <f>_xlfn.XLOOKUP(83161,Trip[shape_id],Trip[shape_id],"Não encontrado")</f>
        <v/>
      </c>
      <c r="B17199" s="40" t="n">
        <v>-23.573274</v>
      </c>
      <c r="C17199" s="40" t="n">
        <v>-46.587547</v>
      </c>
      <c r="D17199" s="40" t="n">
        <v>128</v>
      </c>
      <c r="E17199" s="41" t="n">
        <v>4019.5808</v>
      </c>
    </row>
    <row r="17200">
      <c r="A17200" s="42">
        <f>_xlfn.XLOOKUP(83161,Trip[shape_id],Trip[shape_id],"Não encontrado")</f>
        <v/>
      </c>
      <c r="B17200" s="43" t="n">
        <v>-23.57335</v>
      </c>
      <c r="C17200" s="43" t="n">
        <v>-46.587539</v>
      </c>
      <c r="D17200" s="43" t="n">
        <v>129</v>
      </c>
      <c r="E17200" s="44" t="n">
        <v>4028.0376</v>
      </c>
    </row>
    <row r="17201">
      <c r="A17201" s="39">
        <f>_xlfn.XLOOKUP(83161,Trip[shape_id],Trip[shape_id],"Não encontrado")</f>
        <v/>
      </c>
      <c r="B17201" s="40" t="n">
        <v>-23.573405</v>
      </c>
      <c r="C17201" s="40" t="n">
        <v>-46.587483</v>
      </c>
      <c r="D17201" s="40" t="n">
        <v>130</v>
      </c>
      <c r="E17201" s="41" t="n">
        <v>4036.3909</v>
      </c>
    </row>
    <row r="17202">
      <c r="A17202" s="42">
        <f>_xlfn.XLOOKUP(83161,Trip[shape_id],Trip[shape_id],"Não encontrado")</f>
        <v/>
      </c>
      <c r="B17202" s="43" t="n">
        <v>-23.573452</v>
      </c>
      <c r="C17202" s="43" t="n">
        <v>-46.587522</v>
      </c>
      <c r="D17202" s="43" t="n">
        <v>131</v>
      </c>
      <c r="E17202" s="44" t="n">
        <v>4042.9446</v>
      </c>
    </row>
    <row r="17203">
      <c r="A17203" s="39">
        <f>_xlfn.XLOOKUP(83161,Trip[shape_id],Trip[shape_id],"Não encontrado")</f>
        <v/>
      </c>
      <c r="B17203" s="40" t="n">
        <v>-23.573541</v>
      </c>
      <c r="C17203" s="40" t="n">
        <v>-46.587518</v>
      </c>
      <c r="D17203" s="40" t="n">
        <v>132</v>
      </c>
      <c r="E17203" s="41" t="n">
        <v>4052.8103</v>
      </c>
    </row>
    <row r="17204">
      <c r="A17204" s="42">
        <f>_xlfn.XLOOKUP(83161,Trip[shape_id],Trip[shape_id],"Não encontrado")</f>
        <v/>
      </c>
      <c r="B17204" s="43" t="n">
        <v>-23.57362</v>
      </c>
      <c r="C17204" s="43" t="n">
        <v>-46.587522</v>
      </c>
      <c r="D17204" s="43" t="n">
        <v>133</v>
      </c>
      <c r="E17204" s="44" t="n">
        <v>4061.5696</v>
      </c>
    </row>
    <row r="17205">
      <c r="A17205" s="39">
        <f>_xlfn.XLOOKUP(83161,Trip[shape_id],Trip[shape_id],"Não encontrado")</f>
        <v/>
      </c>
      <c r="B17205" s="40" t="n">
        <v>-23.57381</v>
      </c>
      <c r="C17205" s="40" t="n">
        <v>-46.587573</v>
      </c>
      <c r="D17205" s="40" t="n">
        <v>134</v>
      </c>
      <c r="E17205" s="41" t="n">
        <v>4083.2471</v>
      </c>
    </row>
    <row r="17206">
      <c r="A17206" s="42">
        <f>_xlfn.XLOOKUP(83161,Trip[shape_id],Trip[shape_id],"Não encontrado")</f>
        <v/>
      </c>
      <c r="B17206" s="43" t="n">
        <v>-23.573873</v>
      </c>
      <c r="C17206" s="43" t="n">
        <v>-46.587562</v>
      </c>
      <c r="D17206" s="43" t="n">
        <v>135</v>
      </c>
      <c r="E17206" s="44" t="n">
        <v>4090.3145</v>
      </c>
    </row>
    <row r="17207">
      <c r="A17207" s="39">
        <f>_xlfn.XLOOKUP(83161,Trip[shape_id],Trip[shape_id],"Não encontrado")</f>
        <v/>
      </c>
      <c r="B17207" s="40" t="n">
        <v>-23.574042</v>
      </c>
      <c r="C17207" s="40" t="n">
        <v>-46.587537</v>
      </c>
      <c r="D17207" s="40" t="n">
        <v>136</v>
      </c>
      <c r="E17207" s="41" t="n">
        <v>4109.2046</v>
      </c>
    </row>
    <row r="17208">
      <c r="A17208" s="42">
        <f>_xlfn.XLOOKUP(83161,Trip[shape_id],Trip[shape_id],"Não encontrado")</f>
        <v/>
      </c>
      <c r="B17208" s="43" t="n">
        <v>-23.574068</v>
      </c>
      <c r="C17208" s="43" t="n">
        <v>-46.587533</v>
      </c>
      <c r="D17208" s="43" t="n">
        <v>137</v>
      </c>
      <c r="E17208" s="44" t="n">
        <v>4184.416</v>
      </c>
    </row>
    <row r="17209">
      <c r="A17209" s="39">
        <f>_xlfn.XLOOKUP(83161,Trip[shape_id],Trip[shape_id],"Não encontrado")</f>
        <v/>
      </c>
      <c r="B17209" s="40" t="n">
        <v>-23.574716</v>
      </c>
      <c r="C17209" s="40" t="n">
        <v>-46.587447</v>
      </c>
      <c r="D17209" s="40" t="n">
        <v>138</v>
      </c>
      <c r="E17209" s="41" t="n">
        <v>4235.5728</v>
      </c>
    </row>
    <row r="17210">
      <c r="A17210" s="42">
        <f>_xlfn.XLOOKUP(83161,Trip[shape_id],Trip[shape_id],"Não encontrado")</f>
        <v/>
      </c>
      <c r="B17210" s="43" t="n">
        <v>-23.575174</v>
      </c>
      <c r="C17210" s="43" t="n">
        <v>-46.587382</v>
      </c>
      <c r="D17210" s="43" t="n">
        <v>139</v>
      </c>
      <c r="E17210" s="44" t="n">
        <v>4235.5728</v>
      </c>
    </row>
    <row r="17211">
      <c r="A17211" s="39">
        <f>_xlfn.XLOOKUP(83161,Trip[shape_id],Trip[shape_id],"Não encontrado")</f>
        <v/>
      </c>
      <c r="B17211" s="40" t="n">
        <v>-23.57595</v>
      </c>
      <c r="C17211" s="40" t="n">
        <v>-46.587311</v>
      </c>
      <c r="D17211" s="40" t="n">
        <v>140</v>
      </c>
      <c r="E17211" s="41" t="n">
        <v>4330.71</v>
      </c>
    </row>
    <row r="17212">
      <c r="A17212" s="42">
        <f>_xlfn.XLOOKUP(83161,Trip[shape_id],Trip[shape_id],"Não encontrado")</f>
        <v/>
      </c>
      <c r="B17212" s="43" t="n">
        <v>-23.57603</v>
      </c>
      <c r="C17212" s="43" t="n">
        <v>-46.587304</v>
      </c>
      <c r="D17212" s="43" t="n">
        <v>141</v>
      </c>
      <c r="E17212" s="44" t="n">
        <v>4330.71</v>
      </c>
    </row>
    <row r="17213">
      <c r="A17213" s="39">
        <f>_xlfn.XLOOKUP(83161,Trip[shape_id],Trip[shape_id],"Não encontrado")</f>
        <v/>
      </c>
      <c r="B17213" s="40" t="n">
        <v>-23.576148</v>
      </c>
      <c r="C17213" s="40" t="n">
        <v>-46.587287</v>
      </c>
      <c r="D17213" s="40" t="n">
        <v>142</v>
      </c>
      <c r="E17213" s="41" t="n">
        <v>4343.8936</v>
      </c>
    </row>
    <row r="17214">
      <c r="A17214" s="42">
        <f>_xlfn.XLOOKUP(83161,Trip[shape_id],Trip[shape_id],"Não encontrado")</f>
        <v/>
      </c>
      <c r="B17214" s="43" t="n">
        <v>-23.577189</v>
      </c>
      <c r="C17214" s="43" t="n">
        <v>-46.587153</v>
      </c>
      <c r="D17214" s="43" t="n">
        <v>143</v>
      </c>
      <c r="E17214" s="44" t="n">
        <v>4491.3096</v>
      </c>
    </row>
    <row r="17215">
      <c r="A17215" s="39">
        <f>_xlfn.XLOOKUP(83161,Trip[shape_id],Trip[shape_id],"Não encontrado")</f>
        <v/>
      </c>
      <c r="B17215" s="40" t="n">
        <v>-23.57747</v>
      </c>
      <c r="C17215" s="40" t="n">
        <v>-46.587119</v>
      </c>
      <c r="D17215" s="40" t="n">
        <v>144</v>
      </c>
      <c r="E17215" s="41" t="n">
        <v>4518.104</v>
      </c>
    </row>
    <row r="17216">
      <c r="A17216" s="42">
        <f>_xlfn.XLOOKUP(83161,Trip[shape_id],Trip[shape_id],"Não encontrado")</f>
        <v/>
      </c>
      <c r="B17216" s="43" t="n">
        <v>-23.577711</v>
      </c>
      <c r="C17216" s="43" t="n">
        <v>-46.587096</v>
      </c>
      <c r="D17216" s="43" t="n">
        <v>145</v>
      </c>
      <c r="E17216" s="44" t="n">
        <v>4518.104</v>
      </c>
    </row>
    <row r="17217">
      <c r="A17217" s="39">
        <f>_xlfn.XLOOKUP(83161,Trip[shape_id],Trip[shape_id],"Não encontrado")</f>
        <v/>
      </c>
      <c r="B17217" s="40" t="n">
        <v>-23.578101</v>
      </c>
      <c r="C17217" s="40" t="n">
        <v>-46.587075</v>
      </c>
      <c r="D17217" s="40" t="n">
        <v>146</v>
      </c>
      <c r="E17217" s="41" t="n">
        <v>4584.1372</v>
      </c>
    </row>
    <row r="17218">
      <c r="A17218" s="42">
        <f>_xlfn.XLOOKUP(83161,Trip[shape_id],Trip[shape_id],"Não encontrado")</f>
        <v/>
      </c>
      <c r="B17218" s="43" t="n">
        <v>-23.578306</v>
      </c>
      <c r="C17218" s="43" t="n">
        <v>-46.587056</v>
      </c>
      <c r="D17218" s="43" t="n">
        <v>147</v>
      </c>
      <c r="E17218" s="44" t="n">
        <v>4584.1372</v>
      </c>
    </row>
    <row r="17219">
      <c r="A17219" s="39">
        <f>_xlfn.XLOOKUP(83161,Trip[shape_id],Trip[shape_id],"Não encontrado")</f>
        <v/>
      </c>
      <c r="B17219" s="40" t="n">
        <v>-23.578527</v>
      </c>
      <c r="C17219" s="40" t="n">
        <v>-46.587032</v>
      </c>
      <c r="D17219" s="40" t="n">
        <v>148</v>
      </c>
      <c r="E17219" s="41" t="n">
        <v>4608.7358</v>
      </c>
    </row>
    <row r="17220">
      <c r="A17220" s="42">
        <f>_xlfn.XLOOKUP(83161,Trip[shape_id],Trip[shape_id],"Não encontrado")</f>
        <v/>
      </c>
      <c r="B17220" s="43" t="n">
        <v>-23.578682</v>
      </c>
      <c r="C17220" s="43" t="n">
        <v>-46.58702</v>
      </c>
      <c r="D17220" s="43" t="n">
        <v>149</v>
      </c>
      <c r="E17220" s="44" t="n">
        <v>4675.5186</v>
      </c>
    </row>
    <row r="17221">
      <c r="A17221" s="39">
        <f>_xlfn.XLOOKUP(83161,Trip[shape_id],Trip[shape_id],"Não encontrado")</f>
        <v/>
      </c>
      <c r="B17221" s="40" t="n">
        <v>-23.579129</v>
      </c>
      <c r="C17221" s="40" t="n">
        <v>-46.586995</v>
      </c>
      <c r="D17221" s="40" t="n">
        <v>150</v>
      </c>
      <c r="E17221" s="41" t="n">
        <v>4675.5186</v>
      </c>
    </row>
    <row r="17222">
      <c r="A17222" s="42">
        <f>_xlfn.XLOOKUP(83161,Trip[shape_id],Trip[shape_id],"Não encontrado")</f>
        <v/>
      </c>
      <c r="B17222" s="43" t="n">
        <v>-23.579544</v>
      </c>
      <c r="C17222" s="43" t="n">
        <v>-46.586942</v>
      </c>
      <c r="D17222" s="43" t="n">
        <v>151</v>
      </c>
      <c r="E17222" s="44" t="n">
        <v>4721.7979</v>
      </c>
    </row>
    <row r="17223">
      <c r="A17223" s="39">
        <f>_xlfn.XLOOKUP(83161,Trip[shape_id],Trip[shape_id],"Não encontrado")</f>
        <v/>
      </c>
      <c r="B17223" s="40" t="n">
        <v>-23.579593</v>
      </c>
      <c r="C17223" s="40" t="n">
        <v>-46.586935</v>
      </c>
      <c r="D17223" s="40" t="n">
        <v>152</v>
      </c>
      <c r="E17223" s="41" t="n">
        <v>4727.272</v>
      </c>
    </row>
    <row r="17224">
      <c r="A17224" s="42">
        <f>_xlfn.XLOOKUP(83161,Trip[shape_id],Trip[shape_id],"Não encontrado")</f>
        <v/>
      </c>
      <c r="B17224" s="43" t="n">
        <v>-23.579689</v>
      </c>
      <c r="C17224" s="43" t="n">
        <v>-46.586892</v>
      </c>
      <c r="D17224" s="43" t="n">
        <v>153</v>
      </c>
      <c r="E17224" s="44" t="n">
        <v>4738.7744</v>
      </c>
    </row>
    <row r="17225">
      <c r="A17225" s="39">
        <f>_xlfn.XLOOKUP(83161,Trip[shape_id],Trip[shape_id],"Não encontrado")</f>
        <v/>
      </c>
      <c r="B17225" s="40" t="n">
        <v>-23.579771</v>
      </c>
      <c r="C17225" s="40" t="n">
        <v>-46.586863</v>
      </c>
      <c r="D17225" s="40" t="n">
        <v>154</v>
      </c>
      <c r="E17225" s="41" t="n">
        <v>4748.3262</v>
      </c>
    </row>
    <row r="17226">
      <c r="A17226" s="42">
        <f>_xlfn.XLOOKUP(83161,Trip[shape_id],Trip[shape_id],"Não encontrado")</f>
        <v/>
      </c>
      <c r="B17226" s="43" t="n">
        <v>-23.579841</v>
      </c>
      <c r="C17226" s="43" t="n">
        <v>-46.586847</v>
      </c>
      <c r="D17226" s="43" t="n">
        <v>155</v>
      </c>
      <c r="E17226" s="44" t="n">
        <v>4756.2485</v>
      </c>
    </row>
    <row r="17227">
      <c r="A17227" s="39">
        <f>_xlfn.XLOOKUP(83161,Trip[shape_id],Trip[shape_id],"Não encontrado")</f>
        <v/>
      </c>
      <c r="B17227" s="40" t="n">
        <v>-23.579913</v>
      </c>
      <c r="C17227" s="40" t="n">
        <v>-46.586832</v>
      </c>
      <c r="D17227" s="40" t="n">
        <v>156</v>
      </c>
      <c r="E17227" s="41" t="n">
        <v>4764.3677</v>
      </c>
    </row>
    <row r="17228">
      <c r="A17228" s="42">
        <f>_xlfn.XLOOKUP(83161,Trip[shape_id],Trip[shape_id],"Não encontrado")</f>
        <v/>
      </c>
      <c r="B17228" s="43" t="n">
        <v>-23.579976</v>
      </c>
      <c r="C17228" s="43" t="n">
        <v>-46.586825</v>
      </c>
      <c r="D17228" s="43" t="n">
        <v>157</v>
      </c>
      <c r="E17228" s="44" t="n">
        <v>4771.3813</v>
      </c>
    </row>
    <row r="17229">
      <c r="A17229" s="39">
        <f>_xlfn.XLOOKUP(83161,Trip[shape_id],Trip[shape_id],"Não encontrado")</f>
        <v/>
      </c>
      <c r="B17229" s="40" t="n">
        <v>-23.580044</v>
      </c>
      <c r="C17229" s="40" t="n">
        <v>-46.586815</v>
      </c>
      <c r="D17229" s="40" t="n">
        <v>158</v>
      </c>
      <c r="E17229" s="41" t="n">
        <v>4778.9814</v>
      </c>
    </row>
    <row r="17230">
      <c r="A17230" s="42">
        <f>_xlfn.XLOOKUP(83161,Trip[shape_id],Trip[shape_id],"Não encontrado")</f>
        <v/>
      </c>
      <c r="B17230" s="43" t="n">
        <v>-23.580132</v>
      </c>
      <c r="C17230" s="43" t="n">
        <v>-46.586815</v>
      </c>
      <c r="D17230" s="43" t="n">
        <v>159</v>
      </c>
      <c r="E17230" s="44" t="n">
        <v>4788.728</v>
      </c>
    </row>
    <row r="17231">
      <c r="A17231" s="39">
        <f>_xlfn.XLOOKUP(83161,Trip[shape_id],Trip[shape_id],"Não encontrado")</f>
        <v/>
      </c>
      <c r="B17231" s="40" t="n">
        <v>-23.580239</v>
      </c>
      <c r="C17231" s="40" t="n">
        <v>-46.586828</v>
      </c>
      <c r="D17231" s="40" t="n">
        <v>160</v>
      </c>
      <c r="E17231" s="41" t="n">
        <v>4800.6528</v>
      </c>
    </row>
    <row r="17232">
      <c r="A17232" s="42">
        <f>_xlfn.XLOOKUP(83161,Trip[shape_id],Trip[shape_id],"Não encontrado")</f>
        <v/>
      </c>
      <c r="B17232" s="43" t="n">
        <v>-23.580517</v>
      </c>
      <c r="C17232" s="43" t="n">
        <v>-46.586819</v>
      </c>
      <c r="D17232" s="43" t="n">
        <v>161</v>
      </c>
      <c r="E17232" s="44" t="n">
        <v>4831.4556</v>
      </c>
    </row>
    <row r="17233">
      <c r="A17233" s="39">
        <f>_xlfn.XLOOKUP(83161,Trip[shape_id],Trip[shape_id],"Não encontrado")</f>
        <v/>
      </c>
      <c r="B17233" s="40" t="n">
        <v>-23.581043</v>
      </c>
      <c r="C17233" s="40" t="n">
        <v>-46.58676</v>
      </c>
      <c r="D17233" s="40" t="n">
        <v>162</v>
      </c>
      <c r="E17233" s="41" t="n">
        <v>4890.0215</v>
      </c>
    </row>
    <row r="17234">
      <c r="A17234" s="42">
        <f>_xlfn.XLOOKUP(83161,Trip[shape_id],Trip[shape_id],"Não encontrado")</f>
        <v/>
      </c>
      <c r="B17234" s="43" t="n">
        <v>-23.581538</v>
      </c>
      <c r="C17234" s="43" t="n">
        <v>-46.586703</v>
      </c>
      <c r="D17234" s="43" t="n">
        <v>163</v>
      </c>
      <c r="E17234" s="44" t="n">
        <v>4945.1519</v>
      </c>
    </row>
    <row r="17235">
      <c r="A17235" s="39">
        <f>_xlfn.XLOOKUP(83161,Trip[shape_id],Trip[shape_id],"Não encontrado")</f>
        <v/>
      </c>
      <c r="B17235" s="40" t="n">
        <v>-23.582309</v>
      </c>
      <c r="C17235" s="40" t="n">
        <v>-46.586608</v>
      </c>
      <c r="D17235" s="40" t="n">
        <v>164</v>
      </c>
      <c r="E17235" s="41" t="n">
        <v>5073.9497</v>
      </c>
    </row>
    <row r="17236">
      <c r="A17236" s="42">
        <f>_xlfn.XLOOKUP(83161,Trip[shape_id],Trip[shape_id],"Não encontrado")</f>
        <v/>
      </c>
      <c r="B17236" s="43" t="n">
        <v>-23.582693</v>
      </c>
      <c r="C17236" s="43" t="n">
        <v>-46.586556</v>
      </c>
      <c r="D17236" s="43" t="n">
        <v>165</v>
      </c>
      <c r="E17236" s="44" t="n">
        <v>5073.9497</v>
      </c>
    </row>
    <row r="17237">
      <c r="A17237" s="39">
        <f>_xlfn.XLOOKUP(83161,Trip[shape_id],Trip[shape_id],"Não encontrado")</f>
        <v/>
      </c>
      <c r="B17237" s="40" t="n">
        <v>-23.583321</v>
      </c>
      <c r="C17237" s="40" t="n">
        <v>-46.586466</v>
      </c>
      <c r="D17237" s="40" t="n">
        <v>166</v>
      </c>
      <c r="E17237" s="41" t="n">
        <v>5177.5576</v>
      </c>
    </row>
    <row r="17238">
      <c r="A17238" s="42">
        <f>_xlfn.XLOOKUP(83161,Trip[shape_id],Trip[shape_id],"Não encontrado")</f>
        <v/>
      </c>
      <c r="B17238" s="43" t="n">
        <v>-23.583621</v>
      </c>
      <c r="C17238" s="43" t="n">
        <v>-46.586428</v>
      </c>
      <c r="D17238" s="43" t="n">
        <v>167</v>
      </c>
      <c r="E17238" s="44" t="n">
        <v>5181.1089</v>
      </c>
    </row>
    <row r="17239">
      <c r="A17239" s="39">
        <f>_xlfn.XLOOKUP(83161,Trip[shape_id],Trip[shape_id],"Não encontrado")</f>
        <v/>
      </c>
      <c r="B17239" s="40" t="n">
        <v>-23.583653</v>
      </c>
      <c r="C17239" s="40" t="n">
        <v>-46.586426</v>
      </c>
      <c r="D17239" s="40" t="n">
        <v>168</v>
      </c>
      <c r="E17239" s="41" t="n">
        <v>5181.1089</v>
      </c>
    </row>
    <row r="17240">
      <c r="A17240" s="42">
        <f>_xlfn.XLOOKUP(83161,Trip[shape_id],Trip[shape_id],"Não encontrado")</f>
        <v/>
      </c>
      <c r="B17240" s="43" t="n">
        <v>-23.583783</v>
      </c>
      <c r="C17240" s="43" t="n">
        <v>-46.586425</v>
      </c>
      <c r="D17240" s="43" t="n">
        <v>169</v>
      </c>
      <c r="E17240" s="44" t="n">
        <v>5213.7632</v>
      </c>
    </row>
    <row r="17241">
      <c r="A17241" s="39">
        <f>_xlfn.XLOOKUP(83161,Trip[shape_id],Trip[shape_id],"Não encontrado")</f>
        <v/>
      </c>
      <c r="B17241" s="40" t="n">
        <v>-23.583947</v>
      </c>
      <c r="C17241" s="40" t="n">
        <v>-46.586443</v>
      </c>
      <c r="D17241" s="40" t="n">
        <v>170</v>
      </c>
      <c r="E17241" s="41" t="n">
        <v>5213.7632</v>
      </c>
    </row>
    <row r="17242">
      <c r="A17242" s="42">
        <f>_xlfn.XLOOKUP(83161,Trip[shape_id],Trip[shape_id],"Não encontrado")</f>
        <v/>
      </c>
      <c r="B17242" s="43" t="n">
        <v>-23.584094</v>
      </c>
      <c r="C17242" s="43" t="n">
        <v>-46.586365</v>
      </c>
      <c r="D17242" s="43" t="n">
        <v>171</v>
      </c>
      <c r="E17242" s="44" t="n">
        <v>5241.4282</v>
      </c>
    </row>
    <row r="17243">
      <c r="A17243" s="39">
        <f>_xlfn.XLOOKUP(83161,Trip[shape_id],Trip[shape_id],"Não encontrado")</f>
        <v/>
      </c>
      <c r="B17243" s="40" t="n">
        <v>-23.584169</v>
      </c>
      <c r="C17243" s="40" t="n">
        <v>-46.586319</v>
      </c>
      <c r="D17243" s="40" t="n">
        <v>172</v>
      </c>
      <c r="E17243" s="41" t="n">
        <v>5248.623</v>
      </c>
    </row>
    <row r="17244">
      <c r="A17244" s="42">
        <f>_xlfn.XLOOKUP(83161,Trip[shape_id],Trip[shape_id],"Não encontrado")</f>
        <v/>
      </c>
      <c r="B17244" s="43" t="n">
        <v>-23.584219</v>
      </c>
      <c r="C17244" s="43" t="n">
        <v>-46.586274</v>
      </c>
      <c r="D17244" s="43" t="n">
        <v>173</v>
      </c>
      <c r="E17244" s="44" t="n">
        <v>5248.623</v>
      </c>
    </row>
    <row r="17245">
      <c r="A17245" s="39">
        <f>_xlfn.XLOOKUP(83161,Trip[shape_id],Trip[shape_id],"Não encontrado")</f>
        <v/>
      </c>
      <c r="B17245" s="40" t="n">
        <v>-23.584383</v>
      </c>
      <c r="C17245" s="40" t="n">
        <v>-46.586149</v>
      </c>
      <c r="D17245" s="40" t="n">
        <v>174</v>
      </c>
      <c r="E17245" s="41" t="n">
        <v>5280.2759</v>
      </c>
    </row>
    <row r="17246">
      <c r="A17246" s="42">
        <f>_xlfn.XLOOKUP(83161,Trip[shape_id],Trip[shape_id],"Não encontrado")</f>
        <v/>
      </c>
      <c r="B17246" s="43" t="n">
        <v>-23.584419</v>
      </c>
      <c r="C17246" s="43" t="n">
        <v>-46.586065</v>
      </c>
      <c r="D17246" s="43" t="n">
        <v>175</v>
      </c>
      <c r="E17246" s="44" t="n">
        <v>5280.2759</v>
      </c>
    </row>
    <row r="17247">
      <c r="A17247" s="39">
        <f>_xlfn.XLOOKUP(83161,Trip[shape_id],Trip[shape_id],"Não encontrado")</f>
        <v/>
      </c>
      <c r="B17247" s="40" t="n">
        <v>-23.584386</v>
      </c>
      <c r="C17247" s="40" t="n">
        <v>-46.585973</v>
      </c>
      <c r="D17247" s="40" t="n">
        <v>176</v>
      </c>
      <c r="E17247" s="41" t="n">
        <v>5290.353</v>
      </c>
    </row>
    <row r="17248">
      <c r="A17248" s="42">
        <f>_xlfn.XLOOKUP(83161,Trip[shape_id],Trip[shape_id],"Não encontrado")</f>
        <v/>
      </c>
      <c r="B17248" s="43" t="n">
        <v>-23.584357</v>
      </c>
      <c r="C17248" s="43" t="n">
        <v>-46.585883</v>
      </c>
      <c r="D17248" s="43" t="n">
        <v>177</v>
      </c>
      <c r="E17248" s="44" t="n">
        <v>5300.085</v>
      </c>
    </row>
    <row r="17249">
      <c r="A17249" s="39">
        <f>_xlfn.XLOOKUP(83161,Trip[shape_id],Trip[shape_id],"Não encontrado")</f>
        <v/>
      </c>
      <c r="B17249" s="40" t="n">
        <v>-23.584331</v>
      </c>
      <c r="C17249" s="40" t="n">
        <v>-46.585787</v>
      </c>
      <c r="D17249" s="40" t="n">
        <v>178</v>
      </c>
      <c r="E17249" s="41" t="n">
        <v>5310.2988</v>
      </c>
    </row>
    <row r="17250">
      <c r="A17250" s="42">
        <f>_xlfn.XLOOKUP(83161,Trip[shape_id],Trip[shape_id],"Não encontrado")</f>
        <v/>
      </c>
      <c r="B17250" s="43" t="n">
        <v>-23.584309</v>
      </c>
      <c r="C17250" s="43" t="n">
        <v>-46.585683</v>
      </c>
      <c r="D17250" s="43" t="n">
        <v>179</v>
      </c>
      <c r="E17250" s="44" t="n">
        <v>5321.1909</v>
      </c>
    </row>
    <row r="17251">
      <c r="A17251" s="39">
        <f>_xlfn.XLOOKUP(83161,Trip[shape_id],Trip[shape_id],"Não encontrado")</f>
        <v/>
      </c>
      <c r="B17251" s="40" t="n">
        <v>-23.584292</v>
      </c>
      <c r="C17251" s="40" t="n">
        <v>-46.585566</v>
      </c>
      <c r="D17251" s="40" t="n">
        <v>180</v>
      </c>
      <c r="E17251" s="41" t="n">
        <v>5333.2808</v>
      </c>
    </row>
    <row r="17252">
      <c r="A17252" s="42">
        <f>_xlfn.XLOOKUP(83161,Trip[shape_id],Trip[shape_id],"Não encontrado")</f>
        <v/>
      </c>
      <c r="B17252" s="43" t="n">
        <v>-23.584286</v>
      </c>
      <c r="C17252" s="43" t="n">
        <v>-46.585437</v>
      </c>
      <c r="D17252" s="43" t="n">
        <v>181</v>
      </c>
      <c r="E17252" s="44" t="n">
        <v>5346.4653</v>
      </c>
    </row>
    <row r="17253">
      <c r="A17253" s="39">
        <f>_xlfn.XLOOKUP(83161,Trip[shape_id],Trip[shape_id],"Não encontrado")</f>
        <v/>
      </c>
      <c r="B17253" s="40" t="n">
        <v>-23.584284</v>
      </c>
      <c r="C17253" s="40" t="n">
        <v>-46.585319</v>
      </c>
      <c r="D17253" s="40" t="n">
        <v>182</v>
      </c>
      <c r="E17253" s="41" t="n">
        <v>5358.5122</v>
      </c>
    </row>
    <row r="17254">
      <c r="A17254" s="42">
        <f>_xlfn.XLOOKUP(83161,Trip[shape_id],Trip[shape_id],"Não encontrado")</f>
        <v/>
      </c>
      <c r="B17254" s="43" t="n">
        <v>-23.584298</v>
      </c>
      <c r="C17254" s="43" t="n">
        <v>-46.585185</v>
      </c>
      <c r="D17254" s="43" t="n">
        <v>183</v>
      </c>
      <c r="E17254" s="44" t="n">
        <v>5372.2778</v>
      </c>
    </row>
    <row r="17255">
      <c r="A17255" s="39">
        <f>_xlfn.XLOOKUP(83161,Trip[shape_id],Trip[shape_id],"Não encontrado")</f>
        <v/>
      </c>
      <c r="B17255" s="40" t="n">
        <v>-23.584314</v>
      </c>
      <c r="C17255" s="40" t="n">
        <v>-46.585081</v>
      </c>
      <c r="D17255" s="40" t="n">
        <v>184</v>
      </c>
      <c r="E17255" s="41" t="n">
        <v>5383.0405</v>
      </c>
    </row>
    <row r="17256">
      <c r="A17256" s="42">
        <f>_xlfn.XLOOKUP(83161,Trip[shape_id],Trip[shape_id],"Não encontrado")</f>
        <v/>
      </c>
      <c r="B17256" s="43" t="n">
        <v>-23.584337</v>
      </c>
      <c r="C17256" s="43" t="n">
        <v>-46.584965</v>
      </c>
      <c r="D17256" s="43" t="n">
        <v>185</v>
      </c>
      <c r="E17256" s="44" t="n">
        <v>5395.1523</v>
      </c>
    </row>
    <row r="17257">
      <c r="A17257" s="39">
        <f>_xlfn.XLOOKUP(83161,Trip[shape_id],Trip[shape_id],"Não encontrado")</f>
        <v/>
      </c>
      <c r="B17257" s="40" t="n">
        <v>-23.584367</v>
      </c>
      <c r="C17257" s="40" t="n">
        <v>-46.584849</v>
      </c>
      <c r="D17257" s="40" t="n">
        <v>186</v>
      </c>
      <c r="E17257" s="41" t="n">
        <v>5407.4502</v>
      </c>
    </row>
    <row r="17258">
      <c r="A17258" s="42">
        <f>_xlfn.XLOOKUP(83161,Trip[shape_id],Trip[shape_id],"Não encontrado")</f>
        <v/>
      </c>
      <c r="B17258" s="43" t="n">
        <v>-23.584409</v>
      </c>
      <c r="C17258" s="43" t="n">
        <v>-46.584753</v>
      </c>
      <c r="D17258" s="43" t="n">
        <v>187</v>
      </c>
      <c r="E17258" s="44" t="n">
        <v>5418.2979</v>
      </c>
    </row>
    <row r="17259">
      <c r="A17259" s="39">
        <f>_xlfn.XLOOKUP(83161,Trip[shape_id],Trip[shape_id],"Não encontrado")</f>
        <v/>
      </c>
      <c r="B17259" s="40" t="n">
        <v>-23.584597</v>
      </c>
      <c r="C17259" s="40" t="n">
        <v>-46.584298</v>
      </c>
      <c r="D17259" s="40" t="n">
        <v>188</v>
      </c>
      <c r="E17259" s="41" t="n">
        <v>5469.1958</v>
      </c>
    </row>
    <row r="17260">
      <c r="A17260" s="42">
        <f>_xlfn.XLOOKUP(83161,Trip[shape_id],Trip[shape_id],"Não encontrado")</f>
        <v/>
      </c>
      <c r="B17260" s="43" t="n">
        <v>-23.584598</v>
      </c>
      <c r="C17260" s="43" t="n">
        <v>-46.584043</v>
      </c>
      <c r="D17260" s="43" t="n">
        <v>189</v>
      </c>
      <c r="E17260" s="44" t="n">
        <v>5495.2256</v>
      </c>
    </row>
    <row r="17261">
      <c r="A17261" s="39">
        <f>_xlfn.XLOOKUP(83161,Trip[shape_id],Trip[shape_id],"Não encontrado")</f>
        <v/>
      </c>
      <c r="B17261" s="40" t="n">
        <v>-23.58463</v>
      </c>
      <c r="C17261" s="40" t="n">
        <v>-46.583973</v>
      </c>
      <c r="D17261" s="40" t="n">
        <v>190</v>
      </c>
      <c r="E17261" s="41" t="n">
        <v>5503.2012</v>
      </c>
    </row>
    <row r="17262">
      <c r="A17262" s="42">
        <f>_xlfn.XLOOKUP(83161,Trip[shape_id],Trip[shape_id],"Não encontrado")</f>
        <v/>
      </c>
      <c r="B17262" s="43" t="n">
        <v>-23.584652</v>
      </c>
      <c r="C17262" s="43" t="n">
        <v>-46.583918</v>
      </c>
      <c r="D17262" s="43" t="n">
        <v>191</v>
      </c>
      <c r="E17262" s="44" t="n">
        <v>5509.3213</v>
      </c>
    </row>
    <row r="17263">
      <c r="A17263" s="39">
        <f>_xlfn.XLOOKUP(83161,Trip[shape_id],Trip[shape_id],"Não encontrado")</f>
        <v/>
      </c>
      <c r="B17263" s="40" t="n">
        <v>-23.58466</v>
      </c>
      <c r="C17263" s="40" t="n">
        <v>-46.583901</v>
      </c>
      <c r="D17263" s="40" t="n">
        <v>192</v>
      </c>
      <c r="E17263" s="41" t="n">
        <v>5515.7705</v>
      </c>
    </row>
    <row r="17264">
      <c r="A17264" s="42">
        <f>_xlfn.XLOOKUP(83161,Trip[shape_id],Trip[shape_id],"Não encontrado")</f>
        <v/>
      </c>
      <c r="B17264" s="43" t="n">
        <v>-23.584675</v>
      </c>
      <c r="C17264" s="43" t="n">
        <v>-46.58386</v>
      </c>
      <c r="D17264" s="43" t="n">
        <v>193</v>
      </c>
      <c r="E17264" s="44" t="n">
        <v>5515.7705</v>
      </c>
    </row>
    <row r="17265">
      <c r="A17265" s="39">
        <f>_xlfn.XLOOKUP(83161,Trip[shape_id],Trip[shape_id],"Não encontrado")</f>
        <v/>
      </c>
      <c r="B17265" s="40" t="n">
        <v>-23.584724</v>
      </c>
      <c r="C17265" s="40" t="n">
        <v>-46.583732</v>
      </c>
      <c r="D17265" s="40" t="n">
        <v>194</v>
      </c>
      <c r="E17265" s="41" t="n">
        <v>5529.9185</v>
      </c>
    </row>
    <row r="17266">
      <c r="A17266" s="42">
        <f>_xlfn.XLOOKUP(83161,Trip[shape_id],Trip[shape_id],"Não encontrado")</f>
        <v/>
      </c>
      <c r="B17266" s="43" t="n">
        <v>-23.584743</v>
      </c>
      <c r="C17266" s="43" t="n">
        <v>-46.583675</v>
      </c>
      <c r="D17266" s="43" t="n">
        <v>195</v>
      </c>
      <c r="E17266" s="44" t="n">
        <v>5536.105</v>
      </c>
    </row>
    <row r="17267">
      <c r="A17267" s="39">
        <f>_xlfn.XLOOKUP(83161,Trip[shape_id],Trip[shape_id],"Não encontrado")</f>
        <v/>
      </c>
      <c r="B17267" s="40" t="n">
        <v>-23.584775</v>
      </c>
      <c r="C17267" s="40" t="n">
        <v>-46.583596</v>
      </c>
      <c r="D17267" s="40" t="n">
        <v>196</v>
      </c>
      <c r="E17267" s="41" t="n">
        <v>5544.9136</v>
      </c>
    </row>
    <row r="17268">
      <c r="A17268" s="42">
        <f>_xlfn.XLOOKUP(83161,Trip[shape_id],Trip[shape_id],"Não encontrado")</f>
        <v/>
      </c>
      <c r="B17268" s="43" t="n">
        <v>-23.584797</v>
      </c>
      <c r="C17268" s="43" t="n">
        <v>-46.583537</v>
      </c>
      <c r="D17268" s="43" t="n">
        <v>197</v>
      </c>
      <c r="E17268" s="44" t="n">
        <v>5551.4102</v>
      </c>
    </row>
    <row r="17269">
      <c r="A17269" s="39">
        <f>_xlfn.XLOOKUP(83161,Trip[shape_id],Trip[shape_id],"Não encontrado")</f>
        <v/>
      </c>
      <c r="B17269" s="40" t="n">
        <v>-23.584811</v>
      </c>
      <c r="C17269" s="40" t="n">
        <v>-46.583501</v>
      </c>
      <c r="D17269" s="40" t="n">
        <v>198</v>
      </c>
      <c r="E17269" s="41" t="n">
        <v>5555.3979</v>
      </c>
    </row>
    <row r="17270">
      <c r="A17270" s="42">
        <f>_xlfn.XLOOKUP(83161,Trip[shape_id],Trip[shape_id],"Não encontrado")</f>
        <v/>
      </c>
      <c r="B17270" s="43" t="n">
        <v>-23.584832</v>
      </c>
      <c r="C17270" s="43" t="n">
        <v>-46.583444</v>
      </c>
      <c r="D17270" s="43" t="n">
        <v>199</v>
      </c>
      <c r="E17270" s="44" t="n">
        <v>5561.6641</v>
      </c>
    </row>
    <row r="17271">
      <c r="A17271" s="39">
        <f>_xlfn.XLOOKUP(83161,Trip[shape_id],Trip[shape_id],"Não encontrado")</f>
        <v/>
      </c>
      <c r="B17271" s="40" t="n">
        <v>-23.584906</v>
      </c>
      <c r="C17271" s="40" t="n">
        <v>-46.583253</v>
      </c>
      <c r="D17271" s="40" t="n">
        <v>200</v>
      </c>
      <c r="E17271" s="41" t="n">
        <v>5582.813</v>
      </c>
    </row>
    <row r="17272">
      <c r="A17272" s="42">
        <f>_xlfn.XLOOKUP(83161,Trip[shape_id],Trip[shape_id],"Não encontrado")</f>
        <v/>
      </c>
      <c r="B17272" s="43" t="n">
        <v>-23.584924</v>
      </c>
      <c r="C17272" s="43" t="n">
        <v>-46.583202</v>
      </c>
      <c r="D17272" s="43" t="n">
        <v>201</v>
      </c>
      <c r="E17272" s="44" t="n">
        <v>5588.3867</v>
      </c>
    </row>
    <row r="17273">
      <c r="A17273" s="39">
        <f>_xlfn.XLOOKUP(83161,Trip[shape_id],Trip[shape_id],"Não encontrado")</f>
        <v/>
      </c>
      <c r="B17273" s="40" t="n">
        <v>-23.58493</v>
      </c>
      <c r="C17273" s="40" t="n">
        <v>-46.583184</v>
      </c>
      <c r="D17273" s="40" t="n">
        <v>202</v>
      </c>
      <c r="E17273" s="41" t="n">
        <v>5611.9365</v>
      </c>
    </row>
    <row r="17274">
      <c r="A17274" s="42">
        <f>_xlfn.XLOOKUP(83161,Trip[shape_id],Trip[shape_id],"Não encontrado")</f>
        <v/>
      </c>
      <c r="B17274" s="43" t="n">
        <v>-23.584985</v>
      </c>
      <c r="C17274" s="43" t="n">
        <v>-46.582981</v>
      </c>
      <c r="D17274" s="43" t="n">
        <v>203</v>
      </c>
      <c r="E17274" s="44" t="n">
        <v>5611.9365</v>
      </c>
    </row>
    <row r="17275">
      <c r="A17275" s="39">
        <f>_xlfn.XLOOKUP(83161,Trip[shape_id],Trip[shape_id],"Não encontrado")</f>
        <v/>
      </c>
      <c r="B17275" s="40" t="n">
        <v>-23.584994</v>
      </c>
      <c r="C17275" s="40" t="n">
        <v>-46.582951</v>
      </c>
      <c r="D17275" s="40" t="n">
        <v>204</v>
      </c>
      <c r="E17275" s="41" t="n">
        <v>5615.1558</v>
      </c>
    </row>
    <row r="17276">
      <c r="A17276" s="42">
        <f>_xlfn.XLOOKUP(83161,Trip[shape_id],Trip[shape_id],"Não encontrado")</f>
        <v/>
      </c>
      <c r="B17276" s="43" t="n">
        <v>-23.585002</v>
      </c>
      <c r="C17276" s="43" t="n">
        <v>-46.58292</v>
      </c>
      <c r="D17276" s="43" t="n">
        <v>205</v>
      </c>
      <c r="E17276" s="44" t="n">
        <v>5618.4419</v>
      </c>
    </row>
    <row r="17277">
      <c r="A17277" s="39">
        <f>_xlfn.XLOOKUP(83161,Trip[shape_id],Trip[shape_id],"Não encontrado")</f>
        <v/>
      </c>
      <c r="B17277" s="40" t="n">
        <v>-23.585074</v>
      </c>
      <c r="C17277" s="40" t="n">
        <v>-46.582656</v>
      </c>
      <c r="D17277" s="40" t="n">
        <v>206</v>
      </c>
      <c r="E17277" s="41" t="n">
        <v>5646.5449</v>
      </c>
    </row>
    <row r="17278">
      <c r="A17278" s="42">
        <f>_xlfn.XLOOKUP(83161,Trip[shape_id],Trip[shape_id],"Não encontrado")</f>
        <v/>
      </c>
      <c r="B17278" s="43" t="n">
        <v>-23.585083</v>
      </c>
      <c r="C17278" s="43" t="n">
        <v>-46.58258</v>
      </c>
      <c r="D17278" s="43" t="n">
        <v>207</v>
      </c>
      <c r="E17278" s="44" t="n">
        <v>5654.3667</v>
      </c>
    </row>
    <row r="17279">
      <c r="A17279" s="39">
        <f>_xlfn.XLOOKUP(83161,Trip[shape_id],Trip[shape_id],"Não encontrado")</f>
        <v/>
      </c>
      <c r="B17279" s="40" t="n">
        <v>-23.585088</v>
      </c>
      <c r="C17279" s="40" t="n">
        <v>-46.582537</v>
      </c>
      <c r="D17279" s="40" t="n">
        <v>208</v>
      </c>
      <c r="E17279" s="41" t="n">
        <v>5658.7896</v>
      </c>
    </row>
    <row r="17280">
      <c r="A17280" s="42">
        <f>_xlfn.XLOOKUP(83161,Trip[shape_id],Trip[shape_id],"Não encontrado")</f>
        <v/>
      </c>
      <c r="B17280" s="43" t="n">
        <v>-23.585138</v>
      </c>
      <c r="C17280" s="43" t="n">
        <v>-46.582225</v>
      </c>
      <c r="D17280" s="43" t="n">
        <v>209</v>
      </c>
      <c r="E17280" s="44" t="n">
        <v>5691.1152</v>
      </c>
    </row>
    <row r="17281">
      <c r="A17281" s="39">
        <f>_xlfn.XLOOKUP(83161,Trip[shape_id],Trip[shape_id],"Não encontrado")</f>
        <v/>
      </c>
      <c r="B17281" s="40" t="n">
        <v>-23.584931</v>
      </c>
      <c r="C17281" s="40" t="n">
        <v>-46.580839</v>
      </c>
      <c r="D17281" s="40" t="n">
        <v>210</v>
      </c>
      <c r="E17281" s="41" t="n">
        <v>5834.437</v>
      </c>
    </row>
    <row r="17282">
      <c r="A17282" s="42">
        <f>_xlfn.XLOOKUP(83161,Trip[shape_id],Trip[shape_id],"Não encontrado")</f>
        <v/>
      </c>
      <c r="B17282" s="43" t="n">
        <v>-23.584769</v>
      </c>
      <c r="C17282" s="43" t="n">
        <v>-46.579813</v>
      </c>
      <c r="D17282" s="43" t="n">
        <v>211</v>
      </c>
      <c r="E17282" s="44" t="n">
        <v>5940.6924</v>
      </c>
    </row>
    <row r="17283">
      <c r="A17283" s="39">
        <f>_xlfn.XLOOKUP(83161,Trip[shape_id],Trip[shape_id],"Não encontrado")</f>
        <v/>
      </c>
      <c r="B17283" s="40" t="n">
        <v>-23.584712</v>
      </c>
      <c r="C17283" s="40" t="n">
        <v>-46.579501</v>
      </c>
      <c r="D17283" s="40" t="n">
        <v>212</v>
      </c>
      <c r="E17283" s="41" t="n">
        <v>5973.1597</v>
      </c>
    </row>
    <row r="17284">
      <c r="A17284" s="42">
        <f>_xlfn.XLOOKUP(83161,Trip[shape_id],Trip[shape_id],"Não encontrado")</f>
        <v/>
      </c>
      <c r="B17284" s="43" t="n">
        <v>-23.584526</v>
      </c>
      <c r="C17284" s="43" t="n">
        <v>-46.578291</v>
      </c>
      <c r="D17284" s="43" t="n">
        <v>213</v>
      </c>
      <c r="E17284" s="44" t="n">
        <v>6098.3774</v>
      </c>
    </row>
    <row r="17285">
      <c r="A17285" s="39">
        <f>_xlfn.XLOOKUP(83161,Trip[shape_id],Trip[shape_id],"Não encontrado")</f>
        <v/>
      </c>
      <c r="B17285" s="40" t="n">
        <v>-23.584384</v>
      </c>
      <c r="C17285" s="40" t="n">
        <v>-46.577245</v>
      </c>
      <c r="D17285" s="40" t="n">
        <v>214</v>
      </c>
      <c r="E17285" s="41" t="n">
        <v>6206.3008</v>
      </c>
    </row>
    <row r="17286">
      <c r="A17286" s="42">
        <f>_xlfn.XLOOKUP(83161,Trip[shape_id],Trip[shape_id],"Não encontrado")</f>
        <v/>
      </c>
      <c r="B17286" s="43" t="n">
        <v>-23.584344</v>
      </c>
      <c r="C17286" s="43" t="n">
        <v>-46.576937</v>
      </c>
      <c r="D17286" s="43" t="n">
        <v>215</v>
      </c>
      <c r="E17286" s="44" t="n">
        <v>6238.0508</v>
      </c>
    </row>
    <row r="17287">
      <c r="A17287" s="39">
        <f>_xlfn.XLOOKUP(83161,Trip[shape_id],Trip[shape_id],"Não encontrado")</f>
        <v/>
      </c>
      <c r="B17287" s="40" t="n">
        <v>-23.584068</v>
      </c>
      <c r="C17287" s="40" t="n">
        <v>-46.57614</v>
      </c>
      <c r="D17287" s="40" t="n">
        <v>216</v>
      </c>
      <c r="E17287" s="41" t="n">
        <v>6384.6621</v>
      </c>
    </row>
    <row r="17288">
      <c r="A17288" s="42">
        <f>_xlfn.XLOOKUP(83161,Trip[shape_id],Trip[shape_id],"Não encontrado")</f>
        <v/>
      </c>
      <c r="B17288" s="43" t="n">
        <v>-23.58384</v>
      </c>
      <c r="C17288" s="43" t="n">
        <v>-46.57561</v>
      </c>
      <c r="D17288" s="43" t="n">
        <v>217</v>
      </c>
      <c r="E17288" s="44" t="n">
        <v>6439.3779</v>
      </c>
    </row>
    <row r="17289">
      <c r="A17289" s="39">
        <f>_xlfn.XLOOKUP(83161,Trip[shape_id],Trip[shape_id],"Não encontrado")</f>
        <v/>
      </c>
      <c r="B17289" s="40" t="n">
        <v>-23.583573</v>
      </c>
      <c r="C17289" s="40" t="n">
        <v>-46.575159</v>
      </c>
      <c r="D17289" s="40" t="n">
        <v>218</v>
      </c>
      <c r="E17289" s="41" t="n">
        <v>6439.3779</v>
      </c>
    </row>
    <row r="17290">
      <c r="A17290" s="42">
        <f>_xlfn.XLOOKUP(83161,Trip[shape_id],Trip[shape_id],"Não encontrado")</f>
        <v/>
      </c>
      <c r="B17290" s="43" t="n">
        <v>-23.583475</v>
      </c>
      <c r="C17290" s="43" t="n">
        <v>-46.574961</v>
      </c>
      <c r="D17290" s="43" t="n">
        <v>219</v>
      </c>
      <c r="E17290" s="44" t="n">
        <v>6489.4717</v>
      </c>
    </row>
    <row r="17291">
      <c r="A17291" s="39">
        <f>_xlfn.XLOOKUP(83161,Trip[shape_id],Trip[shape_id],"Não encontrado")</f>
        <v/>
      </c>
      <c r="B17291" s="40" t="n">
        <v>-23.583384</v>
      </c>
      <c r="C17291" s="40" t="n">
        <v>-46.574714</v>
      </c>
      <c r="D17291" s="40" t="n">
        <v>220</v>
      </c>
      <c r="E17291" s="41" t="n">
        <v>6489.4717</v>
      </c>
    </row>
    <row r="17292">
      <c r="A17292" s="42">
        <f>_xlfn.XLOOKUP(83161,Trip[shape_id],Trip[shape_id],"Não encontrado")</f>
        <v/>
      </c>
      <c r="B17292" s="43" t="n">
        <v>-23.583329</v>
      </c>
      <c r="C17292" s="43" t="n">
        <v>-46.57458</v>
      </c>
      <c r="D17292" s="43" t="n">
        <v>221</v>
      </c>
      <c r="E17292" s="44" t="n">
        <v>6520.5034</v>
      </c>
    </row>
    <row r="17293">
      <c r="A17293" s="39">
        <f>_xlfn.XLOOKUP(83161,Trip[shape_id],Trip[shape_id],"Não encontrado")</f>
        <v/>
      </c>
      <c r="B17293" s="40" t="n">
        <v>-23.583275</v>
      </c>
      <c r="C17293" s="40" t="n">
        <v>-46.574434</v>
      </c>
      <c r="D17293" s="40" t="n">
        <v>222</v>
      </c>
      <c r="E17293" s="41" t="n">
        <v>6520.5034</v>
      </c>
    </row>
    <row r="17294">
      <c r="A17294" s="42">
        <f>_xlfn.XLOOKUP(83161,Trip[shape_id],Trip[shape_id],"Não encontrado")</f>
        <v/>
      </c>
      <c r="B17294" s="43" t="n">
        <v>-23.583188</v>
      </c>
      <c r="C17294" s="43" t="n">
        <v>-46.574156</v>
      </c>
      <c r="D17294" s="43" t="n">
        <v>223</v>
      </c>
      <c r="E17294" s="44" t="n">
        <v>6564.561</v>
      </c>
    </row>
    <row r="17295">
      <c r="A17295" s="39">
        <f>_xlfn.XLOOKUP(83161,Trip[shape_id],Trip[shape_id],"Não encontrado")</f>
        <v/>
      </c>
      <c r="B17295" s="40" t="n">
        <v>-23.583154</v>
      </c>
      <c r="C17295" s="40" t="n">
        <v>-46.574023</v>
      </c>
      <c r="D17295" s="40" t="n">
        <v>224</v>
      </c>
      <c r="E17295" s="41" t="n">
        <v>6577.6943</v>
      </c>
    </row>
    <row r="17296">
      <c r="A17296" s="42">
        <f>_xlfn.XLOOKUP(83161,Trip[shape_id],Trip[shape_id],"Não encontrado")</f>
        <v/>
      </c>
      <c r="B17296" s="43" t="n">
        <v>-23.583135</v>
      </c>
      <c r="C17296" s="43" t="n">
        <v>-46.573896</v>
      </c>
      <c r="D17296" s="43" t="n">
        <v>225</v>
      </c>
      <c r="E17296" s="44" t="n">
        <v>6577.6943</v>
      </c>
    </row>
    <row r="17297">
      <c r="A17297" s="39">
        <f>_xlfn.XLOOKUP(83161,Trip[shape_id],Trip[shape_id],"Não encontrado")</f>
        <v/>
      </c>
      <c r="B17297" s="40" t="n">
        <v>-23.583108</v>
      </c>
      <c r="C17297" s="40" t="n">
        <v>-46.573778</v>
      </c>
      <c r="D17297" s="40" t="n">
        <v>226</v>
      </c>
      <c r="E17297" s="41" t="n">
        <v>6590.1055</v>
      </c>
    </row>
    <row r="17298">
      <c r="A17298" s="42">
        <f>_xlfn.XLOOKUP(83161,Trip[shape_id],Trip[shape_id],"Não encontrado")</f>
        <v/>
      </c>
      <c r="B17298" s="43" t="n">
        <v>-23.583034</v>
      </c>
      <c r="C17298" s="43" t="n">
        <v>-46.573154</v>
      </c>
      <c r="D17298" s="43" t="n">
        <v>227</v>
      </c>
      <c r="E17298" s="44" t="n">
        <v>6654.3267</v>
      </c>
    </row>
    <row r="17299">
      <c r="A17299" s="39">
        <f>_xlfn.XLOOKUP(83161,Trip[shape_id],Trip[shape_id],"Não encontrado")</f>
        <v/>
      </c>
      <c r="B17299" s="40" t="n">
        <v>-23.583006</v>
      </c>
      <c r="C17299" s="40" t="n">
        <v>-46.572895</v>
      </c>
      <c r="D17299" s="40" t="n">
        <v>228</v>
      </c>
      <c r="E17299" s="41" t="n">
        <v>6716.4692</v>
      </c>
    </row>
    <row r="17300">
      <c r="A17300" s="42">
        <f>_xlfn.XLOOKUP(83161,Trip[shape_id],Trip[shape_id],"Não encontrado")</f>
        <v/>
      </c>
      <c r="B17300" s="43" t="n">
        <v>-23.583008</v>
      </c>
      <c r="C17300" s="43" t="n">
        <v>-46.572547</v>
      </c>
      <c r="D17300" s="43" t="n">
        <v>229</v>
      </c>
      <c r="E17300" s="44" t="n">
        <v>6716.4692</v>
      </c>
    </row>
    <row r="17301">
      <c r="A17301" s="39">
        <f>_xlfn.XLOOKUP(83161,Trip[shape_id],Trip[shape_id],"Não encontrado")</f>
        <v/>
      </c>
      <c r="B17301" s="40" t="n">
        <v>-23.583012</v>
      </c>
      <c r="C17301" s="40" t="n">
        <v>-46.572103</v>
      </c>
      <c r="D17301" s="40" t="n">
        <v>230</v>
      </c>
      <c r="E17301" s="41" t="n">
        <v>6789.5586</v>
      </c>
    </row>
    <row r="17302">
      <c r="A17302" s="42">
        <f>_xlfn.XLOOKUP(83161,Trip[shape_id],Trip[shape_id],"Não encontrado")</f>
        <v/>
      </c>
      <c r="B17302" s="43" t="n">
        <v>-23.583011</v>
      </c>
      <c r="C17302" s="43" t="n">
        <v>-46.571831</v>
      </c>
      <c r="D17302" s="43" t="n">
        <v>231</v>
      </c>
      <c r="E17302" s="44" t="n">
        <v>6808.5278</v>
      </c>
    </row>
    <row r="17303">
      <c r="A17303" s="39">
        <f>_xlfn.XLOOKUP(83161,Trip[shape_id],Trip[shape_id],"Não encontrado")</f>
        <v/>
      </c>
      <c r="B17303" s="40" t="n">
        <v>-23.582987</v>
      </c>
      <c r="C17303" s="40" t="n">
        <v>-46.571647</v>
      </c>
      <c r="D17303" s="40" t="n">
        <v>232</v>
      </c>
      <c r="E17303" s="41" t="n">
        <v>6808.5278</v>
      </c>
    </row>
    <row r="17304">
      <c r="A17304" s="42">
        <f>_xlfn.XLOOKUP(83161,Trip[shape_id],Trip[shape_id],"Não encontrado")</f>
        <v/>
      </c>
      <c r="B17304" s="43" t="n">
        <v>-23.583005</v>
      </c>
      <c r="C17304" s="43" t="n">
        <v>-46.570383</v>
      </c>
      <c r="D17304" s="43" t="n">
        <v>233</v>
      </c>
      <c r="E17304" s="44" t="n">
        <v>6937.5684</v>
      </c>
    </row>
    <row r="17305">
      <c r="A17305" s="39">
        <f>_xlfn.XLOOKUP(83161,Trip[shape_id],Trip[shape_id],"Não encontrado")</f>
        <v/>
      </c>
      <c r="B17305" s="40" t="n">
        <v>-23.583014</v>
      </c>
      <c r="C17305" s="40" t="n">
        <v>-46.568948</v>
      </c>
      <c r="D17305" s="40" t="n">
        <v>234</v>
      </c>
      <c r="E17305" s="41" t="n">
        <v>7103.5542</v>
      </c>
    </row>
    <row r="17306">
      <c r="A17306" s="42">
        <f>_xlfn.XLOOKUP(83161,Trip[shape_id],Trip[shape_id],"Não encontrado")</f>
        <v/>
      </c>
      <c r="B17306" s="43" t="n">
        <v>-23.58301</v>
      </c>
      <c r="C17306" s="43" t="n">
        <v>-46.568757</v>
      </c>
      <c r="D17306" s="43" t="n">
        <v>235</v>
      </c>
      <c r="E17306" s="44" t="n">
        <v>7103.5542</v>
      </c>
    </row>
    <row r="17307">
      <c r="A17307" s="39">
        <f>_xlfn.XLOOKUP(83161,Trip[shape_id],Trip[shape_id],"Não encontrado")</f>
        <v/>
      </c>
      <c r="B17307" s="40" t="n">
        <v>-23.583013</v>
      </c>
      <c r="C17307" s="40" t="n">
        <v>-46.568615</v>
      </c>
      <c r="D17307" s="40" t="n">
        <v>236</v>
      </c>
      <c r="E17307" s="41" t="n">
        <v>7118.0527</v>
      </c>
    </row>
    <row r="17308">
      <c r="A17308" s="42">
        <f>_xlfn.XLOOKUP(83161,Trip[shape_id],Trip[shape_id],"Não encontrado")</f>
        <v/>
      </c>
      <c r="B17308" s="43" t="n">
        <v>-23.583008</v>
      </c>
      <c r="C17308" s="43" t="n">
        <v>-46.568498</v>
      </c>
      <c r="D17308" s="43" t="n">
        <v>237</v>
      </c>
      <c r="E17308" s="44" t="n">
        <v>7130.0083</v>
      </c>
    </row>
    <row r="17309">
      <c r="A17309" s="39">
        <f>_xlfn.XLOOKUP(83161,Trip[shape_id],Trip[shape_id],"Não encontrado")</f>
        <v/>
      </c>
      <c r="B17309" s="40" t="n">
        <v>-23.582996</v>
      </c>
      <c r="C17309" s="40" t="n">
        <v>-46.568382</v>
      </c>
      <c r="D17309" s="40" t="n">
        <v>238</v>
      </c>
      <c r="E17309" s="41" t="n">
        <v>7236.5078</v>
      </c>
    </row>
    <row r="17310">
      <c r="A17310" s="42">
        <f>_xlfn.XLOOKUP(83161,Trip[shape_id],Trip[shape_id],"Não encontrado")</f>
        <v/>
      </c>
      <c r="B17310" s="43" t="n">
        <v>-23.582911</v>
      </c>
      <c r="C17310" s="43" t="n">
        <v>-46.56746</v>
      </c>
      <c r="D17310" s="43" t="n">
        <v>239</v>
      </c>
      <c r="E17310" s="44" t="n">
        <v>7236.5078</v>
      </c>
    </row>
    <row r="17311">
      <c r="A17311" s="39">
        <f>_xlfn.XLOOKUP(83161,Trip[shape_id],Trip[shape_id],"Não encontrado")</f>
        <v/>
      </c>
      <c r="B17311" s="40" t="n">
        <v>-23.582897</v>
      </c>
      <c r="C17311" s="40" t="n">
        <v>-46.567284</v>
      </c>
      <c r="D17311" s="40" t="n">
        <v>240</v>
      </c>
      <c r="E17311" s="41" t="n">
        <v>7394.6641</v>
      </c>
    </row>
    <row r="17312">
      <c r="A17312" s="42">
        <f>_xlfn.XLOOKUP(83161,Trip[shape_id],Trip[shape_id],"Não encontrado")</f>
        <v/>
      </c>
      <c r="B17312" s="43" t="n">
        <v>-23.582763</v>
      </c>
      <c r="C17312" s="43" t="n">
        <v>-46.565919</v>
      </c>
      <c r="D17312" s="43" t="n">
        <v>241</v>
      </c>
      <c r="E17312" s="44" t="n">
        <v>7394.6641</v>
      </c>
    </row>
    <row r="17313">
      <c r="A17313" s="39">
        <f>_xlfn.XLOOKUP(83161,Trip[shape_id],Trip[shape_id],"Não encontrado")</f>
        <v/>
      </c>
      <c r="B17313" s="40" t="n">
        <v>-23.582687</v>
      </c>
      <c r="C17313" s="40" t="n">
        <v>-46.565067</v>
      </c>
      <c r="D17313" s="40" t="n">
        <v>242</v>
      </c>
      <c r="E17313" s="41" t="n">
        <v>7482.04</v>
      </c>
    </row>
    <row r="17314">
      <c r="A17314" s="42">
        <f>_xlfn.XLOOKUP(83161,Trip[shape_id],Trip[shape_id],"Não encontrado")</f>
        <v/>
      </c>
      <c r="B17314" s="43" t="n">
        <v>-23.582598</v>
      </c>
      <c r="C17314" s="43" t="n">
        <v>-46.56415</v>
      </c>
      <c r="D17314" s="43" t="n">
        <v>243</v>
      </c>
      <c r="E17314" s="44" t="n">
        <v>7576.1626</v>
      </c>
    </row>
    <row r="17315">
      <c r="A17315" s="39">
        <f>_xlfn.XLOOKUP(83161,Trip[shape_id],Trip[shape_id],"Não encontrado")</f>
        <v/>
      </c>
      <c r="B17315" s="40" t="n">
        <v>-23.582538</v>
      </c>
      <c r="C17315" s="40" t="n">
        <v>-46.563469</v>
      </c>
      <c r="D17315" s="40" t="n">
        <v>244</v>
      </c>
      <c r="E17315" s="41" t="n">
        <v>7669.2822</v>
      </c>
    </row>
    <row r="17316">
      <c r="A17316" s="42">
        <f>_xlfn.XLOOKUP(83161,Trip[shape_id],Trip[shape_id],"Não encontrado")</f>
        <v/>
      </c>
      <c r="B17316" s="43" t="n">
        <v>-23.582517</v>
      </c>
      <c r="C17316" s="43" t="n">
        <v>-46.563242</v>
      </c>
      <c r="D17316" s="43" t="n">
        <v>245</v>
      </c>
      <c r="E17316" s="44" t="n">
        <v>7669.2822</v>
      </c>
    </row>
    <row r="17317">
      <c r="A17317" s="39">
        <f>_xlfn.XLOOKUP(83161,Trip[shape_id],Trip[shape_id],"Não encontrado")</f>
        <v/>
      </c>
      <c r="B17317" s="40" t="n">
        <v>-23.582333</v>
      </c>
      <c r="C17317" s="40" t="n">
        <v>-46.563004</v>
      </c>
      <c r="D17317" s="40" t="n">
        <v>246</v>
      </c>
      <c r="E17317" s="41" t="n">
        <v>7700.9917</v>
      </c>
    </row>
    <row r="17318">
      <c r="A17318" s="42">
        <f>_xlfn.XLOOKUP(83161,Trip[shape_id],Trip[shape_id],"Não encontrado")</f>
        <v/>
      </c>
      <c r="B17318" s="43" t="n">
        <v>-23.582262</v>
      </c>
      <c r="C17318" s="43" t="n">
        <v>-46.562956</v>
      </c>
      <c r="D17318" s="43" t="n">
        <v>247</v>
      </c>
      <c r="E17318" s="44" t="n">
        <v>7710.2568</v>
      </c>
    </row>
    <row r="17319">
      <c r="A17319" s="39">
        <f>_xlfn.XLOOKUP(83161,Trip[shape_id],Trip[shape_id],"Não encontrado")</f>
        <v/>
      </c>
      <c r="B17319" s="40" t="n">
        <v>-23.582204</v>
      </c>
      <c r="C17319" s="40" t="n">
        <v>-46.562955</v>
      </c>
      <c r="D17319" s="40" t="n">
        <v>248</v>
      </c>
      <c r="E17319" s="41" t="n">
        <v>7716.6821</v>
      </c>
    </row>
    <row r="17320">
      <c r="A17320" s="42">
        <f>_xlfn.XLOOKUP(83161,Trip[shape_id],Trip[shape_id],"Não encontrado")</f>
        <v/>
      </c>
      <c r="B17320" s="43" t="n">
        <v>-23.582056</v>
      </c>
      <c r="C17320" s="43" t="n">
        <v>-46.562994</v>
      </c>
      <c r="D17320" s="43" t="n">
        <v>249</v>
      </c>
      <c r="E17320" s="44" t="n">
        <v>7733.5498</v>
      </c>
    </row>
    <row r="17321">
      <c r="A17321" s="39">
        <f>_xlfn.XLOOKUP(83161,Trip[shape_id],Trip[shape_id],"Não encontrado")</f>
        <v/>
      </c>
      <c r="B17321" s="40" t="n">
        <v>-23.581613</v>
      </c>
      <c r="C17321" s="40" t="n">
        <v>-46.563137</v>
      </c>
      <c r="D17321" s="40" t="n">
        <v>250</v>
      </c>
      <c r="E17321" s="41" t="n">
        <v>7784.7383</v>
      </c>
    </row>
    <row r="17322">
      <c r="A17322" s="42">
        <f>_xlfn.XLOOKUP(83161,Trip[shape_id],Trip[shape_id],"Não encontrado")</f>
        <v/>
      </c>
      <c r="B17322" s="43" t="n">
        <v>-23.581429</v>
      </c>
      <c r="C17322" s="43" t="n">
        <v>-46.563195</v>
      </c>
      <c r="D17322" s="43" t="n">
        <v>251</v>
      </c>
      <c r="E17322" s="44" t="n">
        <v>7805.959</v>
      </c>
    </row>
    <row r="17323">
      <c r="A17323" s="39">
        <f>_xlfn.XLOOKUP(83161,Trip[shape_id],Trip[shape_id],"Não encontrado")</f>
        <v/>
      </c>
      <c r="B17323" s="40" t="n">
        <v>-23.581381</v>
      </c>
      <c r="C17323" s="40" t="n">
        <v>-46.563002</v>
      </c>
      <c r="D17323" s="40" t="n">
        <v>252</v>
      </c>
      <c r="E17323" s="41" t="n">
        <v>7870.4819</v>
      </c>
    </row>
    <row r="17324">
      <c r="A17324" s="42">
        <f>_xlfn.XLOOKUP(83161,Trip[shape_id],Trip[shape_id],"Não encontrado")</f>
        <v/>
      </c>
      <c r="B17324" s="43" t="n">
        <v>-23.581273</v>
      </c>
      <c r="C17324" s="43" t="n">
        <v>-46.562586</v>
      </c>
      <c r="D17324" s="43" t="n">
        <v>253</v>
      </c>
      <c r="E17324" s="44" t="n">
        <v>7870.4819</v>
      </c>
    </row>
    <row r="17325">
      <c r="A17325" s="39">
        <f>_xlfn.XLOOKUP(83161,Trip[shape_id],Trip[shape_id],"Não encontrado")</f>
        <v/>
      </c>
      <c r="B17325" s="40" t="n">
        <v>-23.581208</v>
      </c>
      <c r="C17325" s="40" t="n">
        <v>-46.562306</v>
      </c>
      <c r="D17325" s="40" t="n">
        <v>254</v>
      </c>
      <c r="E17325" s="41" t="n">
        <v>7899.9565</v>
      </c>
    </row>
    <row r="17326">
      <c r="A17326" s="42">
        <f>_xlfn.XLOOKUP(83161,Trip[shape_id],Trip[shape_id],"Não encontrado")</f>
        <v/>
      </c>
      <c r="B17326" s="43" t="n">
        <v>-23.581139</v>
      </c>
      <c r="C17326" s="43" t="n">
        <v>-46.562028</v>
      </c>
      <c r="D17326" s="43" t="n">
        <v>255</v>
      </c>
      <c r="E17326" s="44" t="n">
        <v>7929.3452</v>
      </c>
    </row>
    <row r="17327">
      <c r="A17327" s="39">
        <f>_xlfn.XLOOKUP(83161,Trip[shape_id],Trip[shape_id],"Não encontrado")</f>
        <v/>
      </c>
      <c r="B17327" s="40" t="n">
        <v>-23.581119</v>
      </c>
      <c r="C17327" s="40" t="n">
        <v>-46.56183</v>
      </c>
      <c r="D17327" s="40" t="n">
        <v>256</v>
      </c>
      <c r="E17327" s="41" t="n">
        <v>7969.1284</v>
      </c>
    </row>
    <row r="17328">
      <c r="A17328" s="42">
        <f>_xlfn.XLOOKUP(83161,Trip[shape_id],Trip[shape_id],"Não encontrado")</f>
        <v/>
      </c>
      <c r="B17328" s="43" t="n">
        <v>-23.581067</v>
      </c>
      <c r="C17328" s="43" t="n">
        <v>-46.561648</v>
      </c>
      <c r="D17328" s="43" t="n">
        <v>257</v>
      </c>
      <c r="E17328" s="44" t="n">
        <v>7998.729</v>
      </c>
    </row>
    <row r="17329">
      <c r="A17329" s="39">
        <f>_xlfn.XLOOKUP(83161,Trip[shape_id],Trip[shape_id],"Não encontrado")</f>
        <v/>
      </c>
      <c r="B17329" s="40" t="n">
        <v>-23.581001</v>
      </c>
      <c r="C17329" s="40" t="n">
        <v>-46.561367</v>
      </c>
      <c r="D17329" s="40" t="n">
        <v>258</v>
      </c>
      <c r="E17329" s="41" t="n">
        <v>7998.729</v>
      </c>
    </row>
    <row r="17330">
      <c r="A17330" s="42">
        <f>_xlfn.XLOOKUP(83161,Trip[shape_id],Trip[shape_id],"Não encontrado")</f>
        <v/>
      </c>
      <c r="B17330" s="43" t="n">
        <v>-23.580919</v>
      </c>
      <c r="C17330" s="43" t="n">
        <v>-46.561041</v>
      </c>
      <c r="D17330" s="43" t="n">
        <v>259</v>
      </c>
      <c r="E17330" s="44" t="n">
        <v>8033.2236</v>
      </c>
    </row>
    <row r="17331">
      <c r="A17331" s="39">
        <f>_xlfn.XLOOKUP(83161,Trip[shape_id],Trip[shape_id],"Não encontrado")</f>
        <v/>
      </c>
      <c r="B17331" s="40" t="n">
        <v>-23.580745</v>
      </c>
      <c r="C17331" s="40" t="n">
        <v>-46.56029</v>
      </c>
      <c r="D17331" s="40" t="n">
        <v>260</v>
      </c>
      <c r="E17331" s="41" t="n">
        <v>8112.2695</v>
      </c>
    </row>
    <row r="17332">
      <c r="A17332" s="42">
        <f>_xlfn.XLOOKUP(83161,Trip[shape_id],Trip[shape_id],"Não encontrado")</f>
        <v/>
      </c>
      <c r="B17332" s="43" t="n">
        <v>-23.580671</v>
      </c>
      <c r="C17332" s="43" t="n">
        <v>-46.559922</v>
      </c>
      <c r="D17332" s="43" t="n">
        <v>261</v>
      </c>
      <c r="E17332" s="44" t="n">
        <v>8166.1465</v>
      </c>
    </row>
    <row r="17333">
      <c r="A17333" s="39">
        <f>_xlfn.XLOOKUP(83161,Trip[shape_id],Trip[shape_id],"Não encontrado")</f>
        <v/>
      </c>
      <c r="B17333" s="40" t="n">
        <v>-23.580677</v>
      </c>
      <c r="C17333" s="40" t="n">
        <v>-46.559771</v>
      </c>
      <c r="D17333" s="40" t="n">
        <v>262</v>
      </c>
      <c r="E17333" s="41" t="n">
        <v>8177.8867</v>
      </c>
    </row>
    <row r="17334">
      <c r="A17334" s="42">
        <f>_xlfn.XLOOKUP(83161,Trip[shape_id],Trip[shape_id],"Não encontrado")</f>
        <v/>
      </c>
      <c r="B17334" s="43" t="n">
        <v>-23.580691</v>
      </c>
      <c r="C17334" s="43" t="n">
        <v>-46.559657</v>
      </c>
      <c r="D17334" s="43" t="n">
        <v>263</v>
      </c>
      <c r="E17334" s="44" t="n">
        <v>8190.5249</v>
      </c>
    </row>
    <row r="17335">
      <c r="A17335" s="39">
        <f>_xlfn.XLOOKUP(83161,Trip[shape_id],Trip[shape_id],"Não encontrado")</f>
        <v/>
      </c>
      <c r="B17335" s="40" t="n">
        <v>-23.580704</v>
      </c>
      <c r="C17335" s="40" t="n">
        <v>-46.559534</v>
      </c>
      <c r="D17335" s="40" t="n">
        <v>264</v>
      </c>
      <c r="E17335" s="41" t="n">
        <v>8205.2734</v>
      </c>
    </row>
    <row r="17336">
      <c r="A17336" s="42">
        <f>_xlfn.XLOOKUP(83161,Trip[shape_id],Trip[shape_id],"Não encontrado")</f>
        <v/>
      </c>
      <c r="B17336" s="43" t="n">
        <v>-23.580723</v>
      </c>
      <c r="C17336" s="43" t="n">
        <v>-46.559391</v>
      </c>
      <c r="D17336" s="43" t="n">
        <v>265</v>
      </c>
      <c r="E17336" s="44" t="n">
        <v>8244.456099999999</v>
      </c>
    </row>
    <row r="17337">
      <c r="A17337" s="39">
        <f>_xlfn.XLOOKUP(83161,Trip[shape_id],Trip[shape_id],"Não encontrado")</f>
        <v/>
      </c>
      <c r="B17337" s="40" t="n">
        <v>-23.580766</v>
      </c>
      <c r="C17337" s="40" t="n">
        <v>-46.55901</v>
      </c>
      <c r="D17337" s="40" t="n">
        <v>266</v>
      </c>
      <c r="E17337" s="41" t="n">
        <v>8244.456099999999</v>
      </c>
    </row>
    <row r="17338">
      <c r="A17338" s="42">
        <f>_xlfn.XLOOKUP(83161,Trip[shape_id],Trip[shape_id],"Não encontrado")</f>
        <v/>
      </c>
      <c r="B17338" s="43" t="n">
        <v>-23.58084</v>
      </c>
      <c r="C17338" s="43" t="n">
        <v>-46.558343</v>
      </c>
      <c r="D17338" s="43" t="n">
        <v>267</v>
      </c>
      <c r="E17338" s="44" t="n">
        <v>8358.247100000001</v>
      </c>
    </row>
    <row r="17339">
      <c r="A17339" s="39">
        <f>_xlfn.XLOOKUP(83161,Trip[shape_id],Trip[shape_id],"Não encontrado")</f>
        <v/>
      </c>
      <c r="B17339" s="40" t="n">
        <v>-23.580878</v>
      </c>
      <c r="C17339" s="40" t="n">
        <v>-46.557902</v>
      </c>
      <c r="D17339" s="40" t="n">
        <v>268</v>
      </c>
      <c r="E17339" s="41" t="n">
        <v>8358.247100000001</v>
      </c>
    </row>
    <row r="17340">
      <c r="A17340" s="42">
        <f>_xlfn.XLOOKUP(83161,Trip[shape_id],Trip[shape_id],"Não encontrado")</f>
        <v/>
      </c>
      <c r="B17340" s="43" t="n">
        <v>-23.580911</v>
      </c>
      <c r="C17340" s="43" t="n">
        <v>-46.55757</v>
      </c>
      <c r="D17340" s="43" t="n">
        <v>269</v>
      </c>
      <c r="E17340" s="44" t="n">
        <v>8392.334000000001</v>
      </c>
    </row>
    <row r="17341">
      <c r="A17341" s="39">
        <f>_xlfn.XLOOKUP(83161,Trip[shape_id],Trip[shape_id],"Não encontrado")</f>
        <v/>
      </c>
      <c r="B17341" s="40" t="n">
        <v>-23.580962</v>
      </c>
      <c r="C17341" s="40" t="n">
        <v>-46.557081</v>
      </c>
      <c r="D17341" s="40" t="n">
        <v>270</v>
      </c>
      <c r="E17341" s="41" t="n">
        <v>8442.569299999999</v>
      </c>
    </row>
    <row r="17342">
      <c r="A17342" s="42">
        <f>_xlfn.XLOOKUP(83161,Trip[shape_id],Trip[shape_id],"Não encontrado")</f>
        <v/>
      </c>
      <c r="B17342" s="43" t="n">
        <v>-23.581012</v>
      </c>
      <c r="C17342" s="43" t="n">
        <v>-46.556545</v>
      </c>
      <c r="D17342" s="43" t="n">
        <v>271</v>
      </c>
      <c r="E17342" s="44" t="n">
        <v>8497.5625</v>
      </c>
    </row>
    <row r="17343">
      <c r="A17343" s="39">
        <f>_xlfn.XLOOKUP(83161,Trip[shape_id],Trip[shape_id],"Não encontrado")</f>
        <v/>
      </c>
      <c r="B17343" s="40" t="n">
        <v>-23.581029</v>
      </c>
      <c r="C17343" s="40" t="n">
        <v>-46.556387</v>
      </c>
      <c r="D17343" s="40" t="n">
        <v>272</v>
      </c>
      <c r="E17343" s="41" t="n">
        <v>8513.800800000001</v>
      </c>
    </row>
    <row r="17344">
      <c r="A17344" s="42">
        <f>_xlfn.XLOOKUP(83161,Trip[shape_id],Trip[shape_id],"Não encontrado")</f>
        <v/>
      </c>
      <c r="B17344" s="43" t="n">
        <v>-23.581038</v>
      </c>
      <c r="C17344" s="43" t="n">
        <v>-46.556275</v>
      </c>
      <c r="D17344" s="43" t="n">
        <v>273</v>
      </c>
      <c r="E17344" s="44" t="n">
        <v>8525.276400000001</v>
      </c>
    </row>
    <row r="17345">
      <c r="A17345" s="39">
        <f>_xlfn.XLOOKUP(83161,Trip[shape_id],Trip[shape_id],"Não encontrado")</f>
        <v/>
      </c>
      <c r="B17345" s="40" t="n">
        <v>-23.581115</v>
      </c>
      <c r="C17345" s="40" t="n">
        <v>-46.555646</v>
      </c>
      <c r="D17345" s="40" t="n">
        <v>274</v>
      </c>
      <c r="E17345" s="41" t="n">
        <v>8608.4521</v>
      </c>
    </row>
    <row r="17346">
      <c r="A17346" s="42">
        <f>_xlfn.XLOOKUP(83161,Trip[shape_id],Trip[shape_id],"Não encontrado")</f>
        <v/>
      </c>
      <c r="B17346" s="43" t="n">
        <v>-23.581155</v>
      </c>
      <c r="C17346" s="43" t="n">
        <v>-46.555471</v>
      </c>
      <c r="D17346" s="43" t="n">
        <v>275</v>
      </c>
      <c r="E17346" s="44" t="n">
        <v>8608.4521</v>
      </c>
    </row>
    <row r="17347">
      <c r="A17347" s="39">
        <f>_xlfn.XLOOKUP(83161,Trip[shape_id],Trip[shape_id],"Não encontrado")</f>
        <v/>
      </c>
      <c r="B17347" s="40" t="n">
        <v>-23.581223</v>
      </c>
      <c r="C17347" s="40" t="n">
        <v>-46.5552</v>
      </c>
      <c r="D17347" s="40" t="n">
        <v>276</v>
      </c>
      <c r="E17347" s="41" t="n">
        <v>8637.122100000001</v>
      </c>
    </row>
    <row r="17348">
      <c r="A17348" s="42">
        <f>_xlfn.XLOOKUP(83161,Trip[shape_id],Trip[shape_id],"Não encontrado")</f>
        <v/>
      </c>
      <c r="B17348" s="43" t="n">
        <v>-23.581341</v>
      </c>
      <c r="C17348" s="43" t="n">
        <v>-46.554727</v>
      </c>
      <c r="D17348" s="43" t="n">
        <v>277</v>
      </c>
      <c r="E17348" s="44" t="n">
        <v>8687.142599999999</v>
      </c>
    </row>
    <row r="17349">
      <c r="A17349" s="39">
        <f>_xlfn.XLOOKUP(83161,Trip[shape_id],Trip[shape_id],"Não encontrado")</f>
        <v/>
      </c>
      <c r="B17349" s="40" t="n">
        <v>-23.581503</v>
      </c>
      <c r="C17349" s="40" t="n">
        <v>-46.554106</v>
      </c>
      <c r="D17349" s="40" t="n">
        <v>278</v>
      </c>
      <c r="E17349" s="41" t="n">
        <v>8753.0234</v>
      </c>
    </row>
    <row r="17350">
      <c r="A17350" s="42">
        <f>_xlfn.XLOOKUP(83161,Trip[shape_id],Trip[shape_id],"Não encontrado")</f>
        <v/>
      </c>
      <c r="B17350" s="43" t="n">
        <v>-23.581652</v>
      </c>
      <c r="C17350" s="43" t="n">
        <v>-46.553429</v>
      </c>
      <c r="D17350" s="43" t="n">
        <v>279</v>
      </c>
      <c r="E17350" s="44" t="n">
        <v>8824.073200000001</v>
      </c>
    </row>
    <row r="17351">
      <c r="A17351" s="39">
        <f>_xlfn.XLOOKUP(83161,Trip[shape_id],Trip[shape_id],"Não encontrado")</f>
        <v/>
      </c>
      <c r="B17351" s="40" t="n">
        <v>-23.58185</v>
      </c>
      <c r="C17351" s="40" t="n">
        <v>-46.552624</v>
      </c>
      <c r="D17351" s="40" t="n">
        <v>280</v>
      </c>
      <c r="E17351" s="41" t="n">
        <v>8909.122100000001</v>
      </c>
    </row>
    <row r="17352">
      <c r="A17352" s="42">
        <f>_xlfn.XLOOKUP(83161,Trip[shape_id],Trip[shape_id],"Não encontrado")</f>
        <v/>
      </c>
      <c r="B17352" s="43" t="n">
        <v>-23.581974</v>
      </c>
      <c r="C17352" s="43" t="n">
        <v>-46.552178</v>
      </c>
      <c r="D17352" s="43" t="n">
        <v>281</v>
      </c>
      <c r="E17352" s="44" t="n">
        <v>8972.124</v>
      </c>
    </row>
    <row r="17353">
      <c r="A17353" s="39">
        <f>_xlfn.XLOOKUP(83161,Trip[shape_id],Trip[shape_id],"Não encontrado")</f>
        <v/>
      </c>
      <c r="B17353" s="40" t="n">
        <v>-23.582027</v>
      </c>
      <c r="C17353" s="40" t="n">
        <v>-46.552038</v>
      </c>
      <c r="D17353" s="40" t="n">
        <v>282</v>
      </c>
      <c r="E17353" s="41" t="n">
        <v>8985.882799999999</v>
      </c>
    </row>
    <row r="17354">
      <c r="A17354" s="42">
        <f>_xlfn.XLOOKUP(83161,Trip[shape_id],Trip[shape_id],"Não encontrado")</f>
        <v/>
      </c>
      <c r="B17354" s="43" t="n">
        <v>-23.582063</v>
      </c>
      <c r="C17354" s="43" t="n">
        <v>-46.551909</v>
      </c>
      <c r="D17354" s="43" t="n">
        <v>283</v>
      </c>
      <c r="E17354" s="44" t="n">
        <v>8985.882799999999</v>
      </c>
    </row>
    <row r="17355">
      <c r="A17355" s="39">
        <f>_xlfn.XLOOKUP(83161,Trip[shape_id],Trip[shape_id],"Não encontrado")</f>
        <v/>
      </c>
      <c r="B17355" s="40" t="n">
        <v>-23.582187</v>
      </c>
      <c r="C17355" s="40" t="n">
        <v>-46.551468</v>
      </c>
      <c r="D17355" s="40" t="n">
        <v>284</v>
      </c>
      <c r="E17355" s="41" t="n">
        <v>9032.9473</v>
      </c>
    </row>
    <row r="17356">
      <c r="A17356" s="42">
        <f>_xlfn.XLOOKUP(83161,Trip[shape_id],Trip[shape_id],"Não encontrado")</f>
        <v/>
      </c>
      <c r="B17356" s="43" t="n">
        <v>-23.582267</v>
      </c>
      <c r="C17356" s="43" t="n">
        <v>-46.55123</v>
      </c>
      <c r="D17356" s="43" t="n">
        <v>285</v>
      </c>
      <c r="E17356" s="44" t="n">
        <v>9058.8066</v>
      </c>
    </row>
    <row r="17357">
      <c r="A17357" s="39">
        <f>_xlfn.XLOOKUP(83161,Trip[shape_id],Trip[shape_id],"Não encontrado")</f>
        <v/>
      </c>
      <c r="B17357" s="40" t="n">
        <v>-23.582457</v>
      </c>
      <c r="C17357" s="40" t="n">
        <v>-46.550777</v>
      </c>
      <c r="D17357" s="40" t="n">
        <v>286</v>
      </c>
      <c r="E17357" s="41" t="n">
        <v>9109.6104</v>
      </c>
    </row>
    <row r="17358">
      <c r="A17358" s="42">
        <f>_xlfn.XLOOKUP(83161,Trip[shape_id],Trip[shape_id],"Não encontrado")</f>
        <v/>
      </c>
      <c r="B17358" s="43" t="n">
        <v>-23.582573</v>
      </c>
      <c r="C17358" s="43" t="n">
        <v>-46.550464</v>
      </c>
      <c r="D17358" s="43" t="n">
        <v>287</v>
      </c>
      <c r="E17358" s="44" t="n">
        <v>9144.046899999999</v>
      </c>
    </row>
    <row r="17359">
      <c r="A17359" s="39">
        <f>_xlfn.XLOOKUP(83161,Trip[shape_id],Trip[shape_id],"Não encontrado")</f>
        <v/>
      </c>
      <c r="B17359" s="40" t="n">
        <v>-23.582668</v>
      </c>
      <c r="C17359" s="40" t="n">
        <v>-46.550204</v>
      </c>
      <c r="D17359" s="40" t="n">
        <v>288</v>
      </c>
      <c r="E17359" s="41" t="n">
        <v>9172.5967</v>
      </c>
    </row>
    <row r="17360">
      <c r="A17360" s="42">
        <f>_xlfn.XLOOKUP(83161,Trip[shape_id],Trip[shape_id],"Não encontrado")</f>
        <v/>
      </c>
      <c r="B17360" s="43" t="n">
        <v>-23.582742</v>
      </c>
      <c r="C17360" s="43" t="n">
        <v>-46.550044</v>
      </c>
      <c r="D17360" s="43" t="n">
        <v>289</v>
      </c>
      <c r="E17360" s="44" t="n">
        <v>9190.8701</v>
      </c>
    </row>
    <row r="17361">
      <c r="A17361" s="39">
        <f>_xlfn.XLOOKUP(83161,Trip[shape_id],Trip[shape_id],"Não encontrado")</f>
        <v/>
      </c>
      <c r="B17361" s="40" t="n">
        <v>-23.582909</v>
      </c>
      <c r="C17361" s="40" t="n">
        <v>-46.549623</v>
      </c>
      <c r="D17361" s="40" t="n">
        <v>290</v>
      </c>
      <c r="E17361" s="41" t="n">
        <v>9237.6553</v>
      </c>
    </row>
    <row r="17362">
      <c r="A17362" s="42">
        <f>_xlfn.XLOOKUP(83161,Trip[shape_id],Trip[shape_id],"Não encontrado")</f>
        <v/>
      </c>
      <c r="B17362" s="43" t="n">
        <v>-23.583065</v>
      </c>
      <c r="C17362" s="43" t="n">
        <v>-46.549196</v>
      </c>
      <c r="D17362" s="43" t="n">
        <v>291</v>
      </c>
      <c r="E17362" s="44" t="n">
        <v>9284.540999999999</v>
      </c>
    </row>
    <row r="17363">
      <c r="A17363" s="39">
        <f>_xlfn.XLOOKUP(83161,Trip[shape_id],Trip[shape_id],"Não encontrado")</f>
        <v/>
      </c>
      <c r="B17363" s="40" t="n">
        <v>-23.583254</v>
      </c>
      <c r="C17363" s="40" t="n">
        <v>-46.548748</v>
      </c>
      <c r="D17363" s="40" t="n">
        <v>292</v>
      </c>
      <c r="E17363" s="41" t="n">
        <v>9334.834000000001</v>
      </c>
    </row>
    <row r="17364">
      <c r="A17364" s="42">
        <f>_xlfn.XLOOKUP(83161,Trip[shape_id],Trip[shape_id],"Não encontrado")</f>
        <v/>
      </c>
      <c r="B17364" s="43" t="n">
        <v>-23.583384</v>
      </c>
      <c r="C17364" s="43" t="n">
        <v>-46.548357</v>
      </c>
      <c r="D17364" s="43" t="n">
        <v>293</v>
      </c>
      <c r="E17364" s="44" t="n">
        <v>9377.2637</v>
      </c>
    </row>
    <row r="17365">
      <c r="A17365" s="39">
        <f>_xlfn.XLOOKUP(83161,Trip[shape_id],Trip[shape_id],"Não encontrado")</f>
        <v/>
      </c>
      <c r="B17365" s="40" t="n">
        <v>-23.583515</v>
      </c>
      <c r="C17365" s="40" t="n">
        <v>-46.547923</v>
      </c>
      <c r="D17365" s="40" t="n">
        <v>294</v>
      </c>
      <c r="E17365" s="41" t="n">
        <v>9423.8799</v>
      </c>
    </row>
    <row r="17366">
      <c r="A17366" s="42">
        <f>_xlfn.XLOOKUP(83161,Trip[shape_id],Trip[shape_id],"Não encontrado")</f>
        <v/>
      </c>
      <c r="B17366" s="43" t="n">
        <v>-23.583588</v>
      </c>
      <c r="C17366" s="43" t="n">
        <v>-46.547596</v>
      </c>
      <c r="D17366" s="43" t="n">
        <v>295</v>
      </c>
      <c r="E17366" s="44" t="n">
        <v>9471.6348</v>
      </c>
    </row>
    <row r="17367">
      <c r="A17367" s="39">
        <f>_xlfn.XLOOKUP(83161,Trip[shape_id],Trip[shape_id],"Não encontrado")</f>
        <v/>
      </c>
      <c r="B17367" s="40" t="n">
        <v>-23.583628</v>
      </c>
      <c r="C17367" s="40" t="n">
        <v>-46.547472</v>
      </c>
      <c r="D17367" s="40" t="n">
        <v>296</v>
      </c>
      <c r="E17367" s="41" t="n">
        <v>9483.8838</v>
      </c>
    </row>
    <row r="17368">
      <c r="A17368" s="42">
        <f>_xlfn.XLOOKUP(83161,Trip[shape_id],Trip[shape_id],"Não encontrado")</f>
        <v/>
      </c>
      <c r="B17368" s="43" t="n">
        <v>-23.583699</v>
      </c>
      <c r="C17368" s="43" t="n">
        <v>-46.54738</v>
      </c>
      <c r="D17368" s="43" t="n">
        <v>297</v>
      </c>
      <c r="E17368" s="44" t="n">
        <v>9483.8838</v>
      </c>
    </row>
    <row r="17369">
      <c r="A17369" s="39">
        <f>_xlfn.XLOOKUP(83161,Trip[shape_id],Trip[shape_id],"Não encontrado")</f>
        <v/>
      </c>
      <c r="B17369" s="40" t="n">
        <v>-23.58408</v>
      </c>
      <c r="C17369" s="40" t="n">
        <v>-46.54703</v>
      </c>
      <c r="D17369" s="40" t="n">
        <v>298</v>
      </c>
      <c r="E17369" s="41" t="n">
        <v>9539.1738</v>
      </c>
    </row>
    <row r="17370">
      <c r="A17370" s="42">
        <f>_xlfn.XLOOKUP(83161,Trip[shape_id],Trip[shape_id],"Não encontrado")</f>
        <v/>
      </c>
      <c r="B17370" s="43" t="n">
        <v>-23.584309</v>
      </c>
      <c r="C17370" s="43" t="n">
        <v>-46.546834</v>
      </c>
      <c r="D17370" s="43" t="n">
        <v>299</v>
      </c>
      <c r="E17370" s="44" t="n">
        <v>9571.477500000001</v>
      </c>
    </row>
    <row r="17371">
      <c r="A17371" s="39">
        <f>_xlfn.XLOOKUP(83161,Trip[shape_id],Trip[shape_id],"Não encontrado")</f>
        <v/>
      </c>
      <c r="B17371" s="40" t="n">
        <v>-23.584454</v>
      </c>
      <c r="C17371" s="40" t="n">
        <v>-46.546701</v>
      </c>
      <c r="D17371" s="40" t="n">
        <v>300</v>
      </c>
      <c r="E17371" s="41" t="n">
        <v>9592.5059</v>
      </c>
    </row>
    <row r="17372">
      <c r="A17372" s="42">
        <f>_xlfn.XLOOKUP(83161,Trip[shape_id],Trip[shape_id],"Não encontrado")</f>
        <v/>
      </c>
      <c r="B17372" s="43" t="n">
        <v>-23.584536</v>
      </c>
      <c r="C17372" s="43" t="n">
        <v>-46.546633</v>
      </c>
      <c r="D17372" s="43" t="n">
        <v>301</v>
      </c>
      <c r="E17372" s="44" t="n">
        <v>9603.9365</v>
      </c>
    </row>
    <row r="17373">
      <c r="A17373" s="39">
        <f>_xlfn.XLOOKUP(83161,Trip[shape_id],Trip[shape_id],"Não encontrado")</f>
        <v/>
      </c>
      <c r="B17373" s="40" t="n">
        <v>-23.584689</v>
      </c>
      <c r="C17373" s="40" t="n">
        <v>-46.546506</v>
      </c>
      <c r="D17373" s="40" t="n">
        <v>302</v>
      </c>
      <c r="E17373" s="41" t="n">
        <v>9654.3506</v>
      </c>
    </row>
    <row r="17374">
      <c r="A17374" s="42">
        <f>_xlfn.XLOOKUP(83161,Trip[shape_id],Trip[shape_id],"Não encontrado")</f>
        <v/>
      </c>
      <c r="B17374" s="43" t="n">
        <v>-23.584899</v>
      </c>
      <c r="C17374" s="43" t="n">
        <v>-46.546335</v>
      </c>
      <c r="D17374" s="43" t="n">
        <v>303</v>
      </c>
      <c r="E17374" s="44" t="n">
        <v>9665.5762</v>
      </c>
    </row>
    <row r="17375">
      <c r="A17375" s="39">
        <f>_xlfn.XLOOKUP(83161,Trip[shape_id],Trip[shape_id],"Não encontrado")</f>
        <v/>
      </c>
      <c r="B17375" s="40" t="n">
        <v>-23.584961</v>
      </c>
      <c r="C17375" s="40" t="n">
        <v>-46.546248</v>
      </c>
      <c r="D17375" s="40" t="n">
        <v>304</v>
      </c>
      <c r="E17375" s="41" t="n">
        <v>9665.5762</v>
      </c>
    </row>
    <row r="17376">
      <c r="A17376" s="42">
        <f>_xlfn.XLOOKUP(83161,Trip[shape_id],Trip[shape_id],"Não encontrado")</f>
        <v/>
      </c>
      <c r="B17376" s="43" t="n">
        <v>-23.585032</v>
      </c>
      <c r="C17376" s="43" t="n">
        <v>-46.546132</v>
      </c>
      <c r="D17376" s="43" t="n">
        <v>305</v>
      </c>
      <c r="E17376" s="44" t="n">
        <v>9718.0996</v>
      </c>
    </row>
    <row r="17377">
      <c r="A17377" s="39">
        <f>_xlfn.XLOOKUP(83161,Trip[shape_id],Trip[shape_id],"Não encontrado")</f>
        <v/>
      </c>
      <c r="B17377" s="40" t="n">
        <v>-23.585205</v>
      </c>
      <c r="C17377" s="40" t="n">
        <v>-46.545807</v>
      </c>
      <c r="D17377" s="40" t="n">
        <v>306</v>
      </c>
      <c r="E17377" s="41" t="n">
        <v>9718.0996</v>
      </c>
    </row>
    <row r="17378">
      <c r="A17378" s="42">
        <f>_xlfn.XLOOKUP(83161,Trip[shape_id],Trip[shape_id],"Não encontrado")</f>
        <v/>
      </c>
      <c r="B17378" s="43" t="n">
        <v>-23.585254</v>
      </c>
      <c r="C17378" s="43" t="n">
        <v>-46.545738</v>
      </c>
      <c r="D17378" s="43" t="n">
        <v>307</v>
      </c>
      <c r="E17378" s="44" t="n">
        <v>9726.9912</v>
      </c>
    </row>
    <row r="17379">
      <c r="A17379" s="39">
        <f>_xlfn.XLOOKUP(83161,Trip[shape_id],Trip[shape_id],"Não encontrado")</f>
        <v/>
      </c>
      <c r="B17379" s="40" t="n">
        <v>-23.585315</v>
      </c>
      <c r="C17379" s="40" t="n">
        <v>-46.545638</v>
      </c>
      <c r="D17379" s="40" t="n">
        <v>308</v>
      </c>
      <c r="E17379" s="41" t="n">
        <v>9784.892599999999</v>
      </c>
    </row>
    <row r="17380">
      <c r="A17380" s="42">
        <f>_xlfn.XLOOKUP(83161,Trip[shape_id],Trip[shape_id],"Não encontrado")</f>
        <v/>
      </c>
      <c r="B17380" s="43" t="n">
        <v>-23.58568</v>
      </c>
      <c r="C17380" s="43" t="n">
        <v>-46.54543</v>
      </c>
      <c r="D17380" s="43" t="n">
        <v>309</v>
      </c>
      <c r="E17380" s="44" t="n">
        <v>9784.892599999999</v>
      </c>
    </row>
    <row r="17381">
      <c r="A17381" s="39">
        <f>_xlfn.XLOOKUP(83161,Trip[shape_id],Trip[shape_id],"Não encontrado")</f>
        <v/>
      </c>
      <c r="B17381" s="40" t="n">
        <v>-23.585803</v>
      </c>
      <c r="C17381" s="40" t="n">
        <v>-46.545369</v>
      </c>
      <c r="D17381" s="40" t="n">
        <v>310</v>
      </c>
      <c r="E17381" s="41" t="n">
        <v>9799.8701</v>
      </c>
    </row>
    <row r="17382">
      <c r="A17382" s="42">
        <f>_xlfn.XLOOKUP(83161,Trip[shape_id],Trip[shape_id],"Não encontrado")</f>
        <v/>
      </c>
      <c r="B17382" s="43" t="n">
        <v>-23.586152</v>
      </c>
      <c r="C17382" s="43" t="n">
        <v>-46.545205</v>
      </c>
      <c r="D17382" s="43" t="n">
        <v>311</v>
      </c>
      <c r="E17382" s="44" t="n">
        <v>9850.997100000001</v>
      </c>
    </row>
    <row r="17383">
      <c r="A17383" s="39">
        <f>_xlfn.XLOOKUP(83161,Trip[shape_id],Trip[shape_id],"Não encontrado")</f>
        <v/>
      </c>
      <c r="B17383" s="40" t="n">
        <v>-23.586217</v>
      </c>
      <c r="C17383" s="40" t="n">
        <v>-46.545152</v>
      </c>
      <c r="D17383" s="40" t="n">
        <v>312</v>
      </c>
      <c r="E17383" s="41" t="n">
        <v>9850.997100000001</v>
      </c>
    </row>
    <row r="17384">
      <c r="A17384" s="42">
        <f>_xlfn.XLOOKUP(83161,Trip[shape_id],Trip[shape_id],"Não encontrado")</f>
        <v/>
      </c>
      <c r="B17384" s="43" t="n">
        <v>-23.586267</v>
      </c>
      <c r="C17384" s="43" t="n">
        <v>-46.545112</v>
      </c>
      <c r="D17384" s="43" t="n">
        <v>313</v>
      </c>
      <c r="E17384" s="44" t="n">
        <v>9907.168</v>
      </c>
    </row>
    <row r="17385">
      <c r="A17385" s="39">
        <f>_xlfn.XLOOKUP(83161,Trip[shape_id],Trip[shape_id],"Não encontrado")</f>
        <v/>
      </c>
      <c r="B17385" s="40" t="n">
        <v>-23.586609</v>
      </c>
      <c r="C17385" s="40" t="n">
        <v>-46.544803</v>
      </c>
      <c r="D17385" s="40" t="n">
        <v>314</v>
      </c>
      <c r="E17385" s="41" t="n">
        <v>9907.168</v>
      </c>
    </row>
    <row r="17386">
      <c r="A17386" s="42">
        <f>_xlfn.XLOOKUP(83161,Trip[shape_id],Trip[shape_id],"Não encontrado")</f>
        <v/>
      </c>
      <c r="B17386" s="43" t="n">
        <v>-23.586624</v>
      </c>
      <c r="C17386" s="43" t="n">
        <v>-46.544792</v>
      </c>
      <c r="D17386" s="43" t="n">
        <v>315</v>
      </c>
      <c r="E17386" s="44" t="n">
        <v>9909.170899999999</v>
      </c>
    </row>
    <row r="17387">
      <c r="A17387" s="39">
        <f>_xlfn.XLOOKUP(83161,Trip[shape_id],Trip[shape_id],"Não encontrado")</f>
        <v/>
      </c>
      <c r="B17387" s="40" t="n">
        <v>-23.586893</v>
      </c>
      <c r="C17387" s="40" t="n">
        <v>-46.544546</v>
      </c>
      <c r="D17387" s="40" t="n">
        <v>316</v>
      </c>
      <c r="E17387" s="41" t="n">
        <v>9948.1338</v>
      </c>
    </row>
    <row r="17388">
      <c r="A17388" s="42">
        <f>_xlfn.XLOOKUP(83161,Trip[shape_id],Trip[shape_id],"Não encontrado")</f>
        <v/>
      </c>
      <c r="B17388" s="43" t="n">
        <v>-23.58743</v>
      </c>
      <c r="C17388" s="43" t="n">
        <v>-46.544116</v>
      </c>
      <c r="D17388" s="43" t="n">
        <v>317</v>
      </c>
      <c r="E17388" s="44" t="n">
        <v>10022.05</v>
      </c>
    </row>
    <row r="17389">
      <c r="A17389" s="39">
        <f>_xlfn.XLOOKUP(83161,Trip[shape_id],Trip[shape_id],"Não encontrado")</f>
        <v/>
      </c>
      <c r="B17389" s="40" t="n">
        <v>-23.58745</v>
      </c>
      <c r="C17389" s="40" t="n">
        <v>-46.5441</v>
      </c>
      <c r="D17389" s="40" t="n">
        <v>318</v>
      </c>
      <c r="E17389" s="41" t="n">
        <v>10024.803</v>
      </c>
    </row>
    <row r="17390">
      <c r="A17390" s="42">
        <f>_xlfn.XLOOKUP(83161,Trip[shape_id],Trip[shape_id],"Não encontrado")</f>
        <v/>
      </c>
      <c r="B17390" s="43" t="n">
        <v>-23.587866</v>
      </c>
      <c r="C17390" s="43" t="n">
        <v>-46.543819</v>
      </c>
      <c r="D17390" s="43" t="n">
        <v>319</v>
      </c>
      <c r="E17390" s="44" t="n">
        <v>10079.074</v>
      </c>
    </row>
    <row r="17391">
      <c r="A17391" s="39">
        <f>_xlfn.XLOOKUP(83161,Trip[shape_id],Trip[shape_id],"Não encontrado")</f>
        <v/>
      </c>
      <c r="B17391" s="40" t="n">
        <v>-23.588162</v>
      </c>
      <c r="C17391" s="40" t="n">
        <v>-46.543601</v>
      </c>
      <c r="D17391" s="40" t="n">
        <v>320</v>
      </c>
      <c r="E17391" s="41" t="n">
        <v>10118.695</v>
      </c>
    </row>
    <row r="17392">
      <c r="A17392" s="42">
        <f>_xlfn.XLOOKUP(83161,Trip[shape_id],Trip[shape_id],"Não encontrado")</f>
        <v/>
      </c>
      <c r="B17392" s="43" t="n">
        <v>-23.587523</v>
      </c>
      <c r="C17392" s="43" t="n">
        <v>-46.543302</v>
      </c>
      <c r="D17392" s="43" t="n">
        <v>321</v>
      </c>
      <c r="E17392" s="44" t="n">
        <v>10195.767</v>
      </c>
    </row>
    <row r="17393">
      <c r="A17393" s="39">
        <f>_xlfn.XLOOKUP(83161,Trip[shape_id],Trip[shape_id],"Não encontrado")</f>
        <v/>
      </c>
      <c r="B17393" s="40" t="n">
        <v>-23.587405</v>
      </c>
      <c r="C17393" s="40" t="n">
        <v>-46.543249</v>
      </c>
      <c r="D17393" s="40" t="n">
        <v>322</v>
      </c>
      <c r="E17393" s="41" t="n">
        <v>10209.91</v>
      </c>
    </row>
    <row r="17394">
      <c r="A17394" s="42">
        <f>_xlfn.XLOOKUP(83161,Trip[shape_id],Trip[shape_id],"Não encontrado")</f>
        <v/>
      </c>
      <c r="B17394" s="43" t="n">
        <v>-23.587193</v>
      </c>
      <c r="C17394" s="43" t="n">
        <v>-46.54315</v>
      </c>
      <c r="D17394" s="43" t="n">
        <v>323</v>
      </c>
      <c r="E17394" s="44" t="n">
        <v>10260.733</v>
      </c>
    </row>
    <row r="17395">
      <c r="A17395" s="39">
        <f>_xlfn.XLOOKUP(83161,Trip[shape_id],Trip[shape_id],"Não encontrado")</f>
        <v/>
      </c>
      <c r="B17395" s="40" t="n">
        <v>-23.586982</v>
      </c>
      <c r="C17395" s="40" t="n">
        <v>-46.543056</v>
      </c>
      <c r="D17395" s="40" t="n">
        <v>324</v>
      </c>
      <c r="E17395" s="41" t="n">
        <v>10260.733</v>
      </c>
    </row>
    <row r="17396">
      <c r="A17396" s="42">
        <f>_xlfn.XLOOKUP(83161,Trip[shape_id],Trip[shape_id],"Não encontrado")</f>
        <v/>
      </c>
      <c r="B17396" s="43" t="n">
        <v>-23.58654</v>
      </c>
      <c r="C17396" s="43" t="n">
        <v>-46.542854</v>
      </c>
      <c r="D17396" s="43" t="n">
        <v>325</v>
      </c>
      <c r="E17396" s="44" t="n">
        <v>10313.852</v>
      </c>
    </row>
    <row r="17397">
      <c r="A17397" s="39">
        <f>_xlfn.XLOOKUP(83161,Trip[shape_id],Trip[shape_id],"Não encontrado")</f>
        <v/>
      </c>
      <c r="B17397" s="40" t="n">
        <v>-23.586137</v>
      </c>
      <c r="C17397" s="40" t="n">
        <v>-46.54267</v>
      </c>
      <c r="D17397" s="40" t="n">
        <v>326</v>
      </c>
      <c r="E17397" s="41" t="n">
        <v>10362.275</v>
      </c>
    </row>
    <row r="17398">
      <c r="A17398" s="42">
        <f>_xlfn.XLOOKUP(83161,Trip[shape_id],Trip[shape_id],"Não encontrado")</f>
        <v/>
      </c>
      <c r="B17398" s="43" t="n">
        <v>-23.586108</v>
      </c>
      <c r="C17398" s="43" t="n">
        <v>-46.542658</v>
      </c>
      <c r="D17398" s="43" t="n">
        <v>327</v>
      </c>
      <c r="E17398" s="44" t="n">
        <v>10365.712</v>
      </c>
    </row>
    <row r="17399">
      <c r="A17399" s="39">
        <f>_xlfn.XLOOKUP(83161,Trip[shape_id],Trip[shape_id],"Não encontrado")</f>
        <v/>
      </c>
      <c r="B17399" s="40" t="n">
        <v>-23.585701</v>
      </c>
      <c r="C17399" s="40" t="n">
        <v>-46.542472</v>
      </c>
      <c r="D17399" s="40" t="n">
        <v>328</v>
      </c>
      <c r="E17399" s="41" t="n">
        <v>10414.623</v>
      </c>
    </row>
    <row r="17400">
      <c r="A17400" s="42">
        <f>_xlfn.XLOOKUP(83161,Trip[shape_id],Trip[shape_id],"Não encontrado")</f>
        <v/>
      </c>
      <c r="B17400" s="43" t="n">
        <v>-23.585291</v>
      </c>
      <c r="C17400" s="43" t="n">
        <v>-46.542278</v>
      </c>
      <c r="D17400" s="43" t="n">
        <v>329</v>
      </c>
      <c r="E17400" s="44" t="n">
        <v>10464.161</v>
      </c>
    </row>
    <row r="17401">
      <c r="A17401" s="39">
        <f>_xlfn.XLOOKUP(83161,Trip[shape_id],Trip[shape_id],"Não encontrado")</f>
        <v/>
      </c>
      <c r="B17401" s="40" t="n">
        <v>-23.585085</v>
      </c>
      <c r="C17401" s="40" t="n">
        <v>-46.542181</v>
      </c>
      <c r="D17401" s="40" t="n">
        <v>330</v>
      </c>
      <c r="E17401" s="41" t="n">
        <v>10489.032</v>
      </c>
    </row>
    <row r="17402">
      <c r="A17402" s="42">
        <f>_xlfn.XLOOKUP(83161,Trip[shape_id],Trip[shape_id],"Não encontrado")</f>
        <v/>
      </c>
      <c r="B17402" s="43" t="n">
        <v>-23.584588</v>
      </c>
      <c r="C17402" s="43" t="n">
        <v>-46.541948</v>
      </c>
      <c r="D17402" s="43" t="n">
        <v>331</v>
      </c>
      <c r="E17402" s="44" t="n">
        <v>10548.995</v>
      </c>
    </row>
    <row r="17403">
      <c r="A17403" s="39">
        <f>_xlfn.XLOOKUP(83161,Trip[shape_id],Trip[shape_id],"Não encontrado")</f>
        <v/>
      </c>
      <c r="B17403" s="40" t="n">
        <v>-23.58439</v>
      </c>
      <c r="C17403" s="40" t="n">
        <v>-46.541863</v>
      </c>
      <c r="D17403" s="40" t="n">
        <v>332</v>
      </c>
      <c r="E17403" s="41" t="n">
        <v>10572.578</v>
      </c>
    </row>
    <row r="17404">
      <c r="A17404" s="42">
        <f>_xlfn.XLOOKUP(83161,Trip[shape_id],Trip[shape_id],"Não encontrado")</f>
        <v/>
      </c>
      <c r="B17404" s="43" t="n">
        <v>-23.583994</v>
      </c>
      <c r="C17404" s="43" t="n">
        <v>-46.541672</v>
      </c>
      <c r="D17404" s="43" t="n">
        <v>333</v>
      </c>
      <c r="E17404" s="44" t="n">
        <v>10620.574</v>
      </c>
    </row>
    <row r="17405">
      <c r="A17405" s="39">
        <f>_xlfn.XLOOKUP(83161,Trip[shape_id],Trip[shape_id],"Não encontrado")</f>
        <v/>
      </c>
      <c r="B17405" s="40" t="n">
        <v>-23.584217</v>
      </c>
      <c r="C17405" s="40" t="n">
        <v>-46.540988</v>
      </c>
      <c r="D17405" s="40" t="n">
        <v>334</v>
      </c>
      <c r="E17405" s="41" t="n">
        <v>10723.52</v>
      </c>
    </row>
    <row r="17406">
      <c r="A17406" s="42">
        <f>_xlfn.XLOOKUP(83161,Trip[shape_id],Trip[shape_id],"Não encontrado")</f>
        <v/>
      </c>
      <c r="B17406" s="43" t="n">
        <v>-23.584306</v>
      </c>
      <c r="C17406" s="43" t="n">
        <v>-46.540722</v>
      </c>
      <c r="D17406" s="43" t="n">
        <v>335</v>
      </c>
      <c r="E17406" s="44" t="n">
        <v>10820.318</v>
      </c>
    </row>
    <row r="17407">
      <c r="A17407" s="39">
        <f>_xlfn.XLOOKUP(83161,Trip[shape_id],Trip[shape_id],"Não encontrado")</f>
        <v/>
      </c>
      <c r="B17407" s="40" t="n">
        <v>-23.584658</v>
      </c>
      <c r="C17407" s="40" t="n">
        <v>-46.539854</v>
      </c>
      <c r="D17407" s="40" t="n">
        <v>336</v>
      </c>
      <c r="E17407" s="41" t="n">
        <v>10820.318</v>
      </c>
    </row>
    <row r="17408">
      <c r="A17408" s="42">
        <f>_xlfn.XLOOKUP(83161,Trip[shape_id],Trip[shape_id],"Não encontrado")</f>
        <v/>
      </c>
      <c r="B17408" s="43" t="n">
        <v>-23.584808</v>
      </c>
      <c r="C17408" s="43" t="n">
        <v>-46.539479</v>
      </c>
      <c r="D17408" s="43" t="n">
        <v>337</v>
      </c>
      <c r="E17408" s="44" t="n">
        <v>10862.046</v>
      </c>
    </row>
    <row r="17409">
      <c r="A17409" s="39">
        <f>_xlfn.XLOOKUP(83161,Trip[shape_id],Trip[shape_id],"Não encontrado")</f>
        <v/>
      </c>
      <c r="B17409" s="40" t="n">
        <v>-23.585049</v>
      </c>
      <c r="C17409" s="40" t="n">
        <v>-46.538862</v>
      </c>
      <c r="D17409" s="40" t="n">
        <v>338</v>
      </c>
      <c r="E17409" s="41" t="n">
        <v>10930.449</v>
      </c>
    </row>
    <row r="17410">
      <c r="A17410" s="42">
        <f>_xlfn.XLOOKUP(83161,Trip[shape_id],Trip[shape_id],"Não encontrado")</f>
        <v/>
      </c>
      <c r="B17410" s="43" t="n">
        <v>-23.585567</v>
      </c>
      <c r="C17410" s="43" t="n">
        <v>-46.537557</v>
      </c>
      <c r="D17410" s="43" t="n">
        <v>339</v>
      </c>
      <c r="E17410" s="44" t="n">
        <v>11075.486</v>
      </c>
    </row>
    <row r="17411">
      <c r="A17411" s="39">
        <f>_xlfn.XLOOKUP(83161,Trip[shape_id],Trip[shape_id],"Não encontrado")</f>
        <v/>
      </c>
      <c r="B17411" s="40" t="n">
        <v>-23.585711</v>
      </c>
      <c r="C17411" s="40" t="n">
        <v>-46.537202</v>
      </c>
      <c r="D17411" s="40" t="n">
        <v>340</v>
      </c>
      <c r="E17411" s="41" t="n">
        <v>11115.077</v>
      </c>
    </row>
    <row r="17412">
      <c r="A17412" s="42">
        <f>_xlfn.XLOOKUP(83161,Trip[shape_id],Trip[shape_id],"Não encontrado")</f>
        <v/>
      </c>
      <c r="B17412" s="43" t="n">
        <v>-23.585822</v>
      </c>
      <c r="C17412" s="43" t="n">
        <v>-46.53696</v>
      </c>
      <c r="D17412" s="43" t="n">
        <v>341</v>
      </c>
      <c r="E17412" s="44" t="n">
        <v>11142.669</v>
      </c>
    </row>
    <row r="17413">
      <c r="A17413" s="39">
        <f>_xlfn.XLOOKUP(83161,Trip[shape_id],Trip[shape_id],"Não encontrado")</f>
        <v/>
      </c>
      <c r="B17413" s="40" t="n">
        <v>-23.586077</v>
      </c>
      <c r="C17413" s="40" t="n">
        <v>-46.536304</v>
      </c>
      <c r="D17413" s="40" t="n">
        <v>342</v>
      </c>
      <c r="E17413" s="41" t="n">
        <v>11339.712</v>
      </c>
    </row>
    <row r="17414">
      <c r="A17414" s="42">
        <f>_xlfn.XLOOKUP(83161,Trip[shape_id],Trip[shape_id],"Não encontrado")</f>
        <v/>
      </c>
      <c r="B17414" s="43" t="n">
        <v>-23.586536</v>
      </c>
      <c r="C17414" s="43" t="n">
        <v>-46.535192</v>
      </c>
      <c r="D17414" s="43" t="n">
        <v>343</v>
      </c>
      <c r="E17414" s="44" t="n">
        <v>11339.712</v>
      </c>
    </row>
    <row r="17415">
      <c r="A17415" s="39">
        <f>_xlfn.XLOOKUP(83161,Trip[shape_id],Trip[shape_id],"Não encontrado")</f>
        <v/>
      </c>
      <c r="B17415" s="40" t="n">
        <v>-23.586668</v>
      </c>
      <c r="C17415" s="40" t="n">
        <v>-46.534867</v>
      </c>
      <c r="D17415" s="40" t="n">
        <v>344</v>
      </c>
      <c r="E17415" s="41" t="n">
        <v>11375.965</v>
      </c>
    </row>
    <row r="17416">
      <c r="A17416" s="42">
        <f>_xlfn.XLOOKUP(83161,Trip[shape_id],Trip[shape_id],"Não encontrado")</f>
        <v/>
      </c>
      <c r="B17416" s="43" t="n">
        <v>-23.586842</v>
      </c>
      <c r="C17416" s="43" t="n">
        <v>-46.534414</v>
      </c>
      <c r="D17416" s="43" t="n">
        <v>345</v>
      </c>
      <c r="E17416" s="44" t="n">
        <v>11426.06</v>
      </c>
    </row>
    <row r="17417">
      <c r="A17417" s="39">
        <f>_xlfn.XLOOKUP(83161,Trip[shape_id],Trip[shape_id],"Não encontrado")</f>
        <v/>
      </c>
      <c r="B17417" s="40" t="n">
        <v>-23.586944</v>
      </c>
      <c r="C17417" s="40" t="n">
        <v>-46.534156</v>
      </c>
      <c r="D17417" s="40" t="n">
        <v>346</v>
      </c>
      <c r="E17417" s="41" t="n">
        <v>11454.715</v>
      </c>
    </row>
    <row r="17418">
      <c r="A17418" s="42">
        <f>_xlfn.XLOOKUP(83161,Trip[shape_id],Trip[shape_id],"Não encontrado")</f>
        <v/>
      </c>
      <c r="B17418" s="43" t="n">
        <v>-23.587048</v>
      </c>
      <c r="C17418" s="43" t="n">
        <v>-46.533911</v>
      </c>
      <c r="D17418" s="43" t="n">
        <v>347</v>
      </c>
      <c r="E17418" s="44" t="n">
        <v>11482.248</v>
      </c>
    </row>
    <row r="17419">
      <c r="A17419" s="39">
        <f>_xlfn.XLOOKUP(83161,Trip[shape_id],Trip[shape_id],"Não encontrado")</f>
        <v/>
      </c>
      <c r="B17419" s="40" t="n">
        <v>-23.587092</v>
      </c>
      <c r="C17419" s="40" t="n">
        <v>-46.533787</v>
      </c>
      <c r="D17419" s="40" t="n">
        <v>348</v>
      </c>
      <c r="E17419" s="41" t="n">
        <v>11495.812</v>
      </c>
    </row>
    <row r="17420">
      <c r="A17420" s="42">
        <f>_xlfn.XLOOKUP(83161,Trip[shape_id],Trip[shape_id],"Não encontrado")</f>
        <v/>
      </c>
      <c r="B17420" s="43" t="n">
        <v>-23.587178</v>
      </c>
      <c r="C17420" s="43" t="n">
        <v>-46.533576</v>
      </c>
      <c r="D17420" s="43" t="n">
        <v>349</v>
      </c>
      <c r="E17420" s="44" t="n">
        <v>11588.435</v>
      </c>
    </row>
    <row r="17421">
      <c r="A17421" s="39">
        <f>_xlfn.XLOOKUP(83161,Trip[shape_id],Trip[shape_id],"Não encontrado")</f>
        <v/>
      </c>
      <c r="B17421" s="40" t="n">
        <v>-23.58743</v>
      </c>
      <c r="C17421" s="40" t="n">
        <v>-46.532957</v>
      </c>
      <c r="D17421" s="40" t="n">
        <v>350</v>
      </c>
      <c r="E17421" s="41" t="n">
        <v>11588.435</v>
      </c>
    </row>
    <row r="17422">
      <c r="A17422" s="42">
        <f>_xlfn.XLOOKUP(83161,Trip[shape_id],Trip[shape_id],"Não encontrado")</f>
        <v/>
      </c>
      <c r="B17422" s="43" t="n">
        <v>-23.587643</v>
      </c>
      <c r="C17422" s="43" t="n">
        <v>-46.532393</v>
      </c>
      <c r="D17422" s="43" t="n">
        <v>351</v>
      </c>
      <c r="E17422" s="44" t="n">
        <v>11650.649</v>
      </c>
    </row>
    <row r="17423">
      <c r="A17423" s="39">
        <f>_xlfn.XLOOKUP(83161,Trip[shape_id],Trip[shape_id],"Não encontrado")</f>
        <v/>
      </c>
      <c r="B17423" s="40" t="n">
        <v>-23.587725</v>
      </c>
      <c r="C17423" s="40" t="n">
        <v>-46.532375</v>
      </c>
      <c r="D17423" s="40" t="n">
        <v>352</v>
      </c>
      <c r="E17423" s="41" t="n">
        <v>11685.268</v>
      </c>
    </row>
    <row r="17424">
      <c r="A17424" s="42">
        <f>_xlfn.XLOOKUP(83161,Trip[shape_id],Trip[shape_id],"Não encontrado")</f>
        <v/>
      </c>
      <c r="B17424" s="43" t="n">
        <v>-23.587952</v>
      </c>
      <c r="C17424" s="43" t="n">
        <v>-46.532343</v>
      </c>
      <c r="D17424" s="43" t="n">
        <v>353</v>
      </c>
      <c r="E17424" s="44" t="n">
        <v>11695.713</v>
      </c>
    </row>
    <row r="17425">
      <c r="A17425" s="39">
        <f>_xlfn.XLOOKUP(83161,Trip[shape_id],Trip[shape_id],"Não encontrado")</f>
        <v/>
      </c>
      <c r="B17425" s="40" t="n">
        <v>-23.588045</v>
      </c>
      <c r="C17425" s="40" t="n">
        <v>-46.532326</v>
      </c>
      <c r="D17425" s="40" t="n">
        <v>354</v>
      </c>
      <c r="E17425" s="41" t="n">
        <v>11695.713</v>
      </c>
    </row>
    <row r="17426">
      <c r="A17426" s="42">
        <f>_xlfn.XLOOKUP(83161,Trip[shape_id],Trip[shape_id],"Não encontrado")</f>
        <v/>
      </c>
      <c r="B17426" s="43" t="n">
        <v>-23.588623</v>
      </c>
      <c r="C17426" s="43" t="n">
        <v>-46.532242</v>
      </c>
      <c r="D17426" s="43" t="n">
        <v>355</v>
      </c>
      <c r="E17426" s="44" t="n">
        <v>11760.3</v>
      </c>
    </row>
    <row r="17427">
      <c r="A17427" s="39">
        <f>_xlfn.XLOOKUP(83161,Trip[shape_id],Trip[shape_id],"Não encontrado")</f>
        <v/>
      </c>
      <c r="B17427" s="40" t="n">
        <v>-23.589329</v>
      </c>
      <c r="C17427" s="40" t="n">
        <v>-46.532157</v>
      </c>
      <c r="D17427" s="40" t="n">
        <v>356</v>
      </c>
      <c r="E17427" s="41" t="n">
        <v>11838.971</v>
      </c>
    </row>
    <row r="17428">
      <c r="A17428" s="42">
        <f>_xlfn.XLOOKUP(83161,Trip[shape_id],Trip[shape_id],"Não encontrado")</f>
        <v/>
      </c>
      <c r="B17428" s="43" t="n">
        <v>-23.589596</v>
      </c>
      <c r="C17428" s="43" t="n">
        <v>-46.532121</v>
      </c>
      <c r="D17428" s="43" t="n">
        <v>357</v>
      </c>
      <c r="E17428" s="44" t="n">
        <v>11868.769</v>
      </c>
    </row>
    <row r="17429">
      <c r="A17429" s="39">
        <f>_xlfn.XLOOKUP(83161,Trip[shape_id],Trip[shape_id],"Não encontrado")</f>
        <v/>
      </c>
      <c r="B17429" s="40" t="n">
        <v>-23.589743</v>
      </c>
      <c r="C17429" s="40" t="n">
        <v>-46.532118</v>
      </c>
      <c r="D17429" s="40" t="n">
        <v>358</v>
      </c>
      <c r="E17429" s="41" t="n">
        <v>11885.052</v>
      </c>
    </row>
    <row r="17430">
      <c r="A17430" s="42">
        <f>_xlfn.XLOOKUP(83161,Trip[shape_id],Trip[shape_id],"Não encontrado")</f>
        <v/>
      </c>
      <c r="B17430" s="43" t="n">
        <v>-23.5899</v>
      </c>
      <c r="C17430" s="43" t="n">
        <v>-46.5321</v>
      </c>
      <c r="D17430" s="43" t="n">
        <v>359</v>
      </c>
      <c r="E17430" s="44" t="n">
        <v>11916.538</v>
      </c>
    </row>
    <row r="17431">
      <c r="A17431" s="39">
        <f>_xlfn.XLOOKUP(83161,Trip[shape_id],Trip[shape_id],"Não encontrado")</f>
        <v/>
      </c>
      <c r="B17431" s="40" t="n">
        <v>-23.590022</v>
      </c>
      <c r="C17431" s="40" t="n">
        <v>-46.532064</v>
      </c>
      <c r="D17431" s="40" t="n">
        <v>360</v>
      </c>
      <c r="E17431" s="41" t="n">
        <v>11934.582</v>
      </c>
    </row>
    <row r="17432">
      <c r="A17432" s="42">
        <f>_xlfn.XLOOKUP(83161,Trip[shape_id],Trip[shape_id],"Não encontrado")</f>
        <v/>
      </c>
      <c r="B17432" s="43" t="n">
        <v>-23.590172</v>
      </c>
      <c r="C17432" s="43" t="n">
        <v>-46.531995</v>
      </c>
      <c r="D17432" s="43" t="n">
        <v>361</v>
      </c>
      <c r="E17432" s="44" t="n">
        <v>11946.656</v>
      </c>
    </row>
    <row r="17433">
      <c r="A17433" s="39">
        <f>_xlfn.XLOOKUP(83161,Trip[shape_id],Trip[shape_id],"Não encontrado")</f>
        <v/>
      </c>
      <c r="B17433" s="40" t="n">
        <v>-23.590269</v>
      </c>
      <c r="C17433" s="40" t="n">
        <v>-46.531941</v>
      </c>
      <c r="D17433" s="40" t="n">
        <v>362</v>
      </c>
      <c r="E17433" s="41" t="n">
        <v>11946.656</v>
      </c>
    </row>
    <row r="17434">
      <c r="A17434" s="42">
        <f>_xlfn.XLOOKUP(83161,Trip[shape_id],Trip[shape_id],"Não encontrado")</f>
        <v/>
      </c>
      <c r="B17434" s="43" t="n">
        <v>-23.590368</v>
      </c>
      <c r="C17434" s="43" t="n">
        <v>-46.531885</v>
      </c>
      <c r="D17434" s="43" t="n">
        <v>363</v>
      </c>
      <c r="E17434" s="44" t="n">
        <v>11977.418</v>
      </c>
    </row>
    <row r="17435">
      <c r="A17435" s="39">
        <f>_xlfn.XLOOKUP(83161,Trip[shape_id],Trip[shape_id],"Não encontrado")</f>
        <v/>
      </c>
      <c r="B17435" s="40" t="n">
        <v>-23.590508</v>
      </c>
      <c r="C17435" s="40" t="n">
        <v>-46.531788</v>
      </c>
      <c r="D17435" s="40" t="n">
        <v>364</v>
      </c>
      <c r="E17435" s="41" t="n">
        <v>11990.437</v>
      </c>
    </row>
    <row r="17436">
      <c r="A17436" s="42">
        <f>_xlfn.XLOOKUP(83161,Trip[shape_id],Trip[shape_id],"Não encontrado")</f>
        <v/>
      </c>
      <c r="B17436" s="43" t="n">
        <v>-23.590601</v>
      </c>
      <c r="C17436" s="43" t="n">
        <v>-46.53171</v>
      </c>
      <c r="D17436" s="43" t="n">
        <v>365</v>
      </c>
      <c r="E17436" s="44" t="n">
        <v>12012.366</v>
      </c>
    </row>
    <row r="17437">
      <c r="A17437" s="39">
        <f>_xlfn.XLOOKUP(83161,Trip[shape_id],Trip[shape_id],"Não encontrado")</f>
        <v/>
      </c>
      <c r="B17437" s="40" t="n">
        <v>-23.59073</v>
      </c>
      <c r="C17437" s="40" t="n">
        <v>-46.531547</v>
      </c>
      <c r="D17437" s="40" t="n">
        <v>366</v>
      </c>
      <c r="E17437" s="41" t="n">
        <v>12012.366</v>
      </c>
    </row>
    <row r="17438">
      <c r="A17438" s="42">
        <f>_xlfn.XLOOKUP(83161,Trip[shape_id],Trip[shape_id],"Não encontrado")</f>
        <v/>
      </c>
      <c r="B17438" s="43" t="n">
        <v>-23.590882</v>
      </c>
      <c r="C17438" s="43" t="n">
        <v>-46.531284</v>
      </c>
      <c r="D17438" s="43" t="n">
        <v>367</v>
      </c>
      <c r="E17438" s="44" t="n">
        <v>12071.163</v>
      </c>
    </row>
    <row r="17439">
      <c r="A17439" s="39">
        <f>_xlfn.XLOOKUP(83161,Trip[shape_id],Trip[shape_id],"Não encontrado")</f>
        <v/>
      </c>
      <c r="B17439" s="40" t="n">
        <v>-23.591006</v>
      </c>
      <c r="C17439" s="40" t="n">
        <v>-46.531055</v>
      </c>
      <c r="D17439" s="40" t="n">
        <v>368</v>
      </c>
      <c r="E17439" s="41" t="n">
        <v>12071.163</v>
      </c>
    </row>
    <row r="17440">
      <c r="A17440" s="42">
        <f>_xlfn.XLOOKUP(83161,Trip[shape_id],Trip[shape_id],"Não encontrado")</f>
        <v/>
      </c>
      <c r="B17440" s="43" t="n">
        <v>-23.591144</v>
      </c>
      <c r="C17440" s="43" t="n">
        <v>-46.530795</v>
      </c>
      <c r="D17440" s="43" t="n">
        <v>369</v>
      </c>
      <c r="E17440" s="44" t="n">
        <v>12125.467</v>
      </c>
    </row>
    <row r="17441">
      <c r="A17441" s="39">
        <f>_xlfn.XLOOKUP(83161,Trip[shape_id],Trip[shape_id],"Não encontrado")</f>
        <v/>
      </c>
      <c r="B17441" s="40" t="n">
        <v>-23.591264</v>
      </c>
      <c r="C17441" s="40" t="n">
        <v>-46.530603</v>
      </c>
      <c r="D17441" s="40" t="n">
        <v>370</v>
      </c>
      <c r="E17441" s="41" t="n">
        <v>12125.467</v>
      </c>
    </row>
    <row r="17442">
      <c r="A17442" s="42">
        <f>_xlfn.XLOOKUP(83161,Trip[shape_id],Trip[shape_id],"Não encontrado")</f>
        <v/>
      </c>
      <c r="B17442" s="43" t="n">
        <v>-23.591289</v>
      </c>
      <c r="C17442" s="43" t="n">
        <v>-46.530554</v>
      </c>
      <c r="D17442" s="43" t="n">
        <v>371</v>
      </c>
      <c r="E17442" s="44" t="n">
        <v>12154.032</v>
      </c>
    </row>
    <row r="17443">
      <c r="A17443" s="39">
        <f>_xlfn.XLOOKUP(83161,Trip[shape_id],Trip[shape_id],"Não encontrado")</f>
        <v/>
      </c>
      <c r="B17443" s="40" t="n">
        <v>-23.591387</v>
      </c>
      <c r="C17443" s="40" t="n">
        <v>-46.530357</v>
      </c>
      <c r="D17443" s="40" t="n">
        <v>372</v>
      </c>
      <c r="E17443" s="41" t="n">
        <v>12174.571</v>
      </c>
    </row>
    <row r="17444">
      <c r="A17444" s="42">
        <f>_xlfn.XLOOKUP(83161,Trip[shape_id],Trip[shape_id],"Não encontrado")</f>
        <v/>
      </c>
      <c r="B17444" s="43" t="n">
        <v>-23.591503</v>
      </c>
      <c r="C17444" s="43" t="n">
        <v>-46.5302</v>
      </c>
      <c r="D17444" s="43" t="n">
        <v>373</v>
      </c>
      <c r="E17444" s="44" t="n">
        <v>12240.775</v>
      </c>
    </row>
    <row r="17445">
      <c r="A17445" s="39">
        <f>_xlfn.XLOOKUP(83161,Trip[shape_id],Trip[shape_id],"Não encontrado")</f>
        <v/>
      </c>
      <c r="B17445" s="40" t="n">
        <v>-23.591913</v>
      </c>
      <c r="C17445" s="40" t="n">
        <v>-46.529728</v>
      </c>
      <c r="D17445" s="40" t="n">
        <v>374</v>
      </c>
      <c r="E17445" s="41" t="n">
        <v>12240.775</v>
      </c>
    </row>
    <row r="17446">
      <c r="A17446" s="42">
        <f>_xlfn.XLOOKUP(83161,Trip[shape_id],Trip[shape_id],"Não encontrado")</f>
        <v/>
      </c>
      <c r="B17446" s="43" t="n">
        <v>-23.592929</v>
      </c>
      <c r="C17446" s="43" t="n">
        <v>-46.528556</v>
      </c>
      <c r="D17446" s="43" t="n">
        <v>375</v>
      </c>
      <c r="E17446" s="44" t="n">
        <v>12405.007</v>
      </c>
    </row>
    <row r="17447">
      <c r="A17447" s="39">
        <f>_xlfn.XLOOKUP(83161,Trip[shape_id],Trip[shape_id],"Não encontrado")</f>
        <v/>
      </c>
      <c r="B17447" s="40" t="n">
        <v>-23.593131</v>
      </c>
      <c r="C17447" s="40" t="n">
        <v>-46.528336</v>
      </c>
      <c r="D17447" s="40" t="n">
        <v>376</v>
      </c>
      <c r="E17447" s="41" t="n">
        <v>12445.715</v>
      </c>
    </row>
    <row r="17448">
      <c r="A17448" s="42">
        <f>_xlfn.XLOOKUP(83161,Trip[shape_id],Trip[shape_id],"Não encontrado")</f>
        <v/>
      </c>
      <c r="B17448" s="43" t="n">
        <v>-23.593188</v>
      </c>
      <c r="C17448" s="43" t="n">
        <v>-46.528273</v>
      </c>
      <c r="D17448" s="43" t="n">
        <v>377</v>
      </c>
      <c r="E17448" s="44" t="n">
        <v>12453.246</v>
      </c>
    </row>
    <row r="17449">
      <c r="A17449" s="39">
        <f>_xlfn.XLOOKUP(83161,Trip[shape_id],Trip[shape_id],"Não encontrado")</f>
        <v/>
      </c>
      <c r="B17449" s="40" t="n">
        <v>-23.593238</v>
      </c>
      <c r="C17449" s="40" t="n">
        <v>-46.528223</v>
      </c>
      <c r="D17449" s="40" t="n">
        <v>378</v>
      </c>
      <c r="E17449" s="41" t="n">
        <v>12474.961</v>
      </c>
    </row>
    <row r="17450">
      <c r="A17450" s="42">
        <f>_xlfn.XLOOKUP(83161,Trip[shape_id],Trip[shape_id],"Não encontrado")</f>
        <v/>
      </c>
      <c r="B17450" s="43" t="n">
        <v>-23.593388</v>
      </c>
      <c r="C17450" s="43" t="n">
        <v>-46.528086</v>
      </c>
      <c r="D17450" s="43" t="n">
        <v>379</v>
      </c>
      <c r="E17450" s="44" t="n">
        <v>12509.988</v>
      </c>
    </row>
    <row r="17451">
      <c r="A17451" s="39">
        <f>_xlfn.XLOOKUP(83161,Trip[shape_id],Trip[shape_id],"Não encontrado")</f>
        <v/>
      </c>
      <c r="B17451" s="40" t="n">
        <v>-23.593626</v>
      </c>
      <c r="C17451" s="40" t="n">
        <v>-46.52786</v>
      </c>
      <c r="D17451" s="40" t="n">
        <v>380</v>
      </c>
      <c r="E17451" s="41" t="n">
        <v>12509.988</v>
      </c>
    </row>
    <row r="17452">
      <c r="A17452" s="42">
        <f>_xlfn.XLOOKUP(83161,Trip[shape_id],Trip[shape_id],"Não encontrado")</f>
        <v/>
      </c>
      <c r="B17452" s="43" t="n">
        <v>-23.59379</v>
      </c>
      <c r="C17452" s="43" t="n">
        <v>-46.527708</v>
      </c>
      <c r="D17452" s="43" t="n">
        <v>381</v>
      </c>
      <c r="E17452" s="44" t="n">
        <v>12558.154</v>
      </c>
    </row>
    <row r="17453">
      <c r="A17453" s="39">
        <f>_xlfn.XLOOKUP(83161,Trip[shape_id],Trip[shape_id],"Não encontrado")</f>
        <v/>
      </c>
      <c r="B17453" s="40" t="n">
        <v>-23.593947</v>
      </c>
      <c r="C17453" s="40" t="n">
        <v>-46.527542</v>
      </c>
      <c r="D17453" s="40" t="n">
        <v>382</v>
      </c>
      <c r="E17453" s="41" t="n">
        <v>12558.154</v>
      </c>
    </row>
    <row r="17454">
      <c r="A17454" s="42">
        <f>_xlfn.XLOOKUP(83161,Trip[shape_id],Trip[shape_id],"Não encontrado")</f>
        <v/>
      </c>
      <c r="B17454" s="43" t="n">
        <v>-23.594214</v>
      </c>
      <c r="C17454" s="43" t="n">
        <v>-46.527291</v>
      </c>
      <c r="D17454" s="43" t="n">
        <v>383</v>
      </c>
      <c r="E17454" s="44" t="n">
        <v>12604.19</v>
      </c>
    </row>
    <row r="17455">
      <c r="A17455" s="39">
        <f>_xlfn.XLOOKUP(83161,Trip[shape_id],Trip[shape_id],"Não encontrado")</f>
        <v/>
      </c>
      <c r="B17455" s="40" t="n">
        <v>-23.594258</v>
      </c>
      <c r="C17455" s="40" t="n">
        <v>-46.527243</v>
      </c>
      <c r="D17455" s="40" t="n">
        <v>384</v>
      </c>
      <c r="E17455" s="41" t="n">
        <v>12604.19</v>
      </c>
    </row>
    <row r="17456">
      <c r="A17456" s="42">
        <f>_xlfn.XLOOKUP(83161,Trip[shape_id],Trip[shape_id],"Não encontrado")</f>
        <v/>
      </c>
      <c r="B17456" s="43" t="n">
        <v>-23.594305</v>
      </c>
      <c r="C17456" s="43" t="n">
        <v>-46.527179</v>
      </c>
      <c r="D17456" s="43" t="n">
        <v>385</v>
      </c>
      <c r="E17456" s="44" t="n">
        <v>12628.437</v>
      </c>
    </row>
    <row r="17457">
      <c r="A17457" s="39">
        <f>_xlfn.XLOOKUP(83161,Trip[shape_id],Trip[shape_id],"Não encontrado")</f>
        <v/>
      </c>
      <c r="B17457" s="40" t="n">
        <v>-23.594384</v>
      </c>
      <c r="C17457" s="40" t="n">
        <v>-46.527049</v>
      </c>
      <c r="D17457" s="40" t="n">
        <v>386</v>
      </c>
      <c r="E17457" s="41" t="n">
        <v>12650.537</v>
      </c>
    </row>
    <row r="17458">
      <c r="A17458" s="42">
        <f>_xlfn.XLOOKUP(83161,Trip[shape_id],Trip[shape_id],"Não encontrado")</f>
        <v/>
      </c>
      <c r="B17458" s="43" t="n">
        <v>-23.594483</v>
      </c>
      <c r="C17458" s="43" t="n">
        <v>-46.526861</v>
      </c>
      <c r="D17458" s="43" t="n">
        <v>387</v>
      </c>
      <c r="E17458" s="44" t="n">
        <v>12660.979</v>
      </c>
    </row>
    <row r="17459">
      <c r="A17459" s="39">
        <f>_xlfn.XLOOKUP(83161,Trip[shape_id],Trip[shape_id],"Não encontrado")</f>
        <v/>
      </c>
      <c r="B17459" s="40" t="n">
        <v>-23.594518</v>
      </c>
      <c r="C17459" s="40" t="n">
        <v>-46.526766</v>
      </c>
      <c r="D17459" s="40" t="n">
        <v>388</v>
      </c>
      <c r="E17459" s="41" t="n">
        <v>12671.477</v>
      </c>
    </row>
    <row r="17460">
      <c r="A17460" s="42">
        <f>_xlfn.XLOOKUP(83161,Trip[shape_id],Trip[shape_id],"Não encontrado")</f>
        <v/>
      </c>
      <c r="B17460" s="43" t="n">
        <v>-23.594552</v>
      </c>
      <c r="C17460" s="43" t="n">
        <v>-46.52667</v>
      </c>
      <c r="D17460" s="43" t="n">
        <v>389</v>
      </c>
      <c r="E17460" s="44" t="n">
        <v>12671.477</v>
      </c>
    </row>
    <row r="17461">
      <c r="A17461" s="39">
        <f>_xlfn.XLOOKUP(83161,Trip[shape_id],Trip[shape_id],"Não encontrado")</f>
        <v/>
      </c>
      <c r="B17461" s="40" t="n">
        <v>-23.59459</v>
      </c>
      <c r="C17461" s="40" t="n">
        <v>-46.526518</v>
      </c>
      <c r="D17461" s="40" t="n">
        <v>390</v>
      </c>
      <c r="E17461" s="41" t="n">
        <v>12696.578</v>
      </c>
    </row>
    <row r="17462">
      <c r="A17462" s="42">
        <f>_xlfn.XLOOKUP(83161,Trip[shape_id],Trip[shape_id],"Não encontrado")</f>
        <v/>
      </c>
      <c r="B17462" s="43" t="n">
        <v>-23.594609</v>
      </c>
      <c r="C17462" s="43" t="n">
        <v>-46.526432</v>
      </c>
      <c r="D17462" s="43" t="n">
        <v>391</v>
      </c>
      <c r="E17462" s="44" t="n">
        <v>12696.578</v>
      </c>
    </row>
    <row r="17463">
      <c r="A17463" s="39">
        <f>_xlfn.XLOOKUP(83161,Trip[shape_id],Trip[shape_id],"Não encontrado")</f>
        <v/>
      </c>
      <c r="B17463" s="40" t="n">
        <v>-23.594627</v>
      </c>
      <c r="C17463" s="40" t="n">
        <v>-46.526285</v>
      </c>
      <c r="D17463" s="40" t="n">
        <v>392</v>
      </c>
      <c r="E17463" s="41" t="n">
        <v>12734.66</v>
      </c>
    </row>
    <row r="17464">
      <c r="A17464" s="42">
        <f>_xlfn.XLOOKUP(83161,Trip[shape_id],Trip[shape_id],"Não encontrado")</f>
        <v/>
      </c>
      <c r="B17464" s="43" t="n">
        <v>-23.594665</v>
      </c>
      <c r="C17464" s="43" t="n">
        <v>-46.526064</v>
      </c>
      <c r="D17464" s="43" t="n">
        <v>393</v>
      </c>
      <c r="E17464" s="44" t="n">
        <v>12762.986</v>
      </c>
    </row>
    <row r="17465">
      <c r="A17465" s="39">
        <f>_xlfn.XLOOKUP(83161,Trip[shape_id],Trip[shape_id],"Não encontrado")</f>
        <v/>
      </c>
      <c r="B17465" s="40" t="n">
        <v>-23.594711</v>
      </c>
      <c r="C17465" s="40" t="n">
        <v>-46.525791</v>
      </c>
      <c r="D17465" s="40" t="n">
        <v>394</v>
      </c>
      <c r="E17465" s="41" t="n">
        <v>12762.986</v>
      </c>
    </row>
    <row r="17466">
      <c r="A17466" s="42">
        <f>_xlfn.XLOOKUP(83161,Trip[shape_id],Trip[shape_id],"Não encontrado")</f>
        <v/>
      </c>
      <c r="B17466" s="43" t="n">
        <v>-23.594534</v>
      </c>
      <c r="C17466" s="43" t="n">
        <v>-46.525932</v>
      </c>
      <c r="D17466" s="43" t="n">
        <v>395</v>
      </c>
      <c r="E17466" s="44" t="n">
        <v>12787.305</v>
      </c>
    </row>
    <row r="17467">
      <c r="A17467" s="39">
        <f>_xlfn.XLOOKUP(83161,Trip[shape_id],Trip[shape_id],"Não encontrado")</f>
        <v/>
      </c>
      <c r="B17467" s="40" t="n">
        <v>-23.594217</v>
      </c>
      <c r="C17467" s="40" t="n">
        <v>-46.526255</v>
      </c>
      <c r="D17467" s="40" t="n">
        <v>396</v>
      </c>
      <c r="E17467" s="41" t="n">
        <v>12835.466</v>
      </c>
    </row>
    <row r="17468">
      <c r="A17468" s="42">
        <f>_xlfn.XLOOKUP(83161,Trip[shape_id],Trip[shape_id],"Não encontrado")</f>
        <v/>
      </c>
      <c r="B17468" s="43" t="n">
        <v>-23.593763</v>
      </c>
      <c r="C17468" s="43" t="n">
        <v>-46.526703</v>
      </c>
      <c r="D17468" s="43" t="n">
        <v>397</v>
      </c>
      <c r="E17468" s="44" t="n">
        <v>12903.431</v>
      </c>
    </row>
    <row r="17469">
      <c r="A17469" s="39">
        <f>_xlfn.XLOOKUP(83161,Trip[shape_id],Trip[shape_id],"Não encontrado")</f>
        <v/>
      </c>
      <c r="B17469" s="40" t="n">
        <v>-23.593156</v>
      </c>
      <c r="C17469" s="40" t="n">
        <v>-46.527333</v>
      </c>
      <c r="D17469" s="40" t="n">
        <v>398</v>
      </c>
      <c r="E17469" s="41" t="n">
        <v>12996.459</v>
      </c>
    </row>
    <row r="17470">
      <c r="A17470" s="42">
        <f>_xlfn.XLOOKUP(83161,Trip[shape_id],Trip[shape_id],"Não encontrado")</f>
        <v/>
      </c>
      <c r="B17470" s="43" t="n">
        <v>-23.592865</v>
      </c>
      <c r="C17470" s="43" t="n">
        <v>-46.527629</v>
      </c>
      <c r="D17470" s="43" t="n">
        <v>399</v>
      </c>
      <c r="E17470" s="44" t="n">
        <v>13040.635</v>
      </c>
    </row>
    <row r="17471">
      <c r="A17471" s="39">
        <f>_xlfn.XLOOKUP(83161,Trip[shape_id],Trip[shape_id],"Não encontrado")</f>
        <v/>
      </c>
      <c r="B17471" s="40" t="n">
        <v>-23.592561</v>
      </c>
      <c r="C17471" s="40" t="n">
        <v>-46.527934</v>
      </c>
      <c r="D17471" s="40" t="n">
        <v>400</v>
      </c>
      <c r="E17471" s="41" t="n">
        <v>13086.49</v>
      </c>
    </row>
    <row r="17472">
      <c r="A17472" s="42">
        <f>_xlfn.XLOOKUP(83161,Trip[shape_id],Trip[shape_id],"Não encontrado")</f>
        <v/>
      </c>
      <c r="B17472" s="43" t="n">
        <v>-23.592311</v>
      </c>
      <c r="C17472" s="43" t="n">
        <v>-46.5282</v>
      </c>
      <c r="D17472" s="43" t="n">
        <v>401</v>
      </c>
      <c r="E17472" s="44" t="n">
        <v>13125.269</v>
      </c>
    </row>
    <row r="17473">
      <c r="A17473" s="39">
        <f>_xlfn.XLOOKUP(83161,Trip[shape_id],Trip[shape_id],"Não encontrado")</f>
        <v/>
      </c>
      <c r="B17473" s="40" t="n">
        <v>-23.592179</v>
      </c>
      <c r="C17473" s="40" t="n">
        <v>-46.528335</v>
      </c>
      <c r="D17473" s="40" t="n">
        <v>402</v>
      </c>
      <c r="E17473" s="41" t="n">
        <v>13145.358</v>
      </c>
    </row>
    <row r="17474">
      <c r="A17474" s="42">
        <f>_xlfn.XLOOKUP(83161,Trip[shape_id],Trip[shape_id],"Não encontrado")</f>
        <v/>
      </c>
      <c r="B17474" s="43" t="n">
        <v>-23.592097</v>
      </c>
      <c r="C17474" s="43" t="n">
        <v>-46.528427</v>
      </c>
      <c r="D17474" s="43" t="n">
        <v>403</v>
      </c>
      <c r="E17474" s="44" t="n">
        <v>13158.422</v>
      </c>
    </row>
    <row r="17475">
      <c r="A17475" s="39">
        <f>_xlfn.XLOOKUP(83161,Trip[shape_id],Trip[shape_id],"Não encontrado")</f>
        <v/>
      </c>
      <c r="B17475" s="40" t="n">
        <v>-23.591594</v>
      </c>
      <c r="C17475" s="40" t="n">
        <v>-46.529001</v>
      </c>
      <c r="D17475" s="40" t="n">
        <v>404</v>
      </c>
      <c r="E17475" s="41" t="n">
        <v>13239.268</v>
      </c>
    </row>
    <row r="17476">
      <c r="A17476" s="42">
        <f>_xlfn.XLOOKUP(83161,Trip[shape_id],Trip[shape_id],"Não encontrado")</f>
        <v/>
      </c>
      <c r="B17476" s="43" t="n">
        <v>-23.591087</v>
      </c>
      <c r="C17476" s="43" t="n">
        <v>-46.529598</v>
      </c>
      <c r="D17476" s="43" t="n">
        <v>405</v>
      </c>
      <c r="E17476" s="44" t="n">
        <v>13322.13</v>
      </c>
    </row>
    <row r="17477">
      <c r="A17477" s="39">
        <f>_xlfn.XLOOKUP(83161,Trip[shape_id],Trip[shape_id],"Não encontrado")</f>
        <v/>
      </c>
      <c r="B17477" s="40" t="n">
        <v>-23.59059</v>
      </c>
      <c r="C17477" s="40" t="n">
        <v>-46.530148</v>
      </c>
      <c r="D17477" s="40" t="n">
        <v>406</v>
      </c>
      <c r="E17477" s="41" t="n">
        <v>13400.752</v>
      </c>
    </row>
    <row r="17478">
      <c r="A17478" s="42">
        <f>_xlfn.XLOOKUP(83161,Trip[shape_id],Trip[shape_id],"Não encontrado")</f>
        <v/>
      </c>
      <c r="B17478" s="43" t="n">
        <v>-23.590499</v>
      </c>
      <c r="C17478" s="43" t="n">
        <v>-46.530255</v>
      </c>
      <c r="D17478" s="43" t="n">
        <v>407</v>
      </c>
      <c r="E17478" s="44" t="n">
        <v>13415.613</v>
      </c>
    </row>
    <row r="17479">
      <c r="A17479" s="39">
        <f>_xlfn.XLOOKUP(83161,Trip[shape_id],Trip[shape_id],"Não encontrado")</f>
        <v/>
      </c>
      <c r="B17479" s="40" t="n">
        <v>-23.590279</v>
      </c>
      <c r="C17479" s="40" t="n">
        <v>-46.530516</v>
      </c>
      <c r="D17479" s="40" t="n">
        <v>408</v>
      </c>
      <c r="E17479" s="41" t="n">
        <v>13451.716</v>
      </c>
    </row>
    <row r="17480">
      <c r="A17480" s="42">
        <f>_xlfn.XLOOKUP(83161,Trip[shape_id],Trip[shape_id],"Não encontrado")</f>
        <v/>
      </c>
      <c r="B17480" s="43" t="n">
        <v>-23.590122</v>
      </c>
      <c r="C17480" s="43" t="n">
        <v>-46.530704</v>
      </c>
      <c r="D17480" s="43" t="n">
        <v>409</v>
      </c>
      <c r="E17480" s="44" t="n">
        <v>13477.611</v>
      </c>
    </row>
    <row r="17481">
      <c r="A17481" s="39">
        <f>_xlfn.XLOOKUP(83161,Trip[shape_id],Trip[shape_id],"Não encontrado")</f>
        <v/>
      </c>
      <c r="B17481" s="40" t="n">
        <v>-23.590062</v>
      </c>
      <c r="C17481" s="40" t="n">
        <v>-46.530786</v>
      </c>
      <c r="D17481" s="40" t="n">
        <v>410</v>
      </c>
      <c r="E17481" s="41" t="n">
        <v>13488.299</v>
      </c>
    </row>
    <row r="17482">
      <c r="A17482" s="42">
        <f>_xlfn.XLOOKUP(83161,Trip[shape_id],Trip[shape_id],"Não encontrado")</f>
        <v/>
      </c>
      <c r="B17482" s="43" t="n">
        <v>-23.590017</v>
      </c>
      <c r="C17482" s="43" t="n">
        <v>-46.530763</v>
      </c>
      <c r="D17482" s="43" t="n">
        <v>411</v>
      </c>
      <c r="E17482" s="44" t="n">
        <v>13493.809</v>
      </c>
    </row>
    <row r="17483">
      <c r="A17483" s="39">
        <f>_xlfn.XLOOKUP(83161,Trip[shape_id],Trip[shape_id],"Não encontrado")</f>
        <v/>
      </c>
      <c r="B17483" s="40" t="n">
        <v>-23.589933</v>
      </c>
      <c r="C17483" s="40" t="n">
        <v>-46.530751</v>
      </c>
      <c r="D17483" s="40" t="n">
        <v>412</v>
      </c>
      <c r="E17483" s="41" t="n">
        <v>13503.192</v>
      </c>
    </row>
    <row r="17484">
      <c r="A17484" s="42">
        <f>_xlfn.XLOOKUP(83161,Trip[shape_id],Trip[shape_id],"Não encontrado")</f>
        <v/>
      </c>
      <c r="B17484" s="43" t="n">
        <v>-23.589872</v>
      </c>
      <c r="C17484" s="43" t="n">
        <v>-46.530758</v>
      </c>
      <c r="D17484" s="43" t="n">
        <v>413</v>
      </c>
      <c r="E17484" s="44" t="n">
        <v>13509.986</v>
      </c>
    </row>
    <row r="17485">
      <c r="A17485" s="39">
        <f>_xlfn.XLOOKUP(83161,Trip[shape_id],Trip[shape_id],"Não encontrado")</f>
        <v/>
      </c>
      <c r="B17485" s="40" t="n">
        <v>-23.589806</v>
      </c>
      <c r="C17485" s="40" t="n">
        <v>-46.530763</v>
      </c>
      <c r="D17485" s="40" t="n">
        <v>414</v>
      </c>
      <c r="E17485" s="41" t="n">
        <v>13517.314</v>
      </c>
    </row>
    <row r="17486">
      <c r="A17486" s="42">
        <f>_xlfn.XLOOKUP(83161,Trip[shape_id],Trip[shape_id],"Não encontrado")</f>
        <v/>
      </c>
      <c r="B17486" s="43" t="n">
        <v>-23.589769</v>
      </c>
      <c r="C17486" s="43" t="n">
        <v>-46.530763</v>
      </c>
      <c r="D17486" s="43" t="n">
        <v>415</v>
      </c>
      <c r="E17486" s="44" t="n">
        <v>13521.413</v>
      </c>
    </row>
    <row r="17487">
      <c r="A17487" s="39">
        <f>_xlfn.XLOOKUP(83161,Trip[shape_id],Trip[shape_id],"Não encontrado")</f>
        <v/>
      </c>
      <c r="B17487" s="40" t="n">
        <v>-23.589757</v>
      </c>
      <c r="C17487" s="40" t="n">
        <v>-46.530762</v>
      </c>
      <c r="D17487" s="40" t="n">
        <v>416</v>
      </c>
      <c r="E17487" s="41" t="n">
        <v>13522.747</v>
      </c>
    </row>
    <row r="17488">
      <c r="A17488" s="42">
        <f>_xlfn.XLOOKUP(83161,Trip[shape_id],Trip[shape_id],"Não encontrado")</f>
        <v/>
      </c>
      <c r="B17488" s="43" t="n">
        <v>-23.589642</v>
      </c>
      <c r="C17488" s="43" t="n">
        <v>-46.530759</v>
      </c>
      <c r="D17488" s="43" t="n">
        <v>417</v>
      </c>
      <c r="E17488" s="44" t="n">
        <v>13535.487</v>
      </c>
    </row>
    <row r="17489">
      <c r="A17489" s="39">
        <f>_xlfn.XLOOKUP(83161,Trip[shape_id],Trip[shape_id],"Não encontrado")</f>
        <v/>
      </c>
      <c r="B17489" s="40" t="n">
        <v>-23.589599</v>
      </c>
      <c r="C17489" s="40" t="n">
        <v>-46.530694</v>
      </c>
      <c r="D17489" s="40" t="n">
        <v>418</v>
      </c>
      <c r="E17489" s="41" t="n">
        <v>13574.797</v>
      </c>
    </row>
    <row r="17490">
      <c r="A17490" s="42">
        <f>_xlfn.XLOOKUP(83161,Trip[shape_id],Trip[shape_id],"Não encontrado")</f>
        <v/>
      </c>
      <c r="B17490" s="43" t="n">
        <v>-23.589374</v>
      </c>
      <c r="C17490" s="43" t="n">
        <v>-46.530511</v>
      </c>
      <c r="D17490" s="43" t="n">
        <v>419</v>
      </c>
      <c r="E17490" s="44" t="n">
        <v>13574.797</v>
      </c>
    </row>
    <row r="17491">
      <c r="A17491" s="39">
        <f>_xlfn.XLOOKUP(83161,Trip[shape_id],Trip[shape_id],"Não encontrado")</f>
        <v/>
      </c>
      <c r="B17491" s="40" t="n">
        <v>-23.588111</v>
      </c>
      <c r="C17491" s="40" t="n">
        <v>-46.529611</v>
      </c>
      <c r="D17491" s="40" t="n">
        <v>420</v>
      </c>
      <c r="E17491" s="41" t="n">
        <v>13742.146</v>
      </c>
    </row>
    <row r="17492">
      <c r="A17492" s="42">
        <f>_xlfn.XLOOKUP(83161,Trip[shape_id],Trip[shape_id],"Não encontrado")</f>
        <v/>
      </c>
      <c r="B17492" s="43" t="n">
        <v>-23.587558</v>
      </c>
      <c r="C17492" s="43" t="n">
        <v>-46.529209</v>
      </c>
      <c r="D17492" s="43" t="n">
        <v>421</v>
      </c>
      <c r="E17492" s="44" t="n">
        <v>13823.857</v>
      </c>
    </row>
    <row r="17493">
      <c r="A17493" s="39">
        <f>_xlfn.XLOOKUP(83161,Trip[shape_id],Trip[shape_id],"Não encontrado")</f>
        <v/>
      </c>
      <c r="B17493" s="40" t="n">
        <v>-23.587501</v>
      </c>
      <c r="C17493" s="40" t="n">
        <v>-46.529161</v>
      </c>
      <c r="D17493" s="40" t="n">
        <v>422</v>
      </c>
      <c r="E17493" s="41" t="n">
        <v>13831.147</v>
      </c>
    </row>
    <row r="17494">
      <c r="A17494" s="42">
        <f>_xlfn.XLOOKUP(83161,Trip[shape_id],Trip[shape_id],"Não encontrado")</f>
        <v/>
      </c>
      <c r="B17494" s="43" t="n">
        <v>-23.587454</v>
      </c>
      <c r="C17494" s="43" t="n">
        <v>-46.529111</v>
      </c>
      <c r="D17494" s="43" t="n">
        <v>423</v>
      </c>
      <c r="E17494" s="44" t="n">
        <v>13836.605</v>
      </c>
    </row>
    <row r="17495">
      <c r="A17495" s="39">
        <f>_xlfn.XLOOKUP(83161,Trip[shape_id],Trip[shape_id],"Não encontrado")</f>
        <v/>
      </c>
      <c r="B17495" s="40" t="n">
        <v>-23.587426</v>
      </c>
      <c r="C17495" s="40" t="n">
        <v>-46.529067</v>
      </c>
      <c r="D17495" s="40" t="n">
        <v>424</v>
      </c>
      <c r="E17495" s="41" t="n">
        <v>13836.605</v>
      </c>
    </row>
    <row r="17496">
      <c r="A17496" s="42">
        <f>_xlfn.XLOOKUP(83161,Trip[shape_id],Trip[shape_id],"Não encontrado")</f>
        <v/>
      </c>
      <c r="B17496" s="43" t="n">
        <v>-23.587141</v>
      </c>
      <c r="C17496" s="43" t="n">
        <v>-46.528459</v>
      </c>
      <c r="D17496" s="43" t="n">
        <v>425</v>
      </c>
      <c r="E17496" s="44" t="n">
        <v>13906.232</v>
      </c>
    </row>
    <row r="17497">
      <c r="A17497" s="39">
        <f>_xlfn.XLOOKUP(83161,Trip[shape_id],Trip[shape_id],"Não encontrado")</f>
        <v/>
      </c>
      <c r="B17497" s="40" t="n">
        <v>-23.58685</v>
      </c>
      <c r="C17497" s="40" t="n">
        <v>-46.527867</v>
      </c>
      <c r="D17497" s="40" t="n">
        <v>426</v>
      </c>
      <c r="E17497" s="41" t="n">
        <v>13974.718</v>
      </c>
    </row>
    <row r="17498">
      <c r="A17498" s="42">
        <f>_xlfn.XLOOKUP(83161,Trip[shape_id],Trip[shape_id],"Não encontrado")</f>
        <v/>
      </c>
      <c r="B17498" s="43" t="n">
        <v>-23.586587</v>
      </c>
      <c r="C17498" s="43" t="n">
        <v>-46.527302</v>
      </c>
      <c r="D17498" s="43" t="n">
        <v>427</v>
      </c>
      <c r="E17498" s="44" t="n">
        <v>14039.328</v>
      </c>
    </row>
    <row r="17499">
      <c r="A17499" s="39">
        <f>_xlfn.XLOOKUP(83161,Trip[shape_id],Trip[shape_id],"Não encontrado")</f>
        <v/>
      </c>
      <c r="B17499" s="40" t="n">
        <v>-23.586309</v>
      </c>
      <c r="C17499" s="40" t="n">
        <v>-46.526715</v>
      </c>
      <c r="D17499" s="40" t="n">
        <v>428</v>
      </c>
      <c r="E17499" s="41" t="n">
        <v>14106.693</v>
      </c>
    </row>
    <row r="17500">
      <c r="A17500" s="42">
        <f>_xlfn.XLOOKUP(83161,Trip[shape_id],Trip[shape_id],"Não encontrado")</f>
        <v/>
      </c>
      <c r="B17500" s="43" t="n">
        <v>-23.586029</v>
      </c>
      <c r="C17500" s="43" t="n">
        <v>-46.526145</v>
      </c>
      <c r="D17500" s="43" t="n">
        <v>429</v>
      </c>
      <c r="E17500" s="44" t="n">
        <v>14172.624</v>
      </c>
    </row>
    <row r="17501">
      <c r="A17501" s="39">
        <f>_xlfn.XLOOKUP(83161,Trip[shape_id],Trip[shape_id],"Não encontrado")</f>
        <v/>
      </c>
      <c r="B17501" s="40" t="n">
        <v>-23.585946</v>
      </c>
      <c r="C17501" s="40" t="n">
        <v>-46.525933</v>
      </c>
      <c r="D17501" s="40" t="n">
        <v>430</v>
      </c>
      <c r="E17501" s="41" t="n">
        <v>14196.136</v>
      </c>
    </row>
    <row r="17502">
      <c r="A17502" s="42">
        <f>_xlfn.XLOOKUP(83161,Trip[shape_id],Trip[shape_id],"Não encontrado")</f>
        <v/>
      </c>
      <c r="B17502" s="43" t="n">
        <v>-23.585911</v>
      </c>
      <c r="C17502" s="43" t="n">
        <v>-46.525862</v>
      </c>
      <c r="D17502" s="43" t="n">
        <v>431</v>
      </c>
      <c r="E17502" s="44" t="n">
        <v>14204.354</v>
      </c>
    </row>
    <row r="17503">
      <c r="A17503" s="39">
        <f>_xlfn.XLOOKUP(83161,Trip[shape_id],Trip[shape_id],"Não encontrado")</f>
        <v/>
      </c>
      <c r="B17503" s="40" t="n">
        <v>-23.585879</v>
      </c>
      <c r="C17503" s="40" t="n">
        <v>-46.525788</v>
      </c>
      <c r="D17503" s="40" t="n">
        <v>432</v>
      </c>
      <c r="E17503" s="41" t="n">
        <v>14212.697</v>
      </c>
    </row>
    <row r="17504">
      <c r="A17504" s="42">
        <f>_xlfn.XLOOKUP(83161,Trip[shape_id],Trip[shape_id],"Não encontrado")</f>
        <v/>
      </c>
      <c r="B17504" s="43" t="n">
        <v>-23.585922</v>
      </c>
      <c r="C17504" s="43" t="n">
        <v>-46.52575</v>
      </c>
      <c r="D17504" s="43" t="n">
        <v>433</v>
      </c>
      <c r="E17504" s="44" t="n">
        <v>14218.839</v>
      </c>
    </row>
    <row r="17505">
      <c r="A17505" s="39">
        <f>_xlfn.XLOOKUP(83161,Trip[shape_id],Trip[shape_id],"Não encontrado")</f>
        <v/>
      </c>
      <c r="B17505" s="40" t="n">
        <v>-23.585957</v>
      </c>
      <c r="C17505" s="40" t="n">
        <v>-46.52569</v>
      </c>
      <c r="D17505" s="40" t="n">
        <v>434</v>
      </c>
      <c r="E17505" s="41" t="n">
        <v>14226.087</v>
      </c>
    </row>
    <row r="17506">
      <c r="A17506" s="42">
        <f>_xlfn.XLOOKUP(83161,Trip[shape_id],Trip[shape_id],"Não encontrado")</f>
        <v/>
      </c>
      <c r="B17506" s="43" t="n">
        <v>-23.585957</v>
      </c>
      <c r="C17506" s="43" t="n">
        <v>-46.525645</v>
      </c>
      <c r="D17506" s="43" t="n">
        <v>435</v>
      </c>
      <c r="E17506" s="44" t="n">
        <v>14230.681</v>
      </c>
    </row>
    <row r="17507">
      <c r="A17507" s="39">
        <f>_xlfn.XLOOKUP(83161,Trip[shape_id],Trip[shape_id],"Não encontrado")</f>
        <v/>
      </c>
      <c r="B17507" s="40" t="n">
        <v>-23.585946</v>
      </c>
      <c r="C17507" s="40" t="n">
        <v>-46.525605</v>
      </c>
      <c r="D17507" s="40" t="n">
        <v>436</v>
      </c>
      <c r="E17507" s="41" t="n">
        <v>14234.94</v>
      </c>
    </row>
    <row r="17508">
      <c r="A17508" s="42">
        <f>_xlfn.XLOOKUP(83161,Trip[shape_id],Trip[shape_id],"Não encontrado")</f>
        <v/>
      </c>
      <c r="B17508" s="43" t="n">
        <v>-23.585916</v>
      </c>
      <c r="C17508" s="43" t="n">
        <v>-46.525577</v>
      </c>
      <c r="D17508" s="43" t="n">
        <v>437</v>
      </c>
      <c r="E17508" s="44" t="n">
        <v>14244.085</v>
      </c>
    </row>
    <row r="17509">
      <c r="A17509" s="39">
        <f>_xlfn.XLOOKUP(83161,Trip[shape_id],Trip[shape_id],"Não encontrado")</f>
        <v/>
      </c>
      <c r="B17509" s="40" t="n">
        <v>-23.585875</v>
      </c>
      <c r="C17509" s="40" t="n">
        <v>-46.525563</v>
      </c>
      <c r="D17509" s="40" t="n">
        <v>438</v>
      </c>
      <c r="E17509" s="41" t="n">
        <v>14244.085</v>
      </c>
    </row>
    <row r="17510">
      <c r="A17510" s="42">
        <f>_xlfn.XLOOKUP(83161,Trip[shape_id],Trip[shape_id],"Não encontrado")</f>
        <v/>
      </c>
      <c r="B17510" s="43" t="n">
        <v>-23.58584</v>
      </c>
      <c r="C17510" s="43" t="n">
        <v>-46.525559</v>
      </c>
      <c r="D17510" s="43" t="n">
        <v>439</v>
      </c>
      <c r="E17510" s="44" t="n">
        <v>14247.983</v>
      </c>
    </row>
    <row r="17511">
      <c r="A17511" s="39">
        <f>_xlfn.XLOOKUP(83161,Trip[shape_id],Trip[shape_id],"Não encontrado")</f>
        <v/>
      </c>
      <c r="B17511" s="40" t="n">
        <v>-23.585801</v>
      </c>
      <c r="C17511" s="40" t="n">
        <v>-46.525572</v>
      </c>
      <c r="D17511" s="40" t="n">
        <v>440</v>
      </c>
      <c r="E17511" s="41" t="n">
        <v>14252.502</v>
      </c>
    </row>
    <row r="17512">
      <c r="A17512" s="42">
        <f>_xlfn.XLOOKUP(83161,Trip[shape_id],Trip[shape_id],"Não encontrado")</f>
        <v/>
      </c>
      <c r="B17512" s="43" t="n">
        <v>-23.585779</v>
      </c>
      <c r="C17512" s="43" t="n">
        <v>-46.525581</v>
      </c>
      <c r="D17512" s="43" t="n">
        <v>441</v>
      </c>
      <c r="E17512" s="44" t="n">
        <v>14255.105</v>
      </c>
    </row>
    <row r="17513">
      <c r="A17513" s="39">
        <f>_xlfn.XLOOKUP(83161,Trip[shape_id],Trip[shape_id],"Não encontrado")</f>
        <v/>
      </c>
      <c r="B17513" s="40" t="n">
        <v>-23.58575</v>
      </c>
      <c r="C17513" s="40" t="n">
        <v>-46.525618</v>
      </c>
      <c r="D17513" s="40" t="n">
        <v>442</v>
      </c>
      <c r="E17513" s="41" t="n">
        <v>14260.063</v>
      </c>
    </row>
    <row r="17514">
      <c r="A17514" s="42">
        <f>_xlfn.XLOOKUP(83161,Trip[shape_id],Trip[shape_id],"Não encontrado")</f>
        <v/>
      </c>
      <c r="B17514" s="43" t="n">
        <v>-23.585624</v>
      </c>
      <c r="C17514" s="43" t="n">
        <v>-46.525644</v>
      </c>
      <c r="D17514" s="43" t="n">
        <v>443</v>
      </c>
      <c r="E17514" s="44" t="n">
        <v>14290.923</v>
      </c>
    </row>
    <row r="17515">
      <c r="A17515" s="39">
        <f>_xlfn.XLOOKUP(83161,Trip[shape_id],Trip[shape_id],"Não encontrado")</f>
        <v/>
      </c>
      <c r="B17515" s="40" t="n">
        <v>-23.585475</v>
      </c>
      <c r="C17515" s="40" t="n">
        <v>-46.525666</v>
      </c>
      <c r="D17515" s="40" t="n">
        <v>444</v>
      </c>
      <c r="E17515" s="41" t="n">
        <v>14290.923</v>
      </c>
    </row>
    <row r="17516">
      <c r="A17516" s="42">
        <f>_xlfn.XLOOKUP(83161,Trip[shape_id],Trip[shape_id],"Não encontrado")</f>
        <v/>
      </c>
      <c r="B17516" s="43" t="n">
        <v>-23.585371</v>
      </c>
      <c r="C17516" s="43" t="n">
        <v>-46.525682</v>
      </c>
      <c r="D17516" s="43" t="n">
        <v>445</v>
      </c>
      <c r="E17516" s="44" t="n">
        <v>14313.891</v>
      </c>
    </row>
    <row r="17517">
      <c r="A17517" s="39">
        <f>_xlfn.XLOOKUP(83161,Trip[shape_id],Trip[shape_id],"Não encontrado")</f>
        <v/>
      </c>
      <c r="B17517" s="40" t="n">
        <v>-23.585269</v>
      </c>
      <c r="C17517" s="40" t="n">
        <v>-46.525673</v>
      </c>
      <c r="D17517" s="40" t="n">
        <v>446</v>
      </c>
      <c r="E17517" s="41" t="n">
        <v>14327.204</v>
      </c>
    </row>
    <row r="17518">
      <c r="A17518" s="42">
        <f>_xlfn.XLOOKUP(83161,Trip[shape_id],Trip[shape_id],"Não encontrado")</f>
        <v/>
      </c>
      <c r="B17518" s="43" t="n">
        <v>-23.58516</v>
      </c>
      <c r="C17518" s="43" t="n">
        <v>-46.525618</v>
      </c>
      <c r="D17518" s="43" t="n">
        <v>447</v>
      </c>
      <c r="E17518" s="44" t="n">
        <v>14327.204</v>
      </c>
    </row>
    <row r="17519">
      <c r="A17519" s="39">
        <f>_xlfn.XLOOKUP(83161,Trip[shape_id],Trip[shape_id],"Não encontrado")</f>
        <v/>
      </c>
      <c r="B17519" s="40" t="n">
        <v>-23.585142</v>
      </c>
      <c r="C17519" s="40" t="n">
        <v>-46.525461</v>
      </c>
      <c r="D17519" s="40" t="n">
        <v>448</v>
      </c>
      <c r="E17519" s="41" t="n">
        <v>14353.431</v>
      </c>
    </row>
    <row r="17520">
      <c r="A17520" s="42">
        <f>_xlfn.XLOOKUP(83161,Trip[shape_id],Trip[shape_id],"Não encontrado")</f>
        <v/>
      </c>
      <c r="B17520" s="43" t="n">
        <v>-23.585131</v>
      </c>
      <c r="C17520" s="43" t="n">
        <v>-46.525363</v>
      </c>
      <c r="D17520" s="43" t="n">
        <v>449</v>
      </c>
      <c r="E17520" s="44" t="n">
        <v>14370.014</v>
      </c>
    </row>
    <row r="17521">
      <c r="A17521" s="39">
        <f>_xlfn.XLOOKUP(83161,Trip[shape_id],Trip[shape_id],"Não encontrado")</f>
        <v/>
      </c>
      <c r="B17521" s="40" t="n">
        <v>-23.585111</v>
      </c>
      <c r="C17521" s="40" t="n">
        <v>-46.525202</v>
      </c>
      <c r="D17521" s="40" t="n">
        <v>450</v>
      </c>
      <c r="E17521" s="41" t="n">
        <v>14370.014</v>
      </c>
    </row>
    <row r="17522">
      <c r="A17522" s="42">
        <f>_xlfn.XLOOKUP(83161,Trip[shape_id],Trip[shape_id],"Não encontrado")</f>
        <v/>
      </c>
      <c r="B17522" s="43" t="n">
        <v>-23.585092</v>
      </c>
      <c r="C17522" s="43" t="n">
        <v>-46.525003</v>
      </c>
      <c r="D17522" s="43" t="n">
        <v>451</v>
      </c>
      <c r="E17522" s="44" t="n">
        <v>14390.436</v>
      </c>
    </row>
    <row r="17523">
      <c r="A17523" s="39">
        <f>_xlfn.XLOOKUP(83161,Trip[shape_id],Trip[shape_id],"Não encontrado")</f>
        <v/>
      </c>
      <c r="B17523" s="40" t="n">
        <v>-23.585046</v>
      </c>
      <c r="C17523" s="40" t="n">
        <v>-46.524834</v>
      </c>
      <c r="D17523" s="40" t="n">
        <v>452</v>
      </c>
      <c r="E17523" s="41" t="n">
        <v>14408.423</v>
      </c>
    </row>
    <row r="17524">
      <c r="A17524" s="42">
        <f>_xlfn.XLOOKUP(83161,Trip[shape_id],Trip[shape_id],"Não encontrado")</f>
        <v/>
      </c>
      <c r="B17524" s="43" t="n">
        <v>-23.585032</v>
      </c>
      <c r="C17524" s="43" t="n">
        <v>-46.524714</v>
      </c>
      <c r="D17524" s="43" t="n">
        <v>453</v>
      </c>
      <c r="E17524" s="44" t="n">
        <v>14420.77</v>
      </c>
    </row>
    <row r="17525">
      <c r="A17525" s="39">
        <f>_xlfn.XLOOKUP(83161,Trip[shape_id],Trip[shape_id],"Não encontrado")</f>
        <v/>
      </c>
      <c r="B17525" s="40" t="n">
        <v>-23.585003</v>
      </c>
      <c r="C17525" s="40" t="n">
        <v>-46.524512</v>
      </c>
      <c r="D17525" s="40" t="n">
        <v>454</v>
      </c>
      <c r="E17525" s="41" t="n">
        <v>14441.638</v>
      </c>
    </row>
    <row r="17526">
      <c r="A17526" s="42">
        <f>_xlfn.XLOOKUP(83161,Trip[shape_id],Trip[shape_id],"Não encontrado")</f>
        <v/>
      </c>
      <c r="B17526" s="43" t="n">
        <v>-23.584963</v>
      </c>
      <c r="C17526" s="43" t="n">
        <v>-46.524052</v>
      </c>
      <c r="D17526" s="43" t="n">
        <v>455</v>
      </c>
      <c r="E17526" s="44" t="n">
        <v>14488.801</v>
      </c>
    </row>
    <row r="17527">
      <c r="A17527" s="39">
        <f>_xlfn.XLOOKUP(83161,Trip[shape_id],Trip[shape_id],"Não encontrado")</f>
        <v/>
      </c>
      <c r="B17527" s="40" t="n">
        <v>-23.584912</v>
      </c>
      <c r="C17527" s="40" t="n">
        <v>-46.52359</v>
      </c>
      <c r="D17527" s="40" t="n">
        <v>456</v>
      </c>
      <c r="E17527" s="41" t="n">
        <v>14536.297</v>
      </c>
    </row>
    <row r="17528">
      <c r="A17528" s="42">
        <f>_xlfn.XLOOKUP(83161,Trip[shape_id],Trip[shape_id],"Não encontrado")</f>
        <v/>
      </c>
      <c r="B17528" s="43" t="n">
        <v>-23.584903</v>
      </c>
      <c r="C17528" s="43" t="n">
        <v>-46.523457</v>
      </c>
      <c r="D17528" s="43" t="n">
        <v>457</v>
      </c>
      <c r="E17528" s="44" t="n">
        <v>14549.909</v>
      </c>
    </row>
    <row r="17529">
      <c r="A17529" s="39">
        <f>_xlfn.XLOOKUP(83161,Trip[shape_id],Trip[shape_id],"Não encontrado")</f>
        <v/>
      </c>
      <c r="B17529" s="40" t="n">
        <v>-23.584872</v>
      </c>
      <c r="C17529" s="40" t="n">
        <v>-46.523174</v>
      </c>
      <c r="D17529" s="40" t="n">
        <v>458</v>
      </c>
      <c r="E17529" s="41" t="n">
        <v>14579</v>
      </c>
    </row>
    <row r="17530">
      <c r="A17530" s="42">
        <f>_xlfn.XLOOKUP(83161,Trip[shape_id],Trip[shape_id],"Não encontrado")</f>
        <v/>
      </c>
      <c r="B17530" s="43" t="n">
        <v>-23.584818</v>
      </c>
      <c r="C17530" s="43" t="n">
        <v>-46.522705</v>
      </c>
      <c r="D17530" s="43" t="n">
        <v>459</v>
      </c>
      <c r="E17530" s="44" t="n">
        <v>14627.245</v>
      </c>
    </row>
    <row r="17531">
      <c r="A17531" s="39">
        <f>_xlfn.XLOOKUP(83161,Trip[shape_id],Trip[shape_id],"Não encontrado")</f>
        <v/>
      </c>
      <c r="B17531" s="40" t="n">
        <v>-23.584815</v>
      </c>
      <c r="C17531" s="40" t="n">
        <v>-46.522653</v>
      </c>
      <c r="D17531" s="40" t="n">
        <v>460</v>
      </c>
      <c r="E17531" s="41" t="n">
        <v>14632.564</v>
      </c>
    </row>
    <row r="17532">
      <c r="A17532" s="42">
        <f>_xlfn.XLOOKUP(83161,Trip[shape_id],Trip[shape_id],"Não encontrado")</f>
        <v/>
      </c>
      <c r="B17532" s="43" t="n">
        <v>-23.584818</v>
      </c>
      <c r="C17532" s="43" t="n">
        <v>-46.522705</v>
      </c>
      <c r="D17532" s="43" t="n">
        <v>461</v>
      </c>
      <c r="E17532" s="44" t="n">
        <v>14637.884</v>
      </c>
    </row>
    <row r="17533">
      <c r="A17533" s="39">
        <f>_xlfn.XLOOKUP(83161,Trip[shape_id],Trip[shape_id],"Não encontrado")</f>
        <v/>
      </c>
      <c r="B17533" s="40" t="n">
        <v>-23.584815</v>
      </c>
      <c r="C17533" s="40" t="n">
        <v>-46.522653</v>
      </c>
      <c r="D17533" s="40" t="n">
        <v>462</v>
      </c>
      <c r="E17533" s="41" t="n">
        <v>14643.203</v>
      </c>
    </row>
    <row r="17534">
      <c r="A17534" s="42">
        <f>_xlfn.XLOOKUP(83161,Trip[shape_id],Trip[shape_id],"Não encontrado")</f>
        <v/>
      </c>
      <c r="B17534" s="43" t="n">
        <v>-23.584783</v>
      </c>
      <c r="C17534" s="43" t="n">
        <v>-46.522349</v>
      </c>
      <c r="D17534" s="43" t="n">
        <v>463</v>
      </c>
      <c r="E17534" s="44" t="n">
        <v>14674.436</v>
      </c>
    </row>
    <row r="17535">
      <c r="A17535" s="39">
        <f>_xlfn.XLOOKUP(83161,Trip[shape_id],Trip[shape_id],"Não encontrado")</f>
        <v/>
      </c>
      <c r="B17535" s="40" t="n">
        <v>-23.584777</v>
      </c>
      <c r="C17535" s="40" t="n">
        <v>-46.522273</v>
      </c>
      <c r="D17535" s="40" t="n">
        <v>464</v>
      </c>
      <c r="E17535" s="41" t="n">
        <v>14682.222</v>
      </c>
    </row>
    <row r="17536">
      <c r="A17536" s="42">
        <f>_xlfn.XLOOKUP(83161,Trip[shape_id],Trip[shape_id],"Não encontrado")</f>
        <v/>
      </c>
      <c r="B17536" s="43" t="n">
        <v>-23.584765</v>
      </c>
      <c r="C17536" s="43" t="n">
        <v>-46.522162</v>
      </c>
      <c r="D17536" s="43" t="n">
        <v>465</v>
      </c>
      <c r="E17536" s="44" t="n">
        <v>14693.63</v>
      </c>
    </row>
    <row r="17537">
      <c r="A17537" s="39">
        <f>_xlfn.XLOOKUP(83161,Trip[shape_id],Trip[shape_id],"Não encontrado")</f>
        <v/>
      </c>
      <c r="B17537" s="40" t="n">
        <v>-23.584703</v>
      </c>
      <c r="C17537" s="40" t="n">
        <v>-46.52159</v>
      </c>
      <c r="D17537" s="40" t="n">
        <v>466</v>
      </c>
      <c r="E17537" s="41" t="n">
        <v>14752.42</v>
      </c>
    </row>
    <row r="17538">
      <c r="A17538" s="42">
        <f>_xlfn.XLOOKUP(83161,Trip[shape_id],Trip[shape_id],"Não encontrado")</f>
        <v/>
      </c>
      <c r="B17538" s="43" t="n">
        <v>-23.584677</v>
      </c>
      <c r="C17538" s="43" t="n">
        <v>-46.521299</v>
      </c>
      <c r="D17538" s="43" t="n">
        <v>467</v>
      </c>
      <c r="E17538" s="44" t="n">
        <v>14782.263</v>
      </c>
    </row>
    <row r="17539">
      <c r="A17539" s="39">
        <f>_xlfn.XLOOKUP(83161,Trip[shape_id],Trip[shape_id],"Não encontrado")</f>
        <v/>
      </c>
      <c r="B17539" s="40" t="n">
        <v>-23.584656</v>
      </c>
      <c r="C17539" s="40" t="n">
        <v>-46.521107</v>
      </c>
      <c r="D17539" s="40" t="n">
        <v>468</v>
      </c>
      <c r="E17539" s="41" t="n">
        <v>14810.507</v>
      </c>
    </row>
    <row r="17540">
      <c r="A17540" s="42">
        <f>_xlfn.XLOOKUP(83161,Trip[shape_id],Trip[shape_id],"Não encontrado")</f>
        <v/>
      </c>
      <c r="B17540" s="43" t="n">
        <v>-23.584663</v>
      </c>
      <c r="C17540" s="43" t="n">
        <v>-46.521024</v>
      </c>
      <c r="D17540" s="43" t="n">
        <v>469</v>
      </c>
      <c r="E17540" s="44" t="n">
        <v>14828.59</v>
      </c>
    </row>
    <row r="17541">
      <c r="A17541" s="39">
        <f>_xlfn.XLOOKUP(83161,Trip[shape_id],Trip[shape_id],"Não encontrado")</f>
        <v/>
      </c>
      <c r="B17541" s="40" t="n">
        <v>-23.584735</v>
      </c>
      <c r="C17541" s="40" t="n">
        <v>-46.520865</v>
      </c>
      <c r="D17541" s="40" t="n">
        <v>470</v>
      </c>
      <c r="E17541" s="41" t="n">
        <v>14828.59</v>
      </c>
    </row>
    <row r="17542">
      <c r="A17542" s="42">
        <f>_xlfn.XLOOKUP(83161,Trip[shape_id],Trip[shape_id],"Não encontrado")</f>
        <v/>
      </c>
      <c r="B17542" s="43" t="n">
        <v>-23.584801</v>
      </c>
      <c r="C17542" s="43" t="n">
        <v>-46.520752</v>
      </c>
      <c r="D17542" s="43" t="n">
        <v>471</v>
      </c>
      <c r="E17542" s="44" t="n">
        <v>14842.246</v>
      </c>
    </row>
    <row r="17543">
      <c r="A17543" s="39">
        <f>_xlfn.XLOOKUP(83161,Trip[shape_id],Trip[shape_id],"Não encontrado")</f>
        <v/>
      </c>
      <c r="B17543" s="40" t="n">
        <v>-23.584941</v>
      </c>
      <c r="C17543" s="40" t="n">
        <v>-46.520507</v>
      </c>
      <c r="D17543" s="40" t="n">
        <v>472</v>
      </c>
      <c r="E17543" s="41" t="n">
        <v>14932.931</v>
      </c>
    </row>
    <row r="17544">
      <c r="A17544" s="42">
        <f>_xlfn.XLOOKUP(83161,Trip[shape_id],Trip[shape_id],"Não encontrado")</f>
        <v/>
      </c>
      <c r="B17544" s="43" t="n">
        <v>-23.585225</v>
      </c>
      <c r="C17544" s="43" t="n">
        <v>-46.519992</v>
      </c>
      <c r="D17544" s="43" t="n">
        <v>473</v>
      </c>
      <c r="E17544" s="44" t="n">
        <v>14944.571</v>
      </c>
    </row>
    <row r="17545">
      <c r="A17545" s="39">
        <f>_xlfn.XLOOKUP(83161,Trip[shape_id],Trip[shape_id],"Não encontrado")</f>
        <v/>
      </c>
      <c r="B17545" s="40" t="n">
        <v>-23.585272</v>
      </c>
      <c r="C17545" s="40" t="n">
        <v>-46.51989</v>
      </c>
      <c r="D17545" s="40" t="n">
        <v>474</v>
      </c>
      <c r="E17545" s="41" t="n">
        <v>14944.571</v>
      </c>
    </row>
    <row r="17546">
      <c r="A17546" s="42">
        <f>_xlfn.XLOOKUP(83161,Trip[shape_id],Trip[shape_id],"Não encontrado")</f>
        <v/>
      </c>
      <c r="B17546" s="43" t="n">
        <v>-23.585311</v>
      </c>
      <c r="C17546" s="43" t="n">
        <v>-46.519811</v>
      </c>
      <c r="D17546" s="43" t="n">
        <v>475</v>
      </c>
      <c r="E17546" s="44" t="n">
        <v>14971.718</v>
      </c>
    </row>
    <row r="17547">
      <c r="A17547" s="39">
        <f>_xlfn.XLOOKUP(83161,Trip[shape_id],Trip[shape_id],"Não encontrado")</f>
        <v/>
      </c>
      <c r="B17547" s="40" t="n">
        <v>-23.585373</v>
      </c>
      <c r="C17547" s="40" t="n">
        <v>-46.519648</v>
      </c>
      <c r="D17547" s="40" t="n">
        <v>476</v>
      </c>
      <c r="E17547" s="41" t="n">
        <v>14971.718</v>
      </c>
    </row>
    <row r="17548">
      <c r="A17548" s="42">
        <f>_xlfn.XLOOKUP(83161,Trip[shape_id],Trip[shape_id],"Não encontrado")</f>
        <v/>
      </c>
      <c r="B17548" s="43" t="n">
        <v>-23.585484</v>
      </c>
      <c r="C17548" s="43" t="n">
        <v>-46.519361</v>
      </c>
      <c r="D17548" s="43" t="n">
        <v>477</v>
      </c>
      <c r="E17548" s="44" t="n">
        <v>15003.488</v>
      </c>
    </row>
    <row r="17549">
      <c r="A17549" s="39">
        <f>_xlfn.XLOOKUP(83161,Trip[shape_id],Trip[shape_id],"Não encontrado")</f>
        <v/>
      </c>
      <c r="B17549" s="40" t="n">
        <v>-23.585578</v>
      </c>
      <c r="C17549" s="40" t="n">
        <v>-46.519103</v>
      </c>
      <c r="D17549" s="40" t="n">
        <v>478</v>
      </c>
      <c r="E17549" s="41" t="n">
        <v>15031.807</v>
      </c>
    </row>
    <row r="17550">
      <c r="A17550" s="42">
        <f>_xlfn.XLOOKUP(83161,Trip[shape_id],Trip[shape_id],"Não encontrado")</f>
        <v/>
      </c>
      <c r="B17550" s="43" t="n">
        <v>-23.58565</v>
      </c>
      <c r="C17550" s="43" t="n">
        <v>-46.518914</v>
      </c>
      <c r="D17550" s="43" t="n">
        <v>479</v>
      </c>
      <c r="E17550" s="44" t="n">
        <v>15066.8</v>
      </c>
    </row>
    <row r="17551">
      <c r="A17551" s="39">
        <f>_xlfn.XLOOKUP(83161,Trip[shape_id],Trip[shape_id],"Não encontrado")</f>
        <v/>
      </c>
      <c r="B17551" s="40" t="n">
        <v>-23.585696</v>
      </c>
      <c r="C17551" s="40" t="n">
        <v>-46.518785</v>
      </c>
      <c r="D17551" s="40" t="n">
        <v>480</v>
      </c>
      <c r="E17551" s="41" t="n">
        <v>15066.8</v>
      </c>
    </row>
    <row r="17552">
      <c r="A17552" s="42">
        <f>_xlfn.XLOOKUP(83161,Trip[shape_id],Trip[shape_id],"Não encontrado")</f>
        <v/>
      </c>
      <c r="B17552" s="43" t="n">
        <v>-23.58575</v>
      </c>
      <c r="C17552" s="43" t="n">
        <v>-46.518634</v>
      </c>
      <c r="D17552" s="43" t="n">
        <v>481</v>
      </c>
      <c r="E17552" s="44" t="n">
        <v>15083.333</v>
      </c>
    </row>
    <row r="17553">
      <c r="A17553" s="39">
        <f>_xlfn.XLOOKUP(83161,Trip[shape_id],Trip[shape_id],"Não encontrado")</f>
        <v/>
      </c>
      <c r="B17553" s="40" t="n">
        <v>-23.586047</v>
      </c>
      <c r="C17553" s="40" t="n">
        <v>-46.518722</v>
      </c>
      <c r="D17553" s="40" t="n">
        <v>482</v>
      </c>
      <c r="E17553" s="41" t="n">
        <v>15160.49</v>
      </c>
    </row>
    <row r="17554">
      <c r="A17554" s="42">
        <f>_xlfn.XLOOKUP(83161,Trip[shape_id],Trip[shape_id],"Não encontrado")</f>
        <v/>
      </c>
      <c r="B17554" s="43" t="n">
        <v>-23.58642</v>
      </c>
      <c r="C17554" s="43" t="n">
        <v>-46.518841</v>
      </c>
      <c r="D17554" s="43" t="n">
        <v>483</v>
      </c>
      <c r="E17554" s="44" t="n">
        <v>15247.722</v>
      </c>
    </row>
    <row r="17555">
      <c r="A17555" s="39">
        <f>_xlfn.XLOOKUP(83161,Trip[shape_id],Trip[shape_id],"Não encontrado")</f>
        <v/>
      </c>
      <c r="B17555" s="40" t="n">
        <v>-23.587177</v>
      </c>
      <c r="C17555" s="40" t="n">
        <v>-46.519077</v>
      </c>
      <c r="D17555" s="40" t="n">
        <v>484</v>
      </c>
      <c r="E17555" s="41" t="n">
        <v>15247.722</v>
      </c>
    </row>
    <row r="17556">
      <c r="A17556" s="42">
        <f>_xlfn.XLOOKUP(83161,Trip[shape_id],Trip[shape_id],"Não encontrado")</f>
        <v/>
      </c>
      <c r="B17556" s="43" t="n">
        <v>-23.587402</v>
      </c>
      <c r="C17556" s="43" t="n">
        <v>-46.519144</v>
      </c>
      <c r="D17556" s="43" t="n">
        <v>485</v>
      </c>
      <c r="E17556" s="44" t="n">
        <v>15301.43</v>
      </c>
    </row>
    <row r="17557">
      <c r="A17557" s="39">
        <f>_xlfn.XLOOKUP(83161,Trip[shape_id],Trip[shape_id],"Não encontrado")</f>
        <v/>
      </c>
      <c r="B17557" s="40" t="n">
        <v>-23.587642</v>
      </c>
      <c r="C17557" s="40" t="n">
        <v>-46.519226</v>
      </c>
      <c r="D17557" s="40" t="n">
        <v>486</v>
      </c>
      <c r="E17557" s="41" t="n">
        <v>15322.091</v>
      </c>
    </row>
    <row r="17558">
      <c r="A17558" s="42">
        <f>_xlfn.XLOOKUP(83161,Trip[shape_id],Trip[shape_id],"Não encontrado")</f>
        <v/>
      </c>
      <c r="B17558" s="43" t="n">
        <v>-23.587816</v>
      </c>
      <c r="C17558" s="43" t="n">
        <v>-46.519299</v>
      </c>
      <c r="D17558" s="43" t="n">
        <v>487</v>
      </c>
      <c r="E17558" s="44" t="n">
        <v>15334.752</v>
      </c>
    </row>
    <row r="17559">
      <c r="A17559" s="39">
        <f>_xlfn.XLOOKUP(83161,Trip[shape_id],Trip[shape_id],"Não encontrado")</f>
        <v/>
      </c>
      <c r="B17559" s="40" t="n">
        <v>-23.587918</v>
      </c>
      <c r="C17559" s="40" t="n">
        <v>-46.519355</v>
      </c>
      <c r="D17559" s="40" t="n">
        <v>488</v>
      </c>
      <c r="E17559" s="41" t="n">
        <v>15344.063</v>
      </c>
    </row>
    <row r="17560">
      <c r="A17560" s="42">
        <f>_xlfn.XLOOKUP(83161,Trip[shape_id],Trip[shape_id],"Não encontrado")</f>
        <v/>
      </c>
      <c r="B17560" s="43" t="n">
        <v>-23.587994</v>
      </c>
      <c r="C17560" s="43" t="n">
        <v>-46.519394</v>
      </c>
      <c r="D17560" s="43" t="n">
        <v>489</v>
      </c>
      <c r="E17560" s="44" t="n">
        <v>15368.323</v>
      </c>
    </row>
    <row r="17561">
      <c r="A17561" s="39">
        <f>_xlfn.XLOOKUP(83161,Trip[shape_id],Trip[shape_id],"Não encontrado")</f>
        <v/>
      </c>
      <c r="B17561" s="40" t="n">
        <v>-23.588173</v>
      </c>
      <c r="C17561" s="40" t="n">
        <v>-46.519531</v>
      </c>
      <c r="D17561" s="40" t="n">
        <v>490</v>
      </c>
      <c r="E17561" s="41" t="n">
        <v>15375.011</v>
      </c>
    </row>
    <row r="17562">
      <c r="A17562" s="42">
        <f>_xlfn.XLOOKUP(83161,Trip[shape_id],Trip[shape_id],"Não encontrado")</f>
        <v/>
      </c>
      <c r="B17562" s="43" t="n">
        <v>-23.588216</v>
      </c>
      <c r="C17562" s="43" t="n">
        <v>-46.519577</v>
      </c>
      <c r="D17562" s="43" t="n">
        <v>491</v>
      </c>
      <c r="E17562" s="44" t="n">
        <v>15393.798</v>
      </c>
    </row>
    <row r="17563">
      <c r="A17563" s="39">
        <f>_xlfn.XLOOKUP(83161,Trip[shape_id],Trip[shape_id],"Não encontrado")</f>
        <v/>
      </c>
      <c r="B17563" s="40" t="n">
        <v>-23.588337</v>
      </c>
      <c r="C17563" s="40" t="n">
        <v>-46.519706</v>
      </c>
      <c r="D17563" s="40" t="n">
        <v>492</v>
      </c>
      <c r="E17563" s="41" t="n">
        <v>15456.171</v>
      </c>
    </row>
    <row r="17564">
      <c r="A17564" s="42">
        <f>_xlfn.XLOOKUP(83161,Trip[shape_id],Trip[shape_id],"Não encontrado")</f>
        <v/>
      </c>
      <c r="B17564" s="43" t="n">
        <v>-23.588718</v>
      </c>
      <c r="C17564" s="43" t="n">
        <v>-46.520156</v>
      </c>
      <c r="D17564" s="43" t="n">
        <v>493</v>
      </c>
      <c r="E17564" s="44" t="n">
        <v>15484.543</v>
      </c>
    </row>
    <row r="17565">
      <c r="A17565" s="39">
        <f>_xlfn.XLOOKUP(83161,Trip[shape_id],Trip[shape_id],"Não encontrado")</f>
        <v/>
      </c>
      <c r="B17565" s="40" t="n">
        <v>-23.588892</v>
      </c>
      <c r="C17565" s="40" t="n">
        <v>-46.52036</v>
      </c>
      <c r="D17565" s="40" t="n">
        <v>494</v>
      </c>
      <c r="E17565" s="41" t="n">
        <v>15496.408</v>
      </c>
    </row>
    <row r="17566">
      <c r="A17566" s="42">
        <f>_xlfn.XLOOKUP(83161,Trip[shape_id],Trip[shape_id],"Não encontrado")</f>
        <v/>
      </c>
      <c r="B17566" s="43" t="n">
        <v>-23.588967</v>
      </c>
      <c r="C17566" s="43" t="n">
        <v>-46.520443</v>
      </c>
      <c r="D17566" s="43" t="n">
        <v>495</v>
      </c>
      <c r="E17566" s="44" t="n">
        <v>15496.408</v>
      </c>
    </row>
    <row r="17567">
      <c r="A17567" s="39">
        <f>_xlfn.XLOOKUP(83161,Trip[shape_id],Trip[shape_id],"Não encontrado")</f>
        <v/>
      </c>
      <c r="B17567" s="40" t="n">
        <v>-23.58901</v>
      </c>
      <c r="C17567" s="40" t="n">
        <v>-46.520465</v>
      </c>
      <c r="D17567" s="40" t="n">
        <v>496</v>
      </c>
      <c r="E17567" s="41" t="n">
        <v>15506.499</v>
      </c>
    </row>
    <row r="17568">
      <c r="A17568" s="42">
        <f>_xlfn.XLOOKUP(83161,Trip[shape_id],Trip[shape_id],"Não encontrado")</f>
        <v/>
      </c>
      <c r="B17568" s="43" t="n">
        <v>-23.589051</v>
      </c>
      <c r="C17568" s="43" t="n">
        <v>-46.520481</v>
      </c>
      <c r="D17568" s="43" t="n">
        <v>497</v>
      </c>
      <c r="E17568" s="44" t="n">
        <v>15511.84</v>
      </c>
    </row>
    <row r="17569">
      <c r="A17569" s="39">
        <f>_xlfn.XLOOKUP(83161,Trip[shape_id],Trip[shape_id],"Não encontrado")</f>
        <v/>
      </c>
      <c r="B17569" s="40" t="n">
        <v>-23.589099</v>
      </c>
      <c r="C17569" s="40" t="n">
        <v>-46.520486</v>
      </c>
      <c r="D17569" s="40" t="n">
        <v>498</v>
      </c>
      <c r="E17569" s="41" t="n">
        <v>15517.503</v>
      </c>
    </row>
    <row r="17570">
      <c r="A17570" s="42">
        <f>_xlfn.XLOOKUP(83161,Trip[shape_id],Trip[shape_id],"Não encontrado")</f>
        <v/>
      </c>
      <c r="B17570" s="43" t="n">
        <v>-23.58915</v>
      </c>
      <c r="C17570" s="43" t="n">
        <v>-46.520482</v>
      </c>
      <c r="D17570" s="43" t="n">
        <v>499</v>
      </c>
      <c r="E17570" s="44" t="n">
        <v>15526.429</v>
      </c>
    </row>
    <row r="17571">
      <c r="A17571" s="39">
        <f>_xlfn.XLOOKUP(83161,Trip[shape_id],Trip[shape_id],"Não encontrado")</f>
        <v/>
      </c>
      <c r="B17571" s="40" t="n">
        <v>-23.589228</v>
      </c>
      <c r="C17571" s="40" t="n">
        <v>-46.52046</v>
      </c>
      <c r="D17571" s="40" t="n">
        <v>500</v>
      </c>
      <c r="E17571" s="41" t="n">
        <v>15535.146</v>
      </c>
    </row>
    <row r="17572">
      <c r="A17572" s="42">
        <f>_xlfn.XLOOKUP(83161,Trip[shape_id],Trip[shape_id],"Não encontrado")</f>
        <v/>
      </c>
      <c r="B17572" s="43" t="n">
        <v>-23.589296</v>
      </c>
      <c r="C17572" s="43" t="n">
        <v>-46.520417</v>
      </c>
      <c r="D17572" s="43" t="n">
        <v>501</v>
      </c>
      <c r="E17572" s="44" t="n">
        <v>15543.524</v>
      </c>
    </row>
    <row r="17573">
      <c r="A17573" s="39">
        <f>_xlfn.XLOOKUP(83161,Trip[shape_id],Trip[shape_id],"Não encontrado")</f>
        <v/>
      </c>
      <c r="B17573" s="40" t="n">
        <v>-23.589356</v>
      </c>
      <c r="C17573" s="40" t="n">
        <v>-46.520367</v>
      </c>
      <c r="D17573" s="40" t="n">
        <v>502</v>
      </c>
      <c r="E17573" s="41" t="n">
        <v>15566.527</v>
      </c>
    </row>
    <row r="17574">
      <c r="A17574" s="42">
        <f>_xlfn.XLOOKUP(83161,Trip[shape_id],Trip[shape_id],"Não encontrado")</f>
        <v/>
      </c>
      <c r="B17574" s="43" t="n">
        <v>-23.589525</v>
      </c>
      <c r="C17574" s="43" t="n">
        <v>-46.520236</v>
      </c>
      <c r="D17574" s="43" t="n">
        <v>503</v>
      </c>
      <c r="E17574" s="44" t="n">
        <v>15643.512</v>
      </c>
    </row>
    <row r="17575">
      <c r="A17575" s="39">
        <f>_xlfn.XLOOKUP(83161,Trip[shape_id],Trip[shape_id],"Não encontrado")</f>
        <v/>
      </c>
      <c r="B17575" s="40" t="n">
        <v>-23.590073</v>
      </c>
      <c r="C17575" s="40" t="n">
        <v>-46.519772</v>
      </c>
      <c r="D17575" s="40" t="n">
        <v>504</v>
      </c>
      <c r="E17575" s="41" t="n">
        <v>15650.188</v>
      </c>
    </row>
    <row r="17576">
      <c r="A17576" s="42">
        <f>_xlfn.XLOOKUP(83161,Trip[shape_id],Trip[shape_id],"Não encontrado")</f>
        <v/>
      </c>
      <c r="B17576" s="43" t="n">
        <v>-23.590097</v>
      </c>
      <c r="C17576" s="43" t="n">
        <v>-46.519712</v>
      </c>
      <c r="D17576" s="43" t="n">
        <v>505</v>
      </c>
      <c r="E17576" s="44" t="n">
        <v>15656.993</v>
      </c>
    </row>
    <row r="17577">
      <c r="A17577" s="39">
        <f>_xlfn.XLOOKUP(83161,Trip[shape_id],Trip[shape_id],"Não encontrado")</f>
        <v/>
      </c>
      <c r="B17577" s="40" t="n">
        <v>-23.590158</v>
      </c>
      <c r="C17577" s="40" t="n">
        <v>-46.519704</v>
      </c>
      <c r="D17577" s="40" t="n">
        <v>506</v>
      </c>
      <c r="E17577" s="41" t="n">
        <v>15666.81</v>
      </c>
    </row>
    <row r="17578">
      <c r="A17578" s="42">
        <f>_xlfn.XLOOKUP(83161,Trip[shape_id],Trip[shape_id],"Não encontrado")</f>
        <v/>
      </c>
      <c r="B17578" s="43" t="n">
        <v>-23.590228</v>
      </c>
      <c r="C17578" s="43" t="n">
        <v>-46.519645</v>
      </c>
      <c r="D17578" s="43" t="n">
        <v>507</v>
      </c>
      <c r="E17578" s="44" t="n">
        <v>15666.81</v>
      </c>
    </row>
    <row r="17579">
      <c r="A17579" s="39">
        <f>_xlfn.XLOOKUP(83161,Trip[shape_id],Trip[shape_id],"Não encontrado")</f>
        <v/>
      </c>
      <c r="B17579" s="40" t="n">
        <v>-23.590306</v>
      </c>
      <c r="C17579" s="40" t="n">
        <v>-46.519584</v>
      </c>
      <c r="D17579" s="40" t="n">
        <v>508</v>
      </c>
      <c r="E17579" s="41" t="n">
        <v>15677.458</v>
      </c>
    </row>
    <row r="17580">
      <c r="A17580" s="42">
        <f>_xlfn.XLOOKUP(83161,Trip[shape_id],Trip[shape_id],"Não encontrado")</f>
        <v/>
      </c>
      <c r="B17580" s="43" t="n">
        <v>-23.590448</v>
      </c>
      <c r="C17580" s="43" t="n">
        <v>-46.519493</v>
      </c>
      <c r="D17580" s="43" t="n">
        <v>509</v>
      </c>
      <c r="E17580" s="44" t="n">
        <v>15752.892</v>
      </c>
    </row>
    <row r="17581">
      <c r="A17581" s="39">
        <f>_xlfn.XLOOKUP(83161,Trip[shape_id],Trip[shape_id],"Não encontrado")</f>
        <v/>
      </c>
      <c r="B17581" s="40" t="n">
        <v>-23.590952</v>
      </c>
      <c r="C17581" s="40" t="n">
        <v>-46.519372</v>
      </c>
      <c r="D17581" s="40" t="n">
        <v>510</v>
      </c>
      <c r="E17581" s="41" t="n">
        <v>15764.153</v>
      </c>
    </row>
    <row r="17582">
      <c r="A17582" s="42">
        <f>_xlfn.XLOOKUP(83161,Trip[shape_id],Trip[shape_id],"Não encontrado")</f>
        <v/>
      </c>
      <c r="B17582" s="43" t="n">
        <v>-23.591052</v>
      </c>
      <c r="C17582" s="43" t="n">
        <v>-46.519352</v>
      </c>
      <c r="D17582" s="43" t="n">
        <v>511</v>
      </c>
      <c r="E17582" s="44" t="n">
        <v>15771.275</v>
      </c>
    </row>
    <row r="17583">
      <c r="A17583" s="39">
        <f>_xlfn.XLOOKUP(83161,Trip[shape_id],Trip[shape_id],"Não encontrado")</f>
        <v/>
      </c>
      <c r="B17583" s="40" t="n">
        <v>-23.591115</v>
      </c>
      <c r="C17583" s="40" t="n">
        <v>-46.519338</v>
      </c>
      <c r="D17583" s="40" t="n">
        <v>512</v>
      </c>
      <c r="E17583" s="41" t="n">
        <v>15771.275</v>
      </c>
    </row>
    <row r="17584">
      <c r="A17584" s="42">
        <f>_xlfn.XLOOKUP(83161,Trip[shape_id],Trip[shape_id],"Não encontrado")</f>
        <v/>
      </c>
      <c r="B17584" s="43" t="n">
        <v>-23.591173</v>
      </c>
      <c r="C17584" s="43" t="n">
        <v>-46.519341</v>
      </c>
      <c r="D17584" s="43" t="n">
        <v>513</v>
      </c>
      <c r="E17584" s="44" t="n">
        <v>15804.336</v>
      </c>
    </row>
    <row r="17585">
      <c r="A17585" s="39">
        <f>_xlfn.XLOOKUP(83161,Trip[shape_id],Trip[shape_id],"Não encontrado")</f>
        <v/>
      </c>
      <c r="B17585" s="40" t="n">
        <v>-23.59141</v>
      </c>
      <c r="C17585" s="40" t="n">
        <v>-46.519385</v>
      </c>
      <c r="D17585" s="40" t="n">
        <v>514</v>
      </c>
      <c r="E17585" s="41" t="n">
        <v>15804.336</v>
      </c>
    </row>
    <row r="17586">
      <c r="A17586" s="42">
        <f>_xlfn.XLOOKUP(83161,Trip[shape_id],Trip[shape_id],"Não encontrado")</f>
        <v/>
      </c>
      <c r="B17586" s="43" t="n">
        <v>-23.591591</v>
      </c>
      <c r="C17586" s="43" t="n">
        <v>-46.519415</v>
      </c>
      <c r="D17586" s="43" t="n">
        <v>515</v>
      </c>
      <c r="E17586" s="44" t="n">
        <v>15824.615</v>
      </c>
    </row>
    <row r="17587">
      <c r="A17587" s="39">
        <f>_xlfn.XLOOKUP(83161,Trip[shape_id],Trip[shape_id],"Não encontrado")</f>
        <v/>
      </c>
      <c r="B17587" s="40" t="n">
        <v>-23.591826</v>
      </c>
      <c r="C17587" s="40" t="n">
        <v>-46.51948</v>
      </c>
      <c r="D17587" s="40" t="n">
        <v>516</v>
      </c>
      <c r="E17587" s="41" t="n">
        <v>15870.523</v>
      </c>
    </row>
    <row r="17588">
      <c r="A17588" s="42">
        <f>_xlfn.XLOOKUP(83161,Trip[shape_id],Trip[shape_id],"Não encontrado")</f>
        <v/>
      </c>
      <c r="B17588" s="43" t="n">
        <v>-23.591994</v>
      </c>
      <c r="C17588" s="43" t="n">
        <v>-46.51952</v>
      </c>
      <c r="D17588" s="43" t="n">
        <v>517</v>
      </c>
      <c r="E17588" s="44" t="n">
        <v>15870.523</v>
      </c>
    </row>
    <row r="17589">
      <c r="A17589" s="39">
        <f>_xlfn.XLOOKUP(83161,Trip[shape_id],Trip[shape_id],"Não encontrado")</f>
        <v/>
      </c>
      <c r="B17589" s="40" t="n">
        <v>-23.592304</v>
      </c>
      <c r="C17589" s="40" t="n">
        <v>-46.519594</v>
      </c>
      <c r="D17589" s="40" t="n">
        <v>518</v>
      </c>
      <c r="E17589" s="41" t="n">
        <v>15905.678</v>
      </c>
    </row>
    <row r="17590">
      <c r="A17590" s="42">
        <f>_xlfn.XLOOKUP(83161,Trip[shape_id],Trip[shape_id],"Não encontrado")</f>
        <v/>
      </c>
      <c r="B17590" s="43" t="n">
        <v>-23.592823</v>
      </c>
      <c r="C17590" s="43" t="n">
        <v>-46.519717</v>
      </c>
      <c r="D17590" s="43" t="n">
        <v>519</v>
      </c>
      <c r="E17590" s="44" t="n">
        <v>15964.514</v>
      </c>
    </row>
    <row r="17591">
      <c r="A17591" s="39">
        <f>_xlfn.XLOOKUP(83161,Trip[shape_id],Trip[shape_id],"Não encontrado")</f>
        <v/>
      </c>
      <c r="B17591" s="40" t="n">
        <v>-23.592911</v>
      </c>
      <c r="C17591" s="40" t="n">
        <v>-46.519737</v>
      </c>
      <c r="D17591" s="40" t="n">
        <v>520</v>
      </c>
      <c r="E17591" s="41" t="n">
        <v>15985.513</v>
      </c>
    </row>
    <row r="17592">
      <c r="A17592" s="42">
        <f>_xlfn.XLOOKUP(83161,Trip[shape_id],Trip[shape_id],"Não encontrado")</f>
        <v/>
      </c>
      <c r="B17592" s="43" t="n">
        <v>-23.593008</v>
      </c>
      <c r="C17592" s="43" t="n">
        <v>-46.519762</v>
      </c>
      <c r="D17592" s="43" t="n">
        <v>521</v>
      </c>
      <c r="E17592" s="44" t="n">
        <v>15993.598</v>
      </c>
    </row>
    <row r="17593">
      <c r="A17593" s="39">
        <f>_xlfn.XLOOKUP(83161,Trip[shape_id],Trip[shape_id],"Não encontrado")</f>
        <v/>
      </c>
      <c r="B17593" s="40" t="n">
        <v>-23.593081</v>
      </c>
      <c r="C17593" s="40" t="n">
        <v>-46.519763</v>
      </c>
      <c r="D17593" s="40" t="n">
        <v>522</v>
      </c>
      <c r="E17593" s="41" t="n">
        <v>15993.598</v>
      </c>
    </row>
    <row r="17594">
      <c r="A17594" s="42">
        <f>_xlfn.XLOOKUP(83161,Trip[shape_id],Trip[shape_id],"Não encontrado")</f>
        <v/>
      </c>
      <c r="B17594" s="43" t="n">
        <v>-23.593131</v>
      </c>
      <c r="C17594" s="43" t="n">
        <v>-46.519759</v>
      </c>
      <c r="D17594" s="43" t="n">
        <v>523</v>
      </c>
      <c r="E17594" s="44" t="n">
        <v>16008.242</v>
      </c>
    </row>
    <row r="17595">
      <c r="A17595" s="39">
        <f>_xlfn.XLOOKUP(83161,Trip[shape_id],Trip[shape_id],"Não encontrado")</f>
        <v/>
      </c>
      <c r="B17595" s="40" t="n">
        <v>-23.593211</v>
      </c>
      <c r="C17595" s="40" t="n">
        <v>-46.519739</v>
      </c>
      <c r="D17595" s="40" t="n">
        <v>524</v>
      </c>
      <c r="E17595" s="41" t="n">
        <v>16013.18</v>
      </c>
    </row>
    <row r="17596">
      <c r="A17596" s="42">
        <f>_xlfn.XLOOKUP(83161,Trip[shape_id],Trip[shape_id],"Não encontrado")</f>
        <v/>
      </c>
      <c r="B17596" s="43" t="n">
        <v>-23.593252</v>
      </c>
      <c r="C17596" s="43" t="n">
        <v>-46.51972</v>
      </c>
      <c r="D17596" s="43" t="n">
        <v>525</v>
      </c>
      <c r="E17596" s="44" t="n">
        <v>16019.716</v>
      </c>
    </row>
    <row r="17597">
      <c r="A17597" s="39">
        <f>_xlfn.XLOOKUP(83161,Trip[shape_id],Trip[shape_id],"Não encontrado")</f>
        <v/>
      </c>
      <c r="B17597" s="40" t="n">
        <v>-23.593302</v>
      </c>
      <c r="C17597" s="40" t="n">
        <v>-46.519686</v>
      </c>
      <c r="D17597" s="40" t="n">
        <v>526</v>
      </c>
      <c r="E17597" s="41" t="n">
        <v>16055.497</v>
      </c>
    </row>
    <row r="17598">
      <c r="A17598" s="42">
        <f>_xlfn.XLOOKUP(83161,Trip[shape_id],Trip[shape_id],"Não encontrado")</f>
        <v/>
      </c>
      <c r="B17598" s="43" t="n">
        <v>-23.593577</v>
      </c>
      <c r="C17598" s="43" t="n">
        <v>-46.519502</v>
      </c>
      <c r="D17598" s="43" t="n">
        <v>527</v>
      </c>
      <c r="E17598" s="44" t="n">
        <v>16055.497</v>
      </c>
    </row>
    <row r="17599">
      <c r="A17599" s="39">
        <f>_xlfn.XLOOKUP(83161,Trip[shape_id],Trip[shape_id],"Não encontrado")</f>
        <v/>
      </c>
      <c r="B17599" s="40" t="n">
        <v>-23.594372</v>
      </c>
      <c r="C17599" s="40" t="n">
        <v>-46.518978</v>
      </c>
      <c r="D17599" s="40" t="n">
        <v>528</v>
      </c>
      <c r="E17599" s="41" t="n">
        <v>16188.418</v>
      </c>
    </row>
    <row r="17600">
      <c r="A17600" s="42">
        <f>_xlfn.XLOOKUP(83161,Trip[shape_id],Trip[shape_id],"Não encontrado")</f>
        <v/>
      </c>
      <c r="B17600" s="43" t="n">
        <v>-23.594605</v>
      </c>
      <c r="C17600" s="43" t="n">
        <v>-46.51883</v>
      </c>
      <c r="D17600" s="43" t="n">
        <v>529</v>
      </c>
      <c r="E17600" s="44" t="n">
        <v>16201.492</v>
      </c>
    </row>
    <row r="17601">
      <c r="A17601" s="39">
        <f>_xlfn.XLOOKUP(83161,Trip[shape_id],Trip[shape_id],"Não encontrado")</f>
        <v/>
      </c>
      <c r="B17601" s="40" t="n">
        <v>-23.594702</v>
      </c>
      <c r="C17601" s="40" t="n">
        <v>-46.518757</v>
      </c>
      <c r="D17601" s="40" t="n">
        <v>530</v>
      </c>
      <c r="E17601" s="41" t="n">
        <v>16201.492</v>
      </c>
    </row>
    <row r="17602">
      <c r="A17602" s="42">
        <f>_xlfn.XLOOKUP(83161,Trip[shape_id],Trip[shape_id],"Não encontrado")</f>
        <v/>
      </c>
      <c r="B17602" s="43" t="n">
        <v>-23.595065</v>
      </c>
      <c r="C17602" s="43" t="n">
        <v>-46.51847</v>
      </c>
      <c r="D17602" s="43" t="n">
        <v>531</v>
      </c>
      <c r="E17602" s="44" t="n">
        <v>16273.872</v>
      </c>
    </row>
    <row r="17603">
      <c r="A17603" s="39">
        <f>_xlfn.XLOOKUP(83161,Trip[shape_id],Trip[shape_id],"Não encontrado")</f>
        <v/>
      </c>
      <c r="B17603" s="40" t="n">
        <v>-23.595222</v>
      </c>
      <c r="C17603" s="40" t="n">
        <v>-46.518328</v>
      </c>
      <c r="D17603" s="40" t="n">
        <v>532</v>
      </c>
      <c r="E17603" s="41" t="n">
        <v>16280.743</v>
      </c>
    </row>
    <row r="17604">
      <c r="A17604" s="42">
        <f>_xlfn.XLOOKUP(83161,Trip[shape_id],Trip[shape_id],"Não encontrado")</f>
        <v/>
      </c>
      <c r="B17604" s="43" t="n">
        <v>-23.595275</v>
      </c>
      <c r="C17604" s="43" t="n">
        <v>-46.518293</v>
      </c>
      <c r="D17604" s="43" t="n">
        <v>533</v>
      </c>
      <c r="E17604" s="44" t="n">
        <v>16280.743</v>
      </c>
    </row>
    <row r="17605">
      <c r="A17605" s="39">
        <f>_xlfn.XLOOKUP(83161,Trip[shape_id],Trip[shape_id],"Não encontrado")</f>
        <v/>
      </c>
      <c r="B17605" s="40" t="n">
        <v>-23.595642</v>
      </c>
      <c r="C17605" s="40" t="n">
        <v>-46.518012</v>
      </c>
      <c r="D17605" s="40" t="n">
        <v>534</v>
      </c>
      <c r="E17605" s="41" t="n">
        <v>16330.489</v>
      </c>
    </row>
    <row r="17606">
      <c r="A17606" s="42">
        <f>_xlfn.XLOOKUP(83161,Trip[shape_id],Trip[shape_id],"Não encontrado")</f>
        <v/>
      </c>
      <c r="B17606" s="43" t="n">
        <v>-23.596113</v>
      </c>
      <c r="C17606" s="43" t="n">
        <v>-46.51769</v>
      </c>
      <c r="D17606" s="43" t="n">
        <v>535</v>
      </c>
      <c r="E17606" s="44" t="n">
        <v>16392.145</v>
      </c>
    </row>
    <row r="17607">
      <c r="A17607" s="39">
        <f>_xlfn.XLOOKUP(83161,Trip[shape_id],Trip[shape_id],"Não encontrado")</f>
        <v/>
      </c>
      <c r="B17607" s="40" t="n">
        <v>-23.596334</v>
      </c>
      <c r="C17607" s="40" t="n">
        <v>-46.517522</v>
      </c>
      <c r="D17607" s="40" t="n">
        <v>536</v>
      </c>
      <c r="E17607" s="41" t="n">
        <v>16430.355</v>
      </c>
    </row>
    <row r="17608">
      <c r="A17608" s="42">
        <f>_xlfn.XLOOKUP(83161,Trip[shape_id],Trip[shape_id],"Não encontrado")</f>
        <v/>
      </c>
      <c r="B17608" s="43" t="n">
        <v>-23.596399</v>
      </c>
      <c r="C17608" s="43" t="n">
        <v>-46.517481</v>
      </c>
      <c r="D17608" s="43" t="n">
        <v>537</v>
      </c>
      <c r="E17608" s="44" t="n">
        <v>16448.975</v>
      </c>
    </row>
    <row r="17609">
      <c r="A17609" s="39">
        <f>_xlfn.XLOOKUP(83161,Trip[shape_id],Trip[shape_id],"Não encontrado")</f>
        <v/>
      </c>
      <c r="B17609" s="40" t="n">
        <v>-23.596516</v>
      </c>
      <c r="C17609" s="40" t="n">
        <v>-46.51735</v>
      </c>
      <c r="D17609" s="40" t="n">
        <v>538</v>
      </c>
      <c r="E17609" s="41" t="n">
        <v>16460.689</v>
      </c>
    </row>
    <row r="17610">
      <c r="A17610" s="42">
        <f>_xlfn.XLOOKUP(83161,Trip[shape_id],Trip[shape_id],"Não encontrado")</f>
        <v/>
      </c>
      <c r="B17610" s="43" t="n">
        <v>-23.596578</v>
      </c>
      <c r="C17610" s="43" t="n">
        <v>-46.517257</v>
      </c>
      <c r="D17610" s="43" t="n">
        <v>539</v>
      </c>
      <c r="E17610" s="44" t="n">
        <v>16482.131</v>
      </c>
    </row>
    <row r="17611">
      <c r="A17611" s="39">
        <f>_xlfn.XLOOKUP(83161,Trip[shape_id],Trip[shape_id],"Não encontrado")</f>
        <v/>
      </c>
      <c r="B17611" s="40" t="n">
        <v>-23.596668</v>
      </c>
      <c r="C17611" s="40" t="n">
        <v>-46.517071</v>
      </c>
      <c r="D17611" s="40" t="n">
        <v>540</v>
      </c>
      <c r="E17611" s="41" t="n">
        <v>16514.705</v>
      </c>
    </row>
    <row r="17612">
      <c r="A17612" s="42">
        <f>_xlfn.XLOOKUP(83161,Trip[shape_id],Trip[shape_id],"Não encontrado")</f>
        <v/>
      </c>
      <c r="B17612" s="43" t="n">
        <v>-23.596677</v>
      </c>
      <c r="C17612" s="43" t="n">
        <v>-46.516752</v>
      </c>
      <c r="D17612" s="43" t="n">
        <v>541</v>
      </c>
      <c r="E17612" s="44" t="n">
        <v>16542.07</v>
      </c>
    </row>
    <row r="17613">
      <c r="A17613" s="39">
        <f>_xlfn.XLOOKUP(83161,Trip[shape_id],Trip[shape_id],"Não encontrado")</f>
        <v/>
      </c>
      <c r="B17613" s="40" t="n">
        <v>-23.596646</v>
      </c>
      <c r="C17613" s="40" t="n">
        <v>-46.516486</v>
      </c>
      <c r="D17613" s="40" t="n">
        <v>542</v>
      </c>
      <c r="E17613" s="41" t="n">
        <v>16542.07</v>
      </c>
    </row>
    <row r="17614">
      <c r="A17614" s="42">
        <f>_xlfn.XLOOKUP(83161,Trip[shape_id],Trip[shape_id],"Não encontrado")</f>
        <v/>
      </c>
      <c r="B17614" s="43" t="n">
        <v>-23.596589</v>
      </c>
      <c r="C17614" s="43" t="n">
        <v>-46.515894</v>
      </c>
      <c r="D17614" s="43" t="n">
        <v>543</v>
      </c>
      <c r="E17614" s="44" t="n">
        <v>16602.822</v>
      </c>
    </row>
    <row r="17615">
      <c r="A17615" s="39">
        <f>_xlfn.XLOOKUP(83161,Trip[shape_id],Trip[shape_id],"Não encontrado")</f>
        <v/>
      </c>
      <c r="B17615" s="40" t="n">
        <v>-23.596551</v>
      </c>
      <c r="C17615" s="40" t="n">
        <v>-46.515483</v>
      </c>
      <c r="D17615" s="40" t="n">
        <v>544</v>
      </c>
      <c r="E17615" s="41" t="n">
        <v>16652.689</v>
      </c>
    </row>
    <row r="17616">
      <c r="A17616" s="42">
        <f>_xlfn.XLOOKUP(83161,Trip[shape_id],Trip[shape_id],"Não encontrado")</f>
        <v/>
      </c>
      <c r="B17616" s="43" t="n">
        <v>-23.59653</v>
      </c>
      <c r="C17616" s="43" t="n">
        <v>-46.515411</v>
      </c>
      <c r="D17616" s="43" t="n">
        <v>545</v>
      </c>
      <c r="E17616" s="44" t="n">
        <v>16652.689</v>
      </c>
    </row>
    <row r="17617">
      <c r="A17617" s="39">
        <f>_xlfn.XLOOKUP(83161,Trip[shape_id],Trip[shape_id],"Não encontrado")</f>
        <v/>
      </c>
      <c r="B17617" s="40" t="n">
        <v>-23.596494</v>
      </c>
      <c r="C17617" s="40" t="n">
        <v>-46.515312</v>
      </c>
      <c r="D17617" s="40" t="n">
        <v>546</v>
      </c>
      <c r="E17617" s="41" t="n">
        <v>16676.572</v>
      </c>
    </row>
    <row r="17618">
      <c r="A17618" s="42">
        <f>_xlfn.XLOOKUP(83161,Trip[shape_id],Trip[shape_id],"Não encontrado")</f>
        <v/>
      </c>
      <c r="B17618" s="43" t="n">
        <v>-23.59643</v>
      </c>
      <c r="C17618" s="43" t="n">
        <v>-46.515205</v>
      </c>
      <c r="D17618" s="43" t="n">
        <v>547</v>
      </c>
      <c r="E17618" s="44" t="n">
        <v>16717.039</v>
      </c>
    </row>
    <row r="17619">
      <c r="A17619" s="39">
        <f>_xlfn.XLOOKUP(83161,Trip[shape_id],Trip[shape_id],"Não encontrado")</f>
        <v/>
      </c>
      <c r="B17619" s="40" t="n">
        <v>-23.596189</v>
      </c>
      <c r="C17619" s="40" t="n">
        <v>-46.514907</v>
      </c>
      <c r="D17619" s="40" t="n">
        <v>548</v>
      </c>
      <c r="E17619" s="41" t="n">
        <v>16717.039</v>
      </c>
    </row>
    <row r="17620">
      <c r="A17620" s="42">
        <f>_xlfn.XLOOKUP(83161,Trip[shape_id],Trip[shape_id],"Não encontrado")</f>
        <v/>
      </c>
      <c r="B17620" s="43" t="n">
        <v>-23.595903</v>
      </c>
      <c r="C17620" s="43" t="n">
        <v>-46.514547</v>
      </c>
      <c r="D17620" s="43" t="n">
        <v>549</v>
      </c>
      <c r="E17620" s="44" t="n">
        <v>16771.709</v>
      </c>
    </row>
    <row r="17621">
      <c r="A17621" s="39">
        <f>_xlfn.XLOOKUP(83161,Trip[shape_id],Trip[shape_id],"Não encontrado")</f>
        <v/>
      </c>
      <c r="B17621" s="40" t="n">
        <v>-23.595864</v>
      </c>
      <c r="C17621" s="40" t="n">
        <v>-46.514504</v>
      </c>
      <c r="D17621" s="40" t="n">
        <v>550</v>
      </c>
      <c r="E17621" s="41" t="n">
        <v>16771.709</v>
      </c>
    </row>
    <row r="17622">
      <c r="A17622" s="42">
        <f>_xlfn.XLOOKUP(83161,Trip[shape_id],Trip[shape_id],"Não encontrado")</f>
        <v/>
      </c>
      <c r="B17622" s="43" t="n">
        <v>-23.595843</v>
      </c>
      <c r="C17622" s="43" t="n">
        <v>-46.514434</v>
      </c>
      <c r="D17622" s="43" t="n">
        <v>551</v>
      </c>
      <c r="E17622" s="44" t="n">
        <v>16779.223</v>
      </c>
    </row>
    <row r="17623">
      <c r="A17623" s="39">
        <f>_xlfn.XLOOKUP(83161,Trip[shape_id],Trip[shape_id],"Não encontrado")</f>
        <v/>
      </c>
      <c r="B17623" s="40" t="n">
        <v>-23.595827</v>
      </c>
      <c r="C17623" s="40" t="n">
        <v>-46.514367</v>
      </c>
      <c r="D17623" s="40" t="n">
        <v>552</v>
      </c>
      <c r="E17623" s="41" t="n">
        <v>16805.762</v>
      </c>
    </row>
    <row r="17624">
      <c r="A17624" s="42">
        <f>_xlfn.XLOOKUP(83161,Trip[shape_id],Trip[shape_id],"Não encontrado")</f>
        <v/>
      </c>
      <c r="B17624" s="43" t="n">
        <v>-23.595797</v>
      </c>
      <c r="C17624" s="43" t="n">
        <v>-46.514179</v>
      </c>
      <c r="D17624" s="43" t="n">
        <v>553</v>
      </c>
      <c r="E17624" s="44" t="n">
        <v>16810.781</v>
      </c>
    </row>
    <row r="17625">
      <c r="A17625" s="39">
        <f>_xlfn.XLOOKUP(83161,Trip[shape_id],Trip[shape_id],"Não encontrado")</f>
        <v/>
      </c>
      <c r="B17625" s="40" t="n">
        <v>-23.595793</v>
      </c>
      <c r="C17625" s="40" t="n">
        <v>-46.51413</v>
      </c>
      <c r="D17625" s="40" t="n">
        <v>554</v>
      </c>
      <c r="E17625" s="41" t="n">
        <v>16815.896</v>
      </c>
    </row>
    <row r="17626">
      <c r="A17626" s="42">
        <f>_xlfn.XLOOKUP(83161,Trip[shape_id],Trip[shape_id],"Não encontrado")</f>
        <v/>
      </c>
      <c r="B17626" s="43" t="n">
        <v>-23.59579</v>
      </c>
      <c r="C17626" s="43" t="n">
        <v>-46.51408</v>
      </c>
      <c r="D17626" s="43" t="n">
        <v>555</v>
      </c>
      <c r="E17626" s="44" t="n">
        <v>16825.9</v>
      </c>
    </row>
    <row r="17627">
      <c r="A17627" s="39">
        <f>_xlfn.XLOOKUP(83161,Trip[shape_id],Trip[shape_id],"Não encontrado")</f>
        <v/>
      </c>
      <c r="B17627" s="40" t="n">
        <v>-23.595791</v>
      </c>
      <c r="C17627" s="40" t="n">
        <v>-46.513982</v>
      </c>
      <c r="D17627" s="40" t="n">
        <v>556</v>
      </c>
      <c r="E17627" s="41" t="n">
        <v>16825.9</v>
      </c>
    </row>
    <row r="17628">
      <c r="A17628" s="42">
        <f>_xlfn.XLOOKUP(83161,Trip[shape_id],Trip[shape_id],"Não encontrado")</f>
        <v/>
      </c>
      <c r="B17628" s="43" t="n">
        <v>-23.595827</v>
      </c>
      <c r="C17628" s="43" t="n">
        <v>-46.51392</v>
      </c>
      <c r="D17628" s="43" t="n">
        <v>557</v>
      </c>
      <c r="E17628" s="44" t="n">
        <v>16844.273</v>
      </c>
    </row>
    <row r="17629">
      <c r="A17629" s="39">
        <f>_xlfn.XLOOKUP(83161,Trip[shape_id],Trip[shape_id],"Não encontrado")</f>
        <v/>
      </c>
      <c r="B17629" s="40" t="n">
        <v>-23.595905</v>
      </c>
      <c r="C17629" s="40" t="n">
        <v>-46.513855</v>
      </c>
      <c r="D17629" s="40" t="n">
        <v>558</v>
      </c>
      <c r="E17629" s="41" t="n">
        <v>16852.75</v>
      </c>
    </row>
    <row r="17630">
      <c r="A17630" s="42">
        <f>_xlfn.XLOOKUP(83161,Trip[shape_id],Trip[shape_id],"Não encontrado")</f>
        <v/>
      </c>
      <c r="B17630" s="43" t="n">
        <v>-23.595976</v>
      </c>
      <c r="C17630" s="43" t="n">
        <v>-46.513824</v>
      </c>
      <c r="D17630" s="43" t="n">
        <v>559</v>
      </c>
      <c r="E17630" s="44" t="n">
        <v>16852.75</v>
      </c>
    </row>
    <row r="17631">
      <c r="A17631" s="39">
        <f>_xlfn.XLOOKUP(83161,Trip[shape_id],Trip[shape_id],"Não encontrado")</f>
        <v/>
      </c>
      <c r="B17631" s="40" t="n">
        <v>-23.596153</v>
      </c>
      <c r="C17631" s="40" t="n">
        <v>-46.513775</v>
      </c>
      <c r="D17631" s="40" t="n">
        <v>560</v>
      </c>
      <c r="E17631" s="41" t="n">
        <v>16918.898</v>
      </c>
    </row>
    <row r="17632">
      <c r="A17632" s="42">
        <f>_xlfn.XLOOKUP(83161,Trip[shape_id],Trip[shape_id],"Não encontrado")</f>
        <v/>
      </c>
      <c r="B17632" s="43" t="n">
        <v>-23.596551</v>
      </c>
      <c r="C17632" s="43" t="n">
        <v>-46.513649</v>
      </c>
      <c r="D17632" s="43" t="n">
        <v>561</v>
      </c>
      <c r="E17632" s="44" t="n">
        <v>16918.898</v>
      </c>
    </row>
    <row r="17633">
      <c r="A17633" s="39">
        <f>_xlfn.XLOOKUP(83161,Trip[shape_id],Trip[shape_id],"Não encontrado")</f>
        <v/>
      </c>
      <c r="B17633" s="40" t="n">
        <v>-23.596883</v>
      </c>
      <c r="C17633" s="40" t="n">
        <v>-46.513536</v>
      </c>
      <c r="D17633" s="40" t="n">
        <v>562</v>
      </c>
      <c r="E17633" s="41" t="n">
        <v>16974.213</v>
      </c>
    </row>
    <row r="17634">
      <c r="A17634" s="42">
        <f>_xlfn.XLOOKUP(83161,Trip[shape_id],Trip[shape_id],"Não encontrado")</f>
        <v/>
      </c>
      <c r="B17634" s="43" t="n">
        <v>-23.597027</v>
      </c>
      <c r="C17634" s="43" t="n">
        <v>-46.513485</v>
      </c>
      <c r="D17634" s="43" t="n">
        <v>563</v>
      </c>
      <c r="E17634" s="44" t="n">
        <v>16974.213</v>
      </c>
    </row>
    <row r="17635">
      <c r="A17635" s="39">
        <f>_xlfn.XLOOKUP(83161,Trip[shape_id],Trip[shape_id],"Não encontrado")</f>
        <v/>
      </c>
      <c r="B17635" s="40" t="n">
        <v>-23.597106</v>
      </c>
      <c r="C17635" s="40" t="n">
        <v>-46.513487</v>
      </c>
      <c r="D17635" s="40" t="n">
        <v>564</v>
      </c>
      <c r="E17635" s="41" t="n">
        <v>16989.961</v>
      </c>
    </row>
    <row r="17636">
      <c r="A17636" s="42">
        <f>_xlfn.XLOOKUP(83161,Trip[shape_id],Trip[shape_id],"Não encontrado")</f>
        <v/>
      </c>
      <c r="B17636" s="43" t="n">
        <v>-23.597169</v>
      </c>
      <c r="C17636" s="43" t="n">
        <v>-46.513482</v>
      </c>
      <c r="D17636" s="43" t="n">
        <v>565</v>
      </c>
      <c r="E17636" s="44" t="n">
        <v>17048.564</v>
      </c>
    </row>
    <row r="17637">
      <c r="A17637" s="39">
        <f>_xlfn.XLOOKUP(83161,Trip[shape_id],Trip[shape_id],"Não encontrado")</f>
        <v/>
      </c>
      <c r="B17637" s="40" t="n">
        <v>-23.597698</v>
      </c>
      <c r="C17637" s="40" t="n">
        <v>-46.513469</v>
      </c>
      <c r="D17637" s="40" t="n">
        <v>566</v>
      </c>
      <c r="E17637" s="41" t="n">
        <v>17048.564</v>
      </c>
    </row>
    <row r="17638">
      <c r="A17638" s="42">
        <f>_xlfn.XLOOKUP(83161,Trip[shape_id],Trip[shape_id],"Não encontrado")</f>
        <v/>
      </c>
      <c r="B17638" s="43" t="n">
        <v>-23.598082</v>
      </c>
      <c r="C17638" s="43" t="n">
        <v>-46.513475</v>
      </c>
      <c r="D17638" s="43" t="n">
        <v>567</v>
      </c>
      <c r="E17638" s="44" t="n">
        <v>17094.68</v>
      </c>
    </row>
    <row r="17639">
      <c r="A17639" s="39">
        <f>_xlfn.XLOOKUP(83161,Trip[shape_id],Trip[shape_id],"Não encontrado")</f>
        <v/>
      </c>
      <c r="B17639" s="40" t="n">
        <v>-23.598113</v>
      </c>
      <c r="C17639" s="40" t="n">
        <v>-46.513465</v>
      </c>
      <c r="D17639" s="40" t="n">
        <v>568</v>
      </c>
      <c r="E17639" s="41" t="n">
        <v>17108.705</v>
      </c>
    </row>
    <row r="17640">
      <c r="A17640" s="42">
        <f>_xlfn.XLOOKUP(83161,Trip[shape_id],Trip[shape_id],"Não encontrado")</f>
        <v/>
      </c>
      <c r="B17640" s="43" t="n">
        <v>-23.598238</v>
      </c>
      <c r="C17640" s="43" t="n">
        <v>-46.513443</v>
      </c>
      <c r="D17640" s="43" t="n">
        <v>569</v>
      </c>
      <c r="E17640" s="44" t="n">
        <v>17123.738</v>
      </c>
    </row>
    <row r="17641">
      <c r="A17641" s="39">
        <f>_xlfn.XLOOKUP(83161,Trip[shape_id],Trip[shape_id],"Não encontrado")</f>
        <v/>
      </c>
      <c r="B17641" s="40" t="n">
        <v>-23.598366</v>
      </c>
      <c r="C17641" s="40" t="n">
        <v>-46.513394</v>
      </c>
      <c r="D17641" s="40" t="n">
        <v>570</v>
      </c>
      <c r="E17641" s="41" t="n">
        <v>17142.922</v>
      </c>
    </row>
    <row r="17642">
      <c r="A17642" s="42">
        <f>_xlfn.XLOOKUP(83161,Trip[shape_id],Trip[shape_id],"Não encontrado")</f>
        <v/>
      </c>
      <c r="B17642" s="43" t="n">
        <v>-23.598526</v>
      </c>
      <c r="C17642" s="43" t="n">
        <v>-46.513322</v>
      </c>
      <c r="D17642" s="43" t="n">
        <v>571</v>
      </c>
      <c r="E17642" s="44" t="n">
        <v>17181.426</v>
      </c>
    </row>
    <row r="17643">
      <c r="A17643" s="39">
        <f>_xlfn.XLOOKUP(83161,Trip[shape_id],Trip[shape_id],"Não encontrado")</f>
        <v/>
      </c>
      <c r="B17643" s="40" t="n">
        <v>-23.598845</v>
      </c>
      <c r="C17643" s="40" t="n">
        <v>-46.513172</v>
      </c>
      <c r="D17643" s="40" t="n">
        <v>572</v>
      </c>
      <c r="E17643" s="41" t="n">
        <v>17201.121</v>
      </c>
    </row>
    <row r="17644">
      <c r="A17644" s="42">
        <f>_xlfn.XLOOKUP(83161,Trip[shape_id],Trip[shape_id],"Não encontrado")</f>
        <v/>
      </c>
      <c r="B17644" s="43" t="n">
        <v>-23.598985</v>
      </c>
      <c r="C17644" s="43" t="n">
        <v>-46.513053</v>
      </c>
      <c r="D17644" s="43" t="n">
        <v>573</v>
      </c>
      <c r="E17644" s="44" t="n">
        <v>17201.121</v>
      </c>
    </row>
    <row r="17645">
      <c r="A17645" s="39">
        <f>_xlfn.XLOOKUP(83161,Trip[shape_id],Trip[shape_id],"Não encontrado")</f>
        <v/>
      </c>
      <c r="B17645" s="40" t="n">
        <v>-23.598562</v>
      </c>
      <c r="C17645" s="40" t="n">
        <v>-46.51296</v>
      </c>
      <c r="D17645" s="40" t="n">
        <v>574</v>
      </c>
      <c r="E17645" s="41" t="n">
        <v>17271.129</v>
      </c>
    </row>
    <row r="17646">
      <c r="A17646" s="42">
        <f>_xlfn.XLOOKUP(83161,Trip[shape_id],Trip[shape_id],"Não encontrado")</f>
        <v/>
      </c>
      <c r="B17646" s="43" t="n">
        <v>-23.598369</v>
      </c>
      <c r="C17646" s="43" t="n">
        <v>-46.512901</v>
      </c>
      <c r="D17646" s="43" t="n">
        <v>575</v>
      </c>
      <c r="E17646" s="44" t="n">
        <v>17278.236</v>
      </c>
    </row>
    <row r="17647">
      <c r="A17647" s="39">
        <f>_xlfn.XLOOKUP(83161,Trip[shape_id],Trip[shape_id],"Não encontrado")</f>
        <v/>
      </c>
      <c r="B17647" s="40" t="n">
        <v>-23.598313</v>
      </c>
      <c r="C17647" s="40" t="n">
        <v>-46.512867</v>
      </c>
      <c r="D17647" s="40" t="n">
        <v>576</v>
      </c>
      <c r="E17647" s="41" t="n">
        <v>17285.246</v>
      </c>
    </row>
    <row r="17648">
      <c r="A17648" s="42">
        <f>_xlfn.XLOOKUP(83161,Trip[shape_id],Trip[shape_id],"Não encontrado")</f>
        <v/>
      </c>
      <c r="B17648" s="43" t="n">
        <v>-23.598266</v>
      </c>
      <c r="C17648" s="43" t="n">
        <v>-46.512821</v>
      </c>
      <c r="D17648" s="43" t="n">
        <v>577</v>
      </c>
      <c r="E17648" s="44" t="n">
        <v>17293.307</v>
      </c>
    </row>
    <row r="17649">
      <c r="A17649" s="39">
        <f>_xlfn.XLOOKUP(83161,Trip[shape_id],Trip[shape_id],"Não encontrado")</f>
        <v/>
      </c>
      <c r="B17649" s="40" t="n">
        <v>-23.598229</v>
      </c>
      <c r="C17649" s="40" t="n">
        <v>-46.512753</v>
      </c>
      <c r="D17649" s="40" t="n">
        <v>578</v>
      </c>
      <c r="E17649" s="41" t="n">
        <v>17293.307</v>
      </c>
    </row>
    <row r="17650">
      <c r="A17650" s="42">
        <f>_xlfn.XLOOKUP(83161,Trip[shape_id],Trip[shape_id],"Não encontrado")</f>
        <v/>
      </c>
      <c r="B17650" s="43" t="n">
        <v>-23.598172</v>
      </c>
      <c r="C17650" s="43" t="n">
        <v>-46.512153</v>
      </c>
      <c r="D17650" s="43" t="n">
        <v>579</v>
      </c>
      <c r="E17650" s="44" t="n">
        <v>17354.871</v>
      </c>
    </row>
    <row r="17651">
      <c r="A17651" s="39">
        <f>_xlfn.XLOOKUP(83161,Trip[shape_id],Trip[shape_id],"Não encontrado")</f>
        <v/>
      </c>
      <c r="B17651" s="40" t="n">
        <v>-23.5981</v>
      </c>
      <c r="C17651" s="40" t="n">
        <v>-46.511239</v>
      </c>
      <c r="D17651" s="40" t="n">
        <v>580</v>
      </c>
      <c r="E17651" s="41" t="n">
        <v>17448.498</v>
      </c>
    </row>
    <row r="17652">
      <c r="A17652" s="42">
        <f>_xlfn.XLOOKUP(83161,Trip[shape_id],Trip[shape_id],"Não encontrado")</f>
        <v/>
      </c>
      <c r="B17652" s="43" t="n">
        <v>-23.598055</v>
      </c>
      <c r="C17652" s="43" t="n">
        <v>-46.51075</v>
      </c>
      <c r="D17652" s="43" t="n">
        <v>581</v>
      </c>
      <c r="E17652" s="44" t="n">
        <v>17513.156</v>
      </c>
    </row>
    <row r="17653">
      <c r="A17653" s="39">
        <f>_xlfn.XLOOKUP(83161,Trip[shape_id],Trip[shape_id],"Não encontrado")</f>
        <v/>
      </c>
      <c r="B17653" s="40" t="n">
        <v>-23.598009</v>
      </c>
      <c r="C17653" s="40" t="n">
        <v>-46.510617</v>
      </c>
      <c r="D17653" s="40" t="n">
        <v>582</v>
      </c>
      <c r="E17653" s="41" t="n">
        <v>17522.291</v>
      </c>
    </row>
    <row r="17654">
      <c r="A17654" s="42">
        <f>_xlfn.XLOOKUP(83161,Trip[shape_id],Trip[shape_id],"Não encontrado")</f>
        <v/>
      </c>
      <c r="B17654" s="43" t="n">
        <v>-23.59796</v>
      </c>
      <c r="C17654" s="43" t="n">
        <v>-46.510545</v>
      </c>
      <c r="D17654" s="43" t="n">
        <v>583</v>
      </c>
      <c r="E17654" s="44" t="n">
        <v>17522.291</v>
      </c>
    </row>
    <row r="17655">
      <c r="A17655" s="39">
        <f>_xlfn.XLOOKUP(83161,Trip[shape_id],Trip[shape_id],"Não encontrado")</f>
        <v/>
      </c>
      <c r="B17655" s="40" t="n">
        <v>-23.5978</v>
      </c>
      <c r="C17655" s="40" t="n">
        <v>-46.510415</v>
      </c>
      <c r="D17655" s="40" t="n">
        <v>584</v>
      </c>
      <c r="E17655" s="41" t="n">
        <v>17585.557</v>
      </c>
    </row>
    <row r="17656">
      <c r="A17656" s="42">
        <f>_xlfn.XLOOKUP(83161,Trip[shape_id],Trip[shape_id],"Não encontrado")</f>
        <v/>
      </c>
      <c r="B17656" s="43" t="n">
        <v>-23.597499</v>
      </c>
      <c r="C17656" s="43" t="n">
        <v>-46.510179</v>
      </c>
      <c r="D17656" s="43" t="n">
        <v>585</v>
      </c>
      <c r="E17656" s="44" t="n">
        <v>17585.557</v>
      </c>
    </row>
    <row r="17657">
      <c r="A17657" s="39">
        <f>_xlfn.XLOOKUP(83161,Trip[shape_id],Trip[shape_id],"Não encontrado")</f>
        <v/>
      </c>
      <c r="B17657" s="40" t="n">
        <v>-23.597321</v>
      </c>
      <c r="C17657" s="40" t="n">
        <v>-46.510039</v>
      </c>
      <c r="D17657" s="40" t="n">
        <v>586</v>
      </c>
      <c r="E17657" s="41" t="n">
        <v>17609.904</v>
      </c>
    </row>
    <row r="17658">
      <c r="A17658" s="42">
        <f>_xlfn.XLOOKUP(83161,Trip[shape_id],Trip[shape_id],"Não encontrado")</f>
        <v/>
      </c>
      <c r="B17658" s="43" t="n">
        <v>-23.597316</v>
      </c>
      <c r="C17658" s="43" t="n">
        <v>-46.509801</v>
      </c>
      <c r="D17658" s="43" t="n">
        <v>587</v>
      </c>
      <c r="E17658" s="44" t="n">
        <v>17685.164</v>
      </c>
    </row>
    <row r="17659">
      <c r="A17659" s="39">
        <f>_xlfn.XLOOKUP(83161,Trip[shape_id],Trip[shape_id],"Não encontrado")</f>
        <v/>
      </c>
      <c r="B17659" s="40" t="n">
        <v>-23.59736</v>
      </c>
      <c r="C17659" s="40" t="n">
        <v>-46.509304</v>
      </c>
      <c r="D17659" s="40" t="n">
        <v>588</v>
      </c>
      <c r="E17659" s="41" t="n">
        <v>17745.928</v>
      </c>
    </row>
    <row r="17660">
      <c r="A17660" s="42">
        <f>_xlfn.XLOOKUP(83161,Trip[shape_id],Trip[shape_id],"Não encontrado")</f>
        <v/>
      </c>
      <c r="B17660" s="43" t="n">
        <v>-23.597418</v>
      </c>
      <c r="C17660" s="43" t="n">
        <v>-46.508712</v>
      </c>
      <c r="D17660" s="43" t="n">
        <v>589</v>
      </c>
      <c r="E17660" s="44" t="n">
        <v>17811.91</v>
      </c>
    </row>
    <row r="17661">
      <c r="A17661" s="39">
        <f>_xlfn.XLOOKUP(83161,Trip[shape_id],Trip[shape_id],"Não encontrado")</f>
        <v/>
      </c>
      <c r="B17661" s="40" t="n">
        <v>-23.59747</v>
      </c>
      <c r="C17661" s="40" t="n">
        <v>-46.508068</v>
      </c>
      <c r="D17661" s="40" t="n">
        <v>590</v>
      </c>
      <c r="E17661" s="41" t="n">
        <v>17849.547</v>
      </c>
    </row>
    <row r="17662">
      <c r="A17662" s="42">
        <f>_xlfn.XLOOKUP(83161,Trip[shape_id],Trip[shape_id],"Não encontrado")</f>
        <v/>
      </c>
      <c r="B17662" s="43" t="n">
        <v>-23.597503</v>
      </c>
      <c r="C17662" s="43" t="n">
        <v>-46.507701</v>
      </c>
      <c r="D17662" s="43" t="n">
        <v>591</v>
      </c>
      <c r="E17662" s="44" t="n">
        <v>17859.045</v>
      </c>
    </row>
    <row r="17663">
      <c r="A17663" s="39">
        <f>_xlfn.XLOOKUP(83161,Trip[shape_id],Trip[shape_id],"Não encontrado")</f>
        <v/>
      </c>
      <c r="B17663" s="40" t="n">
        <v>-23.5975</v>
      </c>
      <c r="C17663" s="40" t="n">
        <v>-46.507608</v>
      </c>
      <c r="D17663" s="40" t="n">
        <v>592</v>
      </c>
      <c r="E17663" s="41" t="n">
        <v>17859.045</v>
      </c>
    </row>
    <row r="17664">
      <c r="A17664" s="42">
        <f>_xlfn.XLOOKUP(83161,Trip[shape_id],Trip[shape_id],"Não encontrado")</f>
        <v/>
      </c>
      <c r="B17664" s="43" t="n">
        <v>-23.597502</v>
      </c>
      <c r="C17664" s="43" t="n">
        <v>-46.507526</v>
      </c>
      <c r="D17664" s="43" t="n">
        <v>593</v>
      </c>
      <c r="E17664" s="44" t="n">
        <v>17874.184</v>
      </c>
    </row>
    <row r="17665">
      <c r="A17665" s="39">
        <f>_xlfn.XLOOKUP(83161,Trip[shape_id],Trip[shape_id],"Não encontrado")</f>
        <v/>
      </c>
      <c r="B17665" s="40" t="n">
        <v>-23.597483</v>
      </c>
      <c r="C17665" s="40" t="n">
        <v>-46.507463</v>
      </c>
      <c r="D17665" s="40" t="n">
        <v>594</v>
      </c>
      <c r="E17665" s="41" t="n">
        <v>17878.068</v>
      </c>
    </row>
    <row r="17666">
      <c r="A17666" s="42">
        <f>_xlfn.XLOOKUP(83161,Trip[shape_id],Trip[shape_id],"Não encontrado")</f>
        <v/>
      </c>
      <c r="B17666" s="43" t="n">
        <v>-23.597464</v>
      </c>
      <c r="C17666" s="43" t="n">
        <v>-46.507431</v>
      </c>
      <c r="D17666" s="43" t="n">
        <v>595</v>
      </c>
      <c r="E17666" s="44" t="n">
        <v>17884.898</v>
      </c>
    </row>
    <row r="17667">
      <c r="A17667" s="39">
        <f>_xlfn.XLOOKUP(83161,Trip[shape_id],Trip[shape_id],"Não encontrado")</f>
        <v/>
      </c>
      <c r="B17667" s="40" t="n">
        <v>-23.597423</v>
      </c>
      <c r="C17667" s="40" t="n">
        <v>-46.507381</v>
      </c>
      <c r="D17667" s="40" t="n">
        <v>596</v>
      </c>
      <c r="E17667" s="41" t="n">
        <v>17888.17</v>
      </c>
    </row>
    <row r="17668">
      <c r="A17668" s="42">
        <f>_xlfn.XLOOKUP(83161,Trip[shape_id],Trip[shape_id],"Não encontrado")</f>
        <v/>
      </c>
      <c r="B17668" s="43" t="n">
        <v>-23.597396</v>
      </c>
      <c r="C17668" s="43" t="n">
        <v>-46.507368</v>
      </c>
      <c r="D17668" s="43" t="n">
        <v>597</v>
      </c>
      <c r="E17668" s="44" t="n">
        <v>17894.887</v>
      </c>
    </row>
    <row r="17669">
      <c r="A17669" s="39">
        <f>_xlfn.XLOOKUP(83161,Trip[shape_id],Trip[shape_id],"Não encontrado")</f>
        <v/>
      </c>
      <c r="B17669" s="40" t="n">
        <v>-23.597343</v>
      </c>
      <c r="C17669" s="40" t="n">
        <v>-46.507336</v>
      </c>
      <c r="D17669" s="40" t="n">
        <v>598</v>
      </c>
      <c r="E17669" s="41" t="n">
        <v>17905.633</v>
      </c>
    </row>
    <row r="17670">
      <c r="A17670" s="42">
        <f>_xlfn.XLOOKUP(83161,Trip[shape_id],Trip[shape_id],"Não encontrado")</f>
        <v/>
      </c>
      <c r="B17670" s="43" t="n">
        <v>-23.59725</v>
      </c>
      <c r="C17670" s="43" t="n">
        <v>-46.507306</v>
      </c>
      <c r="D17670" s="43" t="n">
        <v>599</v>
      </c>
      <c r="E17670" s="44" t="n">
        <v>17947.193</v>
      </c>
    </row>
    <row r="17671">
      <c r="A17671" s="39">
        <f>_xlfn.XLOOKUP(83161,Trip[shape_id],Trip[shape_id],"Não encontrado")</f>
        <v/>
      </c>
      <c r="B17671" s="40" t="n">
        <v>-23.596881</v>
      </c>
      <c r="C17671" s="40" t="n">
        <v>-46.507232</v>
      </c>
      <c r="D17671" s="40" t="n">
        <v>600</v>
      </c>
      <c r="E17671" s="41" t="n">
        <v>17970.824</v>
      </c>
    </row>
    <row r="17672">
      <c r="A17672" s="42">
        <f>_xlfn.XLOOKUP(83161,Trip[shape_id],Trip[shape_id],"Não encontrado")</f>
        <v/>
      </c>
      <c r="B17672" s="43" t="n">
        <v>-23.596671</v>
      </c>
      <c r="C17672" s="43" t="n">
        <v>-46.507191</v>
      </c>
      <c r="D17672" s="43" t="n">
        <v>601</v>
      </c>
      <c r="E17672" s="44" t="n">
        <v>17975.186</v>
      </c>
    </row>
    <row r="17673">
      <c r="A17673" s="39">
        <f>_xlfn.XLOOKUP(83161,Trip[shape_id],Trip[shape_id],"Não encontrado")</f>
        <v/>
      </c>
      <c r="B17673" s="40" t="n">
        <v>-23.596632</v>
      </c>
      <c r="C17673" s="40" t="n">
        <v>-46.507185</v>
      </c>
      <c r="D17673" s="40" t="n">
        <v>602</v>
      </c>
      <c r="E17673" s="41" t="n">
        <v>17975.186</v>
      </c>
    </row>
    <row r="17674">
      <c r="A17674" s="42">
        <f>_xlfn.XLOOKUP(83161,Trip[shape_id],Trip[shape_id],"Não encontrado")</f>
        <v/>
      </c>
      <c r="B17674" s="43" t="n">
        <v>-23.596536</v>
      </c>
      <c r="C17674" s="43" t="n">
        <v>-46.507117</v>
      </c>
      <c r="D17674" s="43" t="n">
        <v>603</v>
      </c>
      <c r="E17674" s="44" t="n">
        <v>17995.377</v>
      </c>
    </row>
    <row r="17675">
      <c r="A17675" s="39">
        <f>_xlfn.XLOOKUP(83161,Trip[shape_id],Trip[shape_id],"Não encontrado")</f>
        <v/>
      </c>
      <c r="B17675" s="40" t="n">
        <v>-23.596497</v>
      </c>
      <c r="C17675" s="40" t="n">
        <v>-46.507057</v>
      </c>
      <c r="D17675" s="40" t="n">
        <v>604</v>
      </c>
      <c r="E17675" s="41" t="n">
        <v>18001.273</v>
      </c>
    </row>
    <row r="17676">
      <c r="A17676" s="42">
        <f>_xlfn.XLOOKUP(83161,Trip[shape_id],Trip[shape_id],"Não encontrado")</f>
        <v/>
      </c>
      <c r="B17676" s="43" t="n">
        <v>-23.596472</v>
      </c>
      <c r="C17676" s="43" t="n">
        <v>-46.507006</v>
      </c>
      <c r="D17676" s="43" t="n">
        <v>605</v>
      </c>
      <c r="E17676" s="44" t="n">
        <v>18001.273</v>
      </c>
    </row>
    <row r="17677">
      <c r="A17677" s="39">
        <f>_xlfn.XLOOKUP(83161,Trip[shape_id],Trip[shape_id],"Não encontrado")</f>
        <v/>
      </c>
      <c r="B17677" s="40" t="n">
        <v>-23.596411</v>
      </c>
      <c r="C17677" s="40" t="n">
        <v>-46.50688</v>
      </c>
      <c r="D17677" s="40" t="n">
        <v>606</v>
      </c>
      <c r="E17677" s="41" t="n">
        <v>18026.738</v>
      </c>
    </row>
    <row r="17678">
      <c r="A17678" s="42">
        <f>_xlfn.XLOOKUP(83161,Trip[shape_id],Trip[shape_id],"Não encontrado")</f>
        <v/>
      </c>
      <c r="B17678" s="43" t="n">
        <v>-23.596378</v>
      </c>
      <c r="C17678" s="43" t="n">
        <v>-46.506779</v>
      </c>
      <c r="D17678" s="43" t="n">
        <v>607</v>
      </c>
      <c r="E17678" s="44" t="n">
        <v>18026.738</v>
      </c>
    </row>
    <row r="17679">
      <c r="A17679" s="39">
        <f>_xlfn.XLOOKUP(83161,Trip[shape_id],Trip[shape_id],"Não encontrado")</f>
        <v/>
      </c>
      <c r="B17679" s="40" t="n">
        <v>-23.59631</v>
      </c>
      <c r="C17679" s="40" t="n">
        <v>-46.506527</v>
      </c>
      <c r="D17679" s="40" t="n">
        <v>608</v>
      </c>
      <c r="E17679" s="41" t="n">
        <v>18053.539</v>
      </c>
    </row>
    <row r="17680">
      <c r="A17680" s="42">
        <f>_xlfn.XLOOKUP(83161,Trip[shape_id],Trip[shape_id],"Não encontrado")</f>
        <v/>
      </c>
      <c r="B17680" s="43" t="n">
        <v>-23.596235</v>
      </c>
      <c r="C17680" s="43" t="n">
        <v>-46.506336</v>
      </c>
      <c r="D17680" s="43" t="n">
        <v>609</v>
      </c>
      <c r="E17680" s="44" t="n">
        <v>18086.021</v>
      </c>
    </row>
    <row r="17681">
      <c r="A17681" s="39">
        <f>_xlfn.XLOOKUP(83161,Trip[shape_id],Trip[shape_id],"Não encontrado")</f>
        <v/>
      </c>
      <c r="B17681" s="40" t="n">
        <v>-23.596177</v>
      </c>
      <c r="C17681" s="40" t="n">
        <v>-46.506245</v>
      </c>
      <c r="D17681" s="40" t="n">
        <v>610</v>
      </c>
      <c r="E17681" s="41" t="n">
        <v>18095.807</v>
      </c>
    </row>
    <row r="17682">
      <c r="A17682" s="42">
        <f>_xlfn.XLOOKUP(83161,Trip[shape_id],Trip[shape_id],"Não encontrado")</f>
        <v/>
      </c>
      <c r="B17682" s="43" t="n">
        <v>-23.596104</v>
      </c>
      <c r="C17682" s="43" t="n">
        <v>-46.506191</v>
      </c>
      <c r="D17682" s="43" t="n">
        <v>611</v>
      </c>
      <c r="E17682" s="44" t="n">
        <v>18095.807</v>
      </c>
    </row>
    <row r="17683">
      <c r="A17683" s="39">
        <f>_xlfn.XLOOKUP(83161,Trip[shape_id],Trip[shape_id],"Não encontrado")</f>
        <v/>
      </c>
      <c r="B17683" s="40" t="n">
        <v>-23.595727</v>
      </c>
      <c r="C17683" s="40" t="n">
        <v>-46.505989</v>
      </c>
      <c r="D17683" s="40" t="n">
        <v>612</v>
      </c>
      <c r="E17683" s="41" t="n">
        <v>18142.373</v>
      </c>
    </row>
    <row r="17684">
      <c r="A17684" s="42">
        <f>_xlfn.XLOOKUP(83161,Trip[shape_id],Trip[shape_id],"Não encontrado")</f>
        <v/>
      </c>
      <c r="B17684" s="43" t="n">
        <v>-23.595355</v>
      </c>
      <c r="C17684" s="43" t="n">
        <v>-46.50578</v>
      </c>
      <c r="D17684" s="43" t="n">
        <v>613</v>
      </c>
      <c r="E17684" s="44" t="n">
        <v>18188.768</v>
      </c>
    </row>
    <row r="17685">
      <c r="A17685" s="39">
        <f>_xlfn.XLOOKUP(83161,Trip[shape_id],Trip[shape_id],"Não encontrado")</f>
        <v/>
      </c>
      <c r="B17685" s="40" t="n">
        <v>-23.595216</v>
      </c>
      <c r="C17685" s="40" t="n">
        <v>-46.505706</v>
      </c>
      <c r="D17685" s="40" t="n">
        <v>614</v>
      </c>
      <c r="E17685" s="41" t="n">
        <v>18205.914</v>
      </c>
    </row>
    <row r="17686">
      <c r="A17686" s="42">
        <f>_xlfn.XLOOKUP(83161,Trip[shape_id],Trip[shape_id],"Não encontrado")</f>
        <v/>
      </c>
      <c r="B17686" s="43" t="n">
        <v>-23.594988</v>
      </c>
      <c r="C17686" s="43" t="n">
        <v>-46.505576</v>
      </c>
      <c r="D17686" s="43" t="n">
        <v>615</v>
      </c>
      <c r="E17686" s="44" t="n">
        <v>18234.439</v>
      </c>
    </row>
    <row r="17687">
      <c r="A17687" s="39">
        <f>_xlfn.XLOOKUP(83161,Trip[shape_id],Trip[shape_id],"Não encontrado")</f>
        <v/>
      </c>
      <c r="B17687" s="40" t="n">
        <v>-23.594828</v>
      </c>
      <c r="C17687" s="40" t="n">
        <v>-46.505486</v>
      </c>
      <c r="D17687" s="40" t="n">
        <v>616</v>
      </c>
      <c r="E17687" s="41" t="n">
        <v>18254.398</v>
      </c>
    </row>
    <row r="17688">
      <c r="A17688" s="42">
        <f>_xlfn.XLOOKUP(83161,Trip[shape_id],Trip[shape_id],"Não encontrado")</f>
        <v/>
      </c>
      <c r="B17688" s="43" t="n">
        <v>-23.594615</v>
      </c>
      <c r="C17688" s="43" t="n">
        <v>-46.505366</v>
      </c>
      <c r="D17688" s="43" t="n">
        <v>617</v>
      </c>
      <c r="E17688" s="44" t="n">
        <v>18280.979</v>
      </c>
    </row>
    <row r="17689">
      <c r="A17689" s="39">
        <f>_xlfn.XLOOKUP(83161,Trip[shape_id],Trip[shape_id],"Não encontrado")</f>
        <v/>
      </c>
      <c r="B17689" s="40" t="n">
        <v>-23.59422</v>
      </c>
      <c r="C17689" s="40" t="n">
        <v>-46.505135</v>
      </c>
      <c r="D17689" s="40" t="n">
        <v>618</v>
      </c>
      <c r="E17689" s="41" t="n">
        <v>18330.676</v>
      </c>
    </row>
    <row r="17690">
      <c r="A17690" s="42">
        <f>_xlfn.XLOOKUP(83161,Trip[shape_id],Trip[shape_id],"Não encontrado")</f>
        <v/>
      </c>
      <c r="B17690" s="43" t="n">
        <v>-23.594371</v>
      </c>
      <c r="C17690" s="43" t="n">
        <v>-46.504801</v>
      </c>
      <c r="D17690" s="43" t="n">
        <v>619</v>
      </c>
      <c r="E17690" s="44" t="n">
        <v>18368.648</v>
      </c>
    </row>
    <row r="17691">
      <c r="A17691" s="39">
        <f>_xlfn.XLOOKUP(83161,Trip[shape_id],Trip[shape_id],"Não encontrado")</f>
        <v/>
      </c>
      <c r="B17691" s="40" t="n">
        <v>-23.594605</v>
      </c>
      <c r="C17691" s="40" t="n">
        <v>-46.504264</v>
      </c>
      <c r="D17691" s="40" t="n">
        <v>620</v>
      </c>
      <c r="E17691" s="41" t="n">
        <v>18429.277</v>
      </c>
    </row>
    <row r="17692">
      <c r="A17692" s="42">
        <f>_xlfn.XLOOKUP(83161,Trip[shape_id],Trip[shape_id],"Não encontrado")</f>
        <v/>
      </c>
      <c r="B17692" s="43" t="n">
        <v>-23.594714</v>
      </c>
      <c r="C17692" s="43" t="n">
        <v>-46.504018</v>
      </c>
      <c r="D17692" s="43" t="n">
        <v>621</v>
      </c>
      <c r="E17692" s="44" t="n">
        <v>18457.137</v>
      </c>
    </row>
    <row r="17693">
      <c r="A17693" s="39">
        <f>_xlfn.XLOOKUP(83161,Trip[shape_id],Trip[shape_id],"Não encontrado")</f>
        <v/>
      </c>
      <c r="B17693" s="40" t="n">
        <v>-23.59488</v>
      </c>
      <c r="C17693" s="40" t="n">
        <v>-46.503648</v>
      </c>
      <c r="D17693" s="40" t="n">
        <v>622</v>
      </c>
      <c r="E17693" s="41" t="n">
        <v>18499.139</v>
      </c>
    </row>
    <row r="17694">
      <c r="A17694" s="42">
        <f>_xlfn.XLOOKUP(83161,Trip[shape_id],Trip[shape_id],"Não encontrado")</f>
        <v/>
      </c>
      <c r="B17694" s="43" t="n">
        <v>-23.594955</v>
      </c>
      <c r="C17694" s="43" t="n">
        <v>-46.503476</v>
      </c>
      <c r="D17694" s="43" t="n">
        <v>623</v>
      </c>
      <c r="E17694" s="44" t="n">
        <v>18518.561</v>
      </c>
    </row>
    <row r="17695">
      <c r="A17695" s="39">
        <f>_xlfn.XLOOKUP(83161,Trip[shape_id],Trip[shape_id],"Não encontrado")</f>
        <v/>
      </c>
      <c r="B17695" s="40" t="n">
        <v>-23.595056</v>
      </c>
      <c r="C17695" s="40" t="n">
        <v>-46.503214</v>
      </c>
      <c r="D17695" s="40" t="n">
        <v>624</v>
      </c>
      <c r="E17695" s="41" t="n">
        <v>18547.547</v>
      </c>
    </row>
    <row r="17696">
      <c r="A17696" s="42">
        <f>_xlfn.XLOOKUP(83161,Trip[shape_id],Trip[shape_id],"Não encontrado")</f>
        <v/>
      </c>
      <c r="B17696" s="43" t="n">
        <v>-23.595249</v>
      </c>
      <c r="C17696" s="43" t="n">
        <v>-46.502817</v>
      </c>
      <c r="D17696" s="43" t="n">
        <v>625</v>
      </c>
      <c r="E17696" s="44" t="n">
        <v>18593.359</v>
      </c>
    </row>
    <row r="17697">
      <c r="A17697" s="39">
        <f>_xlfn.XLOOKUP(83161,Trip[shape_id],Trip[shape_id],"Não encontrado")</f>
        <v/>
      </c>
      <c r="B17697" s="40" t="n">
        <v>-23.595262</v>
      </c>
      <c r="C17697" s="40" t="n">
        <v>-46.502765</v>
      </c>
      <c r="D17697" s="40" t="n">
        <v>626</v>
      </c>
      <c r="E17697" s="41" t="n">
        <v>18598.859</v>
      </c>
    </row>
    <row r="17698">
      <c r="A17698" s="42">
        <f>_xlfn.XLOOKUP(83161,Trip[shape_id],Trip[shape_id],"Não encontrado")</f>
        <v/>
      </c>
      <c r="B17698" s="43" t="n">
        <v>-23.595399</v>
      </c>
      <c r="C17698" s="43" t="n">
        <v>-46.502739</v>
      </c>
      <c r="D17698" s="43" t="n">
        <v>627</v>
      </c>
      <c r="E17698" s="44" t="n">
        <v>18652.141</v>
      </c>
    </row>
    <row r="17699">
      <c r="A17699" s="39">
        <f>_xlfn.XLOOKUP(83161,Trip[shape_id],Trip[shape_id],"Não encontrado")</f>
        <v/>
      </c>
      <c r="B17699" s="40" t="n">
        <v>-23.595722</v>
      </c>
      <c r="C17699" s="40" t="n">
        <v>-46.502617</v>
      </c>
      <c r="D17699" s="40" t="n">
        <v>628</v>
      </c>
      <c r="E17699" s="41" t="n">
        <v>18686.514</v>
      </c>
    </row>
    <row r="17700">
      <c r="A17700" s="42">
        <f>_xlfn.XLOOKUP(83161,Trip[shape_id],Trip[shape_id],"Não encontrado")</f>
        <v/>
      </c>
      <c r="B17700" s="43" t="n">
        <v>-23.596003</v>
      </c>
      <c r="C17700" s="43" t="n">
        <v>-46.502474</v>
      </c>
      <c r="D17700" s="43" t="n">
        <v>629</v>
      </c>
      <c r="E17700" s="44" t="n">
        <v>18704.354</v>
      </c>
    </row>
    <row r="17701">
      <c r="A17701" s="39">
        <f>_xlfn.XLOOKUP(83161,Trip[shape_id],Trip[shape_id],"Não encontrado")</f>
        <v/>
      </c>
      <c r="B17701" s="40" t="n">
        <v>-23.596151</v>
      </c>
      <c r="C17701" s="40" t="n">
        <v>-46.502405</v>
      </c>
      <c r="D17701" s="40" t="n">
        <v>630</v>
      </c>
      <c r="E17701" s="41" t="n">
        <v>18706.439</v>
      </c>
    </row>
    <row r="17702">
      <c r="A17702" s="42">
        <f>_xlfn.XLOOKUP(83161,Trip[shape_id],Trip[shape_id],"Não encontrado")</f>
        <v/>
      </c>
      <c r="B17702" s="43" t="n">
        <v>-23.596169</v>
      </c>
      <c r="C17702" s="43" t="n">
        <v>-46.502399</v>
      </c>
      <c r="D17702" s="43" t="n">
        <v>631</v>
      </c>
      <c r="E17702" s="44" t="n">
        <v>18706.439</v>
      </c>
    </row>
    <row r="17703">
      <c r="A17703" s="39">
        <f>_xlfn.XLOOKUP(83161,Trip[shape_id],Trip[shape_id],"Não encontrado")</f>
        <v/>
      </c>
      <c r="B17703" s="40" t="n">
        <v>-23.596219</v>
      </c>
      <c r="C17703" s="40" t="n">
        <v>-46.502242</v>
      </c>
      <c r="D17703" s="40" t="n">
        <v>632</v>
      </c>
      <c r="E17703" s="41" t="n">
        <v>18723.395</v>
      </c>
    </row>
    <row r="17704">
      <c r="A17704" s="42">
        <f>_xlfn.XLOOKUP(83161,Trip[shape_id],Trip[shape_id],"Não encontrado")</f>
        <v/>
      </c>
      <c r="B17704" s="43" t="n">
        <v>-23.596228</v>
      </c>
      <c r="C17704" s="43" t="n">
        <v>-46.502208</v>
      </c>
      <c r="D17704" s="43" t="n">
        <v>633</v>
      </c>
      <c r="E17704" s="44" t="n">
        <v>18727.006</v>
      </c>
    </row>
    <row r="17705">
      <c r="A17705" s="39">
        <f>_xlfn.XLOOKUP(83161,Trip[shape_id],Trip[shape_id],"Não encontrado")</f>
        <v/>
      </c>
      <c r="B17705" s="40" t="n">
        <v>-23.596254</v>
      </c>
      <c r="C17705" s="40" t="n">
        <v>-46.502126</v>
      </c>
      <c r="D17705" s="40" t="n">
        <v>634</v>
      </c>
      <c r="E17705" s="41" t="n">
        <v>18769.318</v>
      </c>
    </row>
    <row r="17706">
      <c r="A17706" s="42">
        <f>_xlfn.XLOOKUP(83161,Trip[shape_id],Trip[shape_id],"Não encontrado")</f>
        <v/>
      </c>
      <c r="B17706" s="43" t="n">
        <v>-23.59636</v>
      </c>
      <c r="C17706" s="43" t="n">
        <v>-46.501819</v>
      </c>
      <c r="D17706" s="43" t="n">
        <v>635</v>
      </c>
      <c r="E17706" s="44" t="n">
        <v>18769.318</v>
      </c>
    </row>
    <row r="17707">
      <c r="A17707" s="39">
        <f>_xlfn.XLOOKUP(83161,Trip[shape_id],Trip[shape_id],"Não encontrado")</f>
        <v/>
      </c>
      <c r="B17707" s="40" t="n">
        <v>-23.596387</v>
      </c>
      <c r="C17707" s="40" t="n">
        <v>-46.501759</v>
      </c>
      <c r="D17707" s="40" t="n">
        <v>636</v>
      </c>
      <c r="E17707" s="41" t="n">
        <v>18811.408</v>
      </c>
    </row>
    <row r="17708">
      <c r="A17708" s="42">
        <f>_xlfn.XLOOKUP(83161,Trip[shape_id],Trip[shape_id],"Não encontrado")</f>
        <v/>
      </c>
      <c r="B17708" s="43" t="n">
        <v>-23.596522</v>
      </c>
      <c r="C17708" s="43" t="n">
        <v>-46.501446</v>
      </c>
      <c r="D17708" s="43" t="n">
        <v>637</v>
      </c>
      <c r="E17708" s="44" t="n">
        <v>18811.408</v>
      </c>
    </row>
    <row r="17709">
      <c r="A17709" s="39">
        <f>_xlfn.XLOOKUP(83161,Trip[shape_id],Trip[shape_id],"Não encontrado")</f>
        <v/>
      </c>
      <c r="B17709" s="40" t="n">
        <v>-23.596566</v>
      </c>
      <c r="C17709" s="40" t="n">
        <v>-46.501333</v>
      </c>
      <c r="D17709" s="40" t="n">
        <v>638</v>
      </c>
      <c r="E17709" s="41" t="n">
        <v>18828.207</v>
      </c>
    </row>
    <row r="17710">
      <c r="A17710" s="42">
        <f>_xlfn.XLOOKUP(83161,Trip[shape_id],Trip[shape_id],"Não encontrado")</f>
        <v/>
      </c>
      <c r="B17710" s="43" t="n">
        <v>-23.596558</v>
      </c>
      <c r="C17710" s="43" t="n">
        <v>-46.501292</v>
      </c>
      <c r="D17710" s="43" t="n">
        <v>639</v>
      </c>
      <c r="E17710" s="44" t="n">
        <v>18833.174</v>
      </c>
    </row>
    <row r="17711">
      <c r="A17711" s="39">
        <f>_xlfn.XLOOKUP(83161,Trip[shape_id],Trip[shape_id],"Não encontrado")</f>
        <v/>
      </c>
      <c r="B17711" s="40" t="n">
        <v>-23.596594</v>
      </c>
      <c r="C17711" s="40" t="n">
        <v>-46.501263</v>
      </c>
      <c r="D17711" s="40" t="n">
        <v>640</v>
      </c>
      <c r="E17711" s="41" t="n">
        <v>18853.938</v>
      </c>
    </row>
    <row r="17712">
      <c r="A17712" s="42">
        <f>_xlfn.XLOOKUP(83161,Trip[shape_id],Trip[shape_id],"Não encontrado")</f>
        <v/>
      </c>
      <c r="B17712" s="43" t="n">
        <v>-23.596661</v>
      </c>
      <c r="C17712" s="43" t="n">
        <v>-46.501073</v>
      </c>
      <c r="D17712" s="43" t="n">
        <v>641</v>
      </c>
      <c r="E17712" s="44" t="n">
        <v>18853.938</v>
      </c>
    </row>
    <row r="17713">
      <c r="A17713" s="39">
        <f>_xlfn.XLOOKUP(83161,Trip[shape_id],Trip[shape_id],"Não encontrado")</f>
        <v/>
      </c>
      <c r="B17713" s="40" t="n">
        <v>-23.596809</v>
      </c>
      <c r="C17713" s="40" t="n">
        <v>-46.500702</v>
      </c>
      <c r="D17713" s="40" t="n">
        <v>642</v>
      </c>
      <c r="E17713" s="41" t="n">
        <v>18895.199</v>
      </c>
    </row>
    <row r="17714">
      <c r="A17714" s="42">
        <f>_xlfn.XLOOKUP(83161,Trip[shape_id],Trip[shape_id],"Não encontrado")</f>
        <v/>
      </c>
      <c r="B17714" s="43" t="n">
        <v>-23.596864</v>
      </c>
      <c r="C17714" s="43" t="n">
        <v>-46.500583</v>
      </c>
      <c r="D17714" s="43" t="n">
        <v>643</v>
      </c>
      <c r="E17714" s="44" t="n">
        <v>18908.787</v>
      </c>
    </row>
    <row r="17715">
      <c r="A17715" s="39">
        <f>_xlfn.XLOOKUP(83161,Trip[shape_id],Trip[shape_id],"Não encontrado")</f>
        <v/>
      </c>
      <c r="B17715" s="40" t="n">
        <v>-23.596472</v>
      </c>
      <c r="C17715" s="40" t="n">
        <v>-46.500366</v>
      </c>
      <c r="D17715" s="40" t="n">
        <v>644</v>
      </c>
      <c r="E17715" s="41" t="n">
        <v>18957.525</v>
      </c>
    </row>
    <row r="17716">
      <c r="A17716" s="42">
        <f>_xlfn.XLOOKUP(83161,Trip[shape_id],Trip[shape_id],"Não encontrado")</f>
        <v/>
      </c>
      <c r="B17716" s="43" t="n">
        <v>-23.596371</v>
      </c>
      <c r="C17716" s="43" t="n">
        <v>-46.500325</v>
      </c>
      <c r="D17716" s="43" t="n">
        <v>645</v>
      </c>
      <c r="E17716" s="44" t="n">
        <v>18969.469</v>
      </c>
    </row>
    <row r="17717">
      <c r="A17717" s="39">
        <f>_xlfn.XLOOKUP(83161,Trip[shape_id],Trip[shape_id],"Não encontrado")</f>
        <v/>
      </c>
      <c r="B17717" s="40" t="n">
        <v>-23.596042</v>
      </c>
      <c r="C17717" s="40" t="n">
        <v>-46.500178</v>
      </c>
      <c r="D17717" s="40" t="n">
        <v>646</v>
      </c>
      <c r="E17717" s="41" t="n">
        <v>19008.875</v>
      </c>
    </row>
    <row r="17718">
      <c r="A17718" s="42">
        <f>_xlfn.XLOOKUP(83161,Trip[shape_id],Trip[shape_id],"Não encontrado")</f>
        <v/>
      </c>
      <c r="B17718" s="43" t="n">
        <v>-23.595692</v>
      </c>
      <c r="C17718" s="43" t="n">
        <v>-46.500031</v>
      </c>
      <c r="D17718" s="43" t="n">
        <v>647</v>
      </c>
      <c r="E17718" s="44" t="n">
        <v>19050.441</v>
      </c>
    </row>
    <row r="17719">
      <c r="A17719" s="39">
        <f>_xlfn.XLOOKUP(83161,Trip[shape_id],Trip[shape_id],"Não encontrado")</f>
        <v/>
      </c>
      <c r="B17719" s="40" t="n">
        <v>-23.595367</v>
      </c>
      <c r="C17719" s="40" t="n">
        <v>-46.499887</v>
      </c>
      <c r="D17719" s="40" t="n">
        <v>648</v>
      </c>
      <c r="E17719" s="41" t="n">
        <v>19089.32</v>
      </c>
    </row>
    <row r="17720">
      <c r="A17720" s="42">
        <f>_xlfn.XLOOKUP(83161,Trip[shape_id],Trip[shape_id],"Não encontrado")</f>
        <v/>
      </c>
      <c r="B17720" s="43" t="n">
        <v>-23.595258</v>
      </c>
      <c r="C17720" s="43" t="n">
        <v>-46.49981</v>
      </c>
      <c r="D17720" s="43" t="n">
        <v>649</v>
      </c>
      <c r="E17720" s="44" t="n">
        <v>19122.277</v>
      </c>
    </row>
    <row r="17721">
      <c r="A17721" s="39">
        <f>_xlfn.XLOOKUP(83161,Trip[shape_id],Trip[shape_id],"Não encontrado")</f>
        <v/>
      </c>
      <c r="B17721" s="40" t="n">
        <v>-23.595169</v>
      </c>
      <c r="C17721" s="40" t="n">
        <v>-46.499656</v>
      </c>
      <c r="D17721" s="40" t="n">
        <v>650</v>
      </c>
      <c r="E17721" s="41" t="n">
        <v>19128.906</v>
      </c>
    </row>
    <row r="17722">
      <c r="A17722" s="42">
        <f>_xlfn.XLOOKUP(83161,Trip[shape_id],Trip[shape_id],"Não encontrado")</f>
        <v/>
      </c>
      <c r="B17722" s="43" t="n">
        <v>-23.595115</v>
      </c>
      <c r="C17722" s="43" t="n">
        <v>-46.499628</v>
      </c>
      <c r="D17722" s="43" t="n">
        <v>651</v>
      </c>
      <c r="E17722" s="44" t="n">
        <v>19128.906</v>
      </c>
    </row>
    <row r="17723">
      <c r="A17723" s="39">
        <f>_xlfn.XLOOKUP(83161,Trip[shape_id],Trip[shape_id],"Não encontrado")</f>
        <v/>
      </c>
      <c r="B17723" s="40" t="n">
        <v>-23.595088</v>
      </c>
      <c r="C17723" s="40" t="n">
        <v>-46.499536</v>
      </c>
      <c r="D17723" s="40" t="n">
        <v>652</v>
      </c>
      <c r="E17723" s="41" t="n">
        <v>19144.566</v>
      </c>
    </row>
    <row r="17724">
      <c r="A17724" s="42">
        <f>_xlfn.XLOOKUP(83161,Trip[shape_id],Trip[shape_id],"Não encontrado")</f>
        <v/>
      </c>
      <c r="B17724" s="43" t="n">
        <v>-23.595063</v>
      </c>
      <c r="C17724" s="43" t="n">
        <v>-46.499486</v>
      </c>
      <c r="D17724" s="43" t="n">
        <v>653</v>
      </c>
      <c r="E17724" s="44" t="n">
        <v>19148.641</v>
      </c>
    </row>
    <row r="17725">
      <c r="A17725" s="39">
        <f>_xlfn.XLOOKUP(83161,Trip[shape_id],Trip[shape_id],"Não encontrado")</f>
        <v/>
      </c>
      <c r="B17725" s="40" t="n">
        <v>-23.595041</v>
      </c>
      <c r="C17725" s="40" t="n">
        <v>-46.499454</v>
      </c>
      <c r="D17725" s="40" t="n">
        <v>654</v>
      </c>
      <c r="E17725" s="41" t="n">
        <v>19154.807</v>
      </c>
    </row>
    <row r="17726">
      <c r="A17726" s="42">
        <f>_xlfn.XLOOKUP(83161,Trip[shape_id],Trip[shape_id],"Não encontrado")</f>
        <v/>
      </c>
      <c r="B17726" s="43" t="n">
        <v>-23.595001</v>
      </c>
      <c r="C17726" s="43" t="n">
        <v>-46.499412</v>
      </c>
      <c r="D17726" s="43" t="n">
        <v>655</v>
      </c>
      <c r="E17726" s="44" t="n">
        <v>19154.807</v>
      </c>
    </row>
    <row r="17727">
      <c r="A17727" s="39">
        <f>_xlfn.XLOOKUP(83161,Trip[shape_id],Trip[shape_id],"Não encontrado")</f>
        <v/>
      </c>
      <c r="B17727" s="40" t="n">
        <v>-23.594992</v>
      </c>
      <c r="C17727" s="40" t="n">
        <v>-46.499346</v>
      </c>
      <c r="D17727" s="40" t="n">
        <v>656</v>
      </c>
      <c r="E17727" s="41" t="n">
        <v>19170.316</v>
      </c>
    </row>
    <row r="17728">
      <c r="A17728" s="42">
        <f>_xlfn.XLOOKUP(83161,Trip[shape_id],Trip[shape_id],"Não encontrado")</f>
        <v/>
      </c>
      <c r="B17728" s="43" t="n">
        <v>-23.594986</v>
      </c>
      <c r="C17728" s="43" t="n">
        <v>-46.499261</v>
      </c>
      <c r="D17728" s="43" t="n">
        <v>657</v>
      </c>
      <c r="E17728" s="44" t="n">
        <v>19179.063</v>
      </c>
    </row>
    <row r="17729">
      <c r="A17729" s="39">
        <f>_xlfn.XLOOKUP(83161,Trip[shape_id],Trip[shape_id],"Não encontrado")</f>
        <v/>
      </c>
      <c r="B17729" s="40" t="n">
        <v>-23.594996</v>
      </c>
      <c r="C17729" s="40" t="n">
        <v>-46.499176</v>
      </c>
      <c r="D17729" s="40" t="n">
        <v>658</v>
      </c>
      <c r="E17729" s="41" t="n">
        <v>19190.09</v>
      </c>
    </row>
    <row r="17730">
      <c r="A17730" s="42">
        <f>_xlfn.XLOOKUP(83161,Trip[shape_id],Trip[shape_id],"Não encontrado")</f>
        <v/>
      </c>
      <c r="B17730" s="43" t="n">
        <v>-23.595023</v>
      </c>
      <c r="C17730" s="43" t="n">
        <v>-46.499072</v>
      </c>
      <c r="D17730" s="43" t="n">
        <v>659</v>
      </c>
      <c r="E17730" s="44" t="n">
        <v>19190.09</v>
      </c>
    </row>
    <row r="17731">
      <c r="A17731" s="39">
        <f>_xlfn.XLOOKUP(83161,Trip[shape_id],Trip[shape_id],"Não encontrado")</f>
        <v/>
      </c>
      <c r="B17731" s="40" t="n">
        <v>-23.595096</v>
      </c>
      <c r="C17731" s="40" t="n">
        <v>-46.498898</v>
      </c>
      <c r="D17731" s="40" t="n">
        <v>660</v>
      </c>
      <c r="E17731" s="41" t="n">
        <v>19216.855</v>
      </c>
    </row>
    <row r="17732">
      <c r="A17732" s="42">
        <f>_xlfn.XLOOKUP(83161,Trip[shape_id],Trip[shape_id],"Não encontrado")</f>
        <v/>
      </c>
      <c r="B17732" s="43" t="n">
        <v>-23.595115</v>
      </c>
      <c r="C17732" s="43" t="n">
        <v>-46.49883</v>
      </c>
      <c r="D17732" s="43" t="n">
        <v>661</v>
      </c>
      <c r="E17732" s="44" t="n">
        <v>19221.145</v>
      </c>
    </row>
    <row r="17733">
      <c r="A17733" s="39">
        <f>_xlfn.XLOOKUP(83161,Trip[shape_id],Trip[shape_id],"Não encontrado")</f>
        <v/>
      </c>
      <c r="B17733" s="40" t="n">
        <v>-23.595116</v>
      </c>
      <c r="C17733" s="40" t="n">
        <v>-46.498788</v>
      </c>
      <c r="D17733" s="40" t="n">
        <v>662</v>
      </c>
      <c r="E17733" s="41" t="n">
        <v>19227.184</v>
      </c>
    </row>
    <row r="17734">
      <c r="A17734" s="42">
        <f>_xlfn.XLOOKUP(83161,Trip[shape_id],Trip[shape_id],"Não encontrado")</f>
        <v/>
      </c>
      <c r="B17734" s="43" t="n">
        <v>-23.59509</v>
      </c>
      <c r="C17734" s="43" t="n">
        <v>-46.498736</v>
      </c>
      <c r="D17734" s="43" t="n">
        <v>663</v>
      </c>
      <c r="E17734" s="44" t="n">
        <v>19227.184</v>
      </c>
    </row>
    <row r="17735">
      <c r="A17735" s="39">
        <f>_xlfn.XLOOKUP(83161,Trip[shape_id],Trip[shape_id],"Não encontrado")</f>
        <v/>
      </c>
      <c r="B17735" s="40" t="n">
        <v>-23.595029</v>
      </c>
      <c r="C17735" s="40" t="n">
        <v>-46.498697</v>
      </c>
      <c r="D17735" s="40" t="n">
        <v>664</v>
      </c>
      <c r="E17735" s="41" t="n">
        <v>19263.494</v>
      </c>
    </row>
    <row r="17736">
      <c r="A17736" s="42">
        <f>_xlfn.XLOOKUP(83161,Trip[shape_id],Trip[shape_id],"Não encontrado")</f>
        <v/>
      </c>
      <c r="B17736" s="43" t="n">
        <v>-23.594794</v>
      </c>
      <c r="C17736" s="43" t="n">
        <v>-46.498584</v>
      </c>
      <c r="D17736" s="43" t="n">
        <v>665</v>
      </c>
      <c r="E17736" s="44" t="n">
        <v>19263.494</v>
      </c>
    </row>
    <row r="17737">
      <c r="A17737" s="39">
        <f>_xlfn.XLOOKUP(83161,Trip[shape_id],Trip[shape_id],"Não encontrado")</f>
        <v/>
      </c>
      <c r="B17737" s="40" t="n">
        <v>-23.594306</v>
      </c>
      <c r="C17737" s="40" t="n">
        <v>-46.498332</v>
      </c>
      <c r="D17737" s="40" t="n">
        <v>666</v>
      </c>
      <c r="E17737" s="41" t="n">
        <v>19323.35</v>
      </c>
    </row>
    <row r="17738">
      <c r="A17738" s="42">
        <f>_xlfn.XLOOKUP(83161,Trip[shape_id],Trip[shape_id],"Não encontrado")</f>
        <v/>
      </c>
      <c r="B17738" s="43" t="n">
        <v>-23.594071</v>
      </c>
      <c r="C17738" s="43" t="n">
        <v>-46.498202</v>
      </c>
      <c r="D17738" s="43" t="n">
        <v>667</v>
      </c>
      <c r="E17738" s="44" t="n">
        <v>19352.564</v>
      </c>
    </row>
    <row r="17739">
      <c r="A17739" s="39">
        <f>_xlfn.XLOOKUP(83161,Trip[shape_id],Trip[shape_id],"Não encontrado")</f>
        <v/>
      </c>
      <c r="B17739" s="40" t="n">
        <v>-23.593759</v>
      </c>
      <c r="C17739" s="40" t="n">
        <v>-46.49843</v>
      </c>
      <c r="D17739" s="40" t="n">
        <v>668</v>
      </c>
      <c r="E17739" s="41" t="n">
        <v>19394.225</v>
      </c>
    </row>
    <row r="17740">
      <c r="A17740" s="42">
        <f>_xlfn.XLOOKUP(83161,Trip[shape_id],Trip[shape_id],"Não encontrado")</f>
        <v/>
      </c>
      <c r="B17740" s="43" t="n">
        <v>-23.593693</v>
      </c>
      <c r="C17740" s="43" t="n">
        <v>-46.498458</v>
      </c>
      <c r="D17740" s="43" t="n">
        <v>669</v>
      </c>
      <c r="E17740" s="44" t="n">
        <v>19402.072</v>
      </c>
    </row>
    <row r="17741">
      <c r="A17741" s="39">
        <f>_xlfn.XLOOKUP(83161,Trip[shape_id],Trip[shape_id],"Não encontrado")</f>
        <v/>
      </c>
      <c r="B17741" s="40" t="n">
        <v>-23.593665</v>
      </c>
      <c r="C17741" s="40" t="n">
        <v>-46.49848</v>
      </c>
      <c r="D17741" s="40" t="n">
        <v>670</v>
      </c>
      <c r="E17741" s="41" t="n">
        <v>19405.9</v>
      </c>
    </row>
    <row r="17742">
      <c r="A17742" s="42">
        <f>_xlfn.XLOOKUP(83161,Trip[shape_id],Trip[shape_id],"Não encontrado")</f>
        <v/>
      </c>
      <c r="B17742" s="43" t="n">
        <v>-23.59365</v>
      </c>
      <c r="C17742" s="43" t="n">
        <v>-46.49848</v>
      </c>
      <c r="D17742" s="43" t="n">
        <v>671</v>
      </c>
      <c r="E17742" s="44" t="n">
        <v>19407.564</v>
      </c>
    </row>
    <row r="17743">
      <c r="A17743" s="42">
        <f>_xlfn.XLOOKUP(83170,Trip[shape_id],Trip[shape_id],"Não encontrado")</f>
        <v/>
      </c>
      <c r="B17743" s="43" t="n">
        <v>-23.614745</v>
      </c>
      <c r="C17743" s="43" t="n">
        <v>-46.487715</v>
      </c>
      <c r="D17743" s="43" t="n">
        <v>1</v>
      </c>
      <c r="E17743" s="44" t="n">
        <v>7.7838678</v>
      </c>
    </row>
    <row r="17744">
      <c r="A17744" s="39">
        <f>_xlfn.XLOOKUP(83170,Trip[shape_id],Trip[shape_id],"Não encontrado")</f>
        <v/>
      </c>
      <c r="B17744" s="40" t="n">
        <v>-23.61481</v>
      </c>
      <c r="C17744" s="40" t="n">
        <v>-46.487744</v>
      </c>
      <c r="D17744" s="40" t="n">
        <v>2</v>
      </c>
      <c r="E17744" s="41" t="n">
        <v>7.7838678</v>
      </c>
    </row>
    <row r="17745">
      <c r="A17745" s="42">
        <f>_xlfn.XLOOKUP(83170,Trip[shape_id],Trip[shape_id],"Não encontrado")</f>
        <v/>
      </c>
      <c r="B17745" s="43" t="n">
        <v>-23.615319</v>
      </c>
      <c r="C17745" s="43" t="n">
        <v>-46.487965</v>
      </c>
      <c r="D17745" s="43" t="n">
        <v>3</v>
      </c>
      <c r="E17745" s="44" t="n">
        <v>83.129631</v>
      </c>
    </row>
    <row r="17746">
      <c r="A17746" s="39">
        <f>_xlfn.XLOOKUP(83170,Trip[shape_id],Trip[shape_id],"Não encontrado")</f>
        <v/>
      </c>
      <c r="B17746" s="40" t="n">
        <v>-23.615445</v>
      </c>
      <c r="C17746" s="40" t="n">
        <v>-46.488008</v>
      </c>
      <c r="D17746" s="40" t="n">
        <v>4</v>
      </c>
      <c r="E17746" s="41" t="n">
        <v>98.755646</v>
      </c>
    </row>
    <row r="17747">
      <c r="A17747" s="42">
        <f>_xlfn.XLOOKUP(83170,Trip[shape_id],Trip[shape_id],"Não encontrado")</f>
        <v/>
      </c>
      <c r="B17747" s="43" t="n">
        <v>-23.615585</v>
      </c>
      <c r="C17747" s="43" t="n">
        <v>-46.488027</v>
      </c>
      <c r="D17747" s="43" t="n">
        <v>5</v>
      </c>
      <c r="E17747" s="44" t="n">
        <v>140.96471</v>
      </c>
    </row>
    <row r="17748">
      <c r="A17748" s="39">
        <f>_xlfn.XLOOKUP(83170,Trip[shape_id],Trip[shape_id],"Não encontrado")</f>
        <v/>
      </c>
      <c r="B17748" s="40" t="n">
        <v>-23.615966</v>
      </c>
      <c r="C17748" s="40" t="n">
        <v>-46.488017</v>
      </c>
      <c r="D17748" s="40" t="n">
        <v>6</v>
      </c>
      <c r="E17748" s="41" t="n">
        <v>172.13451</v>
      </c>
    </row>
    <row r="17749">
      <c r="A17749" s="42">
        <f>_xlfn.XLOOKUP(83170,Trip[shape_id],Trip[shape_id],"Não encontrado")</f>
        <v/>
      </c>
      <c r="B17749" s="43" t="n">
        <v>-23.616247</v>
      </c>
      <c r="C17749" s="43" t="n">
        <v>-46.488</v>
      </c>
      <c r="D17749" s="43" t="n">
        <v>7</v>
      </c>
      <c r="E17749" s="44" t="n">
        <v>200.82837</v>
      </c>
    </row>
    <row r="17750">
      <c r="A17750" s="39">
        <f>_xlfn.XLOOKUP(83170,Trip[shape_id],Trip[shape_id],"Não encontrado")</f>
        <v/>
      </c>
      <c r="B17750" s="40" t="n">
        <v>-23.616506</v>
      </c>
      <c r="C17750" s="40" t="n">
        <v>-46.487993</v>
      </c>
      <c r="D17750" s="40" t="n">
        <v>8</v>
      </c>
      <c r="E17750" s="41" t="n">
        <v>200.82837</v>
      </c>
    </row>
    <row r="17751">
      <c r="A17751" s="42">
        <f>_xlfn.XLOOKUP(83170,Trip[shape_id],Trip[shape_id],"Não encontrado")</f>
        <v/>
      </c>
      <c r="B17751" s="43" t="n">
        <v>-23.617241</v>
      </c>
      <c r="C17751" s="43" t="n">
        <v>-46.487939</v>
      </c>
      <c r="D17751" s="43" t="n">
        <v>9</v>
      </c>
      <c r="E17751" s="44" t="n">
        <v>362.73428</v>
      </c>
    </row>
    <row r="17752">
      <c r="A17752" s="39">
        <f>_xlfn.XLOOKUP(83170,Trip[shape_id],Trip[shape_id],"Não encontrado")</f>
        <v/>
      </c>
      <c r="B17752" s="40" t="n">
        <v>-23.617965</v>
      </c>
      <c r="C17752" s="40" t="n">
        <v>-46.487894</v>
      </c>
      <c r="D17752" s="40" t="n">
        <v>10</v>
      </c>
      <c r="E17752" s="41" t="n">
        <v>362.73428</v>
      </c>
    </row>
    <row r="17753">
      <c r="A17753" s="42">
        <f>_xlfn.XLOOKUP(83170,Trip[shape_id],Trip[shape_id],"Não encontrado")</f>
        <v/>
      </c>
      <c r="B17753" s="43" t="n">
        <v>-23.618372</v>
      </c>
      <c r="C17753" s="43" t="n">
        <v>-46.487864</v>
      </c>
      <c r="D17753" s="43" t="n">
        <v>11</v>
      </c>
      <c r="E17753" s="44" t="n">
        <v>407.91449</v>
      </c>
    </row>
    <row r="17754">
      <c r="A17754" s="39">
        <f>_xlfn.XLOOKUP(83170,Trip[shape_id],Trip[shape_id],"Não encontrado")</f>
        <v/>
      </c>
      <c r="B17754" s="40" t="n">
        <v>-23.619436</v>
      </c>
      <c r="C17754" s="40" t="n">
        <v>-46.487805</v>
      </c>
      <c r="D17754" s="40" t="n">
        <v>12</v>
      </c>
      <c r="E17754" s="41" t="n">
        <v>525.90918</v>
      </c>
    </row>
    <row r="17755">
      <c r="A17755" s="42">
        <f>_xlfn.XLOOKUP(83170,Trip[shape_id],Trip[shape_id],"Não encontrado")</f>
        <v/>
      </c>
      <c r="B17755" s="43" t="n">
        <v>-23.619547</v>
      </c>
      <c r="C17755" s="43" t="n">
        <v>-46.487802</v>
      </c>
      <c r="D17755" s="43" t="n">
        <v>13</v>
      </c>
      <c r="E17755" s="44" t="n">
        <v>538.2064800000001</v>
      </c>
    </row>
    <row r="17756">
      <c r="A17756" s="39">
        <f>_xlfn.XLOOKUP(83170,Trip[shape_id],Trip[shape_id],"Não encontrado")</f>
        <v/>
      </c>
      <c r="B17756" s="40" t="n">
        <v>-23.619656</v>
      </c>
      <c r="C17756" s="40" t="n">
        <v>-46.487793</v>
      </c>
      <c r="D17756" s="40" t="n">
        <v>14</v>
      </c>
      <c r="E17756" s="41" t="n">
        <v>562.22943</v>
      </c>
    </row>
    <row r="17757">
      <c r="A17757" s="42">
        <f>_xlfn.XLOOKUP(83170,Trip[shape_id],Trip[shape_id],"Não encontrado")</f>
        <v/>
      </c>
      <c r="B17757" s="43" t="n">
        <v>-23.619762</v>
      </c>
      <c r="C17757" s="43" t="n">
        <v>-46.487773</v>
      </c>
      <c r="D17757" s="43" t="n">
        <v>15</v>
      </c>
      <c r="E17757" s="44" t="n">
        <v>573.0954</v>
      </c>
    </row>
    <row r="17758">
      <c r="A17758" s="39">
        <f>_xlfn.XLOOKUP(83170,Trip[shape_id],Trip[shape_id],"Não encontrado")</f>
        <v/>
      </c>
      <c r="B17758" s="40" t="n">
        <v>-23.619854</v>
      </c>
      <c r="C17758" s="40" t="n">
        <v>-46.487736</v>
      </c>
      <c r="D17758" s="40" t="n">
        <v>16</v>
      </c>
      <c r="E17758" s="41" t="n">
        <v>588.67993</v>
      </c>
    </row>
    <row r="17759">
      <c r="A17759" s="42">
        <f>_xlfn.XLOOKUP(83170,Trip[shape_id],Trip[shape_id],"Não encontrado")</f>
        <v/>
      </c>
      <c r="B17759" s="43" t="n">
        <v>-23.619983</v>
      </c>
      <c r="C17759" s="43" t="n">
        <v>-46.487675</v>
      </c>
      <c r="D17759" s="43" t="n">
        <v>17</v>
      </c>
      <c r="E17759" s="44" t="n">
        <v>607.86353</v>
      </c>
    </row>
    <row r="17760">
      <c r="A17760" s="39">
        <f>_xlfn.XLOOKUP(83170,Trip[shape_id],Trip[shape_id],"Não encontrado")</f>
        <v/>
      </c>
      <c r="B17760" s="40" t="n">
        <v>-23.620133</v>
      </c>
      <c r="C17760" s="40" t="n">
        <v>-46.487581</v>
      </c>
      <c r="D17760" s="40" t="n">
        <v>18</v>
      </c>
      <c r="E17760" s="41" t="n">
        <v>631.23425</v>
      </c>
    </row>
    <row r="17761">
      <c r="A17761" s="42">
        <f>_xlfn.XLOOKUP(83170,Trip[shape_id],Trip[shape_id],"Não encontrado")</f>
        <v/>
      </c>
      <c r="B17761" s="43" t="n">
        <v>-23.620311</v>
      </c>
      <c r="C17761" s="43" t="n">
        <v>-46.487458</v>
      </c>
      <c r="D17761" s="43" t="n">
        <v>19</v>
      </c>
      <c r="E17761" s="44" t="n">
        <v>631.23425</v>
      </c>
    </row>
    <row r="17762">
      <c r="A17762" s="39">
        <f>_xlfn.XLOOKUP(83170,Trip[shape_id],Trip[shape_id],"Não encontrado")</f>
        <v/>
      </c>
      <c r="B17762" s="40" t="n">
        <v>-23.620039</v>
      </c>
      <c r="C17762" s="40" t="n">
        <v>-46.486554</v>
      </c>
      <c r="D17762" s="40" t="n">
        <v>20</v>
      </c>
      <c r="E17762" s="41" t="n">
        <v>728.27991</v>
      </c>
    </row>
    <row r="17763">
      <c r="A17763" s="42">
        <f>_xlfn.XLOOKUP(83170,Trip[shape_id],Trip[shape_id],"Não encontrado")</f>
        <v/>
      </c>
      <c r="B17763" s="43" t="n">
        <v>-23.6195</v>
      </c>
      <c r="C17763" s="43" t="n">
        <v>-46.486482</v>
      </c>
      <c r="D17763" s="43" t="n">
        <v>21</v>
      </c>
      <c r="E17763" s="44" t="n">
        <v>788.42621</v>
      </c>
    </row>
    <row r="17764">
      <c r="A17764" s="39">
        <f>_xlfn.XLOOKUP(83170,Trip[shape_id],Trip[shape_id],"Não encontrado")</f>
        <v/>
      </c>
      <c r="B17764" s="40" t="n">
        <v>-23.619249</v>
      </c>
      <c r="C17764" s="40" t="n">
        <v>-46.486474</v>
      </c>
      <c r="D17764" s="40" t="n">
        <v>22</v>
      </c>
      <c r="E17764" s="41" t="n">
        <v>816.23724</v>
      </c>
    </row>
    <row r="17765">
      <c r="A17765" s="42">
        <f>_xlfn.XLOOKUP(83170,Trip[shape_id],Trip[shape_id],"Não encontrado")</f>
        <v/>
      </c>
      <c r="B17765" s="43" t="n">
        <v>-23.619055</v>
      </c>
      <c r="C17765" s="43" t="n">
        <v>-46.486456</v>
      </c>
      <c r="D17765" s="43" t="n">
        <v>23</v>
      </c>
      <c r="E17765" s="44" t="n">
        <v>837.80164</v>
      </c>
    </row>
    <row r="17766">
      <c r="A17766" s="39">
        <f>_xlfn.XLOOKUP(83170,Trip[shape_id],Trip[shape_id],"Não encontrado")</f>
        <v/>
      </c>
      <c r="B17766" s="40" t="n">
        <v>-23.618916</v>
      </c>
      <c r="C17766" s="40" t="n">
        <v>-46.486423</v>
      </c>
      <c r="D17766" s="40" t="n">
        <v>24</v>
      </c>
      <c r="E17766" s="41" t="n">
        <v>853.56012</v>
      </c>
    </row>
    <row r="17767">
      <c r="A17767" s="42">
        <f>_xlfn.XLOOKUP(83170,Trip[shape_id],Trip[shape_id],"Não encontrado")</f>
        <v/>
      </c>
      <c r="B17767" s="43" t="n">
        <v>-23.61889</v>
      </c>
      <c r="C17767" s="43" t="n">
        <v>-46.486413</v>
      </c>
      <c r="D17767" s="43" t="n">
        <v>25</v>
      </c>
      <c r="E17767" s="44" t="n">
        <v>856.6145</v>
      </c>
    </row>
    <row r="17768">
      <c r="A17768" s="39">
        <f>_xlfn.XLOOKUP(83170,Trip[shape_id],Trip[shape_id],"Não encontrado")</f>
        <v/>
      </c>
      <c r="B17768" s="40" t="n">
        <v>-23.61866</v>
      </c>
      <c r="C17768" s="40" t="n">
        <v>-46.486344</v>
      </c>
      <c r="D17768" s="40" t="n">
        <v>26</v>
      </c>
      <c r="E17768" s="41" t="n">
        <v>883.04285</v>
      </c>
    </row>
    <row r="17769">
      <c r="A17769" s="42">
        <f>_xlfn.XLOOKUP(83170,Trip[shape_id],Trip[shape_id],"Não encontrado")</f>
        <v/>
      </c>
      <c r="B17769" s="43" t="n">
        <v>-23.618406</v>
      </c>
      <c r="C17769" s="43" t="n">
        <v>-46.486277</v>
      </c>
      <c r="D17769" s="43" t="n">
        <v>27</v>
      </c>
      <c r="E17769" s="44" t="n">
        <v>911.99304</v>
      </c>
    </row>
    <row r="17770">
      <c r="A17770" s="39">
        <f>_xlfn.XLOOKUP(83170,Trip[shape_id],Trip[shape_id],"Não encontrado")</f>
        <v/>
      </c>
      <c r="B17770" s="40" t="n">
        <v>-23.618264</v>
      </c>
      <c r="C17770" s="40" t="n">
        <v>-46.48621</v>
      </c>
      <c r="D17770" s="40" t="n">
        <v>28</v>
      </c>
      <c r="E17770" s="41" t="n">
        <v>929.14197</v>
      </c>
    </row>
    <row r="17771">
      <c r="A17771" s="42">
        <f>_xlfn.XLOOKUP(83170,Trip[shape_id],Trip[shape_id],"Não encontrado")</f>
        <v/>
      </c>
      <c r="B17771" s="43" t="n">
        <v>-23.617977</v>
      </c>
      <c r="C17771" s="43" t="n">
        <v>-46.48607</v>
      </c>
      <c r="D17771" s="43" t="n">
        <v>29</v>
      </c>
      <c r="E17771" s="44" t="n">
        <v>963.99121</v>
      </c>
    </row>
    <row r="17772">
      <c r="A17772" s="39">
        <f>_xlfn.XLOOKUP(83170,Trip[shape_id],Trip[shape_id],"Não encontrado")</f>
        <v/>
      </c>
      <c r="B17772" s="40" t="n">
        <v>-23.617923</v>
      </c>
      <c r="C17772" s="40" t="n">
        <v>-46.486048</v>
      </c>
      <c r="D17772" s="40" t="n">
        <v>30</v>
      </c>
      <c r="E17772" s="41" t="n">
        <v>970.37927</v>
      </c>
    </row>
    <row r="17773">
      <c r="A17773" s="42">
        <f>_xlfn.XLOOKUP(83170,Trip[shape_id],Trip[shape_id],"Não encontrado")</f>
        <v/>
      </c>
      <c r="B17773" s="43" t="n">
        <v>-23.617897</v>
      </c>
      <c r="C17773" s="43" t="n">
        <v>-46.48594</v>
      </c>
      <c r="D17773" s="43" t="n">
        <v>31</v>
      </c>
      <c r="E17773" s="44" t="n">
        <v>981.77032</v>
      </c>
    </row>
    <row r="17774">
      <c r="A17774" s="39">
        <f>_xlfn.XLOOKUP(83170,Trip[shape_id],Trip[shape_id],"Não encontrado")</f>
        <v/>
      </c>
      <c r="B17774" s="40" t="n">
        <v>-23.617705</v>
      </c>
      <c r="C17774" s="40" t="n">
        <v>-46.485134</v>
      </c>
      <c r="D17774" s="40" t="n">
        <v>32</v>
      </c>
      <c r="E17774" s="41" t="n">
        <v>1066.7269</v>
      </c>
    </row>
    <row r="17775">
      <c r="A17775" s="42">
        <f>_xlfn.XLOOKUP(83170,Trip[shape_id],Trip[shape_id],"Não encontrado")</f>
        <v/>
      </c>
      <c r="B17775" s="43" t="n">
        <v>-23.617584</v>
      </c>
      <c r="C17775" s="43" t="n">
        <v>-46.484674</v>
      </c>
      <c r="D17775" s="43" t="n">
        <v>33</v>
      </c>
      <c r="E17775" s="44" t="n">
        <v>1115.5454</v>
      </c>
    </row>
    <row r="17776">
      <c r="A17776" s="39">
        <f>_xlfn.XLOOKUP(83170,Trip[shape_id],Trip[shape_id],"Não encontrado")</f>
        <v/>
      </c>
      <c r="B17776" s="40" t="n">
        <v>-23.617556</v>
      </c>
      <c r="C17776" s="40" t="n">
        <v>-46.484471</v>
      </c>
      <c r="D17776" s="40" t="n">
        <v>34</v>
      </c>
      <c r="E17776" s="41" t="n">
        <v>1136.4926</v>
      </c>
    </row>
    <row r="17777">
      <c r="A17777" s="42">
        <f>_xlfn.XLOOKUP(83170,Trip[shape_id],Trip[shape_id],"Não encontrado")</f>
        <v/>
      </c>
      <c r="B17777" s="43" t="n">
        <v>-23.617539</v>
      </c>
      <c r="C17777" s="43" t="n">
        <v>-46.484424</v>
      </c>
      <c r="D17777" s="43" t="n">
        <v>35</v>
      </c>
      <c r="E17777" s="44" t="n">
        <v>1141.6456</v>
      </c>
    </row>
    <row r="17778">
      <c r="A17778" s="39">
        <f>_xlfn.XLOOKUP(83170,Trip[shape_id],Trip[shape_id],"Não encontrado")</f>
        <v/>
      </c>
      <c r="B17778" s="40" t="n">
        <v>-23.617515</v>
      </c>
      <c r="C17778" s="40" t="n">
        <v>-46.484371</v>
      </c>
      <c r="D17778" s="40" t="n">
        <v>36</v>
      </c>
      <c r="E17778" s="41" t="n">
        <v>1147.6727</v>
      </c>
    </row>
    <row r="17779">
      <c r="A17779" s="42">
        <f>_xlfn.XLOOKUP(83170,Trip[shape_id],Trip[shape_id],"Não encontrado")</f>
        <v/>
      </c>
      <c r="B17779" s="43" t="n">
        <v>-23.61749</v>
      </c>
      <c r="C17779" s="43" t="n">
        <v>-46.484332</v>
      </c>
      <c r="D17779" s="43" t="n">
        <v>37</v>
      </c>
      <c r="E17779" s="44" t="n">
        <v>1152.5219</v>
      </c>
    </row>
    <row r="17780">
      <c r="A17780" s="39">
        <f>_xlfn.XLOOKUP(83170,Trip[shape_id],Trip[shape_id],"Não encontrado")</f>
        <v/>
      </c>
      <c r="B17780" s="40" t="n">
        <v>-23.617456</v>
      </c>
      <c r="C17780" s="40" t="n">
        <v>-46.484292</v>
      </c>
      <c r="D17780" s="40" t="n">
        <v>38</v>
      </c>
      <c r="E17780" s="41" t="n">
        <v>1158.076</v>
      </c>
    </row>
    <row r="17781">
      <c r="A17781" s="42">
        <f>_xlfn.XLOOKUP(83170,Trip[shape_id],Trip[shape_id],"Não encontrado")</f>
        <v/>
      </c>
      <c r="B17781" s="43" t="n">
        <v>-23.61741</v>
      </c>
      <c r="C17781" s="43" t="n">
        <v>-46.484269</v>
      </c>
      <c r="D17781" s="43" t="n">
        <v>39</v>
      </c>
      <c r="E17781" s="44" t="n">
        <v>1163.6857</v>
      </c>
    </row>
    <row r="17782">
      <c r="A17782" s="39">
        <f>_xlfn.XLOOKUP(83170,Trip[shape_id],Trip[shape_id],"Não encontrado")</f>
        <v/>
      </c>
      <c r="B17782" s="40" t="n">
        <v>-23.6174</v>
      </c>
      <c r="C17782" s="40" t="n">
        <v>-46.484263</v>
      </c>
      <c r="D17782" s="40" t="n">
        <v>40</v>
      </c>
      <c r="E17782" s="41" t="n">
        <v>1164.9509</v>
      </c>
    </row>
    <row r="17783">
      <c r="A17783" s="42">
        <f>_xlfn.XLOOKUP(83170,Trip[shape_id],Trip[shape_id],"Não encontrado")</f>
        <v/>
      </c>
      <c r="B17783" s="43" t="n">
        <v>-23.617389</v>
      </c>
      <c r="C17783" s="43" t="n">
        <v>-46.48426</v>
      </c>
      <c r="D17783" s="43" t="n">
        <v>41</v>
      </c>
      <c r="E17783" s="44" t="n">
        <v>1166.2085</v>
      </c>
    </row>
    <row r="17784">
      <c r="A17784" s="39">
        <f>_xlfn.XLOOKUP(83170,Trip[shape_id],Trip[shape_id],"Não encontrado")</f>
        <v/>
      </c>
      <c r="B17784" s="40" t="n">
        <v>-23.617372</v>
      </c>
      <c r="C17784" s="40" t="n">
        <v>-46.484257</v>
      </c>
      <c r="D17784" s="40" t="n">
        <v>42</v>
      </c>
      <c r="E17784" s="41" t="n">
        <v>1168.1183</v>
      </c>
    </row>
    <row r="17785">
      <c r="A17785" s="42">
        <f>_xlfn.XLOOKUP(83170,Trip[shape_id],Trip[shape_id],"Não encontrado")</f>
        <v/>
      </c>
      <c r="B17785" s="43" t="n">
        <v>-23.617356</v>
      </c>
      <c r="C17785" s="43" t="n">
        <v>-46.484261</v>
      </c>
      <c r="D17785" s="43" t="n">
        <v>43</v>
      </c>
      <c r="E17785" s="44" t="n">
        <v>1169.9366</v>
      </c>
    </row>
    <row r="17786">
      <c r="A17786" s="39">
        <f>_xlfn.XLOOKUP(83170,Trip[shape_id],Trip[shape_id],"Não encontrado")</f>
        <v/>
      </c>
      <c r="B17786" s="40" t="n">
        <v>-23.616096</v>
      </c>
      <c r="C17786" s="40" t="n">
        <v>-46.484598</v>
      </c>
      <c r="D17786" s="40" t="n">
        <v>44</v>
      </c>
      <c r="E17786" s="41" t="n">
        <v>1313.6604</v>
      </c>
    </row>
    <row r="17787">
      <c r="A17787" s="42">
        <f>_xlfn.XLOOKUP(83170,Trip[shape_id],Trip[shape_id],"Não encontrado")</f>
        <v/>
      </c>
      <c r="B17787" s="43" t="n">
        <v>-23.615893</v>
      </c>
      <c r="C17787" s="43" t="n">
        <v>-46.484649</v>
      </c>
      <c r="D17787" s="43" t="n">
        <v>45</v>
      </c>
      <c r="E17787" s="44" t="n">
        <v>1336.7375</v>
      </c>
    </row>
    <row r="17788">
      <c r="A17788" s="39">
        <f>_xlfn.XLOOKUP(83170,Trip[shape_id],Trip[shape_id],"Não encontrado")</f>
        <v/>
      </c>
      <c r="B17788" s="40" t="n">
        <v>-23.615826</v>
      </c>
      <c r="C17788" s="40" t="n">
        <v>-46.484644</v>
      </c>
      <c r="D17788" s="40" t="n">
        <v>46</v>
      </c>
      <c r="E17788" s="41" t="n">
        <v>1344.176</v>
      </c>
    </row>
    <row r="17789">
      <c r="A17789" s="42">
        <f>_xlfn.XLOOKUP(83170,Trip[shape_id],Trip[shape_id],"Não encontrado")</f>
        <v/>
      </c>
      <c r="B17789" s="43" t="n">
        <v>-23.615761</v>
      </c>
      <c r="C17789" s="43" t="n">
        <v>-46.484616</v>
      </c>
      <c r="D17789" s="43" t="n">
        <v>47</v>
      </c>
      <c r="E17789" s="44" t="n">
        <v>1351.9215</v>
      </c>
    </row>
    <row r="17790">
      <c r="A17790" s="39">
        <f>_xlfn.XLOOKUP(83170,Trip[shape_id],Trip[shape_id],"Não encontrado")</f>
        <v/>
      </c>
      <c r="B17790" s="40" t="n">
        <v>-23.615672</v>
      </c>
      <c r="C17790" s="40" t="n">
        <v>-46.484573</v>
      </c>
      <c r="D17790" s="40" t="n">
        <v>48</v>
      </c>
      <c r="E17790" s="41" t="n">
        <v>1362.7108</v>
      </c>
    </row>
    <row r="17791">
      <c r="A17791" s="42">
        <f>_xlfn.XLOOKUP(83170,Trip[shape_id],Trip[shape_id],"Não encontrado")</f>
        <v/>
      </c>
      <c r="B17791" s="43" t="n">
        <v>-23.615954</v>
      </c>
      <c r="C17791" s="43" t="n">
        <v>-46.484344</v>
      </c>
      <c r="D17791" s="43" t="n">
        <v>49</v>
      </c>
      <c r="E17791" s="44" t="n">
        <v>1401.7185</v>
      </c>
    </row>
    <row r="17792">
      <c r="A17792" s="39">
        <f>_xlfn.XLOOKUP(83170,Trip[shape_id],Trip[shape_id],"Não encontrado")</f>
        <v/>
      </c>
      <c r="B17792" s="40" t="n">
        <v>-23.616071</v>
      </c>
      <c r="C17792" s="40" t="n">
        <v>-46.484261</v>
      </c>
      <c r="D17792" s="40" t="n">
        <v>50</v>
      </c>
      <c r="E17792" s="41" t="n">
        <v>1507.1154</v>
      </c>
    </row>
    <row r="17793">
      <c r="A17793" s="42">
        <f>_xlfn.XLOOKUP(83170,Trip[shape_id],Trip[shape_id],"Não encontrado")</f>
        <v/>
      </c>
      <c r="B17793" s="43" t="n">
        <v>-23.616799</v>
      </c>
      <c r="C17793" s="43" t="n">
        <v>-46.483871</v>
      </c>
      <c r="D17793" s="43" t="n">
        <v>51</v>
      </c>
      <c r="E17793" s="44" t="n">
        <v>1541.7822</v>
      </c>
    </row>
    <row r="17794">
      <c r="A17794" s="39">
        <f>_xlfn.XLOOKUP(83170,Trip[shape_id],Trip[shape_id],"Não encontrado")</f>
        <v/>
      </c>
      <c r="B17794" s="40" t="n">
        <v>-23.617078</v>
      </c>
      <c r="C17794" s="40" t="n">
        <v>-46.483717</v>
      </c>
      <c r="D17794" s="40" t="n">
        <v>52</v>
      </c>
      <c r="E17794" s="41" t="n">
        <v>1562.0916</v>
      </c>
    </row>
    <row r="17795">
      <c r="A17795" s="42">
        <f>_xlfn.XLOOKUP(83170,Trip[shape_id],Trip[shape_id],"Não encontrado")</f>
        <v/>
      </c>
      <c r="B17795" s="43" t="n">
        <v>-23.61725</v>
      </c>
      <c r="C17795" s="43" t="n">
        <v>-46.483648</v>
      </c>
      <c r="D17795" s="43" t="n">
        <v>53</v>
      </c>
      <c r="E17795" s="44" t="n">
        <v>1570.8705</v>
      </c>
    </row>
    <row r="17796">
      <c r="A17796" s="39">
        <f>_xlfn.XLOOKUP(83170,Trip[shape_id],Trip[shape_id],"Não encontrado")</f>
        <v/>
      </c>
      <c r="B17796" s="40" t="n">
        <v>-23.617329</v>
      </c>
      <c r="C17796" s="40" t="n">
        <v>-46.483641</v>
      </c>
      <c r="D17796" s="40" t="n">
        <v>54</v>
      </c>
      <c r="E17796" s="41" t="n">
        <v>1578.7579</v>
      </c>
    </row>
    <row r="17797">
      <c r="A17797" s="42">
        <f>_xlfn.XLOOKUP(83170,Trip[shape_id],Trip[shape_id],"Não encontrado")</f>
        <v/>
      </c>
      <c r="B17797" s="43" t="n">
        <v>-23.6174</v>
      </c>
      <c r="C17797" s="43" t="n">
        <v>-46.483635</v>
      </c>
      <c r="D17797" s="43" t="n">
        <v>55</v>
      </c>
      <c r="E17797" s="44" t="n">
        <v>1587.731</v>
      </c>
    </row>
    <row r="17798">
      <c r="A17798" s="39">
        <f>_xlfn.XLOOKUP(83170,Trip[shape_id],Trip[shape_id],"Não encontrado")</f>
        <v/>
      </c>
      <c r="B17798" s="40" t="n">
        <v>-23.617481</v>
      </c>
      <c r="C17798" s="40" t="n">
        <v>-46.483637</v>
      </c>
      <c r="D17798" s="40" t="n">
        <v>56</v>
      </c>
      <c r="E17798" s="41" t="n">
        <v>1601.3691</v>
      </c>
    </row>
    <row r="17799">
      <c r="A17799" s="42">
        <f>_xlfn.XLOOKUP(83170,Trip[shape_id],Trip[shape_id],"Não encontrado")</f>
        <v/>
      </c>
      <c r="B17799" s="43" t="n">
        <v>-23.617601</v>
      </c>
      <c r="C17799" s="43" t="n">
        <v>-46.483667</v>
      </c>
      <c r="D17799" s="43" t="n">
        <v>57</v>
      </c>
      <c r="E17799" s="44" t="n">
        <v>1635.9061</v>
      </c>
    </row>
    <row r="17800">
      <c r="A17800" s="39">
        <f>_xlfn.XLOOKUP(83170,Trip[shape_id],Trip[shape_id],"Não encontrado")</f>
        <v/>
      </c>
      <c r="B17800" s="40" t="n">
        <v>-23.617904</v>
      </c>
      <c r="C17800" s="40" t="n">
        <v>-46.483747</v>
      </c>
      <c r="D17800" s="40" t="n">
        <v>58</v>
      </c>
      <c r="E17800" s="41" t="n">
        <v>1635.9061</v>
      </c>
    </row>
    <row r="17801">
      <c r="A17801" s="42">
        <f>_xlfn.XLOOKUP(83170,Trip[shape_id],Trip[shape_id],"Não encontrado")</f>
        <v/>
      </c>
      <c r="B17801" s="43" t="n">
        <v>-23.61795</v>
      </c>
      <c r="C17801" s="43" t="n">
        <v>-46.483765</v>
      </c>
      <c r="D17801" s="43" t="n">
        <v>59</v>
      </c>
      <c r="E17801" s="44" t="n">
        <v>1664.1696</v>
      </c>
    </row>
    <row r="17802">
      <c r="A17802" s="39">
        <f>_xlfn.XLOOKUP(83170,Trip[shape_id],Trip[shape_id],"Não encontrado")</f>
        <v/>
      </c>
      <c r="B17802" s="40" t="n">
        <v>-23.618155</v>
      </c>
      <c r="C17802" s="40" t="n">
        <v>-46.48379</v>
      </c>
      <c r="D17802" s="40" t="n">
        <v>60</v>
      </c>
      <c r="E17802" s="41" t="n">
        <v>1671.5048</v>
      </c>
    </row>
    <row r="17803">
      <c r="A17803" s="42">
        <f>_xlfn.XLOOKUP(83170,Trip[shape_id],Trip[shape_id],"Não encontrado")</f>
        <v/>
      </c>
      <c r="B17803" s="43" t="n">
        <v>-23.618221</v>
      </c>
      <c r="C17803" s="43" t="n">
        <v>-46.483796</v>
      </c>
      <c r="D17803" s="43" t="n">
        <v>61</v>
      </c>
      <c r="E17803" s="44" t="n">
        <v>1688.0228</v>
      </c>
    </row>
    <row r="17804">
      <c r="A17804" s="39">
        <f>_xlfn.XLOOKUP(83170,Trip[shape_id],Trip[shape_id],"Não encontrado")</f>
        <v/>
      </c>
      <c r="B17804" s="40" t="n">
        <v>-23.618369</v>
      </c>
      <c r="C17804" s="40" t="n">
        <v>-46.483776</v>
      </c>
      <c r="D17804" s="40" t="n">
        <v>62</v>
      </c>
      <c r="E17804" s="41" t="n">
        <v>1699.8082</v>
      </c>
    </row>
    <row r="17805">
      <c r="A17805" s="42">
        <f>_xlfn.XLOOKUP(83170,Trip[shape_id],Trip[shape_id],"Não encontrado")</f>
        <v/>
      </c>
      <c r="B17805" s="43" t="n">
        <v>-23.618472</v>
      </c>
      <c r="C17805" s="43" t="n">
        <v>-46.483747</v>
      </c>
      <c r="D17805" s="43" t="n">
        <v>63</v>
      </c>
      <c r="E17805" s="44" t="n">
        <v>1709.1766</v>
      </c>
    </row>
    <row r="17806">
      <c r="A17806" s="39">
        <f>_xlfn.XLOOKUP(83170,Trip[shape_id],Trip[shape_id],"Não encontrado")</f>
        <v/>
      </c>
      <c r="B17806" s="40" t="n">
        <v>-23.618549</v>
      </c>
      <c r="C17806" s="40" t="n">
        <v>-46.483709</v>
      </c>
      <c r="D17806" s="40" t="n">
        <v>64</v>
      </c>
      <c r="E17806" s="41" t="n">
        <v>1748.684</v>
      </c>
    </row>
    <row r="17807">
      <c r="A17807" s="42">
        <f>_xlfn.XLOOKUP(83170,Trip[shape_id],Trip[shape_id],"Não encontrado")</f>
        <v/>
      </c>
      <c r="B17807" s="43" t="n">
        <v>-23.618879</v>
      </c>
      <c r="C17807" s="43" t="n">
        <v>-46.483562</v>
      </c>
      <c r="D17807" s="43" t="n">
        <v>65</v>
      </c>
      <c r="E17807" s="44" t="n">
        <v>1757.8938</v>
      </c>
    </row>
    <row r="17808">
      <c r="A17808" s="39">
        <f>_xlfn.XLOOKUP(83170,Trip[shape_id],Trip[shape_id],"Não encontrado")</f>
        <v/>
      </c>
      <c r="B17808" s="40" t="n">
        <v>-23.618961</v>
      </c>
      <c r="C17808" s="40" t="n">
        <v>-46.483547</v>
      </c>
      <c r="D17808" s="40" t="n">
        <v>66</v>
      </c>
      <c r="E17808" s="41" t="n">
        <v>1816.4834</v>
      </c>
    </row>
    <row r="17809">
      <c r="A17809" s="42">
        <f>_xlfn.XLOOKUP(83170,Trip[shape_id],Trip[shape_id],"Não encontrado")</f>
        <v/>
      </c>
      <c r="B17809" s="43" t="n">
        <v>-23.61949</v>
      </c>
      <c r="C17809" s="43" t="n">
        <v>-46.483543</v>
      </c>
      <c r="D17809" s="43" t="n">
        <v>67</v>
      </c>
      <c r="E17809" s="44" t="n">
        <v>1852.1482</v>
      </c>
    </row>
    <row r="17810">
      <c r="A17810" s="39">
        <f>_xlfn.XLOOKUP(83170,Trip[shape_id],Trip[shape_id],"Não encontrado")</f>
        <v/>
      </c>
      <c r="B17810" s="40" t="n">
        <v>-23.619812</v>
      </c>
      <c r="C17810" s="40" t="n">
        <v>-46.483539</v>
      </c>
      <c r="D17810" s="40" t="n">
        <v>68</v>
      </c>
      <c r="E17810" s="41" t="n">
        <v>1909.3295</v>
      </c>
    </row>
    <row r="17811">
      <c r="A17811" s="42">
        <f>_xlfn.XLOOKUP(83170,Trip[shape_id],Trip[shape_id],"Não encontrado")</f>
        <v/>
      </c>
      <c r="B17811" s="43" t="n">
        <v>-23.620328</v>
      </c>
      <c r="C17811" s="43" t="n">
        <v>-46.48352</v>
      </c>
      <c r="D17811" s="43" t="n">
        <v>69</v>
      </c>
      <c r="E17811" s="44" t="n">
        <v>1921.8157</v>
      </c>
    </row>
    <row r="17812">
      <c r="A17812" s="39">
        <f>_xlfn.XLOOKUP(83170,Trip[shape_id],Trip[shape_id],"Não encontrado")</f>
        <v/>
      </c>
      <c r="B17812" s="40" t="n">
        <v>-23.62044</v>
      </c>
      <c r="C17812" s="40" t="n">
        <v>-46.483506</v>
      </c>
      <c r="D17812" s="40" t="n">
        <v>70</v>
      </c>
      <c r="E17812" s="41" t="n">
        <v>1921.8157</v>
      </c>
    </row>
    <row r="17813">
      <c r="A17813" s="42">
        <f>_xlfn.XLOOKUP(83170,Trip[shape_id],Trip[shape_id],"Não encontrado")</f>
        <v/>
      </c>
      <c r="B17813" s="43" t="n">
        <v>-23.620601</v>
      </c>
      <c r="C17813" s="43" t="n">
        <v>-46.483462</v>
      </c>
      <c r="D17813" s="43" t="n">
        <v>71</v>
      </c>
      <c r="E17813" s="44" t="n">
        <v>1971.0945</v>
      </c>
    </row>
    <row r="17814">
      <c r="A17814" s="39">
        <f>_xlfn.XLOOKUP(83170,Trip[shape_id],Trip[shape_id],"Não encontrado")</f>
        <v/>
      </c>
      <c r="B17814" s="40" t="n">
        <v>-23.620873</v>
      </c>
      <c r="C17814" s="40" t="n">
        <v>-46.483395</v>
      </c>
      <c r="D17814" s="40" t="n">
        <v>72</v>
      </c>
      <c r="E17814" s="41" t="n">
        <v>1971.0945</v>
      </c>
    </row>
    <row r="17815">
      <c r="A17815" s="42">
        <f>_xlfn.XLOOKUP(83170,Trip[shape_id],Trip[shape_id],"Não encontrado")</f>
        <v/>
      </c>
      <c r="B17815" s="43" t="n">
        <v>-23.620855</v>
      </c>
      <c r="C17815" s="43" t="n">
        <v>-46.483353</v>
      </c>
      <c r="D17815" s="43" t="n">
        <v>73</v>
      </c>
      <c r="E17815" s="44" t="n">
        <v>2001.2175</v>
      </c>
    </row>
    <row r="17816">
      <c r="A17816" s="39">
        <f>_xlfn.XLOOKUP(83170,Trip[shape_id],Trip[shape_id],"Não encontrado")</f>
        <v/>
      </c>
      <c r="B17816" s="40" t="n">
        <v>-23.620708</v>
      </c>
      <c r="C17816" s="40" t="n">
        <v>-46.483162</v>
      </c>
      <c r="D17816" s="40" t="n">
        <v>74</v>
      </c>
      <c r="E17816" s="41" t="n">
        <v>2054.3564</v>
      </c>
    </row>
    <row r="17817">
      <c r="A17817" s="42">
        <f>_xlfn.XLOOKUP(83170,Trip[shape_id],Trip[shape_id],"Não encontrado")</f>
        <v/>
      </c>
      <c r="B17817" s="43" t="n">
        <v>-23.620378</v>
      </c>
      <c r="C17817" s="43" t="n">
        <v>-46.482784</v>
      </c>
      <c r="D17817" s="43" t="n">
        <v>75</v>
      </c>
      <c r="E17817" s="44" t="n">
        <v>2054.3564</v>
      </c>
    </row>
    <row r="17818">
      <c r="A17818" s="39">
        <f>_xlfn.XLOOKUP(83170,Trip[shape_id],Trip[shape_id],"Não encontrado")</f>
        <v/>
      </c>
      <c r="B17818" s="40" t="n">
        <v>-23.620346</v>
      </c>
      <c r="C17818" s="40" t="n">
        <v>-46.482746</v>
      </c>
      <c r="D17818" s="40" t="n">
        <v>76</v>
      </c>
      <c r="E17818" s="41" t="n">
        <v>2074.9163</v>
      </c>
    </row>
    <row r="17819">
      <c r="A17819" s="42">
        <f>_xlfn.XLOOKUP(83170,Trip[shape_id],Trip[shape_id],"Não encontrado")</f>
        <v/>
      </c>
      <c r="B17819" s="43" t="n">
        <v>-23.620243</v>
      </c>
      <c r="C17819" s="43" t="n">
        <v>-46.482646</v>
      </c>
      <c r="D17819" s="43" t="n">
        <v>77</v>
      </c>
      <c r="E17819" s="44" t="n">
        <v>2074.9163</v>
      </c>
    </row>
    <row r="17820">
      <c r="A17820" s="39">
        <f>_xlfn.XLOOKUP(83170,Trip[shape_id],Trip[shape_id],"Não encontrado")</f>
        <v/>
      </c>
      <c r="B17820" s="40" t="n">
        <v>-23.620233</v>
      </c>
      <c r="C17820" s="40" t="n">
        <v>-46.482636</v>
      </c>
      <c r="D17820" s="40" t="n">
        <v>78</v>
      </c>
      <c r="E17820" s="41" t="n">
        <v>2076.4226</v>
      </c>
    </row>
    <row r="17821">
      <c r="A17821" s="42">
        <f>_xlfn.XLOOKUP(83170,Trip[shape_id],Trip[shape_id],"Não encontrado")</f>
        <v/>
      </c>
      <c r="B17821" s="43" t="n">
        <v>-23.620192</v>
      </c>
      <c r="C17821" s="43" t="n">
        <v>-46.482596</v>
      </c>
      <c r="D17821" s="43" t="n">
        <v>79</v>
      </c>
      <c r="E17821" s="44" t="n">
        <v>2087.9014</v>
      </c>
    </row>
    <row r="17822">
      <c r="A17822" s="39">
        <f>_xlfn.XLOOKUP(83170,Trip[shape_id],Trip[shape_id],"Não encontrado")</f>
        <v/>
      </c>
      <c r="B17822" s="40" t="n">
        <v>-23.620164</v>
      </c>
      <c r="C17822" s="40" t="n">
        <v>-46.482553</v>
      </c>
      <c r="D17822" s="40" t="n">
        <v>80</v>
      </c>
      <c r="E17822" s="41" t="n">
        <v>2087.9014</v>
      </c>
    </row>
    <row r="17823">
      <c r="A17823" s="42">
        <f>_xlfn.XLOOKUP(83170,Trip[shape_id],Trip[shape_id],"Não encontrado")</f>
        <v/>
      </c>
      <c r="B17823" s="43" t="n">
        <v>-23.620119</v>
      </c>
      <c r="C17823" s="43" t="n">
        <v>-46.482467</v>
      </c>
      <c r="D17823" s="43" t="n">
        <v>81</v>
      </c>
      <c r="E17823" s="44" t="n">
        <v>2104.4097</v>
      </c>
    </row>
    <row r="17824">
      <c r="A17824" s="39">
        <f>_xlfn.XLOOKUP(83170,Trip[shape_id],Trip[shape_id],"Não encontrado")</f>
        <v/>
      </c>
      <c r="B17824" s="40" t="n">
        <v>-23.620099</v>
      </c>
      <c r="C17824" s="40" t="n">
        <v>-46.482408</v>
      </c>
      <c r="D17824" s="40" t="n">
        <v>82</v>
      </c>
      <c r="E17824" s="41" t="n">
        <v>2112.0193</v>
      </c>
    </row>
    <row r="17825">
      <c r="A17825" s="42">
        <f>_xlfn.XLOOKUP(83170,Trip[shape_id],Trip[shape_id],"Não encontrado")</f>
        <v/>
      </c>
      <c r="B17825" s="43" t="n">
        <v>-23.620078</v>
      </c>
      <c r="C17825" s="43" t="n">
        <v>-46.482337</v>
      </c>
      <c r="D17825" s="43" t="n">
        <v>83</v>
      </c>
      <c r="E17825" s="44" t="n">
        <v>2112.0193</v>
      </c>
    </row>
    <row r="17826">
      <c r="A17826" s="39">
        <f>_xlfn.XLOOKUP(83170,Trip[shape_id],Trip[shape_id],"Não encontrado")</f>
        <v/>
      </c>
      <c r="B17826" s="40" t="n">
        <v>-23.620085</v>
      </c>
      <c r="C17826" s="40" t="n">
        <v>-46.482009</v>
      </c>
      <c r="D17826" s="40" t="n">
        <v>84</v>
      </c>
      <c r="E17826" s="41" t="n">
        <v>2174.5029</v>
      </c>
    </row>
    <row r="17827">
      <c r="A17827" s="42">
        <f>_xlfn.XLOOKUP(83170,Trip[shape_id],Trip[shape_id],"Não encontrado")</f>
        <v/>
      </c>
      <c r="B17827" s="43" t="n">
        <v>-23.620095</v>
      </c>
      <c r="C17827" s="43" t="n">
        <v>-46.481725</v>
      </c>
      <c r="D17827" s="43" t="n">
        <v>85</v>
      </c>
      <c r="E17827" s="44" t="n">
        <v>2174.5029</v>
      </c>
    </row>
    <row r="17828">
      <c r="A17828" s="39">
        <f>_xlfn.XLOOKUP(83170,Trip[shape_id],Trip[shape_id],"Não encontrado")</f>
        <v/>
      </c>
      <c r="B17828" s="40" t="n">
        <v>-23.620122</v>
      </c>
      <c r="C17828" s="40" t="n">
        <v>-46.481113</v>
      </c>
      <c r="D17828" s="40" t="n">
        <v>86</v>
      </c>
      <c r="E17828" s="41" t="n">
        <v>2237.0278</v>
      </c>
    </row>
    <row r="17829">
      <c r="A17829" s="42">
        <f>_xlfn.XLOOKUP(83170,Trip[shape_id],Trip[shape_id],"Não encontrado")</f>
        <v/>
      </c>
      <c r="B17829" s="43" t="n">
        <v>-23.619176</v>
      </c>
      <c r="C17829" s="43" t="n">
        <v>-46.48125</v>
      </c>
      <c r="D17829" s="43" t="n">
        <v>87</v>
      </c>
      <c r="E17829" s="44" t="n">
        <v>2342.7285</v>
      </c>
    </row>
    <row r="17830">
      <c r="A17830" s="39">
        <f>_xlfn.XLOOKUP(83170,Trip[shape_id],Trip[shape_id],"Não encontrado")</f>
        <v/>
      </c>
      <c r="B17830" s="40" t="n">
        <v>-23.618437</v>
      </c>
      <c r="C17830" s="40" t="n">
        <v>-46.481353</v>
      </c>
      <c r="D17830" s="40" t="n">
        <v>88</v>
      </c>
      <c r="E17830" s="41" t="n">
        <v>2425.2471</v>
      </c>
    </row>
    <row r="17831">
      <c r="A17831" s="42">
        <f>_xlfn.XLOOKUP(83170,Trip[shape_id],Trip[shape_id],"Não encontrado")</f>
        <v/>
      </c>
      <c r="B17831" s="43" t="n">
        <v>-23.61803</v>
      </c>
      <c r="C17831" s="43" t="n">
        <v>-46.481411</v>
      </c>
      <c r="D17831" s="43" t="n">
        <v>89</v>
      </c>
      <c r="E17831" s="44" t="n">
        <v>2470.7102</v>
      </c>
    </row>
    <row r="17832">
      <c r="A17832" s="39">
        <f>_xlfn.XLOOKUP(83170,Trip[shape_id],Trip[shape_id],"Não encontrado")</f>
        <v/>
      </c>
      <c r="B17832" s="40" t="n">
        <v>-23.617722</v>
      </c>
      <c r="C17832" s="40" t="n">
        <v>-46.481446</v>
      </c>
      <c r="D17832" s="40" t="n">
        <v>90</v>
      </c>
      <c r="E17832" s="41" t="n">
        <v>2505.0083</v>
      </c>
    </row>
    <row r="17833">
      <c r="A17833" s="42">
        <f>_xlfn.XLOOKUP(83170,Trip[shape_id],Trip[shape_id],"Não encontrado")</f>
        <v/>
      </c>
      <c r="B17833" s="43" t="n">
        <v>-23.617399</v>
      </c>
      <c r="C17833" s="43" t="n">
        <v>-46.481463</v>
      </c>
      <c r="D17833" s="43" t="n">
        <v>91</v>
      </c>
      <c r="E17833" s="44" t="n">
        <v>2540.8235</v>
      </c>
    </row>
    <row r="17834">
      <c r="A17834" s="39">
        <f>_xlfn.XLOOKUP(83170,Trip[shape_id],Trip[shape_id],"Não encontrado")</f>
        <v/>
      </c>
      <c r="B17834" s="40" t="n">
        <v>-23.617247</v>
      </c>
      <c r="C17834" s="40" t="n">
        <v>-46.481448</v>
      </c>
      <c r="D17834" s="40" t="n">
        <v>92</v>
      </c>
      <c r="E17834" s="41" t="n">
        <v>2557.7271</v>
      </c>
    </row>
    <row r="17835">
      <c r="A17835" s="42">
        <f>_xlfn.XLOOKUP(83170,Trip[shape_id],Trip[shape_id],"Não encontrado")</f>
        <v/>
      </c>
      <c r="B17835" s="43" t="n">
        <v>-23.617143</v>
      </c>
      <c r="C17835" s="43" t="n">
        <v>-46.481446</v>
      </c>
      <c r="D17835" s="43" t="n">
        <v>93</v>
      </c>
      <c r="E17835" s="44" t="n">
        <v>2569.2476</v>
      </c>
    </row>
    <row r="17836">
      <c r="A17836" s="39">
        <f>_xlfn.XLOOKUP(83170,Trip[shape_id],Trip[shape_id],"Não encontrado")</f>
        <v/>
      </c>
      <c r="B17836" s="40" t="n">
        <v>-23.616986</v>
      </c>
      <c r="C17836" s="40" t="n">
        <v>-46.481441</v>
      </c>
      <c r="D17836" s="40" t="n">
        <v>94</v>
      </c>
      <c r="E17836" s="41" t="n">
        <v>2586.6433</v>
      </c>
    </row>
    <row r="17837">
      <c r="A17837" s="42">
        <f>_xlfn.XLOOKUP(83170,Trip[shape_id],Trip[shape_id],"Não encontrado")</f>
        <v/>
      </c>
      <c r="B17837" s="43" t="n">
        <v>-23.616856</v>
      </c>
      <c r="C17837" s="43" t="n">
        <v>-46.481434</v>
      </c>
      <c r="D17837" s="43" t="n">
        <v>95</v>
      </c>
      <c r="E17837" s="44" t="n">
        <v>2601.0591</v>
      </c>
    </row>
    <row r="17838">
      <c r="A17838" s="39">
        <f>_xlfn.XLOOKUP(83170,Trip[shape_id],Trip[shape_id],"Não encontrado")</f>
        <v/>
      </c>
      <c r="B17838" s="40" t="n">
        <v>-23.616694</v>
      </c>
      <c r="C17838" s="40" t="n">
        <v>-46.481442</v>
      </c>
      <c r="D17838" s="40" t="n">
        <v>96</v>
      </c>
      <c r="E17838" s="41" t="n">
        <v>2619.0198</v>
      </c>
    </row>
    <row r="17839">
      <c r="A17839" s="42">
        <f>_xlfn.XLOOKUP(83170,Trip[shape_id],Trip[shape_id],"Não encontrado")</f>
        <v/>
      </c>
      <c r="B17839" s="43" t="n">
        <v>-23.616599</v>
      </c>
      <c r="C17839" s="43" t="n">
        <v>-46.48146</v>
      </c>
      <c r="D17839" s="43" t="n">
        <v>97</v>
      </c>
      <c r="E17839" s="44" t="n">
        <v>2629.7002</v>
      </c>
    </row>
    <row r="17840">
      <c r="A17840" s="39">
        <f>_xlfn.XLOOKUP(83170,Trip[shape_id],Trip[shape_id],"Não encontrado")</f>
        <v/>
      </c>
      <c r="B17840" s="40" t="n">
        <v>-23.616258</v>
      </c>
      <c r="C17840" s="40" t="n">
        <v>-46.481537</v>
      </c>
      <c r="D17840" s="40" t="n">
        <v>98</v>
      </c>
      <c r="E17840" s="41" t="n">
        <v>2668.2756</v>
      </c>
    </row>
    <row r="17841">
      <c r="A17841" s="42">
        <f>_xlfn.XLOOKUP(83170,Trip[shape_id],Trip[shape_id],"Não encontrado")</f>
        <v/>
      </c>
      <c r="B17841" s="43" t="n">
        <v>-23.616182</v>
      </c>
      <c r="C17841" s="43" t="n">
        <v>-46.481555</v>
      </c>
      <c r="D17841" s="43" t="n">
        <v>99</v>
      </c>
      <c r="E17841" s="44" t="n">
        <v>2676.8914</v>
      </c>
    </row>
    <row r="17842">
      <c r="A17842" s="39">
        <f>_xlfn.XLOOKUP(83170,Trip[shape_id],Trip[shape_id],"Não encontrado")</f>
        <v/>
      </c>
      <c r="B17842" s="40" t="n">
        <v>-23.615605</v>
      </c>
      <c r="C17842" s="40" t="n">
        <v>-46.481681</v>
      </c>
      <c r="D17842" s="40" t="n">
        <v>100</v>
      </c>
      <c r="E17842" s="41" t="n">
        <v>2742.0764</v>
      </c>
    </row>
    <row r="17843">
      <c r="A17843" s="42">
        <f>_xlfn.XLOOKUP(83170,Trip[shape_id],Trip[shape_id],"Não encontrado")</f>
        <v/>
      </c>
      <c r="B17843" s="43" t="n">
        <v>-23.614861</v>
      </c>
      <c r="C17843" s="43" t="n">
        <v>-46.481844</v>
      </c>
      <c r="D17843" s="43" t="n">
        <v>101</v>
      </c>
      <c r="E17843" s="44" t="n">
        <v>2826.1387</v>
      </c>
    </row>
    <row r="17844">
      <c r="A17844" s="39">
        <f>_xlfn.XLOOKUP(83170,Trip[shape_id],Trip[shape_id],"Não encontrado")</f>
        <v/>
      </c>
      <c r="B17844" s="40" t="n">
        <v>-23.614433</v>
      </c>
      <c r="C17844" s="40" t="n">
        <v>-46.481929</v>
      </c>
      <c r="D17844" s="40" t="n">
        <v>102</v>
      </c>
      <c r="E17844" s="41" t="n">
        <v>2874.3279</v>
      </c>
    </row>
    <row r="17845">
      <c r="A17845" s="42">
        <f>_xlfn.XLOOKUP(83170,Trip[shape_id],Trip[shape_id],"Não encontrado")</f>
        <v/>
      </c>
      <c r="B17845" s="43" t="n">
        <v>-23.613784</v>
      </c>
      <c r="C17845" s="43" t="n">
        <v>-46.482071</v>
      </c>
      <c r="D17845" s="43" t="n">
        <v>103</v>
      </c>
      <c r="E17845" s="44" t="n">
        <v>2947.6526</v>
      </c>
    </row>
    <row r="17846">
      <c r="A17846" s="39">
        <f>_xlfn.XLOOKUP(83170,Trip[shape_id],Trip[shape_id],"Não encontrado")</f>
        <v/>
      </c>
      <c r="B17846" s="40" t="n">
        <v>-23.613728</v>
      </c>
      <c r="C17846" s="40" t="n">
        <v>-46.482073</v>
      </c>
      <c r="D17846" s="40" t="n">
        <v>104</v>
      </c>
      <c r="E17846" s="41" t="n">
        <v>2953.8586</v>
      </c>
    </row>
    <row r="17847">
      <c r="A17847" s="42">
        <f>_xlfn.XLOOKUP(83170,Trip[shape_id],Trip[shape_id],"Não encontrado")</f>
        <v/>
      </c>
      <c r="B17847" s="43" t="n">
        <v>-23.61373</v>
      </c>
      <c r="C17847" s="43" t="n">
        <v>-46.482127</v>
      </c>
      <c r="D17847" s="43" t="n">
        <v>105</v>
      </c>
      <c r="E17847" s="44" t="n">
        <v>2959.3743</v>
      </c>
    </row>
    <row r="17848">
      <c r="A17848" s="39">
        <f>_xlfn.XLOOKUP(83170,Trip[shape_id],Trip[shape_id],"Não encontrado")</f>
        <v/>
      </c>
      <c r="B17848" s="40" t="n">
        <v>-23.61372</v>
      </c>
      <c r="C17848" s="40" t="n">
        <v>-46.482247</v>
      </c>
      <c r="D17848" s="40" t="n">
        <v>106</v>
      </c>
      <c r="E17848" s="41" t="n">
        <v>2971.6707</v>
      </c>
    </row>
    <row r="17849">
      <c r="A17849" s="42">
        <f>_xlfn.XLOOKUP(83170,Trip[shape_id],Trip[shape_id],"Não encontrado")</f>
        <v/>
      </c>
      <c r="B17849" s="43" t="n">
        <v>-23.613663</v>
      </c>
      <c r="C17849" s="43" t="n">
        <v>-46.482734</v>
      </c>
      <c r="D17849" s="43" t="n">
        <v>107</v>
      </c>
      <c r="E17849" s="44" t="n">
        <v>3021.7698</v>
      </c>
    </row>
    <row r="17850">
      <c r="A17850" s="39">
        <f>_xlfn.XLOOKUP(83170,Trip[shape_id],Trip[shape_id],"Não encontrado")</f>
        <v/>
      </c>
      <c r="B17850" s="40" t="n">
        <v>-23.613637</v>
      </c>
      <c r="C17850" s="40" t="n">
        <v>-46.482915</v>
      </c>
      <c r="D17850" s="40" t="n">
        <v>108</v>
      </c>
      <c r="E17850" s="41" t="n">
        <v>3040.4644</v>
      </c>
    </row>
    <row r="17851">
      <c r="A17851" s="42">
        <f>_xlfn.XLOOKUP(83170,Trip[shape_id],Trip[shape_id],"Não encontrado")</f>
        <v/>
      </c>
      <c r="B17851" s="43" t="n">
        <v>-23.613611</v>
      </c>
      <c r="C17851" s="43" t="n">
        <v>-46.483281</v>
      </c>
      <c r="D17851" s="43" t="n">
        <v>109</v>
      </c>
      <c r="E17851" s="44" t="n">
        <v>3077.9268</v>
      </c>
    </row>
    <row r="17852">
      <c r="A17852" s="39">
        <f>_xlfn.XLOOKUP(83170,Trip[shape_id],Trip[shape_id],"Não encontrado")</f>
        <v/>
      </c>
      <c r="B17852" s="40" t="n">
        <v>-23.613614</v>
      </c>
      <c r="C17852" s="40" t="n">
        <v>-46.483357</v>
      </c>
      <c r="D17852" s="40" t="n">
        <v>110</v>
      </c>
      <c r="E17852" s="41" t="n">
        <v>3085.6899</v>
      </c>
    </row>
    <row r="17853">
      <c r="A17853" s="42">
        <f>_xlfn.XLOOKUP(83170,Trip[shape_id],Trip[shape_id],"Não encontrado")</f>
        <v/>
      </c>
      <c r="B17853" s="43" t="n">
        <v>-23.613674</v>
      </c>
      <c r="C17853" s="43" t="n">
        <v>-46.483769</v>
      </c>
      <c r="D17853" s="43" t="n">
        <v>111</v>
      </c>
      <c r="E17853" s="44" t="n">
        <v>3128.2578</v>
      </c>
    </row>
    <row r="17854">
      <c r="A17854" s="39">
        <f>_xlfn.XLOOKUP(83170,Trip[shape_id],Trip[shape_id],"Não encontrado")</f>
        <v/>
      </c>
      <c r="B17854" s="40" t="n">
        <v>-23.613713</v>
      </c>
      <c r="C17854" s="40" t="n">
        <v>-46.484007</v>
      </c>
      <c r="D17854" s="40" t="n">
        <v>112</v>
      </c>
      <c r="E17854" s="41" t="n">
        <v>3152.9277</v>
      </c>
    </row>
    <row r="17855">
      <c r="A17855" s="42">
        <f>_xlfn.XLOOKUP(83170,Trip[shape_id],Trip[shape_id],"Não encontrado")</f>
        <v/>
      </c>
      <c r="B17855" s="43" t="n">
        <v>-23.613416</v>
      </c>
      <c r="C17855" s="43" t="n">
        <v>-46.484076</v>
      </c>
      <c r="D17855" s="43" t="n">
        <v>113</v>
      </c>
      <c r="E17855" s="44" t="n">
        <v>3186.5667</v>
      </c>
    </row>
    <row r="17856">
      <c r="A17856" s="39">
        <f>_xlfn.XLOOKUP(83170,Trip[shape_id],Trip[shape_id],"Não encontrado")</f>
        <v/>
      </c>
      <c r="B17856" s="40" t="n">
        <v>-23.612874</v>
      </c>
      <c r="C17856" s="40" t="n">
        <v>-46.484189</v>
      </c>
      <c r="D17856" s="40" t="n">
        <v>114</v>
      </c>
      <c r="E17856" s="41" t="n">
        <v>3247.6924</v>
      </c>
    </row>
    <row r="17857">
      <c r="A17857" s="42">
        <f>_xlfn.XLOOKUP(83170,Trip[shape_id],Trip[shape_id],"Não encontrado")</f>
        <v/>
      </c>
      <c r="B17857" s="43" t="n">
        <v>-23.612512</v>
      </c>
      <c r="C17857" s="43" t="n">
        <v>-46.484264</v>
      </c>
      <c r="D17857" s="43" t="n">
        <v>115</v>
      </c>
      <c r="E17857" s="44" t="n">
        <v>3288.5088</v>
      </c>
    </row>
    <row r="17858">
      <c r="A17858" s="39">
        <f>_xlfn.XLOOKUP(83170,Trip[shape_id],Trip[shape_id],"Não encontrado")</f>
        <v/>
      </c>
      <c r="B17858" s="40" t="n">
        <v>-23.612289</v>
      </c>
      <c r="C17858" s="40" t="n">
        <v>-46.484309</v>
      </c>
      <c r="D17858" s="40" t="n">
        <v>116</v>
      </c>
      <c r="E17858" s="41" t="n">
        <v>3313.6299</v>
      </c>
    </row>
    <row r="17859">
      <c r="A17859" s="42">
        <f>_xlfn.XLOOKUP(83170,Trip[shape_id],Trip[shape_id],"Não encontrado")</f>
        <v/>
      </c>
      <c r="B17859" s="43" t="n">
        <v>-23.610881</v>
      </c>
      <c r="C17859" s="43" t="n">
        <v>-46.48462</v>
      </c>
      <c r="D17859" s="43" t="n">
        <v>117</v>
      </c>
      <c r="E17859" s="44" t="n">
        <v>3472.7668</v>
      </c>
    </row>
    <row r="17860">
      <c r="A17860" s="39">
        <f>_xlfn.XLOOKUP(83170,Trip[shape_id],Trip[shape_id],"Não encontrado")</f>
        <v/>
      </c>
      <c r="B17860" s="40" t="n">
        <v>-23.61068</v>
      </c>
      <c r="C17860" s="40" t="n">
        <v>-46.484669</v>
      </c>
      <c r="D17860" s="40" t="n">
        <v>118</v>
      </c>
      <c r="E17860" s="41" t="n">
        <v>3495.5828</v>
      </c>
    </row>
    <row r="17861">
      <c r="A17861" s="42">
        <f>_xlfn.XLOOKUP(83170,Trip[shape_id],Trip[shape_id],"Não encontrado")</f>
        <v/>
      </c>
      <c r="B17861" s="43" t="n">
        <v>-23.610376</v>
      </c>
      <c r="C17861" s="43" t="n">
        <v>-46.484753</v>
      </c>
      <c r="D17861" s="43" t="n">
        <v>119</v>
      </c>
      <c r="E17861" s="44" t="n">
        <v>3530.3259</v>
      </c>
    </row>
    <row r="17862">
      <c r="A17862" s="39">
        <f>_xlfn.XLOOKUP(83170,Trip[shape_id],Trip[shape_id],"Não encontrado")</f>
        <v/>
      </c>
      <c r="B17862" s="40" t="n">
        <v>-23.610194</v>
      </c>
      <c r="C17862" s="40" t="n">
        <v>-46.484794</v>
      </c>
      <c r="D17862" s="40" t="n">
        <v>120</v>
      </c>
      <c r="E17862" s="41" t="n">
        <v>3550.9128</v>
      </c>
    </row>
    <row r="17863">
      <c r="A17863" s="42">
        <f>_xlfn.XLOOKUP(83170,Trip[shape_id],Trip[shape_id],"Não encontrado")</f>
        <v/>
      </c>
      <c r="B17863" s="43" t="n">
        <v>-23.610177</v>
      </c>
      <c r="C17863" s="43" t="n">
        <v>-46.484922</v>
      </c>
      <c r="D17863" s="43" t="n">
        <v>121</v>
      </c>
      <c r="E17863" s="44" t="n">
        <v>3577.2036</v>
      </c>
    </row>
    <row r="17864">
      <c r="A17864" s="39">
        <f>_xlfn.XLOOKUP(83170,Trip[shape_id],Trip[shape_id],"Não encontrado")</f>
        <v/>
      </c>
      <c r="B17864" s="40" t="n">
        <v>-23.610169</v>
      </c>
      <c r="C17864" s="40" t="n">
        <v>-46.48505</v>
      </c>
      <c r="D17864" s="40" t="n">
        <v>122</v>
      </c>
      <c r="E17864" s="41" t="n">
        <v>3593.3376</v>
      </c>
    </row>
    <row r="17865">
      <c r="A17865" s="42">
        <f>_xlfn.XLOOKUP(83170,Trip[shape_id],Trip[shape_id],"Não encontrado")</f>
        <v/>
      </c>
      <c r="B17865" s="43" t="n">
        <v>-23.610164</v>
      </c>
      <c r="C17865" s="43" t="n">
        <v>-46.485208</v>
      </c>
      <c r="D17865" s="43" t="n">
        <v>123</v>
      </c>
      <c r="E17865" s="44" t="n">
        <v>3613.9958</v>
      </c>
    </row>
    <row r="17866">
      <c r="A17866" s="39">
        <f>_xlfn.XLOOKUP(83170,Trip[shape_id],Trip[shape_id],"Não encontrado")</f>
        <v/>
      </c>
      <c r="B17866" s="40" t="n">
        <v>-23.610176</v>
      </c>
      <c r="C17866" s="40" t="n">
        <v>-46.48541</v>
      </c>
      <c r="D17866" s="40" t="n">
        <v>124</v>
      </c>
      <c r="E17866" s="41" t="n">
        <v>3632.0962</v>
      </c>
    </row>
    <row r="17867">
      <c r="A17867" s="42">
        <f>_xlfn.XLOOKUP(83170,Trip[shape_id],Trip[shape_id],"Não encontrado")</f>
        <v/>
      </c>
      <c r="B17867" s="43" t="n">
        <v>-23.610212</v>
      </c>
      <c r="C17867" s="43" t="n">
        <v>-46.485583</v>
      </c>
      <c r="D17867" s="43" t="n">
        <v>125</v>
      </c>
      <c r="E17867" s="44" t="n">
        <v>3654.6797</v>
      </c>
    </row>
    <row r="17868">
      <c r="A17868" s="39">
        <f>_xlfn.XLOOKUP(83170,Trip[shape_id],Trip[shape_id],"Não encontrado")</f>
        <v/>
      </c>
      <c r="B17868" s="40" t="n">
        <v>-23.610279</v>
      </c>
      <c r="C17868" s="40" t="n">
        <v>-46.485792</v>
      </c>
      <c r="D17868" s="40" t="n">
        <v>126</v>
      </c>
      <c r="E17868" s="41" t="n">
        <v>3668.3767</v>
      </c>
    </row>
    <row r="17869">
      <c r="A17869" s="42">
        <f>_xlfn.XLOOKUP(83170,Trip[shape_id],Trip[shape_id],"Não encontrado")</f>
        <v/>
      </c>
      <c r="B17869" s="43" t="n">
        <v>-23.610319</v>
      </c>
      <c r="C17869" s="43" t="n">
        <v>-46.485919</v>
      </c>
      <c r="D17869" s="43" t="n">
        <v>127</v>
      </c>
      <c r="E17869" s="44" t="n">
        <v>3668.3767</v>
      </c>
    </row>
    <row r="17870">
      <c r="A17870" s="39">
        <f>_xlfn.XLOOKUP(83170,Trip[shape_id],Trip[shape_id],"Não encontrado")</f>
        <v/>
      </c>
      <c r="B17870" s="40" t="n">
        <v>-23.610376</v>
      </c>
      <c r="C17870" s="40" t="n">
        <v>-46.486054</v>
      </c>
      <c r="D17870" s="40" t="n">
        <v>128</v>
      </c>
      <c r="E17870" s="41" t="n">
        <v>3700.1123</v>
      </c>
    </row>
    <row r="17871">
      <c r="A17871" s="42">
        <f>_xlfn.XLOOKUP(83170,Trip[shape_id],Trip[shape_id],"Não encontrado")</f>
        <v/>
      </c>
      <c r="B17871" s="43" t="n">
        <v>-23.610455</v>
      </c>
      <c r="C17871" s="43" t="n">
        <v>-46.486192</v>
      </c>
      <c r="D17871" s="43" t="n">
        <v>129</v>
      </c>
      <c r="E17871" s="44" t="n">
        <v>3724.2825</v>
      </c>
    </row>
    <row r="17872">
      <c r="A17872" s="39">
        <f>_xlfn.XLOOKUP(83170,Trip[shape_id],Trip[shape_id],"Não encontrado")</f>
        <v/>
      </c>
      <c r="B17872" s="40" t="n">
        <v>-23.6106</v>
      </c>
      <c r="C17872" s="40" t="n">
        <v>-46.486369</v>
      </c>
      <c r="D17872" s="40" t="n">
        <v>130</v>
      </c>
      <c r="E17872" s="41" t="n">
        <v>3773.5171</v>
      </c>
    </row>
    <row r="17873">
      <c r="A17873" s="42">
        <f>_xlfn.XLOOKUP(83170,Trip[shape_id],Trip[shape_id],"Não encontrado")</f>
        <v/>
      </c>
      <c r="B17873" s="43" t="n">
        <v>-23.610919</v>
      </c>
      <c r="C17873" s="43" t="n">
        <v>-46.486705</v>
      </c>
      <c r="D17873" s="43" t="n">
        <v>131</v>
      </c>
      <c r="E17873" s="44" t="n">
        <v>3773.5171</v>
      </c>
    </row>
    <row r="17874">
      <c r="A17874" s="39">
        <f>_xlfn.XLOOKUP(83170,Trip[shape_id],Trip[shape_id],"Não encontrado")</f>
        <v/>
      </c>
      <c r="B17874" s="40" t="n">
        <v>-23.611481</v>
      </c>
      <c r="C17874" s="40" t="n">
        <v>-46.487334</v>
      </c>
      <c r="D17874" s="40" t="n">
        <v>132</v>
      </c>
      <c r="E17874" s="41" t="n">
        <v>3862.9312</v>
      </c>
    </row>
    <row r="17875">
      <c r="A17875" s="42">
        <f>_xlfn.XLOOKUP(83170,Trip[shape_id],Trip[shape_id],"Não encontrado")</f>
        <v/>
      </c>
      <c r="B17875" s="43" t="n">
        <v>-23.611972</v>
      </c>
      <c r="C17875" s="43" t="n">
        <v>-46.487864</v>
      </c>
      <c r="D17875" s="43" t="n">
        <v>133</v>
      </c>
      <c r="E17875" s="44" t="n">
        <v>3984.3042</v>
      </c>
    </row>
    <row r="17876">
      <c r="A17876" s="39">
        <f>_xlfn.XLOOKUP(83170,Trip[shape_id],Trip[shape_id],"Não encontrado")</f>
        <v/>
      </c>
      <c r="B17876" s="40" t="n">
        <v>-23.612264</v>
      </c>
      <c r="C17876" s="40" t="n">
        <v>-46.488166</v>
      </c>
      <c r="D17876" s="40" t="n">
        <v>134</v>
      </c>
      <c r="E17876" s="41" t="n">
        <v>4009.1477</v>
      </c>
    </row>
    <row r="17877">
      <c r="A17877" s="42">
        <f>_xlfn.XLOOKUP(83170,Trip[shape_id],Trip[shape_id],"Não encontrado")</f>
        <v/>
      </c>
      <c r="B17877" s="43" t="n">
        <v>-23.612418</v>
      </c>
      <c r="C17877" s="43" t="n">
        <v>-46.488343</v>
      </c>
      <c r="D17877" s="43" t="n">
        <v>135</v>
      </c>
      <c r="E17877" s="44" t="n">
        <v>4009.1477</v>
      </c>
    </row>
    <row r="17878">
      <c r="A17878" s="39">
        <f>_xlfn.XLOOKUP(83170,Trip[shape_id],Trip[shape_id],"Não encontrado")</f>
        <v/>
      </c>
      <c r="B17878" s="40" t="n">
        <v>-23.612495</v>
      </c>
      <c r="C17878" s="40" t="n">
        <v>-46.488424</v>
      </c>
      <c r="D17878" s="40" t="n">
        <v>136</v>
      </c>
      <c r="E17878" s="41" t="n">
        <v>4036.0603</v>
      </c>
    </row>
    <row r="17879">
      <c r="A17879" s="42">
        <f>_xlfn.XLOOKUP(83170,Trip[shape_id],Trip[shape_id],"Não encontrado")</f>
        <v/>
      </c>
      <c r="B17879" s="43" t="n">
        <v>-23.612581</v>
      </c>
      <c r="C17879" s="43" t="n">
        <v>-46.488538</v>
      </c>
      <c r="D17879" s="43" t="n">
        <v>137</v>
      </c>
      <c r="E17879" s="44" t="n">
        <v>4046.5576</v>
      </c>
    </row>
    <row r="17880">
      <c r="A17880" s="39">
        <f>_xlfn.XLOOKUP(83170,Trip[shape_id],Trip[shape_id],"Não encontrado")</f>
        <v/>
      </c>
      <c r="B17880" s="40" t="n">
        <v>-23.612633</v>
      </c>
      <c r="C17880" s="40" t="n">
        <v>-46.488624</v>
      </c>
      <c r="D17880" s="40" t="n">
        <v>138</v>
      </c>
      <c r="E17880" s="41" t="n">
        <v>4062.5444</v>
      </c>
    </row>
    <row r="17881">
      <c r="A17881" s="42">
        <f>_xlfn.XLOOKUP(83170,Trip[shape_id],Trip[shape_id],"Não encontrado")</f>
        <v/>
      </c>
      <c r="B17881" s="43" t="n">
        <v>-23.612703</v>
      </c>
      <c r="C17881" s="43" t="n">
        <v>-46.488761</v>
      </c>
      <c r="D17881" s="43" t="n">
        <v>139</v>
      </c>
      <c r="E17881" s="44" t="n">
        <v>4091.2031</v>
      </c>
    </row>
    <row r="17882">
      <c r="A17882" s="39">
        <f>_xlfn.XLOOKUP(83170,Trip[shape_id],Trip[shape_id],"Não encontrado")</f>
        <v/>
      </c>
      <c r="B17882" s="40" t="n">
        <v>-23.612803</v>
      </c>
      <c r="C17882" s="40" t="n">
        <v>-46.48902</v>
      </c>
      <c r="D17882" s="40" t="n">
        <v>140</v>
      </c>
      <c r="E17882" s="41" t="n">
        <v>4091.2031</v>
      </c>
    </row>
    <row r="17883">
      <c r="A17883" s="42">
        <f>_xlfn.XLOOKUP(83170,Trip[shape_id],Trip[shape_id],"Não encontrado")</f>
        <v/>
      </c>
      <c r="B17883" s="43" t="n">
        <v>-23.612849</v>
      </c>
      <c r="C17883" s="43" t="n">
        <v>-46.489135</v>
      </c>
      <c r="D17883" s="43" t="n">
        <v>141</v>
      </c>
      <c r="E17883" s="44" t="n">
        <v>4117.2065</v>
      </c>
    </row>
    <row r="17884">
      <c r="A17884" s="39">
        <f>_xlfn.XLOOKUP(83170,Trip[shape_id],Trip[shape_id],"Não encontrado")</f>
        <v/>
      </c>
      <c r="B17884" s="40" t="n">
        <v>-23.612872</v>
      </c>
      <c r="C17884" s="40" t="n">
        <v>-46.489262</v>
      </c>
      <c r="D17884" s="40" t="n">
        <v>142</v>
      </c>
      <c r="E17884" s="41" t="n">
        <v>4130.4385</v>
      </c>
    </row>
    <row r="17885">
      <c r="A17885" s="42">
        <f>_xlfn.XLOOKUP(83170,Trip[shape_id],Trip[shape_id],"Não encontrado")</f>
        <v/>
      </c>
      <c r="B17885" s="43" t="n">
        <v>-23.61286</v>
      </c>
      <c r="C17885" s="43" t="n">
        <v>-46.489391</v>
      </c>
      <c r="D17885" s="43" t="n">
        <v>143</v>
      </c>
      <c r="E17885" s="44" t="n">
        <v>4157.3965</v>
      </c>
    </row>
    <row r="17886">
      <c r="A17886" s="39">
        <f>_xlfn.XLOOKUP(83170,Trip[shape_id],Trip[shape_id],"Não encontrado")</f>
        <v/>
      </c>
      <c r="B17886" s="40" t="n">
        <v>-23.612829</v>
      </c>
      <c r="C17886" s="40" t="n">
        <v>-46.489653</v>
      </c>
      <c r="D17886" s="40" t="n">
        <v>144</v>
      </c>
      <c r="E17886" s="41" t="n">
        <v>4192.2144</v>
      </c>
    </row>
    <row r="17887">
      <c r="A17887" s="42">
        <f>_xlfn.XLOOKUP(83170,Trip[shape_id],Trip[shape_id],"Não encontrado")</f>
        <v/>
      </c>
      <c r="B17887" s="43" t="n">
        <v>-23.61278</v>
      </c>
      <c r="C17887" s="43" t="n">
        <v>-46.48999</v>
      </c>
      <c r="D17887" s="43" t="n">
        <v>145</v>
      </c>
      <c r="E17887" s="44" t="n">
        <v>4223.4536</v>
      </c>
    </row>
    <row r="17888">
      <c r="A17888" s="39">
        <f>_xlfn.XLOOKUP(83170,Trip[shape_id],Trip[shape_id],"Não encontrado")</f>
        <v/>
      </c>
      <c r="B17888" s="40" t="n">
        <v>-23.612747</v>
      </c>
      <c r="C17888" s="40" t="n">
        <v>-46.490294</v>
      </c>
      <c r="D17888" s="40" t="n">
        <v>146</v>
      </c>
      <c r="E17888" s="41" t="n">
        <v>4287.5859</v>
      </c>
    </row>
    <row r="17889">
      <c r="A17889" s="42">
        <f>_xlfn.XLOOKUP(83170,Trip[shape_id],Trip[shape_id],"Não encontrado")</f>
        <v/>
      </c>
      <c r="B17889" s="43" t="n">
        <v>-23.612726</v>
      </c>
      <c r="C17889" s="43" t="n">
        <v>-46.490922</v>
      </c>
      <c r="D17889" s="43" t="n">
        <v>147</v>
      </c>
      <c r="E17889" s="44" t="n">
        <v>4287.5859</v>
      </c>
    </row>
    <row r="17890">
      <c r="A17890" s="39">
        <f>_xlfn.XLOOKUP(83170,Trip[shape_id],Trip[shape_id],"Não encontrado")</f>
        <v/>
      </c>
      <c r="B17890" s="40" t="n">
        <v>-23.612737</v>
      </c>
      <c r="C17890" s="40" t="n">
        <v>-46.491126</v>
      </c>
      <c r="D17890" s="40" t="n">
        <v>148</v>
      </c>
      <c r="E17890" s="41" t="n">
        <v>4347.0205</v>
      </c>
    </row>
    <row r="17891">
      <c r="A17891" s="42">
        <f>_xlfn.XLOOKUP(83170,Trip[shape_id],Trip[shape_id],"Não encontrado")</f>
        <v/>
      </c>
      <c r="B17891" s="43" t="n">
        <v>-23.612799</v>
      </c>
      <c r="C17891" s="43" t="n">
        <v>-46.491498</v>
      </c>
      <c r="D17891" s="43" t="n">
        <v>149</v>
      </c>
      <c r="E17891" s="44" t="n">
        <v>4374.3398</v>
      </c>
    </row>
    <row r="17892">
      <c r="A17892" s="39">
        <f>_xlfn.XLOOKUP(83170,Trip[shape_id],Trip[shape_id],"Não encontrado")</f>
        <v/>
      </c>
      <c r="B17892" s="40" t="n">
        <v>-23.612845</v>
      </c>
      <c r="C17892" s="40" t="n">
        <v>-46.491761</v>
      </c>
      <c r="D17892" s="40" t="n">
        <v>150</v>
      </c>
      <c r="E17892" s="41" t="n">
        <v>4432.6118</v>
      </c>
    </row>
    <row r="17893">
      <c r="A17893" s="42">
        <f>_xlfn.XLOOKUP(83170,Trip[shape_id],Trip[shape_id],"Não encontrado")</f>
        <v/>
      </c>
      <c r="B17893" s="43" t="n">
        <v>-23.612938</v>
      </c>
      <c r="C17893" s="43" t="n">
        <v>-46.492323</v>
      </c>
      <c r="D17893" s="43" t="n">
        <v>151</v>
      </c>
      <c r="E17893" s="44" t="n">
        <v>4459.8022</v>
      </c>
    </row>
    <row r="17894">
      <c r="A17894" s="39">
        <f>_xlfn.XLOOKUP(83170,Trip[shape_id],Trip[shape_id],"Não encontrado")</f>
        <v/>
      </c>
      <c r="B17894" s="40" t="n">
        <v>-23.612952</v>
      </c>
      <c r="C17894" s="40" t="n">
        <v>-46.492589</v>
      </c>
      <c r="D17894" s="40" t="n">
        <v>152</v>
      </c>
      <c r="E17894" s="41" t="n">
        <v>4459.8022</v>
      </c>
    </row>
    <row r="17895">
      <c r="A17895" s="42">
        <f>_xlfn.XLOOKUP(83170,Trip[shape_id],Trip[shape_id],"Não encontrado")</f>
        <v/>
      </c>
      <c r="B17895" s="43" t="n">
        <v>-23.612949</v>
      </c>
      <c r="C17895" s="43" t="n">
        <v>-46.492734</v>
      </c>
      <c r="D17895" s="43" t="n">
        <v>153</v>
      </c>
      <c r="E17895" s="44" t="n">
        <v>4485.6528</v>
      </c>
    </row>
    <row r="17896">
      <c r="A17896" s="39">
        <f>_xlfn.XLOOKUP(83170,Trip[shape_id],Trip[shape_id],"Não encontrado")</f>
        <v/>
      </c>
      <c r="B17896" s="40" t="n">
        <v>-23.612942</v>
      </c>
      <c r="C17896" s="40" t="n">
        <v>-46.492842</v>
      </c>
      <c r="D17896" s="40" t="n">
        <v>154</v>
      </c>
      <c r="E17896" s="41" t="n">
        <v>4505.2954</v>
      </c>
    </row>
    <row r="17897">
      <c r="A17897" s="42">
        <f>_xlfn.XLOOKUP(83170,Trip[shape_id],Trip[shape_id],"Não encontrado")</f>
        <v/>
      </c>
      <c r="B17897" s="43" t="n">
        <v>-23.612904</v>
      </c>
      <c r="C17897" s="43" t="n">
        <v>-46.49303</v>
      </c>
      <c r="D17897" s="43" t="n">
        <v>155</v>
      </c>
      <c r="E17897" s="44" t="n">
        <v>4550.7241</v>
      </c>
    </row>
    <row r="17898">
      <c r="A17898" s="39">
        <f>_xlfn.XLOOKUP(83170,Trip[shape_id],Trip[shape_id],"Não encontrado")</f>
        <v/>
      </c>
      <c r="B17898" s="40" t="n">
        <v>-23.612782</v>
      </c>
      <c r="C17898" s="40" t="n">
        <v>-46.493455</v>
      </c>
      <c r="D17898" s="40" t="n">
        <v>156</v>
      </c>
      <c r="E17898" s="41" t="n">
        <v>4568.6172</v>
      </c>
    </row>
    <row r="17899">
      <c r="A17899" s="42">
        <f>_xlfn.XLOOKUP(83170,Trip[shape_id],Trip[shape_id],"Não encontrado")</f>
        <v/>
      </c>
      <c r="B17899" s="43" t="n">
        <v>-23.61273</v>
      </c>
      <c r="C17899" s="43" t="n">
        <v>-46.493621</v>
      </c>
      <c r="D17899" s="43" t="n">
        <v>157</v>
      </c>
      <c r="E17899" s="44" t="n">
        <v>4582.1143</v>
      </c>
    </row>
    <row r="17900">
      <c r="A17900" s="39">
        <f>_xlfn.XLOOKUP(83170,Trip[shape_id],Trip[shape_id],"Não encontrado")</f>
        <v/>
      </c>
      <c r="B17900" s="40" t="n">
        <v>-23.612696</v>
      </c>
      <c r="C17900" s="40" t="n">
        <v>-46.493748</v>
      </c>
      <c r="D17900" s="40" t="n">
        <v>158</v>
      </c>
      <c r="E17900" s="41" t="n">
        <v>4590.668</v>
      </c>
    </row>
    <row r="17901">
      <c r="A17901" s="42">
        <f>_xlfn.XLOOKUP(83170,Trip[shape_id],Trip[shape_id],"Não encontrado")</f>
        <v/>
      </c>
      <c r="B17901" s="43" t="n">
        <v>-23.61268</v>
      </c>
      <c r="C17901" s="43" t="n">
        <v>-46.49383</v>
      </c>
      <c r="D17901" s="43" t="n">
        <v>159</v>
      </c>
      <c r="E17901" s="44" t="n">
        <v>4590.668</v>
      </c>
    </row>
    <row r="17902">
      <c r="A17902" s="39">
        <f>_xlfn.XLOOKUP(83170,Trip[shape_id],Trip[shape_id],"Não encontrado")</f>
        <v/>
      </c>
      <c r="B17902" s="40" t="n">
        <v>-23.612677</v>
      </c>
      <c r="C17902" s="40" t="n">
        <v>-46.493966</v>
      </c>
      <c r="D17902" s="40" t="n">
        <v>160</v>
      </c>
      <c r="E17902" s="41" t="n">
        <v>4619.1606</v>
      </c>
    </row>
    <row r="17903">
      <c r="A17903" s="42">
        <f>_xlfn.XLOOKUP(83170,Trip[shape_id],Trip[shape_id],"Não encontrado")</f>
        <v/>
      </c>
      <c r="B17903" s="43" t="n">
        <v>-23.612671</v>
      </c>
      <c r="C17903" s="43" t="n">
        <v>-46.494109</v>
      </c>
      <c r="D17903" s="43" t="n">
        <v>161</v>
      </c>
      <c r="E17903" s="44" t="n">
        <v>4629.4048</v>
      </c>
    </row>
    <row r="17904">
      <c r="A17904" s="39">
        <f>_xlfn.XLOOKUP(83170,Trip[shape_id],Trip[shape_id],"Não encontrado")</f>
        <v/>
      </c>
      <c r="B17904" s="40" t="n">
        <v>-23.612679</v>
      </c>
      <c r="C17904" s="40" t="n">
        <v>-46.494209</v>
      </c>
      <c r="D17904" s="40" t="n">
        <v>162</v>
      </c>
      <c r="E17904" s="41" t="n">
        <v>4641.8643</v>
      </c>
    </row>
    <row r="17905">
      <c r="A17905" s="42">
        <f>_xlfn.XLOOKUP(83170,Trip[shape_id],Trip[shape_id],"Não encontrado")</f>
        <v/>
      </c>
      <c r="B17905" s="43" t="n">
        <v>-23.612694</v>
      </c>
      <c r="C17905" s="43" t="n">
        <v>-46.49433</v>
      </c>
      <c r="D17905" s="43" t="n">
        <v>163</v>
      </c>
      <c r="E17905" s="44" t="n">
        <v>4667.8706</v>
      </c>
    </row>
    <row r="17906">
      <c r="A17906" s="39">
        <f>_xlfn.XLOOKUP(83170,Trip[shape_id],Trip[shape_id],"Não encontrado")</f>
        <v/>
      </c>
      <c r="B17906" s="40" t="n">
        <v>-23.612748</v>
      </c>
      <c r="C17906" s="40" t="n">
        <v>-46.494578</v>
      </c>
      <c r="D17906" s="40" t="n">
        <v>164</v>
      </c>
      <c r="E17906" s="41" t="n">
        <v>4681.5903</v>
      </c>
    </row>
    <row r="17907">
      <c r="A17907" s="42">
        <f>_xlfn.XLOOKUP(83170,Trip[shape_id],Trip[shape_id],"Não encontrado")</f>
        <v/>
      </c>
      <c r="B17907" s="43" t="n">
        <v>-23.612798</v>
      </c>
      <c r="C17907" s="43" t="n">
        <v>-46.494701</v>
      </c>
      <c r="D17907" s="43" t="n">
        <v>165</v>
      </c>
      <c r="E17907" s="44" t="n">
        <v>4694.5674</v>
      </c>
    </row>
    <row r="17908">
      <c r="A17908" s="39">
        <f>_xlfn.XLOOKUP(83170,Trip[shape_id],Trip[shape_id],"Não encontrado")</f>
        <v/>
      </c>
      <c r="B17908" s="40" t="n">
        <v>-23.612848</v>
      </c>
      <c r="C17908" s="40" t="n">
        <v>-46.494816</v>
      </c>
      <c r="D17908" s="40" t="n">
        <v>166</v>
      </c>
      <c r="E17908" s="41" t="n">
        <v>4717.4995</v>
      </c>
    </row>
    <row r="17909">
      <c r="A17909" s="42">
        <f>_xlfn.XLOOKUP(83170,Trip[shape_id],Trip[shape_id],"Não encontrado")</f>
        <v/>
      </c>
      <c r="B17909" s="43" t="n">
        <v>-23.61296</v>
      </c>
      <c r="C17909" s="43" t="n">
        <v>-46.495005</v>
      </c>
      <c r="D17909" s="43" t="n">
        <v>167</v>
      </c>
      <c r="E17909" s="44" t="n">
        <v>4717.4995</v>
      </c>
    </row>
    <row r="17910">
      <c r="A17910" s="39">
        <f>_xlfn.XLOOKUP(83170,Trip[shape_id],Trip[shape_id],"Não encontrado")</f>
        <v/>
      </c>
      <c r="B17910" s="40" t="n">
        <v>-23.61304</v>
      </c>
      <c r="C17910" s="40" t="n">
        <v>-46.495114</v>
      </c>
      <c r="D17910" s="40" t="n">
        <v>168</v>
      </c>
      <c r="E17910" s="41" t="n">
        <v>4751.9595</v>
      </c>
    </row>
    <row r="17911">
      <c r="A17911" s="42">
        <f>_xlfn.XLOOKUP(83170,Trip[shape_id],Trip[shape_id],"Não encontrado")</f>
        <v/>
      </c>
      <c r="B17911" s="43" t="n">
        <v>-23.613173</v>
      </c>
      <c r="C17911" s="43" t="n">
        <v>-46.49525</v>
      </c>
      <c r="D17911" s="43" t="n">
        <v>169</v>
      </c>
      <c r="E17911" s="44" t="n">
        <v>4769.9966</v>
      </c>
    </row>
    <row r="17912">
      <c r="A17912" s="39">
        <f>_xlfn.XLOOKUP(83170,Trip[shape_id],Trip[shape_id],"Não encontrado")</f>
        <v/>
      </c>
      <c r="B17912" s="40" t="n">
        <v>-23.613304</v>
      </c>
      <c r="C17912" s="40" t="n">
        <v>-46.495355</v>
      </c>
      <c r="D17912" s="40" t="n">
        <v>170</v>
      </c>
      <c r="E17912" s="41" t="n">
        <v>4801.6353</v>
      </c>
    </row>
    <row r="17913">
      <c r="A17913" s="42">
        <f>_xlfn.XLOOKUP(83170,Trip[shape_id],Trip[shape_id],"Não encontrado")</f>
        <v/>
      </c>
      <c r="B17913" s="43" t="n">
        <v>-23.613547</v>
      </c>
      <c r="C17913" s="43" t="n">
        <v>-46.495518</v>
      </c>
      <c r="D17913" s="43" t="n">
        <v>171</v>
      </c>
      <c r="E17913" s="44" t="n">
        <v>4821.2056</v>
      </c>
    </row>
    <row r="17914">
      <c r="A17914" s="39">
        <f>_xlfn.XLOOKUP(83170,Trip[shape_id],Trip[shape_id],"Não encontrado")</f>
        <v/>
      </c>
      <c r="B17914" s="40" t="n">
        <v>-23.613687</v>
      </c>
      <c r="C17914" s="40" t="n">
        <v>-46.495635</v>
      </c>
      <c r="D17914" s="40" t="n">
        <v>172</v>
      </c>
      <c r="E17914" s="41" t="n">
        <v>4837.354</v>
      </c>
    </row>
    <row r="17915">
      <c r="A17915" s="42">
        <f>_xlfn.XLOOKUP(83170,Trip[shape_id],Trip[shape_id],"Não encontrado")</f>
        <v/>
      </c>
      <c r="B17915" s="43" t="n">
        <v>-23.61379</v>
      </c>
      <c r="C17915" s="43" t="n">
        <v>-46.495747</v>
      </c>
      <c r="D17915" s="43" t="n">
        <v>173</v>
      </c>
      <c r="E17915" s="44" t="n">
        <v>4846.6646</v>
      </c>
    </row>
    <row r="17916">
      <c r="A17916" s="39">
        <f>_xlfn.XLOOKUP(83170,Trip[shape_id],Trip[shape_id],"Não encontrado")</f>
        <v/>
      </c>
      <c r="B17916" s="40" t="n">
        <v>-23.613845</v>
      </c>
      <c r="C17916" s="40" t="n">
        <v>-46.495816</v>
      </c>
      <c r="D17916" s="40" t="n">
        <v>174</v>
      </c>
      <c r="E17916" s="41" t="n">
        <v>4860.8765</v>
      </c>
    </row>
    <row r="17917">
      <c r="A17917" s="42">
        <f>_xlfn.XLOOKUP(83170,Trip[shape_id],Trip[shape_id],"Não encontrado")</f>
        <v/>
      </c>
      <c r="B17917" s="43" t="n">
        <v>-23.61392</v>
      </c>
      <c r="C17917" s="43" t="n">
        <v>-46.495929</v>
      </c>
      <c r="D17917" s="43" t="n">
        <v>175</v>
      </c>
      <c r="E17917" s="44" t="n">
        <v>4881.0942</v>
      </c>
    </row>
    <row r="17918">
      <c r="A17918" s="39">
        <f>_xlfn.XLOOKUP(83170,Trip[shape_id],Trip[shape_id],"Não encontrado")</f>
        <v/>
      </c>
      <c r="B17918" s="40" t="n">
        <v>-23.614002</v>
      </c>
      <c r="C17918" s="40" t="n">
        <v>-46.496106</v>
      </c>
      <c r="D17918" s="40" t="n">
        <v>176</v>
      </c>
      <c r="E17918" s="41" t="n">
        <v>4896.499</v>
      </c>
    </row>
    <row r="17919">
      <c r="A17919" s="42">
        <f>_xlfn.XLOOKUP(83170,Trip[shape_id],Trip[shape_id],"Não encontrado")</f>
        <v/>
      </c>
      <c r="B17919" s="43" t="n">
        <v>-23.614054</v>
      </c>
      <c r="C17919" s="43" t="n">
        <v>-46.496246</v>
      </c>
      <c r="D17919" s="43" t="n">
        <v>177</v>
      </c>
      <c r="E17919" s="44" t="n">
        <v>4896.499</v>
      </c>
    </row>
    <row r="17920">
      <c r="A17920" s="39">
        <f>_xlfn.XLOOKUP(83170,Trip[shape_id],Trip[shape_id],"Não encontrado")</f>
        <v/>
      </c>
      <c r="B17920" s="40" t="n">
        <v>-23.614059</v>
      </c>
      <c r="C17920" s="40" t="n">
        <v>-46.496283</v>
      </c>
      <c r="D17920" s="40" t="n">
        <v>178</v>
      </c>
      <c r="E17920" s="41" t="n">
        <v>4938.4614</v>
      </c>
    </row>
    <row r="17921">
      <c r="A17921" s="42">
        <f>_xlfn.XLOOKUP(83170,Trip[shape_id],Trip[shape_id],"Não encontrado")</f>
        <v/>
      </c>
      <c r="B17921" s="43" t="n">
        <v>-23.614114</v>
      </c>
      <c r="C17921" s="43" t="n">
        <v>-46.496652</v>
      </c>
      <c r="D17921" s="43" t="n">
        <v>179</v>
      </c>
      <c r="E17921" s="44" t="n">
        <v>4964.5879</v>
      </c>
    </row>
    <row r="17922">
      <c r="A17922" s="39">
        <f>_xlfn.XLOOKUP(83170,Trip[shape_id],Trip[shape_id],"Não encontrado")</f>
        <v/>
      </c>
      <c r="B17922" s="40" t="n">
        <v>-23.614116</v>
      </c>
      <c r="C17922" s="40" t="n">
        <v>-46.496908</v>
      </c>
      <c r="D17922" s="40" t="n">
        <v>180</v>
      </c>
      <c r="E17922" s="41" t="n">
        <v>4964.5879</v>
      </c>
    </row>
    <row r="17923">
      <c r="A17923" s="42">
        <f>_xlfn.XLOOKUP(83170,Trip[shape_id],Trip[shape_id],"Não encontrado")</f>
        <v/>
      </c>
      <c r="B17923" s="43" t="n">
        <v>-23.614088</v>
      </c>
      <c r="C17923" s="43" t="n">
        <v>-46.497159</v>
      </c>
      <c r="D17923" s="43" t="n">
        <v>181</v>
      </c>
      <c r="E17923" s="44" t="n">
        <v>5023.0278</v>
      </c>
    </row>
    <row r="17924">
      <c r="A17924" s="39">
        <f>_xlfn.XLOOKUP(83170,Trip[shape_id],Trip[shape_id],"Não encontrado")</f>
        <v/>
      </c>
      <c r="B17924" s="40" t="n">
        <v>-23.614067</v>
      </c>
      <c r="C17924" s="40" t="n">
        <v>-46.497478</v>
      </c>
      <c r="D17924" s="40" t="n">
        <v>182</v>
      </c>
      <c r="E17924" s="41" t="n">
        <v>5049.1533</v>
      </c>
    </row>
    <row r="17925">
      <c r="A17925" s="42">
        <f>_xlfn.XLOOKUP(83170,Trip[shape_id],Trip[shape_id],"Não encontrado")</f>
        <v/>
      </c>
      <c r="B17925" s="43" t="n">
        <v>-23.614067</v>
      </c>
      <c r="C17925" s="43" t="n">
        <v>-46.497734</v>
      </c>
      <c r="D17925" s="43" t="n">
        <v>183</v>
      </c>
      <c r="E17925" s="44" t="n">
        <v>5074.3286</v>
      </c>
    </row>
    <row r="17926">
      <c r="A17926" s="39">
        <f>_xlfn.XLOOKUP(83170,Trip[shape_id],Trip[shape_id],"Não encontrado")</f>
        <v/>
      </c>
      <c r="B17926" s="40" t="n">
        <v>-23.614084</v>
      </c>
      <c r="C17926" s="40" t="n">
        <v>-46.49798</v>
      </c>
      <c r="D17926" s="40" t="n">
        <v>184</v>
      </c>
      <c r="E17926" s="41" t="n">
        <v>5090.7969</v>
      </c>
    </row>
    <row r="17927">
      <c r="A17927" s="42">
        <f>_xlfn.XLOOKUP(83170,Trip[shape_id],Trip[shape_id],"Não encontrado")</f>
        <v/>
      </c>
      <c r="B17927" s="43" t="n">
        <v>-23.614094</v>
      </c>
      <c r="C17927" s="43" t="n">
        <v>-46.498141</v>
      </c>
      <c r="D17927" s="43" t="n">
        <v>185</v>
      </c>
      <c r="E17927" s="44" t="n">
        <v>5090.7969</v>
      </c>
    </row>
    <row r="17928">
      <c r="A17928" s="39">
        <f>_xlfn.XLOOKUP(83170,Trip[shape_id],Trip[shape_id],"Não encontrado")</f>
        <v/>
      </c>
      <c r="B17928" s="40" t="n">
        <v>-23.614109</v>
      </c>
      <c r="C17928" s="40" t="n">
        <v>-46.498258</v>
      </c>
      <c r="D17928" s="40" t="n">
        <v>186</v>
      </c>
      <c r="E17928" s="41" t="n">
        <v>5102.8521</v>
      </c>
    </row>
    <row r="17929">
      <c r="A17929" s="42">
        <f>_xlfn.XLOOKUP(83170,Trip[shape_id],Trip[shape_id],"Não encontrado")</f>
        <v/>
      </c>
      <c r="B17929" s="43" t="n">
        <v>-23.614111</v>
      </c>
      <c r="C17929" s="43" t="n">
        <v>-46.498329</v>
      </c>
      <c r="D17929" s="43" t="n">
        <v>187</v>
      </c>
      <c r="E17929" s="44" t="n">
        <v>5110.1016</v>
      </c>
    </row>
    <row r="17930">
      <c r="A17930" s="39">
        <f>_xlfn.XLOOKUP(83170,Trip[shape_id],Trip[shape_id],"Não encontrado")</f>
        <v/>
      </c>
      <c r="B17930" s="40" t="n">
        <v>-23.614172</v>
      </c>
      <c r="C17930" s="40" t="n">
        <v>-46.498712</v>
      </c>
      <c r="D17930" s="40" t="n">
        <v>188</v>
      </c>
      <c r="E17930" s="41" t="n">
        <v>5184.2832</v>
      </c>
    </row>
    <row r="17931">
      <c r="A17931" s="42">
        <f>_xlfn.XLOOKUP(83170,Trip[shape_id],Trip[shape_id],"Não encontrado")</f>
        <v/>
      </c>
      <c r="B17931" s="43" t="n">
        <v>-23.614248</v>
      </c>
      <c r="C17931" s="43" t="n">
        <v>-46.49904</v>
      </c>
      <c r="D17931" s="43" t="n">
        <v>189</v>
      </c>
      <c r="E17931" s="44" t="n">
        <v>5214.1128</v>
      </c>
    </row>
    <row r="17932">
      <c r="A17932" s="39">
        <f>_xlfn.XLOOKUP(83170,Trip[shape_id],Trip[shape_id],"Não encontrado")</f>
        <v/>
      </c>
      <c r="B17932" s="40" t="n">
        <v>-23.614294</v>
      </c>
      <c r="C17932" s="40" t="n">
        <v>-46.499328</v>
      </c>
      <c r="D17932" s="40" t="n">
        <v>190</v>
      </c>
      <c r="E17932" s="41" t="n">
        <v>5279.1987</v>
      </c>
    </row>
    <row r="17933">
      <c r="A17933" s="42">
        <f>_xlfn.XLOOKUP(83170,Trip[shape_id],Trip[shape_id],"Não encontrado")</f>
        <v/>
      </c>
      <c r="B17933" s="43" t="n">
        <v>-23.614411</v>
      </c>
      <c r="C17933" s="43" t="n">
        <v>-46.499953</v>
      </c>
      <c r="D17933" s="43" t="n">
        <v>191</v>
      </c>
      <c r="E17933" s="44" t="n">
        <v>5313.5469</v>
      </c>
    </row>
    <row r="17934">
      <c r="A17934" s="39">
        <f>_xlfn.XLOOKUP(83170,Trip[shape_id],Trip[shape_id],"Não encontrado")</f>
        <v/>
      </c>
      <c r="B17934" s="40" t="n">
        <v>-23.614472</v>
      </c>
      <c r="C17934" s="40" t="n">
        <v>-46.500283</v>
      </c>
      <c r="D17934" s="40" t="n">
        <v>192</v>
      </c>
      <c r="E17934" s="41" t="n">
        <v>5313.5469</v>
      </c>
    </row>
    <row r="17935">
      <c r="A17935" s="42">
        <f>_xlfn.XLOOKUP(83170,Trip[shape_id],Trip[shape_id],"Não encontrado")</f>
        <v/>
      </c>
      <c r="B17935" s="43" t="n">
        <v>-23.614568</v>
      </c>
      <c r="C17935" s="43" t="n">
        <v>-46.500811</v>
      </c>
      <c r="D17935" s="43" t="n">
        <v>193</v>
      </c>
      <c r="E17935" s="44" t="n">
        <v>5436.4185</v>
      </c>
    </row>
    <row r="17936">
      <c r="A17936" s="39">
        <f>_xlfn.XLOOKUP(83170,Trip[shape_id],Trip[shape_id],"Não encontrado")</f>
        <v/>
      </c>
      <c r="B17936" s="40" t="n">
        <v>-23.614673</v>
      </c>
      <c r="C17936" s="40" t="n">
        <v>-46.501467</v>
      </c>
      <c r="D17936" s="40" t="n">
        <v>194</v>
      </c>
      <c r="E17936" s="41" t="n">
        <v>5455.6074</v>
      </c>
    </row>
    <row r="17937">
      <c r="A17937" s="42">
        <f>_xlfn.XLOOKUP(83170,Trip[shape_id],Trip[shape_id],"Não encontrado")</f>
        <v/>
      </c>
      <c r="B17937" s="43" t="n">
        <v>-23.614704</v>
      </c>
      <c r="C17937" s="43" t="n">
        <v>-46.501652</v>
      </c>
      <c r="D17937" s="43" t="n">
        <v>195</v>
      </c>
      <c r="E17937" s="44" t="n">
        <v>5455.6074</v>
      </c>
    </row>
    <row r="17938">
      <c r="A17938" s="39">
        <f>_xlfn.XLOOKUP(83170,Trip[shape_id],Trip[shape_id],"Não encontrado")</f>
        <v/>
      </c>
      <c r="B17938" s="40" t="n">
        <v>-23.614727</v>
      </c>
      <c r="C17938" s="40" t="n">
        <v>-46.501744</v>
      </c>
      <c r="D17938" s="40" t="n">
        <v>196</v>
      </c>
      <c r="E17938" s="41" t="n">
        <v>5471.7588</v>
      </c>
    </row>
    <row r="17939">
      <c r="A17939" s="42">
        <f>_xlfn.XLOOKUP(83170,Trip[shape_id],Trip[shape_id],"Não encontrado")</f>
        <v/>
      </c>
      <c r="B17939" s="43" t="n">
        <v>-23.614737</v>
      </c>
      <c r="C17939" s="43" t="n">
        <v>-46.501806</v>
      </c>
      <c r="D17939" s="43" t="n">
        <v>197</v>
      </c>
      <c r="E17939" s="44" t="n">
        <v>5471.7588</v>
      </c>
    </row>
    <row r="17940">
      <c r="A17940" s="39">
        <f>_xlfn.XLOOKUP(83170,Trip[shape_id],Trip[shape_id],"Não encontrado")</f>
        <v/>
      </c>
      <c r="B17940" s="40" t="n">
        <v>-23.614768</v>
      </c>
      <c r="C17940" s="40" t="n">
        <v>-46.501952</v>
      </c>
      <c r="D17940" s="40" t="n">
        <v>198</v>
      </c>
      <c r="E17940" s="41" t="n">
        <v>5494.9141</v>
      </c>
    </row>
    <row r="17941">
      <c r="A17941" s="42">
        <f>_xlfn.XLOOKUP(83170,Trip[shape_id],Trip[shape_id],"Não encontrado")</f>
        <v/>
      </c>
      <c r="B17941" s="43" t="n">
        <v>-23.614771</v>
      </c>
      <c r="C17941" s="43" t="n">
        <v>-46.502029</v>
      </c>
      <c r="D17941" s="43" t="n">
        <v>199</v>
      </c>
      <c r="E17941" s="44" t="n">
        <v>5505.7456</v>
      </c>
    </row>
    <row r="17942">
      <c r="A17942" s="39">
        <f>_xlfn.XLOOKUP(83170,Trip[shape_id],Trip[shape_id],"Não encontrado")</f>
        <v/>
      </c>
      <c r="B17942" s="40" t="n">
        <v>-23.614766</v>
      </c>
      <c r="C17942" s="40" t="n">
        <v>-46.502135</v>
      </c>
      <c r="D17942" s="40" t="n">
        <v>200</v>
      </c>
      <c r="E17942" s="41" t="n">
        <v>5519.396</v>
      </c>
    </row>
    <row r="17943">
      <c r="A17943" s="42">
        <f>_xlfn.XLOOKUP(83170,Trip[shape_id],Trip[shape_id],"Não encontrado")</f>
        <v/>
      </c>
      <c r="B17943" s="43" t="n">
        <v>-23.614737</v>
      </c>
      <c r="C17943" s="43" t="n">
        <v>-46.502265</v>
      </c>
      <c r="D17943" s="43" t="n">
        <v>201</v>
      </c>
      <c r="E17943" s="44" t="n">
        <v>5530.7603</v>
      </c>
    </row>
    <row r="17944">
      <c r="A17944" s="39">
        <f>_xlfn.XLOOKUP(83170,Trip[shape_id],Trip[shape_id],"Não encontrado")</f>
        <v/>
      </c>
      <c r="B17944" s="40" t="n">
        <v>-23.614712</v>
      </c>
      <c r="C17944" s="40" t="n">
        <v>-46.502373</v>
      </c>
      <c r="D17944" s="40" t="n">
        <v>202</v>
      </c>
      <c r="E17944" s="41" t="n">
        <v>5530.7603</v>
      </c>
    </row>
    <row r="17945">
      <c r="A17945" s="42">
        <f>_xlfn.XLOOKUP(83170,Trip[shape_id],Trip[shape_id],"Não encontrado")</f>
        <v/>
      </c>
      <c r="B17945" s="43" t="n">
        <v>-23.614677</v>
      </c>
      <c r="C17945" s="43" t="n">
        <v>-46.50246</v>
      </c>
      <c r="D17945" s="43" t="n">
        <v>203</v>
      </c>
      <c r="E17945" s="44" t="n">
        <v>5553.3096</v>
      </c>
    </row>
    <row r="17946">
      <c r="A17946" s="39">
        <f>_xlfn.XLOOKUP(83170,Trip[shape_id],Trip[shape_id],"Não encontrado")</f>
        <v/>
      </c>
      <c r="B17946" s="40" t="n">
        <v>-23.614622</v>
      </c>
      <c r="C17946" s="40" t="n">
        <v>-46.502571</v>
      </c>
      <c r="D17946" s="40" t="n">
        <v>204</v>
      </c>
      <c r="E17946" s="41" t="n">
        <v>5567.1782</v>
      </c>
    </row>
    <row r="17947">
      <c r="A17947" s="42">
        <f>_xlfn.XLOOKUP(83170,Trip[shape_id],Trip[shape_id],"Não encontrado")</f>
        <v/>
      </c>
      <c r="B17947" s="43" t="n">
        <v>-23.614565</v>
      </c>
      <c r="C17947" s="43" t="n">
        <v>-46.502692</v>
      </c>
      <c r="D17947" s="43" t="n">
        <v>205</v>
      </c>
      <c r="E17947" s="44" t="n">
        <v>5586.4946</v>
      </c>
    </row>
    <row r="17948">
      <c r="A17948" s="39">
        <f>_xlfn.XLOOKUP(83170,Trip[shape_id],Trip[shape_id],"Não encontrado")</f>
        <v/>
      </c>
      <c r="B17948" s="40" t="n">
        <v>-23.614454</v>
      </c>
      <c r="C17948" s="40" t="n">
        <v>-46.502838</v>
      </c>
      <c r="D17948" s="40" t="n">
        <v>206</v>
      </c>
      <c r="E17948" s="41" t="n">
        <v>5612.8433</v>
      </c>
    </row>
    <row r="17949">
      <c r="A17949" s="42">
        <f>_xlfn.XLOOKUP(83170,Trip[shape_id],Trip[shape_id],"Não encontrado")</f>
        <v/>
      </c>
      <c r="B17949" s="43" t="n">
        <v>-23.614289</v>
      </c>
      <c r="C17949" s="43" t="n">
        <v>-46.503024</v>
      </c>
      <c r="D17949" s="43" t="n">
        <v>207</v>
      </c>
      <c r="E17949" s="44" t="n">
        <v>5630.4121</v>
      </c>
    </row>
    <row r="17950">
      <c r="A17950" s="39">
        <f>_xlfn.XLOOKUP(83170,Trip[shape_id],Trip[shape_id],"Não encontrado")</f>
        <v/>
      </c>
      <c r="B17950" s="40" t="n">
        <v>-23.614164</v>
      </c>
      <c r="C17950" s="40" t="n">
        <v>-46.50313</v>
      </c>
      <c r="D17950" s="40" t="n">
        <v>208</v>
      </c>
      <c r="E17950" s="41" t="n">
        <v>5655.8159</v>
      </c>
    </row>
    <row r="17951">
      <c r="A17951" s="42">
        <f>_xlfn.XLOOKUP(83170,Trip[shape_id],Trip[shape_id],"Não encontrado")</f>
        <v/>
      </c>
      <c r="B17951" s="43" t="n">
        <v>-23.613986</v>
      </c>
      <c r="C17951" s="43" t="n">
        <v>-46.503287</v>
      </c>
      <c r="D17951" s="43" t="n">
        <v>209</v>
      </c>
      <c r="E17951" s="44" t="n">
        <v>5666.9756</v>
      </c>
    </row>
    <row r="17952">
      <c r="A17952" s="39">
        <f>_xlfn.XLOOKUP(83170,Trip[shape_id],Trip[shape_id],"Não encontrado")</f>
        <v/>
      </c>
      <c r="B17952" s="40" t="n">
        <v>-23.613903</v>
      </c>
      <c r="C17952" s="40" t="n">
        <v>-46.503349</v>
      </c>
      <c r="D17952" s="40" t="n">
        <v>210</v>
      </c>
      <c r="E17952" s="41" t="n">
        <v>5666.9756</v>
      </c>
    </row>
    <row r="17953">
      <c r="A17953" s="42">
        <f>_xlfn.XLOOKUP(83170,Trip[shape_id],Trip[shape_id],"Não encontrado")</f>
        <v/>
      </c>
      <c r="B17953" s="43" t="n">
        <v>-23.613772</v>
      </c>
      <c r="C17953" s="43" t="n">
        <v>-46.503425</v>
      </c>
      <c r="D17953" s="43" t="n">
        <v>211</v>
      </c>
      <c r="E17953" s="44" t="n">
        <v>5683.4272</v>
      </c>
    </row>
    <row r="17954">
      <c r="A17954" s="39">
        <f>_xlfn.XLOOKUP(83170,Trip[shape_id],Trip[shape_id],"Não encontrado")</f>
        <v/>
      </c>
      <c r="B17954" s="40" t="n">
        <v>-23.612891</v>
      </c>
      <c r="C17954" s="40" t="n">
        <v>-46.50396</v>
      </c>
      <c r="D17954" s="40" t="n">
        <v>212</v>
      </c>
      <c r="E17954" s="41" t="n">
        <v>5795.2373</v>
      </c>
    </row>
    <row r="17955">
      <c r="A17955" s="42">
        <f>_xlfn.XLOOKUP(83170,Trip[shape_id],Trip[shape_id],"Não encontrado")</f>
        <v/>
      </c>
      <c r="B17955" s="43" t="n">
        <v>-23.612567</v>
      </c>
      <c r="C17955" s="43" t="n">
        <v>-46.504151</v>
      </c>
      <c r="D17955" s="43" t="n">
        <v>213</v>
      </c>
      <c r="E17955" s="44" t="n">
        <v>5855.8857</v>
      </c>
    </row>
    <row r="17956">
      <c r="A17956" s="39">
        <f>_xlfn.XLOOKUP(83170,Trip[shape_id],Trip[shape_id],"Não encontrado")</f>
        <v/>
      </c>
      <c r="B17956" s="40" t="n">
        <v>-23.612402</v>
      </c>
      <c r="C17956" s="40" t="n">
        <v>-46.504226</v>
      </c>
      <c r="D17956" s="40" t="n">
        <v>214</v>
      </c>
      <c r="E17956" s="41" t="n">
        <v>5876.4385</v>
      </c>
    </row>
    <row r="17957">
      <c r="A17957" s="42">
        <f>_xlfn.XLOOKUP(83170,Trip[shape_id],Trip[shape_id],"Não encontrado")</f>
        <v/>
      </c>
      <c r="B17957" s="43" t="n">
        <v>-23.612222</v>
      </c>
      <c r="C17957" s="43" t="n">
        <v>-46.504275</v>
      </c>
      <c r="D17957" s="43" t="n">
        <v>215</v>
      </c>
      <c r="E17957" s="44" t="n">
        <v>5894.4971</v>
      </c>
    </row>
    <row r="17958">
      <c r="A17958" s="39">
        <f>_xlfn.XLOOKUP(83170,Trip[shape_id],Trip[shape_id],"Não encontrado")</f>
        <v/>
      </c>
      <c r="B17958" s="40" t="n">
        <v>-23.612061</v>
      </c>
      <c r="C17958" s="40" t="n">
        <v>-46.504303</v>
      </c>
      <c r="D17958" s="40" t="n">
        <v>216</v>
      </c>
      <c r="E17958" s="41" t="n">
        <v>5906.2529</v>
      </c>
    </row>
    <row r="17959">
      <c r="A17959" s="42">
        <f>_xlfn.XLOOKUP(83170,Trip[shape_id],Trip[shape_id],"Não encontrado")</f>
        <v/>
      </c>
      <c r="B17959" s="43" t="n">
        <v>-23.611955</v>
      </c>
      <c r="C17959" s="43" t="n">
        <v>-46.504309</v>
      </c>
      <c r="D17959" s="43" t="n">
        <v>217</v>
      </c>
      <c r="E17959" s="44" t="n">
        <v>5919.5469</v>
      </c>
    </row>
    <row r="17960">
      <c r="A17960" s="39">
        <f>_xlfn.XLOOKUP(83170,Trip[shape_id],Trip[shape_id],"Não encontrado")</f>
        <v/>
      </c>
      <c r="B17960" s="40" t="n">
        <v>-23.611835</v>
      </c>
      <c r="C17960" s="40" t="n">
        <v>-46.504306</v>
      </c>
      <c r="D17960" s="40" t="n">
        <v>218</v>
      </c>
      <c r="E17960" s="41" t="n">
        <v>5932.5376</v>
      </c>
    </row>
    <row r="17961">
      <c r="A17961" s="42">
        <f>_xlfn.XLOOKUP(83170,Trip[shape_id],Trip[shape_id],"Não encontrado")</f>
        <v/>
      </c>
      <c r="B17961" s="43" t="n">
        <v>-23.611718</v>
      </c>
      <c r="C17961" s="43" t="n">
        <v>-46.504297</v>
      </c>
      <c r="D17961" s="43" t="n">
        <v>219</v>
      </c>
      <c r="E17961" s="44" t="n">
        <v>5962.1284</v>
      </c>
    </row>
    <row r="17962">
      <c r="A17962" s="39">
        <f>_xlfn.XLOOKUP(83170,Trip[shape_id],Trip[shape_id],"Não encontrado")</f>
        <v/>
      </c>
      <c r="B17962" s="40" t="n">
        <v>-23.611457</v>
      </c>
      <c r="C17962" s="40" t="n">
        <v>-46.504235</v>
      </c>
      <c r="D17962" s="40" t="n">
        <v>220</v>
      </c>
      <c r="E17962" s="41" t="n">
        <v>5986.4189</v>
      </c>
    </row>
    <row r="17963">
      <c r="A17963" s="42">
        <f>_xlfn.XLOOKUP(83170,Trip[shape_id],Trip[shape_id],"Não encontrado")</f>
        <v/>
      </c>
      <c r="B17963" s="43" t="n">
        <v>-23.611245</v>
      </c>
      <c r="C17963" s="43" t="n">
        <v>-46.504174</v>
      </c>
      <c r="D17963" s="43" t="n">
        <v>221</v>
      </c>
      <c r="E17963" s="44" t="n">
        <v>6029.0913</v>
      </c>
    </row>
    <row r="17964">
      <c r="A17964" s="39">
        <f>_xlfn.XLOOKUP(83170,Trip[shape_id],Trip[shape_id],"Não encontrado")</f>
        <v/>
      </c>
      <c r="B17964" s="40" t="n">
        <v>-23.61087</v>
      </c>
      <c r="C17964" s="40" t="n">
        <v>-46.504078</v>
      </c>
      <c r="D17964" s="40" t="n">
        <v>222</v>
      </c>
      <c r="E17964" s="41" t="n">
        <v>6044.7822</v>
      </c>
    </row>
    <row r="17965">
      <c r="A17965" s="42">
        <f>_xlfn.XLOOKUP(83170,Trip[shape_id],Trip[shape_id],"Não encontrado")</f>
        <v/>
      </c>
      <c r="B17965" s="43" t="n">
        <v>-23.610729</v>
      </c>
      <c r="C17965" s="43" t="n">
        <v>-46.504063</v>
      </c>
      <c r="D17965" s="43" t="n">
        <v>223</v>
      </c>
      <c r="E17965" s="44" t="n">
        <v>6059.8442</v>
      </c>
    </row>
    <row r="17966">
      <c r="A17966" s="39">
        <f>_xlfn.XLOOKUP(83170,Trip[shape_id],Trip[shape_id],"Não encontrado")</f>
        <v/>
      </c>
      <c r="B17966" s="40" t="n">
        <v>-23.610593</v>
      </c>
      <c r="C17966" s="40" t="n">
        <v>-46.504063</v>
      </c>
      <c r="D17966" s="40" t="n">
        <v>224</v>
      </c>
      <c r="E17966" s="41" t="n">
        <v>6079.2476</v>
      </c>
    </row>
    <row r="17967">
      <c r="A17967" s="42">
        <f>_xlfn.XLOOKUP(83170,Trip[shape_id],Trip[shape_id],"Não encontrado")</f>
        <v/>
      </c>
      <c r="B17967" s="43" t="n">
        <v>-23.61042</v>
      </c>
      <c r="C17967" s="43" t="n">
        <v>-46.504093</v>
      </c>
      <c r="D17967" s="43" t="n">
        <v>225</v>
      </c>
      <c r="E17967" s="44" t="n">
        <v>6097.7559</v>
      </c>
    </row>
    <row r="17968">
      <c r="A17968" s="39">
        <f>_xlfn.XLOOKUP(83170,Trip[shape_id],Trip[shape_id],"Não encontrado")</f>
        <v/>
      </c>
      <c r="B17968" s="40" t="n">
        <v>-23.610257</v>
      </c>
      <c r="C17968" s="40" t="n">
        <v>-46.504133</v>
      </c>
      <c r="D17968" s="40" t="n">
        <v>226</v>
      </c>
      <c r="E17968" s="41" t="n">
        <v>6118.5513</v>
      </c>
    </row>
    <row r="17969">
      <c r="A17969" s="42">
        <f>_xlfn.XLOOKUP(83170,Trip[shape_id],Trip[shape_id],"Não encontrado")</f>
        <v/>
      </c>
      <c r="B17969" s="43" t="n">
        <v>-23.610089</v>
      </c>
      <c r="C17969" s="43" t="n">
        <v>-46.504224</v>
      </c>
      <c r="D17969" s="43" t="n">
        <v>227</v>
      </c>
      <c r="E17969" s="44" t="n">
        <v>6118.5513</v>
      </c>
    </row>
    <row r="17970">
      <c r="A17970" s="39">
        <f>_xlfn.XLOOKUP(83170,Trip[shape_id],Trip[shape_id],"Não encontrado")</f>
        <v/>
      </c>
      <c r="B17970" s="40" t="n">
        <v>-23.609945</v>
      </c>
      <c r="C17970" s="40" t="n">
        <v>-46.504332</v>
      </c>
      <c r="D17970" s="40" t="n">
        <v>228</v>
      </c>
      <c r="E17970" s="41" t="n">
        <v>6159.5625</v>
      </c>
    </row>
    <row r="17971">
      <c r="A17971" s="42">
        <f>_xlfn.XLOOKUP(83170,Trip[shape_id],Trip[shape_id],"Não encontrado")</f>
        <v/>
      </c>
      <c r="B17971" s="43" t="n">
        <v>-23.609793</v>
      </c>
      <c r="C17971" s="43" t="n">
        <v>-46.504465</v>
      </c>
      <c r="D17971" s="43" t="n">
        <v>229</v>
      </c>
      <c r="E17971" s="44" t="n">
        <v>6174.8687</v>
      </c>
    </row>
    <row r="17972">
      <c r="A17972" s="39">
        <f>_xlfn.XLOOKUP(83170,Trip[shape_id],Trip[shape_id],"Não encontrado")</f>
        <v/>
      </c>
      <c r="B17972" s="40" t="n">
        <v>-23.60969</v>
      </c>
      <c r="C17972" s="40" t="n">
        <v>-46.504565</v>
      </c>
      <c r="D17972" s="40" t="n">
        <v>230</v>
      </c>
      <c r="E17972" s="41" t="n">
        <v>6186.5015</v>
      </c>
    </row>
    <row r="17973">
      <c r="A17973" s="42">
        <f>_xlfn.XLOOKUP(83170,Trip[shape_id],Trip[shape_id],"Não encontrado")</f>
        <v/>
      </c>
      <c r="B17973" s="43" t="n">
        <v>-23.609619</v>
      </c>
      <c r="C17973" s="43" t="n">
        <v>-46.504649</v>
      </c>
      <c r="D17973" s="43" t="n">
        <v>231</v>
      </c>
      <c r="E17973" s="44" t="n">
        <v>6259.21</v>
      </c>
    </row>
    <row r="17974">
      <c r="A17974" s="39">
        <f>_xlfn.XLOOKUP(83170,Trip[shape_id],Trip[shape_id],"Não encontrado")</f>
        <v/>
      </c>
      <c r="B17974" s="40" t="n">
        <v>-23.609212</v>
      </c>
      <c r="C17974" s="40" t="n">
        <v>-46.505208</v>
      </c>
      <c r="D17974" s="40" t="n">
        <v>232</v>
      </c>
      <c r="E17974" s="41" t="n">
        <v>6259.21</v>
      </c>
    </row>
    <row r="17975">
      <c r="A17975" s="42">
        <f>_xlfn.XLOOKUP(83170,Trip[shape_id],Trip[shape_id],"Não encontrado")</f>
        <v/>
      </c>
      <c r="B17975" s="43" t="n">
        <v>-23.608885</v>
      </c>
      <c r="C17975" s="43" t="n">
        <v>-46.505672</v>
      </c>
      <c r="D17975" s="43" t="n">
        <v>233</v>
      </c>
      <c r="E17975" s="44" t="n">
        <v>6340.3032</v>
      </c>
    </row>
    <row r="17976">
      <c r="A17976" s="39">
        <f>_xlfn.XLOOKUP(83170,Trip[shape_id],Trip[shape_id],"Não encontrado")</f>
        <v/>
      </c>
      <c r="B17976" s="40" t="n">
        <v>-23.608767</v>
      </c>
      <c r="C17976" s="40" t="n">
        <v>-46.505839</v>
      </c>
      <c r="D17976" s="40" t="n">
        <v>234</v>
      </c>
      <c r="E17976" s="41" t="n">
        <v>6355.0625</v>
      </c>
    </row>
    <row r="17977">
      <c r="A17977" s="42">
        <f>_xlfn.XLOOKUP(83170,Trip[shape_id],Trip[shape_id],"Não encontrado")</f>
        <v/>
      </c>
      <c r="B17977" s="43" t="n">
        <v>-23.608685</v>
      </c>
      <c r="C17977" s="43" t="n">
        <v>-46.505953</v>
      </c>
      <c r="D17977" s="43" t="n">
        <v>235</v>
      </c>
      <c r="E17977" s="44" t="n">
        <v>6365.8979</v>
      </c>
    </row>
    <row r="17978">
      <c r="A17978" s="39">
        <f>_xlfn.XLOOKUP(83170,Trip[shape_id],Trip[shape_id],"Não encontrado")</f>
        <v/>
      </c>
      <c r="B17978" s="40" t="n">
        <v>-23.608624</v>
      </c>
      <c r="C17978" s="40" t="n">
        <v>-46.506036</v>
      </c>
      <c r="D17978" s="40" t="n">
        <v>236</v>
      </c>
      <c r="E17978" s="41" t="n">
        <v>6369.2754</v>
      </c>
    </row>
    <row r="17979">
      <c r="A17979" s="42">
        <f>_xlfn.XLOOKUP(83170,Trip[shape_id],Trip[shape_id],"Não encontrado")</f>
        <v/>
      </c>
      <c r="B17979" s="43" t="n">
        <v>-23.608604</v>
      </c>
      <c r="C17979" s="43" t="n">
        <v>-46.506061</v>
      </c>
      <c r="D17979" s="43" t="n">
        <v>237</v>
      </c>
      <c r="E17979" s="44" t="n">
        <v>6377.9834</v>
      </c>
    </row>
    <row r="17980">
      <c r="A17980" s="39">
        <f>_xlfn.XLOOKUP(83170,Trip[shape_id],Trip[shape_id],"Não encontrado")</f>
        <v/>
      </c>
      <c r="B17980" s="40" t="n">
        <v>-23.608552</v>
      </c>
      <c r="C17980" s="40" t="n">
        <v>-46.506125</v>
      </c>
      <c r="D17980" s="40" t="n">
        <v>238</v>
      </c>
      <c r="E17980" s="41" t="n">
        <v>6397.7974</v>
      </c>
    </row>
    <row r="17981">
      <c r="A17981" s="42">
        <f>_xlfn.XLOOKUP(83170,Trip[shape_id],Trip[shape_id],"Não encontrado")</f>
        <v/>
      </c>
      <c r="B17981" s="43" t="n">
        <v>-23.60843</v>
      </c>
      <c r="C17981" s="43" t="n">
        <v>-46.506267</v>
      </c>
      <c r="D17981" s="43" t="n">
        <v>239</v>
      </c>
      <c r="E17981" s="44" t="n">
        <v>6408.8608</v>
      </c>
    </row>
    <row r="17982">
      <c r="A17982" s="39">
        <f>_xlfn.XLOOKUP(83170,Trip[shape_id],Trip[shape_id],"Não encontrado")</f>
        <v/>
      </c>
      <c r="B17982" s="40" t="n">
        <v>-23.608357</v>
      </c>
      <c r="C17982" s="40" t="n">
        <v>-46.506341</v>
      </c>
      <c r="D17982" s="40" t="n">
        <v>240</v>
      </c>
      <c r="E17982" s="41" t="n">
        <v>6421.2085</v>
      </c>
    </row>
    <row r="17983">
      <c r="A17983" s="42">
        <f>_xlfn.XLOOKUP(83170,Trip[shape_id],Trip[shape_id],"Não encontrado")</f>
        <v/>
      </c>
      <c r="B17983" s="43" t="n">
        <v>-23.608271</v>
      </c>
      <c r="C17983" s="43" t="n">
        <v>-46.506418</v>
      </c>
      <c r="D17983" s="43" t="n">
        <v>241</v>
      </c>
      <c r="E17983" s="44" t="n">
        <v>6441.3911</v>
      </c>
    </row>
    <row r="17984">
      <c r="A17984" s="39">
        <f>_xlfn.XLOOKUP(83170,Trip[shape_id],Trip[shape_id],"Não encontrado")</f>
        <v/>
      </c>
      <c r="B17984" s="40" t="n">
        <v>-23.608116</v>
      </c>
      <c r="C17984" s="40" t="n">
        <v>-46.506522</v>
      </c>
      <c r="D17984" s="40" t="n">
        <v>242</v>
      </c>
      <c r="E17984" s="41" t="n">
        <v>6510.4888</v>
      </c>
    </row>
    <row r="17985">
      <c r="A17985" s="42">
        <f>_xlfn.XLOOKUP(83170,Trip[shape_id],Trip[shape_id],"Não encontrado")</f>
        <v/>
      </c>
      <c r="B17985" s="43" t="n">
        <v>-23.607559</v>
      </c>
      <c r="C17985" s="43" t="n">
        <v>-46.506827</v>
      </c>
      <c r="D17985" s="43" t="n">
        <v>243</v>
      </c>
      <c r="E17985" s="44" t="n">
        <v>6567.7388</v>
      </c>
    </row>
    <row r="17986">
      <c r="A17986" s="39">
        <f>_xlfn.XLOOKUP(83170,Trip[shape_id],Trip[shape_id],"Não encontrado")</f>
        <v/>
      </c>
      <c r="B17986" s="40" t="n">
        <v>-23.6071</v>
      </c>
      <c r="C17986" s="40" t="n">
        <v>-46.507085</v>
      </c>
      <c r="D17986" s="40" t="n">
        <v>244</v>
      </c>
      <c r="E17986" s="41" t="n">
        <v>6616.3022</v>
      </c>
    </row>
    <row r="17987">
      <c r="A17987" s="42">
        <f>_xlfn.XLOOKUP(83170,Trip[shape_id],Trip[shape_id],"Não encontrado")</f>
        <v/>
      </c>
      <c r="B17987" s="43" t="n">
        <v>-23.606723</v>
      </c>
      <c r="C17987" s="43" t="n">
        <v>-46.507328</v>
      </c>
      <c r="D17987" s="43" t="n">
        <v>245</v>
      </c>
      <c r="E17987" s="44" t="n">
        <v>6638.9111</v>
      </c>
    </row>
    <row r="17988">
      <c r="A17988" s="39">
        <f>_xlfn.XLOOKUP(83170,Trip[shape_id],Trip[shape_id],"Não encontrado")</f>
        <v/>
      </c>
      <c r="B17988" s="40" t="n">
        <v>-23.606552</v>
      </c>
      <c r="C17988" s="40" t="n">
        <v>-46.507449</v>
      </c>
      <c r="D17988" s="40" t="n">
        <v>246</v>
      </c>
      <c r="E17988" s="41" t="n">
        <v>6638.9111</v>
      </c>
    </row>
    <row r="17989">
      <c r="A17989" s="42">
        <f>_xlfn.XLOOKUP(83170,Trip[shape_id],Trip[shape_id],"Não encontrado")</f>
        <v/>
      </c>
      <c r="B17989" s="43" t="n">
        <v>-23.606352</v>
      </c>
      <c r="C17989" s="43" t="n">
        <v>-46.507601</v>
      </c>
      <c r="D17989" s="43" t="n">
        <v>247</v>
      </c>
      <c r="E17989" s="44" t="n">
        <v>6724.6748</v>
      </c>
    </row>
    <row r="17990">
      <c r="A17990" s="39">
        <f>_xlfn.XLOOKUP(83170,Trip[shape_id],Trip[shape_id],"Não encontrado")</f>
        <v/>
      </c>
      <c r="B17990" s="40" t="n">
        <v>-23.605927</v>
      </c>
      <c r="C17990" s="40" t="n">
        <v>-46.507945</v>
      </c>
      <c r="D17990" s="40" t="n">
        <v>248</v>
      </c>
      <c r="E17990" s="41" t="n">
        <v>6724.6748</v>
      </c>
    </row>
    <row r="17991">
      <c r="A17991" s="42">
        <f>_xlfn.XLOOKUP(83170,Trip[shape_id],Trip[shape_id],"Não encontrado")</f>
        <v/>
      </c>
      <c r="B17991" s="43" t="n">
        <v>-23.605671</v>
      </c>
      <c r="C17991" s="43" t="n">
        <v>-46.508129</v>
      </c>
      <c r="D17991" s="43" t="n">
        <v>249</v>
      </c>
      <c r="E17991" s="44" t="n">
        <v>6856.0723</v>
      </c>
    </row>
    <row r="17992">
      <c r="A17992" s="39">
        <f>_xlfn.XLOOKUP(83170,Trip[shape_id],Trip[shape_id],"Não encontrado")</f>
        <v/>
      </c>
      <c r="B17992" s="40" t="n">
        <v>-23.604959</v>
      </c>
      <c r="C17992" s="40" t="n">
        <v>-46.508689</v>
      </c>
      <c r="D17992" s="40" t="n">
        <v>250</v>
      </c>
      <c r="E17992" s="41" t="n">
        <v>6902.5278</v>
      </c>
    </row>
    <row r="17993">
      <c r="A17993" s="42">
        <f>_xlfn.XLOOKUP(83170,Trip[shape_id],Trip[shape_id],"Não encontrado")</f>
        <v/>
      </c>
      <c r="B17993" s="43" t="n">
        <v>-23.604616</v>
      </c>
      <c r="C17993" s="43" t="n">
        <v>-46.508951</v>
      </c>
      <c r="D17993" s="43" t="n">
        <v>251</v>
      </c>
      <c r="E17993" s="44" t="n">
        <v>6917.1738</v>
      </c>
    </row>
    <row r="17994">
      <c r="A17994" s="39">
        <f>_xlfn.XLOOKUP(83170,Trip[shape_id],Trip[shape_id],"Não encontrado")</f>
        <v/>
      </c>
      <c r="B17994" s="40" t="n">
        <v>-23.604505</v>
      </c>
      <c r="C17994" s="40" t="n">
        <v>-46.509029</v>
      </c>
      <c r="D17994" s="40" t="n">
        <v>252</v>
      </c>
      <c r="E17994" s="41" t="n">
        <v>6917.1738</v>
      </c>
    </row>
    <row r="17995">
      <c r="A17995" s="42">
        <f>_xlfn.XLOOKUP(83170,Trip[shape_id],Trip[shape_id],"Não encontrado")</f>
        <v/>
      </c>
      <c r="B17995" s="43" t="n">
        <v>-23.604286</v>
      </c>
      <c r="C17995" s="43" t="n">
        <v>-46.509187</v>
      </c>
      <c r="D17995" s="43" t="n">
        <v>253</v>
      </c>
      <c r="E17995" s="44" t="n">
        <v>6970.4849</v>
      </c>
    </row>
    <row r="17996">
      <c r="A17996" s="39">
        <f>_xlfn.XLOOKUP(83170,Trip[shape_id],Trip[shape_id],"Não encontrado")</f>
        <v/>
      </c>
      <c r="B17996" s="40" t="n">
        <v>-23.604114</v>
      </c>
      <c r="C17996" s="40" t="n">
        <v>-46.509333</v>
      </c>
      <c r="D17996" s="40" t="n">
        <v>254</v>
      </c>
      <c r="E17996" s="41" t="n">
        <v>6984.7905</v>
      </c>
    </row>
    <row r="17997">
      <c r="A17997" s="42">
        <f>_xlfn.XLOOKUP(83170,Trip[shape_id],Trip[shape_id],"Não encontrado")</f>
        <v/>
      </c>
      <c r="B17997" s="43" t="n">
        <v>-23.604012</v>
      </c>
      <c r="C17997" s="43" t="n">
        <v>-46.509419</v>
      </c>
      <c r="D17997" s="43" t="n">
        <v>255</v>
      </c>
      <c r="E17997" s="44" t="n">
        <v>6996.8818</v>
      </c>
    </row>
    <row r="17998">
      <c r="A17998" s="39">
        <f>_xlfn.XLOOKUP(83170,Trip[shape_id],Trip[shape_id],"Não encontrado")</f>
        <v/>
      </c>
      <c r="B17998" s="40" t="n">
        <v>-23.603941</v>
      </c>
      <c r="C17998" s="40" t="n">
        <v>-46.509509</v>
      </c>
      <c r="D17998" s="40" t="n">
        <v>256</v>
      </c>
      <c r="E17998" s="41" t="n">
        <v>6996.8818</v>
      </c>
    </row>
    <row r="17999">
      <c r="A17999" s="42">
        <f>_xlfn.XLOOKUP(83170,Trip[shape_id],Trip[shape_id],"Não encontrado")</f>
        <v/>
      </c>
      <c r="B17999" s="43" t="n">
        <v>-23.603793</v>
      </c>
      <c r="C17999" s="43" t="n">
        <v>-46.509635</v>
      </c>
      <c r="D17999" s="43" t="n">
        <v>257</v>
      </c>
      <c r="E17999" s="44" t="n">
        <v>7017.7158</v>
      </c>
    </row>
    <row r="18000">
      <c r="A18000" s="39">
        <f>_xlfn.XLOOKUP(83170,Trip[shape_id],Trip[shape_id],"Não encontrado")</f>
        <v/>
      </c>
      <c r="B18000" s="40" t="n">
        <v>-23.603403</v>
      </c>
      <c r="C18000" s="40" t="n">
        <v>-46.509931</v>
      </c>
      <c r="D18000" s="40" t="n">
        <v>258</v>
      </c>
      <c r="E18000" s="41" t="n">
        <v>7070.4258</v>
      </c>
    </row>
    <row r="18001">
      <c r="A18001" s="42">
        <f>_xlfn.XLOOKUP(83170,Trip[shape_id],Trip[shape_id],"Não encontrado")</f>
        <v/>
      </c>
      <c r="B18001" s="43" t="n">
        <v>-23.603059</v>
      </c>
      <c r="C18001" s="43" t="n">
        <v>-46.510208</v>
      </c>
      <c r="D18001" s="43" t="n">
        <v>259</v>
      </c>
      <c r="E18001" s="44" t="n">
        <v>7117.8682</v>
      </c>
    </row>
    <row r="18002">
      <c r="A18002" s="39">
        <f>_xlfn.XLOOKUP(83170,Trip[shape_id],Trip[shape_id],"Não encontrado")</f>
        <v/>
      </c>
      <c r="B18002" s="40" t="n">
        <v>-23.602731</v>
      </c>
      <c r="C18002" s="40" t="n">
        <v>-46.510475</v>
      </c>
      <c r="D18002" s="40" t="n">
        <v>260</v>
      </c>
      <c r="E18002" s="41" t="n">
        <v>7163.2798</v>
      </c>
    </row>
    <row r="18003">
      <c r="A18003" s="42">
        <f>_xlfn.XLOOKUP(83170,Trip[shape_id],Trip[shape_id],"Não encontrado")</f>
        <v/>
      </c>
      <c r="B18003" s="43" t="n">
        <v>-23.6027</v>
      </c>
      <c r="C18003" s="43" t="n">
        <v>-46.5105</v>
      </c>
      <c r="D18003" s="43" t="n">
        <v>261</v>
      </c>
      <c r="E18003" s="44" t="n">
        <v>7167.5586</v>
      </c>
    </row>
    <row r="18004">
      <c r="A18004" s="39">
        <f>_xlfn.XLOOKUP(83170,Trip[shape_id],Trip[shape_id],"Não encontrado")</f>
        <v/>
      </c>
      <c r="B18004" s="40" t="n">
        <v>-23.602525</v>
      </c>
      <c r="C18004" s="40" t="n">
        <v>-46.510635</v>
      </c>
      <c r="D18004" s="40" t="n">
        <v>262</v>
      </c>
      <c r="E18004" s="41" t="n">
        <v>7191.3384</v>
      </c>
    </row>
    <row r="18005">
      <c r="A18005" s="42">
        <f>_xlfn.XLOOKUP(83170,Trip[shape_id],Trip[shape_id],"Não encontrado")</f>
        <v/>
      </c>
      <c r="B18005" s="43" t="n">
        <v>-23.601102</v>
      </c>
      <c r="C18005" s="43" t="n">
        <v>-46.511755</v>
      </c>
      <c r="D18005" s="43" t="n">
        <v>263</v>
      </c>
      <c r="E18005" s="44" t="n">
        <v>7386.0298</v>
      </c>
    </row>
    <row r="18006">
      <c r="A18006" s="39">
        <f>_xlfn.XLOOKUP(83170,Trip[shape_id],Trip[shape_id],"Não encontrado")</f>
        <v/>
      </c>
      <c r="B18006" s="40" t="n">
        <v>-23.600682</v>
      </c>
      <c r="C18006" s="40" t="n">
        <v>-46.512058</v>
      </c>
      <c r="D18006" s="40" t="n">
        <v>264</v>
      </c>
      <c r="E18006" s="41" t="n">
        <v>7441.8877</v>
      </c>
    </row>
    <row r="18007">
      <c r="A18007" s="42">
        <f>_xlfn.XLOOKUP(83170,Trip[shape_id],Trip[shape_id],"Não encontrado")</f>
        <v/>
      </c>
      <c r="B18007" s="43" t="n">
        <v>-23.600627</v>
      </c>
      <c r="C18007" s="43" t="n">
        <v>-46.512089</v>
      </c>
      <c r="D18007" s="43" t="n">
        <v>265</v>
      </c>
      <c r="E18007" s="44" t="n">
        <v>7448.7524</v>
      </c>
    </row>
    <row r="18008">
      <c r="A18008" s="39">
        <f>_xlfn.XLOOKUP(83170,Trip[shape_id],Trip[shape_id],"Não encontrado")</f>
        <v/>
      </c>
      <c r="B18008" s="40" t="n">
        <v>-23.600567</v>
      </c>
      <c r="C18008" s="40" t="n">
        <v>-46.512145</v>
      </c>
      <c r="D18008" s="40" t="n">
        <v>266</v>
      </c>
      <c r="E18008" s="41" t="n">
        <v>7457.5171</v>
      </c>
    </row>
    <row r="18009">
      <c r="A18009" s="42">
        <f>_xlfn.XLOOKUP(83170,Trip[shape_id],Trip[shape_id],"Não encontrado")</f>
        <v/>
      </c>
      <c r="B18009" s="43" t="n">
        <v>-23.60051</v>
      </c>
      <c r="C18009" s="43" t="n">
        <v>-46.512219</v>
      </c>
      <c r="D18009" s="43" t="n">
        <v>267</v>
      </c>
      <c r="E18009" s="44" t="n">
        <v>7467.3608</v>
      </c>
    </row>
    <row r="18010">
      <c r="A18010" s="39">
        <f>_xlfn.XLOOKUP(83170,Trip[shape_id],Trip[shape_id],"Não encontrado")</f>
        <v/>
      </c>
      <c r="B18010" s="40" t="n">
        <v>-23.600457</v>
      </c>
      <c r="C18010" s="40" t="n">
        <v>-46.512289</v>
      </c>
      <c r="D18010" s="40" t="n">
        <v>268</v>
      </c>
      <c r="E18010" s="41" t="n">
        <v>7476.6069</v>
      </c>
    </row>
    <row r="18011">
      <c r="A18011" s="42">
        <f>_xlfn.XLOOKUP(83170,Trip[shape_id],Trip[shape_id],"Não encontrado")</f>
        <v/>
      </c>
      <c r="B18011" s="43" t="n">
        <v>-23.600393</v>
      </c>
      <c r="C18011" s="43" t="n">
        <v>-46.512395</v>
      </c>
      <c r="D18011" s="43" t="n">
        <v>269</v>
      </c>
      <c r="E18011" s="44" t="n">
        <v>7489.541</v>
      </c>
    </row>
    <row r="18012">
      <c r="A18012" s="39">
        <f>_xlfn.XLOOKUP(83170,Trip[shape_id],Trip[shape_id],"Não encontrado")</f>
        <v/>
      </c>
      <c r="B18012" s="40" t="n">
        <v>-23.600358</v>
      </c>
      <c r="C18012" s="40" t="n">
        <v>-46.512458</v>
      </c>
      <c r="D18012" s="40" t="n">
        <v>270</v>
      </c>
      <c r="E18012" s="41" t="n">
        <v>7497.0488</v>
      </c>
    </row>
    <row r="18013">
      <c r="A18013" s="42">
        <f>_xlfn.XLOOKUP(83170,Trip[shape_id],Trip[shape_id],"Não encontrado")</f>
        <v/>
      </c>
      <c r="B18013" s="43" t="n">
        <v>-23.600295</v>
      </c>
      <c r="C18013" s="43" t="n">
        <v>-46.512578</v>
      </c>
      <c r="D18013" s="43" t="n">
        <v>271</v>
      </c>
      <c r="E18013" s="44" t="n">
        <v>7511.1445</v>
      </c>
    </row>
    <row r="18014">
      <c r="A18014" s="39">
        <f>_xlfn.XLOOKUP(83170,Trip[shape_id],Trip[shape_id],"Não encontrado")</f>
        <v/>
      </c>
      <c r="B18014" s="40" t="n">
        <v>-23.600267</v>
      </c>
      <c r="C18014" s="40" t="n">
        <v>-46.512653</v>
      </c>
      <c r="D18014" s="40" t="n">
        <v>272</v>
      </c>
      <c r="E18014" s="41" t="n">
        <v>7519.4038</v>
      </c>
    </row>
    <row r="18015">
      <c r="A18015" s="42">
        <f>_xlfn.XLOOKUP(83170,Trip[shape_id],Trip[shape_id],"Não encontrado")</f>
        <v/>
      </c>
      <c r="B18015" s="43" t="n">
        <v>-23.600185</v>
      </c>
      <c r="C18015" s="43" t="n">
        <v>-46.512845</v>
      </c>
      <c r="D18015" s="43" t="n">
        <v>273</v>
      </c>
      <c r="E18015" s="44" t="n">
        <v>7541.002</v>
      </c>
    </row>
    <row r="18016">
      <c r="A18016" s="39">
        <f>_xlfn.XLOOKUP(83170,Trip[shape_id],Trip[shape_id],"Não encontrado")</f>
        <v/>
      </c>
      <c r="B18016" s="40" t="n">
        <v>-23.600045</v>
      </c>
      <c r="C18016" s="40" t="n">
        <v>-46.51322</v>
      </c>
      <c r="D18016" s="40" t="n">
        <v>274</v>
      </c>
      <c r="E18016" s="41" t="n">
        <v>7582.2974</v>
      </c>
    </row>
    <row r="18017">
      <c r="A18017" s="42">
        <f>_xlfn.XLOOKUP(83170,Trip[shape_id],Trip[shape_id],"Não encontrado")</f>
        <v/>
      </c>
      <c r="B18017" s="43" t="n">
        <v>-23.59996</v>
      </c>
      <c r="C18017" s="43" t="n">
        <v>-46.513456</v>
      </c>
      <c r="D18017" s="43" t="n">
        <v>275</v>
      </c>
      <c r="E18017" s="44" t="n">
        <v>7608.1587</v>
      </c>
    </row>
    <row r="18018">
      <c r="A18018" s="39">
        <f>_xlfn.XLOOKUP(83170,Trip[shape_id],Trip[shape_id],"Não encontrado")</f>
        <v/>
      </c>
      <c r="B18018" s="40" t="n">
        <v>-23.599881</v>
      </c>
      <c r="C18018" s="40" t="n">
        <v>-46.513652</v>
      </c>
      <c r="D18018" s="40" t="n">
        <v>276</v>
      </c>
      <c r="E18018" s="41" t="n">
        <v>7629.9932</v>
      </c>
    </row>
    <row r="18019">
      <c r="A18019" s="42">
        <f>_xlfn.XLOOKUP(83170,Trip[shape_id],Trip[shape_id],"Não encontrado")</f>
        <v/>
      </c>
      <c r="B18019" s="43" t="n">
        <v>-23.599852</v>
      </c>
      <c r="C18019" s="43" t="n">
        <v>-46.513743</v>
      </c>
      <c r="D18019" s="43" t="n">
        <v>277</v>
      </c>
      <c r="E18019" s="44" t="n">
        <v>7639.8203</v>
      </c>
    </row>
    <row r="18020">
      <c r="A18020" s="39">
        <f>_xlfn.XLOOKUP(83170,Trip[shape_id],Trip[shape_id],"Não encontrado")</f>
        <v/>
      </c>
      <c r="B18020" s="40" t="n">
        <v>-23.599665</v>
      </c>
      <c r="C18020" s="40" t="n">
        <v>-46.514193</v>
      </c>
      <c r="D18020" s="40" t="n">
        <v>278</v>
      </c>
      <c r="E18020" s="41" t="n">
        <v>7690.2026</v>
      </c>
    </row>
    <row r="18021">
      <c r="A18021" s="42">
        <f>_xlfn.XLOOKUP(83170,Trip[shape_id],Trip[shape_id],"Não encontrado")</f>
        <v/>
      </c>
      <c r="B18021" s="43" t="n">
        <v>-23.599507</v>
      </c>
      <c r="C18021" s="43" t="n">
        <v>-46.514594</v>
      </c>
      <c r="D18021" s="43" t="n">
        <v>279</v>
      </c>
      <c r="E18021" s="44" t="n">
        <v>7734.7144</v>
      </c>
    </row>
    <row r="18022">
      <c r="A18022" s="39">
        <f>_xlfn.XLOOKUP(83170,Trip[shape_id],Trip[shape_id],"Não encontrado")</f>
        <v/>
      </c>
      <c r="B18022" s="40" t="n">
        <v>-23.599446</v>
      </c>
      <c r="C18022" s="40" t="n">
        <v>-46.514608</v>
      </c>
      <c r="D18022" s="40" t="n">
        <v>280</v>
      </c>
      <c r="E18022" s="41" t="n">
        <v>7747.4858</v>
      </c>
    </row>
    <row r="18023">
      <c r="A18023" s="42">
        <f>_xlfn.XLOOKUP(83170,Trip[shape_id],Trip[shape_id],"Não encontrado")</f>
        <v/>
      </c>
      <c r="B18023" s="43" t="n">
        <v>-23.599402</v>
      </c>
      <c r="C18023" s="43" t="n">
        <v>-46.51464</v>
      </c>
      <c r="D18023" s="43" t="n">
        <v>281</v>
      </c>
      <c r="E18023" s="44" t="n">
        <v>7752.1396</v>
      </c>
    </row>
    <row r="18024">
      <c r="A18024" s="39">
        <f>_xlfn.XLOOKUP(83170,Trip[shape_id],Trip[shape_id],"Não encontrado")</f>
        <v/>
      </c>
      <c r="B18024" s="40" t="n">
        <v>-23.599373</v>
      </c>
      <c r="C18024" s="40" t="n">
        <v>-46.514673</v>
      </c>
      <c r="D18024" s="40" t="n">
        <v>282</v>
      </c>
      <c r="E18024" s="41" t="n">
        <v>7752.1396</v>
      </c>
    </row>
    <row r="18025">
      <c r="A18025" s="42">
        <f>_xlfn.XLOOKUP(83170,Trip[shape_id],Trip[shape_id],"Não encontrado")</f>
        <v/>
      </c>
      <c r="B18025" s="43" t="n">
        <v>-23.599285</v>
      </c>
      <c r="C18025" s="43" t="n">
        <v>-46.514487</v>
      </c>
      <c r="D18025" s="43" t="n">
        <v>283</v>
      </c>
      <c r="E18025" s="44" t="n">
        <v>7777.9082</v>
      </c>
    </row>
    <row r="18026">
      <c r="A18026" s="39">
        <f>_xlfn.XLOOKUP(83170,Trip[shape_id],Trip[shape_id],"Não encontrado")</f>
        <v/>
      </c>
      <c r="B18026" s="40" t="n">
        <v>-23.599245</v>
      </c>
      <c r="C18026" s="40" t="n">
        <v>-46.514487</v>
      </c>
      <c r="D18026" s="40" t="n">
        <v>284</v>
      </c>
      <c r="E18026" s="41" t="n">
        <v>7777.9082</v>
      </c>
    </row>
    <row r="18027">
      <c r="A18027" s="42">
        <f>_xlfn.XLOOKUP(83170,Trip[shape_id],Trip[shape_id],"Não encontrado")</f>
        <v/>
      </c>
      <c r="B18027" s="43" t="n">
        <v>-23.599289</v>
      </c>
      <c r="C18027" s="43" t="n">
        <v>-46.514007</v>
      </c>
      <c r="D18027" s="43" t="n">
        <v>285</v>
      </c>
      <c r="E18027" s="44" t="n">
        <v>7827.1406</v>
      </c>
    </row>
    <row r="18028">
      <c r="A18028" s="39">
        <f>_xlfn.XLOOKUP(83170,Trip[shape_id],Trip[shape_id],"Não encontrado")</f>
        <v/>
      </c>
      <c r="B18028" s="40" t="n">
        <v>-23.599346</v>
      </c>
      <c r="C18028" s="40" t="n">
        <v>-46.513464</v>
      </c>
      <c r="D18028" s="40" t="n">
        <v>286</v>
      </c>
      <c r="E18028" s="41" t="n">
        <v>7882.9199</v>
      </c>
    </row>
    <row r="18029">
      <c r="A18029" s="42">
        <f>_xlfn.XLOOKUP(83170,Trip[shape_id],Trip[shape_id],"Não encontrado")</f>
        <v/>
      </c>
      <c r="B18029" s="43" t="n">
        <v>-23.599346</v>
      </c>
      <c r="C18029" s="43" t="n">
        <v>-46.513355</v>
      </c>
      <c r="D18029" s="43" t="n">
        <v>287</v>
      </c>
      <c r="E18029" s="44" t="n">
        <v>7894.0449</v>
      </c>
    </row>
    <row r="18030">
      <c r="A18030" s="39">
        <f>_xlfn.XLOOKUP(83170,Trip[shape_id],Trip[shape_id],"Não encontrado")</f>
        <v/>
      </c>
      <c r="B18030" s="40" t="n">
        <v>-23.599327</v>
      </c>
      <c r="C18030" s="40" t="n">
        <v>-46.513258</v>
      </c>
      <c r="D18030" s="40" t="n">
        <v>288</v>
      </c>
      <c r="E18030" s="41" t="n">
        <v>7904.1665</v>
      </c>
    </row>
    <row r="18031">
      <c r="A18031" s="42">
        <f>_xlfn.XLOOKUP(83170,Trip[shape_id],Trip[shape_id],"Não encontrado")</f>
        <v/>
      </c>
      <c r="B18031" s="43" t="n">
        <v>-23.599308</v>
      </c>
      <c r="C18031" s="43" t="n">
        <v>-46.513201</v>
      </c>
      <c r="D18031" s="43" t="n">
        <v>289</v>
      </c>
      <c r="E18031" s="44" t="n">
        <v>7910.353</v>
      </c>
    </row>
    <row r="18032">
      <c r="A18032" s="39">
        <f>_xlfn.XLOOKUP(83170,Trip[shape_id],Trip[shape_id],"Não encontrado")</f>
        <v/>
      </c>
      <c r="B18032" s="40" t="n">
        <v>-23.599252</v>
      </c>
      <c r="C18032" s="40" t="n">
        <v>-46.513144</v>
      </c>
      <c r="D18032" s="40" t="n">
        <v>290</v>
      </c>
      <c r="E18032" s="41" t="n">
        <v>7918.8569</v>
      </c>
    </row>
    <row r="18033">
      <c r="A18033" s="42">
        <f>_xlfn.XLOOKUP(83170,Trip[shape_id],Trip[shape_id],"Não encontrado")</f>
        <v/>
      </c>
      <c r="B18033" s="43" t="n">
        <v>-23.599192</v>
      </c>
      <c r="C18033" s="43" t="n">
        <v>-46.513098</v>
      </c>
      <c r="D18033" s="43" t="n">
        <v>291</v>
      </c>
      <c r="E18033" s="44" t="n">
        <v>7926.9932</v>
      </c>
    </row>
    <row r="18034">
      <c r="A18034" s="39">
        <f>_xlfn.XLOOKUP(83170,Trip[shape_id],Trip[shape_id],"Não encontrado")</f>
        <v/>
      </c>
      <c r="B18034" s="40" t="n">
        <v>-23.598985</v>
      </c>
      <c r="C18034" s="40" t="n">
        <v>-46.513053</v>
      </c>
      <c r="D18034" s="40" t="n">
        <v>292</v>
      </c>
      <c r="E18034" s="41" t="n">
        <v>7950.3745</v>
      </c>
    </row>
    <row r="18035">
      <c r="A18035" s="42">
        <f>_xlfn.XLOOKUP(83170,Trip[shape_id],Trip[shape_id],"Não encontrado")</f>
        <v/>
      </c>
      <c r="B18035" s="43" t="n">
        <v>-23.598845</v>
      </c>
      <c r="C18035" s="43" t="n">
        <v>-46.513172</v>
      </c>
      <c r="D18035" s="43" t="n">
        <v>293</v>
      </c>
      <c r="E18035" s="44" t="n">
        <v>7970.0708</v>
      </c>
    </row>
    <row r="18036">
      <c r="A18036" s="39">
        <f>_xlfn.XLOOKUP(83170,Trip[shape_id],Trip[shape_id],"Não encontrado")</f>
        <v/>
      </c>
      <c r="B18036" s="40" t="n">
        <v>-23.598526</v>
      </c>
      <c r="C18036" s="40" t="n">
        <v>-46.513322</v>
      </c>
      <c r="D18036" s="40" t="n">
        <v>294</v>
      </c>
      <c r="E18036" s="41" t="n">
        <v>8008.5752</v>
      </c>
    </row>
    <row r="18037">
      <c r="A18037" s="42">
        <f>_xlfn.XLOOKUP(83170,Trip[shape_id],Trip[shape_id],"Não encontrado")</f>
        <v/>
      </c>
      <c r="B18037" s="43" t="n">
        <v>-23.598366</v>
      </c>
      <c r="C18037" s="43" t="n">
        <v>-46.513394</v>
      </c>
      <c r="D18037" s="43" t="n">
        <v>295</v>
      </c>
      <c r="E18037" s="44" t="n">
        <v>8027.7588</v>
      </c>
    </row>
    <row r="18038">
      <c r="A18038" s="39">
        <f>_xlfn.XLOOKUP(83170,Trip[shape_id],Trip[shape_id],"Não encontrado")</f>
        <v/>
      </c>
      <c r="B18038" s="40" t="n">
        <v>-23.598238</v>
      </c>
      <c r="C18038" s="40" t="n">
        <v>-46.513443</v>
      </c>
      <c r="D18038" s="40" t="n">
        <v>296</v>
      </c>
      <c r="E18038" s="41" t="n">
        <v>8042.7915</v>
      </c>
    </row>
    <row r="18039">
      <c r="A18039" s="42">
        <f>_xlfn.XLOOKUP(83170,Trip[shape_id],Trip[shape_id],"Não encontrado")</f>
        <v/>
      </c>
      <c r="B18039" s="43" t="n">
        <v>-23.598113</v>
      </c>
      <c r="C18039" s="43" t="n">
        <v>-46.513465</v>
      </c>
      <c r="D18039" s="43" t="n">
        <v>297</v>
      </c>
      <c r="E18039" s="44" t="n">
        <v>8056.8164</v>
      </c>
    </row>
    <row r="18040">
      <c r="A18040" s="39">
        <f>_xlfn.XLOOKUP(83170,Trip[shape_id],Trip[shape_id],"Não encontrado")</f>
        <v/>
      </c>
      <c r="B18040" s="40" t="n">
        <v>-23.598082</v>
      </c>
      <c r="C18040" s="40" t="n">
        <v>-46.513475</v>
      </c>
      <c r="D18040" s="40" t="n">
        <v>298</v>
      </c>
      <c r="E18040" s="41" t="n">
        <v>8060.3984</v>
      </c>
    </row>
    <row r="18041">
      <c r="A18041" s="42">
        <f>_xlfn.XLOOKUP(83170,Trip[shape_id],Trip[shape_id],"Não encontrado")</f>
        <v/>
      </c>
      <c r="B18041" s="43" t="n">
        <v>-23.597698</v>
      </c>
      <c r="C18041" s="43" t="n">
        <v>-46.513469</v>
      </c>
      <c r="D18041" s="43" t="n">
        <v>299</v>
      </c>
      <c r="E18041" s="44" t="n">
        <v>8102.9316</v>
      </c>
    </row>
    <row r="18042">
      <c r="A18042" s="39">
        <f>_xlfn.XLOOKUP(83170,Trip[shape_id],Trip[shape_id],"Não encontrado")</f>
        <v/>
      </c>
      <c r="B18042" s="40" t="n">
        <v>-23.597169</v>
      </c>
      <c r="C18042" s="40" t="n">
        <v>-46.513482</v>
      </c>
      <c r="D18042" s="40" t="n">
        <v>300</v>
      </c>
      <c r="E18042" s="41" t="n">
        <v>8161.5347</v>
      </c>
    </row>
    <row r="18043">
      <c r="A18043" s="42">
        <f>_xlfn.XLOOKUP(83170,Trip[shape_id],Trip[shape_id],"Não encontrado")</f>
        <v/>
      </c>
      <c r="B18043" s="43" t="n">
        <v>-23.597106</v>
      </c>
      <c r="C18043" s="43" t="n">
        <v>-46.513487</v>
      </c>
      <c r="D18043" s="43" t="n">
        <v>301</v>
      </c>
      <c r="E18043" s="44" t="n">
        <v>8168.5303</v>
      </c>
    </row>
    <row r="18044">
      <c r="A18044" s="39">
        <f>_xlfn.XLOOKUP(83170,Trip[shape_id],Trip[shape_id],"Não encontrado")</f>
        <v/>
      </c>
      <c r="B18044" s="40" t="n">
        <v>-23.597027</v>
      </c>
      <c r="C18044" s="40" t="n">
        <v>-46.513485</v>
      </c>
      <c r="D18044" s="40" t="n">
        <v>302</v>
      </c>
      <c r="E18044" s="41" t="n">
        <v>8177.2822</v>
      </c>
    </row>
    <row r="18045">
      <c r="A18045" s="42">
        <f>_xlfn.XLOOKUP(83170,Trip[shape_id],Trip[shape_id],"Não encontrado")</f>
        <v/>
      </c>
      <c r="B18045" s="43" t="n">
        <v>-23.596883</v>
      </c>
      <c r="C18045" s="43" t="n">
        <v>-46.513536</v>
      </c>
      <c r="D18045" s="43" t="n">
        <v>303</v>
      </c>
      <c r="E18045" s="44" t="n">
        <v>8194.0586</v>
      </c>
    </row>
    <row r="18046">
      <c r="A18046" s="39">
        <f>_xlfn.XLOOKUP(83170,Trip[shape_id],Trip[shape_id],"Não encontrado")</f>
        <v/>
      </c>
      <c r="B18046" s="40" t="n">
        <v>-23.596551</v>
      </c>
      <c r="C18046" s="40" t="n">
        <v>-46.513649</v>
      </c>
      <c r="D18046" s="40" t="n">
        <v>304</v>
      </c>
      <c r="E18046" s="41" t="n">
        <v>8232.5947</v>
      </c>
    </row>
    <row r="18047">
      <c r="A18047" s="42">
        <f>_xlfn.XLOOKUP(83170,Trip[shape_id],Trip[shape_id],"Não encontrado")</f>
        <v/>
      </c>
      <c r="B18047" s="43" t="n">
        <v>-23.596153</v>
      </c>
      <c r="C18047" s="43" t="n">
        <v>-46.513775</v>
      </c>
      <c r="D18047" s="43" t="n">
        <v>305</v>
      </c>
      <c r="E18047" s="44" t="n">
        <v>8278.511699999999</v>
      </c>
    </row>
    <row r="18048">
      <c r="A18048" s="39">
        <f>_xlfn.XLOOKUP(83170,Trip[shape_id],Trip[shape_id],"Não encontrado")</f>
        <v/>
      </c>
      <c r="B18048" s="40" t="n">
        <v>-23.595976</v>
      </c>
      <c r="C18048" s="40" t="n">
        <v>-46.513824</v>
      </c>
      <c r="D18048" s="40" t="n">
        <v>306</v>
      </c>
      <c r="E18048" s="41" t="n">
        <v>8298.743200000001</v>
      </c>
    </row>
    <row r="18049">
      <c r="A18049" s="42">
        <f>_xlfn.XLOOKUP(83170,Trip[shape_id],Trip[shape_id],"Não encontrado")</f>
        <v/>
      </c>
      <c r="B18049" s="43" t="n">
        <v>-23.595905</v>
      </c>
      <c r="C18049" s="43" t="n">
        <v>-46.513855</v>
      </c>
      <c r="D18049" s="43" t="n">
        <v>307</v>
      </c>
      <c r="E18049" s="44" t="n">
        <v>8307.218800000001</v>
      </c>
    </row>
    <row r="18050">
      <c r="A18050" s="39">
        <f>_xlfn.XLOOKUP(83170,Trip[shape_id],Trip[shape_id],"Não encontrado")</f>
        <v/>
      </c>
      <c r="B18050" s="40" t="n">
        <v>-23.595827</v>
      </c>
      <c r="C18050" s="40" t="n">
        <v>-46.51392</v>
      </c>
      <c r="D18050" s="40" t="n">
        <v>308</v>
      </c>
      <c r="E18050" s="41" t="n">
        <v>8318.1113</v>
      </c>
    </row>
    <row r="18051">
      <c r="A18051" s="42">
        <f>_xlfn.XLOOKUP(83170,Trip[shape_id],Trip[shape_id],"Não encontrado")</f>
        <v/>
      </c>
      <c r="B18051" s="43" t="n">
        <v>-23.595791</v>
      </c>
      <c r="C18051" s="43" t="n">
        <v>-46.513982</v>
      </c>
      <c r="D18051" s="43" t="n">
        <v>309</v>
      </c>
      <c r="E18051" s="44" t="n">
        <v>8325.5918</v>
      </c>
    </row>
    <row r="18052">
      <c r="A18052" s="39">
        <f>_xlfn.XLOOKUP(83170,Trip[shape_id],Trip[shape_id],"Não encontrado")</f>
        <v/>
      </c>
      <c r="B18052" s="40" t="n">
        <v>-23.59579</v>
      </c>
      <c r="C18052" s="40" t="n">
        <v>-46.51408</v>
      </c>
      <c r="D18052" s="40" t="n">
        <v>310</v>
      </c>
      <c r="E18052" s="41" t="n">
        <v>8335.5947</v>
      </c>
    </row>
    <row r="18053">
      <c r="A18053" s="42">
        <f>_xlfn.XLOOKUP(83170,Trip[shape_id],Trip[shape_id],"Não encontrado")</f>
        <v/>
      </c>
      <c r="B18053" s="43" t="n">
        <v>-23.595793</v>
      </c>
      <c r="C18053" s="43" t="n">
        <v>-46.51413</v>
      </c>
      <c r="D18053" s="43" t="n">
        <v>311</v>
      </c>
      <c r="E18053" s="44" t="n">
        <v>8340.709000000001</v>
      </c>
    </row>
    <row r="18054">
      <c r="A18054" s="39">
        <f>_xlfn.XLOOKUP(83170,Trip[shape_id],Trip[shape_id],"Não encontrado")</f>
        <v/>
      </c>
      <c r="B18054" s="40" t="n">
        <v>-23.595797</v>
      </c>
      <c r="C18054" s="40" t="n">
        <v>-46.514179</v>
      </c>
      <c r="D18054" s="40" t="n">
        <v>312</v>
      </c>
      <c r="E18054" s="41" t="n">
        <v>8345.729499999999</v>
      </c>
    </row>
    <row r="18055">
      <c r="A18055" s="42">
        <f>_xlfn.XLOOKUP(83170,Trip[shape_id],Trip[shape_id],"Não encontrado")</f>
        <v/>
      </c>
      <c r="B18055" s="43" t="n">
        <v>-23.595827</v>
      </c>
      <c r="C18055" s="43" t="n">
        <v>-46.514367</v>
      </c>
      <c r="D18055" s="43" t="n">
        <v>313</v>
      </c>
      <c r="E18055" s="44" t="n">
        <v>8365.204100000001</v>
      </c>
    </row>
    <row r="18056">
      <c r="A18056" s="39">
        <f>_xlfn.XLOOKUP(83170,Trip[shape_id],Trip[shape_id],"Não encontrado")</f>
        <v/>
      </c>
      <c r="B18056" s="40" t="n">
        <v>-23.595843</v>
      </c>
      <c r="C18056" s="40" t="n">
        <v>-46.514434</v>
      </c>
      <c r="D18056" s="40" t="n">
        <v>314</v>
      </c>
      <c r="E18056" s="41" t="n">
        <v>8372.267599999999</v>
      </c>
    </row>
    <row r="18057">
      <c r="A18057" s="42">
        <f>_xlfn.XLOOKUP(83170,Trip[shape_id],Trip[shape_id],"Não encontrado")</f>
        <v/>
      </c>
      <c r="B18057" s="43" t="n">
        <v>-23.595864</v>
      </c>
      <c r="C18057" s="43" t="n">
        <v>-46.514504</v>
      </c>
      <c r="D18057" s="43" t="n">
        <v>315</v>
      </c>
      <c r="E18057" s="44" t="n">
        <v>8379.781300000001</v>
      </c>
    </row>
    <row r="18058">
      <c r="A18058" s="39">
        <f>_xlfn.XLOOKUP(83170,Trip[shape_id],Trip[shape_id],"Não encontrado")</f>
        <v/>
      </c>
      <c r="B18058" s="40" t="n">
        <v>-23.595903</v>
      </c>
      <c r="C18058" s="40" t="n">
        <v>-46.514547</v>
      </c>
      <c r="D18058" s="40" t="n">
        <v>316</v>
      </c>
      <c r="E18058" s="41" t="n">
        <v>8385.9395</v>
      </c>
    </row>
    <row r="18059">
      <c r="A18059" s="42">
        <f>_xlfn.XLOOKUP(83170,Trip[shape_id],Trip[shape_id],"Não encontrado")</f>
        <v/>
      </c>
      <c r="B18059" s="43" t="n">
        <v>-23.596189</v>
      </c>
      <c r="C18059" s="43" t="n">
        <v>-46.514907</v>
      </c>
      <c r="D18059" s="43" t="n">
        <v>317</v>
      </c>
      <c r="E18059" s="44" t="n">
        <v>8434.4521</v>
      </c>
    </row>
    <row r="18060">
      <c r="A18060" s="39">
        <f>_xlfn.XLOOKUP(83170,Trip[shape_id],Trip[shape_id],"Não encontrado")</f>
        <v/>
      </c>
      <c r="B18060" s="40" t="n">
        <v>-23.59643</v>
      </c>
      <c r="C18060" s="40" t="n">
        <v>-46.515205</v>
      </c>
      <c r="D18060" s="40" t="n">
        <v>318</v>
      </c>
      <c r="E18060" s="41" t="n">
        <v>8474.918900000001</v>
      </c>
    </row>
    <row r="18061">
      <c r="A18061" s="42">
        <f>_xlfn.XLOOKUP(83170,Trip[shape_id],Trip[shape_id],"Não encontrado")</f>
        <v/>
      </c>
      <c r="B18061" s="43" t="n">
        <v>-23.596494</v>
      </c>
      <c r="C18061" s="43" t="n">
        <v>-46.515312</v>
      </c>
      <c r="D18061" s="43" t="n">
        <v>319</v>
      </c>
      <c r="E18061" s="44" t="n">
        <v>8487.9385</v>
      </c>
    </row>
    <row r="18062">
      <c r="A18062" s="39">
        <f>_xlfn.XLOOKUP(83170,Trip[shape_id],Trip[shape_id],"Não encontrado")</f>
        <v/>
      </c>
      <c r="B18062" s="40" t="n">
        <v>-23.59653</v>
      </c>
      <c r="C18062" s="40" t="n">
        <v>-46.515411</v>
      </c>
      <c r="D18062" s="40" t="n">
        <v>320</v>
      </c>
      <c r="E18062" s="41" t="n">
        <v>8498.801799999999</v>
      </c>
    </row>
    <row r="18063">
      <c r="A18063" s="42">
        <f>_xlfn.XLOOKUP(83170,Trip[shape_id],Trip[shape_id],"Não encontrado")</f>
        <v/>
      </c>
      <c r="B18063" s="43" t="n">
        <v>-23.596551</v>
      </c>
      <c r="C18063" s="43" t="n">
        <v>-46.515483</v>
      </c>
      <c r="D18063" s="43" t="n">
        <v>321</v>
      </c>
      <c r="E18063" s="44" t="n">
        <v>8506.5098</v>
      </c>
    </row>
    <row r="18064">
      <c r="A18064" s="39">
        <f>_xlfn.XLOOKUP(83170,Trip[shape_id],Trip[shape_id],"Não encontrado")</f>
        <v/>
      </c>
      <c r="B18064" s="40" t="n">
        <v>-23.596589</v>
      </c>
      <c r="C18064" s="40" t="n">
        <v>-46.515894</v>
      </c>
      <c r="D18064" s="40" t="n">
        <v>322</v>
      </c>
      <c r="E18064" s="41" t="n">
        <v>8548.669900000001</v>
      </c>
    </row>
    <row r="18065">
      <c r="A18065" s="42">
        <f>_xlfn.XLOOKUP(83170,Trip[shape_id],Trip[shape_id],"Não encontrado")</f>
        <v/>
      </c>
      <c r="B18065" s="43" t="n">
        <v>-23.596646</v>
      </c>
      <c r="C18065" s="43" t="n">
        <v>-46.516486</v>
      </c>
      <c r="D18065" s="43" t="n">
        <v>323</v>
      </c>
      <c r="E18065" s="44" t="n">
        <v>8609.421899999999</v>
      </c>
    </row>
    <row r="18066">
      <c r="A18066" s="39">
        <f>_xlfn.XLOOKUP(83170,Trip[shape_id],Trip[shape_id],"Não encontrado")</f>
        <v/>
      </c>
      <c r="B18066" s="40" t="n">
        <v>-23.596677</v>
      </c>
      <c r="C18066" s="40" t="n">
        <v>-46.516752</v>
      </c>
      <c r="D18066" s="40" t="n">
        <v>324</v>
      </c>
      <c r="E18066" s="41" t="n">
        <v>8636.7881</v>
      </c>
    </row>
    <row r="18067">
      <c r="A18067" s="42">
        <f>_xlfn.XLOOKUP(83170,Trip[shape_id],Trip[shape_id],"Não encontrado")</f>
        <v/>
      </c>
      <c r="B18067" s="43" t="n">
        <v>-23.596668</v>
      </c>
      <c r="C18067" s="43" t="n">
        <v>-46.517071</v>
      </c>
      <c r="D18067" s="43" t="n">
        <v>325</v>
      </c>
      <c r="E18067" s="44" t="n">
        <v>8669.362300000001</v>
      </c>
    </row>
    <row r="18068">
      <c r="A18068" s="39">
        <f>_xlfn.XLOOKUP(83170,Trip[shape_id],Trip[shape_id],"Não encontrado")</f>
        <v/>
      </c>
      <c r="B18068" s="40" t="n">
        <v>-23.596578</v>
      </c>
      <c r="C18068" s="40" t="n">
        <v>-46.517257</v>
      </c>
      <c r="D18068" s="40" t="n">
        <v>326</v>
      </c>
      <c r="E18068" s="41" t="n">
        <v>8690.804700000001</v>
      </c>
    </row>
    <row r="18069">
      <c r="A18069" s="42">
        <f>_xlfn.XLOOKUP(83170,Trip[shape_id],Trip[shape_id],"Não encontrado")</f>
        <v/>
      </c>
      <c r="B18069" s="43" t="n">
        <v>-23.596516</v>
      </c>
      <c r="C18069" s="43" t="n">
        <v>-46.51735</v>
      </c>
      <c r="D18069" s="43" t="n">
        <v>327</v>
      </c>
      <c r="E18069" s="44" t="n">
        <v>8702.520500000001</v>
      </c>
    </row>
    <row r="18070">
      <c r="A18070" s="39">
        <f>_xlfn.XLOOKUP(83170,Trip[shape_id],Trip[shape_id],"Não encontrado")</f>
        <v/>
      </c>
      <c r="B18070" s="40" t="n">
        <v>-23.596399</v>
      </c>
      <c r="C18070" s="40" t="n">
        <v>-46.517481</v>
      </c>
      <c r="D18070" s="40" t="n">
        <v>328</v>
      </c>
      <c r="E18070" s="41" t="n">
        <v>8721.1396</v>
      </c>
    </row>
    <row r="18071">
      <c r="A18071" s="42">
        <f>_xlfn.XLOOKUP(83170,Trip[shape_id],Trip[shape_id],"Não encontrado")</f>
        <v/>
      </c>
      <c r="B18071" s="43" t="n">
        <v>-23.596334</v>
      </c>
      <c r="C18071" s="43" t="n">
        <v>-46.517522</v>
      </c>
      <c r="D18071" s="43" t="n">
        <v>329</v>
      </c>
      <c r="E18071" s="44" t="n">
        <v>8729.4658</v>
      </c>
    </row>
    <row r="18072">
      <c r="A18072" s="39">
        <f>_xlfn.XLOOKUP(83170,Trip[shape_id],Trip[shape_id],"Não encontrado")</f>
        <v/>
      </c>
      <c r="B18072" s="40" t="n">
        <v>-23.596113</v>
      </c>
      <c r="C18072" s="40" t="n">
        <v>-46.51769</v>
      </c>
      <c r="D18072" s="40" t="n">
        <v>330</v>
      </c>
      <c r="E18072" s="41" t="n">
        <v>8759.3506</v>
      </c>
    </row>
    <row r="18073">
      <c r="A18073" s="42">
        <f>_xlfn.XLOOKUP(83170,Trip[shape_id],Trip[shape_id],"Não encontrado")</f>
        <v/>
      </c>
      <c r="B18073" s="43" t="n">
        <v>-23.595642</v>
      </c>
      <c r="C18073" s="43" t="n">
        <v>-46.518012</v>
      </c>
      <c r="D18073" s="43" t="n">
        <v>331</v>
      </c>
      <c r="E18073" s="44" t="n">
        <v>8821.0049</v>
      </c>
    </row>
    <row r="18074">
      <c r="A18074" s="39">
        <f>_xlfn.XLOOKUP(83170,Trip[shape_id],Trip[shape_id],"Não encontrado")</f>
        <v/>
      </c>
      <c r="B18074" s="40" t="n">
        <v>-23.595275</v>
      </c>
      <c r="C18074" s="40" t="n">
        <v>-46.518293</v>
      </c>
      <c r="D18074" s="40" t="n">
        <v>332</v>
      </c>
      <c r="E18074" s="41" t="n">
        <v>8870.751</v>
      </c>
    </row>
    <row r="18075">
      <c r="A18075" s="42">
        <f>_xlfn.XLOOKUP(83170,Trip[shape_id],Trip[shape_id],"Não encontrado")</f>
        <v/>
      </c>
      <c r="B18075" s="43" t="n">
        <v>-23.595222</v>
      </c>
      <c r="C18075" s="43" t="n">
        <v>-46.518328</v>
      </c>
      <c r="D18075" s="43" t="n">
        <v>333</v>
      </c>
      <c r="E18075" s="44" t="n">
        <v>8877.622100000001</v>
      </c>
    </row>
    <row r="18076">
      <c r="A18076" s="39">
        <f>_xlfn.XLOOKUP(83170,Trip[shape_id],Trip[shape_id],"Não encontrado")</f>
        <v/>
      </c>
      <c r="B18076" s="40" t="n">
        <v>-23.595065</v>
      </c>
      <c r="C18076" s="40" t="n">
        <v>-46.51847</v>
      </c>
      <c r="D18076" s="40" t="n">
        <v>334</v>
      </c>
      <c r="E18076" s="41" t="n">
        <v>8900.2588</v>
      </c>
    </row>
    <row r="18077">
      <c r="A18077" s="42">
        <f>_xlfn.XLOOKUP(83170,Trip[shape_id],Trip[shape_id],"Não encontrado")</f>
        <v/>
      </c>
      <c r="B18077" s="43" t="n">
        <v>-23.594702</v>
      </c>
      <c r="C18077" s="43" t="n">
        <v>-46.518757</v>
      </c>
      <c r="D18077" s="43" t="n">
        <v>335</v>
      </c>
      <c r="E18077" s="44" t="n">
        <v>8950.002</v>
      </c>
    </row>
    <row r="18078">
      <c r="A18078" s="39">
        <f>_xlfn.XLOOKUP(83170,Trip[shape_id],Trip[shape_id],"Não encontrado")</f>
        <v/>
      </c>
      <c r="B18078" s="40" t="n">
        <v>-23.594605</v>
      </c>
      <c r="C18078" s="40" t="n">
        <v>-46.51883</v>
      </c>
      <c r="D18078" s="40" t="n">
        <v>336</v>
      </c>
      <c r="E18078" s="41" t="n">
        <v>8963.0762</v>
      </c>
    </row>
    <row r="18079">
      <c r="A18079" s="42">
        <f>_xlfn.XLOOKUP(83170,Trip[shape_id],Trip[shape_id],"Não encontrado")</f>
        <v/>
      </c>
      <c r="B18079" s="43" t="n">
        <v>-23.594372</v>
      </c>
      <c r="C18079" s="43" t="n">
        <v>-46.518978</v>
      </c>
      <c r="D18079" s="43" t="n">
        <v>337</v>
      </c>
      <c r="E18079" s="44" t="n">
        <v>8992.977500000001</v>
      </c>
    </row>
    <row r="18080">
      <c r="A18080" s="39">
        <f>_xlfn.XLOOKUP(83170,Trip[shape_id],Trip[shape_id],"Não encontrado")</f>
        <v/>
      </c>
      <c r="B18080" s="40" t="n">
        <v>-23.593577</v>
      </c>
      <c r="C18080" s="40" t="n">
        <v>-46.519502</v>
      </c>
      <c r="D18080" s="40" t="n">
        <v>338</v>
      </c>
      <c r="E18080" s="41" t="n">
        <v>9095.997100000001</v>
      </c>
    </row>
    <row r="18081">
      <c r="A18081" s="42">
        <f>_xlfn.XLOOKUP(83170,Trip[shape_id],Trip[shape_id],"Não encontrado")</f>
        <v/>
      </c>
      <c r="B18081" s="43" t="n">
        <v>-23.593302</v>
      </c>
      <c r="C18081" s="43" t="n">
        <v>-46.519686</v>
      </c>
      <c r="D18081" s="43" t="n">
        <v>339</v>
      </c>
      <c r="E18081" s="44" t="n">
        <v>9131.7783</v>
      </c>
    </row>
    <row r="18082">
      <c r="A18082" s="39">
        <f>_xlfn.XLOOKUP(83170,Trip[shape_id],Trip[shape_id],"Não encontrado")</f>
        <v/>
      </c>
      <c r="B18082" s="40" t="n">
        <v>-23.593252</v>
      </c>
      <c r="C18082" s="40" t="n">
        <v>-46.51972</v>
      </c>
      <c r="D18082" s="40" t="n">
        <v>340</v>
      </c>
      <c r="E18082" s="41" t="n">
        <v>9138.3145</v>
      </c>
    </row>
    <row r="18083">
      <c r="A18083" s="42">
        <f>_xlfn.XLOOKUP(83170,Trip[shape_id],Trip[shape_id],"Não encontrado")</f>
        <v/>
      </c>
      <c r="B18083" s="43" t="n">
        <v>-23.593211</v>
      </c>
      <c r="C18083" s="43" t="n">
        <v>-46.519739</v>
      </c>
      <c r="D18083" s="43" t="n">
        <v>341</v>
      </c>
      <c r="E18083" s="44" t="n">
        <v>9143.252</v>
      </c>
    </row>
    <row r="18084">
      <c r="A18084" s="39">
        <f>_xlfn.XLOOKUP(83170,Trip[shape_id],Trip[shape_id],"Não encontrado")</f>
        <v/>
      </c>
      <c r="B18084" s="40" t="n">
        <v>-23.593131</v>
      </c>
      <c r="C18084" s="40" t="n">
        <v>-46.519759</v>
      </c>
      <c r="D18084" s="40" t="n">
        <v>342</v>
      </c>
      <c r="E18084" s="41" t="n">
        <v>9152.3447</v>
      </c>
    </row>
    <row r="18085">
      <c r="A18085" s="42">
        <f>_xlfn.XLOOKUP(83170,Trip[shape_id],Trip[shape_id],"Não encontrado")</f>
        <v/>
      </c>
      <c r="B18085" s="43" t="n">
        <v>-23.593081</v>
      </c>
      <c r="C18085" s="43" t="n">
        <v>-46.519763</v>
      </c>
      <c r="D18085" s="43" t="n">
        <v>343</v>
      </c>
      <c r="E18085" s="44" t="n">
        <v>9157.896500000001</v>
      </c>
    </row>
    <row r="18086">
      <c r="A18086" s="39">
        <f>_xlfn.XLOOKUP(83170,Trip[shape_id],Trip[shape_id],"Não encontrado")</f>
        <v/>
      </c>
      <c r="B18086" s="40" t="n">
        <v>-23.593008</v>
      </c>
      <c r="C18086" s="40" t="n">
        <v>-46.519762</v>
      </c>
      <c r="D18086" s="40" t="n">
        <v>344</v>
      </c>
      <c r="E18086" s="41" t="n">
        <v>9165.981400000001</v>
      </c>
    </row>
    <row r="18087">
      <c r="A18087" s="42">
        <f>_xlfn.XLOOKUP(83170,Trip[shape_id],Trip[shape_id],"Não encontrado")</f>
        <v/>
      </c>
      <c r="B18087" s="43" t="n">
        <v>-23.592911</v>
      </c>
      <c r="C18087" s="43" t="n">
        <v>-46.519737</v>
      </c>
      <c r="D18087" s="43" t="n">
        <v>345</v>
      </c>
      <c r="E18087" s="44" t="n">
        <v>9177.0234</v>
      </c>
    </row>
    <row r="18088">
      <c r="A18088" s="39">
        <f>_xlfn.XLOOKUP(83170,Trip[shape_id],Trip[shape_id],"Não encontrado")</f>
        <v/>
      </c>
      <c r="B18088" s="40" t="n">
        <v>-23.592823</v>
      </c>
      <c r="C18088" s="40" t="n">
        <v>-46.519717</v>
      </c>
      <c r="D18088" s="40" t="n">
        <v>346</v>
      </c>
      <c r="E18088" s="41" t="n">
        <v>9186.9805</v>
      </c>
    </row>
    <row r="18089">
      <c r="A18089" s="42">
        <f>_xlfn.XLOOKUP(83170,Trip[shape_id],Trip[shape_id],"Não encontrado")</f>
        <v/>
      </c>
      <c r="B18089" s="43" t="n">
        <v>-23.592304</v>
      </c>
      <c r="C18089" s="43" t="n">
        <v>-46.519594</v>
      </c>
      <c r="D18089" s="43" t="n">
        <v>347</v>
      </c>
      <c r="E18089" s="44" t="n">
        <v>9245.8164</v>
      </c>
    </row>
    <row r="18090">
      <c r="A18090" s="39">
        <f>_xlfn.XLOOKUP(83170,Trip[shape_id],Trip[shape_id],"Não encontrado")</f>
        <v/>
      </c>
      <c r="B18090" s="40" t="n">
        <v>-23.591994</v>
      </c>
      <c r="C18090" s="40" t="n">
        <v>-46.51952</v>
      </c>
      <c r="D18090" s="40" t="n">
        <v>348</v>
      </c>
      <c r="E18090" s="41" t="n">
        <v>9280.9707</v>
      </c>
    </row>
    <row r="18091">
      <c r="A18091" s="42">
        <f>_xlfn.XLOOKUP(83170,Trip[shape_id],Trip[shape_id],"Não encontrado")</f>
        <v/>
      </c>
      <c r="B18091" s="43" t="n">
        <v>-23.591826</v>
      </c>
      <c r="C18091" s="43" t="n">
        <v>-46.51948</v>
      </c>
      <c r="D18091" s="43" t="n">
        <v>349</v>
      </c>
      <c r="E18091" s="44" t="n">
        <v>9300.0195</v>
      </c>
    </row>
    <row r="18092">
      <c r="A18092" s="39">
        <f>_xlfn.XLOOKUP(83170,Trip[shape_id],Trip[shape_id],"Não encontrado")</f>
        <v/>
      </c>
      <c r="B18092" s="40" t="n">
        <v>-23.591591</v>
      </c>
      <c r="C18092" s="40" t="n">
        <v>-46.519415</v>
      </c>
      <c r="D18092" s="40" t="n">
        <v>350</v>
      </c>
      <c r="E18092" s="41" t="n">
        <v>9326.8789</v>
      </c>
    </row>
    <row r="18093">
      <c r="A18093" s="42">
        <f>_xlfn.XLOOKUP(83170,Trip[shape_id],Trip[shape_id],"Não encontrado")</f>
        <v/>
      </c>
      <c r="B18093" s="43" t="n">
        <v>-23.59141</v>
      </c>
      <c r="C18093" s="43" t="n">
        <v>-46.519385</v>
      </c>
      <c r="D18093" s="43" t="n">
        <v>351</v>
      </c>
      <c r="E18093" s="44" t="n">
        <v>9347.1582</v>
      </c>
    </row>
    <row r="18094">
      <c r="A18094" s="39">
        <f>_xlfn.XLOOKUP(83170,Trip[shape_id],Trip[shape_id],"Não encontrado")</f>
        <v/>
      </c>
      <c r="B18094" s="40" t="n">
        <v>-23.591173</v>
      </c>
      <c r="C18094" s="40" t="n">
        <v>-46.519341</v>
      </c>
      <c r="D18094" s="40" t="n">
        <v>352</v>
      </c>
      <c r="E18094" s="41" t="n">
        <v>9373.7881</v>
      </c>
    </row>
    <row r="18095">
      <c r="A18095" s="42">
        <f>_xlfn.XLOOKUP(83170,Trip[shape_id],Trip[shape_id],"Não encontrado")</f>
        <v/>
      </c>
      <c r="B18095" s="43" t="n">
        <v>-23.591115</v>
      </c>
      <c r="C18095" s="43" t="n">
        <v>-46.519338</v>
      </c>
      <c r="D18095" s="43" t="n">
        <v>353</v>
      </c>
      <c r="E18095" s="44" t="n">
        <v>9380.218800000001</v>
      </c>
    </row>
    <row r="18096">
      <c r="A18096" s="39">
        <f>_xlfn.XLOOKUP(83170,Trip[shape_id],Trip[shape_id],"Não encontrado")</f>
        <v/>
      </c>
      <c r="B18096" s="40" t="n">
        <v>-23.591052</v>
      </c>
      <c r="C18096" s="40" t="n">
        <v>-46.519352</v>
      </c>
      <c r="D18096" s="40" t="n">
        <v>354</v>
      </c>
      <c r="E18096" s="41" t="n">
        <v>9387.3408</v>
      </c>
    </row>
    <row r="18097">
      <c r="A18097" s="42">
        <f>_xlfn.XLOOKUP(83170,Trip[shape_id],Trip[shape_id],"Não encontrado")</f>
        <v/>
      </c>
      <c r="B18097" s="43" t="n">
        <v>-23.590952</v>
      </c>
      <c r="C18097" s="43" t="n">
        <v>-46.519372</v>
      </c>
      <c r="D18097" s="43" t="n">
        <v>355</v>
      </c>
      <c r="E18097" s="44" t="n">
        <v>9398.602500000001</v>
      </c>
    </row>
    <row r="18098">
      <c r="A18098" s="39">
        <f>_xlfn.XLOOKUP(83170,Trip[shape_id],Trip[shape_id],"Não encontrado")</f>
        <v/>
      </c>
      <c r="B18098" s="40" t="n">
        <v>-23.590448</v>
      </c>
      <c r="C18098" s="40" t="n">
        <v>-46.519493</v>
      </c>
      <c r="D18098" s="40" t="n">
        <v>356</v>
      </c>
      <c r="E18098" s="41" t="n">
        <v>9455.771500000001</v>
      </c>
    </row>
    <row r="18099">
      <c r="A18099" s="42">
        <f>_xlfn.XLOOKUP(83170,Trip[shape_id],Trip[shape_id],"Não encontrado")</f>
        <v/>
      </c>
      <c r="B18099" s="43" t="n">
        <v>-23.590306</v>
      </c>
      <c r="C18099" s="43" t="n">
        <v>-46.519584</v>
      </c>
      <c r="D18099" s="43" t="n">
        <v>357</v>
      </c>
      <c r="E18099" s="44" t="n">
        <v>9474.036099999999</v>
      </c>
    </row>
    <row r="18100">
      <c r="A18100" s="39">
        <f>_xlfn.XLOOKUP(83170,Trip[shape_id],Trip[shape_id],"Não encontrado")</f>
        <v/>
      </c>
      <c r="B18100" s="40" t="n">
        <v>-23.590228</v>
      </c>
      <c r="C18100" s="40" t="n">
        <v>-46.519645</v>
      </c>
      <c r="D18100" s="40" t="n">
        <v>358</v>
      </c>
      <c r="E18100" s="41" t="n">
        <v>9484.684600000001</v>
      </c>
    </row>
    <row r="18101">
      <c r="A18101" s="42">
        <f>_xlfn.XLOOKUP(83170,Trip[shape_id],Trip[shape_id],"Não encontrado")</f>
        <v/>
      </c>
      <c r="B18101" s="43" t="n">
        <v>-23.590158</v>
      </c>
      <c r="C18101" s="43" t="n">
        <v>-46.519704</v>
      </c>
      <c r="D18101" s="43" t="n">
        <v>359</v>
      </c>
      <c r="E18101" s="44" t="n">
        <v>9494.501</v>
      </c>
    </row>
    <row r="18102">
      <c r="A18102" s="39">
        <f>_xlfn.XLOOKUP(83170,Trip[shape_id],Trip[shape_id],"Não encontrado")</f>
        <v/>
      </c>
      <c r="B18102" s="40" t="n">
        <v>-23.590097</v>
      </c>
      <c r="C18102" s="40" t="n">
        <v>-46.519712</v>
      </c>
      <c r="D18102" s="40" t="n">
        <v>360</v>
      </c>
      <c r="E18102" s="41" t="n">
        <v>9501.3066</v>
      </c>
    </row>
    <row r="18103">
      <c r="A18103" s="42">
        <f>_xlfn.XLOOKUP(83170,Trip[shape_id],Trip[shape_id],"Não encontrado")</f>
        <v/>
      </c>
      <c r="B18103" s="43" t="n">
        <v>-23.590073</v>
      </c>
      <c r="C18103" s="43" t="n">
        <v>-46.519772</v>
      </c>
      <c r="D18103" s="43" t="n">
        <v>361</v>
      </c>
      <c r="E18103" s="44" t="n">
        <v>9507.982400000001</v>
      </c>
    </row>
    <row r="18104">
      <c r="A18104" s="39">
        <f>_xlfn.XLOOKUP(83170,Trip[shape_id],Trip[shape_id],"Não encontrado")</f>
        <v/>
      </c>
      <c r="B18104" s="40" t="n">
        <v>-23.589525</v>
      </c>
      <c r="C18104" s="40" t="n">
        <v>-46.520236</v>
      </c>
      <c r="D18104" s="40" t="n">
        <v>362</v>
      </c>
      <c r="E18104" s="41" t="n">
        <v>9584.9668</v>
      </c>
    </row>
    <row r="18105">
      <c r="A18105" s="42">
        <f>_xlfn.XLOOKUP(83170,Trip[shape_id],Trip[shape_id],"Não encontrado")</f>
        <v/>
      </c>
      <c r="B18105" s="43" t="n">
        <v>-23.589356</v>
      </c>
      <c r="C18105" s="43" t="n">
        <v>-46.520367</v>
      </c>
      <c r="D18105" s="43" t="n">
        <v>363</v>
      </c>
      <c r="E18105" s="44" t="n">
        <v>9607.9697</v>
      </c>
    </row>
    <row r="18106">
      <c r="A18106" s="39">
        <f>_xlfn.XLOOKUP(83170,Trip[shape_id],Trip[shape_id],"Não encontrado")</f>
        <v/>
      </c>
      <c r="B18106" s="40" t="n">
        <v>-23.589296</v>
      </c>
      <c r="C18106" s="40" t="n">
        <v>-46.520417</v>
      </c>
      <c r="D18106" s="40" t="n">
        <v>364</v>
      </c>
      <c r="E18106" s="41" t="n">
        <v>9616.348599999999</v>
      </c>
    </row>
    <row r="18107">
      <c r="A18107" s="42">
        <f>_xlfn.XLOOKUP(83170,Trip[shape_id],Trip[shape_id],"Não encontrado")</f>
        <v/>
      </c>
      <c r="B18107" s="43" t="n">
        <v>-23.589228</v>
      </c>
      <c r="C18107" s="43" t="n">
        <v>-46.52046</v>
      </c>
      <c r="D18107" s="43" t="n">
        <v>365</v>
      </c>
      <c r="E18107" s="44" t="n">
        <v>9625.065399999999</v>
      </c>
    </row>
    <row r="18108">
      <c r="A18108" s="39">
        <f>_xlfn.XLOOKUP(83170,Trip[shape_id],Trip[shape_id],"Não encontrado")</f>
        <v/>
      </c>
      <c r="B18108" s="40" t="n">
        <v>-23.58915</v>
      </c>
      <c r="C18108" s="40" t="n">
        <v>-46.520482</v>
      </c>
      <c r="D18108" s="40" t="n">
        <v>366</v>
      </c>
      <c r="E18108" s="41" t="n">
        <v>9633.9912</v>
      </c>
    </row>
    <row r="18109">
      <c r="A18109" s="42">
        <f>_xlfn.XLOOKUP(83170,Trip[shape_id],Trip[shape_id],"Não encontrado")</f>
        <v/>
      </c>
      <c r="B18109" s="43" t="n">
        <v>-23.589099</v>
      </c>
      <c r="C18109" s="43" t="n">
        <v>-46.520486</v>
      </c>
      <c r="D18109" s="43" t="n">
        <v>367</v>
      </c>
      <c r="E18109" s="44" t="n">
        <v>9639.6543</v>
      </c>
    </row>
    <row r="18110">
      <c r="A18110" s="39">
        <f>_xlfn.XLOOKUP(83170,Trip[shape_id],Trip[shape_id],"Não encontrado")</f>
        <v/>
      </c>
      <c r="B18110" s="40" t="n">
        <v>-23.589051</v>
      </c>
      <c r="C18110" s="40" t="n">
        <v>-46.520481</v>
      </c>
      <c r="D18110" s="40" t="n">
        <v>368</v>
      </c>
      <c r="E18110" s="41" t="n">
        <v>9644.9951</v>
      </c>
    </row>
    <row r="18111">
      <c r="A18111" s="42">
        <f>_xlfn.XLOOKUP(83170,Trip[shape_id],Trip[shape_id],"Não encontrado")</f>
        <v/>
      </c>
      <c r="B18111" s="43" t="n">
        <v>-23.58901</v>
      </c>
      <c r="C18111" s="43" t="n">
        <v>-46.520465</v>
      </c>
      <c r="D18111" s="43" t="n">
        <v>369</v>
      </c>
      <c r="E18111" s="44" t="n">
        <v>9649.820299999999</v>
      </c>
    </row>
    <row r="18112">
      <c r="A18112" s="39">
        <f>_xlfn.XLOOKUP(83170,Trip[shape_id],Trip[shape_id],"Não encontrado")</f>
        <v/>
      </c>
      <c r="B18112" s="40" t="n">
        <v>-23.588967</v>
      </c>
      <c r="C18112" s="40" t="n">
        <v>-46.520443</v>
      </c>
      <c r="D18112" s="40" t="n">
        <v>370</v>
      </c>
      <c r="E18112" s="41" t="n">
        <v>9655.0859</v>
      </c>
    </row>
    <row r="18113">
      <c r="A18113" s="42">
        <f>_xlfn.XLOOKUP(83170,Trip[shape_id],Trip[shape_id],"Não encontrado")</f>
        <v/>
      </c>
      <c r="B18113" s="43" t="n">
        <v>-23.588892</v>
      </c>
      <c r="C18113" s="43" t="n">
        <v>-46.52036</v>
      </c>
      <c r="D18113" s="43" t="n">
        <v>371</v>
      </c>
      <c r="E18113" s="44" t="n">
        <v>9666.9512</v>
      </c>
    </row>
    <row r="18114">
      <c r="A18114" s="39">
        <f>_xlfn.XLOOKUP(83170,Trip[shape_id],Trip[shape_id],"Não encontrado")</f>
        <v/>
      </c>
      <c r="B18114" s="40" t="n">
        <v>-23.588718</v>
      </c>
      <c r="C18114" s="40" t="n">
        <v>-46.520156</v>
      </c>
      <c r="D18114" s="40" t="n">
        <v>372</v>
      </c>
      <c r="E18114" s="41" t="n">
        <v>9695.323200000001</v>
      </c>
    </row>
    <row r="18115">
      <c r="A18115" s="42">
        <f>_xlfn.XLOOKUP(83170,Trip[shape_id],Trip[shape_id],"Não encontrado")</f>
        <v/>
      </c>
      <c r="B18115" s="43" t="n">
        <v>-23.588337</v>
      </c>
      <c r="C18115" s="43" t="n">
        <v>-46.519706</v>
      </c>
      <c r="D18115" s="43" t="n">
        <v>373</v>
      </c>
      <c r="E18115" s="44" t="n">
        <v>9757.6963</v>
      </c>
    </row>
    <row r="18116">
      <c r="A18116" s="39">
        <f>_xlfn.XLOOKUP(83170,Trip[shape_id],Trip[shape_id],"Não encontrado")</f>
        <v/>
      </c>
      <c r="B18116" s="40" t="n">
        <v>-23.588216</v>
      </c>
      <c r="C18116" s="40" t="n">
        <v>-46.519577</v>
      </c>
      <c r="D18116" s="40" t="n">
        <v>374</v>
      </c>
      <c r="E18116" s="41" t="n">
        <v>9776.483399999999</v>
      </c>
    </row>
    <row r="18117">
      <c r="A18117" s="42">
        <f>_xlfn.XLOOKUP(83170,Trip[shape_id],Trip[shape_id],"Não encontrado")</f>
        <v/>
      </c>
      <c r="B18117" s="43" t="n">
        <v>-23.588173</v>
      </c>
      <c r="C18117" s="43" t="n">
        <v>-46.519531</v>
      </c>
      <c r="D18117" s="43" t="n">
        <v>375</v>
      </c>
      <c r="E18117" s="44" t="n">
        <v>9783.170899999999</v>
      </c>
    </row>
    <row r="18118">
      <c r="A18118" s="39">
        <f>_xlfn.XLOOKUP(83170,Trip[shape_id],Trip[shape_id],"Não encontrado")</f>
        <v/>
      </c>
      <c r="B18118" s="40" t="n">
        <v>-23.587994</v>
      </c>
      <c r="C18118" s="40" t="n">
        <v>-46.519394</v>
      </c>
      <c r="D18118" s="40" t="n">
        <v>376</v>
      </c>
      <c r="E18118" s="41" t="n">
        <v>9807.4316</v>
      </c>
    </row>
    <row r="18119">
      <c r="A18119" s="42">
        <f>_xlfn.XLOOKUP(83170,Trip[shape_id],Trip[shape_id],"Não encontrado")</f>
        <v/>
      </c>
      <c r="B18119" s="43" t="n">
        <v>-23.587918</v>
      </c>
      <c r="C18119" s="43" t="n">
        <v>-46.519355</v>
      </c>
      <c r="D18119" s="43" t="n">
        <v>377</v>
      </c>
      <c r="E18119" s="44" t="n">
        <v>9816.742200000001</v>
      </c>
    </row>
    <row r="18120">
      <c r="A18120" s="39">
        <f>_xlfn.XLOOKUP(83170,Trip[shape_id],Trip[shape_id],"Não encontrado")</f>
        <v/>
      </c>
      <c r="B18120" s="40" t="n">
        <v>-23.587816</v>
      </c>
      <c r="C18120" s="40" t="n">
        <v>-46.519299</v>
      </c>
      <c r="D18120" s="40" t="n">
        <v>378</v>
      </c>
      <c r="E18120" s="41" t="n">
        <v>9829.4033</v>
      </c>
    </row>
    <row r="18121">
      <c r="A18121" s="42">
        <f>_xlfn.XLOOKUP(83170,Trip[shape_id],Trip[shape_id],"Não encontrado")</f>
        <v/>
      </c>
      <c r="B18121" s="43" t="n">
        <v>-23.587642</v>
      </c>
      <c r="C18121" s="43" t="n">
        <v>-46.519226</v>
      </c>
      <c r="D18121" s="43" t="n">
        <v>379</v>
      </c>
      <c r="E18121" s="44" t="n">
        <v>9850.0645</v>
      </c>
    </row>
    <row r="18122">
      <c r="A18122" s="39">
        <f>_xlfn.XLOOKUP(83170,Trip[shape_id],Trip[shape_id],"Não encontrado")</f>
        <v/>
      </c>
      <c r="B18122" s="40" t="n">
        <v>-23.587402</v>
      </c>
      <c r="C18122" s="40" t="n">
        <v>-46.519144</v>
      </c>
      <c r="D18122" s="40" t="n">
        <v>380</v>
      </c>
      <c r="E18122" s="41" t="n">
        <v>9877.9316</v>
      </c>
    </row>
    <row r="18123">
      <c r="A18123" s="42">
        <f>_xlfn.XLOOKUP(83170,Trip[shape_id],Trip[shape_id],"Não encontrado")</f>
        <v/>
      </c>
      <c r="B18123" s="43" t="n">
        <v>-23.587177</v>
      </c>
      <c r="C18123" s="43" t="n">
        <v>-46.519077</v>
      </c>
      <c r="D18123" s="43" t="n">
        <v>381</v>
      </c>
      <c r="E18123" s="44" t="n">
        <v>9903.772499999999</v>
      </c>
    </row>
    <row r="18124">
      <c r="A18124" s="39">
        <f>_xlfn.XLOOKUP(83170,Trip[shape_id],Trip[shape_id],"Não encontrado")</f>
        <v/>
      </c>
      <c r="B18124" s="40" t="n">
        <v>-23.58642</v>
      </c>
      <c r="C18124" s="40" t="n">
        <v>-46.518841</v>
      </c>
      <c r="D18124" s="40" t="n">
        <v>382</v>
      </c>
      <c r="E18124" s="41" t="n">
        <v>9991.0039</v>
      </c>
    </row>
    <row r="18125">
      <c r="A18125" s="42">
        <f>_xlfn.XLOOKUP(83170,Trip[shape_id],Trip[shape_id],"Não encontrado")</f>
        <v/>
      </c>
      <c r="B18125" s="43" t="n">
        <v>-23.586047</v>
      </c>
      <c r="C18125" s="43" t="n">
        <v>-46.518722</v>
      </c>
      <c r="D18125" s="43" t="n">
        <v>383</v>
      </c>
      <c r="E18125" s="44" t="n">
        <v>10034.063</v>
      </c>
    </row>
    <row r="18126">
      <c r="A18126" s="39">
        <f>_xlfn.XLOOKUP(83170,Trip[shape_id],Trip[shape_id],"Não encontrado")</f>
        <v/>
      </c>
      <c r="B18126" s="40" t="n">
        <v>-23.58575</v>
      </c>
      <c r="C18126" s="40" t="n">
        <v>-46.518634</v>
      </c>
      <c r="D18126" s="40" t="n">
        <v>384</v>
      </c>
      <c r="E18126" s="41" t="n">
        <v>10068.161</v>
      </c>
    </row>
    <row r="18127">
      <c r="A18127" s="42">
        <f>_xlfn.XLOOKUP(83170,Trip[shape_id],Trip[shape_id],"Não encontrado")</f>
        <v/>
      </c>
      <c r="B18127" s="43" t="n">
        <v>-23.585696</v>
      </c>
      <c r="C18127" s="43" t="n">
        <v>-46.518785</v>
      </c>
      <c r="D18127" s="43" t="n">
        <v>385</v>
      </c>
      <c r="E18127" s="44" t="n">
        <v>10084.694</v>
      </c>
    </row>
    <row r="18128">
      <c r="A18128" s="39">
        <f>_xlfn.XLOOKUP(83170,Trip[shape_id],Trip[shape_id],"Não encontrado")</f>
        <v/>
      </c>
      <c r="B18128" s="40" t="n">
        <v>-23.58565</v>
      </c>
      <c r="C18128" s="40" t="n">
        <v>-46.518914</v>
      </c>
      <c r="D18128" s="40" t="n">
        <v>386</v>
      </c>
      <c r="E18128" s="41" t="n">
        <v>10098.813</v>
      </c>
    </row>
    <row r="18129">
      <c r="A18129" s="42">
        <f>_xlfn.XLOOKUP(83170,Trip[shape_id],Trip[shape_id],"Não encontrado")</f>
        <v/>
      </c>
      <c r="B18129" s="43" t="n">
        <v>-23.585578</v>
      </c>
      <c r="C18129" s="43" t="n">
        <v>-46.519103</v>
      </c>
      <c r="D18129" s="43" t="n">
        <v>387</v>
      </c>
      <c r="E18129" s="44" t="n">
        <v>10119.688</v>
      </c>
    </row>
    <row r="18130">
      <c r="A18130" s="39">
        <f>_xlfn.XLOOKUP(83170,Trip[shape_id],Trip[shape_id],"Não encontrado")</f>
        <v/>
      </c>
      <c r="B18130" s="40" t="n">
        <v>-23.585484</v>
      </c>
      <c r="C18130" s="40" t="n">
        <v>-46.519361</v>
      </c>
      <c r="D18130" s="40" t="n">
        <v>388</v>
      </c>
      <c r="E18130" s="41" t="n">
        <v>10148.006</v>
      </c>
    </row>
    <row r="18131">
      <c r="A18131" s="42">
        <f>_xlfn.XLOOKUP(83170,Trip[shape_id],Trip[shape_id],"Não encontrado")</f>
        <v/>
      </c>
      <c r="B18131" s="43" t="n">
        <v>-23.585373</v>
      </c>
      <c r="C18131" s="43" t="n">
        <v>-46.519648</v>
      </c>
      <c r="D18131" s="43" t="n">
        <v>389</v>
      </c>
      <c r="E18131" s="44" t="n">
        <v>10179.776</v>
      </c>
    </row>
    <row r="18132">
      <c r="A18132" s="39">
        <f>_xlfn.XLOOKUP(83170,Trip[shape_id],Trip[shape_id],"Não encontrado")</f>
        <v/>
      </c>
      <c r="B18132" s="40" t="n">
        <v>-23.585311</v>
      </c>
      <c r="C18132" s="40" t="n">
        <v>-46.519811</v>
      </c>
      <c r="D18132" s="40" t="n">
        <v>390</v>
      </c>
      <c r="E18132" s="41" t="n">
        <v>10197.775</v>
      </c>
    </row>
    <row r="18133">
      <c r="A18133" s="42">
        <f>_xlfn.XLOOKUP(83170,Trip[shape_id],Trip[shape_id],"Não encontrado")</f>
        <v/>
      </c>
      <c r="B18133" s="43" t="n">
        <v>-23.585272</v>
      </c>
      <c r="C18133" s="43" t="n">
        <v>-46.51989</v>
      </c>
      <c r="D18133" s="43" t="n">
        <v>391</v>
      </c>
      <c r="E18133" s="44" t="n">
        <v>10206.923</v>
      </c>
    </row>
    <row r="18134">
      <c r="A18134" s="39">
        <f>_xlfn.XLOOKUP(83170,Trip[shape_id],Trip[shape_id],"Não encontrado")</f>
        <v/>
      </c>
      <c r="B18134" s="40" t="n">
        <v>-23.584622</v>
      </c>
      <c r="C18134" s="40" t="n">
        <v>-46.519661</v>
      </c>
      <c r="D18134" s="40" t="n">
        <v>392</v>
      </c>
      <c r="E18134" s="41" t="n">
        <v>10282.612</v>
      </c>
    </row>
    <row r="18135">
      <c r="A18135" s="42">
        <f>_xlfn.XLOOKUP(83170,Trip[shape_id],Trip[shape_id],"Não encontrado")</f>
        <v/>
      </c>
      <c r="B18135" s="43" t="n">
        <v>-23.584577</v>
      </c>
      <c r="C18135" s="43" t="n">
        <v>-46.519646</v>
      </c>
      <c r="D18135" s="43" t="n">
        <v>393</v>
      </c>
      <c r="E18135" s="44" t="n">
        <v>10290.565</v>
      </c>
    </row>
    <row r="18136">
      <c r="A18136" s="39">
        <f>_xlfn.XLOOKUP(83170,Trip[shape_id],Trip[shape_id],"Não encontrado")</f>
        <v/>
      </c>
      <c r="B18136" s="40" t="n">
        <v>-23.584568</v>
      </c>
      <c r="C18136" s="40" t="n">
        <v>-46.519621</v>
      </c>
      <c r="D18136" s="40" t="n">
        <v>394</v>
      </c>
      <c r="E18136" s="41" t="n">
        <v>10295.162</v>
      </c>
    </row>
    <row r="18137">
      <c r="A18137" s="42">
        <f>_xlfn.XLOOKUP(83170,Trip[shape_id],Trip[shape_id],"Não encontrado")</f>
        <v/>
      </c>
      <c r="B18137" s="43" t="n">
        <v>-23.584527</v>
      </c>
      <c r="C18137" s="43" t="n">
        <v>-46.519628</v>
      </c>
      <c r="D18137" s="43" t="n">
        <v>395</v>
      </c>
      <c r="E18137" s="44" t="n">
        <v>10323.619</v>
      </c>
    </row>
    <row r="18138">
      <c r="A18138" s="39">
        <f>_xlfn.XLOOKUP(83170,Trip[shape_id],Trip[shape_id],"Não encontrado")</f>
        <v/>
      </c>
      <c r="B18138" s="40" t="n">
        <v>-23.584282</v>
      </c>
      <c r="C18138" s="40" t="n">
        <v>-46.519544</v>
      </c>
      <c r="D18138" s="40" t="n">
        <v>396</v>
      </c>
      <c r="E18138" s="41" t="n">
        <v>10323.619</v>
      </c>
    </row>
    <row r="18139">
      <c r="A18139" s="42">
        <f>_xlfn.XLOOKUP(83170,Trip[shape_id],Trip[shape_id],"Não encontrado")</f>
        <v/>
      </c>
      <c r="B18139" s="43" t="n">
        <v>-23.584105</v>
      </c>
      <c r="C18139" s="43" t="n">
        <v>-46.51948</v>
      </c>
      <c r="D18139" s="43" t="n">
        <v>397</v>
      </c>
      <c r="E18139" s="44" t="n">
        <v>10344.282</v>
      </c>
    </row>
    <row r="18140">
      <c r="A18140" s="39">
        <f>_xlfn.XLOOKUP(83170,Trip[shape_id],Trip[shape_id],"Não encontrado")</f>
        <v/>
      </c>
      <c r="B18140" s="40" t="n">
        <v>-23.583595</v>
      </c>
      <c r="C18140" s="40" t="n">
        <v>-46.519295</v>
      </c>
      <c r="D18140" s="40" t="n">
        <v>398</v>
      </c>
      <c r="E18140" s="41" t="n">
        <v>10403.839</v>
      </c>
    </row>
    <row r="18141">
      <c r="A18141" s="42">
        <f>_xlfn.XLOOKUP(83170,Trip[shape_id],Trip[shape_id],"Não encontrado")</f>
        <v/>
      </c>
      <c r="B18141" s="43" t="n">
        <v>-23.583088</v>
      </c>
      <c r="C18141" s="43" t="n">
        <v>-46.519117</v>
      </c>
      <c r="D18141" s="43" t="n">
        <v>399</v>
      </c>
      <c r="E18141" s="44" t="n">
        <v>10462.856</v>
      </c>
    </row>
    <row r="18142">
      <c r="A18142" s="39">
        <f>_xlfn.XLOOKUP(83170,Trip[shape_id],Trip[shape_id],"Não encontrado")</f>
        <v/>
      </c>
      <c r="B18142" s="40" t="n">
        <v>-23.582572</v>
      </c>
      <c r="C18142" s="40" t="n">
        <v>-46.518936</v>
      </c>
      <c r="D18142" s="40" t="n">
        <v>400</v>
      </c>
      <c r="E18142" s="41" t="n">
        <v>10522.917</v>
      </c>
    </row>
    <row r="18143">
      <c r="A18143" s="42">
        <f>_xlfn.XLOOKUP(83170,Trip[shape_id],Trip[shape_id],"Não encontrado")</f>
        <v/>
      </c>
      <c r="B18143" s="43" t="n">
        <v>-23.582511</v>
      </c>
      <c r="C18143" s="43" t="n">
        <v>-46.518915</v>
      </c>
      <c r="D18143" s="43" t="n">
        <v>401</v>
      </c>
      <c r="E18143" s="44" t="n">
        <v>10532.002</v>
      </c>
    </row>
    <row r="18144">
      <c r="A18144" s="39">
        <f>_xlfn.XLOOKUP(83170,Trip[shape_id],Trip[shape_id],"Não encontrado")</f>
        <v/>
      </c>
      <c r="B18144" s="40" t="n">
        <v>-23.582493</v>
      </c>
      <c r="C18144" s="40" t="n">
        <v>-46.518914</v>
      </c>
      <c r="D18144" s="40" t="n">
        <v>402</v>
      </c>
      <c r="E18144" s="41" t="n">
        <v>10534.49</v>
      </c>
    </row>
    <row r="18145">
      <c r="A18145" s="42">
        <f>_xlfn.XLOOKUP(83170,Trip[shape_id],Trip[shape_id],"Não encontrado")</f>
        <v/>
      </c>
      <c r="B18145" s="43" t="n">
        <v>-23.582474</v>
      </c>
      <c r="C18145" s="43" t="n">
        <v>-46.518901</v>
      </c>
      <c r="D18145" s="43" t="n">
        <v>403</v>
      </c>
      <c r="E18145" s="44" t="n">
        <v>10560.261</v>
      </c>
    </row>
    <row r="18146">
      <c r="A18146" s="39">
        <f>_xlfn.XLOOKUP(83170,Trip[shape_id],Trip[shape_id],"Não encontrado")</f>
        <v/>
      </c>
      <c r="B18146" s="40" t="n">
        <v>-23.582253</v>
      </c>
      <c r="C18146" s="40" t="n">
        <v>-46.518822</v>
      </c>
      <c r="D18146" s="40" t="n">
        <v>404</v>
      </c>
      <c r="E18146" s="41" t="n">
        <v>10560.261</v>
      </c>
    </row>
    <row r="18147">
      <c r="A18147" s="42">
        <f>_xlfn.XLOOKUP(83170,Trip[shape_id],Trip[shape_id],"Não encontrado")</f>
        <v/>
      </c>
      <c r="B18147" s="43" t="n">
        <v>-23.581799</v>
      </c>
      <c r="C18147" s="43" t="n">
        <v>-46.518663</v>
      </c>
      <c r="D18147" s="43" t="n">
        <v>405</v>
      </c>
      <c r="E18147" s="44" t="n">
        <v>10613.097</v>
      </c>
    </row>
    <row r="18148">
      <c r="A18148" s="39">
        <f>_xlfn.XLOOKUP(83170,Trip[shape_id],Trip[shape_id],"Não encontrado")</f>
        <v/>
      </c>
      <c r="B18148" s="40" t="n">
        <v>-23.581659</v>
      </c>
      <c r="C18148" s="40" t="n">
        <v>-46.518611</v>
      </c>
      <c r="D18148" s="40" t="n">
        <v>406</v>
      </c>
      <c r="E18148" s="41" t="n">
        <v>10629.485</v>
      </c>
    </row>
    <row r="18149">
      <c r="A18149" s="42">
        <f>_xlfn.XLOOKUP(83170,Trip[shape_id],Trip[shape_id],"Não encontrado")</f>
        <v/>
      </c>
      <c r="B18149" s="43" t="n">
        <v>-23.581231</v>
      </c>
      <c r="C18149" s="43" t="n">
        <v>-46.518463</v>
      </c>
      <c r="D18149" s="43" t="n">
        <v>407</v>
      </c>
      <c r="E18149" s="44" t="n">
        <v>10679.236</v>
      </c>
    </row>
    <row r="18150">
      <c r="A18150" s="39">
        <f>_xlfn.XLOOKUP(83170,Trip[shape_id],Trip[shape_id],"Não encontrado")</f>
        <v/>
      </c>
      <c r="B18150" s="40" t="n">
        <v>-23.580997</v>
      </c>
      <c r="C18150" s="40" t="n">
        <v>-46.518379</v>
      </c>
      <c r="D18150" s="40" t="n">
        <v>408</v>
      </c>
      <c r="E18150" s="41" t="n">
        <v>10706.534</v>
      </c>
    </row>
    <row r="18151">
      <c r="A18151" s="42">
        <f>_xlfn.XLOOKUP(83170,Trip[shape_id],Trip[shape_id],"Não encontrado")</f>
        <v/>
      </c>
      <c r="B18151" s="43" t="n">
        <v>-23.580001</v>
      </c>
      <c r="C18151" s="43" t="n">
        <v>-46.518023</v>
      </c>
      <c r="D18151" s="43" t="n">
        <v>409</v>
      </c>
      <c r="E18151" s="44" t="n">
        <v>10822.675</v>
      </c>
    </row>
    <row r="18152">
      <c r="A18152" s="39">
        <f>_xlfn.XLOOKUP(83170,Trip[shape_id],Trip[shape_id],"Não encontrado")</f>
        <v/>
      </c>
      <c r="B18152" s="40" t="n">
        <v>-23.579485</v>
      </c>
      <c r="C18152" s="40" t="n">
        <v>-46.517841</v>
      </c>
      <c r="D18152" s="40" t="n">
        <v>410</v>
      </c>
      <c r="E18152" s="41" t="n">
        <v>10882.767</v>
      </c>
    </row>
    <row r="18153">
      <c r="A18153" s="42">
        <f>_xlfn.XLOOKUP(83170,Trip[shape_id],Trip[shape_id],"Não encontrado")</f>
        <v/>
      </c>
      <c r="B18153" s="43" t="n">
        <v>-23.5791</v>
      </c>
      <c r="C18153" s="43" t="n">
        <v>-46.5177</v>
      </c>
      <c r="D18153" s="43" t="n">
        <v>411</v>
      </c>
      <c r="E18153" s="44" t="n">
        <v>10948.741</v>
      </c>
    </row>
    <row r="18154">
      <c r="A18154" s="39">
        <f>_xlfn.XLOOKUP(83170,Trip[shape_id],Trip[shape_id],"Não encontrado")</f>
        <v/>
      </c>
      <c r="B18154" s="40" t="n">
        <v>-23.578921</v>
      </c>
      <c r="C18154" s="40" t="n">
        <v>-46.517633</v>
      </c>
      <c r="D18154" s="40" t="n">
        <v>412</v>
      </c>
      <c r="E18154" s="41" t="n">
        <v>10954.34</v>
      </c>
    </row>
    <row r="18155">
      <c r="A18155" s="42">
        <f>_xlfn.XLOOKUP(83170,Trip[shape_id],Trip[shape_id],"Não encontrado")</f>
        <v/>
      </c>
      <c r="B18155" s="43" t="n">
        <v>-23.578876</v>
      </c>
      <c r="C18155" s="43" t="n">
        <v>-46.517608</v>
      </c>
      <c r="D18155" s="43" t="n">
        <v>413</v>
      </c>
      <c r="E18155" s="44" t="n">
        <v>10954.34</v>
      </c>
    </row>
    <row r="18156">
      <c r="A18156" s="39">
        <f>_xlfn.XLOOKUP(83170,Trip[shape_id],Trip[shape_id],"Não encontrado")</f>
        <v/>
      </c>
      <c r="B18156" s="40" t="n">
        <v>-23.578377</v>
      </c>
      <c r="C18156" s="40" t="n">
        <v>-46.51729</v>
      </c>
      <c r="D18156" s="40" t="n">
        <v>414</v>
      </c>
      <c r="E18156" s="41" t="n">
        <v>11018.434</v>
      </c>
    </row>
    <row r="18157">
      <c r="A18157" s="42">
        <f>_xlfn.XLOOKUP(83170,Trip[shape_id],Trip[shape_id],"Não encontrado")</f>
        <v/>
      </c>
      <c r="B18157" s="43" t="n">
        <v>-23.577949</v>
      </c>
      <c r="C18157" s="43" t="n">
        <v>-46.517013</v>
      </c>
      <c r="D18157" s="43" t="n">
        <v>415</v>
      </c>
      <c r="E18157" s="44" t="n">
        <v>11073.629</v>
      </c>
    </row>
    <row r="18158">
      <c r="A18158" s="39">
        <f>_xlfn.XLOOKUP(83170,Trip[shape_id],Trip[shape_id],"Não encontrado")</f>
        <v/>
      </c>
      <c r="B18158" s="40" t="n">
        <v>-23.577887</v>
      </c>
      <c r="C18158" s="40" t="n">
        <v>-46.516971</v>
      </c>
      <c r="D18158" s="40" t="n">
        <v>416</v>
      </c>
      <c r="E18158" s="41" t="n">
        <v>11081.724</v>
      </c>
    </row>
    <row r="18159">
      <c r="A18159" s="42">
        <f>_xlfn.XLOOKUP(83170,Trip[shape_id],Trip[shape_id],"Não encontrado")</f>
        <v/>
      </c>
      <c r="B18159" s="43" t="n">
        <v>-23.57738</v>
      </c>
      <c r="C18159" s="43" t="n">
        <v>-46.51665</v>
      </c>
      <c r="D18159" s="43" t="n">
        <v>417</v>
      </c>
      <c r="E18159" s="44" t="n">
        <v>11146.737</v>
      </c>
    </row>
    <row r="18160">
      <c r="A18160" s="39">
        <f>_xlfn.XLOOKUP(83170,Trip[shape_id],Trip[shape_id],"Não encontrado")</f>
        <v/>
      </c>
      <c r="B18160" s="40" t="n">
        <v>-23.577156</v>
      </c>
      <c r="C18160" s="40" t="n">
        <v>-46.516508</v>
      </c>
      <c r="D18160" s="40" t="n">
        <v>418</v>
      </c>
      <c r="E18160" s="41" t="n">
        <v>11206.283</v>
      </c>
    </row>
    <row r="18161">
      <c r="A18161" s="42">
        <f>_xlfn.XLOOKUP(83170,Trip[shape_id],Trip[shape_id],"Não encontrado")</f>
        <v/>
      </c>
      <c r="B18161" s="43" t="n">
        <v>-23.57691</v>
      </c>
      <c r="C18161" s="43" t="n">
        <v>-46.516367</v>
      </c>
      <c r="D18161" s="43" t="n">
        <v>419</v>
      </c>
      <c r="E18161" s="44" t="n">
        <v>11206.283</v>
      </c>
    </row>
    <row r="18162">
      <c r="A18162" s="39">
        <f>_xlfn.XLOOKUP(83170,Trip[shape_id],Trip[shape_id],"Não encontrado")</f>
        <v/>
      </c>
      <c r="B18162" s="40" t="n">
        <v>-23.576857</v>
      </c>
      <c r="C18162" s="40" t="n">
        <v>-46.516519</v>
      </c>
      <c r="D18162" s="40" t="n">
        <v>420</v>
      </c>
      <c r="E18162" s="41" t="n">
        <v>11222.873</v>
      </c>
    </row>
    <row r="18163">
      <c r="A18163" s="42">
        <f>_xlfn.XLOOKUP(83170,Trip[shape_id],Trip[shape_id],"Não encontrado")</f>
        <v/>
      </c>
      <c r="B18163" s="43" t="n">
        <v>-23.576722</v>
      </c>
      <c r="C18163" s="43" t="n">
        <v>-46.516808</v>
      </c>
      <c r="D18163" s="43" t="n">
        <v>421</v>
      </c>
      <c r="E18163" s="44" t="n">
        <v>11255.947</v>
      </c>
    </row>
    <row r="18164">
      <c r="A18164" s="39">
        <f>_xlfn.XLOOKUP(83170,Trip[shape_id],Trip[shape_id],"Não encontrado")</f>
        <v/>
      </c>
      <c r="B18164" s="40" t="n">
        <v>-23.576712</v>
      </c>
      <c r="C18164" s="40" t="n">
        <v>-46.516838</v>
      </c>
      <c r="D18164" s="40" t="n">
        <v>422</v>
      </c>
      <c r="E18164" s="41" t="n">
        <v>11259.203</v>
      </c>
    </row>
    <row r="18165">
      <c r="A18165" s="42">
        <f>_xlfn.XLOOKUP(83170,Trip[shape_id],Trip[shape_id],"Não encontrado")</f>
        <v/>
      </c>
      <c r="B18165" s="43" t="n">
        <v>-23.576669</v>
      </c>
      <c r="C18165" s="43" t="n">
        <v>-46.516965</v>
      </c>
      <c r="D18165" s="43" t="n">
        <v>423</v>
      </c>
      <c r="E18165" s="44" t="n">
        <v>11273.015</v>
      </c>
    </row>
    <row r="18166">
      <c r="A18166" s="39">
        <f>_xlfn.XLOOKUP(83170,Trip[shape_id],Trip[shape_id],"Não encontrado")</f>
        <v/>
      </c>
      <c r="B18166" s="40" t="n">
        <v>-23.57658</v>
      </c>
      <c r="C18166" s="40" t="n">
        <v>-46.517218</v>
      </c>
      <c r="D18166" s="40" t="n">
        <v>424</v>
      </c>
      <c r="E18166" s="41" t="n">
        <v>11300.658</v>
      </c>
    </row>
    <row r="18167">
      <c r="A18167" s="42">
        <f>_xlfn.XLOOKUP(83170,Trip[shape_id],Trip[shape_id],"Não encontrado")</f>
        <v/>
      </c>
      <c r="B18167" s="43" t="n">
        <v>-23.576477</v>
      </c>
      <c r="C18167" s="43" t="n">
        <v>-46.517553</v>
      </c>
      <c r="D18167" s="43" t="n">
        <v>425</v>
      </c>
      <c r="E18167" s="44" t="n">
        <v>11336.708</v>
      </c>
    </row>
    <row r="18168">
      <c r="A18168" s="39">
        <f>_xlfn.XLOOKUP(83170,Trip[shape_id],Trip[shape_id],"Não encontrado")</f>
        <v/>
      </c>
      <c r="B18168" s="40" t="n">
        <v>-23.576408</v>
      </c>
      <c r="C18168" s="40" t="n">
        <v>-46.517821</v>
      </c>
      <c r="D18168" s="40" t="n">
        <v>426</v>
      </c>
      <c r="E18168" s="41" t="n">
        <v>11365.113</v>
      </c>
    </row>
    <row r="18169">
      <c r="A18169" s="42">
        <f>_xlfn.XLOOKUP(83170,Trip[shape_id],Trip[shape_id],"Não encontrado")</f>
        <v/>
      </c>
      <c r="B18169" s="43" t="n">
        <v>-23.576328</v>
      </c>
      <c r="C18169" s="43" t="n">
        <v>-46.518175</v>
      </c>
      <c r="D18169" s="43" t="n">
        <v>427</v>
      </c>
      <c r="E18169" s="44" t="n">
        <v>11402.32</v>
      </c>
    </row>
    <row r="18170">
      <c r="A18170" s="39">
        <f>_xlfn.XLOOKUP(83170,Trip[shape_id],Trip[shape_id],"Não encontrado")</f>
        <v/>
      </c>
      <c r="B18170" s="40" t="n">
        <v>-23.576291</v>
      </c>
      <c r="C18170" s="40" t="n">
        <v>-46.518395</v>
      </c>
      <c r="D18170" s="40" t="n">
        <v>428</v>
      </c>
      <c r="E18170" s="41" t="n">
        <v>11425.149</v>
      </c>
    </row>
    <row r="18171">
      <c r="A18171" s="42">
        <f>_xlfn.XLOOKUP(83170,Trip[shape_id],Trip[shape_id],"Não encontrado")</f>
        <v/>
      </c>
      <c r="B18171" s="43" t="n">
        <v>-23.576262</v>
      </c>
      <c r="C18171" s="43" t="n">
        <v>-46.518585</v>
      </c>
      <c r="D18171" s="43" t="n">
        <v>429</v>
      </c>
      <c r="E18171" s="44" t="n">
        <v>11444.81</v>
      </c>
    </row>
    <row r="18172">
      <c r="A18172" s="39">
        <f>_xlfn.XLOOKUP(83170,Trip[shape_id],Trip[shape_id],"Não encontrado")</f>
        <v/>
      </c>
      <c r="B18172" s="40" t="n">
        <v>-23.576234</v>
      </c>
      <c r="C18172" s="40" t="n">
        <v>-46.518789</v>
      </c>
      <c r="D18172" s="40" t="n">
        <v>430</v>
      </c>
      <c r="E18172" s="41" t="n">
        <v>11465.864</v>
      </c>
    </row>
    <row r="18173">
      <c r="A18173" s="42">
        <f>_xlfn.XLOOKUP(83170,Trip[shape_id],Trip[shape_id],"Não encontrado")</f>
        <v/>
      </c>
      <c r="B18173" s="43" t="n">
        <v>-23.576231</v>
      </c>
      <c r="C18173" s="43" t="n">
        <v>-46.518855</v>
      </c>
      <c r="D18173" s="43" t="n">
        <v>431</v>
      </c>
      <c r="E18173" s="44" t="n">
        <v>11472.61</v>
      </c>
    </row>
    <row r="18174">
      <c r="A18174" s="39">
        <f>_xlfn.XLOOKUP(83170,Trip[shape_id],Trip[shape_id],"Não encontrado")</f>
        <v/>
      </c>
      <c r="B18174" s="40" t="n">
        <v>-23.576194</v>
      </c>
      <c r="C18174" s="40" t="n">
        <v>-46.519184</v>
      </c>
      <c r="D18174" s="40" t="n">
        <v>432</v>
      </c>
      <c r="E18174" s="41" t="n">
        <v>11506.444</v>
      </c>
    </row>
    <row r="18175">
      <c r="A18175" s="42">
        <f>_xlfn.XLOOKUP(83170,Trip[shape_id],Trip[shape_id],"Não encontrado")</f>
        <v/>
      </c>
      <c r="B18175" s="43" t="n">
        <v>-23.576183</v>
      </c>
      <c r="C18175" s="43" t="n">
        <v>-46.519348</v>
      </c>
      <c r="D18175" s="43" t="n">
        <v>433</v>
      </c>
      <c r="E18175" s="44" t="n">
        <v>11523.23</v>
      </c>
    </row>
    <row r="18176">
      <c r="A18176" s="39">
        <f>_xlfn.XLOOKUP(83170,Trip[shape_id],Trip[shape_id],"Não encontrado")</f>
        <v/>
      </c>
      <c r="B18176" s="40" t="n">
        <v>-23.576163</v>
      </c>
      <c r="C18176" s="40" t="n">
        <v>-46.519597</v>
      </c>
      <c r="D18176" s="40" t="n">
        <v>434</v>
      </c>
      <c r="E18176" s="41" t="n">
        <v>11548.745</v>
      </c>
    </row>
    <row r="18177">
      <c r="A18177" s="42">
        <f>_xlfn.XLOOKUP(83170,Trip[shape_id],Trip[shape_id],"Não encontrado")</f>
        <v/>
      </c>
      <c r="B18177" s="43" t="n">
        <v>-23.576162</v>
      </c>
      <c r="C18177" s="43" t="n">
        <v>-46.519626</v>
      </c>
      <c r="D18177" s="43" t="n">
        <v>435</v>
      </c>
      <c r="E18177" s="44" t="n">
        <v>11551.708</v>
      </c>
    </row>
    <row r="18178">
      <c r="A18178" s="39">
        <f>_xlfn.XLOOKUP(83170,Trip[shape_id],Trip[shape_id],"Não encontrado")</f>
        <v/>
      </c>
      <c r="B18178" s="40" t="n">
        <v>-23.576138</v>
      </c>
      <c r="C18178" s="40" t="n">
        <v>-46.519843</v>
      </c>
      <c r="D18178" s="40" t="n">
        <v>436</v>
      </c>
      <c r="E18178" s="41" t="n">
        <v>11574.019</v>
      </c>
    </row>
    <row r="18179">
      <c r="A18179" s="42">
        <f>_xlfn.XLOOKUP(83170,Trip[shape_id],Trip[shape_id],"Não encontrado")</f>
        <v/>
      </c>
      <c r="B18179" s="43" t="n">
        <v>-23.576138</v>
      </c>
      <c r="C18179" s="43" t="n">
        <v>-46.519913</v>
      </c>
      <c r="D18179" s="43" t="n">
        <v>437</v>
      </c>
      <c r="E18179" s="44" t="n">
        <v>11581.164</v>
      </c>
    </row>
    <row r="18180">
      <c r="A18180" s="39">
        <f>_xlfn.XLOOKUP(83170,Trip[shape_id],Trip[shape_id],"Não encontrado")</f>
        <v/>
      </c>
      <c r="B18180" s="40" t="n">
        <v>-23.57614</v>
      </c>
      <c r="C18180" s="40" t="n">
        <v>-46.51997</v>
      </c>
      <c r="D18180" s="40" t="n">
        <v>438</v>
      </c>
      <c r="E18180" s="41" t="n">
        <v>11586.987</v>
      </c>
    </row>
    <row r="18181">
      <c r="A18181" s="42">
        <f>_xlfn.XLOOKUP(83170,Trip[shape_id],Trip[shape_id],"Não encontrado")</f>
        <v/>
      </c>
      <c r="B18181" s="43" t="n">
        <v>-23.57614</v>
      </c>
      <c r="C18181" s="43" t="n">
        <v>-46.520029</v>
      </c>
      <c r="D18181" s="43" t="n">
        <v>439</v>
      </c>
      <c r="E18181" s="44" t="n">
        <v>11593.011</v>
      </c>
    </row>
    <row r="18182">
      <c r="A18182" s="39">
        <f>_xlfn.XLOOKUP(83170,Trip[shape_id],Trip[shape_id],"Não encontrado")</f>
        <v/>
      </c>
      <c r="B18182" s="40" t="n">
        <v>-23.576167</v>
      </c>
      <c r="C18182" s="40" t="n">
        <v>-46.52018</v>
      </c>
      <c r="D18182" s="40" t="n">
        <v>440</v>
      </c>
      <c r="E18182" s="41" t="n">
        <v>11608.713</v>
      </c>
    </row>
    <row r="18183">
      <c r="A18183" s="42">
        <f>_xlfn.XLOOKUP(83170,Trip[shape_id],Trip[shape_id],"Não encontrado")</f>
        <v/>
      </c>
      <c r="B18183" s="43" t="n">
        <v>-23.576191</v>
      </c>
      <c r="C18183" s="43" t="n">
        <v>-46.52032</v>
      </c>
      <c r="D18183" s="43" t="n">
        <v>441</v>
      </c>
      <c r="E18183" s="44" t="n">
        <v>11623.249</v>
      </c>
    </row>
    <row r="18184">
      <c r="A18184" s="39">
        <f>_xlfn.XLOOKUP(83170,Trip[shape_id],Trip[shape_id],"Não encontrado")</f>
        <v/>
      </c>
      <c r="B18184" s="40" t="n">
        <v>-23.57622</v>
      </c>
      <c r="C18184" s="40" t="n">
        <v>-46.520453</v>
      </c>
      <c r="D18184" s="40" t="n">
        <v>442</v>
      </c>
      <c r="E18184" s="41" t="n">
        <v>11637.201</v>
      </c>
    </row>
    <row r="18185">
      <c r="A18185" s="42">
        <f>_xlfn.XLOOKUP(83170,Trip[shape_id],Trip[shape_id],"Não encontrado")</f>
        <v/>
      </c>
      <c r="B18185" s="43" t="n">
        <v>-23.576238</v>
      </c>
      <c r="C18185" s="43" t="n">
        <v>-46.52056</v>
      </c>
      <c r="D18185" s="43" t="n">
        <v>443</v>
      </c>
      <c r="E18185" s="44" t="n">
        <v>11648.304</v>
      </c>
    </row>
    <row r="18186">
      <c r="A18186" s="39">
        <f>_xlfn.XLOOKUP(83170,Trip[shape_id],Trip[shape_id],"Não encontrado")</f>
        <v/>
      </c>
      <c r="B18186" s="40" t="n">
        <v>-23.576283</v>
      </c>
      <c r="C18186" s="40" t="n">
        <v>-46.520746</v>
      </c>
      <c r="D18186" s="40" t="n">
        <v>444</v>
      </c>
      <c r="E18186" s="41" t="n">
        <v>11667.934</v>
      </c>
    </row>
    <row r="18187">
      <c r="A18187" s="42">
        <f>_xlfn.XLOOKUP(83170,Trip[shape_id],Trip[shape_id],"Não encontrado")</f>
        <v/>
      </c>
      <c r="B18187" s="43" t="n">
        <v>-23.576373</v>
      </c>
      <c r="C18187" s="43" t="n">
        <v>-46.521075</v>
      </c>
      <c r="D18187" s="43" t="n">
        <v>445</v>
      </c>
      <c r="E18187" s="44" t="n">
        <v>11702.967</v>
      </c>
    </row>
    <row r="18188">
      <c r="A18188" s="39">
        <f>_xlfn.XLOOKUP(83170,Trip[shape_id],Trip[shape_id],"Não encontrado")</f>
        <v/>
      </c>
      <c r="B18188" s="40" t="n">
        <v>-23.576447</v>
      </c>
      <c r="C18188" s="40" t="n">
        <v>-46.521291</v>
      </c>
      <c r="D18188" s="40" t="n">
        <v>446</v>
      </c>
      <c r="E18188" s="41" t="n">
        <v>11726.49</v>
      </c>
    </row>
    <row r="18189">
      <c r="A18189" s="42">
        <f>_xlfn.XLOOKUP(83170,Trip[shape_id],Trip[shape_id],"Não encontrado")</f>
        <v/>
      </c>
      <c r="B18189" s="43" t="n">
        <v>-23.576486</v>
      </c>
      <c r="C18189" s="43" t="n">
        <v>-46.521393</v>
      </c>
      <c r="D18189" s="43" t="n">
        <v>447</v>
      </c>
      <c r="E18189" s="44" t="n">
        <v>11737.763</v>
      </c>
    </row>
    <row r="18190">
      <c r="A18190" s="39">
        <f>_xlfn.XLOOKUP(83170,Trip[shape_id],Trip[shape_id],"Não encontrado")</f>
        <v/>
      </c>
      <c r="B18190" s="40" t="n">
        <v>-23.576513</v>
      </c>
      <c r="C18190" s="40" t="n">
        <v>-46.521499</v>
      </c>
      <c r="D18190" s="40" t="n">
        <v>448</v>
      </c>
      <c r="E18190" s="41" t="n">
        <v>11748.989</v>
      </c>
    </row>
    <row r="18191">
      <c r="A18191" s="42">
        <f>_xlfn.XLOOKUP(83170,Trip[shape_id],Trip[shape_id],"Não encontrado")</f>
        <v/>
      </c>
      <c r="B18191" s="43" t="n">
        <v>-23.576565</v>
      </c>
      <c r="C18191" s="43" t="n">
        <v>-46.521681</v>
      </c>
      <c r="D18191" s="43" t="n">
        <v>449</v>
      </c>
      <c r="E18191" s="44" t="n">
        <v>11768.44</v>
      </c>
    </row>
    <row r="18192">
      <c r="A18192" s="39">
        <f>_xlfn.XLOOKUP(83170,Trip[shape_id],Trip[shape_id],"Não encontrado")</f>
        <v/>
      </c>
      <c r="B18192" s="40" t="n">
        <v>-23.57661</v>
      </c>
      <c r="C18192" s="40" t="n">
        <v>-46.521857</v>
      </c>
      <c r="D18192" s="40" t="n">
        <v>450</v>
      </c>
      <c r="E18192" s="41" t="n">
        <v>11787.085</v>
      </c>
    </row>
    <row r="18193">
      <c r="A18193" s="42">
        <f>_xlfn.XLOOKUP(83170,Trip[shape_id],Trip[shape_id],"Não encontrado")</f>
        <v/>
      </c>
      <c r="B18193" s="43" t="n">
        <v>-23.576632</v>
      </c>
      <c r="C18193" s="43" t="n">
        <v>-46.521995</v>
      </c>
      <c r="D18193" s="43" t="n">
        <v>451</v>
      </c>
      <c r="E18193" s="44" t="n">
        <v>11801.381</v>
      </c>
    </row>
    <row r="18194">
      <c r="A18194" s="39">
        <f>_xlfn.XLOOKUP(83170,Trip[shape_id],Trip[shape_id],"Não encontrado")</f>
        <v/>
      </c>
      <c r="B18194" s="40" t="n">
        <v>-23.57665</v>
      </c>
      <c r="C18194" s="40" t="n">
        <v>-46.522106</v>
      </c>
      <c r="D18194" s="40" t="n">
        <v>452</v>
      </c>
      <c r="E18194" s="41" t="n">
        <v>11812.886</v>
      </c>
    </row>
    <row r="18195">
      <c r="A18195" s="42">
        <f>_xlfn.XLOOKUP(83170,Trip[shape_id],Trip[shape_id],"Não encontrado")</f>
        <v/>
      </c>
      <c r="B18195" s="43" t="n">
        <v>-23.576662</v>
      </c>
      <c r="C18195" s="43" t="n">
        <v>-46.522221</v>
      </c>
      <c r="D18195" s="43" t="n">
        <v>453</v>
      </c>
      <c r="E18195" s="44" t="n">
        <v>11824.7</v>
      </c>
    </row>
    <row r="18196">
      <c r="A18196" s="39">
        <f>_xlfn.XLOOKUP(83170,Trip[shape_id],Trip[shape_id],"Não encontrado")</f>
        <v/>
      </c>
      <c r="B18196" s="40" t="n">
        <v>-23.576675</v>
      </c>
      <c r="C18196" s="40" t="n">
        <v>-46.52232</v>
      </c>
      <c r="D18196" s="40" t="n">
        <v>454</v>
      </c>
      <c r="E18196" s="41" t="n">
        <v>11834.908</v>
      </c>
    </row>
    <row r="18197">
      <c r="A18197" s="42">
        <f>_xlfn.XLOOKUP(83170,Trip[shape_id],Trip[shape_id],"Não encontrado")</f>
        <v/>
      </c>
      <c r="B18197" s="43" t="n">
        <v>-23.576686</v>
      </c>
      <c r="C18197" s="43" t="n">
        <v>-46.522467</v>
      </c>
      <c r="D18197" s="43" t="n">
        <v>455</v>
      </c>
      <c r="E18197" s="44" t="n">
        <v>11849.964</v>
      </c>
    </row>
    <row r="18198">
      <c r="A18198" s="39">
        <f>_xlfn.XLOOKUP(83170,Trip[shape_id],Trip[shape_id],"Não encontrado")</f>
        <v/>
      </c>
      <c r="B18198" s="40" t="n">
        <v>-23.576692</v>
      </c>
      <c r="C18198" s="40" t="n">
        <v>-46.522718</v>
      </c>
      <c r="D18198" s="40" t="n">
        <v>456</v>
      </c>
      <c r="E18198" s="41" t="n">
        <v>11875.595</v>
      </c>
    </row>
    <row r="18199">
      <c r="A18199" s="42">
        <f>_xlfn.XLOOKUP(83170,Trip[shape_id],Trip[shape_id],"Não encontrado")</f>
        <v/>
      </c>
      <c r="B18199" s="43" t="n">
        <v>-23.576699</v>
      </c>
      <c r="C18199" s="43" t="n">
        <v>-46.522817</v>
      </c>
      <c r="D18199" s="43" t="n">
        <v>457</v>
      </c>
      <c r="E18199" s="44" t="n">
        <v>11885.73</v>
      </c>
    </row>
    <row r="18200">
      <c r="A18200" s="39">
        <f>_xlfn.XLOOKUP(83170,Trip[shape_id],Trip[shape_id],"Não encontrado")</f>
        <v/>
      </c>
      <c r="B18200" s="40" t="n">
        <v>-23.576704</v>
      </c>
      <c r="C18200" s="40" t="n">
        <v>-46.522901</v>
      </c>
      <c r="D18200" s="40" t="n">
        <v>458</v>
      </c>
      <c r="E18200" s="41" t="n">
        <v>11894.323</v>
      </c>
    </row>
    <row r="18201">
      <c r="A18201" s="42">
        <f>_xlfn.XLOOKUP(83170,Trip[shape_id],Trip[shape_id],"Não encontrado")</f>
        <v/>
      </c>
      <c r="B18201" s="43" t="n">
        <v>-23.576737</v>
      </c>
      <c r="C18201" s="43" t="n">
        <v>-46.523157</v>
      </c>
      <c r="D18201" s="43" t="n">
        <v>459</v>
      </c>
      <c r="E18201" s="44" t="n">
        <v>11920.711</v>
      </c>
    </row>
    <row r="18202">
      <c r="A18202" s="39">
        <f>_xlfn.XLOOKUP(83170,Trip[shape_id],Trip[shape_id],"Não encontrado")</f>
        <v/>
      </c>
      <c r="B18202" s="40" t="n">
        <v>-23.576768</v>
      </c>
      <c r="C18202" s="40" t="n">
        <v>-46.523328</v>
      </c>
      <c r="D18202" s="40" t="n">
        <v>460</v>
      </c>
      <c r="E18202" s="41" t="n">
        <v>11938.501</v>
      </c>
    </row>
    <row r="18203">
      <c r="A18203" s="42">
        <f>_xlfn.XLOOKUP(83170,Trip[shape_id],Trip[shape_id],"Não encontrado")</f>
        <v/>
      </c>
      <c r="B18203" s="43" t="n">
        <v>-23.576859</v>
      </c>
      <c r="C18203" s="43" t="n">
        <v>-46.52367</v>
      </c>
      <c r="D18203" s="43" t="n">
        <v>461</v>
      </c>
      <c r="E18203" s="44" t="n">
        <v>11974.839</v>
      </c>
    </row>
    <row r="18204">
      <c r="A18204" s="39">
        <f>_xlfn.XLOOKUP(83170,Trip[shape_id],Trip[shape_id],"Não encontrado")</f>
        <v/>
      </c>
      <c r="B18204" s="40" t="n">
        <v>-23.576915</v>
      </c>
      <c r="C18204" s="40" t="n">
        <v>-46.523853</v>
      </c>
      <c r="D18204" s="40" t="n">
        <v>462</v>
      </c>
      <c r="E18204" s="41" t="n">
        <v>11994.522</v>
      </c>
    </row>
    <row r="18205">
      <c r="A18205" s="42">
        <f>_xlfn.XLOOKUP(83170,Trip[shape_id],Trip[shape_id],"Não encontrado")</f>
        <v/>
      </c>
      <c r="B18205" s="43" t="n">
        <v>-23.576986</v>
      </c>
      <c r="C18205" s="43" t="n">
        <v>-46.524054</v>
      </c>
      <c r="D18205" s="43" t="n">
        <v>463</v>
      </c>
      <c r="E18205" s="44" t="n">
        <v>12016.496</v>
      </c>
    </row>
    <row r="18206">
      <c r="A18206" s="39">
        <f>_xlfn.XLOOKUP(83170,Trip[shape_id],Trip[shape_id],"Não encontrado")</f>
        <v/>
      </c>
      <c r="B18206" s="40" t="n">
        <v>-23.577051</v>
      </c>
      <c r="C18206" s="40" t="n">
        <v>-46.524211</v>
      </c>
      <c r="D18206" s="40" t="n">
        <v>464</v>
      </c>
      <c r="E18206" s="41" t="n">
        <v>12034.065</v>
      </c>
    </row>
    <row r="18207">
      <c r="A18207" s="42">
        <f>_xlfn.XLOOKUP(83170,Trip[shape_id],Trip[shape_id],"Não encontrado")</f>
        <v/>
      </c>
      <c r="B18207" s="43" t="n">
        <v>-23.577131</v>
      </c>
      <c r="C18207" s="43" t="n">
        <v>-46.524382</v>
      </c>
      <c r="D18207" s="43" t="n">
        <v>465</v>
      </c>
      <c r="E18207" s="44" t="n">
        <v>12053.642</v>
      </c>
    </row>
    <row r="18208">
      <c r="A18208" s="39">
        <f>_xlfn.XLOOKUP(83170,Trip[shape_id],Trip[shape_id],"Não encontrado")</f>
        <v/>
      </c>
      <c r="B18208" s="40" t="n">
        <v>-23.57724</v>
      </c>
      <c r="C18208" s="40" t="n">
        <v>-46.524535</v>
      </c>
      <c r="D18208" s="40" t="n">
        <v>466</v>
      </c>
      <c r="E18208" s="41" t="n">
        <v>12073.382</v>
      </c>
    </row>
    <row r="18209">
      <c r="A18209" s="42">
        <f>_xlfn.XLOOKUP(83170,Trip[shape_id],Trip[shape_id],"Não encontrado")</f>
        <v/>
      </c>
      <c r="B18209" s="43" t="n">
        <v>-23.577448</v>
      </c>
      <c r="C18209" s="43" t="n">
        <v>-46.524801</v>
      </c>
      <c r="D18209" s="43" t="n">
        <v>467</v>
      </c>
      <c r="E18209" s="44" t="n">
        <v>12108.991</v>
      </c>
    </row>
    <row r="18210">
      <c r="A18210" s="39">
        <f>_xlfn.XLOOKUP(83170,Trip[shape_id],Trip[shape_id],"Não encontrado")</f>
        <v/>
      </c>
      <c r="B18210" s="40" t="n">
        <v>-23.577567</v>
      </c>
      <c r="C18210" s="40" t="n">
        <v>-46.52496</v>
      </c>
      <c r="D18210" s="40" t="n">
        <v>468</v>
      </c>
      <c r="E18210" s="41" t="n">
        <v>12129.899</v>
      </c>
    </row>
    <row r="18211">
      <c r="A18211" s="42">
        <f>_xlfn.XLOOKUP(83170,Trip[shape_id],Trip[shape_id],"Não encontrado")</f>
        <v/>
      </c>
      <c r="B18211" s="43" t="n">
        <v>-23.577445</v>
      </c>
      <c r="C18211" s="43" t="n">
        <v>-46.525368</v>
      </c>
      <c r="D18211" s="43" t="n">
        <v>469</v>
      </c>
      <c r="E18211" s="44" t="n">
        <v>12173.686</v>
      </c>
    </row>
    <row r="18212">
      <c r="A18212" s="39">
        <f>_xlfn.XLOOKUP(83170,Trip[shape_id],Trip[shape_id],"Não encontrado")</f>
        <v/>
      </c>
      <c r="B18212" s="40" t="n">
        <v>-23.577174</v>
      </c>
      <c r="C18212" s="40" t="n">
        <v>-46.52582</v>
      </c>
      <c r="D18212" s="40" t="n">
        <v>470</v>
      </c>
      <c r="E18212" s="41" t="n">
        <v>12228.729</v>
      </c>
    </row>
    <row r="18213">
      <c r="A18213" s="42">
        <f>_xlfn.XLOOKUP(83170,Trip[shape_id],Trip[shape_id],"Não encontrado")</f>
        <v/>
      </c>
      <c r="B18213" s="43" t="n">
        <v>-23.57707</v>
      </c>
      <c r="C18213" s="43" t="n">
        <v>-46.525987</v>
      </c>
      <c r="D18213" s="43" t="n">
        <v>471</v>
      </c>
      <c r="E18213" s="44" t="n">
        <v>12249.304</v>
      </c>
    </row>
    <row r="18214">
      <c r="A18214" s="39">
        <f>_xlfn.XLOOKUP(83170,Trip[shape_id],Trip[shape_id],"Não encontrado")</f>
        <v/>
      </c>
      <c r="B18214" s="40" t="n">
        <v>-23.576832</v>
      </c>
      <c r="C18214" s="40" t="n">
        <v>-46.526372</v>
      </c>
      <c r="D18214" s="40" t="n">
        <v>472</v>
      </c>
      <c r="E18214" s="41" t="n">
        <v>12296.626</v>
      </c>
    </row>
    <row r="18215">
      <c r="A18215" s="42">
        <f>_xlfn.XLOOKUP(83170,Trip[shape_id],Trip[shape_id],"Não encontrado")</f>
        <v/>
      </c>
      <c r="B18215" s="43" t="n">
        <v>-23.576644</v>
      </c>
      <c r="C18215" s="43" t="n">
        <v>-46.526691</v>
      </c>
      <c r="D18215" s="43" t="n">
        <v>473</v>
      </c>
      <c r="E18215" s="44" t="n">
        <v>12335.277</v>
      </c>
    </row>
    <row r="18216">
      <c r="A18216" s="39">
        <f>_xlfn.XLOOKUP(83170,Trip[shape_id],Trip[shape_id],"Não encontrado")</f>
        <v/>
      </c>
      <c r="B18216" s="40" t="n">
        <v>-23.576533</v>
      </c>
      <c r="C18216" s="40" t="n">
        <v>-46.526982</v>
      </c>
      <c r="D18216" s="40" t="n">
        <v>474</v>
      </c>
      <c r="E18216" s="41" t="n">
        <v>12367.427</v>
      </c>
    </row>
    <row r="18217">
      <c r="A18217" s="42">
        <f>_xlfn.XLOOKUP(83170,Trip[shape_id],Trip[shape_id],"Não encontrado")</f>
        <v/>
      </c>
      <c r="B18217" s="43" t="n">
        <v>-23.576461</v>
      </c>
      <c r="C18217" s="43" t="n">
        <v>-46.52717</v>
      </c>
      <c r="D18217" s="43" t="n">
        <v>475</v>
      </c>
      <c r="E18217" s="44" t="n">
        <v>12388.209</v>
      </c>
    </row>
    <row r="18218">
      <c r="A18218" s="39">
        <f>_xlfn.XLOOKUP(83170,Trip[shape_id],Trip[shape_id],"Não encontrado")</f>
        <v/>
      </c>
      <c r="B18218" s="40" t="n">
        <v>-23.576409</v>
      </c>
      <c r="C18218" s="40" t="n">
        <v>-46.527386</v>
      </c>
      <c r="D18218" s="40" t="n">
        <v>476</v>
      </c>
      <c r="E18218" s="41" t="n">
        <v>12410.998</v>
      </c>
    </row>
    <row r="18219">
      <c r="A18219" s="42">
        <f>_xlfn.XLOOKUP(83170,Trip[shape_id],Trip[shape_id],"Não encontrado")</f>
        <v/>
      </c>
      <c r="B18219" s="43" t="n">
        <v>-23.576184</v>
      </c>
      <c r="C18219" s="43" t="n">
        <v>-46.528231</v>
      </c>
      <c r="D18219" s="43" t="n">
        <v>477</v>
      </c>
      <c r="E18219" s="44" t="n">
        <v>12500.785</v>
      </c>
    </row>
    <row r="18220">
      <c r="A18220" s="39">
        <f>_xlfn.XLOOKUP(83170,Trip[shape_id],Trip[shape_id],"Não encontrado")</f>
        <v/>
      </c>
      <c r="B18220" s="40" t="n">
        <v>-23.576038</v>
      </c>
      <c r="C18220" s="40" t="n">
        <v>-46.52877</v>
      </c>
      <c r="D18220" s="40" t="n">
        <v>478</v>
      </c>
      <c r="E18220" s="41" t="n">
        <v>12558.135</v>
      </c>
    </row>
    <row r="18221">
      <c r="A18221" s="42">
        <f>_xlfn.XLOOKUP(83170,Trip[shape_id],Trip[shape_id],"Não encontrado")</f>
        <v/>
      </c>
      <c r="B18221" s="43" t="n">
        <v>-23.575884</v>
      </c>
      <c r="C18221" s="43" t="n">
        <v>-46.528747</v>
      </c>
      <c r="D18221" s="43" t="n">
        <v>479</v>
      </c>
      <c r="E18221" s="44" t="n">
        <v>12575.352</v>
      </c>
    </row>
    <row r="18222">
      <c r="A18222" s="39">
        <f>_xlfn.XLOOKUP(83170,Trip[shape_id],Trip[shape_id],"Não encontrado")</f>
        <v/>
      </c>
      <c r="B18222" s="40" t="n">
        <v>-23.575732</v>
      </c>
      <c r="C18222" s="40" t="n">
        <v>-46.528735</v>
      </c>
      <c r="D18222" s="40" t="n">
        <v>480</v>
      </c>
      <c r="E18222" s="41" t="n">
        <v>12592.23</v>
      </c>
    </row>
    <row r="18223">
      <c r="A18223" s="42">
        <f>_xlfn.XLOOKUP(83170,Trip[shape_id],Trip[shape_id],"Não encontrado")</f>
        <v/>
      </c>
      <c r="B18223" s="43" t="n">
        <v>-23.57563</v>
      </c>
      <c r="C18223" s="43" t="n">
        <v>-46.528747</v>
      </c>
      <c r="D18223" s="43" t="n">
        <v>481</v>
      </c>
      <c r="E18223" s="44" t="n">
        <v>12603.594</v>
      </c>
    </row>
    <row r="18224">
      <c r="A18224" s="39">
        <f>_xlfn.XLOOKUP(83170,Trip[shape_id],Trip[shape_id],"Não encontrado")</f>
        <v/>
      </c>
      <c r="B18224" s="40" t="n">
        <v>-23.575571</v>
      </c>
      <c r="C18224" s="40" t="n">
        <v>-46.52877</v>
      </c>
      <c r="D18224" s="40" t="n">
        <v>482</v>
      </c>
      <c r="E18224" s="41" t="n">
        <v>12610.537</v>
      </c>
    </row>
    <row r="18225">
      <c r="A18225" s="42">
        <f>_xlfn.XLOOKUP(83170,Trip[shape_id],Trip[shape_id],"Não encontrado")</f>
        <v/>
      </c>
      <c r="B18225" s="43" t="n">
        <v>-23.575488</v>
      </c>
      <c r="C18225" s="43" t="n">
        <v>-46.528846</v>
      </c>
      <c r="D18225" s="43" t="n">
        <v>483</v>
      </c>
      <c r="E18225" s="44" t="n">
        <v>12622.566</v>
      </c>
    </row>
    <row r="18226">
      <c r="A18226" s="39">
        <f>_xlfn.XLOOKUP(83170,Trip[shape_id],Trip[shape_id],"Não encontrado")</f>
        <v/>
      </c>
      <c r="B18226" s="40" t="n">
        <v>-23.575467</v>
      </c>
      <c r="C18226" s="40" t="n">
        <v>-46.528882</v>
      </c>
      <c r="D18226" s="40" t="n">
        <v>484</v>
      </c>
      <c r="E18226" s="41" t="n">
        <v>12626.916</v>
      </c>
    </row>
    <row r="18227">
      <c r="A18227" s="42">
        <f>_xlfn.XLOOKUP(83170,Trip[shape_id],Trip[shape_id],"Não encontrado")</f>
        <v/>
      </c>
      <c r="B18227" s="43" t="n">
        <v>-23.57508</v>
      </c>
      <c r="C18227" s="43" t="n">
        <v>-46.529478</v>
      </c>
      <c r="D18227" s="43" t="n">
        <v>485</v>
      </c>
      <c r="E18227" s="44" t="n">
        <v>12701.339</v>
      </c>
    </row>
    <row r="18228">
      <c r="A18228" s="39">
        <f>_xlfn.XLOOKUP(83170,Trip[shape_id],Trip[shape_id],"Não encontrado")</f>
        <v/>
      </c>
      <c r="B18228" s="40" t="n">
        <v>-23.574854</v>
      </c>
      <c r="C18228" s="40" t="n">
        <v>-46.529837</v>
      </c>
      <c r="D18228" s="40" t="n">
        <v>486</v>
      </c>
      <c r="E18228" s="41" t="n">
        <v>12745.719</v>
      </c>
    </row>
    <row r="18229">
      <c r="A18229" s="42">
        <f>_xlfn.XLOOKUP(83170,Trip[shape_id],Trip[shape_id],"Não encontrado")</f>
        <v/>
      </c>
      <c r="B18229" s="43" t="n">
        <v>-23.574674</v>
      </c>
      <c r="C18229" s="43" t="n">
        <v>-46.530115</v>
      </c>
      <c r="D18229" s="43" t="n">
        <v>487</v>
      </c>
      <c r="E18229" s="44" t="n">
        <v>12780.4</v>
      </c>
    </row>
    <row r="18230">
      <c r="A18230" s="39">
        <f>_xlfn.XLOOKUP(83170,Trip[shape_id],Trip[shape_id],"Não encontrado")</f>
        <v/>
      </c>
      <c r="B18230" s="40" t="n">
        <v>-23.574559</v>
      </c>
      <c r="C18230" s="40" t="n">
        <v>-46.530331</v>
      </c>
      <c r="D18230" s="40" t="n">
        <v>488</v>
      </c>
      <c r="E18230" s="41" t="n">
        <v>12805.864</v>
      </c>
    </row>
    <row r="18231">
      <c r="A18231" s="42">
        <f>_xlfn.XLOOKUP(83170,Trip[shape_id],Trip[shape_id],"Não encontrado")</f>
        <v/>
      </c>
      <c r="B18231" s="43" t="n">
        <v>-23.574378</v>
      </c>
      <c r="C18231" s="43" t="n">
        <v>-46.530694</v>
      </c>
      <c r="D18231" s="43" t="n">
        <v>489</v>
      </c>
      <c r="E18231" s="44" t="n">
        <v>12847.995</v>
      </c>
    </row>
    <row r="18232">
      <c r="A18232" s="39">
        <f>_xlfn.XLOOKUP(83170,Trip[shape_id],Trip[shape_id],"Não encontrado")</f>
        <v/>
      </c>
      <c r="B18232" s="40" t="n">
        <v>-23.574145</v>
      </c>
      <c r="C18232" s="40" t="n">
        <v>-46.531156</v>
      </c>
      <c r="D18232" s="40" t="n">
        <v>490</v>
      </c>
      <c r="E18232" s="41" t="n">
        <v>12901.756</v>
      </c>
    </row>
    <row r="18233">
      <c r="A18233" s="42">
        <f>_xlfn.XLOOKUP(83170,Trip[shape_id],Trip[shape_id],"Não encontrado")</f>
        <v/>
      </c>
      <c r="B18233" s="43" t="n">
        <v>-23.57399</v>
      </c>
      <c r="C18233" s="43" t="n">
        <v>-46.531458</v>
      </c>
      <c r="D18233" s="43" t="n">
        <v>491</v>
      </c>
      <c r="E18233" s="44" t="n">
        <v>12937.042</v>
      </c>
    </row>
    <row r="18234">
      <c r="A18234" s="39">
        <f>_xlfn.XLOOKUP(83170,Trip[shape_id],Trip[shape_id],"Não encontrado")</f>
        <v/>
      </c>
      <c r="B18234" s="40" t="n">
        <v>-23.573956</v>
      </c>
      <c r="C18234" s="40" t="n">
        <v>-46.531523</v>
      </c>
      <c r="D18234" s="40" t="n">
        <v>492</v>
      </c>
      <c r="E18234" s="41" t="n">
        <v>12944.671</v>
      </c>
    </row>
    <row r="18235">
      <c r="A18235" s="42">
        <f>_xlfn.XLOOKUP(83170,Trip[shape_id],Trip[shape_id],"Não encontrado")</f>
        <v/>
      </c>
      <c r="B18235" s="43" t="n">
        <v>-23.573867</v>
      </c>
      <c r="C18235" s="43" t="n">
        <v>-46.531707</v>
      </c>
      <c r="D18235" s="43" t="n">
        <v>493</v>
      </c>
      <c r="E18235" s="44" t="n">
        <v>12965.884</v>
      </c>
    </row>
    <row r="18236">
      <c r="A18236" s="39">
        <f>_xlfn.XLOOKUP(83170,Trip[shape_id],Trip[shape_id],"Não encontrado")</f>
        <v/>
      </c>
      <c r="B18236" s="40" t="n">
        <v>-23.573866</v>
      </c>
      <c r="C18236" s="40" t="n">
        <v>-46.531736</v>
      </c>
      <c r="D18236" s="40" t="n">
        <v>494</v>
      </c>
      <c r="E18236" s="41" t="n">
        <v>12968.847</v>
      </c>
    </row>
    <row r="18237">
      <c r="A18237" s="42">
        <f>_xlfn.XLOOKUP(83170,Trip[shape_id],Trip[shape_id],"Não encontrado")</f>
        <v/>
      </c>
      <c r="B18237" s="43" t="n">
        <v>-23.573866</v>
      </c>
      <c r="C18237" s="43" t="n">
        <v>-46.531801</v>
      </c>
      <c r="D18237" s="43" t="n">
        <v>495</v>
      </c>
      <c r="E18237" s="44" t="n">
        <v>12975.481</v>
      </c>
    </row>
    <row r="18238">
      <c r="A18238" s="39">
        <f>_xlfn.XLOOKUP(83170,Trip[shape_id],Trip[shape_id],"Não encontrado")</f>
        <v/>
      </c>
      <c r="B18238" s="40" t="n">
        <v>-23.573864</v>
      </c>
      <c r="C18238" s="40" t="n">
        <v>-46.531901</v>
      </c>
      <c r="D18238" s="40" t="n">
        <v>496</v>
      </c>
      <c r="E18238" s="41" t="n">
        <v>12985.692</v>
      </c>
    </row>
    <row r="18239">
      <c r="A18239" s="42">
        <f>_xlfn.XLOOKUP(83170,Trip[shape_id],Trip[shape_id],"Não encontrado")</f>
        <v/>
      </c>
      <c r="B18239" s="43" t="n">
        <v>-23.573835</v>
      </c>
      <c r="C18239" s="43" t="n">
        <v>-46.532025</v>
      </c>
      <c r="D18239" s="43" t="n">
        <v>497</v>
      </c>
      <c r="E18239" s="44" t="n">
        <v>12998.752</v>
      </c>
    </row>
    <row r="18240">
      <c r="A18240" s="39">
        <f>_xlfn.XLOOKUP(83170,Trip[shape_id],Trip[shape_id],"Não encontrado")</f>
        <v/>
      </c>
      <c r="B18240" s="40" t="n">
        <v>-23.573815</v>
      </c>
      <c r="C18240" s="40" t="n">
        <v>-46.532118</v>
      </c>
      <c r="D18240" s="40" t="n">
        <v>498</v>
      </c>
      <c r="E18240" s="41" t="n">
        <v>13008.501</v>
      </c>
    </row>
    <row r="18241">
      <c r="A18241" s="42">
        <f>_xlfn.XLOOKUP(83170,Trip[shape_id],Trip[shape_id],"Não encontrado")</f>
        <v/>
      </c>
      <c r="B18241" s="43" t="n">
        <v>-23.573792</v>
      </c>
      <c r="C18241" s="43" t="n">
        <v>-46.532229</v>
      </c>
      <c r="D18241" s="43" t="n">
        <v>499</v>
      </c>
      <c r="E18241" s="44" t="n">
        <v>13020.114</v>
      </c>
    </row>
    <row r="18242">
      <c r="A18242" s="39">
        <f>_xlfn.XLOOKUP(83170,Trip[shape_id],Trip[shape_id],"Não encontrado")</f>
        <v/>
      </c>
      <c r="B18242" s="40" t="n">
        <v>-23.573764</v>
      </c>
      <c r="C18242" s="40" t="n">
        <v>-46.532285</v>
      </c>
      <c r="D18242" s="40" t="n">
        <v>500</v>
      </c>
      <c r="E18242" s="41" t="n">
        <v>13026.617</v>
      </c>
    </row>
    <row r="18243">
      <c r="A18243" s="42">
        <f>_xlfn.XLOOKUP(83170,Trip[shape_id],Trip[shape_id],"Não encontrado")</f>
        <v/>
      </c>
      <c r="B18243" s="43" t="n">
        <v>-23.573734</v>
      </c>
      <c r="C18243" s="43" t="n">
        <v>-46.532338</v>
      </c>
      <c r="D18243" s="43" t="n">
        <v>501</v>
      </c>
      <c r="E18243" s="44" t="n">
        <v>13032.967</v>
      </c>
    </row>
    <row r="18244">
      <c r="A18244" s="39">
        <f>_xlfn.XLOOKUP(83170,Trip[shape_id],Trip[shape_id],"Não encontrado")</f>
        <v/>
      </c>
      <c r="B18244" s="40" t="n">
        <v>-23.573676</v>
      </c>
      <c r="C18244" s="40" t="n">
        <v>-46.532424</v>
      </c>
      <c r="D18244" s="40" t="n">
        <v>502</v>
      </c>
      <c r="E18244" s="41" t="n">
        <v>13043.845</v>
      </c>
    </row>
    <row r="18245">
      <c r="A18245" s="42">
        <f>_xlfn.XLOOKUP(83170,Trip[shape_id],Trip[shape_id],"Não encontrado")</f>
        <v/>
      </c>
      <c r="B18245" s="43" t="n">
        <v>-23.573618</v>
      </c>
      <c r="C18245" s="43" t="n">
        <v>-46.532506</v>
      </c>
      <c r="D18245" s="43" t="n">
        <v>503</v>
      </c>
      <c r="E18245" s="44" t="n">
        <v>13054.396</v>
      </c>
    </row>
    <row r="18246">
      <c r="A18246" s="39">
        <f>_xlfn.XLOOKUP(83170,Trip[shape_id],Trip[shape_id],"Não encontrado")</f>
        <v/>
      </c>
      <c r="B18246" s="40" t="n">
        <v>-23.573597</v>
      </c>
      <c r="C18246" s="40" t="n">
        <v>-46.53253</v>
      </c>
      <c r="D18246" s="40" t="n">
        <v>504</v>
      </c>
      <c r="E18246" s="41" t="n">
        <v>13057.773</v>
      </c>
    </row>
    <row r="18247">
      <c r="A18247" s="42">
        <f>_xlfn.XLOOKUP(83170,Trip[shape_id],Trip[shape_id],"Não encontrado")</f>
        <v/>
      </c>
      <c r="B18247" s="43" t="n">
        <v>-23.5735</v>
      </c>
      <c r="C18247" s="43" t="n">
        <v>-46.532636</v>
      </c>
      <c r="D18247" s="43" t="n">
        <v>505</v>
      </c>
      <c r="E18247" s="44" t="n">
        <v>13073.021</v>
      </c>
    </row>
    <row r="18248">
      <c r="A18248" s="39">
        <f>_xlfn.XLOOKUP(83170,Trip[shape_id],Trip[shape_id],"Não encontrado")</f>
        <v/>
      </c>
      <c r="B18248" s="40" t="n">
        <v>-23.573406</v>
      </c>
      <c r="C18248" s="40" t="n">
        <v>-46.532727</v>
      </c>
      <c r="D18248" s="40" t="n">
        <v>506</v>
      </c>
      <c r="E18248" s="41" t="n">
        <v>13086.975</v>
      </c>
    </row>
    <row r="18249">
      <c r="A18249" s="42">
        <f>_xlfn.XLOOKUP(83170,Trip[shape_id],Trip[shape_id],"Não encontrado")</f>
        <v/>
      </c>
      <c r="B18249" s="43" t="n">
        <v>-23.57319</v>
      </c>
      <c r="C18249" s="43" t="n">
        <v>-46.532925</v>
      </c>
      <c r="D18249" s="43" t="n">
        <v>507</v>
      </c>
      <c r="E18249" s="44" t="n">
        <v>13118.293</v>
      </c>
    </row>
    <row r="18250">
      <c r="A18250" s="39">
        <f>_xlfn.XLOOKUP(83170,Trip[shape_id],Trip[shape_id],"Não encontrado")</f>
        <v/>
      </c>
      <c r="B18250" s="40" t="n">
        <v>-23.573027</v>
      </c>
      <c r="C18250" s="40" t="n">
        <v>-46.5331</v>
      </c>
      <c r="D18250" s="40" t="n">
        <v>508</v>
      </c>
      <c r="E18250" s="41" t="n">
        <v>13143.691</v>
      </c>
    </row>
    <row r="18251">
      <c r="A18251" s="42">
        <f>_xlfn.XLOOKUP(83170,Trip[shape_id],Trip[shape_id],"Não encontrado")</f>
        <v/>
      </c>
      <c r="B18251" s="43" t="n">
        <v>-23.573011</v>
      </c>
      <c r="C18251" s="43" t="n">
        <v>-46.533117</v>
      </c>
      <c r="D18251" s="43" t="n">
        <v>509</v>
      </c>
      <c r="E18251" s="44" t="n">
        <v>13146.174</v>
      </c>
    </row>
    <row r="18252">
      <c r="A18252" s="39">
        <f>_xlfn.XLOOKUP(83170,Trip[shape_id],Trip[shape_id],"Não encontrado")</f>
        <v/>
      </c>
      <c r="B18252" s="40" t="n">
        <v>-23.573014</v>
      </c>
      <c r="C18252" s="40" t="n">
        <v>-46.533172</v>
      </c>
      <c r="D18252" s="40" t="n">
        <v>510</v>
      </c>
      <c r="E18252" s="41" t="n">
        <v>13151.798</v>
      </c>
    </row>
    <row r="18253">
      <c r="A18253" s="42">
        <f>_xlfn.XLOOKUP(83170,Trip[shape_id],Trip[shape_id],"Não encontrado")</f>
        <v/>
      </c>
      <c r="B18253" s="43" t="n">
        <v>-23.573014</v>
      </c>
      <c r="C18253" s="43" t="n">
        <v>-46.533302</v>
      </c>
      <c r="D18253" s="43" t="n">
        <v>511</v>
      </c>
      <c r="E18253" s="44" t="n">
        <v>13165.069</v>
      </c>
    </row>
    <row r="18254">
      <c r="A18254" s="39">
        <f>_xlfn.XLOOKUP(83170,Trip[shape_id],Trip[shape_id],"Não encontrado")</f>
        <v/>
      </c>
      <c r="B18254" s="40" t="n">
        <v>-23.573013</v>
      </c>
      <c r="C18254" s="40" t="n">
        <v>-46.533396</v>
      </c>
      <c r="D18254" s="40" t="n">
        <v>512</v>
      </c>
      <c r="E18254" s="41" t="n">
        <v>13174.666</v>
      </c>
    </row>
    <row r="18255">
      <c r="A18255" s="42">
        <f>_xlfn.XLOOKUP(83170,Trip[shape_id],Trip[shape_id],"Não encontrado")</f>
        <v/>
      </c>
      <c r="B18255" s="43" t="n">
        <v>-23.573004</v>
      </c>
      <c r="C18255" s="43" t="n">
        <v>-46.533601</v>
      </c>
      <c r="D18255" s="43" t="n">
        <v>513</v>
      </c>
      <c r="E18255" s="44" t="n">
        <v>13195.617</v>
      </c>
    </row>
    <row r="18256">
      <c r="A18256" s="39">
        <f>_xlfn.XLOOKUP(83170,Trip[shape_id],Trip[shape_id],"Não encontrado")</f>
        <v/>
      </c>
      <c r="B18256" s="40" t="n">
        <v>-23.572972</v>
      </c>
      <c r="C18256" s="40" t="n">
        <v>-46.533783</v>
      </c>
      <c r="D18256" s="40" t="n">
        <v>514</v>
      </c>
      <c r="E18256" s="41" t="n">
        <v>13214.531</v>
      </c>
    </row>
    <row r="18257">
      <c r="A18257" s="42">
        <f>_xlfn.XLOOKUP(83170,Trip[shape_id],Trip[shape_id],"Não encontrado")</f>
        <v/>
      </c>
      <c r="B18257" s="43" t="n">
        <v>-23.572943</v>
      </c>
      <c r="C18257" s="43" t="n">
        <v>-46.533909</v>
      </c>
      <c r="D18257" s="43" t="n">
        <v>515</v>
      </c>
      <c r="E18257" s="44" t="n">
        <v>13227.789</v>
      </c>
    </row>
    <row r="18258">
      <c r="A18258" s="39">
        <f>_xlfn.XLOOKUP(83170,Trip[shape_id],Trip[shape_id],"Não encontrado")</f>
        <v/>
      </c>
      <c r="B18258" s="40" t="n">
        <v>-23.572922</v>
      </c>
      <c r="C18258" s="40" t="n">
        <v>-46.534001</v>
      </c>
      <c r="D18258" s="40" t="n">
        <v>516</v>
      </c>
      <c r="E18258" s="41" t="n">
        <v>13237.465</v>
      </c>
    </row>
    <row r="18259">
      <c r="A18259" s="42">
        <f>_xlfn.XLOOKUP(83170,Trip[shape_id],Trip[shape_id],"Não encontrado")</f>
        <v/>
      </c>
      <c r="B18259" s="43" t="n">
        <v>-23.572879</v>
      </c>
      <c r="C18259" s="43" t="n">
        <v>-46.534127</v>
      </c>
      <c r="D18259" s="43" t="n">
        <v>517</v>
      </c>
      <c r="E18259" s="44" t="n">
        <v>13251.181</v>
      </c>
    </row>
    <row r="18260">
      <c r="A18260" s="39">
        <f>_xlfn.XLOOKUP(83170,Trip[shape_id],Trip[shape_id],"Não encontrado")</f>
        <v/>
      </c>
      <c r="B18260" s="40" t="n">
        <v>-23.572847</v>
      </c>
      <c r="C18260" s="40" t="n">
        <v>-46.534197</v>
      </c>
      <c r="D18260" s="40" t="n">
        <v>518</v>
      </c>
      <c r="E18260" s="41" t="n">
        <v>13259.157</v>
      </c>
    </row>
    <row r="18261">
      <c r="A18261" s="42">
        <f>_xlfn.XLOOKUP(83170,Trip[shape_id],Trip[shape_id],"Não encontrado")</f>
        <v/>
      </c>
      <c r="B18261" s="43" t="n">
        <v>-23.572746</v>
      </c>
      <c r="C18261" s="43" t="n">
        <v>-46.53444</v>
      </c>
      <c r="D18261" s="43" t="n">
        <v>519</v>
      </c>
      <c r="E18261" s="44" t="n">
        <v>13286.369</v>
      </c>
    </row>
    <row r="18262">
      <c r="A18262" s="39">
        <f>_xlfn.XLOOKUP(83170,Trip[shape_id],Trip[shape_id],"Não encontrado")</f>
        <v/>
      </c>
      <c r="B18262" s="40" t="n">
        <v>-23.572661</v>
      </c>
      <c r="C18262" s="40" t="n">
        <v>-46.534615</v>
      </c>
      <c r="D18262" s="40" t="n">
        <v>520</v>
      </c>
      <c r="E18262" s="41" t="n">
        <v>13306.563</v>
      </c>
    </row>
    <row r="18263">
      <c r="A18263" s="42">
        <f>_xlfn.XLOOKUP(83170,Trip[shape_id],Trip[shape_id],"Não encontrado")</f>
        <v/>
      </c>
      <c r="B18263" s="43" t="n">
        <v>-23.571741</v>
      </c>
      <c r="C18263" s="43" t="n">
        <v>-46.536594</v>
      </c>
      <c r="D18263" s="43" t="n">
        <v>521</v>
      </c>
      <c r="E18263" s="44" t="n">
        <v>13532.83</v>
      </c>
    </row>
    <row r="18264">
      <c r="A18264" s="39">
        <f>_xlfn.XLOOKUP(83170,Trip[shape_id],Trip[shape_id],"Não encontrado")</f>
        <v/>
      </c>
      <c r="B18264" s="40" t="n">
        <v>-23.571564</v>
      </c>
      <c r="C18264" s="40" t="n">
        <v>-46.53696</v>
      </c>
      <c r="D18264" s="40" t="n">
        <v>522</v>
      </c>
      <c r="E18264" s="41" t="n">
        <v>13575.023</v>
      </c>
    </row>
    <row r="18265">
      <c r="A18265" s="42">
        <f>_xlfn.XLOOKUP(83170,Trip[shape_id],Trip[shape_id],"Não encontrado")</f>
        <v/>
      </c>
      <c r="B18265" s="43" t="n">
        <v>-23.571403</v>
      </c>
      <c r="C18265" s="43" t="n">
        <v>-46.537344</v>
      </c>
      <c r="D18265" s="43" t="n">
        <v>523</v>
      </c>
      <c r="E18265" s="44" t="n">
        <v>13618.089</v>
      </c>
    </row>
    <row r="18266">
      <c r="A18266" s="39">
        <f>_xlfn.XLOOKUP(83170,Trip[shape_id],Trip[shape_id],"Não encontrado")</f>
        <v/>
      </c>
      <c r="B18266" s="40" t="n">
        <v>-23.571247</v>
      </c>
      <c r="C18266" s="40" t="n">
        <v>-46.537712</v>
      </c>
      <c r="D18266" s="40" t="n">
        <v>524</v>
      </c>
      <c r="E18266" s="41" t="n">
        <v>13659.439</v>
      </c>
    </row>
    <row r="18267">
      <c r="A18267" s="42">
        <f>_xlfn.XLOOKUP(83170,Trip[shape_id],Trip[shape_id],"Não encontrado")</f>
        <v/>
      </c>
      <c r="B18267" s="43" t="n">
        <v>-23.571126</v>
      </c>
      <c r="C18267" s="43" t="n">
        <v>-46.538052</v>
      </c>
      <c r="D18267" s="43" t="n">
        <v>525</v>
      </c>
      <c r="E18267" s="44" t="n">
        <v>13696.646</v>
      </c>
    </row>
    <row r="18268">
      <c r="A18268" s="39">
        <f>_xlfn.XLOOKUP(83170,Trip[shape_id],Trip[shape_id],"Não encontrado")</f>
        <v/>
      </c>
      <c r="B18268" s="40" t="n">
        <v>-23.570938</v>
      </c>
      <c r="C18268" s="40" t="n">
        <v>-46.538579</v>
      </c>
      <c r="D18268" s="40" t="n">
        <v>526</v>
      </c>
      <c r="E18268" s="41" t="n">
        <v>13754.334</v>
      </c>
    </row>
    <row r="18269">
      <c r="A18269" s="42">
        <f>_xlfn.XLOOKUP(83170,Trip[shape_id],Trip[shape_id],"Não encontrado")</f>
        <v/>
      </c>
      <c r="B18269" s="43" t="n">
        <v>-23.570873</v>
      </c>
      <c r="C18269" s="43" t="n">
        <v>-46.538764</v>
      </c>
      <c r="D18269" s="43" t="n">
        <v>527</v>
      </c>
      <c r="E18269" s="44" t="n">
        <v>13774.545</v>
      </c>
    </row>
    <row r="18270">
      <c r="A18270" s="39">
        <f>_xlfn.XLOOKUP(83170,Trip[shape_id],Trip[shape_id],"Não encontrado")</f>
        <v/>
      </c>
      <c r="B18270" s="40" t="n">
        <v>-23.570763</v>
      </c>
      <c r="C18270" s="40" t="n">
        <v>-46.539081</v>
      </c>
      <c r="D18270" s="40" t="n">
        <v>528</v>
      </c>
      <c r="E18270" s="41" t="n">
        <v>13809.123</v>
      </c>
    </row>
    <row r="18271">
      <c r="A18271" s="42">
        <f>_xlfn.XLOOKUP(83170,Trip[shape_id],Trip[shape_id],"Não encontrado")</f>
        <v/>
      </c>
      <c r="B18271" s="43" t="n">
        <v>-23.570552</v>
      </c>
      <c r="C18271" s="43" t="n">
        <v>-46.539682</v>
      </c>
      <c r="D18271" s="43" t="n">
        <v>529</v>
      </c>
      <c r="E18271" s="44" t="n">
        <v>13874.776</v>
      </c>
    </row>
    <row r="18272">
      <c r="A18272" s="39">
        <f>_xlfn.XLOOKUP(83170,Trip[shape_id],Trip[shape_id],"Não encontrado")</f>
        <v/>
      </c>
      <c r="B18272" s="40" t="n">
        <v>-23.570354</v>
      </c>
      <c r="C18272" s="40" t="n">
        <v>-46.540257</v>
      </c>
      <c r="D18272" s="40" t="n">
        <v>530</v>
      </c>
      <c r="E18272" s="41" t="n">
        <v>13937.438</v>
      </c>
    </row>
    <row r="18273">
      <c r="A18273" s="42">
        <f>_xlfn.XLOOKUP(83170,Trip[shape_id],Trip[shape_id],"Não encontrado")</f>
        <v/>
      </c>
      <c r="B18273" s="43" t="n">
        <v>-23.570307</v>
      </c>
      <c r="C18273" s="43" t="n">
        <v>-46.540339</v>
      </c>
      <c r="D18273" s="43" t="n">
        <v>531</v>
      </c>
      <c r="E18273" s="44" t="n">
        <v>13947.296</v>
      </c>
    </row>
    <row r="18274">
      <c r="A18274" s="39">
        <f>_xlfn.XLOOKUP(83170,Trip[shape_id],Trip[shape_id],"Não encontrado")</f>
        <v/>
      </c>
      <c r="B18274" s="40" t="n">
        <v>-23.570263</v>
      </c>
      <c r="C18274" s="40" t="n">
        <v>-46.540403</v>
      </c>
      <c r="D18274" s="40" t="n">
        <v>532</v>
      </c>
      <c r="E18274" s="41" t="n">
        <v>13955.447</v>
      </c>
    </row>
    <row r="18275">
      <c r="A18275" s="42">
        <f>_xlfn.XLOOKUP(83170,Trip[shape_id],Trip[shape_id],"Não encontrado")</f>
        <v/>
      </c>
      <c r="B18275" s="43" t="n">
        <v>-23.57016</v>
      </c>
      <c r="C18275" s="43" t="n">
        <v>-46.540536</v>
      </c>
      <c r="D18275" s="43" t="n">
        <v>533</v>
      </c>
      <c r="E18275" s="44" t="n">
        <v>13973.181</v>
      </c>
    </row>
    <row r="18276">
      <c r="A18276" s="39">
        <f>_xlfn.XLOOKUP(83170,Trip[shape_id],Trip[shape_id],"Não encontrado")</f>
        <v/>
      </c>
      <c r="B18276" s="40" t="n">
        <v>-23.570053</v>
      </c>
      <c r="C18276" s="40" t="n">
        <v>-46.540579</v>
      </c>
      <c r="D18276" s="40" t="n">
        <v>534</v>
      </c>
      <c r="E18276" s="41" t="n">
        <v>13985.818</v>
      </c>
    </row>
    <row r="18277">
      <c r="A18277" s="42">
        <f>_xlfn.XLOOKUP(83170,Trip[shape_id],Trip[shape_id],"Não encontrado")</f>
        <v/>
      </c>
      <c r="B18277" s="43" t="n">
        <v>-23.569965</v>
      </c>
      <c r="C18277" s="43" t="n">
        <v>-46.540602</v>
      </c>
      <c r="D18277" s="43" t="n">
        <v>535</v>
      </c>
      <c r="E18277" s="44" t="n">
        <v>13995.844</v>
      </c>
    </row>
    <row r="18278">
      <c r="A18278" s="39">
        <f>_xlfn.XLOOKUP(83170,Trip[shape_id],Trip[shape_id],"Não encontrado")</f>
        <v/>
      </c>
      <c r="B18278" s="40" t="n">
        <v>-23.569934</v>
      </c>
      <c r="C18278" s="40" t="n">
        <v>-46.540602</v>
      </c>
      <c r="D18278" s="40" t="n">
        <v>536</v>
      </c>
      <c r="E18278" s="41" t="n">
        <v>13999.276</v>
      </c>
    </row>
    <row r="18279">
      <c r="A18279" s="42">
        <f>_xlfn.XLOOKUP(83170,Trip[shape_id],Trip[shape_id],"Não encontrado")</f>
        <v/>
      </c>
      <c r="B18279" s="43" t="n">
        <v>-23.569877</v>
      </c>
      <c r="C18279" s="43" t="n">
        <v>-46.540603</v>
      </c>
      <c r="D18279" s="43" t="n">
        <v>537</v>
      </c>
      <c r="E18279" s="44" t="n">
        <v>14005.59</v>
      </c>
    </row>
    <row r="18280">
      <c r="A18280" s="39">
        <f>_xlfn.XLOOKUP(83170,Trip[shape_id],Trip[shape_id],"Não encontrado")</f>
        <v/>
      </c>
      <c r="B18280" s="40" t="n">
        <v>-23.569777</v>
      </c>
      <c r="C18280" s="40" t="n">
        <v>-46.54057</v>
      </c>
      <c r="D18280" s="40" t="n">
        <v>538</v>
      </c>
      <c r="E18280" s="41" t="n">
        <v>14017.166</v>
      </c>
    </row>
    <row r="18281">
      <c r="A18281" s="42">
        <f>_xlfn.XLOOKUP(83170,Trip[shape_id],Trip[shape_id],"Não encontrado")</f>
        <v/>
      </c>
      <c r="B18281" s="43" t="n">
        <v>-23.569472</v>
      </c>
      <c r="C18281" s="43" t="n">
        <v>-46.540373</v>
      </c>
      <c r="D18281" s="43" t="n">
        <v>539</v>
      </c>
      <c r="E18281" s="44" t="n">
        <v>14056.479</v>
      </c>
    </row>
    <row r="18282">
      <c r="A18282" s="39">
        <f>_xlfn.XLOOKUP(83170,Trip[shape_id],Trip[shape_id],"Não encontrado")</f>
        <v/>
      </c>
      <c r="B18282" s="40" t="n">
        <v>-23.569375</v>
      </c>
      <c r="C18282" s="40" t="n">
        <v>-46.54035</v>
      </c>
      <c r="D18282" s="40" t="n">
        <v>540</v>
      </c>
      <c r="E18282" s="41" t="n">
        <v>14067.476</v>
      </c>
    </row>
    <row r="18283">
      <c r="A18283" s="42">
        <f>_xlfn.XLOOKUP(83170,Trip[shape_id],Trip[shape_id],"Não encontrado")</f>
        <v/>
      </c>
      <c r="B18283" s="43" t="n">
        <v>-23.569201</v>
      </c>
      <c r="C18283" s="43" t="n">
        <v>-46.540315</v>
      </c>
      <c r="D18283" s="43" t="n">
        <v>541</v>
      </c>
      <c r="E18283" s="44" t="n">
        <v>14087.075</v>
      </c>
    </row>
    <row r="18284">
      <c r="A18284" s="39">
        <f>_xlfn.XLOOKUP(83170,Trip[shape_id],Trip[shape_id],"Não encontrado")</f>
        <v/>
      </c>
      <c r="B18284" s="40" t="n">
        <v>-23.569113</v>
      </c>
      <c r="C18284" s="40" t="n">
        <v>-46.540361</v>
      </c>
      <c r="D18284" s="40" t="n">
        <v>542</v>
      </c>
      <c r="E18284" s="41" t="n">
        <v>14097.894</v>
      </c>
    </row>
    <row r="18285">
      <c r="A18285" s="42">
        <f>_xlfn.XLOOKUP(83170,Trip[shape_id],Trip[shape_id],"Não encontrado")</f>
        <v/>
      </c>
      <c r="B18285" s="43" t="n">
        <v>-23.568965</v>
      </c>
      <c r="C18285" s="43" t="n">
        <v>-46.540437</v>
      </c>
      <c r="D18285" s="43" t="n">
        <v>543</v>
      </c>
      <c r="E18285" s="44" t="n">
        <v>14116.028</v>
      </c>
    </row>
    <row r="18286">
      <c r="A18286" s="39">
        <f>_xlfn.XLOOKUP(83170,Trip[shape_id],Trip[shape_id],"Não encontrado")</f>
        <v/>
      </c>
      <c r="B18286" s="40" t="n">
        <v>-23.568771</v>
      </c>
      <c r="C18286" s="40" t="n">
        <v>-46.540466</v>
      </c>
      <c r="D18286" s="40" t="n">
        <v>544</v>
      </c>
      <c r="E18286" s="41" t="n">
        <v>14137.717</v>
      </c>
    </row>
    <row r="18287">
      <c r="A18287" s="42">
        <f>_xlfn.XLOOKUP(83170,Trip[shape_id],Trip[shape_id],"Não encontrado")</f>
        <v/>
      </c>
      <c r="B18287" s="43" t="n">
        <v>-23.568666</v>
      </c>
      <c r="C18287" s="43" t="n">
        <v>-46.540466</v>
      </c>
      <c r="D18287" s="43" t="n">
        <v>545</v>
      </c>
      <c r="E18287" s="44" t="n">
        <v>14149.346</v>
      </c>
    </row>
    <row r="18288">
      <c r="A18288" s="39">
        <f>_xlfn.XLOOKUP(83170,Trip[shape_id],Trip[shape_id],"Não encontrado")</f>
        <v/>
      </c>
      <c r="B18288" s="40" t="n">
        <v>-23.568505</v>
      </c>
      <c r="C18288" s="40" t="n">
        <v>-46.540462</v>
      </c>
      <c r="D18288" s="40" t="n">
        <v>546</v>
      </c>
      <c r="E18288" s="41" t="n">
        <v>14167.182</v>
      </c>
    </row>
    <row r="18289">
      <c r="A18289" s="42">
        <f>_xlfn.XLOOKUP(83170,Trip[shape_id],Trip[shape_id],"Não encontrado")</f>
        <v/>
      </c>
      <c r="B18289" s="43" t="n">
        <v>-23.56801</v>
      </c>
      <c r="C18289" s="43" t="n">
        <v>-46.540378</v>
      </c>
      <c r="D18289" s="43" t="n">
        <v>547</v>
      </c>
      <c r="E18289" s="44" t="n">
        <v>14222.671</v>
      </c>
    </row>
    <row r="18290">
      <c r="A18290" s="39">
        <f>_xlfn.XLOOKUP(83170,Trip[shape_id],Trip[shape_id],"Não encontrado")</f>
        <v/>
      </c>
      <c r="B18290" s="40" t="n">
        <v>-23.567356</v>
      </c>
      <c r="C18290" s="40" t="n">
        <v>-46.540199</v>
      </c>
      <c r="D18290" s="40" t="n">
        <v>548</v>
      </c>
      <c r="E18290" s="41" t="n">
        <v>14297.372</v>
      </c>
    </row>
    <row r="18291">
      <c r="A18291" s="42">
        <f>_xlfn.XLOOKUP(83170,Trip[shape_id],Trip[shape_id],"Não encontrado")</f>
        <v/>
      </c>
      <c r="B18291" s="43" t="n">
        <v>-23.567155</v>
      </c>
      <c r="C18291" s="43" t="n">
        <v>-46.540123</v>
      </c>
      <c r="D18291" s="43" t="n">
        <v>549</v>
      </c>
      <c r="E18291" s="44" t="n">
        <v>14320.946</v>
      </c>
    </row>
    <row r="18292">
      <c r="A18292" s="39">
        <f>_xlfn.XLOOKUP(83170,Trip[shape_id],Trip[shape_id],"Não encontrado")</f>
        <v/>
      </c>
      <c r="B18292" s="40" t="n">
        <v>-23.567014</v>
      </c>
      <c r="C18292" s="40" t="n">
        <v>-46.540047</v>
      </c>
      <c r="D18292" s="40" t="n">
        <v>550</v>
      </c>
      <c r="E18292" s="41" t="n">
        <v>14338.384</v>
      </c>
    </row>
    <row r="18293">
      <c r="A18293" s="42">
        <f>_xlfn.XLOOKUP(83170,Trip[shape_id],Trip[shape_id],"Não encontrado")</f>
        <v/>
      </c>
      <c r="B18293" s="43" t="n">
        <v>-23.566855</v>
      </c>
      <c r="C18293" s="43" t="n">
        <v>-46.539945</v>
      </c>
      <c r="D18293" s="43" t="n">
        <v>551</v>
      </c>
      <c r="E18293" s="44" t="n">
        <v>14358.842</v>
      </c>
    </row>
    <row r="18294">
      <c r="A18294" s="39">
        <f>_xlfn.XLOOKUP(83170,Trip[shape_id],Trip[shape_id],"Não encontrado")</f>
        <v/>
      </c>
      <c r="B18294" s="40" t="n">
        <v>-23.566882</v>
      </c>
      <c r="C18294" s="40" t="n">
        <v>-46.540013</v>
      </c>
      <c r="D18294" s="40" t="n">
        <v>552</v>
      </c>
      <c r="E18294" s="41" t="n">
        <v>14366.4</v>
      </c>
    </row>
    <row r="18295">
      <c r="A18295" s="42">
        <f>_xlfn.XLOOKUP(83170,Trip[shape_id],Trip[shape_id],"Não encontrado")</f>
        <v/>
      </c>
      <c r="B18295" s="43" t="n">
        <v>-23.567045</v>
      </c>
      <c r="C18295" s="43" t="n">
        <v>-46.54024</v>
      </c>
      <c r="D18295" s="43" t="n">
        <v>553</v>
      </c>
      <c r="E18295" s="44" t="n">
        <v>14395.776</v>
      </c>
    </row>
    <row r="18296">
      <c r="A18296" s="39">
        <f>_xlfn.XLOOKUP(83170,Trip[shape_id],Trip[shape_id],"Não encontrado")</f>
        <v/>
      </c>
      <c r="B18296" s="40" t="n">
        <v>-23.567174</v>
      </c>
      <c r="C18296" s="40" t="n">
        <v>-46.54041</v>
      </c>
      <c r="D18296" s="40" t="n">
        <v>554</v>
      </c>
      <c r="E18296" s="41" t="n">
        <v>14418.256</v>
      </c>
    </row>
    <row r="18297">
      <c r="A18297" s="42">
        <f>_xlfn.XLOOKUP(83170,Trip[shape_id],Trip[shape_id],"Não encontrado")</f>
        <v/>
      </c>
      <c r="B18297" s="43" t="n">
        <v>-23.56729</v>
      </c>
      <c r="C18297" s="43" t="n">
        <v>-46.540711</v>
      </c>
      <c r="D18297" s="43" t="n">
        <v>555</v>
      </c>
      <c r="E18297" s="44" t="n">
        <v>14451.563</v>
      </c>
    </row>
    <row r="18298">
      <c r="A18298" s="39">
        <f>_xlfn.XLOOKUP(83170,Trip[shape_id],Trip[shape_id],"Não encontrado")</f>
        <v/>
      </c>
      <c r="B18298" s="40" t="n">
        <v>-23.567328</v>
      </c>
      <c r="C18298" s="40" t="n">
        <v>-46.540864</v>
      </c>
      <c r="D18298" s="40" t="n">
        <v>556</v>
      </c>
      <c r="E18298" s="41" t="n">
        <v>14467.739</v>
      </c>
    </row>
    <row r="18299">
      <c r="A18299" s="42">
        <f>_xlfn.XLOOKUP(83170,Trip[shape_id],Trip[shape_id],"Não encontrado")</f>
        <v/>
      </c>
      <c r="B18299" s="43" t="n">
        <v>-23.567352</v>
      </c>
      <c r="C18299" s="43" t="n">
        <v>-46.541015</v>
      </c>
      <c r="D18299" s="43" t="n">
        <v>557</v>
      </c>
      <c r="E18299" s="44" t="n">
        <v>14483.382</v>
      </c>
    </row>
    <row r="18300">
      <c r="A18300" s="39">
        <f>_xlfn.XLOOKUP(83170,Trip[shape_id],Trip[shape_id],"Não encontrado")</f>
        <v/>
      </c>
      <c r="B18300" s="40" t="n">
        <v>-23.567362</v>
      </c>
      <c r="C18300" s="40" t="n">
        <v>-46.541103</v>
      </c>
      <c r="D18300" s="40" t="n">
        <v>558</v>
      </c>
      <c r="E18300" s="41" t="n">
        <v>14492.434</v>
      </c>
    </row>
    <row r="18301">
      <c r="A18301" s="42">
        <f>_xlfn.XLOOKUP(83170,Trip[shape_id],Trip[shape_id],"Não encontrado")</f>
        <v/>
      </c>
      <c r="B18301" s="43" t="n">
        <v>-23.56737</v>
      </c>
      <c r="C18301" s="43" t="n">
        <v>-46.541221</v>
      </c>
      <c r="D18301" s="43" t="n">
        <v>559</v>
      </c>
      <c r="E18301" s="44" t="n">
        <v>14504.513</v>
      </c>
    </row>
    <row r="18302">
      <c r="A18302" s="39">
        <f>_xlfn.XLOOKUP(83170,Trip[shape_id],Trip[shape_id],"Não encontrado")</f>
        <v/>
      </c>
      <c r="B18302" s="40" t="n">
        <v>-23.567366</v>
      </c>
      <c r="C18302" s="40" t="n">
        <v>-46.541335</v>
      </c>
      <c r="D18302" s="40" t="n">
        <v>560</v>
      </c>
      <c r="E18302" s="41" t="n">
        <v>14516.159</v>
      </c>
    </row>
    <row r="18303">
      <c r="A18303" s="42">
        <f>_xlfn.XLOOKUP(83170,Trip[shape_id],Trip[shape_id],"Não encontrado")</f>
        <v/>
      </c>
      <c r="B18303" s="43" t="n">
        <v>-23.567351</v>
      </c>
      <c r="C18303" s="43" t="n">
        <v>-46.541517</v>
      </c>
      <c r="D18303" s="43" t="n">
        <v>561</v>
      </c>
      <c r="E18303" s="44" t="n">
        <v>14534.813</v>
      </c>
    </row>
    <row r="18304">
      <c r="A18304" s="39">
        <f>_xlfn.XLOOKUP(83170,Trip[shape_id],Trip[shape_id],"Não encontrado")</f>
        <v/>
      </c>
      <c r="B18304" s="40" t="n">
        <v>-23.567333</v>
      </c>
      <c r="C18304" s="40" t="n">
        <v>-46.541773</v>
      </c>
      <c r="D18304" s="40" t="n">
        <v>562</v>
      </c>
      <c r="E18304" s="41" t="n">
        <v>14561.024</v>
      </c>
    </row>
    <row r="18305">
      <c r="A18305" s="42">
        <f>_xlfn.XLOOKUP(83170,Trip[shape_id],Trip[shape_id],"Não encontrado")</f>
        <v/>
      </c>
      <c r="B18305" s="43" t="n">
        <v>-23.567335</v>
      </c>
      <c r="C18305" s="43" t="n">
        <v>-46.541927</v>
      </c>
      <c r="D18305" s="43" t="n">
        <v>563</v>
      </c>
      <c r="E18305" s="44" t="n">
        <v>14576.747</v>
      </c>
    </row>
    <row r="18306">
      <c r="A18306" s="39">
        <f>_xlfn.XLOOKUP(83170,Trip[shape_id],Trip[shape_id],"Não encontrado")</f>
        <v/>
      </c>
      <c r="B18306" s="40" t="n">
        <v>-23.567344</v>
      </c>
      <c r="C18306" s="40" t="n">
        <v>-46.541975</v>
      </c>
      <c r="D18306" s="40" t="n">
        <v>564</v>
      </c>
      <c r="E18306" s="41" t="n">
        <v>14581.747</v>
      </c>
    </row>
    <row r="18307">
      <c r="A18307" s="42">
        <f>_xlfn.XLOOKUP(83170,Trip[shape_id],Trip[shape_id],"Não encontrado")</f>
        <v/>
      </c>
      <c r="B18307" s="43" t="n">
        <v>-23.567362</v>
      </c>
      <c r="C18307" s="43" t="n">
        <v>-46.542027</v>
      </c>
      <c r="D18307" s="43" t="n">
        <v>565</v>
      </c>
      <c r="E18307" s="44" t="n">
        <v>14587.417</v>
      </c>
    </row>
    <row r="18308">
      <c r="A18308" s="39">
        <f>_xlfn.XLOOKUP(83170,Trip[shape_id],Trip[shape_id],"Não encontrado")</f>
        <v/>
      </c>
      <c r="B18308" s="40" t="n">
        <v>-23.567359</v>
      </c>
      <c r="C18308" s="40" t="n">
        <v>-46.542193</v>
      </c>
      <c r="D18308" s="40" t="n">
        <v>566</v>
      </c>
      <c r="E18308" s="41" t="n">
        <v>14604.367</v>
      </c>
    </row>
    <row r="18309">
      <c r="A18309" s="42">
        <f>_xlfn.XLOOKUP(83170,Trip[shape_id],Trip[shape_id],"Não encontrado")</f>
        <v/>
      </c>
      <c r="B18309" s="43" t="n">
        <v>-23.567294</v>
      </c>
      <c r="C18309" s="43" t="n">
        <v>-46.543039</v>
      </c>
      <c r="D18309" s="43" t="n">
        <v>567</v>
      </c>
      <c r="E18309" s="44" t="n">
        <v>14691.034</v>
      </c>
    </row>
    <row r="18310">
      <c r="A18310" s="39">
        <f>_xlfn.XLOOKUP(83170,Trip[shape_id],Trip[shape_id],"Não encontrado")</f>
        <v/>
      </c>
      <c r="B18310" s="40" t="n">
        <v>-23.567284</v>
      </c>
      <c r="C18310" s="40" t="n">
        <v>-46.543132</v>
      </c>
      <c r="D18310" s="40" t="n">
        <v>568</v>
      </c>
      <c r="E18310" s="41" t="n">
        <v>14700.593</v>
      </c>
    </row>
    <row r="18311">
      <c r="A18311" s="42">
        <f>_xlfn.XLOOKUP(83170,Trip[shape_id],Trip[shape_id],"Não encontrado")</f>
        <v/>
      </c>
      <c r="B18311" s="43" t="n">
        <v>-23.567221</v>
      </c>
      <c r="C18311" s="43" t="n">
        <v>-46.5434</v>
      </c>
      <c r="D18311" s="43" t="n">
        <v>569</v>
      </c>
      <c r="E18311" s="44" t="n">
        <v>14728.828</v>
      </c>
    </row>
    <row r="18312">
      <c r="A18312" s="39">
        <f>_xlfn.XLOOKUP(83170,Trip[shape_id],Trip[shape_id],"Não encontrado")</f>
        <v/>
      </c>
      <c r="B18312" s="40" t="n">
        <v>-23.567185</v>
      </c>
      <c r="C18312" s="40" t="n">
        <v>-46.543486</v>
      </c>
      <c r="D18312" s="40" t="n">
        <v>570</v>
      </c>
      <c r="E18312" s="41" t="n">
        <v>14738.471</v>
      </c>
    </row>
    <row r="18313">
      <c r="A18313" s="42">
        <f>_xlfn.XLOOKUP(83170,Trip[shape_id],Trip[shape_id],"Não encontrado")</f>
        <v/>
      </c>
      <c r="B18313" s="43" t="n">
        <v>-23.567138</v>
      </c>
      <c r="C18313" s="43" t="n">
        <v>-46.543599</v>
      </c>
      <c r="D18313" s="43" t="n">
        <v>571</v>
      </c>
      <c r="E18313" s="44" t="n">
        <v>14751.127</v>
      </c>
    </row>
    <row r="18314">
      <c r="A18314" s="39">
        <f>_xlfn.XLOOKUP(83170,Trip[shape_id],Trip[shape_id],"Não encontrado")</f>
        <v/>
      </c>
      <c r="B18314" s="40" t="n">
        <v>-23.567081</v>
      </c>
      <c r="C18314" s="40" t="n">
        <v>-46.5437</v>
      </c>
      <c r="D18314" s="40" t="n">
        <v>572</v>
      </c>
      <c r="E18314" s="41" t="n">
        <v>14763.217</v>
      </c>
    </row>
    <row r="18315">
      <c r="A18315" s="42">
        <f>_xlfn.XLOOKUP(83170,Trip[shape_id],Trip[shape_id],"Não encontrado")</f>
        <v/>
      </c>
      <c r="B18315" s="43" t="n">
        <v>-23.567027</v>
      </c>
      <c r="C18315" s="43" t="n">
        <v>-46.543774</v>
      </c>
      <c r="D18315" s="43" t="n">
        <v>573</v>
      </c>
      <c r="E18315" s="44" t="n">
        <v>14772.852</v>
      </c>
    </row>
    <row r="18316">
      <c r="A18316" s="39">
        <f>_xlfn.XLOOKUP(83170,Trip[shape_id],Trip[shape_id],"Não encontrado")</f>
        <v/>
      </c>
      <c r="B18316" s="40" t="n">
        <v>-23.56695</v>
      </c>
      <c r="C18316" s="40" t="n">
        <v>-46.543871</v>
      </c>
      <c r="D18316" s="40" t="n">
        <v>574</v>
      </c>
      <c r="E18316" s="41" t="n">
        <v>14785.92</v>
      </c>
    </row>
    <row r="18317">
      <c r="A18317" s="42">
        <f>_xlfn.XLOOKUP(83170,Trip[shape_id],Trip[shape_id],"Não encontrado")</f>
        <v/>
      </c>
      <c r="B18317" s="43" t="n">
        <v>-23.566871</v>
      </c>
      <c r="C18317" s="43" t="n">
        <v>-46.543981</v>
      </c>
      <c r="D18317" s="43" t="n">
        <v>575</v>
      </c>
      <c r="E18317" s="44" t="n">
        <v>14800.156</v>
      </c>
    </row>
    <row r="18318">
      <c r="A18318" s="39">
        <f>_xlfn.XLOOKUP(83170,Trip[shape_id],Trip[shape_id],"Não encontrado")</f>
        <v/>
      </c>
      <c r="B18318" s="40" t="n">
        <v>-23.56598</v>
      </c>
      <c r="C18318" s="40" t="n">
        <v>-46.544726</v>
      </c>
      <c r="D18318" s="40" t="n">
        <v>576</v>
      </c>
      <c r="E18318" s="41" t="n">
        <v>14924.745</v>
      </c>
    </row>
    <row r="18319">
      <c r="A18319" s="42">
        <f>_xlfn.XLOOKUP(83170,Trip[shape_id],Trip[shape_id],"Não encontrado")</f>
        <v/>
      </c>
      <c r="B18319" s="43" t="n">
        <v>-23.565745</v>
      </c>
      <c r="C18319" s="43" t="n">
        <v>-46.544917</v>
      </c>
      <c r="D18319" s="43" t="n">
        <v>577</v>
      </c>
      <c r="E18319" s="44" t="n">
        <v>14957.266</v>
      </c>
    </row>
    <row r="18320">
      <c r="A18320" s="39">
        <f>_xlfn.XLOOKUP(83170,Trip[shape_id],Trip[shape_id],"Não encontrado")</f>
        <v/>
      </c>
      <c r="B18320" s="40" t="n">
        <v>-23.565479</v>
      </c>
      <c r="C18320" s="40" t="n">
        <v>-46.545116</v>
      </c>
      <c r="D18320" s="40" t="n">
        <v>578</v>
      </c>
      <c r="E18320" s="41" t="n">
        <v>14993.052</v>
      </c>
    </row>
    <row r="18321">
      <c r="A18321" s="42">
        <f>_xlfn.XLOOKUP(83170,Trip[shape_id],Trip[shape_id],"Não encontrado")</f>
        <v/>
      </c>
      <c r="B18321" s="43" t="n">
        <v>-23.56529</v>
      </c>
      <c r="C18321" s="43" t="n">
        <v>-46.545294</v>
      </c>
      <c r="D18321" s="43" t="n">
        <v>579</v>
      </c>
      <c r="E18321" s="44" t="n">
        <v>15020.771</v>
      </c>
    </row>
    <row r="18322">
      <c r="A18322" s="39">
        <f>_xlfn.XLOOKUP(83170,Trip[shape_id],Trip[shape_id],"Não encontrado")</f>
        <v/>
      </c>
      <c r="B18322" s="40" t="n">
        <v>-23.565129</v>
      </c>
      <c r="C18322" s="40" t="n">
        <v>-46.545466</v>
      </c>
      <c r="D18322" s="40" t="n">
        <v>580</v>
      </c>
      <c r="E18322" s="41" t="n">
        <v>15045.797</v>
      </c>
    </row>
    <row r="18323">
      <c r="A18323" s="42">
        <f>_xlfn.XLOOKUP(83170,Trip[shape_id],Trip[shape_id],"Não encontrado")</f>
        <v/>
      </c>
      <c r="B18323" s="43" t="n">
        <v>-23.565066</v>
      </c>
      <c r="C18323" s="43" t="n">
        <v>-46.545558</v>
      </c>
      <c r="D18323" s="43" t="n">
        <v>581</v>
      </c>
      <c r="E18323" s="44" t="n">
        <v>15057.497</v>
      </c>
    </row>
    <row r="18324">
      <c r="A18324" s="39">
        <f>_xlfn.XLOOKUP(83170,Trip[shape_id],Trip[shape_id],"Não encontrado")</f>
        <v/>
      </c>
      <c r="B18324" s="40" t="n">
        <v>-23.564767</v>
      </c>
      <c r="C18324" s="40" t="n">
        <v>-46.546037</v>
      </c>
      <c r="D18324" s="40" t="n">
        <v>582</v>
      </c>
      <c r="E18324" s="41" t="n">
        <v>15116.556</v>
      </c>
    </row>
    <row r="18325">
      <c r="A18325" s="42">
        <f>_xlfn.XLOOKUP(83170,Trip[shape_id],Trip[shape_id],"Não encontrado")</f>
        <v/>
      </c>
      <c r="B18325" s="43" t="n">
        <v>-23.564709</v>
      </c>
      <c r="C18325" s="43" t="n">
        <v>-46.546187</v>
      </c>
      <c r="D18325" s="43" t="n">
        <v>583</v>
      </c>
      <c r="E18325" s="44" t="n">
        <v>15133.162</v>
      </c>
    </row>
    <row r="18326">
      <c r="A18326" s="39">
        <f>_xlfn.XLOOKUP(83170,Trip[shape_id],Trip[shape_id],"Não encontrado")</f>
        <v/>
      </c>
      <c r="B18326" s="40" t="n">
        <v>-23.564664</v>
      </c>
      <c r="C18326" s="40" t="n">
        <v>-46.546376</v>
      </c>
      <c r="D18326" s="40" t="n">
        <v>584</v>
      </c>
      <c r="E18326" s="41" t="n">
        <v>15153.091</v>
      </c>
    </row>
    <row r="18327">
      <c r="A18327" s="42">
        <f>_xlfn.XLOOKUP(83170,Trip[shape_id],Trip[shape_id],"Não encontrado")</f>
        <v/>
      </c>
      <c r="B18327" s="43" t="n">
        <v>-23.564632</v>
      </c>
      <c r="C18327" s="43" t="n">
        <v>-46.546513</v>
      </c>
      <c r="D18327" s="43" t="n">
        <v>585</v>
      </c>
      <c r="E18327" s="44" t="n">
        <v>15167.52</v>
      </c>
    </row>
    <row r="18328">
      <c r="A18328" s="39">
        <f>_xlfn.XLOOKUP(83170,Trip[shape_id],Trip[shape_id],"Não encontrado")</f>
        <v/>
      </c>
      <c r="B18328" s="40" t="n">
        <v>-23.564511</v>
      </c>
      <c r="C18328" s="40" t="n">
        <v>-46.547128</v>
      </c>
      <c r="D18328" s="40" t="n">
        <v>586</v>
      </c>
      <c r="E18328" s="41" t="n">
        <v>15231.72</v>
      </c>
    </row>
    <row r="18329">
      <c r="A18329" s="42">
        <f>_xlfn.XLOOKUP(83170,Trip[shape_id],Trip[shape_id],"Não encontrado")</f>
        <v/>
      </c>
      <c r="B18329" s="43" t="n">
        <v>-23.564459</v>
      </c>
      <c r="C18329" s="43" t="n">
        <v>-46.5474</v>
      </c>
      <c r="D18329" s="43" t="n">
        <v>587</v>
      </c>
      <c r="E18329" s="44" t="n">
        <v>15260.08</v>
      </c>
    </row>
    <row r="18330">
      <c r="A18330" s="39">
        <f>_xlfn.XLOOKUP(83170,Trip[shape_id],Trip[shape_id],"Não encontrado")</f>
        <v/>
      </c>
      <c r="B18330" s="40" t="n">
        <v>-23.564367</v>
      </c>
      <c r="C18330" s="40" t="n">
        <v>-46.547806</v>
      </c>
      <c r="D18330" s="40" t="n">
        <v>588</v>
      </c>
      <c r="E18330" s="41" t="n">
        <v>15302.763</v>
      </c>
    </row>
    <row r="18331">
      <c r="A18331" s="42">
        <f>_xlfn.XLOOKUP(83170,Trip[shape_id],Trip[shape_id],"Não encontrado")</f>
        <v/>
      </c>
      <c r="B18331" s="43" t="n">
        <v>-23.564318</v>
      </c>
      <c r="C18331" s="43" t="n">
        <v>-46.548</v>
      </c>
      <c r="D18331" s="43" t="n">
        <v>589</v>
      </c>
      <c r="E18331" s="44" t="n">
        <v>15323.299</v>
      </c>
    </row>
    <row r="18332">
      <c r="A18332" s="39">
        <f>_xlfn.XLOOKUP(83170,Trip[shape_id],Trip[shape_id],"Não encontrado")</f>
        <v/>
      </c>
      <c r="B18332" s="40" t="n">
        <v>-23.564242</v>
      </c>
      <c r="C18332" s="40" t="n">
        <v>-46.548238</v>
      </c>
      <c r="D18332" s="40" t="n">
        <v>590</v>
      </c>
      <c r="E18332" s="41" t="n">
        <v>15349.013</v>
      </c>
    </row>
    <row r="18333">
      <c r="A18333" s="42">
        <f>_xlfn.XLOOKUP(83170,Trip[shape_id],Trip[shape_id],"Não encontrado")</f>
        <v/>
      </c>
      <c r="B18333" s="43" t="n">
        <v>-23.564224</v>
      </c>
      <c r="C18333" s="43" t="n">
        <v>-46.548283</v>
      </c>
      <c r="D18333" s="43" t="n">
        <v>591</v>
      </c>
      <c r="E18333" s="44" t="n">
        <v>15354.021</v>
      </c>
    </row>
    <row r="18334">
      <c r="A18334" s="39">
        <f>_xlfn.XLOOKUP(83170,Trip[shape_id],Trip[shape_id],"Não encontrado")</f>
        <v/>
      </c>
      <c r="B18334" s="40" t="n">
        <v>-23.564105</v>
      </c>
      <c r="C18334" s="40" t="n">
        <v>-46.548543</v>
      </c>
      <c r="D18334" s="40" t="n">
        <v>592</v>
      </c>
      <c r="E18334" s="41" t="n">
        <v>15383.657</v>
      </c>
    </row>
    <row r="18335">
      <c r="A18335" s="42">
        <f>_xlfn.XLOOKUP(83170,Trip[shape_id],Trip[shape_id],"Não encontrado")</f>
        <v/>
      </c>
      <c r="B18335" s="43" t="n">
        <v>-23.563962</v>
      </c>
      <c r="C18335" s="43" t="n">
        <v>-46.548769</v>
      </c>
      <c r="D18335" s="43" t="n">
        <v>593</v>
      </c>
      <c r="E18335" s="44" t="n">
        <v>15411.643</v>
      </c>
    </row>
    <row r="18336">
      <c r="A18336" s="39">
        <f>_xlfn.XLOOKUP(83170,Trip[shape_id],Trip[shape_id],"Não encontrado")</f>
        <v/>
      </c>
      <c r="B18336" s="40" t="n">
        <v>-23.5638</v>
      </c>
      <c r="C18336" s="40" t="n">
        <v>-46.548977</v>
      </c>
      <c r="D18336" s="40" t="n">
        <v>594</v>
      </c>
      <c r="E18336" s="41" t="n">
        <v>15439.442</v>
      </c>
    </row>
    <row r="18337">
      <c r="A18337" s="42">
        <f>_xlfn.XLOOKUP(83170,Trip[shape_id],Trip[shape_id],"Não encontrado")</f>
        <v/>
      </c>
      <c r="B18337" s="43" t="n">
        <v>-23.563682</v>
      </c>
      <c r="C18337" s="43" t="n">
        <v>-46.549105</v>
      </c>
      <c r="D18337" s="43" t="n">
        <v>595</v>
      </c>
      <c r="E18337" s="44" t="n">
        <v>15457.924</v>
      </c>
    </row>
    <row r="18338">
      <c r="A18338" s="39">
        <f>_xlfn.XLOOKUP(83170,Trip[shape_id],Trip[shape_id],"Não encontrado")</f>
        <v/>
      </c>
      <c r="B18338" s="40" t="n">
        <v>-23.563414</v>
      </c>
      <c r="C18338" s="40" t="n">
        <v>-46.54937</v>
      </c>
      <c r="D18338" s="40" t="n">
        <v>596</v>
      </c>
      <c r="E18338" s="41" t="n">
        <v>15498.085</v>
      </c>
    </row>
    <row r="18339">
      <c r="A18339" s="42">
        <f>_xlfn.XLOOKUP(83170,Trip[shape_id],Trip[shape_id],"Não encontrado")</f>
        <v/>
      </c>
      <c r="B18339" s="43" t="n">
        <v>-23.563175</v>
      </c>
      <c r="C18339" s="43" t="n">
        <v>-46.549607</v>
      </c>
      <c r="D18339" s="43" t="n">
        <v>597</v>
      </c>
      <c r="E18339" s="44" t="n">
        <v>15533.947</v>
      </c>
    </row>
    <row r="18340">
      <c r="A18340" s="39">
        <f>_xlfn.XLOOKUP(83170,Trip[shape_id],Trip[shape_id],"Não encontrado")</f>
        <v/>
      </c>
      <c r="B18340" s="40" t="n">
        <v>-23.56271</v>
      </c>
      <c r="C18340" s="40" t="n">
        <v>-46.550095</v>
      </c>
      <c r="D18340" s="40" t="n">
        <v>598</v>
      </c>
      <c r="E18340" s="41" t="n">
        <v>15605.602</v>
      </c>
    </row>
    <row r="18341">
      <c r="A18341" s="42">
        <f>_xlfn.XLOOKUP(83170,Trip[shape_id],Trip[shape_id],"Não encontrado")</f>
        <v/>
      </c>
      <c r="B18341" s="43" t="n">
        <v>-23.562591</v>
      </c>
      <c r="C18341" s="43" t="n">
        <v>-46.550231</v>
      </c>
      <c r="D18341" s="43" t="n">
        <v>599</v>
      </c>
      <c r="E18341" s="44" t="n">
        <v>15624.745</v>
      </c>
    </row>
    <row r="18342">
      <c r="A18342" s="39">
        <f>_xlfn.XLOOKUP(83170,Trip[shape_id],Trip[shape_id],"Não encontrado")</f>
        <v/>
      </c>
      <c r="B18342" s="40" t="n">
        <v>-23.562498</v>
      </c>
      <c r="C18342" s="40" t="n">
        <v>-46.550379</v>
      </c>
      <c r="D18342" s="40" t="n">
        <v>600</v>
      </c>
      <c r="E18342" s="41" t="n">
        <v>15643.031</v>
      </c>
    </row>
    <row r="18343">
      <c r="A18343" s="42">
        <f>_xlfn.XLOOKUP(83170,Trip[shape_id],Trip[shape_id],"Não encontrado")</f>
        <v/>
      </c>
      <c r="B18343" s="43" t="n">
        <v>-23.562414</v>
      </c>
      <c r="C18343" s="43" t="n">
        <v>-46.550573</v>
      </c>
      <c r="D18343" s="43" t="n">
        <v>601</v>
      </c>
      <c r="E18343" s="44" t="n">
        <v>15664.913</v>
      </c>
    </row>
    <row r="18344">
      <c r="A18344" s="39">
        <f>_xlfn.XLOOKUP(83170,Trip[shape_id],Trip[shape_id],"Não encontrado")</f>
        <v/>
      </c>
      <c r="B18344" s="40" t="n">
        <v>-23.562367</v>
      </c>
      <c r="C18344" s="40" t="n">
        <v>-46.550756</v>
      </c>
      <c r="D18344" s="40" t="n">
        <v>602</v>
      </c>
      <c r="E18344" s="41" t="n">
        <v>15684.308</v>
      </c>
    </row>
    <row r="18345">
      <c r="A18345" s="42">
        <f>_xlfn.XLOOKUP(83170,Trip[shape_id],Trip[shape_id],"Não encontrado")</f>
        <v/>
      </c>
      <c r="B18345" s="43" t="n">
        <v>-23.562305</v>
      </c>
      <c r="C18345" s="43" t="n">
        <v>-46.551044</v>
      </c>
      <c r="D18345" s="43" t="n">
        <v>603</v>
      </c>
      <c r="E18345" s="44" t="n">
        <v>15714.502</v>
      </c>
    </row>
    <row r="18346">
      <c r="A18346" s="39">
        <f>_xlfn.XLOOKUP(83170,Trip[shape_id],Trip[shape_id],"Não encontrado")</f>
        <v/>
      </c>
      <c r="B18346" s="40" t="n">
        <v>-23.562325</v>
      </c>
      <c r="C18346" s="40" t="n">
        <v>-46.551401</v>
      </c>
      <c r="D18346" s="40" t="n">
        <v>604</v>
      </c>
      <c r="E18346" s="41" t="n">
        <v>15751.017</v>
      </c>
    </row>
    <row r="18347">
      <c r="A18347" s="42">
        <f>_xlfn.XLOOKUP(83170,Trip[shape_id],Trip[shape_id],"Não encontrado")</f>
        <v/>
      </c>
      <c r="B18347" s="43" t="n">
        <v>-23.562363</v>
      </c>
      <c r="C18347" s="43" t="n">
        <v>-46.551664</v>
      </c>
      <c r="D18347" s="43" t="n">
        <v>605</v>
      </c>
      <c r="E18347" s="44" t="n">
        <v>15778.195</v>
      </c>
    </row>
    <row r="18348">
      <c r="A18348" s="39">
        <f>_xlfn.XLOOKUP(83170,Trip[shape_id],Trip[shape_id],"Não encontrado")</f>
        <v/>
      </c>
      <c r="B18348" s="40" t="n">
        <v>-23.562411</v>
      </c>
      <c r="C18348" s="40" t="n">
        <v>-46.551768</v>
      </c>
      <c r="D18348" s="40" t="n">
        <v>606</v>
      </c>
      <c r="E18348" s="41" t="n">
        <v>15790.069</v>
      </c>
    </row>
    <row r="18349">
      <c r="A18349" s="42">
        <f>_xlfn.XLOOKUP(83170,Trip[shape_id],Trip[shape_id],"Não encontrado")</f>
        <v/>
      </c>
      <c r="B18349" s="43" t="n">
        <v>-23.562479</v>
      </c>
      <c r="C18349" s="43" t="n">
        <v>-46.551891</v>
      </c>
      <c r="D18349" s="43" t="n">
        <v>607</v>
      </c>
      <c r="E18349" s="44" t="n">
        <v>15804.712</v>
      </c>
    </row>
    <row r="18350">
      <c r="A18350" s="39">
        <f>_xlfn.XLOOKUP(83170,Trip[shape_id],Trip[shape_id],"Não encontrado")</f>
        <v/>
      </c>
      <c r="B18350" s="40" t="n">
        <v>-23.562606</v>
      </c>
      <c r="C18350" s="40" t="n">
        <v>-46.552015</v>
      </c>
      <c r="D18350" s="40" t="n">
        <v>608</v>
      </c>
      <c r="E18350" s="41" t="n">
        <v>15823.636</v>
      </c>
    </row>
    <row r="18351">
      <c r="A18351" s="42">
        <f>_xlfn.XLOOKUP(83170,Trip[shape_id],Trip[shape_id],"Não encontrado")</f>
        <v/>
      </c>
      <c r="B18351" s="43" t="n">
        <v>-23.562715</v>
      </c>
      <c r="C18351" s="43" t="n">
        <v>-46.552115</v>
      </c>
      <c r="D18351" s="43" t="n">
        <v>609</v>
      </c>
      <c r="E18351" s="44" t="n">
        <v>15839.446</v>
      </c>
    </row>
    <row r="18352">
      <c r="A18352" s="39">
        <f>_xlfn.XLOOKUP(83170,Trip[shape_id],Trip[shape_id],"Não encontrado")</f>
        <v/>
      </c>
      <c r="B18352" s="40" t="n">
        <v>-23.562783</v>
      </c>
      <c r="C18352" s="40" t="n">
        <v>-46.55218</v>
      </c>
      <c r="D18352" s="40" t="n">
        <v>610</v>
      </c>
      <c r="E18352" s="41" t="n">
        <v>15849.484</v>
      </c>
    </row>
    <row r="18353">
      <c r="A18353" s="42">
        <f>_xlfn.XLOOKUP(83170,Trip[shape_id],Trip[shape_id],"Não encontrado")</f>
        <v/>
      </c>
      <c r="B18353" s="43" t="n">
        <v>-23.562877</v>
      </c>
      <c r="C18353" s="43" t="n">
        <v>-46.552251</v>
      </c>
      <c r="D18353" s="43" t="n">
        <v>611</v>
      </c>
      <c r="E18353" s="44" t="n">
        <v>15862.17</v>
      </c>
    </row>
    <row r="18354">
      <c r="A18354" s="39">
        <f>_xlfn.XLOOKUP(83170,Trip[shape_id],Trip[shape_id],"Não encontrado")</f>
        <v/>
      </c>
      <c r="B18354" s="40" t="n">
        <v>-23.56309</v>
      </c>
      <c r="C18354" s="40" t="n">
        <v>-46.552407</v>
      </c>
      <c r="D18354" s="40" t="n">
        <v>612</v>
      </c>
      <c r="E18354" s="41" t="n">
        <v>15890.633</v>
      </c>
    </row>
    <row r="18355">
      <c r="A18355" s="42">
        <f>_xlfn.XLOOKUP(83170,Trip[shape_id],Trip[shape_id],"Não encontrado")</f>
        <v/>
      </c>
      <c r="B18355" s="43" t="n">
        <v>-23.563224</v>
      </c>
      <c r="C18355" s="43" t="n">
        <v>-46.552551</v>
      </c>
      <c r="D18355" s="43" t="n">
        <v>613</v>
      </c>
      <c r="E18355" s="44" t="n">
        <v>15911.522</v>
      </c>
    </row>
    <row r="18356">
      <c r="A18356" s="39">
        <f>_xlfn.XLOOKUP(83170,Trip[shape_id],Trip[shape_id],"Não encontrado")</f>
        <v/>
      </c>
      <c r="B18356" s="40" t="n">
        <v>-23.563301</v>
      </c>
      <c r="C18356" s="40" t="n">
        <v>-46.552663</v>
      </c>
      <c r="D18356" s="40" t="n">
        <v>614</v>
      </c>
      <c r="E18356" s="41" t="n">
        <v>15925.786</v>
      </c>
    </row>
    <row r="18357">
      <c r="A18357" s="42">
        <f>_xlfn.XLOOKUP(83170,Trip[shape_id],Trip[shape_id],"Não encontrado")</f>
        <v/>
      </c>
      <c r="B18357" s="43" t="n">
        <v>-23.563348</v>
      </c>
      <c r="C18357" s="43" t="n">
        <v>-46.552732</v>
      </c>
      <c r="D18357" s="43" t="n">
        <v>615</v>
      </c>
      <c r="E18357" s="44" t="n">
        <v>15934.545</v>
      </c>
    </row>
    <row r="18358">
      <c r="A18358" s="39">
        <f>_xlfn.XLOOKUP(83170,Trip[shape_id],Trip[shape_id],"Não encontrado")</f>
        <v/>
      </c>
      <c r="B18358" s="40" t="n">
        <v>-23.563412</v>
      </c>
      <c r="C18358" s="40" t="n">
        <v>-46.552837</v>
      </c>
      <c r="D18358" s="40" t="n">
        <v>616</v>
      </c>
      <c r="E18358" s="41" t="n">
        <v>15947.396</v>
      </c>
    </row>
    <row r="18359">
      <c r="A18359" s="42">
        <f>_xlfn.XLOOKUP(83170,Trip[shape_id],Trip[shape_id],"Não encontrado")</f>
        <v/>
      </c>
      <c r="B18359" s="43" t="n">
        <v>-23.563466</v>
      </c>
      <c r="C18359" s="43" t="n">
        <v>-46.553005</v>
      </c>
      <c r="D18359" s="43" t="n">
        <v>617</v>
      </c>
      <c r="E18359" s="44" t="n">
        <v>15965.56</v>
      </c>
    </row>
    <row r="18360">
      <c r="A18360" s="39">
        <f>_xlfn.XLOOKUP(83170,Trip[shape_id],Trip[shape_id],"Não encontrado")</f>
        <v/>
      </c>
      <c r="B18360" s="40" t="n">
        <v>-23.563496</v>
      </c>
      <c r="C18360" s="40" t="n">
        <v>-46.553193</v>
      </c>
      <c r="D18360" s="40" t="n">
        <v>618</v>
      </c>
      <c r="E18360" s="41" t="n">
        <v>15985.038</v>
      </c>
    </row>
    <row r="18361">
      <c r="A18361" s="42">
        <f>_xlfn.XLOOKUP(83170,Trip[shape_id],Trip[shape_id],"Não encontrado")</f>
        <v/>
      </c>
      <c r="B18361" s="43" t="n">
        <v>-23.563488</v>
      </c>
      <c r="C18361" s="43" t="n">
        <v>-46.553408</v>
      </c>
      <c r="D18361" s="43" t="n">
        <v>619</v>
      </c>
      <c r="E18361" s="44" t="n">
        <v>16007.006</v>
      </c>
    </row>
    <row r="18362">
      <c r="A18362" s="39">
        <f>_xlfn.XLOOKUP(83170,Trip[shape_id],Trip[shape_id],"Não encontrado")</f>
        <v/>
      </c>
      <c r="B18362" s="40" t="n">
        <v>-23.563458</v>
      </c>
      <c r="C18362" s="40" t="n">
        <v>-46.553608</v>
      </c>
      <c r="D18362" s="40" t="n">
        <v>620</v>
      </c>
      <c r="E18362" s="41" t="n">
        <v>16027.693</v>
      </c>
    </row>
    <row r="18363">
      <c r="A18363" s="42">
        <f>_xlfn.XLOOKUP(83170,Trip[shape_id],Trip[shape_id],"Não encontrado")</f>
        <v/>
      </c>
      <c r="B18363" s="43" t="n">
        <v>-23.563372</v>
      </c>
      <c r="C18363" s="43" t="n">
        <v>-46.553826</v>
      </c>
      <c r="D18363" s="43" t="n">
        <v>621</v>
      </c>
      <c r="E18363" s="44" t="n">
        <v>16051.901</v>
      </c>
    </row>
    <row r="18364">
      <c r="A18364" s="39">
        <f>_xlfn.XLOOKUP(83170,Trip[shape_id],Trip[shape_id],"Não encontrado")</f>
        <v/>
      </c>
      <c r="B18364" s="40" t="n">
        <v>-23.563309</v>
      </c>
      <c r="C18364" s="40" t="n">
        <v>-46.55393</v>
      </c>
      <c r="D18364" s="40" t="n">
        <v>622</v>
      </c>
      <c r="E18364" s="41" t="n">
        <v>16064.606</v>
      </c>
    </row>
    <row r="18365">
      <c r="A18365" s="42">
        <f>_xlfn.XLOOKUP(83170,Trip[shape_id],Trip[shape_id],"Não encontrado")</f>
        <v/>
      </c>
      <c r="B18365" s="43" t="n">
        <v>-23.562967</v>
      </c>
      <c r="C18365" s="43" t="n">
        <v>-46.554355</v>
      </c>
      <c r="D18365" s="43" t="n">
        <v>623</v>
      </c>
      <c r="E18365" s="44" t="n">
        <v>16122.202</v>
      </c>
    </row>
    <row r="18366">
      <c r="A18366" s="39">
        <f>_xlfn.XLOOKUP(83170,Trip[shape_id],Trip[shape_id],"Não encontrado")</f>
        <v/>
      </c>
      <c r="B18366" s="40" t="n">
        <v>-23.562841</v>
      </c>
      <c r="C18366" s="40" t="n">
        <v>-46.554526</v>
      </c>
      <c r="D18366" s="40" t="n">
        <v>624</v>
      </c>
      <c r="E18366" s="41" t="n">
        <v>16144.552</v>
      </c>
    </row>
    <row r="18367">
      <c r="A18367" s="42">
        <f>_xlfn.XLOOKUP(83170,Trip[shape_id],Trip[shape_id],"Não encontrado")</f>
        <v/>
      </c>
      <c r="B18367" s="43" t="n">
        <v>-23.562672</v>
      </c>
      <c r="C18367" s="43" t="n">
        <v>-46.554743</v>
      </c>
      <c r="D18367" s="43" t="n">
        <v>625</v>
      </c>
      <c r="E18367" s="44" t="n">
        <v>16173.554</v>
      </c>
    </row>
    <row r="18368">
      <c r="A18368" s="39">
        <f>_xlfn.XLOOKUP(83170,Trip[shape_id],Trip[shape_id],"Não encontrado")</f>
        <v/>
      </c>
      <c r="B18368" s="40" t="n">
        <v>-23.5625</v>
      </c>
      <c r="C18368" s="40" t="n">
        <v>-46.554956</v>
      </c>
      <c r="D18368" s="40" t="n">
        <v>626</v>
      </c>
      <c r="E18368" s="41" t="n">
        <v>16202.463</v>
      </c>
    </row>
    <row r="18369">
      <c r="A18369" s="42">
        <f>_xlfn.XLOOKUP(83170,Trip[shape_id],Trip[shape_id],"Não encontrado")</f>
        <v/>
      </c>
      <c r="B18369" s="43" t="n">
        <v>-23.56237</v>
      </c>
      <c r="C18369" s="43" t="n">
        <v>-46.555184</v>
      </c>
      <c r="D18369" s="43" t="n">
        <v>627</v>
      </c>
      <c r="E18369" s="44" t="n">
        <v>16229.833</v>
      </c>
    </row>
    <row r="18370">
      <c r="A18370" s="39">
        <f>_xlfn.XLOOKUP(83170,Trip[shape_id],Trip[shape_id],"Não encontrado")</f>
        <v/>
      </c>
      <c r="B18370" s="40" t="n">
        <v>-23.562285</v>
      </c>
      <c r="C18370" s="40" t="n">
        <v>-46.555364</v>
      </c>
      <c r="D18370" s="40" t="n">
        <v>628</v>
      </c>
      <c r="E18370" s="41" t="n">
        <v>16250.48</v>
      </c>
    </row>
    <row r="18371">
      <c r="A18371" s="42">
        <f>_xlfn.XLOOKUP(83170,Trip[shape_id],Trip[shape_id],"Não encontrado")</f>
        <v/>
      </c>
      <c r="B18371" s="43" t="n">
        <v>-23.562214</v>
      </c>
      <c r="C18371" s="43" t="n">
        <v>-46.555551</v>
      </c>
      <c r="D18371" s="43" t="n">
        <v>629</v>
      </c>
      <c r="E18371" s="44" t="n">
        <v>16271.128</v>
      </c>
    </row>
    <row r="18372">
      <c r="A18372" s="39">
        <f>_xlfn.XLOOKUP(83170,Trip[shape_id],Trip[shape_id],"Não encontrado")</f>
        <v/>
      </c>
      <c r="B18372" s="40" t="n">
        <v>-23.562176</v>
      </c>
      <c r="C18372" s="40" t="n">
        <v>-46.55572</v>
      </c>
      <c r="D18372" s="40" t="n">
        <v>630</v>
      </c>
      <c r="E18372" s="41" t="n">
        <v>16288.888</v>
      </c>
    </row>
    <row r="18373">
      <c r="A18373" s="42">
        <f>_xlfn.XLOOKUP(83170,Trip[shape_id],Trip[shape_id],"Não encontrado")</f>
        <v/>
      </c>
      <c r="B18373" s="43" t="n">
        <v>-23.56216</v>
      </c>
      <c r="C18373" s="43" t="n">
        <v>-46.555836</v>
      </c>
      <c r="D18373" s="43" t="n">
        <v>631</v>
      </c>
      <c r="E18373" s="44" t="n">
        <v>16300.862</v>
      </c>
    </row>
    <row r="18374">
      <c r="A18374" s="39">
        <f>_xlfn.XLOOKUP(83170,Trip[shape_id],Trip[shape_id],"Não encontrado")</f>
        <v/>
      </c>
      <c r="B18374" s="40" t="n">
        <v>-23.562141</v>
      </c>
      <c r="C18374" s="40" t="n">
        <v>-46.556017</v>
      </c>
      <c r="D18374" s="40" t="n">
        <v>632</v>
      </c>
      <c r="E18374" s="41" t="n">
        <v>16319.461</v>
      </c>
    </row>
    <row r="18375">
      <c r="A18375" s="42">
        <f>_xlfn.XLOOKUP(83170,Trip[shape_id],Trip[shape_id],"Não encontrado")</f>
        <v/>
      </c>
      <c r="B18375" s="43" t="n">
        <v>-23.562137</v>
      </c>
      <c r="C18375" s="43" t="n">
        <v>-46.556153</v>
      </c>
      <c r="D18375" s="43" t="n">
        <v>633</v>
      </c>
      <c r="E18375" s="44" t="n">
        <v>16333.353</v>
      </c>
    </row>
    <row r="18376">
      <c r="A18376" s="39">
        <f>_xlfn.XLOOKUP(83170,Trip[shape_id],Trip[shape_id],"Não encontrado")</f>
        <v/>
      </c>
      <c r="B18376" s="40" t="n">
        <v>-23.562144</v>
      </c>
      <c r="C18376" s="40" t="n">
        <v>-46.55627</v>
      </c>
      <c r="D18376" s="40" t="n">
        <v>634</v>
      </c>
      <c r="E18376" s="41" t="n">
        <v>16345.322</v>
      </c>
    </row>
    <row r="18377">
      <c r="A18377" s="42">
        <f>_xlfn.XLOOKUP(83170,Trip[shape_id],Trip[shape_id],"Não encontrado")</f>
        <v/>
      </c>
      <c r="B18377" s="43" t="n">
        <v>-23.56218</v>
      </c>
      <c r="C18377" s="43" t="n">
        <v>-46.556456</v>
      </c>
      <c r="D18377" s="43" t="n">
        <v>635</v>
      </c>
      <c r="E18377" s="44" t="n">
        <v>16364.726</v>
      </c>
    </row>
    <row r="18378">
      <c r="A18378" s="39">
        <f>_xlfn.XLOOKUP(83170,Trip[shape_id],Trip[shape_id],"Não encontrado")</f>
        <v/>
      </c>
      <c r="B18378" s="40" t="n">
        <v>-23.562262</v>
      </c>
      <c r="C18378" s="40" t="n">
        <v>-46.556791</v>
      </c>
      <c r="D18378" s="40" t="n">
        <v>636</v>
      </c>
      <c r="E18378" s="41" t="n">
        <v>16400.111</v>
      </c>
    </row>
    <row r="18379">
      <c r="A18379" s="42">
        <f>_xlfn.XLOOKUP(83170,Trip[shape_id],Trip[shape_id],"Não encontrado")</f>
        <v/>
      </c>
      <c r="B18379" s="43" t="n">
        <v>-23.562326</v>
      </c>
      <c r="C18379" s="43" t="n">
        <v>-46.557103</v>
      </c>
      <c r="D18379" s="43" t="n">
        <v>637</v>
      </c>
      <c r="E18379" s="44" t="n">
        <v>16432.744</v>
      </c>
    </row>
    <row r="18380">
      <c r="A18380" s="39">
        <f>_xlfn.XLOOKUP(83170,Trip[shape_id],Trip[shape_id],"Não encontrado")</f>
        <v/>
      </c>
      <c r="B18380" s="40" t="n">
        <v>-23.56238</v>
      </c>
      <c r="C18380" s="40" t="n">
        <v>-46.557333</v>
      </c>
      <c r="D18380" s="40" t="n">
        <v>638</v>
      </c>
      <c r="E18380" s="41" t="n">
        <v>16456.975</v>
      </c>
    </row>
    <row r="18381">
      <c r="A18381" s="42">
        <f>_xlfn.XLOOKUP(83170,Trip[shape_id],Trip[shape_id],"Não encontrado")</f>
        <v/>
      </c>
      <c r="B18381" s="43" t="n">
        <v>-23.562514</v>
      </c>
      <c r="C18381" s="43" t="n">
        <v>-46.557931</v>
      </c>
      <c r="D18381" s="43" t="n">
        <v>639</v>
      </c>
      <c r="E18381" s="44" t="n">
        <v>16519.805</v>
      </c>
    </row>
    <row r="18382">
      <c r="A18382" s="39">
        <f>_xlfn.XLOOKUP(83170,Trip[shape_id],Trip[shape_id],"Não encontrado")</f>
        <v/>
      </c>
      <c r="B18382" s="40" t="n">
        <v>-23.562521</v>
      </c>
      <c r="C18382" s="40" t="n">
        <v>-46.558094</v>
      </c>
      <c r="D18382" s="40" t="n">
        <v>640</v>
      </c>
      <c r="E18382" s="41" t="n">
        <v>16536.463</v>
      </c>
    </row>
    <row r="18383">
      <c r="A18383" s="42">
        <f>_xlfn.XLOOKUP(83170,Trip[shape_id],Trip[shape_id],"Não encontrado")</f>
        <v/>
      </c>
      <c r="B18383" s="43" t="n">
        <v>-23.56256</v>
      </c>
      <c r="C18383" s="43" t="n">
        <v>-46.558389</v>
      </c>
      <c r="D18383" s="43" t="n">
        <v>641</v>
      </c>
      <c r="E18383" s="44" t="n">
        <v>16566.889</v>
      </c>
    </row>
    <row r="18384">
      <c r="A18384" s="39">
        <f>_xlfn.XLOOKUP(83170,Trip[shape_id],Trip[shape_id],"Não encontrado")</f>
        <v/>
      </c>
      <c r="B18384" s="40" t="n">
        <v>-23.562574</v>
      </c>
      <c r="C18384" s="40" t="n">
        <v>-46.558602</v>
      </c>
      <c r="D18384" s="40" t="n">
        <v>642</v>
      </c>
      <c r="E18384" s="41" t="n">
        <v>16588.689</v>
      </c>
    </row>
    <row r="18385">
      <c r="A18385" s="42">
        <f>_xlfn.XLOOKUP(83170,Trip[shape_id],Trip[shape_id],"Não encontrado")</f>
        <v/>
      </c>
      <c r="B18385" s="43" t="n">
        <v>-23.562577</v>
      </c>
      <c r="C18385" s="43" t="n">
        <v>-46.558841</v>
      </c>
      <c r="D18385" s="43" t="n">
        <v>643</v>
      </c>
      <c r="E18385" s="44" t="n">
        <v>16613.092</v>
      </c>
    </row>
    <row r="18386">
      <c r="A18386" s="39">
        <f>_xlfn.XLOOKUP(83170,Trip[shape_id],Trip[shape_id],"Não encontrado")</f>
        <v/>
      </c>
      <c r="B18386" s="40" t="n">
        <v>-23.562581</v>
      </c>
      <c r="C18386" s="40" t="n">
        <v>-46.559032</v>
      </c>
      <c r="D18386" s="40" t="n">
        <v>644</v>
      </c>
      <c r="E18386" s="41" t="n">
        <v>16632.596</v>
      </c>
    </row>
    <row r="18387">
      <c r="A18387" s="42">
        <f>_xlfn.XLOOKUP(83170,Trip[shape_id],Trip[shape_id],"Não encontrado")</f>
        <v/>
      </c>
      <c r="B18387" s="43" t="n">
        <v>-23.562594</v>
      </c>
      <c r="C18387" s="43" t="n">
        <v>-46.559205</v>
      </c>
      <c r="D18387" s="43" t="n">
        <v>645</v>
      </c>
      <c r="E18387" s="44" t="n">
        <v>16650.316</v>
      </c>
    </row>
    <row r="18388">
      <c r="A18388" s="39">
        <f>_xlfn.XLOOKUP(83170,Trip[shape_id],Trip[shape_id],"Não encontrado")</f>
        <v/>
      </c>
      <c r="B18388" s="40" t="n">
        <v>-23.562608</v>
      </c>
      <c r="C18388" s="40" t="n">
        <v>-46.559339</v>
      </c>
      <c r="D18388" s="40" t="n">
        <v>646</v>
      </c>
      <c r="E18388" s="41" t="n">
        <v>16664.084</v>
      </c>
    </row>
    <row r="18389">
      <c r="A18389" s="42">
        <f>_xlfn.XLOOKUP(83170,Trip[shape_id],Trip[shape_id],"Não encontrado")</f>
        <v/>
      </c>
      <c r="B18389" s="43" t="n">
        <v>-23.562597</v>
      </c>
      <c r="C18389" s="43" t="n">
        <v>-46.559586</v>
      </c>
      <c r="D18389" s="43" t="n">
        <v>647</v>
      </c>
      <c r="E18389" s="44" t="n">
        <v>16689.33</v>
      </c>
    </row>
    <row r="18390">
      <c r="A18390" s="39">
        <f>_xlfn.XLOOKUP(83170,Trip[shape_id],Trip[shape_id],"Não encontrado")</f>
        <v/>
      </c>
      <c r="B18390" s="40" t="n">
        <v>-23.562591</v>
      </c>
      <c r="C18390" s="40" t="n">
        <v>-46.559856</v>
      </c>
      <c r="D18390" s="40" t="n">
        <v>648</v>
      </c>
      <c r="E18390" s="41" t="n">
        <v>16716.902</v>
      </c>
    </row>
    <row r="18391">
      <c r="A18391" s="42">
        <f>_xlfn.XLOOKUP(83170,Trip[shape_id],Trip[shape_id],"Não encontrado")</f>
        <v/>
      </c>
      <c r="B18391" s="43" t="n">
        <v>-23.562567</v>
      </c>
      <c r="C18391" s="43" t="n">
        <v>-46.559991</v>
      </c>
      <c r="D18391" s="43" t="n">
        <v>649</v>
      </c>
      <c r="E18391" s="44" t="n">
        <v>16730.939</v>
      </c>
    </row>
    <row r="18392">
      <c r="A18392" s="39">
        <f>_xlfn.XLOOKUP(83170,Trip[shape_id],Trip[shape_id],"Não encontrado")</f>
        <v/>
      </c>
      <c r="B18392" s="40" t="n">
        <v>-23.562516</v>
      </c>
      <c r="C18392" s="40" t="n">
        <v>-46.560244</v>
      </c>
      <c r="D18392" s="40" t="n">
        <v>650</v>
      </c>
      <c r="E18392" s="41" t="n">
        <v>16757.379</v>
      </c>
    </row>
    <row r="18393">
      <c r="A18393" s="42">
        <f>_xlfn.XLOOKUP(83170,Trip[shape_id],Trip[shape_id],"Não encontrado")</f>
        <v/>
      </c>
      <c r="B18393" s="43" t="n">
        <v>-23.562431</v>
      </c>
      <c r="C18393" s="43" t="n">
        <v>-46.56055</v>
      </c>
      <c r="D18393" s="43" t="n">
        <v>651</v>
      </c>
      <c r="E18393" s="44" t="n">
        <v>16790.008</v>
      </c>
    </row>
    <row r="18394">
      <c r="A18394" s="39">
        <f>_xlfn.XLOOKUP(83170,Trip[shape_id],Trip[shape_id],"Não encontrado")</f>
        <v/>
      </c>
      <c r="B18394" s="40" t="n">
        <v>-23.562321</v>
      </c>
      <c r="C18394" s="40" t="n">
        <v>-46.560811</v>
      </c>
      <c r="D18394" s="40" t="n">
        <v>652</v>
      </c>
      <c r="E18394" s="41" t="n">
        <v>16819.307</v>
      </c>
    </row>
    <row r="18395">
      <c r="A18395" s="42">
        <f>_xlfn.XLOOKUP(83170,Trip[shape_id],Trip[shape_id],"Não encontrado")</f>
        <v/>
      </c>
      <c r="B18395" s="43" t="n">
        <v>-23.562282</v>
      </c>
      <c r="C18395" s="43" t="n">
        <v>-46.560925</v>
      </c>
      <c r="D18395" s="43" t="n">
        <v>653</v>
      </c>
      <c r="E18395" s="44" t="n">
        <v>16831.721</v>
      </c>
    </row>
    <row r="18396">
      <c r="A18396" s="39">
        <f>_xlfn.XLOOKUP(83170,Trip[shape_id],Trip[shape_id],"Não encontrado")</f>
        <v/>
      </c>
      <c r="B18396" s="40" t="n">
        <v>-23.561922</v>
      </c>
      <c r="C18396" s="40" t="n">
        <v>-46.561701</v>
      </c>
      <c r="D18396" s="40" t="n">
        <v>654</v>
      </c>
      <c r="E18396" s="41" t="n">
        <v>16920.412</v>
      </c>
    </row>
    <row r="18397">
      <c r="A18397" s="42">
        <f>_xlfn.XLOOKUP(83170,Trip[shape_id],Trip[shape_id],"Não encontrado")</f>
        <v/>
      </c>
      <c r="B18397" s="43" t="n">
        <v>-23.561806</v>
      </c>
      <c r="C18397" s="43" t="n">
        <v>-46.562006</v>
      </c>
      <c r="D18397" s="43" t="n">
        <v>655</v>
      </c>
      <c r="E18397" s="44" t="n">
        <v>16954.096</v>
      </c>
    </row>
    <row r="18398">
      <c r="A18398" s="39">
        <f>_xlfn.XLOOKUP(83170,Trip[shape_id],Trip[shape_id],"Não encontrado")</f>
        <v/>
      </c>
      <c r="B18398" s="40" t="n">
        <v>-23.56165</v>
      </c>
      <c r="C18398" s="40" t="n">
        <v>-46.562342</v>
      </c>
      <c r="D18398" s="40" t="n">
        <v>656</v>
      </c>
      <c r="E18398" s="41" t="n">
        <v>16992.504</v>
      </c>
    </row>
    <row r="18399">
      <c r="A18399" s="42">
        <f>_xlfn.XLOOKUP(83170,Trip[shape_id],Trip[shape_id],"Não encontrado")</f>
        <v/>
      </c>
      <c r="B18399" s="43" t="n">
        <v>-23.561502</v>
      </c>
      <c r="C18399" s="43" t="n">
        <v>-46.562751</v>
      </c>
      <c r="D18399" s="43" t="n">
        <v>657</v>
      </c>
      <c r="E18399" s="44" t="n">
        <v>17037.361</v>
      </c>
    </row>
    <row r="18400">
      <c r="A18400" s="39">
        <f>_xlfn.XLOOKUP(83170,Trip[shape_id],Trip[shape_id],"Não encontrado")</f>
        <v/>
      </c>
      <c r="B18400" s="40" t="n">
        <v>-23.561459</v>
      </c>
      <c r="C18400" s="40" t="n">
        <v>-46.562882</v>
      </c>
      <c r="D18400" s="40" t="n">
        <v>658</v>
      </c>
      <c r="E18400" s="41" t="n">
        <v>17051.559</v>
      </c>
    </row>
    <row r="18401">
      <c r="A18401" s="42">
        <f>_xlfn.XLOOKUP(83170,Trip[shape_id],Trip[shape_id],"Não encontrado")</f>
        <v/>
      </c>
      <c r="B18401" s="43" t="n">
        <v>-23.561408</v>
      </c>
      <c r="C18401" s="43" t="n">
        <v>-46.563171</v>
      </c>
      <c r="D18401" s="43" t="n">
        <v>659</v>
      </c>
      <c r="E18401" s="44" t="n">
        <v>17081.6</v>
      </c>
    </row>
    <row r="18402">
      <c r="A18402" s="39">
        <f>_xlfn.XLOOKUP(83170,Trip[shape_id],Trip[shape_id],"Não encontrado")</f>
        <v/>
      </c>
      <c r="B18402" s="40" t="n">
        <v>-23.56136</v>
      </c>
      <c r="C18402" s="40" t="n">
        <v>-46.563546</v>
      </c>
      <c r="D18402" s="40" t="n">
        <v>660</v>
      </c>
      <c r="E18402" s="41" t="n">
        <v>17120.252</v>
      </c>
    </row>
    <row r="18403">
      <c r="A18403" s="42">
        <f>_xlfn.XLOOKUP(83170,Trip[shape_id],Trip[shape_id],"Não encontrado")</f>
        <v/>
      </c>
      <c r="B18403" s="43" t="n">
        <v>-23.561285</v>
      </c>
      <c r="C18403" s="43" t="n">
        <v>-46.563755</v>
      </c>
      <c r="D18403" s="43" t="n">
        <v>661</v>
      </c>
      <c r="E18403" s="44" t="n">
        <v>17143.15</v>
      </c>
    </row>
    <row r="18404">
      <c r="A18404" s="39">
        <f>_xlfn.XLOOKUP(83170,Trip[shape_id],Trip[shape_id],"Não encontrado")</f>
        <v/>
      </c>
      <c r="B18404" s="40" t="n">
        <v>-23.561266</v>
      </c>
      <c r="C18404" s="40" t="n">
        <v>-46.563878</v>
      </c>
      <c r="D18404" s="40" t="n">
        <v>662</v>
      </c>
      <c r="E18404" s="41" t="n">
        <v>17155.883</v>
      </c>
    </row>
    <row r="18405">
      <c r="A18405" s="42">
        <f>_xlfn.XLOOKUP(83170,Trip[shape_id],Trip[shape_id],"Não encontrado")</f>
        <v/>
      </c>
      <c r="B18405" s="43" t="n">
        <v>-23.561046</v>
      </c>
      <c r="C18405" s="43" t="n">
        <v>-46.564338</v>
      </c>
      <c r="D18405" s="43" t="n">
        <v>663</v>
      </c>
      <c r="E18405" s="44" t="n">
        <v>17208.791</v>
      </c>
    </row>
    <row r="18406">
      <c r="A18406" s="39">
        <f>_xlfn.XLOOKUP(83170,Trip[shape_id],Trip[shape_id],"Não encontrado")</f>
        <v/>
      </c>
      <c r="B18406" s="40" t="n">
        <v>-23.560469</v>
      </c>
      <c r="C18406" s="40" t="n">
        <v>-46.565618</v>
      </c>
      <c r="D18406" s="40" t="n">
        <v>664</v>
      </c>
      <c r="E18406" s="41" t="n">
        <v>17354.26</v>
      </c>
    </row>
    <row r="18407">
      <c r="A18407" s="42">
        <f>_xlfn.XLOOKUP(83170,Trip[shape_id],Trip[shape_id],"Não encontrado")</f>
        <v/>
      </c>
      <c r="B18407" s="43" t="n">
        <v>-23.560302</v>
      </c>
      <c r="C18407" s="43" t="n">
        <v>-46.565984</v>
      </c>
      <c r="D18407" s="43" t="n">
        <v>665</v>
      </c>
      <c r="E18407" s="44" t="n">
        <v>17395.953</v>
      </c>
    </row>
    <row r="18408">
      <c r="A18408" s="39">
        <f>_xlfn.XLOOKUP(83170,Trip[shape_id],Trip[shape_id],"Não encontrado")</f>
        <v/>
      </c>
      <c r="B18408" s="40" t="n">
        <v>-23.560248</v>
      </c>
      <c r="C18408" s="40" t="n">
        <v>-46.566158</v>
      </c>
      <c r="D18408" s="40" t="n">
        <v>666</v>
      </c>
      <c r="E18408" s="41" t="n">
        <v>17414.697</v>
      </c>
    </row>
    <row r="18409">
      <c r="A18409" s="42">
        <f>_xlfn.XLOOKUP(83170,Trip[shape_id],Trip[shape_id],"Não encontrado")</f>
        <v/>
      </c>
      <c r="B18409" s="43" t="n">
        <v>-23.560165</v>
      </c>
      <c r="C18409" s="43" t="n">
        <v>-46.566297</v>
      </c>
      <c r="D18409" s="43" t="n">
        <v>667</v>
      </c>
      <c r="E18409" s="44" t="n">
        <v>17431.605</v>
      </c>
    </row>
    <row r="18410">
      <c r="A18410" s="39">
        <f>_xlfn.XLOOKUP(83170,Trip[shape_id],Trip[shape_id],"Não encontrado")</f>
        <v/>
      </c>
      <c r="B18410" s="40" t="n">
        <v>-23.560061</v>
      </c>
      <c r="C18410" s="40" t="n">
        <v>-46.566465</v>
      </c>
      <c r="D18410" s="40" t="n">
        <v>668</v>
      </c>
      <c r="E18410" s="41" t="n">
        <v>17452.266</v>
      </c>
    </row>
    <row r="18411">
      <c r="A18411" s="42">
        <f>_xlfn.XLOOKUP(83170,Trip[shape_id],Trip[shape_id],"Não encontrado")</f>
        <v/>
      </c>
      <c r="B18411" s="43" t="n">
        <v>-23.559948</v>
      </c>
      <c r="C18411" s="43" t="n">
        <v>-46.56667</v>
      </c>
      <c r="D18411" s="43" t="n">
        <v>669</v>
      </c>
      <c r="E18411" s="44" t="n">
        <v>17476.652</v>
      </c>
    </row>
    <row r="18412">
      <c r="A18412" s="39">
        <f>_xlfn.XLOOKUP(83170,Trip[shape_id],Trip[shape_id],"Não encontrado")</f>
        <v/>
      </c>
      <c r="B18412" s="40" t="n">
        <v>-23.559896</v>
      </c>
      <c r="C18412" s="40" t="n">
        <v>-46.566809</v>
      </c>
      <c r="D18412" s="40" t="n">
        <v>670</v>
      </c>
      <c r="E18412" s="41" t="n">
        <v>17491.967</v>
      </c>
    </row>
    <row r="18413">
      <c r="A18413" s="42">
        <f>_xlfn.XLOOKUP(83170,Trip[shape_id],Trip[shape_id],"Não encontrado")</f>
        <v/>
      </c>
      <c r="B18413" s="43" t="n">
        <v>-23.559843</v>
      </c>
      <c r="C18413" s="43" t="n">
        <v>-46.56697</v>
      </c>
      <c r="D18413" s="43" t="n">
        <v>671</v>
      </c>
      <c r="E18413" s="44" t="n">
        <v>17509.422</v>
      </c>
    </row>
    <row r="18414">
      <c r="A18414" s="39">
        <f>_xlfn.XLOOKUP(83170,Trip[shape_id],Trip[shape_id],"Não encontrado")</f>
        <v/>
      </c>
      <c r="B18414" s="40" t="n">
        <v>-23.559765</v>
      </c>
      <c r="C18414" s="40" t="n">
        <v>-46.567186</v>
      </c>
      <c r="D18414" s="40" t="n">
        <v>672</v>
      </c>
      <c r="E18414" s="41" t="n">
        <v>17533.105</v>
      </c>
    </row>
    <row r="18415">
      <c r="A18415" s="42">
        <f>_xlfn.XLOOKUP(83170,Trip[shape_id],Trip[shape_id],"Não encontrado")</f>
        <v/>
      </c>
      <c r="B18415" s="43" t="n">
        <v>-23.559685</v>
      </c>
      <c r="C18415" s="43" t="n">
        <v>-46.567378</v>
      </c>
      <c r="D18415" s="43" t="n">
        <v>673</v>
      </c>
      <c r="E18415" s="44" t="n">
        <v>17554.617</v>
      </c>
    </row>
    <row r="18416">
      <c r="A18416" s="39">
        <f>_xlfn.XLOOKUP(83170,Trip[shape_id],Trip[shape_id],"Não encontrado")</f>
        <v/>
      </c>
      <c r="B18416" s="40" t="n">
        <v>-23.559405</v>
      </c>
      <c r="C18416" s="40" t="n">
        <v>-46.567983</v>
      </c>
      <c r="D18416" s="40" t="n">
        <v>674</v>
      </c>
      <c r="E18416" s="41" t="n">
        <v>17623.732</v>
      </c>
    </row>
    <row r="18417">
      <c r="A18417" s="42">
        <f>_xlfn.XLOOKUP(83170,Trip[shape_id],Trip[shape_id],"Não encontrado")</f>
        <v/>
      </c>
      <c r="B18417" s="43" t="n">
        <v>-23.558954</v>
      </c>
      <c r="C18417" s="43" t="n">
        <v>-46.56897</v>
      </c>
      <c r="D18417" s="43" t="n">
        <v>675</v>
      </c>
      <c r="E18417" s="44" t="n">
        <v>17736.201</v>
      </c>
    </row>
    <row r="18418">
      <c r="A18418" s="39">
        <f>_xlfn.XLOOKUP(83170,Trip[shape_id],Trip[shape_id],"Não encontrado")</f>
        <v/>
      </c>
      <c r="B18418" s="40" t="n">
        <v>-23.558894</v>
      </c>
      <c r="C18418" s="40" t="n">
        <v>-46.569096</v>
      </c>
      <c r="D18418" s="40" t="n">
        <v>676</v>
      </c>
      <c r="E18418" s="41" t="n">
        <v>17750.68</v>
      </c>
    </row>
    <row r="18419">
      <c r="A18419" s="42">
        <f>_xlfn.XLOOKUP(83170,Trip[shape_id],Trip[shape_id],"Não encontrado")</f>
        <v/>
      </c>
      <c r="B18419" s="43" t="n">
        <v>-23.558626</v>
      </c>
      <c r="C18419" s="43" t="n">
        <v>-46.569696</v>
      </c>
      <c r="D18419" s="43" t="n">
        <v>677</v>
      </c>
      <c r="E18419" s="44" t="n">
        <v>17818.75</v>
      </c>
    </row>
    <row r="18420">
      <c r="A18420" s="39">
        <f>_xlfn.XLOOKUP(83170,Trip[shape_id],Trip[shape_id],"Não encontrado")</f>
        <v/>
      </c>
      <c r="B18420" s="40" t="n">
        <v>-23.558538</v>
      </c>
      <c r="C18420" s="40" t="n">
        <v>-46.569894</v>
      </c>
      <c r="D18420" s="40" t="n">
        <v>678</v>
      </c>
      <c r="E18420" s="41" t="n">
        <v>17841.191</v>
      </c>
    </row>
    <row r="18421">
      <c r="A18421" s="42">
        <f>_xlfn.XLOOKUP(83170,Trip[shape_id],Trip[shape_id],"Não encontrado")</f>
        <v/>
      </c>
      <c r="B18421" s="43" t="n">
        <v>-23.558459</v>
      </c>
      <c r="C18421" s="43" t="n">
        <v>-46.570077</v>
      </c>
      <c r="D18421" s="43" t="n">
        <v>679</v>
      </c>
      <c r="E18421" s="44" t="n">
        <v>17861.822</v>
      </c>
    </row>
    <row r="18422">
      <c r="A18422" s="39">
        <f>_xlfn.XLOOKUP(83170,Trip[shape_id],Trip[shape_id],"Não encontrado")</f>
        <v/>
      </c>
      <c r="B18422" s="40" t="n">
        <v>-23.558347</v>
      </c>
      <c r="C18422" s="40" t="n">
        <v>-46.570312</v>
      </c>
      <c r="D18422" s="40" t="n">
        <v>680</v>
      </c>
      <c r="E18422" s="41" t="n">
        <v>17888.832</v>
      </c>
    </row>
    <row r="18423">
      <c r="A18423" s="42">
        <f>_xlfn.XLOOKUP(83170,Trip[shape_id],Trip[shape_id],"Não encontrado")</f>
        <v/>
      </c>
      <c r="B18423" s="43" t="n">
        <v>-23.558188</v>
      </c>
      <c r="C18423" s="43" t="n">
        <v>-46.570655</v>
      </c>
      <c r="D18423" s="43" t="n">
        <v>681</v>
      </c>
      <c r="E18423" s="44" t="n">
        <v>17928.029</v>
      </c>
    </row>
    <row r="18424">
      <c r="A18424" s="39">
        <f>_xlfn.XLOOKUP(83170,Trip[shape_id],Trip[shape_id],"Não encontrado")</f>
        <v/>
      </c>
      <c r="B18424" s="40" t="n">
        <v>-23.557883</v>
      </c>
      <c r="C18424" s="40" t="n">
        <v>-46.57133</v>
      </c>
      <c r="D18424" s="40" t="n">
        <v>682</v>
      </c>
      <c r="E18424" s="41" t="n">
        <v>18004.777</v>
      </c>
    </row>
    <row r="18425">
      <c r="A18425" s="42">
        <f>_xlfn.XLOOKUP(83170,Trip[shape_id],Trip[shape_id],"Não encontrado")</f>
        <v/>
      </c>
      <c r="B18425" s="43" t="n">
        <v>-23.557431</v>
      </c>
      <c r="C18425" s="43" t="n">
        <v>-46.572358</v>
      </c>
      <c r="D18425" s="43" t="n">
        <v>683</v>
      </c>
      <c r="E18425" s="44" t="n">
        <v>18121.061</v>
      </c>
    </row>
    <row r="18426">
      <c r="A18426" s="39">
        <f>_xlfn.XLOOKUP(83170,Trip[shape_id],Trip[shape_id],"Não encontrado")</f>
        <v/>
      </c>
      <c r="B18426" s="40" t="n">
        <v>-23.557039</v>
      </c>
      <c r="C18426" s="40" t="n">
        <v>-46.573203</v>
      </c>
      <c r="D18426" s="40" t="n">
        <v>684</v>
      </c>
      <c r="E18426" s="41" t="n">
        <v>18217.641</v>
      </c>
    </row>
    <row r="18427">
      <c r="A18427" s="42">
        <f>_xlfn.XLOOKUP(83170,Trip[shape_id],Trip[shape_id],"Não encontrado")</f>
        <v/>
      </c>
      <c r="B18427" s="43" t="n">
        <v>-23.556432</v>
      </c>
      <c r="C18427" s="43" t="n">
        <v>-46.574553</v>
      </c>
      <c r="D18427" s="43" t="n">
        <v>685</v>
      </c>
      <c r="E18427" s="44" t="n">
        <v>18370.992</v>
      </c>
    </row>
    <row r="18428">
      <c r="A18428" s="39">
        <f>_xlfn.XLOOKUP(83170,Trip[shape_id],Trip[shape_id],"Não encontrado")</f>
        <v/>
      </c>
      <c r="B18428" s="40" t="n">
        <v>-23.555801</v>
      </c>
      <c r="C18428" s="40" t="n">
        <v>-46.575962</v>
      </c>
      <c r="D18428" s="40" t="n">
        <v>686</v>
      </c>
      <c r="E18428" s="41" t="n">
        <v>18530.924</v>
      </c>
    </row>
    <row r="18429">
      <c r="A18429" s="42">
        <f>_xlfn.XLOOKUP(83170,Trip[shape_id],Trip[shape_id],"Não encontrado")</f>
        <v/>
      </c>
      <c r="B18429" s="43" t="n">
        <v>-23.555758</v>
      </c>
      <c r="C18429" s="43" t="n">
        <v>-46.576084</v>
      </c>
      <c r="D18429" s="43" t="n">
        <v>687</v>
      </c>
      <c r="E18429" s="44" t="n">
        <v>18544.26</v>
      </c>
    </row>
    <row r="18430">
      <c r="A18430" s="39">
        <f>_xlfn.XLOOKUP(83170,Trip[shape_id],Trip[shape_id],"Não encontrado")</f>
        <v/>
      </c>
      <c r="B18430" s="40" t="n">
        <v>-23.555599</v>
      </c>
      <c r="C18430" s="40" t="n">
        <v>-46.576412</v>
      </c>
      <c r="D18430" s="40" t="n">
        <v>688</v>
      </c>
      <c r="E18430" s="41" t="n">
        <v>18582.096</v>
      </c>
    </row>
    <row r="18431">
      <c r="A18431" s="42">
        <f>_xlfn.XLOOKUP(83170,Trip[shape_id],Trip[shape_id],"Não encontrado")</f>
        <v/>
      </c>
      <c r="B18431" s="43" t="n">
        <v>-23.555549</v>
      </c>
      <c r="C18431" s="43" t="n">
        <v>-46.576506</v>
      </c>
      <c r="D18431" s="43" t="n">
        <v>689</v>
      </c>
      <c r="E18431" s="44" t="n">
        <v>18593.176</v>
      </c>
    </row>
    <row r="18432">
      <c r="A18432" s="39">
        <f>_xlfn.XLOOKUP(83170,Trip[shape_id],Trip[shape_id],"Não encontrado")</f>
        <v/>
      </c>
      <c r="B18432" s="40" t="n">
        <v>-23.555413</v>
      </c>
      <c r="C18432" s="40" t="n">
        <v>-46.576788</v>
      </c>
      <c r="D18432" s="40" t="n">
        <v>690</v>
      </c>
      <c r="E18432" s="41" t="n">
        <v>18625.67</v>
      </c>
    </row>
    <row r="18433">
      <c r="A18433" s="42">
        <f>_xlfn.XLOOKUP(83170,Trip[shape_id],Trip[shape_id],"Não encontrado")</f>
        <v/>
      </c>
      <c r="B18433" s="43" t="n">
        <v>-23.555331</v>
      </c>
      <c r="C18433" s="43" t="n">
        <v>-46.576968</v>
      </c>
      <c r="D18433" s="43" t="n">
        <v>691</v>
      </c>
      <c r="E18433" s="44" t="n">
        <v>18646.17</v>
      </c>
    </row>
    <row r="18434">
      <c r="A18434" s="39">
        <f>_xlfn.XLOOKUP(83170,Trip[shape_id],Trip[shape_id],"Não encontrado")</f>
        <v/>
      </c>
      <c r="B18434" s="40" t="n">
        <v>-23.555241</v>
      </c>
      <c r="C18434" s="40" t="n">
        <v>-46.577151</v>
      </c>
      <c r="D18434" s="40" t="n">
        <v>692</v>
      </c>
      <c r="E18434" s="41" t="n">
        <v>18667.346</v>
      </c>
    </row>
    <row r="18435">
      <c r="A18435" s="42">
        <f>_xlfn.XLOOKUP(83170,Trip[shape_id],Trip[shape_id],"Não encontrado")</f>
        <v/>
      </c>
      <c r="B18435" s="43" t="n">
        <v>-23.555186</v>
      </c>
      <c r="C18435" s="43" t="n">
        <v>-46.577268</v>
      </c>
      <c r="D18435" s="43" t="n">
        <v>693</v>
      </c>
      <c r="E18435" s="44" t="n">
        <v>18680.754</v>
      </c>
    </row>
    <row r="18436">
      <c r="A18436" s="39">
        <f>_xlfn.XLOOKUP(83170,Trip[shape_id],Trip[shape_id],"Não encontrado")</f>
        <v/>
      </c>
      <c r="B18436" s="40" t="n">
        <v>-23.555081</v>
      </c>
      <c r="C18436" s="40" t="n">
        <v>-46.577472</v>
      </c>
      <c r="D18436" s="40" t="n">
        <v>694</v>
      </c>
      <c r="E18436" s="41" t="n">
        <v>18704.609</v>
      </c>
    </row>
    <row r="18437">
      <c r="A18437" s="42">
        <f>_xlfn.XLOOKUP(83170,Trip[shape_id],Trip[shape_id],"Não encontrado")</f>
        <v/>
      </c>
      <c r="B18437" s="43" t="n">
        <v>-23.555022</v>
      </c>
      <c r="C18437" s="43" t="n">
        <v>-46.577593</v>
      </c>
      <c r="D18437" s="43" t="n">
        <v>695</v>
      </c>
      <c r="E18437" s="44" t="n">
        <v>18718.586</v>
      </c>
    </row>
    <row r="18438">
      <c r="A18438" s="39">
        <f>_xlfn.XLOOKUP(83170,Trip[shape_id],Trip[shape_id],"Não encontrado")</f>
        <v/>
      </c>
      <c r="B18438" s="40" t="n">
        <v>-23.554945</v>
      </c>
      <c r="C18438" s="40" t="n">
        <v>-46.57768</v>
      </c>
      <c r="D18438" s="40" t="n">
        <v>696</v>
      </c>
      <c r="E18438" s="41" t="n">
        <v>18730.9</v>
      </c>
    </row>
    <row r="18439">
      <c r="A18439" s="42">
        <f>_xlfn.XLOOKUP(83170,Trip[shape_id],Trip[shape_id],"Não encontrado")</f>
        <v/>
      </c>
      <c r="B18439" s="43" t="n">
        <v>-23.554821</v>
      </c>
      <c r="C18439" s="43" t="n">
        <v>-46.577947</v>
      </c>
      <c r="D18439" s="43" t="n">
        <v>697</v>
      </c>
      <c r="E18439" s="44" t="n">
        <v>18761.424</v>
      </c>
    </row>
    <row r="18440">
      <c r="A18440" s="39">
        <f>_xlfn.XLOOKUP(83170,Trip[shape_id],Trip[shape_id],"Não encontrado")</f>
        <v/>
      </c>
      <c r="B18440" s="40" t="n">
        <v>-23.554678</v>
      </c>
      <c r="C18440" s="40" t="n">
        <v>-46.578027</v>
      </c>
      <c r="D18440" s="40" t="n">
        <v>698</v>
      </c>
      <c r="E18440" s="41" t="n">
        <v>18779.244</v>
      </c>
    </row>
    <row r="18441">
      <c r="A18441" s="42">
        <f>_xlfn.XLOOKUP(83170,Trip[shape_id],Trip[shape_id],"Não encontrado")</f>
        <v/>
      </c>
      <c r="B18441" s="43" t="n">
        <v>-23.554481</v>
      </c>
      <c r="C18441" s="43" t="n">
        <v>-46.578132</v>
      </c>
      <c r="D18441" s="43" t="n">
        <v>699</v>
      </c>
      <c r="E18441" s="44" t="n">
        <v>18803.555</v>
      </c>
    </row>
    <row r="18442">
      <c r="A18442" s="39">
        <f>_xlfn.XLOOKUP(83170,Trip[shape_id],Trip[shape_id],"Não encontrado")</f>
        <v/>
      </c>
      <c r="B18442" s="40" t="n">
        <v>-23.554077</v>
      </c>
      <c r="C18442" s="40" t="n">
        <v>-46.578344</v>
      </c>
      <c r="D18442" s="40" t="n">
        <v>700</v>
      </c>
      <c r="E18442" s="41" t="n">
        <v>18853.26</v>
      </c>
    </row>
    <row r="18443">
      <c r="A18443" s="42">
        <f>_xlfn.XLOOKUP(83170,Trip[shape_id],Trip[shape_id],"Não encontrado")</f>
        <v/>
      </c>
      <c r="B18443" s="43" t="n">
        <v>-23.553899</v>
      </c>
      <c r="C18443" s="43" t="n">
        <v>-46.578434</v>
      </c>
      <c r="D18443" s="43" t="n">
        <v>701</v>
      </c>
      <c r="E18443" s="44" t="n">
        <v>18875.01</v>
      </c>
    </row>
    <row r="18444">
      <c r="A18444" s="39">
        <f>_xlfn.XLOOKUP(83170,Trip[shape_id],Trip[shape_id],"Não encontrado")</f>
        <v/>
      </c>
      <c r="B18444" s="40" t="n">
        <v>-23.553304</v>
      </c>
      <c r="C18444" s="40" t="n">
        <v>-46.578766</v>
      </c>
      <c r="D18444" s="40" t="n">
        <v>702</v>
      </c>
      <c r="E18444" s="41" t="n">
        <v>18949.113</v>
      </c>
    </row>
    <row r="18445">
      <c r="A18445" s="42">
        <f>_xlfn.XLOOKUP(83170,Trip[shape_id],Trip[shape_id],"Não encontrado")</f>
        <v/>
      </c>
      <c r="B18445" s="43" t="n">
        <v>-23.55232</v>
      </c>
      <c r="C18445" s="43" t="n">
        <v>-46.579311</v>
      </c>
      <c r="D18445" s="43" t="n">
        <v>703</v>
      </c>
      <c r="E18445" s="44" t="n">
        <v>19071.477</v>
      </c>
    </row>
    <row r="18446">
      <c r="A18446" s="39">
        <f>_xlfn.XLOOKUP(83170,Trip[shape_id],Trip[shape_id],"Não encontrado")</f>
        <v/>
      </c>
      <c r="B18446" s="40" t="n">
        <v>-23.551858</v>
      </c>
      <c r="C18446" s="40" t="n">
        <v>-46.579575</v>
      </c>
      <c r="D18446" s="40" t="n">
        <v>704</v>
      </c>
      <c r="E18446" s="41" t="n">
        <v>19129.309</v>
      </c>
    </row>
    <row r="18447">
      <c r="A18447" s="42">
        <f>_xlfn.XLOOKUP(83170,Trip[shape_id],Trip[shape_id],"Não encontrado")</f>
        <v/>
      </c>
      <c r="B18447" s="43" t="n">
        <v>-23.551536</v>
      </c>
      <c r="C18447" s="43" t="n">
        <v>-46.579753</v>
      </c>
      <c r="D18447" s="43" t="n">
        <v>705</v>
      </c>
      <c r="E18447" s="44" t="n">
        <v>19169.334</v>
      </c>
    </row>
    <row r="18448">
      <c r="A18448" s="39">
        <f>_xlfn.XLOOKUP(83170,Trip[shape_id],Trip[shape_id],"Não encontrado")</f>
        <v/>
      </c>
      <c r="B18448" s="40" t="n">
        <v>-23.55153</v>
      </c>
      <c r="C18448" s="40" t="n">
        <v>-46.579757</v>
      </c>
      <c r="D18448" s="40" t="n">
        <v>706</v>
      </c>
      <c r="E18448" s="41" t="n">
        <v>19170.115</v>
      </c>
    </row>
    <row r="18449">
      <c r="A18449" s="42">
        <f>_xlfn.XLOOKUP(83170,Trip[shape_id],Trip[shape_id],"Não encontrado")</f>
        <v/>
      </c>
      <c r="B18449" s="43" t="n">
        <v>-23.5515</v>
      </c>
      <c r="C18449" s="43" t="n">
        <v>-46.579774</v>
      </c>
      <c r="D18449" s="43" t="n">
        <v>707</v>
      </c>
      <c r="E18449" s="44" t="n">
        <v>19173.863</v>
      </c>
    </row>
    <row r="18450">
      <c r="A18450" s="39">
        <f>_xlfn.XLOOKUP(83170,Trip[shape_id],Trip[shape_id],"Não encontrado")</f>
        <v/>
      </c>
      <c r="B18450" s="40" t="n">
        <v>-23.551373</v>
      </c>
      <c r="C18450" s="40" t="n">
        <v>-46.579846</v>
      </c>
      <c r="D18450" s="40" t="n">
        <v>708</v>
      </c>
      <c r="E18450" s="41" t="n">
        <v>19189.734</v>
      </c>
    </row>
    <row r="18451">
      <c r="A18451" s="42">
        <f>_xlfn.XLOOKUP(83170,Trip[shape_id],Trip[shape_id],"Não encontrado")</f>
        <v/>
      </c>
      <c r="B18451" s="43" t="n">
        <v>-23.551324</v>
      </c>
      <c r="C18451" s="43" t="n">
        <v>-46.579874</v>
      </c>
      <c r="D18451" s="43" t="n">
        <v>709</v>
      </c>
      <c r="E18451" s="44" t="n">
        <v>19195.869</v>
      </c>
    </row>
    <row r="18452">
      <c r="A18452" s="39">
        <f>_xlfn.XLOOKUP(83170,Trip[shape_id],Trip[shape_id],"Não encontrado")</f>
        <v/>
      </c>
      <c r="B18452" s="40" t="n">
        <v>-23.550723</v>
      </c>
      <c r="C18452" s="40" t="n">
        <v>-46.580215</v>
      </c>
      <c r="D18452" s="40" t="n">
        <v>710</v>
      </c>
      <c r="E18452" s="41" t="n">
        <v>19270.986</v>
      </c>
    </row>
    <row r="18453">
      <c r="A18453" s="42">
        <f>_xlfn.XLOOKUP(83170,Trip[shape_id],Trip[shape_id],"Não encontrado")</f>
        <v/>
      </c>
      <c r="B18453" s="43" t="n">
        <v>-23.550327</v>
      </c>
      <c r="C18453" s="43" t="n">
        <v>-46.580468</v>
      </c>
      <c r="D18453" s="43" t="n">
        <v>711</v>
      </c>
      <c r="E18453" s="44" t="n">
        <v>19321.887</v>
      </c>
    </row>
    <row r="18454">
      <c r="A18454" s="39">
        <f>_xlfn.XLOOKUP(83170,Trip[shape_id],Trip[shape_id],"Não encontrado")</f>
        <v/>
      </c>
      <c r="B18454" s="40" t="n">
        <v>-23.550061</v>
      </c>
      <c r="C18454" s="40" t="n">
        <v>-46.580642</v>
      </c>
      <c r="D18454" s="40" t="n">
        <v>712</v>
      </c>
      <c r="E18454" s="41" t="n">
        <v>19356.289</v>
      </c>
    </row>
    <row r="18455">
      <c r="A18455" s="42">
        <f>_xlfn.XLOOKUP(83170,Trip[shape_id],Trip[shape_id],"Não encontrado")</f>
        <v/>
      </c>
      <c r="B18455" s="43" t="n">
        <v>-23.549521</v>
      </c>
      <c r="C18455" s="43" t="n">
        <v>-46.58107</v>
      </c>
      <c r="D18455" s="43" t="n">
        <v>713</v>
      </c>
      <c r="E18455" s="44" t="n">
        <v>19430.359</v>
      </c>
    </row>
    <row r="18456">
      <c r="A18456" s="39">
        <f>_xlfn.XLOOKUP(83170,Trip[shape_id],Trip[shape_id],"Não encontrado")</f>
        <v/>
      </c>
      <c r="B18456" s="40" t="n">
        <v>-23.548962</v>
      </c>
      <c r="C18456" s="40" t="n">
        <v>-46.581537</v>
      </c>
      <c r="D18456" s="40" t="n">
        <v>714</v>
      </c>
      <c r="E18456" s="41" t="n">
        <v>19508.504</v>
      </c>
    </row>
    <row r="18457">
      <c r="A18457" s="42">
        <f>_xlfn.XLOOKUP(83170,Trip[shape_id],Trip[shape_id],"Não encontrado")</f>
        <v/>
      </c>
      <c r="B18457" s="43" t="n">
        <v>-23.548778</v>
      </c>
      <c r="C18457" s="43" t="n">
        <v>-46.581698</v>
      </c>
      <c r="D18457" s="43" t="n">
        <v>715</v>
      </c>
      <c r="E18457" s="44" t="n">
        <v>19534.686</v>
      </c>
    </row>
    <row r="18458">
      <c r="A18458" s="39">
        <f>_xlfn.XLOOKUP(83170,Trip[shape_id],Trip[shape_id],"Não encontrado")</f>
        <v/>
      </c>
      <c r="B18458" s="40" t="n">
        <v>-23.548587</v>
      </c>
      <c r="C18458" s="40" t="n">
        <v>-46.581897</v>
      </c>
      <c r="D18458" s="40" t="n">
        <v>716</v>
      </c>
      <c r="E18458" s="41" t="n">
        <v>19564.018</v>
      </c>
    </row>
    <row r="18459">
      <c r="A18459" s="42">
        <f>_xlfn.XLOOKUP(83170,Trip[shape_id],Trip[shape_id],"Não encontrado")</f>
        <v/>
      </c>
      <c r="B18459" s="43" t="n">
        <v>-23.548403</v>
      </c>
      <c r="C18459" s="43" t="n">
        <v>-46.582086</v>
      </c>
      <c r="D18459" s="43" t="n">
        <v>717</v>
      </c>
      <c r="E18459" s="44" t="n">
        <v>19592.082</v>
      </c>
    </row>
    <row r="18460">
      <c r="A18460" s="39">
        <f>_xlfn.XLOOKUP(83170,Trip[shape_id],Trip[shape_id],"Não encontrado")</f>
        <v/>
      </c>
      <c r="B18460" s="40" t="n">
        <v>-23.547558</v>
      </c>
      <c r="C18460" s="40" t="n">
        <v>-46.583</v>
      </c>
      <c r="D18460" s="40" t="n">
        <v>718</v>
      </c>
      <c r="E18460" s="41" t="n">
        <v>19724.246</v>
      </c>
    </row>
    <row r="18461">
      <c r="A18461" s="42">
        <f>_xlfn.XLOOKUP(83170,Trip[shape_id],Trip[shape_id],"Não encontrado")</f>
        <v/>
      </c>
      <c r="B18461" s="43" t="n">
        <v>-23.547496</v>
      </c>
      <c r="C18461" s="43" t="n">
        <v>-46.583073</v>
      </c>
      <c r="D18461" s="43" t="n">
        <v>719</v>
      </c>
      <c r="E18461" s="44" t="n">
        <v>19734.381</v>
      </c>
    </row>
    <row r="18462">
      <c r="A18462" s="39">
        <f>_xlfn.XLOOKUP(83170,Trip[shape_id],Trip[shape_id],"Não encontrado")</f>
        <v/>
      </c>
      <c r="B18462" s="40" t="n">
        <v>-23.546272</v>
      </c>
      <c r="C18462" s="40" t="n">
        <v>-46.584563</v>
      </c>
      <c r="D18462" s="40" t="n">
        <v>720</v>
      </c>
      <c r="E18462" s="41" t="n">
        <v>19938.15</v>
      </c>
    </row>
    <row r="18463">
      <c r="A18463" s="42">
        <f>_xlfn.XLOOKUP(83170,Trip[shape_id],Trip[shape_id],"Não encontrado")</f>
        <v/>
      </c>
      <c r="B18463" s="43" t="n">
        <v>-23.545795</v>
      </c>
      <c r="C18463" s="43" t="n">
        <v>-46.584964</v>
      </c>
      <c r="D18463" s="43" t="n">
        <v>721</v>
      </c>
      <c r="E18463" s="44" t="n">
        <v>20004.988</v>
      </c>
    </row>
    <row r="18464">
      <c r="A18464" s="39">
        <f>_xlfn.XLOOKUP(83170,Trip[shape_id],Trip[shape_id],"Não encontrado")</f>
        <v/>
      </c>
      <c r="B18464" s="40" t="n">
        <v>-23.545511</v>
      </c>
      <c r="C18464" s="40" t="n">
        <v>-46.585207</v>
      </c>
      <c r="D18464" s="40" t="n">
        <v>722</v>
      </c>
      <c r="E18464" s="41" t="n">
        <v>20045.051</v>
      </c>
    </row>
    <row r="18465">
      <c r="A18465" s="42">
        <f>_xlfn.XLOOKUP(83170,Trip[shape_id],Trip[shape_id],"Não encontrado")</f>
        <v/>
      </c>
      <c r="B18465" s="43" t="n">
        <v>-23.545145</v>
      </c>
      <c r="C18465" s="43" t="n">
        <v>-46.585522</v>
      </c>
      <c r="D18465" s="43" t="n">
        <v>723</v>
      </c>
      <c r="E18465" s="44" t="n">
        <v>20096.797</v>
      </c>
    </row>
    <row r="18466">
      <c r="A18466" s="39">
        <f>_xlfn.XLOOKUP(83170,Trip[shape_id],Trip[shape_id],"Não encontrado")</f>
        <v/>
      </c>
      <c r="B18466" s="40" t="n">
        <v>-23.544446</v>
      </c>
      <c r="C18466" s="40" t="n">
        <v>-46.586102</v>
      </c>
      <c r="D18466" s="40" t="n">
        <v>724</v>
      </c>
      <c r="E18466" s="41" t="n">
        <v>20194.268</v>
      </c>
    </row>
    <row r="18467">
      <c r="A18467" s="42">
        <f>_xlfn.XLOOKUP(83170,Trip[shape_id],Trip[shape_id],"Não encontrado")</f>
        <v/>
      </c>
      <c r="B18467" s="43" t="n">
        <v>-23.543919</v>
      </c>
      <c r="C18467" s="43" t="n">
        <v>-46.586542</v>
      </c>
      <c r="D18467" s="43" t="n">
        <v>725</v>
      </c>
      <c r="E18467" s="44" t="n">
        <v>20267.922</v>
      </c>
    </row>
    <row r="18468">
      <c r="A18468" s="39">
        <f>_xlfn.XLOOKUP(83170,Trip[shape_id],Trip[shape_id],"Não encontrado")</f>
        <v/>
      </c>
      <c r="B18468" s="40" t="n">
        <v>-23.543322</v>
      </c>
      <c r="C18468" s="40" t="n">
        <v>-46.587028</v>
      </c>
      <c r="D18468" s="40" t="n">
        <v>726</v>
      </c>
      <c r="E18468" s="41" t="n">
        <v>20350.592</v>
      </c>
    </row>
    <row r="18469">
      <c r="A18469" s="42">
        <f>_xlfn.XLOOKUP(83170,Trip[shape_id],Trip[shape_id],"Não encontrado")</f>
        <v/>
      </c>
      <c r="B18469" s="43" t="n">
        <v>-23.543195</v>
      </c>
      <c r="C18469" s="43" t="n">
        <v>-46.587155</v>
      </c>
      <c r="D18469" s="43" t="n">
        <v>727</v>
      </c>
      <c r="E18469" s="44" t="n">
        <v>20369.723</v>
      </c>
    </row>
    <row r="18470">
      <c r="A18470" s="39">
        <f>_xlfn.XLOOKUP(83170,Trip[shape_id],Trip[shape_id],"Não encontrado")</f>
        <v/>
      </c>
      <c r="B18470" s="40" t="n">
        <v>-23.542817</v>
      </c>
      <c r="C18470" s="40" t="n">
        <v>-46.587485</v>
      </c>
      <c r="D18470" s="40" t="n">
        <v>728</v>
      </c>
      <c r="E18470" s="41" t="n">
        <v>20423.463</v>
      </c>
    </row>
    <row r="18471">
      <c r="A18471" s="42">
        <f>_xlfn.XLOOKUP(83170,Trip[shape_id],Trip[shape_id],"Não encontrado")</f>
        <v/>
      </c>
      <c r="B18471" s="43" t="n">
        <v>-23.542804</v>
      </c>
      <c r="C18471" s="43" t="n">
        <v>-46.587533</v>
      </c>
      <c r="D18471" s="43" t="n">
        <v>729</v>
      </c>
      <c r="E18471" s="44" t="n">
        <v>20428.57</v>
      </c>
    </row>
    <row r="18472">
      <c r="A18472" s="39">
        <f>_xlfn.XLOOKUP(83170,Trip[shape_id],Trip[shape_id],"Não encontrado")</f>
        <v/>
      </c>
      <c r="B18472" s="40" t="n">
        <v>-23.542871</v>
      </c>
      <c r="C18472" s="40" t="n">
        <v>-46.587929</v>
      </c>
      <c r="D18472" s="40" t="n">
        <v>730</v>
      </c>
      <c r="E18472" s="41" t="n">
        <v>20469.68</v>
      </c>
    </row>
    <row r="18473">
      <c r="A18473" s="42">
        <f>_xlfn.XLOOKUP(83170,Trip[shape_id],Trip[shape_id],"Não encontrado")</f>
        <v/>
      </c>
      <c r="B18473" s="43" t="n">
        <v>-23.542888</v>
      </c>
      <c r="C18473" s="43" t="n">
        <v>-46.588094</v>
      </c>
      <c r="D18473" s="43" t="n">
        <v>731</v>
      </c>
      <c r="E18473" s="44" t="n">
        <v>20486.633</v>
      </c>
    </row>
    <row r="18474">
      <c r="A18474" s="39">
        <f>_xlfn.XLOOKUP(83170,Trip[shape_id],Trip[shape_id],"Não encontrado")</f>
        <v/>
      </c>
      <c r="B18474" s="40" t="n">
        <v>-23.542892</v>
      </c>
      <c r="C18474" s="40" t="n">
        <v>-46.588157</v>
      </c>
      <c r="D18474" s="40" t="n">
        <v>732</v>
      </c>
      <c r="E18474" s="41" t="n">
        <v>20500.717</v>
      </c>
    </row>
    <row r="18475">
      <c r="A18475" s="42">
        <f>_xlfn.XLOOKUP(83170,Trip[shape_id],Trip[shape_id],"Não encontrado")</f>
        <v/>
      </c>
      <c r="B18475" s="43" t="n">
        <v>-23.542902</v>
      </c>
      <c r="C18475" s="43" t="n">
        <v>-46.588231</v>
      </c>
      <c r="D18475" s="43" t="n">
        <v>733</v>
      </c>
      <c r="E18475" s="44" t="n">
        <v>20500.717</v>
      </c>
    </row>
    <row r="18476">
      <c r="A18476" s="39">
        <f>_xlfn.XLOOKUP(83170,Trip[shape_id],Trip[shape_id],"Não encontrado")</f>
        <v/>
      </c>
      <c r="B18476" s="40" t="n">
        <v>-23.542922</v>
      </c>
      <c r="C18476" s="40" t="n">
        <v>-46.588335</v>
      </c>
      <c r="D18476" s="40" t="n">
        <v>734</v>
      </c>
      <c r="E18476" s="41" t="n">
        <v>20511.564</v>
      </c>
    </row>
    <row r="18477">
      <c r="A18477" s="42">
        <f>_xlfn.XLOOKUP(83170,Trip[shape_id],Trip[shape_id],"Não encontrado")</f>
        <v/>
      </c>
      <c r="B18477" s="43" t="n">
        <v>-23.542969</v>
      </c>
      <c r="C18477" s="43" t="n">
        <v>-46.588563</v>
      </c>
      <c r="D18477" s="43" t="n">
        <v>735</v>
      </c>
      <c r="E18477" s="44" t="n">
        <v>20535.42</v>
      </c>
    </row>
    <row r="18478">
      <c r="A18478" s="39">
        <f>_xlfn.XLOOKUP(83170,Trip[shape_id],Trip[shape_id],"Não encontrado")</f>
        <v/>
      </c>
      <c r="B18478" s="40" t="n">
        <v>-23.542986</v>
      </c>
      <c r="C18478" s="40" t="n">
        <v>-46.588644</v>
      </c>
      <c r="D18478" s="40" t="n">
        <v>736</v>
      </c>
      <c r="E18478" s="41" t="n">
        <v>20543.902</v>
      </c>
    </row>
    <row r="18479">
      <c r="A18479" s="42">
        <f>_xlfn.XLOOKUP(83170,Trip[shape_id],Trip[shape_id],"Não encontrado")</f>
        <v/>
      </c>
      <c r="B18479" s="43" t="n">
        <v>-23.543025</v>
      </c>
      <c r="C18479" s="43" t="n">
        <v>-46.588833</v>
      </c>
      <c r="D18479" s="43" t="n">
        <v>737</v>
      </c>
      <c r="E18479" s="44" t="n">
        <v>20563.678</v>
      </c>
    </row>
    <row r="18480">
      <c r="A18480" s="39">
        <f>_xlfn.XLOOKUP(83170,Trip[shape_id],Trip[shape_id],"Não encontrado")</f>
        <v/>
      </c>
      <c r="B18480" s="40" t="n">
        <v>-23.543041</v>
      </c>
      <c r="C18480" s="40" t="n">
        <v>-46.588911</v>
      </c>
      <c r="D18480" s="40" t="n">
        <v>738</v>
      </c>
      <c r="E18480" s="41" t="n">
        <v>20571.838</v>
      </c>
    </row>
    <row r="18481">
      <c r="A18481" s="42">
        <f>_xlfn.XLOOKUP(83170,Trip[shape_id],Trip[shape_id],"Não encontrado")</f>
        <v/>
      </c>
      <c r="B18481" s="43" t="n">
        <v>-23.5431</v>
      </c>
      <c r="C18481" s="43" t="n">
        <v>-46.589198</v>
      </c>
      <c r="D18481" s="43" t="n">
        <v>739</v>
      </c>
      <c r="E18481" s="44" t="n">
        <v>20601.863</v>
      </c>
    </row>
    <row r="18482">
      <c r="A18482" s="39">
        <f>_xlfn.XLOOKUP(83170,Trip[shape_id],Trip[shape_id],"Não encontrado")</f>
        <v/>
      </c>
      <c r="B18482" s="40" t="n">
        <v>-23.543118</v>
      </c>
      <c r="C18482" s="40" t="n">
        <v>-46.589283</v>
      </c>
      <c r="D18482" s="40" t="n">
        <v>740</v>
      </c>
      <c r="E18482" s="41" t="n">
        <v>20610.77</v>
      </c>
    </row>
    <row r="18483">
      <c r="A18483" s="42">
        <f>_xlfn.XLOOKUP(83369,Trip[shape_id],Trip[shape_id],"Não encontrado")</f>
        <v/>
      </c>
      <c r="B18483" s="43" t="n">
        <v>-23.594895</v>
      </c>
      <c r="C18483" s="43" t="n">
        <v>-46.548194</v>
      </c>
      <c r="D18483" s="43" t="n">
        <v>1</v>
      </c>
      <c r="E18483" s="44" t="n">
        <v>0</v>
      </c>
    </row>
    <row r="18484">
      <c r="A18484" s="39">
        <f>_xlfn.XLOOKUP(83369,Trip[shape_id],Trip[shape_id],"Não encontrado")</f>
        <v/>
      </c>
      <c r="B18484" s="40" t="n">
        <v>-23.594952</v>
      </c>
      <c r="C18484" s="40" t="n">
        <v>-46.548219</v>
      </c>
      <c r="D18484" s="40" t="n">
        <v>2</v>
      </c>
      <c r="E18484" s="41" t="n">
        <v>6.8092742</v>
      </c>
    </row>
    <row r="18485">
      <c r="A18485" s="42">
        <f>_xlfn.XLOOKUP(83369,Trip[shape_id],Trip[shape_id],"Não encontrado")</f>
        <v/>
      </c>
      <c r="B18485" s="43" t="n">
        <v>-23.594992</v>
      </c>
      <c r="C18485" s="43" t="n">
        <v>-46.548238</v>
      </c>
      <c r="D18485" s="43" t="n">
        <v>3</v>
      </c>
      <c r="E18485" s="44" t="n">
        <v>11.645857</v>
      </c>
    </row>
    <row r="18486">
      <c r="A18486" s="39">
        <f>_xlfn.XLOOKUP(83369,Trip[shape_id],Trip[shape_id],"Não encontrado")</f>
        <v/>
      </c>
      <c r="B18486" s="40" t="n">
        <v>-23.595085</v>
      </c>
      <c r="C18486" s="40" t="n">
        <v>-46.548277</v>
      </c>
      <c r="D18486" s="40" t="n">
        <v>4</v>
      </c>
      <c r="E18486" s="41" t="n">
        <v>22.688503</v>
      </c>
    </row>
    <row r="18487">
      <c r="A18487" s="42">
        <f>_xlfn.XLOOKUP(83369,Trip[shape_id],Trip[shape_id],"Não encontrado")</f>
        <v/>
      </c>
      <c r="B18487" s="43" t="n">
        <v>-23.595175</v>
      </c>
      <c r="C18487" s="43" t="n">
        <v>-46.548219</v>
      </c>
      <c r="D18487" s="43" t="n">
        <v>5</v>
      </c>
      <c r="E18487" s="44" t="n">
        <v>34.281925</v>
      </c>
    </row>
    <row r="18488">
      <c r="A18488" s="39">
        <f>_xlfn.XLOOKUP(83369,Trip[shape_id],Trip[shape_id],"Não encontrado")</f>
        <v/>
      </c>
      <c r="B18488" s="40" t="n">
        <v>-23.595354</v>
      </c>
      <c r="C18488" s="40" t="n">
        <v>-46.548096</v>
      </c>
      <c r="D18488" s="40" t="n">
        <v>6</v>
      </c>
      <c r="E18488" s="41" t="n">
        <v>57.747353</v>
      </c>
    </row>
    <row r="18489">
      <c r="A18489" s="42">
        <f>_xlfn.XLOOKUP(83369,Trip[shape_id],Trip[shape_id],"Não encontrado")</f>
        <v/>
      </c>
      <c r="B18489" s="43" t="n">
        <v>-23.595525</v>
      </c>
      <c r="C18489" s="43" t="n">
        <v>-46.547952</v>
      </c>
      <c r="D18489" s="43" t="n">
        <v>7</v>
      </c>
      <c r="E18489" s="44" t="n">
        <v>81.72032900000001</v>
      </c>
    </row>
    <row r="18490">
      <c r="A18490" s="39">
        <f>_xlfn.XLOOKUP(83369,Trip[shape_id],Trip[shape_id],"Não encontrado")</f>
        <v/>
      </c>
      <c r="B18490" s="40" t="n">
        <v>-23.595028</v>
      </c>
      <c r="C18490" s="40" t="n">
        <v>-46.54741</v>
      </c>
      <c r="D18490" s="40" t="n">
        <v>8</v>
      </c>
      <c r="E18490" s="41" t="n">
        <v>168.43884</v>
      </c>
    </row>
    <row r="18491">
      <c r="A18491" s="42">
        <f>_xlfn.XLOOKUP(83369,Trip[shape_id],Trip[shape_id],"Não encontrado")</f>
        <v/>
      </c>
      <c r="B18491" s="43" t="n">
        <v>-23.594966</v>
      </c>
      <c r="C18491" s="43" t="n">
        <v>-46.547358</v>
      </c>
      <c r="D18491" s="43" t="n">
        <v>9</v>
      </c>
      <c r="E18491" s="44" t="n">
        <v>168.43884</v>
      </c>
    </row>
    <row r="18492">
      <c r="A18492" s="39">
        <f>_xlfn.XLOOKUP(83369,Trip[shape_id],Trip[shape_id],"Não encontrado")</f>
        <v/>
      </c>
      <c r="B18492" s="40" t="n">
        <v>-23.5949</v>
      </c>
      <c r="C18492" s="40" t="n">
        <v>-46.547299</v>
      </c>
      <c r="D18492" s="40" t="n">
        <v>10</v>
      </c>
      <c r="E18492" s="41" t="n">
        <v>236.90018</v>
      </c>
    </row>
    <row r="18493">
      <c r="A18493" s="42">
        <f>_xlfn.XLOOKUP(83369,Trip[shape_id],Trip[shape_id],"Não encontrado")</f>
        <v/>
      </c>
      <c r="B18493" s="43" t="n">
        <v>-23.594409</v>
      </c>
      <c r="C18493" s="43" t="n">
        <v>-46.547075</v>
      </c>
      <c r="D18493" s="43" t="n">
        <v>11</v>
      </c>
      <c r="E18493" s="44" t="n">
        <v>236.90018</v>
      </c>
    </row>
    <row r="18494">
      <c r="A18494" s="39">
        <f>_xlfn.XLOOKUP(83369,Trip[shape_id],Trip[shape_id],"Não encontrado")</f>
        <v/>
      </c>
      <c r="B18494" s="40" t="n">
        <v>-23.594059</v>
      </c>
      <c r="C18494" s="40" t="n">
        <v>-46.546914</v>
      </c>
      <c r="D18494" s="40" t="n">
        <v>12</v>
      </c>
      <c r="E18494" s="41" t="n">
        <v>333.92853</v>
      </c>
    </row>
    <row r="18495">
      <c r="A18495" s="42">
        <f>_xlfn.XLOOKUP(83369,Trip[shape_id],Trip[shape_id],"Não encontrado")</f>
        <v/>
      </c>
      <c r="B18495" s="43" t="n">
        <v>-23.593602</v>
      </c>
      <c r="C18495" s="43" t="n">
        <v>-46.546705</v>
      </c>
      <c r="D18495" s="43" t="n">
        <v>13</v>
      </c>
      <c r="E18495" s="44" t="n">
        <v>333.92853</v>
      </c>
    </row>
    <row r="18496">
      <c r="A18496" s="39">
        <f>_xlfn.XLOOKUP(83369,Trip[shape_id],Trip[shape_id],"Não encontrado")</f>
        <v/>
      </c>
      <c r="B18496" s="40" t="n">
        <v>-23.593059</v>
      </c>
      <c r="C18496" s="40" t="n">
        <v>-46.54646</v>
      </c>
      <c r="D18496" s="40" t="n">
        <v>14</v>
      </c>
      <c r="E18496" s="41" t="n">
        <v>410.66388</v>
      </c>
    </row>
    <row r="18497">
      <c r="A18497" s="42">
        <f>_xlfn.XLOOKUP(83369,Trip[shape_id],Trip[shape_id],"Não encontrado")</f>
        <v/>
      </c>
      <c r="B18497" s="43" t="n">
        <v>-23.59297</v>
      </c>
      <c r="C18497" s="43" t="n">
        <v>-46.5464</v>
      </c>
      <c r="D18497" s="43" t="n">
        <v>15</v>
      </c>
      <c r="E18497" s="44" t="n">
        <v>410.66388</v>
      </c>
    </row>
    <row r="18498">
      <c r="A18498" s="39">
        <f>_xlfn.XLOOKUP(83369,Trip[shape_id],Trip[shape_id],"Não encontrado")</f>
        <v/>
      </c>
      <c r="B18498" s="40" t="n">
        <v>-23.59295</v>
      </c>
      <c r="C18498" s="40" t="n">
        <v>-46.546472</v>
      </c>
      <c r="D18498" s="40" t="n">
        <v>16</v>
      </c>
      <c r="E18498" s="41" t="n">
        <v>418.33987</v>
      </c>
    </row>
    <row r="18499">
      <c r="A18499" s="42">
        <f>_xlfn.XLOOKUP(83369,Trip[shape_id],Trip[shape_id],"Não encontrado")</f>
        <v/>
      </c>
      <c r="B18499" s="43" t="n">
        <v>-23.592902</v>
      </c>
      <c r="C18499" s="43" t="n">
        <v>-46.546578</v>
      </c>
      <c r="D18499" s="43" t="n">
        <v>17</v>
      </c>
      <c r="E18499" s="44" t="n">
        <v>430.39493</v>
      </c>
    </row>
    <row r="18500">
      <c r="A18500" s="39">
        <f>_xlfn.XLOOKUP(83369,Trip[shape_id],Trip[shape_id],"Não encontrado")</f>
        <v/>
      </c>
      <c r="B18500" s="40" t="n">
        <v>-23.592885</v>
      </c>
      <c r="C18500" s="40" t="n">
        <v>-46.546624</v>
      </c>
      <c r="D18500" s="40" t="n">
        <v>18</v>
      </c>
      <c r="E18500" s="41" t="n">
        <v>435.45432</v>
      </c>
    </row>
    <row r="18501">
      <c r="A18501" s="42">
        <f>_xlfn.XLOOKUP(83369,Trip[shape_id],Trip[shape_id],"Não encontrado")</f>
        <v/>
      </c>
      <c r="B18501" s="43" t="n">
        <v>-23.592837</v>
      </c>
      <c r="C18501" s="43" t="n">
        <v>-46.546698</v>
      </c>
      <c r="D18501" s="43" t="n">
        <v>19</v>
      </c>
      <c r="E18501" s="44" t="n">
        <v>444.69061</v>
      </c>
    </row>
    <row r="18502">
      <c r="A18502" s="39">
        <f>_xlfn.XLOOKUP(83369,Trip[shape_id],Trip[shape_id],"Não encontrado")</f>
        <v/>
      </c>
      <c r="B18502" s="40" t="n">
        <v>-23.592811</v>
      </c>
      <c r="C18502" s="40" t="n">
        <v>-46.546735</v>
      </c>
      <c r="D18502" s="40" t="n">
        <v>20</v>
      </c>
      <c r="E18502" s="41" t="n">
        <v>449.43967</v>
      </c>
    </row>
    <row r="18503">
      <c r="A18503" s="42">
        <f>_xlfn.XLOOKUP(83369,Trip[shape_id],Trip[shape_id],"Não encontrado")</f>
        <v/>
      </c>
      <c r="B18503" s="43" t="n">
        <v>-23.592163</v>
      </c>
      <c r="C18503" s="43" t="n">
        <v>-46.547433</v>
      </c>
      <c r="D18503" s="43" t="n">
        <v>21</v>
      </c>
      <c r="E18503" s="44" t="n">
        <v>550.56519</v>
      </c>
    </row>
    <row r="18504">
      <c r="A18504" s="39">
        <f>_xlfn.XLOOKUP(83369,Trip[shape_id],Trip[shape_id],"Não encontrado")</f>
        <v/>
      </c>
      <c r="B18504" s="40" t="n">
        <v>-23.592001</v>
      </c>
      <c r="C18504" s="40" t="n">
        <v>-46.547603</v>
      </c>
      <c r="D18504" s="40" t="n">
        <v>22</v>
      </c>
      <c r="E18504" s="41" t="n">
        <v>575.52521</v>
      </c>
    </row>
    <row r="18505">
      <c r="A18505" s="42">
        <f>_xlfn.XLOOKUP(83369,Trip[shape_id],Trip[shape_id],"Não encontrado")</f>
        <v/>
      </c>
      <c r="B18505" s="43" t="n">
        <v>-23.591899</v>
      </c>
      <c r="C18505" s="43" t="n">
        <v>-46.547762</v>
      </c>
      <c r="D18505" s="43" t="n">
        <v>23</v>
      </c>
      <c r="E18505" s="44" t="n">
        <v>595.29889</v>
      </c>
    </row>
    <row r="18506">
      <c r="A18506" s="39">
        <f>_xlfn.XLOOKUP(83369,Trip[shape_id],Trip[shape_id],"Não encontrado")</f>
        <v/>
      </c>
      <c r="B18506" s="40" t="n">
        <v>-23.59188</v>
      </c>
      <c r="C18506" s="40" t="n">
        <v>-46.547802</v>
      </c>
      <c r="D18506" s="40" t="n">
        <v>24</v>
      </c>
      <c r="E18506" s="41" t="n">
        <v>599.89172</v>
      </c>
    </row>
    <row r="18507">
      <c r="A18507" s="42">
        <f>_xlfn.XLOOKUP(83369,Trip[shape_id],Trip[shape_id],"Não encontrado")</f>
        <v/>
      </c>
      <c r="B18507" s="43" t="n">
        <v>-23.591833</v>
      </c>
      <c r="C18507" s="43" t="n">
        <v>-46.547895</v>
      </c>
      <c r="D18507" s="43" t="n">
        <v>25</v>
      </c>
      <c r="E18507" s="44" t="n">
        <v>610.71771</v>
      </c>
    </row>
    <row r="18508">
      <c r="A18508" s="39">
        <f>_xlfn.XLOOKUP(83369,Trip[shape_id],Trip[shape_id],"Não encontrado")</f>
        <v/>
      </c>
      <c r="B18508" s="40" t="n">
        <v>-23.591783</v>
      </c>
      <c r="C18508" s="40" t="n">
        <v>-46.548064</v>
      </c>
      <c r="D18508" s="40" t="n">
        <v>26</v>
      </c>
      <c r="E18508" s="41" t="n">
        <v>628.83478</v>
      </c>
    </row>
    <row r="18509">
      <c r="A18509" s="42">
        <f>_xlfn.XLOOKUP(83369,Trip[shape_id],Trip[shape_id],"Não encontrado")</f>
        <v/>
      </c>
      <c r="B18509" s="43" t="n">
        <v>-23.591753</v>
      </c>
      <c r="C18509" s="43" t="n">
        <v>-46.548311</v>
      </c>
      <c r="D18509" s="43" t="n">
        <v>27</v>
      </c>
      <c r="E18509" s="44" t="n">
        <v>654.26428</v>
      </c>
    </row>
    <row r="18510">
      <c r="A18510" s="39">
        <f>_xlfn.XLOOKUP(83369,Trip[shape_id],Trip[shape_id],"Não encontrado")</f>
        <v/>
      </c>
      <c r="B18510" s="40" t="n">
        <v>-23.591742</v>
      </c>
      <c r="C18510" s="40" t="n">
        <v>-46.548441</v>
      </c>
      <c r="D18510" s="40" t="n">
        <v>28</v>
      </c>
      <c r="E18510" s="41" t="n">
        <v>667.58948</v>
      </c>
    </row>
    <row r="18511">
      <c r="A18511" s="42">
        <f>_xlfn.XLOOKUP(83369,Trip[shape_id],Trip[shape_id],"Não encontrado")</f>
        <v/>
      </c>
      <c r="B18511" s="43" t="n">
        <v>-23.59169</v>
      </c>
      <c r="C18511" s="43" t="n">
        <v>-46.549</v>
      </c>
      <c r="D18511" s="43" t="n">
        <v>29</v>
      </c>
      <c r="E18511" s="44" t="n">
        <v>724.93665</v>
      </c>
    </row>
    <row r="18512">
      <c r="A18512" s="39">
        <f>_xlfn.XLOOKUP(83369,Trip[shape_id],Trip[shape_id],"Não encontrado")</f>
        <v/>
      </c>
      <c r="B18512" s="40" t="n">
        <v>-23.591668</v>
      </c>
      <c r="C18512" s="40" t="n">
        <v>-46.549201</v>
      </c>
      <c r="D18512" s="40" t="n">
        <v>30</v>
      </c>
      <c r="E18512" s="41" t="n">
        <v>745.59686</v>
      </c>
    </row>
    <row r="18513">
      <c r="A18513" s="42">
        <f>_xlfn.XLOOKUP(83369,Trip[shape_id],Trip[shape_id],"Não encontrado")</f>
        <v/>
      </c>
      <c r="B18513" s="43" t="n">
        <v>-23.591659</v>
      </c>
      <c r="C18513" s="43" t="n">
        <v>-46.549261</v>
      </c>
      <c r="D18513" s="43" t="n">
        <v>31</v>
      </c>
      <c r="E18513" s="44" t="n">
        <v>751.80109</v>
      </c>
    </row>
    <row r="18514">
      <c r="A18514" s="39">
        <f>_xlfn.XLOOKUP(83369,Trip[shape_id],Trip[shape_id],"Não encontrado")</f>
        <v/>
      </c>
      <c r="B18514" s="40" t="n">
        <v>-23.591633</v>
      </c>
      <c r="C18514" s="40" t="n">
        <v>-46.549375</v>
      </c>
      <c r="D18514" s="40" t="n">
        <v>32</v>
      </c>
      <c r="E18514" s="41" t="n">
        <v>763.78796</v>
      </c>
    </row>
    <row r="18515">
      <c r="A18515" s="42">
        <f>_xlfn.XLOOKUP(83369,Trip[shape_id],Trip[shape_id],"Não encontrado")</f>
        <v/>
      </c>
      <c r="B18515" s="43" t="n">
        <v>-23.591612</v>
      </c>
      <c r="C18515" s="43" t="n">
        <v>-46.54945</v>
      </c>
      <c r="D18515" s="43" t="n">
        <v>33</v>
      </c>
      <c r="E18515" s="44" t="n">
        <v>771.78876</v>
      </c>
    </row>
    <row r="18516">
      <c r="A18516" s="39">
        <f>_xlfn.XLOOKUP(83369,Trip[shape_id],Trip[shape_id],"Não encontrado")</f>
        <v/>
      </c>
      <c r="B18516" s="40" t="n">
        <v>-23.591575</v>
      </c>
      <c r="C18516" s="40" t="n">
        <v>-46.549556</v>
      </c>
      <c r="D18516" s="40" t="n">
        <v>34</v>
      </c>
      <c r="E18516" s="41" t="n">
        <v>783.3579099999999</v>
      </c>
    </row>
    <row r="18517">
      <c r="A18517" s="42">
        <f>_xlfn.XLOOKUP(83369,Trip[shape_id],Trip[shape_id],"Não encontrado")</f>
        <v/>
      </c>
      <c r="B18517" s="43" t="n">
        <v>-23.591399</v>
      </c>
      <c r="C18517" s="43" t="n">
        <v>-46.550047</v>
      </c>
      <c r="D18517" s="43" t="n">
        <v>35</v>
      </c>
      <c r="E18517" s="44" t="n">
        <v>837.13165</v>
      </c>
    </row>
    <row r="18518">
      <c r="A18518" s="39">
        <f>_xlfn.XLOOKUP(83369,Trip[shape_id],Trip[shape_id],"Não encontrado")</f>
        <v/>
      </c>
      <c r="B18518" s="40" t="n">
        <v>-23.591371</v>
      </c>
      <c r="C18518" s="40" t="n">
        <v>-46.550124</v>
      </c>
      <c r="D18518" s="40" t="n">
        <v>36</v>
      </c>
      <c r="E18518" s="41" t="n">
        <v>845.58124</v>
      </c>
    </row>
    <row r="18519">
      <c r="A18519" s="42">
        <f>_xlfn.XLOOKUP(83369,Trip[shape_id],Trip[shape_id],"Não encontrado")</f>
        <v/>
      </c>
      <c r="B18519" s="43" t="n">
        <v>-23.591277</v>
      </c>
      <c r="C18519" s="43" t="n">
        <v>-46.550387</v>
      </c>
      <c r="D18519" s="43" t="n">
        <v>37</v>
      </c>
      <c r="E18519" s="44" t="n">
        <v>874.37372</v>
      </c>
    </row>
    <row r="18520">
      <c r="A18520" s="39">
        <f>_xlfn.XLOOKUP(83369,Trip[shape_id],Trip[shape_id],"Não encontrado")</f>
        <v/>
      </c>
      <c r="B18520" s="40" t="n">
        <v>-23.591229</v>
      </c>
      <c r="C18520" s="40" t="n">
        <v>-46.55052</v>
      </c>
      <c r="D18520" s="40" t="n">
        <v>38</v>
      </c>
      <c r="E18520" s="41" t="n">
        <v>888.9527</v>
      </c>
    </row>
    <row r="18521">
      <c r="A18521" s="42">
        <f>_xlfn.XLOOKUP(83369,Trip[shape_id],Trip[shape_id],"Não encontrado")</f>
        <v/>
      </c>
      <c r="B18521" s="43" t="n">
        <v>-23.591224</v>
      </c>
      <c r="C18521" s="43" t="n">
        <v>-46.550531</v>
      </c>
      <c r="D18521" s="43" t="n">
        <v>39</v>
      </c>
      <c r="E18521" s="44" t="n">
        <v>890.20569</v>
      </c>
    </row>
    <row r="18522">
      <c r="A18522" s="39">
        <f>_xlfn.XLOOKUP(83369,Trip[shape_id],Trip[shape_id],"Não encontrado")</f>
        <v/>
      </c>
      <c r="B18522" s="40" t="n">
        <v>-23.591183</v>
      </c>
      <c r="C18522" s="40" t="n">
        <v>-46.550606</v>
      </c>
      <c r="D18522" s="40" t="n">
        <v>40</v>
      </c>
      <c r="E18522" s="41" t="n">
        <v>899.10675</v>
      </c>
    </row>
    <row r="18523">
      <c r="A18523" s="42">
        <f>_xlfn.XLOOKUP(83369,Trip[shape_id],Trip[shape_id],"Não encontrado")</f>
        <v/>
      </c>
      <c r="B18523" s="43" t="n">
        <v>-23.591137</v>
      </c>
      <c r="C18523" s="43" t="n">
        <v>-46.55069</v>
      </c>
      <c r="D18523" s="43" t="n">
        <v>41</v>
      </c>
      <c r="E18523" s="44" t="n">
        <v>909.08014</v>
      </c>
    </row>
    <row r="18524">
      <c r="A18524" s="39">
        <f>_xlfn.XLOOKUP(83369,Trip[shape_id],Trip[shape_id],"Não encontrado")</f>
        <v/>
      </c>
      <c r="B18524" s="40" t="n">
        <v>-23.590968</v>
      </c>
      <c r="C18524" s="40" t="n">
        <v>-46.550938</v>
      </c>
      <c r="D18524" s="40" t="n">
        <v>42</v>
      </c>
      <c r="E18524" s="41" t="n">
        <v>940.5620699999999</v>
      </c>
    </row>
    <row r="18525">
      <c r="A18525" s="42">
        <f>_xlfn.XLOOKUP(83369,Trip[shape_id],Trip[shape_id],"Não encontrado")</f>
        <v/>
      </c>
      <c r="B18525" s="43" t="n">
        <v>-23.590672</v>
      </c>
      <c r="C18525" s="43" t="n">
        <v>-46.551384</v>
      </c>
      <c r="D18525" s="43" t="n">
        <v>43</v>
      </c>
      <c r="E18525" s="44" t="n">
        <v>996.66119</v>
      </c>
    </row>
    <row r="18526">
      <c r="A18526" s="39">
        <f>_xlfn.XLOOKUP(83369,Trip[shape_id],Trip[shape_id],"Não encontrado")</f>
        <v/>
      </c>
      <c r="B18526" s="40" t="n">
        <v>-23.590345</v>
      </c>
      <c r="C18526" s="40" t="n">
        <v>-46.551873</v>
      </c>
      <c r="D18526" s="40" t="n">
        <v>44</v>
      </c>
      <c r="E18526" s="41" t="n">
        <v>1058.3289</v>
      </c>
    </row>
    <row r="18527">
      <c r="A18527" s="42">
        <f>_xlfn.XLOOKUP(83369,Trip[shape_id],Trip[shape_id],"Não encontrado")</f>
        <v/>
      </c>
      <c r="B18527" s="43" t="n">
        <v>-23.59025</v>
      </c>
      <c r="C18527" s="43" t="n">
        <v>-46.552015</v>
      </c>
      <c r="D18527" s="43" t="n">
        <v>45</v>
      </c>
      <c r="E18527" s="44" t="n">
        <v>1076.2393</v>
      </c>
    </row>
    <row r="18528">
      <c r="A18528" s="39">
        <f>_xlfn.XLOOKUP(83369,Trip[shape_id],Trip[shape_id],"Não encontrado")</f>
        <v/>
      </c>
      <c r="B18528" s="40" t="n">
        <v>-23.590101</v>
      </c>
      <c r="C18528" s="40" t="n">
        <v>-46.552236</v>
      </c>
      <c r="D18528" s="40" t="n">
        <v>46</v>
      </c>
      <c r="E18528" s="41" t="n">
        <v>1104.1888</v>
      </c>
    </row>
    <row r="18529">
      <c r="A18529" s="42">
        <f>_xlfn.XLOOKUP(83369,Trip[shape_id],Trip[shape_id],"Não encontrado")</f>
        <v/>
      </c>
      <c r="B18529" s="43" t="n">
        <v>-23.589742</v>
      </c>
      <c r="C18529" s="43" t="n">
        <v>-46.552774</v>
      </c>
      <c r="D18529" s="43" t="n">
        <v>47</v>
      </c>
      <c r="E18529" s="44" t="n">
        <v>1171.9861</v>
      </c>
    </row>
    <row r="18530">
      <c r="A18530" s="39">
        <f>_xlfn.XLOOKUP(83369,Trip[shape_id],Trip[shape_id],"Não encontrado")</f>
        <v/>
      </c>
      <c r="B18530" s="40" t="n">
        <v>-23.589564</v>
      </c>
      <c r="C18530" s="40" t="n">
        <v>-46.553045</v>
      </c>
      <c r="D18530" s="40" t="n">
        <v>48</v>
      </c>
      <c r="E18530" s="41" t="n">
        <v>1205.9536</v>
      </c>
    </row>
    <row r="18531">
      <c r="A18531" s="42">
        <f>_xlfn.XLOOKUP(83369,Trip[shape_id],Trip[shape_id],"Não encontrado")</f>
        <v/>
      </c>
      <c r="B18531" s="43" t="n">
        <v>-23.589372</v>
      </c>
      <c r="C18531" s="43" t="n">
        <v>-46.55334</v>
      </c>
      <c r="D18531" s="43" t="n">
        <v>49</v>
      </c>
      <c r="E18531" s="44" t="n">
        <v>1242.8164</v>
      </c>
    </row>
    <row r="18532">
      <c r="A18532" s="39">
        <f>_xlfn.XLOOKUP(83369,Trip[shape_id],Trip[shape_id],"Não encontrado")</f>
        <v/>
      </c>
      <c r="B18532" s="40" t="n">
        <v>-23.589324</v>
      </c>
      <c r="C18532" s="40" t="n">
        <v>-46.553413</v>
      </c>
      <c r="D18532" s="40" t="n">
        <v>50</v>
      </c>
      <c r="E18532" s="41" t="n">
        <v>1251.9692</v>
      </c>
    </row>
    <row r="18533">
      <c r="A18533" s="42">
        <f>_xlfn.XLOOKUP(83369,Trip[shape_id],Trip[shape_id],"Não encontrado")</f>
        <v/>
      </c>
      <c r="B18533" s="43" t="n">
        <v>-23.589161</v>
      </c>
      <c r="C18533" s="43" t="n">
        <v>-46.553645</v>
      </c>
      <c r="D18533" s="43" t="n">
        <v>51</v>
      </c>
      <c r="E18533" s="44" t="n">
        <v>1281.7462</v>
      </c>
    </row>
    <row r="18534">
      <c r="A18534" s="39">
        <f>_xlfn.XLOOKUP(83369,Trip[shape_id],Trip[shape_id],"Não encontrado")</f>
        <v/>
      </c>
      <c r="B18534" s="40" t="n">
        <v>-23.588978</v>
      </c>
      <c r="C18534" s="40" t="n">
        <v>-46.553943</v>
      </c>
      <c r="D18534" s="40" t="n">
        <v>52</v>
      </c>
      <c r="E18534" s="41" t="n">
        <v>1318.2977</v>
      </c>
    </row>
    <row r="18535">
      <c r="A18535" s="42">
        <f>_xlfn.XLOOKUP(83369,Trip[shape_id],Trip[shape_id],"Não encontrado")</f>
        <v/>
      </c>
      <c r="B18535" s="43" t="n">
        <v>-23.588867</v>
      </c>
      <c r="C18535" s="43" t="n">
        <v>-46.55409</v>
      </c>
      <c r="D18535" s="43" t="n">
        <v>53</v>
      </c>
      <c r="E18535" s="44" t="n">
        <v>1337.6954</v>
      </c>
    </row>
    <row r="18536">
      <c r="A18536" s="39">
        <f>_xlfn.XLOOKUP(83369,Trip[shape_id],Trip[shape_id],"Não encontrado")</f>
        <v/>
      </c>
      <c r="B18536" s="40" t="n">
        <v>-23.589988</v>
      </c>
      <c r="C18536" s="40" t="n">
        <v>-46.554145</v>
      </c>
      <c r="D18536" s="40" t="n">
        <v>54</v>
      </c>
      <c r="E18536" s="41" t="n">
        <v>1528.6508</v>
      </c>
    </row>
    <row r="18537">
      <c r="A18537" s="42">
        <f>_xlfn.XLOOKUP(83369,Trip[shape_id],Trip[shape_id],"Não encontrado")</f>
        <v/>
      </c>
      <c r="B18537" s="43" t="n">
        <v>-23.590589</v>
      </c>
      <c r="C18537" s="43" t="n">
        <v>-46.554183</v>
      </c>
      <c r="D18537" s="43" t="n">
        <v>55</v>
      </c>
      <c r="E18537" s="44" t="n">
        <v>1528.6508</v>
      </c>
    </row>
    <row r="18538">
      <c r="A18538" s="39">
        <f>_xlfn.XLOOKUP(83369,Trip[shape_id],Trip[shape_id],"Não encontrado")</f>
        <v/>
      </c>
      <c r="B18538" s="40" t="n">
        <v>-23.5925</v>
      </c>
      <c r="C18538" s="40" t="n">
        <v>-46.55429</v>
      </c>
      <c r="D18538" s="40" t="n">
        <v>56</v>
      </c>
      <c r="E18538" s="41" t="n">
        <v>1758.1862</v>
      </c>
    </row>
    <row r="18539">
      <c r="A18539" s="42">
        <f>_xlfn.XLOOKUP(83369,Trip[shape_id],Trip[shape_id],"Não encontrado")</f>
        <v/>
      </c>
      <c r="B18539" s="43" t="n">
        <v>-23.592658</v>
      </c>
      <c r="C18539" s="43" t="n">
        <v>-46.554309</v>
      </c>
      <c r="D18539" s="43" t="n">
        <v>57</v>
      </c>
      <c r="E18539" s="44" t="n">
        <v>1769.6597</v>
      </c>
    </row>
    <row r="18540">
      <c r="A18540" s="39">
        <f>_xlfn.XLOOKUP(83369,Trip[shape_id],Trip[shape_id],"Não encontrado")</f>
        <v/>
      </c>
      <c r="B18540" s="40" t="n">
        <v>-23.592759</v>
      </c>
      <c r="C18540" s="40" t="n">
        <v>-46.554334</v>
      </c>
      <c r="D18540" s="40" t="n">
        <v>58</v>
      </c>
      <c r="E18540" s="41" t="n">
        <v>1789.1431</v>
      </c>
    </row>
    <row r="18541">
      <c r="A18541" s="42">
        <f>_xlfn.XLOOKUP(83369,Trip[shape_id],Trip[shape_id],"Não encontrado")</f>
        <v/>
      </c>
      <c r="B18541" s="43" t="n">
        <v>-23.592928</v>
      </c>
      <c r="C18541" s="43" t="n">
        <v>-46.554387</v>
      </c>
      <c r="D18541" s="43" t="n">
        <v>59</v>
      </c>
      <c r="E18541" s="44" t="n">
        <v>1789.1431</v>
      </c>
    </row>
    <row r="18542">
      <c r="A18542" s="39">
        <f>_xlfn.XLOOKUP(83369,Trip[shape_id],Trip[shape_id],"Não encontrado")</f>
        <v/>
      </c>
      <c r="B18542" s="40" t="n">
        <v>-23.593112</v>
      </c>
      <c r="C18542" s="40" t="n">
        <v>-46.554483</v>
      </c>
      <c r="D18542" s="40" t="n">
        <v>60</v>
      </c>
      <c r="E18542" s="41" t="n">
        <v>1834.0902</v>
      </c>
    </row>
    <row r="18543">
      <c r="A18543" s="42">
        <f>_xlfn.XLOOKUP(83369,Trip[shape_id],Trip[shape_id],"Não encontrado")</f>
        <v/>
      </c>
      <c r="B18543" s="43" t="n">
        <v>-23.593283</v>
      </c>
      <c r="C18543" s="43" t="n">
        <v>-46.554599</v>
      </c>
      <c r="D18543" s="43" t="n">
        <v>61</v>
      </c>
      <c r="E18543" s="44" t="n">
        <v>1869.822</v>
      </c>
    </row>
    <row r="18544">
      <c r="A18544" s="39">
        <f>_xlfn.XLOOKUP(83369,Trip[shape_id],Trip[shape_id],"Não encontrado")</f>
        <v/>
      </c>
      <c r="B18544" s="40" t="n">
        <v>-23.593564</v>
      </c>
      <c r="C18544" s="40" t="n">
        <v>-46.554771</v>
      </c>
      <c r="D18544" s="40" t="n">
        <v>62</v>
      </c>
      <c r="E18544" s="41" t="n">
        <v>1916.6006</v>
      </c>
    </row>
    <row r="18545">
      <c r="A18545" s="42">
        <f>_xlfn.XLOOKUP(83369,Trip[shape_id],Trip[shape_id],"Não encontrado")</f>
        <v/>
      </c>
      <c r="B18545" s="43" t="n">
        <v>-23.593933</v>
      </c>
      <c r="C18545" s="43" t="n">
        <v>-46.554994</v>
      </c>
      <c r="D18545" s="43" t="n">
        <v>63</v>
      </c>
      <c r="E18545" s="44" t="n">
        <v>1916.6006</v>
      </c>
    </row>
    <row r="18546">
      <c r="A18546" s="39">
        <f>_xlfn.XLOOKUP(83369,Trip[shape_id],Trip[shape_id],"Não encontrado")</f>
        <v/>
      </c>
      <c r="B18546" s="40" t="n">
        <v>-23.594582</v>
      </c>
      <c r="C18546" s="40" t="n">
        <v>-46.555355</v>
      </c>
      <c r="D18546" s="40" t="n">
        <v>64</v>
      </c>
      <c r="E18546" s="41" t="n">
        <v>2018.5669</v>
      </c>
    </row>
    <row r="18547">
      <c r="A18547" s="42">
        <f>_xlfn.XLOOKUP(83369,Trip[shape_id],Trip[shape_id],"Não encontrado")</f>
        <v/>
      </c>
      <c r="B18547" s="43" t="n">
        <v>-23.594746</v>
      </c>
      <c r="C18547" s="43" t="n">
        <v>-46.555462</v>
      </c>
      <c r="D18547" s="43" t="n">
        <v>65</v>
      </c>
      <c r="E18547" s="44" t="n">
        <v>2028.2101</v>
      </c>
    </row>
    <row r="18548">
      <c r="A18548" s="39">
        <f>_xlfn.XLOOKUP(83369,Trip[shape_id],Trip[shape_id],"Não encontrado")</f>
        <v/>
      </c>
      <c r="B18548" s="40" t="n">
        <v>-23.594821</v>
      </c>
      <c r="C18548" s="40" t="n">
        <v>-46.55551</v>
      </c>
      <c r="D18548" s="40" t="n">
        <v>66</v>
      </c>
      <c r="E18548" s="41" t="n">
        <v>2028.2101</v>
      </c>
    </row>
    <row r="18549">
      <c r="A18549" s="42">
        <f>_xlfn.XLOOKUP(83369,Trip[shape_id],Trip[shape_id],"Não encontrado")</f>
        <v/>
      </c>
      <c r="B18549" s="43" t="n">
        <v>-23.594954</v>
      </c>
      <c r="C18549" s="43" t="n">
        <v>-46.55557</v>
      </c>
      <c r="D18549" s="43" t="n">
        <v>67</v>
      </c>
      <c r="E18549" s="44" t="n">
        <v>2044.1624</v>
      </c>
    </row>
    <row r="18550">
      <c r="A18550" s="39">
        <f>_xlfn.XLOOKUP(83369,Trip[shape_id],Trip[shape_id],"Não encontrado")</f>
        <v/>
      </c>
      <c r="B18550" s="40" t="n">
        <v>-23.595039</v>
      </c>
      <c r="C18550" s="40" t="n">
        <v>-46.555528</v>
      </c>
      <c r="D18550" s="40" t="n">
        <v>68</v>
      </c>
      <c r="E18550" s="41" t="n">
        <v>2054.5068</v>
      </c>
    </row>
    <row r="18551">
      <c r="A18551" s="42">
        <f>_xlfn.XLOOKUP(83369,Trip[shape_id],Trip[shape_id],"Não encontrado")</f>
        <v/>
      </c>
      <c r="B18551" s="43" t="n">
        <v>-23.595096</v>
      </c>
      <c r="C18551" s="43" t="n">
        <v>-46.555513</v>
      </c>
      <c r="D18551" s="43" t="n">
        <v>69</v>
      </c>
      <c r="E18551" s="44" t="n">
        <v>2061.0024</v>
      </c>
    </row>
    <row r="18552">
      <c r="A18552" s="39">
        <f>_xlfn.XLOOKUP(83369,Trip[shape_id],Trip[shape_id],"Não encontrado")</f>
        <v/>
      </c>
      <c r="B18552" s="40" t="n">
        <v>-23.595171</v>
      </c>
      <c r="C18552" s="40" t="n">
        <v>-46.555457</v>
      </c>
      <c r="D18552" s="40" t="n">
        <v>70</v>
      </c>
      <c r="E18552" s="41" t="n">
        <v>2071.0852</v>
      </c>
    </row>
    <row r="18553">
      <c r="A18553" s="42">
        <f>_xlfn.XLOOKUP(83369,Trip[shape_id],Trip[shape_id],"Não encontrado")</f>
        <v/>
      </c>
      <c r="B18553" s="43" t="n">
        <v>-23.595235</v>
      </c>
      <c r="C18553" s="43" t="n">
        <v>-46.555396</v>
      </c>
      <c r="D18553" s="43" t="n">
        <v>71</v>
      </c>
      <c r="E18553" s="44" t="n">
        <v>2080.52</v>
      </c>
    </row>
    <row r="18554">
      <c r="A18554" s="39">
        <f>_xlfn.XLOOKUP(83369,Trip[shape_id],Trip[shape_id],"Não encontrado")</f>
        <v/>
      </c>
      <c r="B18554" s="40" t="n">
        <v>-23.595264</v>
      </c>
      <c r="C18554" s="40" t="n">
        <v>-46.555314</v>
      </c>
      <c r="D18554" s="40" t="n">
        <v>72</v>
      </c>
      <c r="E18554" s="41" t="n">
        <v>2108.4905</v>
      </c>
    </row>
    <row r="18555">
      <c r="A18555" s="42">
        <f>_xlfn.XLOOKUP(83369,Trip[shape_id],Trip[shape_id],"Não encontrado")</f>
        <v/>
      </c>
      <c r="B18555" s="43" t="n">
        <v>-23.595338</v>
      </c>
      <c r="C18555" s="43" t="n">
        <v>-46.555146</v>
      </c>
      <c r="D18555" s="43" t="n">
        <v>73</v>
      </c>
      <c r="E18555" s="44" t="n">
        <v>2108.4905</v>
      </c>
    </row>
    <row r="18556">
      <c r="A18556" s="39">
        <f>_xlfn.XLOOKUP(83369,Trip[shape_id],Trip[shape_id],"Não encontrado")</f>
        <v/>
      </c>
      <c r="B18556" s="40" t="n">
        <v>-23.595711</v>
      </c>
      <c r="C18556" s="40" t="n">
        <v>-46.555207</v>
      </c>
      <c r="D18556" s="40" t="n">
        <v>74</v>
      </c>
      <c r="E18556" s="41" t="n">
        <v>2150.2676</v>
      </c>
    </row>
    <row r="18557">
      <c r="A18557" s="42">
        <f>_xlfn.XLOOKUP(83369,Trip[shape_id],Trip[shape_id],"Não encontrado")</f>
        <v/>
      </c>
      <c r="B18557" s="43" t="n">
        <v>-23.595852</v>
      </c>
      <c r="C18557" s="43" t="n">
        <v>-46.555238</v>
      </c>
      <c r="D18557" s="43" t="n">
        <v>75</v>
      </c>
      <c r="E18557" s="44" t="n">
        <v>2178.4402</v>
      </c>
    </row>
    <row r="18558">
      <c r="A18558" s="39">
        <f>_xlfn.XLOOKUP(83369,Trip[shape_id],Trip[shape_id],"Não encontrado")</f>
        <v/>
      </c>
      <c r="B18558" s="40" t="n">
        <v>-23.595959</v>
      </c>
      <c r="C18558" s="40" t="n">
        <v>-46.555268</v>
      </c>
      <c r="D18558" s="40" t="n">
        <v>76</v>
      </c>
      <c r="E18558" s="41" t="n">
        <v>2192.6641</v>
      </c>
    </row>
    <row r="18559">
      <c r="A18559" s="42">
        <f>_xlfn.XLOOKUP(83369,Trip[shape_id],Trip[shape_id],"Não encontrado")</f>
        <v/>
      </c>
      <c r="B18559" s="43" t="n">
        <v>-23.596084</v>
      </c>
      <c r="C18559" s="43" t="n">
        <v>-46.5553</v>
      </c>
      <c r="D18559" s="43" t="n">
        <v>77</v>
      </c>
      <c r="E18559" s="44" t="n">
        <v>2206.6572</v>
      </c>
    </row>
    <row r="18560">
      <c r="A18560" s="39">
        <f>_xlfn.XLOOKUP(83369,Trip[shape_id],Trip[shape_id],"Não encontrado")</f>
        <v/>
      </c>
      <c r="B18560" s="40" t="n">
        <v>-23.596202</v>
      </c>
      <c r="C18560" s="40" t="n">
        <v>-46.555349</v>
      </c>
      <c r="D18560" s="40" t="n">
        <v>78</v>
      </c>
      <c r="E18560" s="41" t="n">
        <v>2220.0615</v>
      </c>
    </row>
    <row r="18561">
      <c r="A18561" s="42">
        <f>_xlfn.XLOOKUP(83369,Trip[shape_id],Trip[shape_id],"Não encontrado")</f>
        <v/>
      </c>
      <c r="B18561" s="43" t="n">
        <v>-23.596291</v>
      </c>
      <c r="C18561" s="43" t="n">
        <v>-46.555438</v>
      </c>
      <c r="D18561" s="43" t="n">
        <v>79</v>
      </c>
      <c r="E18561" s="44" t="n">
        <v>2233.7053</v>
      </c>
    </row>
    <row r="18562">
      <c r="A18562" s="39">
        <f>_xlfn.XLOOKUP(83369,Trip[shape_id],Trip[shape_id],"Não encontrado")</f>
        <v/>
      </c>
      <c r="B18562" s="40" t="n">
        <v>-23.596361</v>
      </c>
      <c r="C18562" s="40" t="n">
        <v>-46.555548</v>
      </c>
      <c r="D18562" s="40" t="n">
        <v>80</v>
      </c>
      <c r="E18562" s="41" t="n">
        <v>2240.0127</v>
      </c>
    </row>
    <row r="18563">
      <c r="A18563" s="42">
        <f>_xlfn.XLOOKUP(83369,Trip[shape_id],Trip[shape_id],"Não encontrado")</f>
        <v/>
      </c>
      <c r="B18563" s="43" t="n">
        <v>-23.596383</v>
      </c>
      <c r="C18563" s="43" t="n">
        <v>-46.555605</v>
      </c>
      <c r="D18563" s="43" t="n">
        <v>81</v>
      </c>
      <c r="E18563" s="44" t="n">
        <v>2244.7458</v>
      </c>
    </row>
    <row r="18564">
      <c r="A18564" s="39">
        <f>_xlfn.XLOOKUP(83369,Trip[shape_id],Trip[shape_id],"Não encontrado")</f>
        <v/>
      </c>
      <c r="B18564" s="40" t="n">
        <v>-23.596399</v>
      </c>
      <c r="C18564" s="40" t="n">
        <v>-46.555648</v>
      </c>
      <c r="D18564" s="40" t="n">
        <v>82</v>
      </c>
      <c r="E18564" s="41" t="n">
        <v>2248.4622</v>
      </c>
    </row>
    <row r="18565">
      <c r="A18565" s="42">
        <f>_xlfn.XLOOKUP(83369,Trip[shape_id],Trip[shape_id],"Não encontrado")</f>
        <v/>
      </c>
      <c r="B18565" s="43" t="n">
        <v>-23.596411</v>
      </c>
      <c r="C18565" s="43" t="n">
        <v>-46.555682</v>
      </c>
      <c r="D18565" s="43" t="n">
        <v>83</v>
      </c>
      <c r="E18565" s="44" t="n">
        <v>2248.4622</v>
      </c>
    </row>
    <row r="18566">
      <c r="A18566" s="39">
        <f>_xlfn.XLOOKUP(83369,Trip[shape_id],Trip[shape_id],"Não encontrado")</f>
        <v/>
      </c>
      <c r="B18566" s="40" t="n">
        <v>-23.596378</v>
      </c>
      <c r="C18566" s="40" t="n">
        <v>-46.555744</v>
      </c>
      <c r="D18566" s="40" t="n">
        <v>84</v>
      </c>
      <c r="E18566" s="41" t="n">
        <v>2255.7695</v>
      </c>
    </row>
    <row r="18567">
      <c r="A18567" s="42">
        <f>_xlfn.XLOOKUP(83369,Trip[shape_id],Trip[shape_id],"Não encontrado")</f>
        <v/>
      </c>
      <c r="B18567" s="43" t="n">
        <v>-23.596216</v>
      </c>
      <c r="C18567" s="43" t="n">
        <v>-46.556217</v>
      </c>
      <c r="D18567" s="43" t="n">
        <v>85</v>
      </c>
      <c r="E18567" s="44" t="n">
        <v>2307.2732</v>
      </c>
    </row>
    <row r="18568">
      <c r="A18568" s="39">
        <f>_xlfn.XLOOKUP(83369,Trip[shape_id],Trip[shape_id],"Não encontrado")</f>
        <v/>
      </c>
      <c r="B18568" s="40" t="n">
        <v>-23.596195</v>
      </c>
      <c r="C18568" s="40" t="n">
        <v>-46.556269</v>
      </c>
      <c r="D18568" s="40" t="n">
        <v>86</v>
      </c>
      <c r="E18568" s="41" t="n">
        <v>2313.0674</v>
      </c>
    </row>
    <row r="18569">
      <c r="A18569" s="42">
        <f>_xlfn.XLOOKUP(83369,Trip[shape_id],Trip[shape_id],"Não encontrado")</f>
        <v/>
      </c>
      <c r="B18569" s="43" t="n">
        <v>-23.596083</v>
      </c>
      <c r="C18569" s="43" t="n">
        <v>-46.556635</v>
      </c>
      <c r="D18569" s="43" t="n">
        <v>87</v>
      </c>
      <c r="E18569" s="44" t="n">
        <v>2352.4294</v>
      </c>
    </row>
    <row r="18570">
      <c r="A18570" s="39">
        <f>_xlfn.XLOOKUP(83369,Trip[shape_id],Trip[shape_id],"Não encontrado")</f>
        <v/>
      </c>
      <c r="B18570" s="40" t="n">
        <v>-23.595943</v>
      </c>
      <c r="C18570" s="40" t="n">
        <v>-46.557006</v>
      </c>
      <c r="D18570" s="40" t="n">
        <v>88</v>
      </c>
      <c r="E18570" s="41" t="n">
        <v>2393.3479</v>
      </c>
    </row>
    <row r="18571">
      <c r="A18571" s="42">
        <f>_xlfn.XLOOKUP(83369,Trip[shape_id],Trip[shape_id],"Não encontrado")</f>
        <v/>
      </c>
      <c r="B18571" s="43" t="n">
        <v>-23.595886</v>
      </c>
      <c r="C18571" s="43" t="n">
        <v>-46.557171</v>
      </c>
      <c r="D18571" s="43" t="n">
        <v>89</v>
      </c>
      <c r="E18571" s="44" t="n">
        <v>2411.3335</v>
      </c>
    </row>
    <row r="18572">
      <c r="A18572" s="39">
        <f>_xlfn.XLOOKUP(83369,Trip[shape_id],Trip[shape_id],"Não encontrado")</f>
        <v/>
      </c>
      <c r="B18572" s="40" t="n">
        <v>-23.595685</v>
      </c>
      <c r="C18572" s="40" t="n">
        <v>-46.557745</v>
      </c>
      <c r="D18572" s="40" t="n">
        <v>90</v>
      </c>
      <c r="E18572" s="41" t="n">
        <v>2474.0068</v>
      </c>
    </row>
    <row r="18573">
      <c r="A18573" s="42">
        <f>_xlfn.XLOOKUP(83369,Trip[shape_id],Trip[shape_id],"Não encontrado")</f>
        <v/>
      </c>
      <c r="B18573" s="43" t="n">
        <v>-23.595665</v>
      </c>
      <c r="C18573" s="43" t="n">
        <v>-46.557858</v>
      </c>
      <c r="D18573" s="43" t="n">
        <v>91</v>
      </c>
      <c r="E18573" s="44" t="n">
        <v>2485.751</v>
      </c>
    </row>
    <row r="18574">
      <c r="A18574" s="39">
        <f>_xlfn.XLOOKUP(83369,Trip[shape_id],Trip[shape_id],"Não encontrado")</f>
        <v/>
      </c>
      <c r="B18574" s="40" t="n">
        <v>-23.595661</v>
      </c>
      <c r="C18574" s="40" t="n">
        <v>-46.558046</v>
      </c>
      <c r="D18574" s="40" t="n">
        <v>92</v>
      </c>
      <c r="E18574" s="41" t="n">
        <v>2504.9446</v>
      </c>
    </row>
    <row r="18575">
      <c r="A18575" s="42">
        <f>_xlfn.XLOOKUP(83369,Trip[shape_id],Trip[shape_id],"Não encontrado")</f>
        <v/>
      </c>
      <c r="B18575" s="43" t="n">
        <v>-23.595685</v>
      </c>
      <c r="C18575" s="43" t="n">
        <v>-46.55814</v>
      </c>
      <c r="D18575" s="43" t="n">
        <v>93</v>
      </c>
      <c r="E18575" s="44" t="n">
        <v>2514.9006</v>
      </c>
    </row>
    <row r="18576">
      <c r="A18576" s="39">
        <f>_xlfn.XLOOKUP(83369,Trip[shape_id],Trip[shape_id],"Não encontrado")</f>
        <v/>
      </c>
      <c r="B18576" s="40" t="n">
        <v>-23.595776</v>
      </c>
      <c r="C18576" s="40" t="n">
        <v>-46.558282</v>
      </c>
      <c r="D18576" s="40" t="n">
        <v>94</v>
      </c>
      <c r="E18576" s="41" t="n">
        <v>2532.554</v>
      </c>
    </row>
    <row r="18577">
      <c r="A18577" s="42">
        <f>_xlfn.XLOOKUP(83369,Trip[shape_id],Trip[shape_id],"Não encontrado")</f>
        <v/>
      </c>
      <c r="B18577" s="43" t="n">
        <v>-23.595965</v>
      </c>
      <c r="C18577" s="43" t="n">
        <v>-46.558471</v>
      </c>
      <c r="D18577" s="43" t="n">
        <v>95</v>
      </c>
      <c r="E18577" s="44" t="n">
        <v>2561.0195</v>
      </c>
    </row>
    <row r="18578">
      <c r="A18578" s="39">
        <f>_xlfn.XLOOKUP(83369,Trip[shape_id],Trip[shape_id],"Não encontrado")</f>
        <v/>
      </c>
      <c r="B18578" s="40" t="n">
        <v>-23.596082</v>
      </c>
      <c r="C18578" s="40" t="n">
        <v>-46.558548</v>
      </c>
      <c r="D18578" s="40" t="n">
        <v>96</v>
      </c>
      <c r="E18578" s="41" t="n">
        <v>2576.1746</v>
      </c>
    </row>
    <row r="18579">
      <c r="A18579" s="42">
        <f>_xlfn.XLOOKUP(83369,Trip[shape_id],Trip[shape_id],"Não encontrado")</f>
        <v/>
      </c>
      <c r="B18579" s="43" t="n">
        <v>-23.59615</v>
      </c>
      <c r="C18579" s="43" t="n">
        <v>-46.558582</v>
      </c>
      <c r="D18579" s="43" t="n">
        <v>97</v>
      </c>
      <c r="E18579" s="44" t="n">
        <v>2584.4668</v>
      </c>
    </row>
    <row r="18580">
      <c r="A18580" s="39">
        <f>_xlfn.XLOOKUP(83369,Trip[shape_id],Trip[shape_id],"Não encontrado")</f>
        <v/>
      </c>
      <c r="B18580" s="40" t="n">
        <v>-23.596446</v>
      </c>
      <c r="C18580" s="40" t="n">
        <v>-46.558721</v>
      </c>
      <c r="D18580" s="40" t="n">
        <v>98</v>
      </c>
      <c r="E18580" s="41" t="n">
        <v>2620.1875</v>
      </c>
    </row>
    <row r="18581">
      <c r="A18581" s="42">
        <f>_xlfn.XLOOKUP(83369,Trip[shape_id],Trip[shape_id],"Não encontrado")</f>
        <v/>
      </c>
      <c r="B18581" s="43" t="n">
        <v>-23.59668</v>
      </c>
      <c r="C18581" s="43" t="n">
        <v>-46.558782</v>
      </c>
      <c r="D18581" s="43" t="n">
        <v>99</v>
      </c>
      <c r="E18581" s="44" t="n">
        <v>2646.8411</v>
      </c>
    </row>
    <row r="18582">
      <c r="A18582" s="39">
        <f>_xlfn.XLOOKUP(83369,Trip[shape_id],Trip[shape_id],"Não encontrado")</f>
        <v/>
      </c>
      <c r="B18582" s="40" t="n">
        <v>-23.596752</v>
      </c>
      <c r="C18582" s="40" t="n">
        <v>-46.558867</v>
      </c>
      <c r="D18582" s="40" t="n">
        <v>100</v>
      </c>
      <c r="E18582" s="41" t="n">
        <v>2658.6248</v>
      </c>
    </row>
    <row r="18583">
      <c r="A18583" s="42">
        <f>_xlfn.XLOOKUP(83369,Trip[shape_id],Trip[shape_id],"Não encontrado")</f>
        <v/>
      </c>
      <c r="B18583" s="43" t="n">
        <v>-23.596764</v>
      </c>
      <c r="C18583" s="43" t="n">
        <v>-46.558913</v>
      </c>
      <c r="D18583" s="43" t="n">
        <v>101</v>
      </c>
      <c r="E18583" s="44" t="n">
        <v>2663.5051</v>
      </c>
    </row>
    <row r="18584">
      <c r="A18584" s="39">
        <f>_xlfn.XLOOKUP(83369,Trip[shape_id],Trip[shape_id],"Não encontrado")</f>
        <v/>
      </c>
      <c r="B18584" s="40" t="n">
        <v>-23.59682</v>
      </c>
      <c r="C18584" s="40" t="n">
        <v>-46.558942</v>
      </c>
      <c r="D18584" s="40" t="n">
        <v>102</v>
      </c>
      <c r="E18584" s="41" t="n">
        <v>2670.377</v>
      </c>
    </row>
    <row r="18585">
      <c r="A18585" s="42">
        <f>_xlfn.XLOOKUP(83369,Trip[shape_id],Trip[shape_id],"Não encontrado")</f>
        <v/>
      </c>
      <c r="B18585" s="43" t="n">
        <v>-23.596929</v>
      </c>
      <c r="C18585" s="43" t="n">
        <v>-46.559043</v>
      </c>
      <c r="D18585" s="43" t="n">
        <v>103</v>
      </c>
      <c r="E18585" s="44" t="n">
        <v>2686.2517</v>
      </c>
    </row>
    <row r="18586">
      <c r="A18586" s="39">
        <f>_xlfn.XLOOKUP(83369,Trip[shape_id],Trip[shape_id],"Não encontrado")</f>
        <v/>
      </c>
      <c r="B18586" s="40" t="n">
        <v>-23.597028</v>
      </c>
      <c r="C18586" s="40" t="n">
        <v>-46.559133</v>
      </c>
      <c r="D18586" s="40" t="n">
        <v>104</v>
      </c>
      <c r="E18586" s="41" t="n">
        <v>2700.5557</v>
      </c>
    </row>
    <row r="18587">
      <c r="A18587" s="42">
        <f>_xlfn.XLOOKUP(83369,Trip[shape_id],Trip[shape_id],"Não encontrado")</f>
        <v/>
      </c>
      <c r="B18587" s="43" t="n">
        <v>-23.597167</v>
      </c>
      <c r="C18587" s="43" t="n">
        <v>-46.559244</v>
      </c>
      <c r="D18587" s="43" t="n">
        <v>105</v>
      </c>
      <c r="E18587" s="44" t="n">
        <v>2719.6697</v>
      </c>
    </row>
    <row r="18588">
      <c r="A18588" s="39">
        <f>_xlfn.XLOOKUP(83369,Trip[shape_id],Trip[shape_id],"Não encontrado")</f>
        <v/>
      </c>
      <c r="B18588" s="40" t="n">
        <v>-23.59724</v>
      </c>
      <c r="C18588" s="40" t="n">
        <v>-46.55931</v>
      </c>
      <c r="D18588" s="40" t="n">
        <v>106</v>
      </c>
      <c r="E18588" s="41" t="n">
        <v>2730.1936</v>
      </c>
    </row>
    <row r="18589">
      <c r="A18589" s="42">
        <f>_xlfn.XLOOKUP(83369,Trip[shape_id],Trip[shape_id],"Não encontrado")</f>
        <v/>
      </c>
      <c r="B18589" s="43" t="n">
        <v>-23.597281</v>
      </c>
      <c r="C18589" s="43" t="n">
        <v>-46.559339</v>
      </c>
      <c r="D18589" s="43" t="n">
        <v>107</v>
      </c>
      <c r="E18589" s="44" t="n">
        <v>2735.6143</v>
      </c>
    </row>
    <row r="18590">
      <c r="A18590" s="39">
        <f>_xlfn.XLOOKUP(83369,Trip[shape_id],Trip[shape_id],"Não encontrado")</f>
        <v/>
      </c>
      <c r="B18590" s="40" t="n">
        <v>-23.59731</v>
      </c>
      <c r="C18590" s="40" t="n">
        <v>-46.559369</v>
      </c>
      <c r="D18590" s="40" t="n">
        <v>108</v>
      </c>
      <c r="E18590" s="41" t="n">
        <v>2740.0513</v>
      </c>
    </row>
    <row r="18591">
      <c r="A18591" s="42">
        <f>_xlfn.XLOOKUP(83369,Trip[shape_id],Trip[shape_id],"Não encontrado")</f>
        <v/>
      </c>
      <c r="B18591" s="43" t="n">
        <v>-23.597337</v>
      </c>
      <c r="C18591" s="43" t="n">
        <v>-46.559405</v>
      </c>
      <c r="D18591" s="43" t="n">
        <v>109</v>
      </c>
      <c r="E18591" s="44" t="n">
        <v>2744.7886</v>
      </c>
    </row>
    <row r="18592">
      <c r="A18592" s="39">
        <f>_xlfn.XLOOKUP(83369,Trip[shape_id],Trip[shape_id],"Não encontrado")</f>
        <v/>
      </c>
      <c r="B18592" s="40" t="n">
        <v>-23.597354</v>
      </c>
      <c r="C18592" s="40" t="n">
        <v>-46.559446</v>
      </c>
      <c r="D18592" s="40" t="n">
        <v>110</v>
      </c>
      <c r="E18592" s="41" t="n">
        <v>2749.3779</v>
      </c>
    </row>
    <row r="18593">
      <c r="A18593" s="42">
        <f>_xlfn.XLOOKUP(83369,Trip[shape_id],Trip[shape_id],"Não encontrado")</f>
        <v/>
      </c>
      <c r="B18593" s="43" t="n">
        <v>-23.597446</v>
      </c>
      <c r="C18593" s="43" t="n">
        <v>-46.559689</v>
      </c>
      <c r="D18593" s="43" t="n">
        <v>111</v>
      </c>
      <c r="E18593" s="44" t="n">
        <v>2776.1914</v>
      </c>
    </row>
    <row r="18594">
      <c r="A18594" s="39">
        <f>_xlfn.XLOOKUP(83369,Trip[shape_id],Trip[shape_id],"Não encontrado")</f>
        <v/>
      </c>
      <c r="B18594" s="40" t="n">
        <v>-23.59747</v>
      </c>
      <c r="C18594" s="40" t="n">
        <v>-46.559755</v>
      </c>
      <c r="D18594" s="40" t="n">
        <v>112</v>
      </c>
      <c r="E18594" s="41" t="n">
        <v>2783.4331</v>
      </c>
    </row>
    <row r="18595">
      <c r="A18595" s="42">
        <f>_xlfn.XLOOKUP(83369,Trip[shape_id],Trip[shape_id],"Não encontrado")</f>
        <v/>
      </c>
      <c r="B18595" s="43" t="n">
        <v>-23.597564</v>
      </c>
      <c r="C18595" s="43" t="n">
        <v>-46.560064</v>
      </c>
      <c r="D18595" s="43" t="n">
        <v>113</v>
      </c>
      <c r="E18595" s="44" t="n">
        <v>2816.6453</v>
      </c>
    </row>
    <row r="18596">
      <c r="A18596" s="39">
        <f>_xlfn.XLOOKUP(83369,Trip[shape_id],Trip[shape_id],"Não encontrado")</f>
        <v/>
      </c>
      <c r="B18596" s="40" t="n">
        <v>-23.597601</v>
      </c>
      <c r="C18596" s="40" t="n">
        <v>-46.56019</v>
      </c>
      <c r="D18596" s="40" t="n">
        <v>114</v>
      </c>
      <c r="E18596" s="41" t="n">
        <v>2830.1423</v>
      </c>
    </row>
    <row r="18597">
      <c r="A18597" s="42">
        <f>_xlfn.XLOOKUP(83369,Trip[shape_id],Trip[shape_id],"Não encontrado")</f>
        <v/>
      </c>
      <c r="B18597" s="43" t="n">
        <v>-23.59768</v>
      </c>
      <c r="C18597" s="43" t="n">
        <v>-46.560486</v>
      </c>
      <c r="D18597" s="43" t="n">
        <v>115</v>
      </c>
      <c r="E18597" s="44" t="n">
        <v>2861.5952</v>
      </c>
    </row>
    <row r="18598">
      <c r="A18598" s="39">
        <f>_xlfn.XLOOKUP(83369,Trip[shape_id],Trip[shape_id],"Não encontrado")</f>
        <v/>
      </c>
      <c r="B18598" s="40" t="n">
        <v>-23.597749</v>
      </c>
      <c r="C18598" s="40" t="n">
        <v>-46.560755</v>
      </c>
      <c r="D18598" s="40" t="n">
        <v>116</v>
      </c>
      <c r="E18598" s="41" t="n">
        <v>2890.0947</v>
      </c>
    </row>
    <row r="18599">
      <c r="A18599" s="42">
        <f>_xlfn.XLOOKUP(83369,Trip[shape_id],Trip[shape_id],"Não encontrado")</f>
        <v/>
      </c>
      <c r="B18599" s="43" t="n">
        <v>-23.597774</v>
      </c>
      <c r="C18599" s="43" t="n">
        <v>-46.560937</v>
      </c>
      <c r="D18599" s="43" t="n">
        <v>117</v>
      </c>
      <c r="E18599" s="44" t="n">
        <v>2908.8757</v>
      </c>
    </row>
    <row r="18600">
      <c r="A18600" s="39">
        <f>_xlfn.XLOOKUP(83369,Trip[shape_id],Trip[shape_id],"Não encontrado")</f>
        <v/>
      </c>
      <c r="B18600" s="40" t="n">
        <v>-23.597786</v>
      </c>
      <c r="C18600" s="40" t="n">
        <v>-46.56108</v>
      </c>
      <c r="D18600" s="40" t="n">
        <v>118</v>
      </c>
      <c r="E18600" s="41" t="n">
        <v>2923.5315</v>
      </c>
    </row>
    <row r="18601">
      <c r="A18601" s="42">
        <f>_xlfn.XLOOKUP(83369,Trip[shape_id],Trip[shape_id],"Não encontrado")</f>
        <v/>
      </c>
      <c r="B18601" s="43" t="n">
        <v>-23.597783</v>
      </c>
      <c r="C18601" s="43" t="n">
        <v>-46.561163</v>
      </c>
      <c r="D18601" s="43" t="n">
        <v>119</v>
      </c>
      <c r="E18601" s="44" t="n">
        <v>2932.01</v>
      </c>
    </row>
    <row r="18602">
      <c r="A18602" s="39">
        <f>_xlfn.XLOOKUP(83369,Trip[shape_id],Trip[shape_id],"Não encontrado")</f>
        <v/>
      </c>
      <c r="B18602" s="40" t="n">
        <v>-23.597788</v>
      </c>
      <c r="C18602" s="40" t="n">
        <v>-46.561275</v>
      </c>
      <c r="D18602" s="40" t="n">
        <v>120</v>
      </c>
      <c r="E18602" s="41" t="n">
        <v>2943.4543</v>
      </c>
    </row>
    <row r="18603">
      <c r="A18603" s="42">
        <f>_xlfn.XLOOKUP(83369,Trip[shape_id],Trip[shape_id],"Não encontrado")</f>
        <v/>
      </c>
      <c r="B18603" s="43" t="n">
        <v>-23.597763</v>
      </c>
      <c r="C18603" s="43" t="n">
        <v>-46.561394</v>
      </c>
      <c r="D18603" s="43" t="n">
        <v>121</v>
      </c>
      <c r="E18603" s="44" t="n">
        <v>2955.9114</v>
      </c>
    </row>
    <row r="18604">
      <c r="A18604" s="39">
        <f>_xlfn.XLOOKUP(83369,Trip[shape_id],Trip[shape_id],"Não encontrado")</f>
        <v/>
      </c>
      <c r="B18604" s="40" t="n">
        <v>-23.597724</v>
      </c>
      <c r="C18604" s="40" t="n">
        <v>-46.561562</v>
      </c>
      <c r="D18604" s="40" t="n">
        <v>122</v>
      </c>
      <c r="E18604" s="41" t="n">
        <v>2973.5938</v>
      </c>
    </row>
    <row r="18605">
      <c r="A18605" s="42">
        <f>_xlfn.XLOOKUP(83369,Trip[shape_id],Trip[shape_id],"Não encontrado")</f>
        <v/>
      </c>
      <c r="B18605" s="43" t="n">
        <v>-23.597548</v>
      </c>
      <c r="C18605" s="43" t="n">
        <v>-46.562214</v>
      </c>
      <c r="D18605" s="43" t="n">
        <v>123</v>
      </c>
      <c r="E18605" s="44" t="n">
        <v>3042.9365</v>
      </c>
    </row>
    <row r="18606">
      <c r="A18606" s="39">
        <f>_xlfn.XLOOKUP(83369,Trip[shape_id],Trip[shape_id],"Não encontrado")</f>
        <v/>
      </c>
      <c r="B18606" s="40" t="n">
        <v>-23.597467</v>
      </c>
      <c r="C18606" s="40" t="n">
        <v>-46.562502</v>
      </c>
      <c r="D18606" s="40" t="n">
        <v>124</v>
      </c>
      <c r="E18606" s="41" t="n">
        <v>3073.6697</v>
      </c>
    </row>
    <row r="18607">
      <c r="A18607" s="42">
        <f>_xlfn.XLOOKUP(83369,Trip[shape_id],Trip[shape_id],"Não encontrado")</f>
        <v/>
      </c>
      <c r="B18607" s="43" t="n">
        <v>-23.597411</v>
      </c>
      <c r="C18607" s="43" t="n">
        <v>-46.56273</v>
      </c>
      <c r="D18607" s="43" t="n">
        <v>125</v>
      </c>
      <c r="E18607" s="44" t="n">
        <v>3097.7529</v>
      </c>
    </row>
    <row r="18608">
      <c r="A18608" s="39">
        <f>_xlfn.XLOOKUP(83369,Trip[shape_id],Trip[shape_id],"Não encontrado")</f>
        <v/>
      </c>
      <c r="B18608" s="40" t="n">
        <v>-23.597394</v>
      </c>
      <c r="C18608" s="40" t="n">
        <v>-46.562798</v>
      </c>
      <c r="D18608" s="40" t="n">
        <v>126</v>
      </c>
      <c r="E18608" s="41" t="n">
        <v>3104.9446</v>
      </c>
    </row>
    <row r="18609">
      <c r="A18609" s="42">
        <f>_xlfn.XLOOKUP(83369,Trip[shape_id],Trip[shape_id],"Não encontrado")</f>
        <v/>
      </c>
      <c r="B18609" s="43" t="n">
        <v>-23.597364</v>
      </c>
      <c r="C18609" s="43" t="n">
        <v>-46.562968</v>
      </c>
      <c r="D18609" s="43" t="n">
        <v>127</v>
      </c>
      <c r="E18609" s="44" t="n">
        <v>3122.6108</v>
      </c>
    </row>
    <row r="18610">
      <c r="A18610" s="39">
        <f>_xlfn.XLOOKUP(83369,Trip[shape_id],Trip[shape_id],"Não encontrado")</f>
        <v/>
      </c>
      <c r="B18610" s="40" t="n">
        <v>-23.59735</v>
      </c>
      <c r="C18610" s="40" t="n">
        <v>-46.563099</v>
      </c>
      <c r="D18610" s="40" t="n">
        <v>128</v>
      </c>
      <c r="E18610" s="41" t="n">
        <v>3136.0713</v>
      </c>
    </row>
    <row r="18611">
      <c r="A18611" s="42">
        <f>_xlfn.XLOOKUP(83369,Trip[shape_id],Trip[shape_id],"Não encontrado")</f>
        <v/>
      </c>
      <c r="B18611" s="43" t="n">
        <v>-23.597349</v>
      </c>
      <c r="C18611" s="43" t="n">
        <v>-46.563232</v>
      </c>
      <c r="D18611" s="43" t="n">
        <v>129</v>
      </c>
      <c r="E18611" s="44" t="n">
        <v>3149.6467</v>
      </c>
    </row>
    <row r="18612">
      <c r="A18612" s="39">
        <f>_xlfn.XLOOKUP(83369,Trip[shape_id],Trip[shape_id],"Não encontrado")</f>
        <v/>
      </c>
      <c r="B18612" s="40" t="n">
        <v>-23.597358</v>
      </c>
      <c r="C18612" s="40" t="n">
        <v>-46.563772</v>
      </c>
      <c r="D18612" s="40" t="n">
        <v>130</v>
      </c>
      <c r="E18612" s="41" t="n">
        <v>3204.7712</v>
      </c>
    </row>
    <row r="18613">
      <c r="A18613" s="42">
        <f>_xlfn.XLOOKUP(83369,Trip[shape_id],Trip[shape_id],"Não encontrado")</f>
        <v/>
      </c>
      <c r="B18613" s="43" t="n">
        <v>-23.597362</v>
      </c>
      <c r="C18613" s="43" t="n">
        <v>-46.565179</v>
      </c>
      <c r="D18613" s="43" t="n">
        <v>131</v>
      </c>
      <c r="E18613" s="44" t="n">
        <v>3348.3787</v>
      </c>
    </row>
    <row r="18614">
      <c r="A18614" s="39">
        <f>_xlfn.XLOOKUP(83369,Trip[shape_id],Trip[shape_id],"Não encontrado")</f>
        <v/>
      </c>
      <c r="B18614" s="40" t="n">
        <v>-23.597361</v>
      </c>
      <c r="C18614" s="40" t="n">
        <v>-46.565199</v>
      </c>
      <c r="D18614" s="40" t="n">
        <v>132</v>
      </c>
      <c r="E18614" s="41" t="n">
        <v>3350.4214</v>
      </c>
    </row>
    <row r="18615">
      <c r="A18615" s="42">
        <f>_xlfn.XLOOKUP(83369,Trip[shape_id],Trip[shape_id],"Não encontrado")</f>
        <v/>
      </c>
      <c r="B18615" s="43" t="n">
        <v>-23.59735</v>
      </c>
      <c r="C18615" s="43" t="n">
        <v>-46.56525</v>
      </c>
      <c r="D18615" s="43" t="n">
        <v>133</v>
      </c>
      <c r="E18615" s="44" t="n">
        <v>3355.7666</v>
      </c>
    </row>
    <row r="18616">
      <c r="A18616" s="39">
        <f>_xlfn.XLOOKUP(83369,Trip[shape_id],Trip[shape_id],"Não encontrado")</f>
        <v/>
      </c>
      <c r="B18616" s="40" t="n">
        <v>-23.597335</v>
      </c>
      <c r="C18616" s="40" t="n">
        <v>-46.565302</v>
      </c>
      <c r="D18616" s="40" t="n">
        <v>134</v>
      </c>
      <c r="E18616" s="41" t="n">
        <v>3361.3281</v>
      </c>
    </row>
    <row r="18617">
      <c r="A18617" s="42">
        <f>_xlfn.XLOOKUP(83369,Trip[shape_id],Trip[shape_id],"Não encontrado")</f>
        <v/>
      </c>
      <c r="B18617" s="43" t="n">
        <v>-23.597113</v>
      </c>
      <c r="C18617" s="43" t="n">
        <v>-46.565667</v>
      </c>
      <c r="D18617" s="43" t="n">
        <v>135</v>
      </c>
      <c r="E18617" s="44" t="n">
        <v>3405.9644</v>
      </c>
    </row>
    <row r="18618">
      <c r="A18618" s="39">
        <f>_xlfn.XLOOKUP(83369,Trip[shape_id],Trip[shape_id],"Não encontrado")</f>
        <v/>
      </c>
      <c r="B18618" s="40" t="n">
        <v>-23.597044</v>
      </c>
      <c r="C18618" s="40" t="n">
        <v>-46.565738</v>
      </c>
      <c r="D18618" s="40" t="n">
        <v>136</v>
      </c>
      <c r="E18618" s="41" t="n">
        <v>3416.4961</v>
      </c>
    </row>
    <row r="18619">
      <c r="A18619" s="42">
        <f>_xlfn.XLOOKUP(83369,Trip[shape_id],Trip[shape_id],"Não encontrado")</f>
        <v/>
      </c>
      <c r="B18619" s="43" t="n">
        <v>-23.597058</v>
      </c>
      <c r="C18619" s="43" t="n">
        <v>-46.565904</v>
      </c>
      <c r="D18619" s="43" t="n">
        <v>137</v>
      </c>
      <c r="E18619" s="44" t="n">
        <v>3433.51</v>
      </c>
    </row>
    <row r="18620">
      <c r="A18620" s="39">
        <f>_xlfn.XLOOKUP(83369,Trip[shape_id],Trip[shape_id],"Não encontrado")</f>
        <v/>
      </c>
      <c r="B18620" s="40" t="n">
        <v>-23.597088</v>
      </c>
      <c r="C18620" s="40" t="n">
        <v>-46.566022</v>
      </c>
      <c r="D18620" s="40" t="n">
        <v>138</v>
      </c>
      <c r="E18620" s="41" t="n">
        <v>3446.0039</v>
      </c>
    </row>
    <row r="18621">
      <c r="A18621" s="42">
        <f>_xlfn.XLOOKUP(83369,Trip[shape_id],Trip[shape_id],"Não encontrado")</f>
        <v/>
      </c>
      <c r="B18621" s="43" t="n">
        <v>-23.597126</v>
      </c>
      <c r="C18621" s="43" t="n">
        <v>-46.566114</v>
      </c>
      <c r="D18621" s="43" t="n">
        <v>139</v>
      </c>
      <c r="E18621" s="44" t="n">
        <v>3456.2942</v>
      </c>
    </row>
    <row r="18622">
      <c r="A18622" s="39">
        <f>_xlfn.XLOOKUP(83369,Trip[shape_id],Trip[shape_id],"Não encontrado")</f>
        <v/>
      </c>
      <c r="B18622" s="40" t="n">
        <v>-23.597232</v>
      </c>
      <c r="C18622" s="40" t="n">
        <v>-46.566291</v>
      </c>
      <c r="D18622" s="40" t="n">
        <v>140</v>
      </c>
      <c r="E18622" s="41" t="n">
        <v>3477.8394</v>
      </c>
    </row>
    <row r="18623">
      <c r="A18623" s="42">
        <f>_xlfn.XLOOKUP(83369,Trip[shape_id],Trip[shape_id],"Não encontrado")</f>
        <v/>
      </c>
      <c r="B18623" s="43" t="n">
        <v>-23.597312</v>
      </c>
      <c r="C18623" s="43" t="n">
        <v>-46.56643</v>
      </c>
      <c r="D18623" s="43" t="n">
        <v>141</v>
      </c>
      <c r="E18623" s="44" t="n">
        <v>3494.5659</v>
      </c>
    </row>
    <row r="18624">
      <c r="A18624" s="39">
        <f>_xlfn.XLOOKUP(83369,Trip[shape_id],Trip[shape_id],"Não encontrado")</f>
        <v/>
      </c>
      <c r="B18624" s="40" t="n">
        <v>-23.597389</v>
      </c>
      <c r="C18624" s="40" t="n">
        <v>-46.566748</v>
      </c>
      <c r="D18624" s="40" t="n">
        <v>142</v>
      </c>
      <c r="E18624" s="41" t="n">
        <v>3528.1245</v>
      </c>
    </row>
    <row r="18625">
      <c r="A18625" s="42">
        <f>_xlfn.XLOOKUP(83369,Trip[shape_id],Trip[shape_id],"Não encontrado")</f>
        <v/>
      </c>
      <c r="B18625" s="43" t="n">
        <v>-23.597345</v>
      </c>
      <c r="C18625" s="43" t="n">
        <v>-46.566934</v>
      </c>
      <c r="D18625" s="43" t="n">
        <v>143</v>
      </c>
      <c r="E18625" s="44" t="n">
        <v>3547.7241</v>
      </c>
    </row>
    <row r="18626">
      <c r="A18626" s="39">
        <f>_xlfn.XLOOKUP(83369,Trip[shape_id],Trip[shape_id],"Não encontrado")</f>
        <v/>
      </c>
      <c r="B18626" s="40" t="n">
        <v>-23.597308</v>
      </c>
      <c r="C18626" s="40" t="n">
        <v>-46.567014</v>
      </c>
      <c r="D18626" s="40" t="n">
        <v>144</v>
      </c>
      <c r="E18626" s="41" t="n">
        <v>3556.8596</v>
      </c>
    </row>
    <row r="18627">
      <c r="A18627" s="42">
        <f>_xlfn.XLOOKUP(83369,Trip[shape_id],Trip[shape_id],"Não encontrado")</f>
        <v/>
      </c>
      <c r="B18627" s="43" t="n">
        <v>-23.59718</v>
      </c>
      <c r="C18627" s="43" t="n">
        <v>-46.567173</v>
      </c>
      <c r="D18627" s="43" t="n">
        <v>145</v>
      </c>
      <c r="E18627" s="44" t="n">
        <v>3578.408</v>
      </c>
    </row>
    <row r="18628">
      <c r="A18628" s="39">
        <f>_xlfn.XLOOKUP(83369,Trip[shape_id],Trip[shape_id],"Não encontrado")</f>
        <v/>
      </c>
      <c r="B18628" s="40" t="n">
        <v>-23.597013</v>
      </c>
      <c r="C18628" s="40" t="n">
        <v>-46.567322</v>
      </c>
      <c r="D18628" s="40" t="n">
        <v>146</v>
      </c>
      <c r="E18628" s="41" t="n">
        <v>3602.353</v>
      </c>
    </row>
    <row r="18629">
      <c r="A18629" s="42">
        <f>_xlfn.XLOOKUP(83369,Trip[shape_id],Trip[shape_id],"Não encontrado")</f>
        <v/>
      </c>
      <c r="B18629" s="43" t="n">
        <v>-23.596808</v>
      </c>
      <c r="C18629" s="43" t="n">
        <v>-46.567431</v>
      </c>
      <c r="D18629" s="43" t="n">
        <v>147</v>
      </c>
      <c r="E18629" s="44" t="n">
        <v>3627.6365</v>
      </c>
    </row>
    <row r="18630">
      <c r="A18630" s="39">
        <f>_xlfn.XLOOKUP(83369,Trip[shape_id],Trip[shape_id],"Não encontrado")</f>
        <v/>
      </c>
      <c r="B18630" s="40" t="n">
        <v>-23.596735</v>
      </c>
      <c r="C18630" s="40" t="n">
        <v>-46.567541</v>
      </c>
      <c r="D18630" s="40" t="n">
        <v>148</v>
      </c>
      <c r="E18630" s="41" t="n">
        <v>3641.4719</v>
      </c>
    </row>
    <row r="18631">
      <c r="A18631" s="42">
        <f>_xlfn.XLOOKUP(83369,Trip[shape_id],Trip[shape_id],"Não encontrado")</f>
        <v/>
      </c>
      <c r="B18631" s="43" t="n">
        <v>-23.596695</v>
      </c>
      <c r="C18631" s="43" t="n">
        <v>-46.56765</v>
      </c>
      <c r="D18631" s="43" t="n">
        <v>149</v>
      </c>
      <c r="E18631" s="44" t="n">
        <v>3653.447</v>
      </c>
    </row>
    <row r="18632">
      <c r="A18632" s="39">
        <f>_xlfn.XLOOKUP(83369,Trip[shape_id],Trip[shape_id],"Não encontrado")</f>
        <v/>
      </c>
      <c r="B18632" s="40" t="n">
        <v>-23.596601</v>
      </c>
      <c r="C18632" s="40" t="n">
        <v>-46.567986</v>
      </c>
      <c r="D18632" s="40" t="n">
        <v>150</v>
      </c>
      <c r="E18632" s="41" t="n">
        <v>3689.2866</v>
      </c>
    </row>
    <row r="18633">
      <c r="A18633" s="42">
        <f>_xlfn.XLOOKUP(83369,Trip[shape_id],Trip[shape_id],"Não encontrado")</f>
        <v/>
      </c>
      <c r="B18633" s="43" t="n">
        <v>-23.596523</v>
      </c>
      <c r="C18633" s="43" t="n">
        <v>-46.56812</v>
      </c>
      <c r="D18633" s="43" t="n">
        <v>151</v>
      </c>
      <c r="E18633" s="44" t="n">
        <v>3705.4631</v>
      </c>
    </row>
    <row r="18634">
      <c r="A18634" s="39">
        <f>_xlfn.XLOOKUP(83369,Trip[shape_id],Trip[shape_id],"Não encontrado")</f>
        <v/>
      </c>
      <c r="B18634" s="40" t="n">
        <v>-23.596491</v>
      </c>
      <c r="C18634" s="40" t="n">
        <v>-46.568152</v>
      </c>
      <c r="D18634" s="40" t="n">
        <v>152</v>
      </c>
      <c r="E18634" s="41" t="n">
        <v>3710.2832</v>
      </c>
    </row>
    <row r="18635">
      <c r="A18635" s="42">
        <f>_xlfn.XLOOKUP(83369,Trip[shape_id],Trip[shape_id],"Não encontrado")</f>
        <v/>
      </c>
      <c r="B18635" s="43" t="n">
        <v>-23.596487</v>
      </c>
      <c r="C18635" s="43" t="n">
        <v>-46.568214</v>
      </c>
      <c r="D18635" s="43" t="n">
        <v>153</v>
      </c>
      <c r="E18635" s="44" t="n">
        <v>3716.6274</v>
      </c>
    </row>
    <row r="18636">
      <c r="A18636" s="39">
        <f>_xlfn.XLOOKUP(83369,Trip[shape_id],Trip[shape_id],"Não encontrado")</f>
        <v/>
      </c>
      <c r="B18636" s="40" t="n">
        <v>-23.59642</v>
      </c>
      <c r="C18636" s="40" t="n">
        <v>-46.568394</v>
      </c>
      <c r="D18636" s="40" t="n">
        <v>154</v>
      </c>
      <c r="E18636" s="41" t="n">
        <v>3736.4412</v>
      </c>
    </row>
    <row r="18637">
      <c r="A18637" s="42">
        <f>_xlfn.XLOOKUP(83369,Trip[shape_id],Trip[shape_id],"Não encontrado")</f>
        <v/>
      </c>
      <c r="B18637" s="43" t="n">
        <v>-23.59636</v>
      </c>
      <c r="C18637" s="43" t="n">
        <v>-46.568579</v>
      </c>
      <c r="D18637" s="43" t="n">
        <v>155</v>
      </c>
      <c r="E18637" s="44" t="n">
        <v>3756.4587</v>
      </c>
    </row>
    <row r="18638">
      <c r="A18638" s="39">
        <f>_xlfn.XLOOKUP(83369,Trip[shape_id],Trip[shape_id],"Não encontrado")</f>
        <v/>
      </c>
      <c r="B18638" s="40" t="n">
        <v>-23.596327</v>
      </c>
      <c r="C18638" s="40" t="n">
        <v>-46.568707</v>
      </c>
      <c r="D18638" s="40" t="n">
        <v>156</v>
      </c>
      <c r="E18638" s="41" t="n">
        <v>3770.0247</v>
      </c>
    </row>
    <row r="18639">
      <c r="A18639" s="42">
        <f>_xlfn.XLOOKUP(83369,Trip[shape_id],Trip[shape_id],"Não encontrado")</f>
        <v/>
      </c>
      <c r="B18639" s="43" t="n">
        <v>-23.596262</v>
      </c>
      <c r="C18639" s="43" t="n">
        <v>-46.568975</v>
      </c>
      <c r="D18639" s="43" t="n">
        <v>157</v>
      </c>
      <c r="E18639" s="44" t="n">
        <v>3798.3101</v>
      </c>
    </row>
    <row r="18640">
      <c r="A18640" s="39">
        <f>_xlfn.XLOOKUP(83369,Trip[shape_id],Trip[shape_id],"Não encontrado")</f>
        <v/>
      </c>
      <c r="B18640" s="40" t="n">
        <v>-23.596171</v>
      </c>
      <c r="C18640" s="40" t="n">
        <v>-46.569358</v>
      </c>
      <c r="D18640" s="40" t="n">
        <v>158</v>
      </c>
      <c r="E18640" s="41" t="n">
        <v>3838.6799</v>
      </c>
    </row>
    <row r="18641">
      <c r="A18641" s="42">
        <f>_xlfn.XLOOKUP(83369,Trip[shape_id],Trip[shape_id],"Não encontrado")</f>
        <v/>
      </c>
      <c r="B18641" s="43" t="n">
        <v>-23.596119</v>
      </c>
      <c r="C18641" s="43" t="n">
        <v>-46.569572</v>
      </c>
      <c r="D18641" s="43" t="n">
        <v>159</v>
      </c>
      <c r="E18641" s="44" t="n">
        <v>3861.2686</v>
      </c>
    </row>
    <row r="18642">
      <c r="A18642" s="39">
        <f>_xlfn.XLOOKUP(83369,Trip[shape_id],Trip[shape_id],"Não encontrado")</f>
        <v/>
      </c>
      <c r="B18642" s="40" t="n">
        <v>-23.59609</v>
      </c>
      <c r="C18642" s="40" t="n">
        <v>-46.569756</v>
      </c>
      <c r="D18642" s="40" t="n">
        <v>160</v>
      </c>
      <c r="E18642" s="41" t="n">
        <v>3880.3213</v>
      </c>
    </row>
    <row r="18643">
      <c r="A18643" s="42">
        <f>_xlfn.XLOOKUP(83369,Trip[shape_id],Trip[shape_id],"Não encontrado")</f>
        <v/>
      </c>
      <c r="B18643" s="43" t="n">
        <v>-23.596012</v>
      </c>
      <c r="C18643" s="43" t="n">
        <v>-46.569777</v>
      </c>
      <c r="D18643" s="43" t="n">
        <v>161</v>
      </c>
      <c r="E18643" s="44" t="n">
        <v>3889.2224</v>
      </c>
    </row>
    <row r="18644">
      <c r="A18644" s="39">
        <f>_xlfn.XLOOKUP(83369,Trip[shape_id],Trip[shape_id],"Não encontrado")</f>
        <v/>
      </c>
      <c r="B18644" s="40" t="n">
        <v>-23.595921</v>
      </c>
      <c r="C18644" s="40" t="n">
        <v>-46.569828</v>
      </c>
      <c r="D18644" s="40" t="n">
        <v>162</v>
      </c>
      <c r="E18644" s="41" t="n">
        <v>3900.5657</v>
      </c>
    </row>
    <row r="18645">
      <c r="A18645" s="42">
        <f>_xlfn.XLOOKUP(83369,Trip[shape_id],Trip[shape_id],"Não encontrado")</f>
        <v/>
      </c>
      <c r="B18645" s="43" t="n">
        <v>-23.595799</v>
      </c>
      <c r="C18645" s="43" t="n">
        <v>-46.569955</v>
      </c>
      <c r="D18645" s="43" t="n">
        <v>163</v>
      </c>
      <c r="E18645" s="44" t="n">
        <v>3919.29</v>
      </c>
    </row>
    <row r="18646">
      <c r="A18646" s="39">
        <f>_xlfn.XLOOKUP(83369,Trip[shape_id],Trip[shape_id],"Não encontrado")</f>
        <v/>
      </c>
      <c r="B18646" s="40" t="n">
        <v>-23.595099</v>
      </c>
      <c r="C18646" s="40" t="n">
        <v>-46.569355</v>
      </c>
      <c r="D18646" s="40" t="n">
        <v>164</v>
      </c>
      <c r="E18646" s="41" t="n">
        <v>4018.0867</v>
      </c>
    </row>
    <row r="18647">
      <c r="A18647" s="42">
        <f>_xlfn.XLOOKUP(83369,Trip[shape_id],Trip[shape_id],"Não encontrado")</f>
        <v/>
      </c>
      <c r="B18647" s="43" t="n">
        <v>-23.594971</v>
      </c>
      <c r="C18647" s="43" t="n">
        <v>-46.569524</v>
      </c>
      <c r="D18647" s="43" t="n">
        <v>165</v>
      </c>
      <c r="E18647" s="44" t="n">
        <v>4040.4141</v>
      </c>
    </row>
    <row r="18648">
      <c r="A18648" s="39">
        <f>_xlfn.XLOOKUP(83369,Trip[shape_id],Trip[shape_id],"Não encontrado")</f>
        <v/>
      </c>
      <c r="B18648" s="40" t="n">
        <v>-23.594846</v>
      </c>
      <c r="C18648" s="40" t="n">
        <v>-46.569743</v>
      </c>
      <c r="D18648" s="40" t="n">
        <v>166</v>
      </c>
      <c r="E18648" s="41" t="n">
        <v>4066.7068</v>
      </c>
    </row>
    <row r="18649">
      <c r="A18649" s="42">
        <f>_xlfn.XLOOKUP(83369,Trip[shape_id],Trip[shape_id],"Não encontrado")</f>
        <v/>
      </c>
      <c r="B18649" s="43" t="n">
        <v>-23.594819</v>
      </c>
      <c r="C18649" s="43" t="n">
        <v>-46.569851</v>
      </c>
      <c r="D18649" s="43" t="n">
        <v>167</v>
      </c>
      <c r="E18649" s="44" t="n">
        <v>4078.1287</v>
      </c>
    </row>
    <row r="18650">
      <c r="A18650" s="39">
        <f>_xlfn.XLOOKUP(83369,Trip[shape_id],Trip[shape_id],"Não encontrado")</f>
        <v/>
      </c>
      <c r="B18650" s="40" t="n">
        <v>-23.594775</v>
      </c>
      <c r="C18650" s="40" t="n">
        <v>-46.569915</v>
      </c>
      <c r="D18650" s="40" t="n">
        <v>168</v>
      </c>
      <c r="E18650" s="41" t="n">
        <v>4086.2786</v>
      </c>
    </row>
    <row r="18651">
      <c r="A18651" s="42">
        <f>_xlfn.XLOOKUP(83369,Trip[shape_id],Trip[shape_id],"Não encontrado")</f>
        <v/>
      </c>
      <c r="B18651" s="43" t="n">
        <v>-23.594693</v>
      </c>
      <c r="C18651" s="43" t="n">
        <v>-46.570027</v>
      </c>
      <c r="D18651" s="43" t="n">
        <v>169</v>
      </c>
      <c r="E18651" s="44" t="n">
        <v>4100.8784</v>
      </c>
    </row>
    <row r="18652">
      <c r="A18652" s="39">
        <f>_xlfn.XLOOKUP(83369,Trip[shape_id],Trip[shape_id],"Não encontrado")</f>
        <v/>
      </c>
      <c r="B18652" s="40" t="n">
        <v>-23.594547</v>
      </c>
      <c r="C18652" s="40" t="n">
        <v>-46.570213</v>
      </c>
      <c r="D18652" s="40" t="n">
        <v>170</v>
      </c>
      <c r="E18652" s="41" t="n">
        <v>4125.8159</v>
      </c>
    </row>
    <row r="18653">
      <c r="A18653" s="42">
        <f>_xlfn.XLOOKUP(83369,Trip[shape_id],Trip[shape_id],"Não encontrado")</f>
        <v/>
      </c>
      <c r="B18653" s="43" t="n">
        <v>-23.594103</v>
      </c>
      <c r="C18653" s="43" t="n">
        <v>-46.570782</v>
      </c>
      <c r="D18653" s="43" t="n">
        <v>171</v>
      </c>
      <c r="E18653" s="44" t="n">
        <v>4201.9146</v>
      </c>
    </row>
    <row r="18654">
      <c r="A18654" s="39">
        <f>_xlfn.XLOOKUP(83369,Trip[shape_id],Trip[shape_id],"Não encontrado")</f>
        <v/>
      </c>
      <c r="B18654" s="40" t="n">
        <v>-23.593344</v>
      </c>
      <c r="C18654" s="40" t="n">
        <v>-46.571791</v>
      </c>
      <c r="D18654" s="40" t="n">
        <v>172</v>
      </c>
      <c r="E18654" s="41" t="n">
        <v>4334.853</v>
      </c>
    </row>
    <row r="18655">
      <c r="A18655" s="42">
        <f>_xlfn.XLOOKUP(83369,Trip[shape_id],Trip[shape_id],"Não encontrado")</f>
        <v/>
      </c>
      <c r="B18655" s="43" t="n">
        <v>-23.592727</v>
      </c>
      <c r="C18655" s="43" t="n">
        <v>-46.572596</v>
      </c>
      <c r="D18655" s="43" t="n">
        <v>173</v>
      </c>
      <c r="E18655" s="44" t="n">
        <v>4441.7212</v>
      </c>
    </row>
    <row r="18656">
      <c r="A18656" s="39">
        <f>_xlfn.XLOOKUP(83369,Trip[shape_id],Trip[shape_id],"Não encontrado")</f>
        <v/>
      </c>
      <c r="B18656" s="40" t="n">
        <v>-23.592688</v>
      </c>
      <c r="C18656" s="40" t="n">
        <v>-46.572676</v>
      </c>
      <c r="D18656" s="40" t="n">
        <v>174</v>
      </c>
      <c r="E18656" s="41" t="n">
        <v>4450.9585</v>
      </c>
    </row>
    <row r="18657">
      <c r="A18657" s="42">
        <f>_xlfn.XLOOKUP(83369,Trip[shape_id],Trip[shape_id],"Não encontrado")</f>
        <v/>
      </c>
      <c r="B18657" s="43" t="n">
        <v>-23.592581</v>
      </c>
      <c r="C18657" s="43" t="n">
        <v>-46.573026</v>
      </c>
      <c r="D18657" s="43" t="n">
        <v>175</v>
      </c>
      <c r="E18657" s="44" t="n">
        <v>4488.5972</v>
      </c>
    </row>
    <row r="18658">
      <c r="A18658" s="39">
        <f>_xlfn.XLOOKUP(83369,Trip[shape_id],Trip[shape_id],"Não encontrado")</f>
        <v/>
      </c>
      <c r="B18658" s="40" t="n">
        <v>-23.591196</v>
      </c>
      <c r="C18658" s="40" t="n">
        <v>-46.574265</v>
      </c>
      <c r="D18658" s="40" t="n">
        <v>176</v>
      </c>
      <c r="E18658" s="41" t="n">
        <v>4687.3999</v>
      </c>
    </row>
    <row r="18659">
      <c r="A18659" s="42">
        <f>_xlfn.XLOOKUP(83369,Trip[shape_id],Trip[shape_id],"Não encontrado")</f>
        <v/>
      </c>
      <c r="B18659" s="43" t="n">
        <v>-23.590338</v>
      </c>
      <c r="C18659" s="43" t="n">
        <v>-46.575029</v>
      </c>
      <c r="D18659" s="43" t="n">
        <v>177</v>
      </c>
      <c r="E18659" s="44" t="n">
        <v>4810.3271</v>
      </c>
    </row>
    <row r="18660">
      <c r="A18660" s="39">
        <f>_xlfn.XLOOKUP(83369,Trip[shape_id],Trip[shape_id],"Não encontrado")</f>
        <v/>
      </c>
      <c r="B18660" s="40" t="n">
        <v>-23.590252</v>
      </c>
      <c r="C18660" s="40" t="n">
        <v>-46.575112</v>
      </c>
      <c r="D18660" s="40" t="n">
        <v>178</v>
      </c>
      <c r="E18660" s="41" t="n">
        <v>4823.0747</v>
      </c>
    </row>
    <row r="18661">
      <c r="A18661" s="42">
        <f>_xlfn.XLOOKUP(83369,Trip[shape_id],Trip[shape_id],"Não encontrado")</f>
        <v/>
      </c>
      <c r="B18661" s="43" t="n">
        <v>-23.590168</v>
      </c>
      <c r="C18661" s="43" t="n">
        <v>-46.575172</v>
      </c>
      <c r="D18661" s="43" t="n">
        <v>179</v>
      </c>
      <c r="E18661" s="44" t="n">
        <v>4834.2129</v>
      </c>
    </row>
    <row r="18662">
      <c r="A18662" s="39">
        <f>_xlfn.XLOOKUP(83369,Trip[shape_id],Trip[shape_id],"Não encontrado")</f>
        <v/>
      </c>
      <c r="B18662" s="40" t="n">
        <v>-23.59011</v>
      </c>
      <c r="C18662" s="40" t="n">
        <v>-46.575199</v>
      </c>
      <c r="D18662" s="40" t="n">
        <v>180</v>
      </c>
      <c r="E18662" s="41" t="n">
        <v>4841.2021</v>
      </c>
    </row>
    <row r="18663">
      <c r="A18663" s="42">
        <f>_xlfn.XLOOKUP(83369,Trip[shape_id],Trip[shape_id],"Não encontrado")</f>
        <v/>
      </c>
      <c r="B18663" s="43" t="n">
        <v>-23.590047</v>
      </c>
      <c r="C18663" s="43" t="n">
        <v>-46.575197</v>
      </c>
      <c r="D18663" s="43" t="n">
        <v>181</v>
      </c>
      <c r="E18663" s="44" t="n">
        <v>4848.1821</v>
      </c>
    </row>
    <row r="18664">
      <c r="A18664" s="39">
        <f>_xlfn.XLOOKUP(83369,Trip[shape_id],Trip[shape_id],"Não encontrado")</f>
        <v/>
      </c>
      <c r="B18664" s="40" t="n">
        <v>-23.589896</v>
      </c>
      <c r="C18664" s="40" t="n">
        <v>-46.576139</v>
      </c>
      <c r="D18664" s="40" t="n">
        <v>182</v>
      </c>
      <c r="E18664" s="41" t="n">
        <v>4945.7773</v>
      </c>
    </row>
    <row r="18665">
      <c r="A18665" s="42">
        <f>_xlfn.XLOOKUP(83369,Trip[shape_id],Trip[shape_id],"Não encontrado")</f>
        <v/>
      </c>
      <c r="B18665" s="43" t="n">
        <v>-23.589846</v>
      </c>
      <c r="C18665" s="43" t="n">
        <v>-46.576141</v>
      </c>
      <c r="D18665" s="43" t="n">
        <v>183</v>
      </c>
      <c r="E18665" s="44" t="n">
        <v>4951.3184</v>
      </c>
    </row>
    <row r="18666">
      <c r="A18666" s="39">
        <f>_xlfn.XLOOKUP(83369,Trip[shape_id],Trip[shape_id],"Não encontrado")</f>
        <v/>
      </c>
      <c r="B18666" s="40" t="n">
        <v>-23.589797</v>
      </c>
      <c r="C18666" s="40" t="n">
        <v>-46.576164</v>
      </c>
      <c r="D18666" s="40" t="n">
        <v>184</v>
      </c>
      <c r="E18666" s="41" t="n">
        <v>4957.2319</v>
      </c>
    </row>
    <row r="18667">
      <c r="A18667" s="42">
        <f>_xlfn.XLOOKUP(83369,Trip[shape_id],Trip[shape_id],"Não encontrado")</f>
        <v/>
      </c>
      <c r="B18667" s="43" t="n">
        <v>-23.589762</v>
      </c>
      <c r="C18667" s="43" t="n">
        <v>-46.576182</v>
      </c>
      <c r="D18667" s="43" t="n">
        <v>185</v>
      </c>
      <c r="E18667" s="44" t="n">
        <v>4961.521</v>
      </c>
    </row>
    <row r="18668">
      <c r="A18668" s="39">
        <f>_xlfn.XLOOKUP(83369,Trip[shape_id],Trip[shape_id],"Não encontrado")</f>
        <v/>
      </c>
      <c r="B18668" s="40" t="n">
        <v>-23.589746</v>
      </c>
      <c r="C18668" s="40" t="n">
        <v>-46.57621</v>
      </c>
      <c r="D18668" s="40" t="n">
        <v>186</v>
      </c>
      <c r="E18668" s="41" t="n">
        <v>4964.8838</v>
      </c>
    </row>
    <row r="18669">
      <c r="A18669" s="42">
        <f>_xlfn.XLOOKUP(83369,Trip[shape_id],Trip[shape_id],"Não encontrado")</f>
        <v/>
      </c>
      <c r="B18669" s="43" t="n">
        <v>-23.58973</v>
      </c>
      <c r="C18669" s="43" t="n">
        <v>-46.576244</v>
      </c>
      <c r="D18669" s="43" t="n">
        <v>187</v>
      </c>
      <c r="E18669" s="44" t="n">
        <v>4968.7793</v>
      </c>
    </row>
    <row r="18670">
      <c r="A18670" s="39">
        <f>_xlfn.XLOOKUP(83369,Trip[shape_id],Trip[shape_id],"Não encontrado")</f>
        <v/>
      </c>
      <c r="B18670" s="40" t="n">
        <v>-23.58971</v>
      </c>
      <c r="C18670" s="40" t="n">
        <v>-46.576318</v>
      </c>
      <c r="D18670" s="40" t="n">
        <v>188</v>
      </c>
      <c r="E18670" s="41" t="n">
        <v>4976.6504</v>
      </c>
    </row>
    <row r="18671">
      <c r="A18671" s="42">
        <f>_xlfn.XLOOKUP(83369,Trip[shape_id],Trip[shape_id],"Não encontrado")</f>
        <v/>
      </c>
      <c r="B18671" s="43" t="n">
        <v>-23.589707</v>
      </c>
      <c r="C18671" s="43" t="n">
        <v>-46.576355</v>
      </c>
      <c r="D18671" s="43" t="n">
        <v>189</v>
      </c>
      <c r="E18671" s="44" t="n">
        <v>4980.4424</v>
      </c>
    </row>
    <row r="18672">
      <c r="A18672" s="39">
        <f>_xlfn.XLOOKUP(83369,Trip[shape_id],Trip[shape_id],"Não encontrado")</f>
        <v/>
      </c>
      <c r="B18672" s="40" t="n">
        <v>-23.589714</v>
      </c>
      <c r="C18672" s="40" t="n">
        <v>-46.5764</v>
      </c>
      <c r="D18672" s="40" t="n">
        <v>190</v>
      </c>
      <c r="E18672" s="41" t="n">
        <v>4985.1001</v>
      </c>
    </row>
    <row r="18673">
      <c r="A18673" s="42">
        <f>_xlfn.XLOOKUP(83369,Trip[shape_id],Trip[shape_id],"Não encontrado")</f>
        <v/>
      </c>
      <c r="B18673" s="43" t="n">
        <v>-23.589728</v>
      </c>
      <c r="C18673" s="43" t="n">
        <v>-46.576442</v>
      </c>
      <c r="D18673" s="43" t="n">
        <v>191</v>
      </c>
      <c r="E18673" s="44" t="n">
        <v>4989.6587</v>
      </c>
    </row>
    <row r="18674">
      <c r="A18674" s="39">
        <f>_xlfn.XLOOKUP(83369,Trip[shape_id],Trip[shape_id],"Não encontrado")</f>
        <v/>
      </c>
      <c r="B18674" s="40" t="n">
        <v>-23.589743</v>
      </c>
      <c r="C18674" s="40" t="n">
        <v>-46.57647</v>
      </c>
      <c r="D18674" s="40" t="n">
        <v>192</v>
      </c>
      <c r="E18674" s="41" t="n">
        <v>4992.9653</v>
      </c>
    </row>
    <row r="18675">
      <c r="A18675" s="42">
        <f>_xlfn.XLOOKUP(83369,Trip[shape_id],Trip[shape_id],"Não encontrado")</f>
        <v/>
      </c>
      <c r="B18675" s="43" t="n">
        <v>-23.589774</v>
      </c>
      <c r="C18675" s="43" t="n">
        <v>-46.576519</v>
      </c>
      <c r="D18675" s="43" t="n">
        <v>193</v>
      </c>
      <c r="E18675" s="44" t="n">
        <v>4999.0322</v>
      </c>
    </row>
    <row r="18676">
      <c r="A18676" s="39">
        <f>_xlfn.XLOOKUP(83369,Trip[shape_id],Trip[shape_id],"Não encontrado")</f>
        <v/>
      </c>
      <c r="B18676" s="40" t="n">
        <v>-23.589813</v>
      </c>
      <c r="C18676" s="40" t="n">
        <v>-46.576545</v>
      </c>
      <c r="D18676" s="40" t="n">
        <v>194</v>
      </c>
      <c r="E18676" s="41" t="n">
        <v>5004.1011</v>
      </c>
    </row>
    <row r="18677">
      <c r="A18677" s="42">
        <f>_xlfn.XLOOKUP(83369,Trip[shape_id],Trip[shape_id],"Não encontrado")</f>
        <v/>
      </c>
      <c r="B18677" s="43" t="n">
        <v>-23.589838</v>
      </c>
      <c r="C18677" s="43" t="n">
        <v>-46.576557</v>
      </c>
      <c r="D18677" s="43" t="n">
        <v>195</v>
      </c>
      <c r="E18677" s="44" t="n">
        <v>5007.1294</v>
      </c>
    </row>
    <row r="18678">
      <c r="A18678" s="39">
        <f>_xlfn.XLOOKUP(83369,Trip[shape_id],Trip[shape_id],"Não encontrado")</f>
        <v/>
      </c>
      <c r="B18678" s="40" t="n">
        <v>-23.589666</v>
      </c>
      <c r="C18678" s="40" t="n">
        <v>-46.577672</v>
      </c>
      <c r="D18678" s="40" t="n">
        <v>196</v>
      </c>
      <c r="E18678" s="41" t="n">
        <v>5122.5225</v>
      </c>
    </row>
    <row r="18679">
      <c r="A18679" s="42">
        <f>_xlfn.XLOOKUP(83369,Trip[shape_id],Trip[shape_id],"Não encontrado")</f>
        <v/>
      </c>
      <c r="B18679" s="43" t="n">
        <v>-23.589578</v>
      </c>
      <c r="C18679" s="43" t="n">
        <v>-46.578174</v>
      </c>
      <c r="D18679" s="43" t="n">
        <v>197</v>
      </c>
      <c r="E18679" s="44" t="n">
        <v>5174.6812</v>
      </c>
    </row>
    <row r="18680">
      <c r="A18680" s="39">
        <f>_xlfn.XLOOKUP(83369,Trip[shape_id],Trip[shape_id],"Não encontrado")</f>
        <v/>
      </c>
      <c r="B18680" s="40" t="n">
        <v>-23.58954</v>
      </c>
      <c r="C18680" s="40" t="n">
        <v>-46.57846</v>
      </c>
      <c r="D18680" s="40" t="n">
        <v>198</v>
      </c>
      <c r="E18680" s="41" t="n">
        <v>5204.1753</v>
      </c>
    </row>
    <row r="18681">
      <c r="A18681" s="42">
        <f>_xlfn.XLOOKUP(83369,Trip[shape_id],Trip[shape_id],"Não encontrado")</f>
        <v/>
      </c>
      <c r="B18681" s="43" t="n">
        <v>-23.589479</v>
      </c>
      <c r="C18681" s="43" t="n">
        <v>-46.578837</v>
      </c>
      <c r="D18681" s="43" t="n">
        <v>199</v>
      </c>
      <c r="E18681" s="44" t="n">
        <v>5243.2446</v>
      </c>
    </row>
    <row r="18682">
      <c r="A18682" s="39">
        <f>_xlfn.XLOOKUP(83369,Trip[shape_id],Trip[shape_id],"Não encontrado")</f>
        <v/>
      </c>
      <c r="B18682" s="40" t="n">
        <v>-23.589369</v>
      </c>
      <c r="C18682" s="40" t="n">
        <v>-46.57959</v>
      </c>
      <c r="D18682" s="40" t="n">
        <v>200</v>
      </c>
      <c r="E18682" s="41" t="n">
        <v>5321.0645</v>
      </c>
    </row>
    <row r="18683">
      <c r="A18683" s="42">
        <f>_xlfn.XLOOKUP(83369,Trip[shape_id],Trip[shape_id],"Não encontrado")</f>
        <v/>
      </c>
      <c r="B18683" s="43" t="n">
        <v>-23.589333</v>
      </c>
      <c r="C18683" s="43" t="n">
        <v>-46.579805</v>
      </c>
      <c r="D18683" s="43" t="n">
        <v>201</v>
      </c>
      <c r="E18683" s="44" t="n">
        <v>5343.3691</v>
      </c>
    </row>
    <row r="18684">
      <c r="A18684" s="39">
        <f>_xlfn.XLOOKUP(83369,Trip[shape_id],Trip[shape_id],"Não encontrado")</f>
        <v/>
      </c>
      <c r="B18684" s="40" t="n">
        <v>-23.58931</v>
      </c>
      <c r="C18684" s="40" t="n">
        <v>-46.579987</v>
      </c>
      <c r="D18684" s="40" t="n">
        <v>202</v>
      </c>
      <c r="E18684" s="41" t="n">
        <v>5362.1201</v>
      </c>
    </row>
    <row r="18685">
      <c r="A18685" s="42">
        <f>_xlfn.XLOOKUP(83369,Trip[shape_id],Trip[shape_id],"Não encontrado")</f>
        <v/>
      </c>
      <c r="B18685" s="43" t="n">
        <v>-23.589252</v>
      </c>
      <c r="C18685" s="43" t="n">
        <v>-46.580365</v>
      </c>
      <c r="D18685" s="43" t="n">
        <v>203</v>
      </c>
      <c r="E18685" s="44" t="n">
        <v>5401.2344</v>
      </c>
    </row>
    <row r="18686">
      <c r="A18686" s="39">
        <f>_xlfn.XLOOKUP(83369,Trip[shape_id],Trip[shape_id],"Não encontrado")</f>
        <v/>
      </c>
      <c r="B18686" s="40" t="n">
        <v>-23.589137</v>
      </c>
      <c r="C18686" s="40" t="n">
        <v>-46.581106</v>
      </c>
      <c r="D18686" s="40" t="n">
        <v>204</v>
      </c>
      <c r="E18686" s="41" t="n">
        <v>5477.9346</v>
      </c>
    </row>
    <row r="18687">
      <c r="A18687" s="42">
        <f>_xlfn.XLOOKUP(83369,Trip[shape_id],Trip[shape_id],"Não encontrado")</f>
        <v/>
      </c>
      <c r="B18687" s="43" t="n">
        <v>-23.589094</v>
      </c>
      <c r="C18687" s="43" t="n">
        <v>-46.581379</v>
      </c>
      <c r="D18687" s="43" t="n">
        <v>205</v>
      </c>
      <c r="E18687" s="44" t="n">
        <v>5506.2041</v>
      </c>
    </row>
    <row r="18688">
      <c r="A18688" s="39">
        <f>_xlfn.XLOOKUP(83369,Trip[shape_id],Trip[shape_id],"Não encontrado")</f>
        <v/>
      </c>
      <c r="B18688" s="40" t="n">
        <v>-23.589021</v>
      </c>
      <c r="C18688" s="40" t="n">
        <v>-46.581817</v>
      </c>
      <c r="D18688" s="40" t="n">
        <v>206</v>
      </c>
      <c r="E18688" s="41" t="n">
        <v>5551.6367</v>
      </c>
    </row>
    <row r="18689">
      <c r="A18689" s="42">
        <f>_xlfn.XLOOKUP(83369,Trip[shape_id],Trip[shape_id],"Não encontrado")</f>
        <v/>
      </c>
      <c r="B18689" s="43" t="n">
        <v>-23.58894</v>
      </c>
      <c r="C18689" s="43" t="n">
        <v>-46.582411</v>
      </c>
      <c r="D18689" s="43" t="n">
        <v>207</v>
      </c>
      <c r="E18689" s="44" t="n">
        <v>5612.9277</v>
      </c>
    </row>
    <row r="18690">
      <c r="A18690" s="39">
        <f>_xlfn.XLOOKUP(83369,Trip[shape_id],Trip[shape_id],"Não encontrado")</f>
        <v/>
      </c>
      <c r="B18690" s="40" t="n">
        <v>-23.588874</v>
      </c>
      <c r="C18690" s="40" t="n">
        <v>-46.582821</v>
      </c>
      <c r="D18690" s="40" t="n">
        <v>208</v>
      </c>
      <c r="E18690" s="41" t="n">
        <v>5655.4111</v>
      </c>
    </row>
    <row r="18691">
      <c r="A18691" s="42">
        <f>_xlfn.XLOOKUP(83369,Trip[shape_id],Trip[shape_id],"Não encontrado")</f>
        <v/>
      </c>
      <c r="B18691" s="43" t="n">
        <v>-23.588809</v>
      </c>
      <c r="C18691" s="43" t="n">
        <v>-46.583194</v>
      </c>
      <c r="D18691" s="43" t="n">
        <v>209</v>
      </c>
      <c r="E18691" s="44" t="n">
        <v>5694.1587</v>
      </c>
    </row>
    <row r="18692">
      <c r="A18692" s="39">
        <f>_xlfn.XLOOKUP(83369,Trip[shape_id],Trip[shape_id],"Não encontrado")</f>
        <v/>
      </c>
      <c r="B18692" s="40" t="n">
        <v>-23.588773</v>
      </c>
      <c r="C18692" s="40" t="n">
        <v>-46.583481</v>
      </c>
      <c r="D18692" s="40" t="n">
        <v>210</v>
      </c>
      <c r="E18692" s="41" t="n">
        <v>5723.7236</v>
      </c>
    </row>
    <row r="18693">
      <c r="A18693" s="42">
        <f>_xlfn.XLOOKUP(83369,Trip[shape_id],Trip[shape_id],"Não encontrado")</f>
        <v/>
      </c>
      <c r="B18693" s="43" t="n">
        <v>-23.588722</v>
      </c>
      <c r="C18693" s="43" t="n">
        <v>-46.583843</v>
      </c>
      <c r="D18693" s="43" t="n">
        <v>211</v>
      </c>
      <c r="E18693" s="44" t="n">
        <v>5761.103</v>
      </c>
    </row>
    <row r="18694">
      <c r="A18694" s="39">
        <f>_xlfn.XLOOKUP(83369,Trip[shape_id],Trip[shape_id],"Não encontrado")</f>
        <v/>
      </c>
      <c r="B18694" s="40" t="n">
        <v>-23.588299</v>
      </c>
      <c r="C18694" s="40" t="n">
        <v>-46.584329</v>
      </c>
      <c r="D18694" s="40" t="n">
        <v>212</v>
      </c>
      <c r="E18694" s="41" t="n">
        <v>5829.3354</v>
      </c>
    </row>
    <row r="18695">
      <c r="A18695" s="42">
        <f>_xlfn.XLOOKUP(83369,Trip[shape_id],Trip[shape_id],"Não encontrado")</f>
        <v/>
      </c>
      <c r="B18695" s="43" t="n">
        <v>-23.588143</v>
      </c>
      <c r="C18695" s="43" t="n">
        <v>-46.584419</v>
      </c>
      <c r="D18695" s="43" t="n">
        <v>213</v>
      </c>
      <c r="E18695" s="44" t="n">
        <v>5848.9033</v>
      </c>
    </row>
    <row r="18696">
      <c r="A18696" s="39">
        <f>_xlfn.XLOOKUP(83369,Trip[shape_id],Trip[shape_id],"Não encontrado")</f>
        <v/>
      </c>
      <c r="B18696" s="40" t="n">
        <v>-23.588008</v>
      </c>
      <c r="C18696" s="40" t="n">
        <v>-46.584462</v>
      </c>
      <c r="D18696" s="40" t="n">
        <v>214</v>
      </c>
      <c r="E18696" s="41" t="n">
        <v>5864.4858</v>
      </c>
    </row>
    <row r="18697">
      <c r="A18697" s="42">
        <f>_xlfn.XLOOKUP(83369,Trip[shape_id],Trip[shape_id],"Não encontrado")</f>
        <v/>
      </c>
      <c r="B18697" s="43" t="n">
        <v>-23.587309</v>
      </c>
      <c r="C18697" s="43" t="n">
        <v>-46.584639</v>
      </c>
      <c r="D18697" s="43" t="n">
        <v>215</v>
      </c>
      <c r="E18697" s="44" t="n">
        <v>5943.9819</v>
      </c>
    </row>
    <row r="18698">
      <c r="A18698" s="39">
        <f>_xlfn.XLOOKUP(83369,Trip[shape_id],Trip[shape_id],"Não encontrado")</f>
        <v/>
      </c>
      <c r="B18698" s="40" t="n">
        <v>-23.58714</v>
      </c>
      <c r="C18698" s="40" t="n">
        <v>-46.584656</v>
      </c>
      <c r="D18698" s="40" t="n">
        <v>216</v>
      </c>
      <c r="E18698" s="41" t="n">
        <v>5962.7793</v>
      </c>
    </row>
    <row r="18699">
      <c r="A18699" s="42">
        <f>_xlfn.XLOOKUP(83369,Trip[shape_id],Trip[shape_id],"Não encontrado")</f>
        <v/>
      </c>
      <c r="B18699" s="43" t="n">
        <v>-23.587046</v>
      </c>
      <c r="C18699" s="43" t="n">
        <v>-46.584651</v>
      </c>
      <c r="D18699" s="43" t="n">
        <v>217</v>
      </c>
      <c r="E18699" s="44" t="n">
        <v>5973.2026</v>
      </c>
    </row>
    <row r="18700">
      <c r="A18700" s="39">
        <f>_xlfn.XLOOKUP(83369,Trip[shape_id],Trip[shape_id],"Não encontrado")</f>
        <v/>
      </c>
      <c r="B18700" s="40" t="n">
        <v>-23.58683</v>
      </c>
      <c r="C18700" s="40" t="n">
        <v>-46.584636</v>
      </c>
      <c r="D18700" s="40" t="n">
        <v>218</v>
      </c>
      <c r="E18700" s="41" t="n">
        <v>5997.1743</v>
      </c>
    </row>
    <row r="18701">
      <c r="A18701" s="42">
        <f>_xlfn.XLOOKUP(83369,Trip[shape_id],Trip[shape_id],"Não encontrado")</f>
        <v/>
      </c>
      <c r="B18701" s="43" t="n">
        <v>-23.586591</v>
      </c>
      <c r="C18701" s="43" t="n">
        <v>-46.58462</v>
      </c>
      <c r="D18701" s="43" t="n">
        <v>219</v>
      </c>
      <c r="E18701" s="44" t="n">
        <v>6023.6943</v>
      </c>
    </row>
    <row r="18702">
      <c r="A18702" s="39">
        <f>_xlfn.XLOOKUP(83369,Trip[shape_id],Trip[shape_id],"Não encontrado")</f>
        <v/>
      </c>
      <c r="B18702" s="40" t="n">
        <v>-23.586406</v>
      </c>
      <c r="C18702" s="40" t="n">
        <v>-46.58459</v>
      </c>
      <c r="D18702" s="40" t="n">
        <v>220</v>
      </c>
      <c r="E18702" s="41" t="n">
        <v>6044.4111</v>
      </c>
    </row>
    <row r="18703">
      <c r="A18703" s="42">
        <f>_xlfn.XLOOKUP(83369,Trip[shape_id],Trip[shape_id],"Não encontrado")</f>
        <v/>
      </c>
      <c r="B18703" s="43" t="n">
        <v>-23.585838</v>
      </c>
      <c r="C18703" s="43" t="n">
        <v>-46.584348</v>
      </c>
      <c r="D18703" s="43" t="n">
        <v>221</v>
      </c>
      <c r="E18703" s="44" t="n">
        <v>6111.9946</v>
      </c>
    </row>
    <row r="18704">
      <c r="A18704" s="39">
        <f>_xlfn.XLOOKUP(83369,Trip[shape_id],Trip[shape_id],"Não encontrado")</f>
        <v/>
      </c>
      <c r="B18704" s="40" t="n">
        <v>-23.585694</v>
      </c>
      <c r="C18704" s="40" t="n">
        <v>-46.584287</v>
      </c>
      <c r="D18704" s="40" t="n">
        <v>222</v>
      </c>
      <c r="E18704" s="41" t="n">
        <v>6129.1157</v>
      </c>
    </row>
    <row r="18705">
      <c r="A18705" s="42">
        <f>_xlfn.XLOOKUP(83369,Trip[shape_id],Trip[shape_id],"Não encontrado")</f>
        <v/>
      </c>
      <c r="B18705" s="43" t="n">
        <v>-23.585587</v>
      </c>
      <c r="C18705" s="43" t="n">
        <v>-46.58426</v>
      </c>
      <c r="D18705" s="43" t="n">
        <v>223</v>
      </c>
      <c r="E18705" s="44" t="n">
        <v>6141.2827</v>
      </c>
    </row>
    <row r="18706">
      <c r="A18706" s="39">
        <f>_xlfn.XLOOKUP(83369,Trip[shape_id],Trip[shape_id],"Não encontrado")</f>
        <v/>
      </c>
      <c r="B18706" s="40" t="n">
        <v>-23.585484</v>
      </c>
      <c r="C18706" s="40" t="n">
        <v>-46.584247</v>
      </c>
      <c r="D18706" s="40" t="n">
        <v>224</v>
      </c>
      <c r="E18706" s="41" t="n">
        <v>6152.7666</v>
      </c>
    </row>
    <row r="18707">
      <c r="A18707" s="42">
        <f>_xlfn.XLOOKUP(83369,Trip[shape_id],Trip[shape_id],"Não encontrado")</f>
        <v/>
      </c>
      <c r="B18707" s="43" t="n">
        <v>-23.585343</v>
      </c>
      <c r="C18707" s="43" t="n">
        <v>-46.584258</v>
      </c>
      <c r="D18707" s="43" t="n">
        <v>225</v>
      </c>
      <c r="E18707" s="44" t="n">
        <v>6168.4233</v>
      </c>
    </row>
    <row r="18708">
      <c r="A18708" s="39">
        <f>_xlfn.XLOOKUP(83369,Trip[shape_id],Trip[shape_id],"Não encontrado")</f>
        <v/>
      </c>
      <c r="B18708" s="40" t="n">
        <v>-23.584926</v>
      </c>
      <c r="C18708" s="40" t="n">
        <v>-46.584268</v>
      </c>
      <c r="D18708" s="40" t="n">
        <v>226</v>
      </c>
      <c r="E18708" s="41" t="n">
        <v>6214.6182</v>
      </c>
    </row>
    <row r="18709">
      <c r="A18709" s="42">
        <f>_xlfn.XLOOKUP(83369,Trip[shape_id],Trip[shape_id],"Não encontrado")</f>
        <v/>
      </c>
      <c r="B18709" s="43" t="n">
        <v>-23.584755</v>
      </c>
      <c r="C18709" s="43" t="n">
        <v>-46.584279</v>
      </c>
      <c r="D18709" s="43" t="n">
        <v>227</v>
      </c>
      <c r="E18709" s="44" t="n">
        <v>6233.5903</v>
      </c>
    </row>
    <row r="18710">
      <c r="A18710" s="39">
        <f>_xlfn.XLOOKUP(83369,Trip[shape_id],Trip[shape_id],"Não encontrado")</f>
        <v/>
      </c>
      <c r="B18710" s="40" t="n">
        <v>-23.584597</v>
      </c>
      <c r="C18710" s="40" t="n">
        <v>-46.584298</v>
      </c>
      <c r="D18710" s="40" t="n">
        <v>228</v>
      </c>
      <c r="E18710" s="41" t="n">
        <v>6251.1963</v>
      </c>
    </row>
    <row r="18711">
      <c r="A18711" s="42">
        <f>_xlfn.XLOOKUP(83369,Trip[shape_id],Trip[shape_id],"Não encontrado")</f>
        <v/>
      </c>
      <c r="B18711" s="43" t="n">
        <v>-23.58448</v>
      </c>
      <c r="C18711" s="43" t="n">
        <v>-46.584308</v>
      </c>
      <c r="D18711" s="43" t="n">
        <v>229</v>
      </c>
      <c r="E18711" s="44" t="n">
        <v>6264.1948</v>
      </c>
    </row>
    <row r="18712">
      <c r="A18712" s="39">
        <f>_xlfn.XLOOKUP(83369,Trip[shape_id],Trip[shape_id],"Não encontrado")</f>
        <v/>
      </c>
      <c r="B18712" s="40" t="n">
        <v>-23.58405</v>
      </c>
      <c r="C18712" s="40" t="n">
        <v>-46.584378</v>
      </c>
      <c r="D18712" s="40" t="n">
        <v>230</v>
      </c>
      <c r="E18712" s="41" t="n">
        <v>6312.3511</v>
      </c>
    </row>
    <row r="18713">
      <c r="A18713" s="42">
        <f>_xlfn.XLOOKUP(83369,Trip[shape_id],Trip[shape_id],"Não encontrado")</f>
        <v/>
      </c>
      <c r="B18713" s="43" t="n">
        <v>-23.583993</v>
      </c>
      <c r="C18713" s="43" t="n">
        <v>-46.584392</v>
      </c>
      <c r="D18713" s="43" t="n">
        <v>231</v>
      </c>
      <c r="E18713" s="44" t="n">
        <v>6318.8232</v>
      </c>
    </row>
    <row r="18714">
      <c r="A18714" s="39">
        <f>_xlfn.XLOOKUP(83369,Trip[shape_id],Trip[shape_id],"Não encontrado")</f>
        <v/>
      </c>
      <c r="B18714" s="40" t="n">
        <v>-23.583934</v>
      </c>
      <c r="C18714" s="40" t="n">
        <v>-46.584413</v>
      </c>
      <c r="D18714" s="40" t="n">
        <v>232</v>
      </c>
      <c r="E18714" s="41" t="n">
        <v>6325.7002</v>
      </c>
    </row>
    <row r="18715">
      <c r="A18715" s="42">
        <f>_xlfn.XLOOKUP(83369,Trip[shape_id],Trip[shape_id],"Não encontrado")</f>
        <v/>
      </c>
      <c r="B18715" s="43" t="n">
        <v>-23.583813</v>
      </c>
      <c r="C18715" s="43" t="n">
        <v>-46.584461</v>
      </c>
      <c r="D18715" s="43" t="n">
        <v>233</v>
      </c>
      <c r="E18715" s="44" t="n">
        <v>6339.9688</v>
      </c>
    </row>
    <row r="18716">
      <c r="A18716" s="39">
        <f>_xlfn.XLOOKUP(83369,Trip[shape_id],Trip[shape_id],"Não encontrado")</f>
        <v/>
      </c>
      <c r="B18716" s="40" t="n">
        <v>-23.583714</v>
      </c>
      <c r="C18716" s="40" t="n">
        <v>-46.5845</v>
      </c>
      <c r="D18716" s="40" t="n">
        <v>234</v>
      </c>
      <c r="E18716" s="41" t="n">
        <v>6351.6333</v>
      </c>
    </row>
    <row r="18717">
      <c r="A18717" s="42">
        <f>_xlfn.XLOOKUP(83369,Trip[shape_id],Trip[shape_id],"Não encontrado")</f>
        <v/>
      </c>
      <c r="B18717" s="43" t="n">
        <v>-23.583563</v>
      </c>
      <c r="C18717" s="43" t="n">
        <v>-46.584611</v>
      </c>
      <c r="D18717" s="43" t="n">
        <v>235</v>
      </c>
      <c r="E18717" s="44" t="n">
        <v>6371.834</v>
      </c>
    </row>
    <row r="18718">
      <c r="A18718" s="39">
        <f>_xlfn.XLOOKUP(83369,Trip[shape_id],Trip[shape_id],"Não encontrado")</f>
        <v/>
      </c>
      <c r="B18718" s="40" t="n">
        <v>-23.583443</v>
      </c>
      <c r="C18718" s="40" t="n">
        <v>-46.584736</v>
      </c>
      <c r="D18718" s="40" t="n">
        <v>236</v>
      </c>
      <c r="E18718" s="41" t="n">
        <v>6390.2578</v>
      </c>
    </row>
    <row r="18719">
      <c r="A18719" s="42">
        <f>_xlfn.XLOOKUP(83369,Trip[shape_id],Trip[shape_id],"Não encontrado")</f>
        <v/>
      </c>
      <c r="B18719" s="43" t="n">
        <v>-23.583365</v>
      </c>
      <c r="C18719" s="43" t="n">
        <v>-46.584841</v>
      </c>
      <c r="D18719" s="43" t="n">
        <v>237</v>
      </c>
      <c r="E18719" s="44" t="n">
        <v>6404.0239</v>
      </c>
    </row>
    <row r="18720">
      <c r="A18720" s="39">
        <f>_xlfn.XLOOKUP(83369,Trip[shape_id],Trip[shape_id],"Não encontrado")</f>
        <v/>
      </c>
      <c r="B18720" s="40" t="n">
        <v>-23.583277</v>
      </c>
      <c r="C18720" s="40" t="n">
        <v>-46.584928</v>
      </c>
      <c r="D18720" s="40" t="n">
        <v>238</v>
      </c>
      <c r="E18720" s="41" t="n">
        <v>6417.209</v>
      </c>
    </row>
    <row r="18721">
      <c r="A18721" s="42">
        <f>_xlfn.XLOOKUP(83369,Trip[shape_id],Trip[shape_id],"Não encontrado")</f>
        <v/>
      </c>
      <c r="B18721" s="43" t="n">
        <v>-23.583177</v>
      </c>
      <c r="C18721" s="43" t="n">
        <v>-46.584972</v>
      </c>
      <c r="D18721" s="43" t="n">
        <v>239</v>
      </c>
      <c r="E18721" s="44" t="n">
        <v>6429.1606</v>
      </c>
    </row>
    <row r="18722">
      <c r="A18722" s="39">
        <f>_xlfn.XLOOKUP(83369,Trip[shape_id],Trip[shape_id],"Não encontrado")</f>
        <v/>
      </c>
      <c r="B18722" s="40" t="n">
        <v>-23.583039</v>
      </c>
      <c r="C18722" s="40" t="n">
        <v>-46.585032</v>
      </c>
      <c r="D18722" s="40" t="n">
        <v>240</v>
      </c>
      <c r="E18722" s="41" t="n">
        <v>6445.626</v>
      </c>
    </row>
    <row r="18723">
      <c r="A18723" s="42">
        <f>_xlfn.XLOOKUP(83369,Trip[shape_id],Trip[shape_id],"Não encontrado")</f>
        <v/>
      </c>
      <c r="B18723" s="43" t="n">
        <v>-23.582863</v>
      </c>
      <c r="C18723" s="43" t="n">
        <v>-46.585108</v>
      </c>
      <c r="D18723" s="43" t="n">
        <v>241</v>
      </c>
      <c r="E18723" s="44" t="n">
        <v>6466.6055</v>
      </c>
    </row>
    <row r="18724">
      <c r="A18724" s="39">
        <f>_xlfn.XLOOKUP(83369,Trip[shape_id],Trip[shape_id],"Não encontrado")</f>
        <v/>
      </c>
      <c r="B18724" s="40" t="n">
        <v>-23.58273</v>
      </c>
      <c r="C18724" s="40" t="n">
        <v>-46.585177</v>
      </c>
      <c r="D18724" s="40" t="n">
        <v>242</v>
      </c>
      <c r="E18724" s="41" t="n">
        <v>6482.9326</v>
      </c>
    </row>
    <row r="18725">
      <c r="A18725" s="42">
        <f>_xlfn.XLOOKUP(83369,Trip[shape_id],Trip[shape_id],"Não encontrado")</f>
        <v/>
      </c>
      <c r="B18725" s="43" t="n">
        <v>-23.582487</v>
      </c>
      <c r="C18725" s="43" t="n">
        <v>-46.585293</v>
      </c>
      <c r="D18725" s="43" t="n">
        <v>243</v>
      </c>
      <c r="E18725" s="44" t="n">
        <v>6512.335</v>
      </c>
    </row>
    <row r="18726">
      <c r="A18726" s="39">
        <f>_xlfn.XLOOKUP(83369,Trip[shape_id],Trip[shape_id],"Não encontrado")</f>
        <v/>
      </c>
      <c r="B18726" s="40" t="n">
        <v>-23.582432</v>
      </c>
      <c r="C18726" s="40" t="n">
        <v>-46.58532</v>
      </c>
      <c r="D18726" s="40" t="n">
        <v>244</v>
      </c>
      <c r="E18726" s="41" t="n">
        <v>6519.021</v>
      </c>
    </row>
    <row r="18727">
      <c r="A18727" s="42">
        <f>_xlfn.XLOOKUP(83369,Trip[shape_id],Trip[shape_id],"Não encontrado")</f>
        <v/>
      </c>
      <c r="B18727" s="43" t="n">
        <v>-23.581708</v>
      </c>
      <c r="C18727" s="43" t="n">
        <v>-46.585592</v>
      </c>
      <c r="D18727" s="43" t="n">
        <v>245</v>
      </c>
      <c r="E18727" s="44" t="n">
        <v>6603.8765</v>
      </c>
    </row>
    <row r="18728">
      <c r="A18728" s="39">
        <f>_xlfn.XLOOKUP(83369,Trip[shape_id],Trip[shape_id],"Não encontrado")</f>
        <v/>
      </c>
      <c r="B18728" s="40" t="n">
        <v>-23.581381</v>
      </c>
      <c r="C18728" s="40" t="n">
        <v>-46.585735</v>
      </c>
      <c r="D18728" s="40" t="n">
        <v>246</v>
      </c>
      <c r="E18728" s="41" t="n">
        <v>6642.9233</v>
      </c>
    </row>
    <row r="18729">
      <c r="A18729" s="42">
        <f>_xlfn.XLOOKUP(83369,Trip[shape_id],Trip[shape_id],"Não encontrado")</f>
        <v/>
      </c>
      <c r="B18729" s="43" t="n">
        <v>-23.58126</v>
      </c>
      <c r="C18729" s="43" t="n">
        <v>-46.585793</v>
      </c>
      <c r="D18729" s="43" t="n">
        <v>247</v>
      </c>
      <c r="E18729" s="44" t="n">
        <v>6657.5737</v>
      </c>
    </row>
    <row r="18730">
      <c r="A18730" s="39">
        <f>_xlfn.XLOOKUP(83369,Trip[shape_id],Trip[shape_id],"Não encontrado")</f>
        <v/>
      </c>
      <c r="B18730" s="40" t="n">
        <v>-23.58133</v>
      </c>
      <c r="C18730" s="40" t="n">
        <v>-46.586022</v>
      </c>
      <c r="D18730" s="40" t="n">
        <v>248</v>
      </c>
      <c r="E18730" s="41" t="n">
        <v>6682.2017</v>
      </c>
    </row>
    <row r="18731">
      <c r="A18731" s="42">
        <f>_xlfn.XLOOKUP(83369,Trip[shape_id],Trip[shape_id],"Não encontrado")</f>
        <v/>
      </c>
      <c r="B18731" s="43" t="n">
        <v>-23.581367</v>
      </c>
      <c r="C18731" s="43" t="n">
        <v>-46.58614</v>
      </c>
      <c r="D18731" s="43" t="n">
        <v>249</v>
      </c>
      <c r="E18731" s="44" t="n">
        <v>6694.9248</v>
      </c>
    </row>
    <row r="18732">
      <c r="A18732" s="39">
        <f>_xlfn.XLOOKUP(83369,Trip[shape_id],Trip[shape_id],"Não encontrado")</f>
        <v/>
      </c>
      <c r="B18732" s="40" t="n">
        <v>-23.581502</v>
      </c>
      <c r="C18732" s="40" t="n">
        <v>-46.586587</v>
      </c>
      <c r="D18732" s="40" t="n">
        <v>250</v>
      </c>
      <c r="E18732" s="41" t="n">
        <v>6742.9409</v>
      </c>
    </row>
    <row r="18733">
      <c r="A18733" s="42">
        <f>_xlfn.XLOOKUP(83369,Trip[shape_id],Trip[shape_id],"Não encontrado")</f>
        <v/>
      </c>
      <c r="B18733" s="43" t="n">
        <v>-23.580053</v>
      </c>
      <c r="C18733" s="43" t="n">
        <v>-46.586742</v>
      </c>
      <c r="D18733" s="43" t="n">
        <v>251</v>
      </c>
      <c r="E18733" s="44" t="n">
        <v>6904.1987</v>
      </c>
    </row>
    <row r="18734">
      <c r="A18734" s="39">
        <f>_xlfn.XLOOKUP(83369,Trip[shape_id],Trip[shape_id],"Não encontrado")</f>
        <v/>
      </c>
      <c r="B18734" s="40" t="n">
        <v>-23.579929</v>
      </c>
      <c r="C18734" s="40" t="n">
        <v>-46.586756</v>
      </c>
      <c r="D18734" s="40" t="n">
        <v>252</v>
      </c>
      <c r="E18734" s="41" t="n">
        <v>6918.0063</v>
      </c>
    </row>
    <row r="18735">
      <c r="A18735" s="42">
        <f>_xlfn.XLOOKUP(83369,Trip[shape_id],Trip[shape_id],"Não encontrado")</f>
        <v/>
      </c>
      <c r="B18735" s="43" t="n">
        <v>-23.579669</v>
      </c>
      <c r="C18735" s="43" t="n">
        <v>-46.586839</v>
      </c>
      <c r="D18735" s="43" t="n">
        <v>253</v>
      </c>
      <c r="E18735" s="44" t="n">
        <v>6962.085</v>
      </c>
    </row>
    <row r="18736">
      <c r="A18736" s="39">
        <f>_xlfn.XLOOKUP(83369,Trip[shape_id],Trip[shape_id],"Não encontrado")</f>
        <v/>
      </c>
      <c r="B18736" s="40" t="n">
        <v>-23.579543</v>
      </c>
      <c r="C18736" s="40" t="n">
        <v>-46.586856</v>
      </c>
      <c r="D18736" s="40" t="n">
        <v>254</v>
      </c>
      <c r="E18736" s="41" t="n">
        <v>6962.085</v>
      </c>
    </row>
    <row r="18737">
      <c r="A18737" s="42">
        <f>_xlfn.XLOOKUP(83369,Trip[shape_id],Trip[shape_id],"Não encontrado")</f>
        <v/>
      </c>
      <c r="B18737" s="43" t="n">
        <v>-23.579463</v>
      </c>
      <c r="C18737" s="43" t="n">
        <v>-46.58686</v>
      </c>
      <c r="D18737" s="43" t="n">
        <v>255</v>
      </c>
      <c r="E18737" s="44" t="n">
        <v>6978.8174</v>
      </c>
    </row>
    <row r="18738">
      <c r="A18738" s="39">
        <f>_xlfn.XLOOKUP(83369,Trip[shape_id],Trip[shape_id],"Não encontrado")</f>
        <v/>
      </c>
      <c r="B18738" s="40" t="n">
        <v>-23.579392</v>
      </c>
      <c r="C18738" s="40" t="n">
        <v>-46.58686</v>
      </c>
      <c r="D18738" s="40" t="n">
        <v>256</v>
      </c>
      <c r="E18738" s="41" t="n">
        <v>6988.4873</v>
      </c>
    </row>
    <row r="18739">
      <c r="A18739" s="42">
        <f>_xlfn.XLOOKUP(83369,Trip[shape_id],Trip[shape_id],"Não encontrado")</f>
        <v/>
      </c>
      <c r="B18739" s="43" t="n">
        <v>-23.579305</v>
      </c>
      <c r="C18739" s="43" t="n">
        <v>-46.586852</v>
      </c>
      <c r="D18739" s="43" t="n">
        <v>257</v>
      </c>
      <c r="E18739" s="44" t="n">
        <v>7000.5332</v>
      </c>
    </row>
    <row r="18740">
      <c r="A18740" s="39">
        <f>_xlfn.XLOOKUP(83369,Trip[shape_id],Trip[shape_id],"Não encontrado")</f>
        <v/>
      </c>
      <c r="B18740" s="40" t="n">
        <v>-23.579197</v>
      </c>
      <c r="C18740" s="40" t="n">
        <v>-46.586866</v>
      </c>
      <c r="D18740" s="40" t="n">
        <v>258</v>
      </c>
      <c r="E18740" s="41" t="n">
        <v>7016.8525</v>
      </c>
    </row>
    <row r="18741">
      <c r="A18741" s="42">
        <f>_xlfn.XLOOKUP(83369,Trip[shape_id],Trip[shape_id],"Não encontrado")</f>
        <v/>
      </c>
      <c r="B18741" s="43" t="n">
        <v>-23.57905</v>
      </c>
      <c r="C18741" s="43" t="n">
        <v>-46.586855</v>
      </c>
      <c r="D18741" s="43" t="n">
        <v>259</v>
      </c>
      <c r="E18741" s="44" t="n">
        <v>7016.8525</v>
      </c>
    </row>
    <row r="18742">
      <c r="A18742" s="39">
        <f>_xlfn.XLOOKUP(83369,Trip[shape_id],Trip[shape_id],"Não encontrado")</f>
        <v/>
      </c>
      <c r="B18742" s="40" t="n">
        <v>-23.578945</v>
      </c>
      <c r="C18742" s="40" t="n">
        <v>-46.586868</v>
      </c>
      <c r="D18742" s="40" t="n">
        <v>260</v>
      </c>
      <c r="E18742" s="41" t="n">
        <v>7028.5566</v>
      </c>
    </row>
    <row r="18743">
      <c r="A18743" s="42">
        <f>_xlfn.XLOOKUP(83369,Trip[shape_id],Trip[shape_id],"Não encontrado")</f>
        <v/>
      </c>
      <c r="B18743" s="43" t="n">
        <v>-23.578502</v>
      </c>
      <c r="C18743" s="43" t="n">
        <v>-46.586908</v>
      </c>
      <c r="D18743" s="43" t="n">
        <v>261</v>
      </c>
      <c r="E18743" s="44" t="n">
        <v>7077.7896</v>
      </c>
    </row>
    <row r="18744">
      <c r="A18744" s="39">
        <f>_xlfn.XLOOKUP(83369,Trip[shape_id],Trip[shape_id],"Não encontrado")</f>
        <v/>
      </c>
      <c r="B18744" s="40" t="n">
        <v>-23.578138</v>
      </c>
      <c r="C18744" s="40" t="n">
        <v>-46.586952</v>
      </c>
      <c r="D18744" s="40" t="n">
        <v>262</v>
      </c>
      <c r="E18744" s="41" t="n">
        <v>7118.353</v>
      </c>
    </row>
    <row r="18745">
      <c r="A18745" s="42">
        <f>_xlfn.XLOOKUP(83369,Trip[shape_id],Trip[shape_id],"Não encontrado")</f>
        <v/>
      </c>
      <c r="B18745" s="43" t="n">
        <v>-23.577794</v>
      </c>
      <c r="C18745" s="43" t="n">
        <v>-46.586986</v>
      </c>
      <c r="D18745" s="43" t="n">
        <v>263</v>
      </c>
      <c r="E18745" s="44" t="n">
        <v>7156.6094</v>
      </c>
    </row>
    <row r="18746">
      <c r="A18746" s="39">
        <f>_xlfn.XLOOKUP(83369,Trip[shape_id],Trip[shape_id],"Não encontrado")</f>
        <v/>
      </c>
      <c r="B18746" s="40" t="n">
        <v>-23.57764</v>
      </c>
      <c r="C18746" s="40" t="n">
        <v>-46.586987</v>
      </c>
      <c r="D18746" s="40" t="n">
        <v>264</v>
      </c>
      <c r="E18746" s="41" t="n">
        <v>7173.6655</v>
      </c>
    </row>
    <row r="18747">
      <c r="A18747" s="42">
        <f>_xlfn.XLOOKUP(83369,Trip[shape_id],Trip[shape_id],"Não encontrado")</f>
        <v/>
      </c>
      <c r="B18747" s="43" t="n">
        <v>-23.577455</v>
      </c>
      <c r="C18747" s="43" t="n">
        <v>-46.586971</v>
      </c>
      <c r="D18747" s="43" t="n">
        <v>265</v>
      </c>
      <c r="E18747" s="44" t="n">
        <v>7194.2197</v>
      </c>
    </row>
    <row r="18748">
      <c r="A18748" s="39">
        <f>_xlfn.XLOOKUP(83369,Trip[shape_id],Trip[shape_id],"Não encontrado")</f>
        <v/>
      </c>
      <c r="B18748" s="40" t="n">
        <v>-23.575981</v>
      </c>
      <c r="C18748" s="40" t="n">
        <v>-46.587149</v>
      </c>
      <c r="D18748" s="40" t="n">
        <v>266</v>
      </c>
      <c r="E18748" s="41" t="n">
        <v>7358.4766</v>
      </c>
    </row>
    <row r="18749">
      <c r="A18749" s="42">
        <f>_xlfn.XLOOKUP(83369,Trip[shape_id],Trip[shape_id],"Não encontrado")</f>
        <v/>
      </c>
      <c r="B18749" s="43" t="n">
        <v>-23.57582</v>
      </c>
      <c r="C18749" s="43" t="n">
        <v>-46.58717</v>
      </c>
      <c r="D18749" s="43" t="n">
        <v>267</v>
      </c>
      <c r="E18749" s="44" t="n">
        <v>7376.436</v>
      </c>
    </row>
    <row r="18750">
      <c r="A18750" s="39">
        <f>_xlfn.XLOOKUP(83369,Trip[shape_id],Trip[shape_id],"Não encontrado")</f>
        <v/>
      </c>
      <c r="B18750" s="40" t="n">
        <v>-23.575409</v>
      </c>
      <c r="C18750" s="40" t="n">
        <v>-46.587226</v>
      </c>
      <c r="D18750" s="40" t="n">
        <v>268</v>
      </c>
      <c r="E18750" s="41" t="n">
        <v>7422.3125</v>
      </c>
    </row>
    <row r="18751">
      <c r="A18751" s="42">
        <f>_xlfn.XLOOKUP(83369,Trip[shape_id],Trip[shape_id],"Não encontrado")</f>
        <v/>
      </c>
      <c r="B18751" s="43" t="n">
        <v>-23.575143</v>
      </c>
      <c r="C18751" s="43" t="n">
        <v>-46.587251</v>
      </c>
      <c r="D18751" s="43" t="n">
        <v>269</v>
      </c>
      <c r="E18751" s="44" t="n">
        <v>7451.8828</v>
      </c>
    </row>
    <row r="18752">
      <c r="A18752" s="39">
        <f>_xlfn.XLOOKUP(83369,Trip[shape_id],Trip[shape_id],"Não encontrado")</f>
        <v/>
      </c>
      <c r="B18752" s="40" t="n">
        <v>-23.574569</v>
      </c>
      <c r="C18752" s="40" t="n">
        <v>-46.587323</v>
      </c>
      <c r="D18752" s="40" t="n">
        <v>270</v>
      </c>
      <c r="E18752" s="41" t="n">
        <v>7515.8779</v>
      </c>
    </row>
    <row r="18753">
      <c r="A18753" s="42">
        <f>_xlfn.XLOOKUP(83369,Trip[shape_id],Trip[shape_id],"Não encontrado")</f>
        <v/>
      </c>
      <c r="B18753" s="43" t="n">
        <v>-23.574115</v>
      </c>
      <c r="C18753" s="43" t="n">
        <v>-46.587357</v>
      </c>
      <c r="D18753" s="43" t="n">
        <v>271</v>
      </c>
      <c r="E18753" s="44" t="n">
        <v>7566.2788</v>
      </c>
    </row>
    <row r="18754">
      <c r="A18754" s="39">
        <f>_xlfn.XLOOKUP(83369,Trip[shape_id],Trip[shape_id],"Não encontrado")</f>
        <v/>
      </c>
      <c r="B18754" s="40" t="n">
        <v>-23.574031</v>
      </c>
      <c r="C18754" s="40" t="n">
        <v>-46.58737</v>
      </c>
      <c r="D18754" s="40" t="n">
        <v>272</v>
      </c>
      <c r="E18754" s="41" t="n">
        <v>7575.6758</v>
      </c>
    </row>
    <row r="18755">
      <c r="A18755" s="42">
        <f>_xlfn.XLOOKUP(83369,Trip[shape_id],Trip[shape_id],"Não encontrado")</f>
        <v/>
      </c>
      <c r="B18755" s="43" t="n">
        <v>-23.573936</v>
      </c>
      <c r="C18755" s="43" t="n">
        <v>-46.587468</v>
      </c>
      <c r="D18755" s="43" t="n">
        <v>273</v>
      </c>
      <c r="E18755" s="44" t="n">
        <v>7603.7446</v>
      </c>
    </row>
    <row r="18756">
      <c r="A18756" s="39">
        <f>_xlfn.XLOOKUP(83369,Trip[shape_id],Trip[shape_id],"Não encontrado")</f>
        <v/>
      </c>
      <c r="B18756" s="40" t="n">
        <v>-23.573814</v>
      </c>
      <c r="C18756" s="40" t="n">
        <v>-46.587478</v>
      </c>
      <c r="D18756" s="40" t="n">
        <v>274</v>
      </c>
      <c r="E18756" s="41" t="n">
        <v>7603.7446</v>
      </c>
    </row>
    <row r="18757">
      <c r="A18757" s="42">
        <f>_xlfn.XLOOKUP(83369,Trip[shape_id],Trip[shape_id],"Não encontrado")</f>
        <v/>
      </c>
      <c r="B18757" s="43" t="n">
        <v>-23.573776</v>
      </c>
      <c r="C18757" s="43" t="n">
        <v>-46.587468</v>
      </c>
      <c r="D18757" s="43" t="n">
        <v>275</v>
      </c>
      <c r="E18757" s="44" t="n">
        <v>7619.6572</v>
      </c>
    </row>
    <row r="18758">
      <c r="A18758" s="39">
        <f>_xlfn.XLOOKUP(83369,Trip[shape_id],Trip[shape_id],"Não encontrado")</f>
        <v/>
      </c>
      <c r="B18758" s="40" t="n">
        <v>-23.573674</v>
      </c>
      <c r="C18758" s="40" t="n">
        <v>-46.587493</v>
      </c>
      <c r="D18758" s="40" t="n">
        <v>276</v>
      </c>
      <c r="E18758" s="41" t="n">
        <v>7639.7427</v>
      </c>
    </row>
    <row r="18759">
      <c r="A18759" s="42">
        <f>_xlfn.XLOOKUP(83369,Trip[shape_id],Trip[shape_id],"Não encontrado")</f>
        <v/>
      </c>
      <c r="B18759" s="43" t="n">
        <v>-23.573494</v>
      </c>
      <c r="C18759" s="43" t="n">
        <v>-46.587469</v>
      </c>
      <c r="D18759" s="43" t="n">
        <v>277</v>
      </c>
      <c r="E18759" s="44" t="n">
        <v>7652.041</v>
      </c>
    </row>
    <row r="18760">
      <c r="A18760" s="39">
        <f>_xlfn.XLOOKUP(83369,Trip[shape_id],Trip[shape_id],"Não encontrado")</f>
        <v/>
      </c>
      <c r="B18760" s="40" t="n">
        <v>-23.573386</v>
      </c>
      <c r="C18760" s="40" t="n">
        <v>-46.587441</v>
      </c>
      <c r="D18760" s="40" t="n">
        <v>278</v>
      </c>
      <c r="E18760" s="41" t="n">
        <v>7652.041</v>
      </c>
    </row>
    <row r="18761">
      <c r="A18761" s="42">
        <f>_xlfn.XLOOKUP(83369,Trip[shape_id],Trip[shape_id],"Não encontrado")</f>
        <v/>
      </c>
      <c r="B18761" s="43" t="n">
        <v>-23.57286</v>
      </c>
      <c r="C18761" s="43" t="n">
        <v>-46.587492</v>
      </c>
      <c r="D18761" s="43" t="n">
        <v>279</v>
      </c>
      <c r="E18761" s="44" t="n">
        <v>7710.5288</v>
      </c>
    </row>
    <row r="18762">
      <c r="A18762" s="39">
        <f>_xlfn.XLOOKUP(83369,Trip[shape_id],Trip[shape_id],"Não encontrado")</f>
        <v/>
      </c>
      <c r="B18762" s="40" t="n">
        <v>-23.572657</v>
      </c>
      <c r="C18762" s="40" t="n">
        <v>-46.587471</v>
      </c>
      <c r="D18762" s="40" t="n">
        <v>280</v>
      </c>
      <c r="E18762" s="41" t="n">
        <v>7733.1133</v>
      </c>
    </row>
    <row r="18763">
      <c r="A18763" s="42">
        <f>_xlfn.XLOOKUP(83369,Trip[shape_id],Trip[shape_id],"Não encontrado")</f>
        <v/>
      </c>
      <c r="B18763" s="43" t="n">
        <v>-23.571729</v>
      </c>
      <c r="C18763" s="43" t="n">
        <v>-46.587425</v>
      </c>
      <c r="D18763" s="43" t="n">
        <v>281</v>
      </c>
      <c r="E18763" s="44" t="n">
        <v>7835.9985</v>
      </c>
    </row>
    <row r="18764">
      <c r="A18764" s="39">
        <f>_xlfn.XLOOKUP(83369,Trip[shape_id],Trip[shape_id],"Não encontrado")</f>
        <v/>
      </c>
      <c r="B18764" s="40" t="n">
        <v>-23.571211</v>
      </c>
      <c r="C18764" s="40" t="n">
        <v>-46.5874</v>
      </c>
      <c r="D18764" s="40" t="n">
        <v>282</v>
      </c>
      <c r="E18764" s="41" t="n">
        <v>7893.4248</v>
      </c>
    </row>
    <row r="18765">
      <c r="A18765" s="42">
        <f>_xlfn.XLOOKUP(83369,Trip[shape_id],Trip[shape_id],"Não encontrado")</f>
        <v/>
      </c>
      <c r="B18765" s="43" t="n">
        <v>-23.570929</v>
      </c>
      <c r="C18765" s="43" t="n">
        <v>-46.587384</v>
      </c>
      <c r="D18765" s="43" t="n">
        <v>283</v>
      </c>
      <c r="E18765" s="44" t="n">
        <v>7924.6997</v>
      </c>
    </row>
    <row r="18766">
      <c r="A18766" s="39">
        <f>_xlfn.XLOOKUP(83369,Trip[shape_id],Trip[shape_id],"Não encontrado")</f>
        <v/>
      </c>
      <c r="B18766" s="40" t="n">
        <v>-23.570677</v>
      </c>
      <c r="C18766" s="40" t="n">
        <v>-46.587384</v>
      </c>
      <c r="D18766" s="40" t="n">
        <v>284</v>
      </c>
      <c r="E18766" s="41" t="n">
        <v>7952.6094</v>
      </c>
    </row>
    <row r="18767">
      <c r="A18767" s="42">
        <f>_xlfn.XLOOKUP(83369,Trip[shape_id],Trip[shape_id],"Não encontrado")</f>
        <v/>
      </c>
      <c r="B18767" s="43" t="n">
        <v>-23.570504</v>
      </c>
      <c r="C18767" s="43" t="n">
        <v>-46.587406</v>
      </c>
      <c r="D18767" s="43" t="n">
        <v>285</v>
      </c>
      <c r="E18767" s="44" t="n">
        <v>7971.9009</v>
      </c>
    </row>
    <row r="18768">
      <c r="A18768" s="39">
        <f>_xlfn.XLOOKUP(83369,Trip[shape_id],Trip[shape_id],"Não encontrado")</f>
        <v/>
      </c>
      <c r="B18768" s="40" t="n">
        <v>-23.570345</v>
      </c>
      <c r="C18768" s="40" t="n">
        <v>-46.587431</v>
      </c>
      <c r="D18768" s="40" t="n">
        <v>286</v>
      </c>
      <c r="E18768" s="41" t="n">
        <v>7989.6948</v>
      </c>
    </row>
    <row r="18769">
      <c r="A18769" s="42">
        <f>_xlfn.XLOOKUP(83369,Trip[shape_id],Trip[shape_id],"Não encontrado")</f>
        <v/>
      </c>
      <c r="B18769" s="43" t="n">
        <v>-23.570193</v>
      </c>
      <c r="C18769" s="43" t="n">
        <v>-46.58747</v>
      </c>
      <c r="D18769" s="43" t="n">
        <v>287</v>
      </c>
      <c r="E18769" s="44" t="n">
        <v>8006.9937</v>
      </c>
    </row>
    <row r="18770">
      <c r="A18770" s="39">
        <f>_xlfn.XLOOKUP(83369,Trip[shape_id],Trip[shape_id],"Não encontrado")</f>
        <v/>
      </c>
      <c r="B18770" s="40" t="n">
        <v>-23.570016</v>
      </c>
      <c r="C18770" s="40" t="n">
        <v>-46.587538</v>
      </c>
      <c r="D18770" s="40" t="n">
        <v>288</v>
      </c>
      <c r="E18770" s="41" t="n">
        <v>8027.7896</v>
      </c>
    </row>
    <row r="18771">
      <c r="A18771" s="42">
        <f>_xlfn.XLOOKUP(83369,Trip[shape_id],Trip[shape_id],"Não encontrado")</f>
        <v/>
      </c>
      <c r="B18771" s="43" t="n">
        <v>-23.569979</v>
      </c>
      <c r="C18771" s="43" t="n">
        <v>-46.587584</v>
      </c>
      <c r="D18771" s="43" t="n">
        <v>289</v>
      </c>
      <c r="E18771" s="44" t="n">
        <v>8052.1333</v>
      </c>
    </row>
    <row r="18772">
      <c r="A18772" s="39">
        <f>_xlfn.XLOOKUP(83369,Trip[shape_id],Trip[shape_id],"Não encontrado")</f>
        <v/>
      </c>
      <c r="B18772" s="40" t="n">
        <v>-23.569837</v>
      </c>
      <c r="C18772" s="40" t="n">
        <v>-46.587672</v>
      </c>
      <c r="D18772" s="40" t="n">
        <v>290</v>
      </c>
      <c r="E18772" s="41" t="n">
        <v>8063.7183</v>
      </c>
    </row>
    <row r="18773">
      <c r="A18773" s="42">
        <f>_xlfn.XLOOKUP(83369,Trip[shape_id],Trip[shape_id],"Não encontrado")</f>
        <v/>
      </c>
      <c r="B18773" s="43" t="n">
        <v>-23.56975</v>
      </c>
      <c r="C18773" s="43" t="n">
        <v>-46.587735</v>
      </c>
      <c r="D18773" s="43" t="n">
        <v>291</v>
      </c>
      <c r="E18773" s="44" t="n">
        <v>8073.3174</v>
      </c>
    </row>
    <row r="18774">
      <c r="A18774" s="39">
        <f>_xlfn.XLOOKUP(83369,Trip[shape_id],Trip[shape_id],"Não encontrado")</f>
        <v/>
      </c>
      <c r="B18774" s="40" t="n">
        <v>-23.569672</v>
      </c>
      <c r="C18774" s="40" t="n">
        <v>-46.587776</v>
      </c>
      <c r="D18774" s="40" t="n">
        <v>292</v>
      </c>
      <c r="E18774" s="41" t="n">
        <v>8073.3174</v>
      </c>
    </row>
    <row r="18775">
      <c r="A18775" s="42">
        <f>_xlfn.XLOOKUP(83369,Trip[shape_id],Trip[shape_id],"Não encontrado")</f>
        <v/>
      </c>
      <c r="B18775" s="43" t="n">
        <v>-23.569582</v>
      </c>
      <c r="C18775" s="43" t="n">
        <v>-46.587826</v>
      </c>
      <c r="D18775" s="43" t="n">
        <v>293</v>
      </c>
      <c r="E18775" s="44" t="n">
        <v>8093.2358</v>
      </c>
    </row>
    <row r="18776">
      <c r="A18776" s="39">
        <f>_xlfn.XLOOKUP(83369,Trip[shape_id],Trip[shape_id],"Não encontrado")</f>
        <v/>
      </c>
      <c r="B18776" s="40" t="n">
        <v>-23.569509</v>
      </c>
      <c r="C18776" s="40" t="n">
        <v>-46.587858</v>
      </c>
      <c r="D18776" s="40" t="n">
        <v>294</v>
      </c>
      <c r="E18776" s="41" t="n">
        <v>8116.0884</v>
      </c>
    </row>
    <row r="18777">
      <c r="A18777" s="42">
        <f>_xlfn.XLOOKUP(83369,Trip[shape_id],Trip[shape_id],"Não encontrado")</f>
        <v/>
      </c>
      <c r="B18777" s="43" t="n">
        <v>-23.569311</v>
      </c>
      <c r="C18777" s="43" t="n">
        <v>-46.587921</v>
      </c>
      <c r="D18777" s="43" t="n">
        <v>295</v>
      </c>
      <c r="E18777" s="44" t="n">
        <v>8116.0884</v>
      </c>
    </row>
    <row r="18778">
      <c r="A18778" s="39">
        <f>_xlfn.XLOOKUP(83369,Trip[shape_id],Trip[shape_id],"Não encontrado")</f>
        <v/>
      </c>
      <c r="B18778" s="40" t="n">
        <v>-23.569121</v>
      </c>
      <c r="C18778" s="40" t="n">
        <v>-46.588102</v>
      </c>
      <c r="D18778" s="40" t="n">
        <v>296</v>
      </c>
      <c r="E18778" s="41" t="n">
        <v>8144.0928</v>
      </c>
    </row>
    <row r="18779">
      <c r="A18779" s="42">
        <f>_xlfn.XLOOKUP(83369,Trip[shape_id],Trip[shape_id],"Não encontrado")</f>
        <v/>
      </c>
      <c r="B18779" s="43" t="n">
        <v>-23.569034</v>
      </c>
      <c r="C18779" s="43" t="n">
        <v>-46.588185</v>
      </c>
      <c r="D18779" s="43" t="n">
        <v>297</v>
      </c>
      <c r="E18779" s="44" t="n">
        <v>8156.9238</v>
      </c>
    </row>
    <row r="18780">
      <c r="A18780" s="39">
        <f>_xlfn.XLOOKUP(83369,Trip[shape_id],Trip[shape_id],"Não encontrado")</f>
        <v/>
      </c>
      <c r="B18780" s="40" t="n">
        <v>-23.568893</v>
      </c>
      <c r="C18780" s="40" t="n">
        <v>-46.588339</v>
      </c>
      <c r="D18780" s="40" t="n">
        <v>298</v>
      </c>
      <c r="E18780" s="41" t="n">
        <v>8179.083</v>
      </c>
    </row>
    <row r="18781">
      <c r="A18781" s="42">
        <f>_xlfn.XLOOKUP(83369,Trip[shape_id],Trip[shape_id],"Não encontrado")</f>
        <v/>
      </c>
      <c r="B18781" s="43" t="n">
        <v>-23.568741</v>
      </c>
      <c r="C18781" s="43" t="n">
        <v>-46.588541</v>
      </c>
      <c r="D18781" s="43" t="n">
        <v>299</v>
      </c>
      <c r="E18781" s="44" t="n">
        <v>8205.703100000001</v>
      </c>
    </row>
    <row r="18782">
      <c r="A18782" s="39">
        <f>_xlfn.XLOOKUP(83369,Trip[shape_id],Trip[shape_id],"Não encontrado")</f>
        <v/>
      </c>
      <c r="B18782" s="40" t="n">
        <v>-23.56864</v>
      </c>
      <c r="C18782" s="40" t="n">
        <v>-46.588691</v>
      </c>
      <c r="D18782" s="40" t="n">
        <v>300</v>
      </c>
      <c r="E18782" s="41" t="n">
        <v>8224.666999999999</v>
      </c>
    </row>
    <row r="18783">
      <c r="A18783" s="42">
        <f>_xlfn.XLOOKUP(83369,Trip[shape_id],Trip[shape_id],"Não encontrado")</f>
        <v/>
      </c>
      <c r="B18783" s="43" t="n">
        <v>-23.568594</v>
      </c>
      <c r="C18783" s="43" t="n">
        <v>-46.588766</v>
      </c>
      <c r="D18783" s="43" t="n">
        <v>301</v>
      </c>
      <c r="E18783" s="44" t="n">
        <v>8233.864299999999</v>
      </c>
    </row>
    <row r="18784">
      <c r="A18784" s="39">
        <f>_xlfn.XLOOKUP(83369,Trip[shape_id],Trip[shape_id],"Não encontrado")</f>
        <v/>
      </c>
      <c r="B18784" s="40" t="n">
        <v>-23.568408</v>
      </c>
      <c r="C18784" s="40" t="n">
        <v>-46.589117</v>
      </c>
      <c r="D18784" s="40" t="n">
        <v>302</v>
      </c>
      <c r="E18784" s="41" t="n">
        <v>8275.1963</v>
      </c>
    </row>
    <row r="18785">
      <c r="A18785" s="42">
        <f>_xlfn.XLOOKUP(83369,Trip[shape_id],Trip[shape_id],"Não encontrado")</f>
        <v/>
      </c>
      <c r="B18785" s="43" t="n">
        <v>-23.567911</v>
      </c>
      <c r="C18785" s="43" t="n">
        <v>-46.590047</v>
      </c>
      <c r="D18785" s="43" t="n">
        <v>303</v>
      </c>
      <c r="E18785" s="44" t="n">
        <v>8384.940399999999</v>
      </c>
    </row>
    <row r="18786">
      <c r="A18786" s="39">
        <f>_xlfn.XLOOKUP(83369,Trip[shape_id],Trip[shape_id],"Não encontrado")</f>
        <v/>
      </c>
      <c r="B18786" s="40" t="n">
        <v>-23.567367</v>
      </c>
      <c r="C18786" s="40" t="n">
        <v>-46.591073</v>
      </c>
      <c r="D18786" s="40" t="n">
        <v>304</v>
      </c>
      <c r="E18786" s="41" t="n">
        <v>8505.7754</v>
      </c>
    </row>
    <row r="18787">
      <c r="A18787" s="42">
        <f>_xlfn.XLOOKUP(83369,Trip[shape_id],Trip[shape_id],"Não encontrado")</f>
        <v/>
      </c>
      <c r="B18787" s="43" t="n">
        <v>-23.567354</v>
      </c>
      <c r="C18787" s="43" t="n">
        <v>-46.591111</v>
      </c>
      <c r="D18787" s="43" t="n">
        <v>305</v>
      </c>
      <c r="E18787" s="44" t="n">
        <v>8509.9121</v>
      </c>
    </row>
    <row r="18788">
      <c r="A18788" s="39">
        <f>_xlfn.XLOOKUP(83369,Trip[shape_id],Trip[shape_id],"Não encontrado")</f>
        <v/>
      </c>
      <c r="B18788" s="40" t="n">
        <v>-23.567321</v>
      </c>
      <c r="C18788" s="40" t="n">
        <v>-46.591251</v>
      </c>
      <c r="D18788" s="40" t="n">
        <v>306</v>
      </c>
      <c r="E18788" s="41" t="n">
        <v>8545.989299999999</v>
      </c>
    </row>
    <row r="18789">
      <c r="A18789" s="42">
        <f>_xlfn.XLOOKUP(83369,Trip[shape_id],Trip[shape_id],"Não encontrado")</f>
        <v/>
      </c>
      <c r="B18789" s="43" t="n">
        <v>-23.567257</v>
      </c>
      <c r="C18789" s="43" t="n">
        <v>-46.591448</v>
      </c>
      <c r="D18789" s="43" t="n">
        <v>307</v>
      </c>
      <c r="E18789" s="44" t="n">
        <v>8549.515600000001</v>
      </c>
    </row>
    <row r="18790">
      <c r="A18790" s="39">
        <f>_xlfn.XLOOKUP(83369,Trip[shape_id],Trip[shape_id],"Não encontrado")</f>
        <v/>
      </c>
      <c r="B18790" s="40" t="n">
        <v>-23.567245</v>
      </c>
      <c r="C18790" s="40" t="n">
        <v>-46.59148</v>
      </c>
      <c r="D18790" s="40" t="n">
        <v>308</v>
      </c>
      <c r="E18790" s="41" t="n">
        <v>8560.8848</v>
      </c>
    </row>
    <row r="18791">
      <c r="A18791" s="42">
        <f>_xlfn.XLOOKUP(83369,Trip[shape_id],Trip[shape_id],"Não encontrado")</f>
        <v/>
      </c>
      <c r="B18791" s="43" t="n">
        <v>-23.567198</v>
      </c>
      <c r="C18791" s="43" t="n">
        <v>-46.591579</v>
      </c>
      <c r="D18791" s="43" t="n">
        <v>309</v>
      </c>
      <c r="E18791" s="44" t="n">
        <v>8560.8848</v>
      </c>
    </row>
    <row r="18792">
      <c r="A18792" s="39">
        <f>_xlfn.XLOOKUP(83369,Trip[shape_id],Trip[shape_id],"Não encontrado")</f>
        <v/>
      </c>
      <c r="B18792" s="40" t="n">
        <v>-23.56718</v>
      </c>
      <c r="C18792" s="40" t="n">
        <v>-46.591616</v>
      </c>
      <c r="D18792" s="40" t="n">
        <v>310</v>
      </c>
      <c r="E18792" s="41" t="n">
        <v>8575.8604</v>
      </c>
    </row>
    <row r="18793">
      <c r="A18793" s="42">
        <f>_xlfn.XLOOKUP(83369,Trip[shape_id],Trip[shape_id],"Não encontrado")</f>
        <v/>
      </c>
      <c r="B18793" s="43" t="n">
        <v>-23.567132</v>
      </c>
      <c r="C18793" s="43" t="n">
        <v>-46.591707</v>
      </c>
      <c r="D18793" s="43" t="n">
        <v>311</v>
      </c>
      <c r="E18793" s="44" t="n">
        <v>8593.206099999999</v>
      </c>
    </row>
    <row r="18794">
      <c r="A18794" s="39">
        <f>_xlfn.XLOOKUP(83369,Trip[shape_id],Trip[shape_id],"Não encontrado")</f>
        <v/>
      </c>
      <c r="B18794" s="40" t="n">
        <v>-23.567029</v>
      </c>
      <c r="C18794" s="40" t="n">
        <v>-46.591835</v>
      </c>
      <c r="D18794" s="40" t="n">
        <v>312</v>
      </c>
      <c r="E18794" s="41" t="n">
        <v>8624.526400000001</v>
      </c>
    </row>
    <row r="18795">
      <c r="A18795" s="42">
        <f>_xlfn.XLOOKUP(83369,Trip[shape_id],Trip[shape_id],"Não encontrado")</f>
        <v/>
      </c>
      <c r="B18795" s="43" t="n">
        <v>-23.566854</v>
      </c>
      <c r="C18795" s="43" t="n">
        <v>-46.592076</v>
      </c>
      <c r="D18795" s="43" t="n">
        <v>313</v>
      </c>
      <c r="E18795" s="44" t="n">
        <v>8624.526400000001</v>
      </c>
    </row>
    <row r="18796">
      <c r="A18796" s="39">
        <f>_xlfn.XLOOKUP(83369,Trip[shape_id],Trip[shape_id],"Não encontrado")</f>
        <v/>
      </c>
      <c r="B18796" s="40" t="n">
        <v>-23.566331</v>
      </c>
      <c r="C18796" s="40" t="n">
        <v>-46.593072</v>
      </c>
      <c r="D18796" s="40" t="n">
        <v>314</v>
      </c>
      <c r="E18796" s="41" t="n">
        <v>8741.5488</v>
      </c>
    </row>
    <row r="18797">
      <c r="A18797" s="42">
        <f>_xlfn.XLOOKUP(83369,Trip[shape_id],Trip[shape_id],"Não encontrado")</f>
        <v/>
      </c>
      <c r="B18797" s="43" t="n">
        <v>-23.565758</v>
      </c>
      <c r="C18797" s="43" t="n">
        <v>-46.594178</v>
      </c>
      <c r="D18797" s="43" t="n">
        <v>315</v>
      </c>
      <c r="E18797" s="44" t="n">
        <v>8871.0723</v>
      </c>
    </row>
    <row r="18798">
      <c r="A18798" s="39">
        <f>_xlfn.XLOOKUP(83369,Trip[shape_id],Trip[shape_id],"Não encontrado")</f>
        <v/>
      </c>
      <c r="B18798" s="40" t="n">
        <v>-23.565494</v>
      </c>
      <c r="C18798" s="40" t="n">
        <v>-46.594671</v>
      </c>
      <c r="D18798" s="40" t="n">
        <v>316</v>
      </c>
      <c r="E18798" s="41" t="n">
        <v>8929.2793</v>
      </c>
    </row>
    <row r="18799">
      <c r="A18799" s="42">
        <f>_xlfn.XLOOKUP(83369,Trip[shape_id],Trip[shape_id],"Não encontrado")</f>
        <v/>
      </c>
      <c r="B18799" s="43" t="n">
        <v>-23.56528</v>
      </c>
      <c r="C18799" s="43" t="n">
        <v>-46.595057</v>
      </c>
      <c r="D18799" s="43" t="n">
        <v>317</v>
      </c>
      <c r="E18799" s="44" t="n">
        <v>8975.2646</v>
      </c>
    </row>
    <row r="18800">
      <c r="A18800" s="39">
        <f>_xlfn.XLOOKUP(83369,Trip[shape_id],Trip[shape_id],"Não encontrado")</f>
        <v/>
      </c>
      <c r="B18800" s="40" t="n">
        <v>-23.565246</v>
      </c>
      <c r="C18800" s="40" t="n">
        <v>-46.595106</v>
      </c>
      <c r="D18800" s="40" t="n">
        <v>318</v>
      </c>
      <c r="E18800" s="41" t="n">
        <v>8981.526400000001</v>
      </c>
    </row>
    <row r="18801">
      <c r="A18801" s="42">
        <f>_xlfn.XLOOKUP(83369,Trip[shape_id],Trip[shape_id],"Não encontrado")</f>
        <v/>
      </c>
      <c r="B18801" s="43" t="n">
        <v>-23.565186</v>
      </c>
      <c r="C18801" s="43" t="n">
        <v>-46.595275</v>
      </c>
      <c r="D18801" s="43" t="n">
        <v>319</v>
      </c>
      <c r="E18801" s="44" t="n">
        <v>9012.487300000001</v>
      </c>
    </row>
    <row r="18802">
      <c r="A18802" s="39">
        <f>_xlfn.XLOOKUP(83369,Trip[shape_id],Trip[shape_id],"Não encontrado")</f>
        <v/>
      </c>
      <c r="B18802" s="40" t="n">
        <v>-23.565137</v>
      </c>
      <c r="C18802" s="40" t="n">
        <v>-46.595385</v>
      </c>
      <c r="D18802" s="40" t="n">
        <v>320</v>
      </c>
      <c r="E18802" s="41" t="n">
        <v>9021.623</v>
      </c>
    </row>
    <row r="18803">
      <c r="A18803" s="42">
        <f>_xlfn.XLOOKUP(83369,Trip[shape_id],Trip[shape_id],"Não encontrado")</f>
        <v/>
      </c>
      <c r="B18803" s="43" t="n">
        <v>-23.565092</v>
      </c>
      <c r="C18803" s="43" t="n">
        <v>-46.59546</v>
      </c>
      <c r="D18803" s="43" t="n">
        <v>321</v>
      </c>
      <c r="E18803" s="44" t="n">
        <v>9021.623</v>
      </c>
    </row>
    <row r="18804">
      <c r="A18804" s="39">
        <f>_xlfn.XLOOKUP(83369,Trip[shape_id],Trip[shape_id],"Não encontrado")</f>
        <v/>
      </c>
      <c r="B18804" s="40" t="n">
        <v>-23.565049</v>
      </c>
      <c r="C18804" s="40" t="n">
        <v>-46.59554</v>
      </c>
      <c r="D18804" s="40" t="n">
        <v>322</v>
      </c>
      <c r="E18804" s="41" t="n">
        <v>9045.731400000001</v>
      </c>
    </row>
    <row r="18805">
      <c r="A18805" s="42">
        <f>_xlfn.XLOOKUP(83369,Trip[shape_id],Trip[shape_id],"Não encontrado")</f>
        <v/>
      </c>
      <c r="B18805" s="43" t="n">
        <v>-23.564964</v>
      </c>
      <c r="C18805" s="43" t="n">
        <v>-46.59565</v>
      </c>
      <c r="D18805" s="43" t="n">
        <v>323</v>
      </c>
      <c r="E18805" s="44" t="n">
        <v>9066.1572</v>
      </c>
    </row>
    <row r="18806">
      <c r="A18806" s="39">
        <f>_xlfn.XLOOKUP(83369,Trip[shape_id],Trip[shape_id],"Não encontrado")</f>
        <v/>
      </c>
      <c r="B18806" s="40" t="n">
        <v>-23.564843</v>
      </c>
      <c r="C18806" s="40" t="n">
        <v>-46.595801</v>
      </c>
      <c r="D18806" s="40" t="n">
        <v>324</v>
      </c>
      <c r="E18806" s="41" t="n">
        <v>9087.2305</v>
      </c>
    </row>
    <row r="18807">
      <c r="A18807" s="42">
        <f>_xlfn.XLOOKUP(83369,Trip[shape_id],Trip[shape_id],"Não encontrado")</f>
        <v/>
      </c>
      <c r="B18807" s="43" t="n">
        <v>-23.564682</v>
      </c>
      <c r="C18807" s="43" t="n">
        <v>-46.595911</v>
      </c>
      <c r="D18807" s="43" t="n">
        <v>325</v>
      </c>
      <c r="E18807" s="44" t="n">
        <v>9087.2305</v>
      </c>
    </row>
    <row r="18808">
      <c r="A18808" s="39">
        <f>_xlfn.XLOOKUP(83369,Trip[shape_id],Trip[shape_id],"Não encontrado")</f>
        <v/>
      </c>
      <c r="B18808" s="40" t="n">
        <v>-23.564566</v>
      </c>
      <c r="C18808" s="40" t="n">
        <v>-46.596047</v>
      </c>
      <c r="D18808" s="40" t="n">
        <v>326</v>
      </c>
      <c r="E18808" s="41" t="n">
        <v>9106.147499999999</v>
      </c>
    </row>
    <row r="18809">
      <c r="A18809" s="42">
        <f>_xlfn.XLOOKUP(83369,Trip[shape_id],Trip[shape_id],"Não encontrado")</f>
        <v/>
      </c>
      <c r="B18809" s="43" t="n">
        <v>-23.564326</v>
      </c>
      <c r="C18809" s="43" t="n">
        <v>-46.596297</v>
      </c>
      <c r="D18809" s="43" t="n">
        <v>327</v>
      </c>
      <c r="E18809" s="44" t="n">
        <v>9142.997100000001</v>
      </c>
    </row>
    <row r="18810">
      <c r="A18810" s="39">
        <f>_xlfn.XLOOKUP(83369,Trip[shape_id],Trip[shape_id],"Não encontrado")</f>
        <v/>
      </c>
      <c r="B18810" s="40" t="n">
        <v>-23.564183</v>
      </c>
      <c r="C18810" s="40" t="n">
        <v>-46.596447</v>
      </c>
      <c r="D18810" s="40" t="n">
        <v>328</v>
      </c>
      <c r="E18810" s="41" t="n">
        <v>9165.0273</v>
      </c>
    </row>
    <row r="18811">
      <c r="A18811" s="42">
        <f>_xlfn.XLOOKUP(83369,Trip[shape_id],Trip[shape_id],"Não encontrado")</f>
        <v/>
      </c>
      <c r="B18811" s="43" t="n">
        <v>-23.563613</v>
      </c>
      <c r="C18811" s="43" t="n">
        <v>-46.596977</v>
      </c>
      <c r="D18811" s="43" t="n">
        <v>329</v>
      </c>
      <c r="E18811" s="44" t="n">
        <v>9248.171899999999</v>
      </c>
    </row>
    <row r="18812">
      <c r="A18812" s="39">
        <f>_xlfn.XLOOKUP(83369,Trip[shape_id],Trip[shape_id],"Não encontrado")</f>
        <v/>
      </c>
      <c r="B18812" s="40" t="n">
        <v>-23.563184</v>
      </c>
      <c r="C18812" s="40" t="n">
        <v>-46.597341</v>
      </c>
      <c r="D18812" s="40" t="n">
        <v>330</v>
      </c>
      <c r="E18812" s="41" t="n">
        <v>9308.4912</v>
      </c>
    </row>
    <row r="18813">
      <c r="A18813" s="42">
        <f>_xlfn.XLOOKUP(83369,Trip[shape_id],Trip[shape_id],"Não encontrado")</f>
        <v/>
      </c>
      <c r="B18813" s="43" t="n">
        <v>-23.562125</v>
      </c>
      <c r="C18813" s="43" t="n">
        <v>-46.598118</v>
      </c>
      <c r="D18813" s="43" t="n">
        <v>331</v>
      </c>
      <c r="E18813" s="44" t="n">
        <v>9450.084999999999</v>
      </c>
    </row>
    <row r="18814">
      <c r="A18814" s="39">
        <f>_xlfn.XLOOKUP(83369,Trip[shape_id],Trip[shape_id],"Não encontrado")</f>
        <v/>
      </c>
      <c r="B18814" s="40" t="n">
        <v>-23.562079</v>
      </c>
      <c r="C18814" s="40" t="n">
        <v>-46.598162</v>
      </c>
      <c r="D18814" s="40" t="n">
        <v>332</v>
      </c>
      <c r="E18814" s="41" t="n">
        <v>9456.877</v>
      </c>
    </row>
    <row r="18815">
      <c r="A18815" s="42">
        <f>_xlfn.XLOOKUP(83369,Trip[shape_id],Trip[shape_id],"Não encontrado")</f>
        <v/>
      </c>
      <c r="B18815" s="43" t="n">
        <v>-23.561997</v>
      </c>
      <c r="C18815" s="43" t="n">
        <v>-46.598272</v>
      </c>
      <c r="D18815" s="43" t="n">
        <v>333</v>
      </c>
      <c r="E18815" s="44" t="n">
        <v>9488.588900000001</v>
      </c>
    </row>
    <row r="18816">
      <c r="A18816" s="39">
        <f>_xlfn.XLOOKUP(83369,Trip[shape_id],Trip[shape_id],"Não encontrado")</f>
        <v/>
      </c>
      <c r="B18816" s="40" t="n">
        <v>-23.561894</v>
      </c>
      <c r="C18816" s="40" t="n">
        <v>-46.598399</v>
      </c>
      <c r="D18816" s="40" t="n">
        <v>334</v>
      </c>
      <c r="E18816" s="41" t="n">
        <v>9502.0869</v>
      </c>
    </row>
    <row r="18817">
      <c r="A18817" s="42">
        <f>_xlfn.XLOOKUP(83369,Trip[shape_id],Trip[shape_id],"Não encontrado")</f>
        <v/>
      </c>
      <c r="B18817" s="43" t="n">
        <v>-23.561793</v>
      </c>
      <c r="C18817" s="43" t="n">
        <v>-46.598473</v>
      </c>
      <c r="D18817" s="43" t="n">
        <v>335</v>
      </c>
      <c r="E18817" s="44" t="n">
        <v>9502.0869</v>
      </c>
    </row>
    <row r="18818">
      <c r="A18818" s="39">
        <f>_xlfn.XLOOKUP(83369,Trip[shape_id],Trip[shape_id],"Não encontrado")</f>
        <v/>
      </c>
      <c r="B18818" s="40" t="n">
        <v>-23.561662</v>
      </c>
      <c r="C18818" s="40" t="n">
        <v>-46.598567</v>
      </c>
      <c r="D18818" s="40" t="n">
        <v>336</v>
      </c>
      <c r="E18818" s="41" t="n">
        <v>9553.8887</v>
      </c>
    </row>
    <row r="18819">
      <c r="A18819" s="42">
        <f>_xlfn.XLOOKUP(83369,Trip[shape_id],Trip[shape_id],"Não encontrado")</f>
        <v/>
      </c>
      <c r="B18819" s="43" t="n">
        <v>-23.561375</v>
      </c>
      <c r="C18819" s="43" t="n">
        <v>-46.598696</v>
      </c>
      <c r="D18819" s="43" t="n">
        <v>337</v>
      </c>
      <c r="E18819" s="44" t="n">
        <v>9553.8887</v>
      </c>
    </row>
    <row r="18820">
      <c r="A18820" s="39">
        <f>_xlfn.XLOOKUP(83369,Trip[shape_id],Trip[shape_id],"Não encontrado")</f>
        <v/>
      </c>
      <c r="B18820" s="40" t="n">
        <v>-23.561105</v>
      </c>
      <c r="C18820" s="40" t="n">
        <v>-46.598904</v>
      </c>
      <c r="D18820" s="40" t="n">
        <v>338</v>
      </c>
      <c r="E18820" s="41" t="n">
        <v>9590.5645</v>
      </c>
    </row>
    <row r="18821">
      <c r="A18821" s="42">
        <f>_xlfn.XLOOKUP(83369,Trip[shape_id],Trip[shape_id],"Não encontrado")</f>
        <v/>
      </c>
      <c r="B18821" s="43" t="n">
        <v>-23.560308</v>
      </c>
      <c r="C18821" s="43" t="n">
        <v>-46.599523</v>
      </c>
      <c r="D18821" s="43" t="n">
        <v>339</v>
      </c>
      <c r="E18821" s="44" t="n">
        <v>9699.124</v>
      </c>
    </row>
    <row r="18822">
      <c r="A18822" s="39">
        <f>_xlfn.XLOOKUP(83369,Trip[shape_id],Trip[shape_id],"Não encontrado")</f>
        <v/>
      </c>
      <c r="B18822" s="40" t="n">
        <v>-23.560178</v>
      </c>
      <c r="C18822" s="40" t="n">
        <v>-46.599627</v>
      </c>
      <c r="D18822" s="40" t="n">
        <v>340</v>
      </c>
      <c r="E18822" s="41" t="n">
        <v>9717.0137</v>
      </c>
    </row>
    <row r="18823">
      <c r="A18823" s="42">
        <f>_xlfn.XLOOKUP(83369,Trip[shape_id],Trip[shape_id],"Não encontrado")</f>
        <v/>
      </c>
      <c r="B18823" s="43" t="n">
        <v>-23.55994</v>
      </c>
      <c r="C18823" s="43" t="n">
        <v>-46.599793</v>
      </c>
      <c r="D18823" s="43" t="n">
        <v>341</v>
      </c>
      <c r="E18823" s="44" t="n">
        <v>9748.3506</v>
      </c>
    </row>
    <row r="18824">
      <c r="A18824" s="39">
        <f>_xlfn.XLOOKUP(83369,Trip[shape_id],Trip[shape_id],"Não encontrado")</f>
        <v/>
      </c>
      <c r="B18824" s="40" t="n">
        <v>-23.559609</v>
      </c>
      <c r="C18824" s="40" t="n">
        <v>-46.599968</v>
      </c>
      <c r="D18824" s="40" t="n">
        <v>342</v>
      </c>
      <c r="E18824" s="41" t="n">
        <v>9789.131799999999</v>
      </c>
    </row>
    <row r="18825">
      <c r="A18825" s="42">
        <f>_xlfn.XLOOKUP(83369,Trip[shape_id],Trip[shape_id],"Não encontrado")</f>
        <v/>
      </c>
      <c r="B18825" s="43" t="n">
        <v>-23.559201</v>
      </c>
      <c r="C18825" s="43" t="n">
        <v>-46.600143</v>
      </c>
      <c r="D18825" s="43" t="n">
        <v>343</v>
      </c>
      <c r="E18825" s="44" t="n">
        <v>9837.7227</v>
      </c>
    </row>
    <row r="18826">
      <c r="A18826" s="39">
        <f>_xlfn.XLOOKUP(83369,Trip[shape_id],Trip[shape_id],"Não encontrado")</f>
        <v/>
      </c>
      <c r="B18826" s="40" t="n">
        <v>-23.559043</v>
      </c>
      <c r="C18826" s="40" t="n">
        <v>-46.600187</v>
      </c>
      <c r="D18826" s="40" t="n">
        <v>344</v>
      </c>
      <c r="E18826" s="41" t="n">
        <v>9855.7891</v>
      </c>
    </row>
    <row r="18827">
      <c r="A18827" s="42">
        <f>_xlfn.XLOOKUP(83369,Trip[shape_id],Trip[shape_id],"Não encontrado")</f>
        <v/>
      </c>
      <c r="B18827" s="43" t="n">
        <v>-23.558793</v>
      </c>
      <c r="C18827" s="43" t="n">
        <v>-46.600248</v>
      </c>
      <c r="D18827" s="43" t="n">
        <v>345</v>
      </c>
      <c r="E18827" s="44" t="n">
        <v>9884.168900000001</v>
      </c>
    </row>
    <row r="18828">
      <c r="A18828" s="39">
        <f>_xlfn.XLOOKUP(83369,Trip[shape_id],Trip[shape_id],"Não encontrado")</f>
        <v/>
      </c>
      <c r="B18828" s="40" t="n">
        <v>-23.558432</v>
      </c>
      <c r="C18828" s="40" t="n">
        <v>-46.600291</v>
      </c>
      <c r="D18828" s="40" t="n">
        <v>346</v>
      </c>
      <c r="E18828" s="41" t="n">
        <v>9924.390600000001</v>
      </c>
    </row>
    <row r="18829">
      <c r="A18829" s="42">
        <f>_xlfn.XLOOKUP(83369,Trip[shape_id],Trip[shape_id],"Não encontrado")</f>
        <v/>
      </c>
      <c r="B18829" s="43" t="n">
        <v>-23.558088</v>
      </c>
      <c r="C18829" s="43" t="n">
        <v>-46.600296</v>
      </c>
      <c r="D18829" s="43" t="n">
        <v>347</v>
      </c>
      <c r="E18829" s="44" t="n">
        <v>9962.493200000001</v>
      </c>
    </row>
    <row r="18830">
      <c r="A18830" s="39">
        <f>_xlfn.XLOOKUP(83369,Trip[shape_id],Trip[shape_id],"Não encontrado")</f>
        <v/>
      </c>
      <c r="B18830" s="40" t="n">
        <v>-23.557723</v>
      </c>
      <c r="C18830" s="40" t="n">
        <v>-46.60026</v>
      </c>
      <c r="D18830" s="40" t="n">
        <v>348</v>
      </c>
      <c r="E18830" s="41" t="n">
        <v>10003.084</v>
      </c>
    </row>
    <row r="18831">
      <c r="A18831" s="42">
        <f>_xlfn.XLOOKUP(83369,Trip[shape_id],Trip[shape_id],"Não encontrado")</f>
        <v/>
      </c>
      <c r="B18831" s="43" t="n">
        <v>-23.557438</v>
      </c>
      <c r="C18831" s="43" t="n">
        <v>-46.600227</v>
      </c>
      <c r="D18831" s="43" t="n">
        <v>349</v>
      </c>
      <c r="E18831" s="44" t="n">
        <v>10034.827</v>
      </c>
    </row>
    <row r="18832">
      <c r="A18832" s="39">
        <f>_xlfn.XLOOKUP(83369,Trip[shape_id],Trip[shape_id],"Não encontrado")</f>
        <v/>
      </c>
      <c r="B18832" s="40" t="n">
        <v>-23.556464</v>
      </c>
      <c r="C18832" s="40" t="n">
        <v>-46.600128</v>
      </c>
      <c r="D18832" s="40" t="n">
        <v>350</v>
      </c>
      <c r="E18832" s="41" t="n">
        <v>10143.172</v>
      </c>
    </row>
    <row r="18833">
      <c r="A18833" s="42">
        <f>_xlfn.XLOOKUP(83369,Trip[shape_id],Trip[shape_id],"Não encontrado")</f>
        <v/>
      </c>
      <c r="B18833" s="43" t="n">
        <v>-23.556028</v>
      </c>
      <c r="C18833" s="43" t="n">
        <v>-46.600085</v>
      </c>
      <c r="D18833" s="43" t="n">
        <v>351</v>
      </c>
      <c r="E18833" s="44" t="n">
        <v>10191.659</v>
      </c>
    </row>
    <row r="18834">
      <c r="A18834" s="39">
        <f>_xlfn.XLOOKUP(83369,Trip[shape_id],Trip[shape_id],"Não encontrado")</f>
        <v/>
      </c>
      <c r="B18834" s="40" t="n">
        <v>-23.555703</v>
      </c>
      <c r="C18834" s="40" t="n">
        <v>-46.600053</v>
      </c>
      <c r="D18834" s="40" t="n">
        <v>352</v>
      </c>
      <c r="E18834" s="41" t="n">
        <v>10227.802</v>
      </c>
    </row>
    <row r="18835">
      <c r="A18835" s="42">
        <f>_xlfn.XLOOKUP(83369,Trip[shape_id],Trip[shape_id],"Não encontrado")</f>
        <v/>
      </c>
      <c r="B18835" s="43" t="n">
        <v>-23.555527</v>
      </c>
      <c r="C18835" s="43" t="n">
        <v>-46.600031</v>
      </c>
      <c r="D18835" s="43" t="n">
        <v>353</v>
      </c>
      <c r="E18835" s="44" t="n">
        <v>10247.423</v>
      </c>
    </row>
    <row r="18836">
      <c r="A18836" s="39">
        <f>_xlfn.XLOOKUP(83369,Trip[shape_id],Trip[shape_id],"Não encontrado")</f>
        <v/>
      </c>
      <c r="B18836" s="40" t="n">
        <v>-23.555035</v>
      </c>
      <c r="C18836" s="40" t="n">
        <v>-46.599976</v>
      </c>
      <c r="D18836" s="40" t="n">
        <v>354</v>
      </c>
      <c r="E18836" s="41" t="n">
        <v>10302.201</v>
      </c>
    </row>
    <row r="18837">
      <c r="A18837" s="42">
        <f>_xlfn.XLOOKUP(83369,Trip[shape_id],Trip[shape_id],"Não encontrado")</f>
        <v/>
      </c>
      <c r="B18837" s="43" t="n">
        <v>-23.554923</v>
      </c>
      <c r="C18837" s="43" t="n">
        <v>-46.599969</v>
      </c>
      <c r="D18837" s="43" t="n">
        <v>355</v>
      </c>
      <c r="E18837" s="44" t="n">
        <v>10314.626</v>
      </c>
    </row>
    <row r="18838">
      <c r="A18838" s="39">
        <f>_xlfn.XLOOKUP(83369,Trip[shape_id],Trip[shape_id],"Não encontrado")</f>
        <v/>
      </c>
      <c r="B18838" s="40" t="n">
        <v>-23.554519</v>
      </c>
      <c r="C18838" s="40" t="n">
        <v>-46.599917</v>
      </c>
      <c r="D18838" s="40" t="n">
        <v>356</v>
      </c>
      <c r="E18838" s="41" t="n">
        <v>10359.684</v>
      </c>
    </row>
    <row r="18839">
      <c r="A18839" s="42">
        <f>_xlfn.XLOOKUP(83369,Trip[shape_id],Trip[shape_id],"Não encontrado")</f>
        <v/>
      </c>
      <c r="B18839" s="43" t="n">
        <v>-23.553308</v>
      </c>
      <c r="C18839" s="43" t="n">
        <v>-46.599785</v>
      </c>
      <c r="D18839" s="43" t="n">
        <v>357</v>
      </c>
      <c r="E18839" s="44" t="n">
        <v>10494.479</v>
      </c>
    </row>
    <row r="18840">
      <c r="A18840" s="39">
        <f>_xlfn.XLOOKUP(83369,Trip[shape_id],Trip[shape_id],"Não encontrado")</f>
        <v/>
      </c>
      <c r="B18840" s="40" t="n">
        <v>-23.553132</v>
      </c>
      <c r="C18840" s="40" t="n">
        <v>-46.59977</v>
      </c>
      <c r="D18840" s="40" t="n">
        <v>358</v>
      </c>
      <c r="E18840" s="41" t="n">
        <v>10514.031</v>
      </c>
    </row>
    <row r="18841">
      <c r="A18841" s="42">
        <f>_xlfn.XLOOKUP(83369,Trip[shape_id],Trip[shape_id],"Não encontrado")</f>
        <v/>
      </c>
      <c r="B18841" s="43" t="n">
        <v>-23.552845</v>
      </c>
      <c r="C18841" s="43" t="n">
        <v>-46.599757</v>
      </c>
      <c r="D18841" s="43" t="n">
        <v>359</v>
      </c>
      <c r="E18841" s="44" t="n">
        <v>10545.845</v>
      </c>
    </row>
    <row r="18842">
      <c r="A18842" s="39">
        <f>_xlfn.XLOOKUP(83369,Trip[shape_id],Trip[shape_id],"Não encontrado")</f>
        <v/>
      </c>
      <c r="B18842" s="40" t="n">
        <v>-23.552595</v>
      </c>
      <c r="C18842" s="40" t="n">
        <v>-46.599758</v>
      </c>
      <c r="D18842" s="40" t="n">
        <v>360</v>
      </c>
      <c r="E18842" s="41" t="n">
        <v>10573.533</v>
      </c>
    </row>
    <row r="18843">
      <c r="A18843" s="42">
        <f>_xlfn.XLOOKUP(83369,Trip[shape_id],Trip[shape_id],"Não encontrado")</f>
        <v/>
      </c>
      <c r="B18843" s="43" t="n">
        <v>-23.552308</v>
      </c>
      <c r="C18843" s="43" t="n">
        <v>-46.599786</v>
      </c>
      <c r="D18843" s="43" t="n">
        <v>361</v>
      </c>
      <c r="E18843" s="44" t="n">
        <v>10605.447</v>
      </c>
    </row>
    <row r="18844">
      <c r="A18844" s="39">
        <f>_xlfn.XLOOKUP(83369,Trip[shape_id],Trip[shape_id],"Não encontrado")</f>
        <v/>
      </c>
      <c r="B18844" s="40" t="n">
        <v>-23.552037</v>
      </c>
      <c r="C18844" s="40" t="n">
        <v>-46.599853</v>
      </c>
      <c r="D18844" s="40" t="n">
        <v>362</v>
      </c>
      <c r="E18844" s="41" t="n">
        <v>10636.23</v>
      </c>
    </row>
    <row r="18845">
      <c r="A18845" s="42">
        <f>_xlfn.XLOOKUP(83369,Trip[shape_id],Trip[shape_id],"Não encontrado")</f>
        <v/>
      </c>
      <c r="B18845" s="43" t="n">
        <v>-23.551723</v>
      </c>
      <c r="C18845" s="43" t="n">
        <v>-46.599974</v>
      </c>
      <c r="D18845" s="43" t="n">
        <v>363</v>
      </c>
      <c r="E18845" s="44" t="n">
        <v>10673.136</v>
      </c>
    </row>
    <row r="18846">
      <c r="A18846" s="39">
        <f>_xlfn.XLOOKUP(83369,Trip[shape_id],Trip[shape_id],"Não encontrado")</f>
        <v/>
      </c>
      <c r="B18846" s="40" t="n">
        <v>-23.551507</v>
      </c>
      <c r="C18846" s="40" t="n">
        <v>-46.600074</v>
      </c>
      <c r="D18846" s="40" t="n">
        <v>364</v>
      </c>
      <c r="E18846" s="41" t="n">
        <v>10699.146</v>
      </c>
    </row>
    <row r="18847">
      <c r="A18847" s="42">
        <f>_xlfn.XLOOKUP(83369,Trip[shape_id],Trip[shape_id],"Não encontrado")</f>
        <v/>
      </c>
      <c r="B18847" s="43" t="n">
        <v>-23.551453</v>
      </c>
      <c r="C18847" s="43" t="n">
        <v>-46.60009</v>
      </c>
      <c r="D18847" s="43" t="n">
        <v>365</v>
      </c>
      <c r="E18847" s="44" t="n">
        <v>10723.656</v>
      </c>
    </row>
    <row r="18848">
      <c r="A18848" s="39">
        <f>_xlfn.XLOOKUP(83369,Trip[shape_id],Trip[shape_id],"Não encontrado")</f>
        <v/>
      </c>
      <c r="B18848" s="40" t="n">
        <v>-23.55131</v>
      </c>
      <c r="C18848" s="40" t="n">
        <v>-46.60018</v>
      </c>
      <c r="D18848" s="40" t="n">
        <v>366</v>
      </c>
      <c r="E18848" s="41" t="n">
        <v>10764.61</v>
      </c>
    </row>
    <row r="18849">
      <c r="A18849" s="42">
        <f>_xlfn.XLOOKUP(83369,Trip[shape_id],Trip[shape_id],"Não encontrado")</f>
        <v/>
      </c>
      <c r="B18849" s="43" t="n">
        <v>-23.550999</v>
      </c>
      <c r="C18849" s="43" t="n">
        <v>-46.600397</v>
      </c>
      <c r="D18849" s="43" t="n">
        <v>367</v>
      </c>
      <c r="E18849" s="44" t="n">
        <v>10790.341</v>
      </c>
    </row>
    <row r="18850">
      <c r="A18850" s="39">
        <f>_xlfn.XLOOKUP(83369,Trip[shape_id],Trip[shape_id],"Não encontrado")</f>
        <v/>
      </c>
      <c r="B18850" s="40" t="n">
        <v>-23.550813</v>
      </c>
      <c r="C18850" s="40" t="n">
        <v>-46.600548</v>
      </c>
      <c r="D18850" s="40" t="n">
        <v>368</v>
      </c>
      <c r="E18850" s="41" t="n">
        <v>10805.884</v>
      </c>
    </row>
    <row r="18851">
      <c r="A18851" s="42">
        <f>_xlfn.XLOOKUP(83369,Trip[shape_id],Trip[shape_id],"Não encontrado")</f>
        <v/>
      </c>
      <c r="B18851" s="43" t="n">
        <v>-23.550708</v>
      </c>
      <c r="C18851" s="43" t="n">
        <v>-46.600649</v>
      </c>
      <c r="D18851" s="43" t="n">
        <v>369</v>
      </c>
      <c r="E18851" s="44" t="n">
        <v>10805.884</v>
      </c>
    </row>
    <row r="18852">
      <c r="A18852" s="39">
        <f>_xlfn.XLOOKUP(83369,Trip[shape_id],Trip[shape_id],"Não encontrado")</f>
        <v/>
      </c>
      <c r="B18852" s="40" t="n">
        <v>-23.550457</v>
      </c>
      <c r="C18852" s="40" t="n">
        <v>-46.60089</v>
      </c>
      <c r="D18852" s="40" t="n">
        <v>370</v>
      </c>
      <c r="E18852" s="41" t="n">
        <v>10874.115</v>
      </c>
    </row>
    <row r="18853">
      <c r="A18853" s="42">
        <f>_xlfn.XLOOKUP(83369,Trip[shape_id],Trip[shape_id],"Não encontrado")</f>
        <v/>
      </c>
      <c r="B18853" s="43" t="n">
        <v>-23.550258</v>
      </c>
      <c r="C18853" s="43" t="n">
        <v>-46.601105</v>
      </c>
      <c r="D18853" s="43" t="n">
        <v>371</v>
      </c>
      <c r="E18853" s="44" t="n">
        <v>10874.115</v>
      </c>
    </row>
    <row r="18854">
      <c r="A18854" s="39">
        <f>_xlfn.XLOOKUP(83369,Trip[shape_id],Trip[shape_id],"Não encontrado")</f>
        <v/>
      </c>
      <c r="B18854" s="40" t="n">
        <v>-23.550177</v>
      </c>
      <c r="C18854" s="40" t="n">
        <v>-46.601168</v>
      </c>
      <c r="D18854" s="40" t="n">
        <v>372</v>
      </c>
      <c r="E18854" s="41" t="n">
        <v>10885.153</v>
      </c>
    </row>
    <row r="18855">
      <c r="A18855" s="42">
        <f>_xlfn.XLOOKUP(83369,Trip[shape_id],Trip[shape_id],"Não encontrado")</f>
        <v/>
      </c>
      <c r="B18855" s="43" t="n">
        <v>-23.549961</v>
      </c>
      <c r="C18855" s="43" t="n">
        <v>-46.601339</v>
      </c>
      <c r="D18855" s="43" t="n">
        <v>373</v>
      </c>
      <c r="E18855" s="44" t="n">
        <v>10914.77</v>
      </c>
    </row>
    <row r="18856">
      <c r="A18856" s="39">
        <f>_xlfn.XLOOKUP(83369,Trip[shape_id],Trip[shape_id],"Não encontrado")</f>
        <v/>
      </c>
      <c r="B18856" s="40" t="n">
        <v>-23.548794</v>
      </c>
      <c r="C18856" s="40" t="n">
        <v>-46.602275</v>
      </c>
      <c r="D18856" s="40" t="n">
        <v>374</v>
      </c>
      <c r="E18856" s="41" t="n">
        <v>11075.512</v>
      </c>
    </row>
    <row r="18857">
      <c r="A18857" s="42">
        <f>_xlfn.XLOOKUP(83369,Trip[shape_id],Trip[shape_id],"Não encontrado")</f>
        <v/>
      </c>
      <c r="B18857" s="43" t="n">
        <v>-23.548624</v>
      </c>
      <c r="C18857" s="43" t="n">
        <v>-46.602427</v>
      </c>
      <c r="D18857" s="43" t="n">
        <v>375</v>
      </c>
      <c r="E18857" s="44" t="n">
        <v>11099.911</v>
      </c>
    </row>
    <row r="18858">
      <c r="A18858" s="39">
        <f>_xlfn.XLOOKUP(83369,Trip[shape_id],Trip[shape_id],"Não encontrado")</f>
        <v/>
      </c>
      <c r="B18858" s="40" t="n">
        <v>-23.548338</v>
      </c>
      <c r="C18858" s="40" t="n">
        <v>-46.602651</v>
      </c>
      <c r="D18858" s="40" t="n">
        <v>376</v>
      </c>
      <c r="E18858" s="41" t="n">
        <v>11138.98</v>
      </c>
    </row>
    <row r="18859">
      <c r="A18859" s="42">
        <f>_xlfn.XLOOKUP(83369,Trip[shape_id],Trip[shape_id],"Não encontrado")</f>
        <v/>
      </c>
      <c r="B18859" s="43" t="n">
        <v>-23.548164</v>
      </c>
      <c r="C18859" s="43" t="n">
        <v>-46.602786</v>
      </c>
      <c r="D18859" s="43" t="n">
        <v>377</v>
      </c>
      <c r="E18859" s="44" t="n">
        <v>11162.674</v>
      </c>
    </row>
    <row r="18860">
      <c r="A18860" s="39">
        <f>_xlfn.XLOOKUP(83369,Trip[shape_id],Trip[shape_id],"Não encontrado")</f>
        <v/>
      </c>
      <c r="B18860" s="40" t="n">
        <v>-23.547864</v>
      </c>
      <c r="C18860" s="40" t="n">
        <v>-46.603018</v>
      </c>
      <c r="D18860" s="40" t="n">
        <v>378</v>
      </c>
      <c r="E18860" s="41" t="n">
        <v>11203.479</v>
      </c>
    </row>
    <row r="18861">
      <c r="A18861" s="42">
        <f>_xlfn.XLOOKUP(83369,Trip[shape_id],Trip[shape_id],"Não encontrado")</f>
        <v/>
      </c>
      <c r="B18861" s="43" t="n">
        <v>-23.547282</v>
      </c>
      <c r="C18861" s="43" t="n">
        <v>-46.603479</v>
      </c>
      <c r="D18861" s="43" t="n">
        <v>379</v>
      </c>
      <c r="E18861" s="44" t="n">
        <v>11283.293</v>
      </c>
    </row>
    <row r="18862">
      <c r="A18862" s="39">
        <f>_xlfn.XLOOKUP(83369,Trip[shape_id],Trip[shape_id],"Não encontrado")</f>
        <v/>
      </c>
      <c r="B18862" s="40" t="n">
        <v>-23.545528</v>
      </c>
      <c r="C18862" s="40" t="n">
        <v>-46.604746</v>
      </c>
      <c r="D18862" s="40" t="n">
        <v>380</v>
      </c>
      <c r="E18862" s="41" t="n">
        <v>11516.686</v>
      </c>
    </row>
    <row r="18863">
      <c r="A18863" s="42">
        <f>_xlfn.XLOOKUP(83369,Trip[shape_id],Trip[shape_id],"Não encontrado")</f>
        <v/>
      </c>
      <c r="B18863" s="43" t="n">
        <v>-23.54472</v>
      </c>
      <c r="C18863" s="43" t="n">
        <v>-46.605286</v>
      </c>
      <c r="D18863" s="43" t="n">
        <v>381</v>
      </c>
      <c r="E18863" s="44" t="n">
        <v>11621.796</v>
      </c>
    </row>
    <row r="18864">
      <c r="A18864" s="39">
        <f>_xlfn.XLOOKUP(83369,Trip[shape_id],Trip[shape_id],"Não encontrado")</f>
        <v/>
      </c>
      <c r="B18864" s="40" t="n">
        <v>-23.543454</v>
      </c>
      <c r="C18864" s="40" t="n">
        <v>-46.606188</v>
      </c>
      <c r="D18864" s="40" t="n">
        <v>382</v>
      </c>
      <c r="E18864" s="41" t="n">
        <v>11789.551</v>
      </c>
    </row>
    <row r="18865">
      <c r="A18865" s="42">
        <f>_xlfn.XLOOKUP(83369,Trip[shape_id],Trip[shape_id],"Não encontrado")</f>
        <v/>
      </c>
      <c r="B18865" s="43" t="n">
        <v>-23.543148</v>
      </c>
      <c r="C18865" s="43" t="n">
        <v>-46.606314</v>
      </c>
      <c r="D18865" s="43" t="n">
        <v>383</v>
      </c>
      <c r="E18865" s="44" t="n">
        <v>11825.801</v>
      </c>
    </row>
    <row r="18866">
      <c r="A18866" s="39">
        <f>_xlfn.XLOOKUP(83369,Trip[shape_id],Trip[shape_id],"Não encontrado")</f>
        <v/>
      </c>
      <c r="B18866" s="40" t="n">
        <v>-23.543072</v>
      </c>
      <c r="C18866" s="40" t="n">
        <v>-46.606264</v>
      </c>
      <c r="D18866" s="40" t="n">
        <v>384</v>
      </c>
      <c r="E18866" s="41" t="n">
        <v>11835.646</v>
      </c>
    </row>
    <row r="18867">
      <c r="A18867" s="42">
        <f>_xlfn.XLOOKUP(83369,Trip[shape_id],Trip[shape_id],"Não encontrado")</f>
        <v/>
      </c>
      <c r="B18867" s="43" t="n">
        <v>-23.543038</v>
      </c>
      <c r="C18867" s="43" t="n">
        <v>-46.606223</v>
      </c>
      <c r="D18867" s="43" t="n">
        <v>385</v>
      </c>
      <c r="E18867" s="44" t="n">
        <v>11864.501</v>
      </c>
    </row>
    <row r="18868">
      <c r="A18868" s="39">
        <f>_xlfn.XLOOKUP(83369,Trip[shape_id],Trip[shape_id],"Não encontrado")</f>
        <v/>
      </c>
      <c r="B18868" s="40" t="n">
        <v>-23.542962</v>
      </c>
      <c r="C18868" s="40" t="n">
        <v>-46.606011</v>
      </c>
      <c r="D18868" s="40" t="n">
        <v>386</v>
      </c>
      <c r="E18868" s="41" t="n">
        <v>11889.363</v>
      </c>
    </row>
    <row r="18869">
      <c r="A18869" s="42">
        <f>_xlfn.XLOOKUP(83369,Trip[shape_id],Trip[shape_id],"Não encontrado")</f>
        <v/>
      </c>
      <c r="B18869" s="43" t="n">
        <v>-23.542874</v>
      </c>
      <c r="C18869" s="43" t="n">
        <v>-46.605787</v>
      </c>
      <c r="D18869" s="43" t="n">
        <v>387</v>
      </c>
      <c r="E18869" s="44" t="n">
        <v>11889.363</v>
      </c>
    </row>
    <row r="18870">
      <c r="A18870" s="39">
        <f>_xlfn.XLOOKUP(83369,Trip[shape_id],Trip[shape_id],"Não encontrado")</f>
        <v/>
      </c>
      <c r="B18870" s="40" t="n">
        <v>-23.542673</v>
      </c>
      <c r="C18870" s="40" t="n">
        <v>-46.606016</v>
      </c>
      <c r="D18870" s="40" t="n">
        <v>388</v>
      </c>
      <c r="E18870" s="41" t="n">
        <v>11921.648</v>
      </c>
    </row>
    <row r="18871">
      <c r="A18871" s="42">
        <f>_xlfn.XLOOKUP(83369,Trip[shape_id],Trip[shape_id],"Não encontrado")</f>
        <v/>
      </c>
      <c r="B18871" s="43" t="n">
        <v>-23.542196</v>
      </c>
      <c r="C18871" s="43" t="n">
        <v>-46.606101</v>
      </c>
      <c r="D18871" s="43" t="n">
        <v>389</v>
      </c>
      <c r="E18871" s="44" t="n">
        <v>11975.186</v>
      </c>
    </row>
    <row r="18872">
      <c r="A18872" s="39">
        <f>_xlfn.XLOOKUP(83369,Trip[shape_id],Trip[shape_id],"Não encontrado")</f>
        <v/>
      </c>
      <c r="B18872" s="40" t="n">
        <v>-23.541245</v>
      </c>
      <c r="C18872" s="40" t="n">
        <v>-46.606265</v>
      </c>
      <c r="D18872" s="40" t="n">
        <v>390</v>
      </c>
      <c r="E18872" s="41" t="n">
        <v>12081.833</v>
      </c>
    </row>
    <row r="18873">
      <c r="A18873" s="42">
        <f>_xlfn.XLOOKUP(83369,Trip[shape_id],Trip[shape_id],"Não encontrado")</f>
        <v/>
      </c>
      <c r="B18873" s="43" t="n">
        <v>-23.540392</v>
      </c>
      <c r="C18873" s="43" t="n">
        <v>-46.606414</v>
      </c>
      <c r="D18873" s="43" t="n">
        <v>391</v>
      </c>
      <c r="E18873" s="44" t="n">
        <v>12177.521</v>
      </c>
    </row>
    <row r="18874">
      <c r="A18874" s="39">
        <f>_xlfn.XLOOKUP(83369,Trip[shape_id],Trip[shape_id],"Não encontrado")</f>
        <v/>
      </c>
      <c r="B18874" s="40" t="n">
        <v>-23.539823</v>
      </c>
      <c r="C18874" s="40" t="n">
        <v>-46.606511</v>
      </c>
      <c r="D18874" s="40" t="n">
        <v>392</v>
      </c>
      <c r="E18874" s="41" t="n">
        <v>12241.313</v>
      </c>
    </row>
    <row r="18875">
      <c r="A18875" s="42">
        <f>_xlfn.XLOOKUP(83369,Trip[shape_id],Trip[shape_id],"Não encontrado")</f>
        <v/>
      </c>
      <c r="B18875" s="43" t="n">
        <v>-23.538992</v>
      </c>
      <c r="C18875" s="43" t="n">
        <v>-46.606666</v>
      </c>
      <c r="D18875" s="43" t="n">
        <v>393</v>
      </c>
      <c r="E18875" s="44" t="n">
        <v>12334.698</v>
      </c>
    </row>
    <row r="18876">
      <c r="A18876" s="39">
        <f>_xlfn.XLOOKUP(83369,Trip[shape_id],Trip[shape_id],"Não encontrado")</f>
        <v/>
      </c>
      <c r="B18876" s="40" t="n">
        <v>-23.537854</v>
      </c>
      <c r="C18876" s="40" t="n">
        <v>-46.607014</v>
      </c>
      <c r="D18876" s="40" t="n">
        <v>394</v>
      </c>
      <c r="E18876" s="41" t="n">
        <v>12465.647</v>
      </c>
    </row>
    <row r="18877">
      <c r="A18877" s="42">
        <f>_xlfn.XLOOKUP(83369,Trip[shape_id],Trip[shape_id],"Não encontrado")</f>
        <v/>
      </c>
      <c r="B18877" s="43" t="n">
        <v>-23.53663</v>
      </c>
      <c r="C18877" s="43" t="n">
        <v>-46.607393</v>
      </c>
      <c r="D18877" s="43" t="n">
        <v>395</v>
      </c>
      <c r="E18877" s="44" t="n">
        <v>12606.623</v>
      </c>
    </row>
    <row r="18878">
      <c r="A18878" s="39">
        <f>_xlfn.XLOOKUP(83369,Trip[shape_id],Trip[shape_id],"Não encontrado")</f>
        <v/>
      </c>
      <c r="B18878" s="40" t="n">
        <v>-23.536605</v>
      </c>
      <c r="C18878" s="40" t="n">
        <v>-46.607409</v>
      </c>
      <c r="D18878" s="40" t="n">
        <v>396</v>
      </c>
      <c r="E18878" s="41" t="n">
        <v>12609.839</v>
      </c>
    </row>
    <row r="18879">
      <c r="A18879" s="42">
        <f>_xlfn.XLOOKUP(83369,Trip[shape_id],Trip[shape_id],"Não encontrado")</f>
        <v/>
      </c>
      <c r="B18879" s="43" t="n">
        <v>-23.536576</v>
      </c>
      <c r="C18879" s="43" t="n">
        <v>-46.60741</v>
      </c>
      <c r="D18879" s="43" t="n">
        <v>397</v>
      </c>
      <c r="E18879" s="44" t="n">
        <v>12613.053</v>
      </c>
    </row>
    <row r="18880">
      <c r="A18880" s="39">
        <f>_xlfn.XLOOKUP(83369,Trip[shape_id],Trip[shape_id],"Não encontrado")</f>
        <v/>
      </c>
      <c r="B18880" s="40" t="n">
        <v>-23.536296</v>
      </c>
      <c r="C18880" s="40" t="n">
        <v>-46.607497</v>
      </c>
      <c r="D18880" s="40" t="n">
        <v>398</v>
      </c>
      <c r="E18880" s="41" t="n">
        <v>12645.311</v>
      </c>
    </row>
    <row r="18881">
      <c r="A18881" s="42">
        <f>_xlfn.XLOOKUP(83369,Trip[shape_id],Trip[shape_id],"Não encontrado")</f>
        <v/>
      </c>
      <c r="B18881" s="43" t="n">
        <v>-23.53611</v>
      </c>
      <c r="C18881" s="43" t="n">
        <v>-46.607553</v>
      </c>
      <c r="D18881" s="43" t="n">
        <v>399</v>
      </c>
      <c r="E18881" s="44" t="n">
        <v>12666.689</v>
      </c>
    </row>
    <row r="18882">
      <c r="A18882" s="39">
        <f>_xlfn.XLOOKUP(83369,Trip[shape_id],Trip[shape_id],"Não encontrado")</f>
        <v/>
      </c>
      <c r="B18882" s="40" t="n">
        <v>-23.535776</v>
      </c>
      <c r="C18882" s="40" t="n">
        <v>-46.607938</v>
      </c>
      <c r="D18882" s="40" t="n">
        <v>400</v>
      </c>
      <c r="E18882" s="41" t="n">
        <v>12720.67</v>
      </c>
    </row>
    <row r="18883">
      <c r="A18883" s="42">
        <f>_xlfn.XLOOKUP(83369,Trip[shape_id],Trip[shape_id],"Não encontrado")</f>
        <v/>
      </c>
      <c r="B18883" s="43" t="n">
        <v>-23.535211</v>
      </c>
      <c r="C18883" s="43" t="n">
        <v>-46.608595</v>
      </c>
      <c r="D18883" s="43" t="n">
        <v>401</v>
      </c>
      <c r="E18883" s="44" t="n">
        <v>12812.411</v>
      </c>
    </row>
    <row r="18884">
      <c r="A18884" s="39">
        <f>_xlfn.XLOOKUP(83369,Trip[shape_id],Trip[shape_id],"Não encontrado")</f>
        <v/>
      </c>
      <c r="B18884" s="40" t="n">
        <v>-23.534651</v>
      </c>
      <c r="C18884" s="40" t="n">
        <v>-46.609247</v>
      </c>
      <c r="D18884" s="40" t="n">
        <v>402</v>
      </c>
      <c r="E18884" s="41" t="n">
        <v>12903.401</v>
      </c>
    </row>
    <row r="18885">
      <c r="A18885" s="42">
        <f>_xlfn.XLOOKUP(83369,Trip[shape_id],Trip[shape_id],"Não encontrado")</f>
        <v/>
      </c>
      <c r="B18885" s="43" t="n">
        <v>-23.534058</v>
      </c>
      <c r="C18885" s="43" t="n">
        <v>-46.609935</v>
      </c>
      <c r="D18885" s="43" t="n">
        <v>403</v>
      </c>
      <c r="E18885" s="44" t="n">
        <v>12999.573</v>
      </c>
    </row>
    <row r="18886">
      <c r="A18886" s="39">
        <f>_xlfn.XLOOKUP(83369,Trip[shape_id],Trip[shape_id],"Não encontrado")</f>
        <v/>
      </c>
      <c r="B18886" s="40" t="n">
        <v>-23.533339</v>
      </c>
      <c r="C18886" s="40" t="n">
        <v>-46.610771</v>
      </c>
      <c r="D18886" s="40" t="n">
        <v>404</v>
      </c>
      <c r="E18886" s="41" t="n">
        <v>13116.315</v>
      </c>
    </row>
    <row r="18887">
      <c r="A18887" s="42">
        <f>_xlfn.XLOOKUP(83369,Trip[shape_id],Trip[shape_id],"Não encontrado")</f>
        <v/>
      </c>
      <c r="B18887" s="43" t="n">
        <v>-23.532626</v>
      </c>
      <c r="C18887" s="43" t="n">
        <v>-46.611587</v>
      </c>
      <c r="D18887" s="43" t="n">
        <v>405</v>
      </c>
      <c r="E18887" s="44" t="n">
        <v>13231.114</v>
      </c>
    </row>
    <row r="18888">
      <c r="A18888" s="39">
        <f>_xlfn.XLOOKUP(83369,Trip[shape_id],Trip[shape_id],"Não encontrado")</f>
        <v/>
      </c>
      <c r="B18888" s="40" t="n">
        <v>-23.532448</v>
      </c>
      <c r="C18888" s="40" t="n">
        <v>-46.611804</v>
      </c>
      <c r="D18888" s="40" t="n">
        <v>406</v>
      </c>
      <c r="E18888" s="41" t="n">
        <v>13260.773</v>
      </c>
    </row>
    <row r="18889">
      <c r="A18889" s="42">
        <f>_xlfn.XLOOKUP(83369,Trip[shape_id],Trip[shape_id],"Não encontrado")</f>
        <v/>
      </c>
      <c r="B18889" s="43" t="n">
        <v>-23.531912</v>
      </c>
      <c r="C18889" s="43" t="n">
        <v>-46.612427</v>
      </c>
      <c r="D18889" s="43" t="n">
        <v>407</v>
      </c>
      <c r="E18889" s="44" t="n">
        <v>13347.786</v>
      </c>
    </row>
    <row r="18890">
      <c r="A18890" s="39">
        <f>_xlfn.XLOOKUP(83369,Trip[shape_id],Trip[shape_id],"Não encontrado")</f>
        <v/>
      </c>
      <c r="B18890" s="40" t="n">
        <v>-23.53232</v>
      </c>
      <c r="C18890" s="40" t="n">
        <v>-46.612839</v>
      </c>
      <c r="D18890" s="40" t="n">
        <v>408</v>
      </c>
      <c r="E18890" s="41" t="n">
        <v>13409.526</v>
      </c>
    </row>
    <row r="18891">
      <c r="A18891" s="42">
        <f>_xlfn.XLOOKUP(83369,Trip[shape_id],Trip[shape_id],"Não encontrado")</f>
        <v/>
      </c>
      <c r="B18891" s="43" t="n">
        <v>-23.532471</v>
      </c>
      <c r="C18891" s="43" t="n">
        <v>-46.61299</v>
      </c>
      <c r="D18891" s="43" t="n">
        <v>409</v>
      </c>
      <c r="E18891" s="44" t="n">
        <v>13432.273</v>
      </c>
    </row>
    <row r="18892">
      <c r="A18892" s="39">
        <f>_xlfn.XLOOKUP(83369,Trip[shape_id],Trip[shape_id],"Não encontrado")</f>
        <v/>
      </c>
      <c r="B18892" s="40" t="n">
        <v>-23.532606</v>
      </c>
      <c r="C18892" s="40" t="n">
        <v>-46.613125</v>
      </c>
      <c r="D18892" s="40" t="n">
        <v>410</v>
      </c>
      <c r="E18892" s="41" t="n">
        <v>13452.61</v>
      </c>
    </row>
    <row r="18893">
      <c r="A18893" s="42">
        <f>_xlfn.XLOOKUP(83369,Trip[shape_id],Trip[shape_id],"Não encontrado")</f>
        <v/>
      </c>
      <c r="B18893" s="43" t="n">
        <v>-23.532916</v>
      </c>
      <c r="C18893" s="43" t="n">
        <v>-46.613439</v>
      </c>
      <c r="D18893" s="43" t="n">
        <v>411</v>
      </c>
      <c r="E18893" s="44" t="n">
        <v>13499.588</v>
      </c>
    </row>
    <row r="18894">
      <c r="A18894" s="39">
        <f>_xlfn.XLOOKUP(83369,Trip[shape_id],Trip[shape_id],"Não encontrado")</f>
        <v/>
      </c>
      <c r="B18894" s="40" t="n">
        <v>-23.533346</v>
      </c>
      <c r="C18894" s="40" t="n">
        <v>-46.61387</v>
      </c>
      <c r="D18894" s="40" t="n">
        <v>412</v>
      </c>
      <c r="E18894" s="41" t="n">
        <v>13564.434</v>
      </c>
    </row>
    <row r="18895">
      <c r="A18895" s="42">
        <f>_xlfn.XLOOKUP(83369,Trip[shape_id],Trip[shape_id],"Não encontrado")</f>
        <v/>
      </c>
      <c r="B18895" s="43" t="n">
        <v>-23.534093</v>
      </c>
      <c r="C18895" s="43" t="n">
        <v>-46.614621</v>
      </c>
      <c r="D18895" s="43" t="n">
        <v>413</v>
      </c>
      <c r="E18895" s="44" t="n">
        <v>13677.241</v>
      </c>
    </row>
    <row r="18896">
      <c r="A18896" s="39">
        <f>_xlfn.XLOOKUP(83369,Trip[shape_id],Trip[shape_id],"Não encontrado")</f>
        <v/>
      </c>
      <c r="B18896" s="40" t="n">
        <v>-23.534158</v>
      </c>
      <c r="C18896" s="40" t="n">
        <v>-46.614665</v>
      </c>
      <c r="D18896" s="40" t="n">
        <v>414</v>
      </c>
      <c r="E18896" s="41" t="n">
        <v>13685.727</v>
      </c>
    </row>
    <row r="18897">
      <c r="A18897" s="42">
        <f>_xlfn.XLOOKUP(83369,Trip[shape_id],Trip[shape_id],"Não encontrado")</f>
        <v/>
      </c>
      <c r="B18897" s="43" t="n">
        <v>-23.534181</v>
      </c>
      <c r="C18897" s="43" t="n">
        <v>-46.614709</v>
      </c>
      <c r="D18897" s="43" t="n">
        <v>415</v>
      </c>
      <c r="E18897" s="44" t="n">
        <v>13690.892</v>
      </c>
    </row>
    <row r="18898">
      <c r="A18898" s="39">
        <f>_xlfn.XLOOKUP(83369,Trip[shape_id],Trip[shape_id],"Não encontrado")</f>
        <v/>
      </c>
      <c r="B18898" s="40" t="n">
        <v>-23.5343</v>
      </c>
      <c r="C18898" s="40" t="n">
        <v>-46.614828</v>
      </c>
      <c r="D18898" s="40" t="n">
        <v>416</v>
      </c>
      <c r="E18898" s="41" t="n">
        <v>13708.818</v>
      </c>
    </row>
    <row r="18899">
      <c r="A18899" s="42">
        <f>_xlfn.XLOOKUP(83369,Trip[shape_id],Trip[shape_id],"Não encontrado")</f>
        <v/>
      </c>
      <c r="B18899" s="43" t="n">
        <v>-23.534806</v>
      </c>
      <c r="C18899" s="43" t="n">
        <v>-46.615337</v>
      </c>
      <c r="D18899" s="43" t="n">
        <v>417</v>
      </c>
      <c r="E18899" s="44" t="n">
        <v>13785.252</v>
      </c>
    </row>
    <row r="18900">
      <c r="A18900" s="39">
        <f>_xlfn.XLOOKUP(83369,Trip[shape_id],Trip[shape_id],"Não encontrado")</f>
        <v/>
      </c>
      <c r="B18900" s="40" t="n">
        <v>-23.534982</v>
      </c>
      <c r="C18900" s="40" t="n">
        <v>-46.61552</v>
      </c>
      <c r="D18900" s="40" t="n">
        <v>418</v>
      </c>
      <c r="E18900" s="41" t="n">
        <v>13812.255</v>
      </c>
    </row>
    <row r="18901">
      <c r="A18901" s="42">
        <f>_xlfn.XLOOKUP(83369,Trip[shape_id],Trip[shape_id],"Não encontrado")</f>
        <v/>
      </c>
      <c r="B18901" s="43" t="n">
        <v>-23.53539</v>
      </c>
      <c r="C18901" s="43" t="n">
        <v>-46.615919</v>
      </c>
      <c r="D18901" s="43" t="n">
        <v>419</v>
      </c>
      <c r="E18901" s="44" t="n">
        <v>13873.098</v>
      </c>
    </row>
    <row r="18902">
      <c r="A18902" s="39">
        <f>_xlfn.XLOOKUP(83369,Trip[shape_id],Trip[shape_id],"Não encontrado")</f>
        <v/>
      </c>
      <c r="B18902" s="40" t="n">
        <v>-23.535452</v>
      </c>
      <c r="C18902" s="40" t="n">
        <v>-46.615944</v>
      </c>
      <c r="D18902" s="40" t="n">
        <v>420</v>
      </c>
      <c r="E18902" s="41" t="n">
        <v>13880.423</v>
      </c>
    </row>
    <row r="18903">
      <c r="A18903" s="42">
        <f>_xlfn.XLOOKUP(83369,Trip[shape_id],Trip[shape_id],"Não encontrado")</f>
        <v/>
      </c>
      <c r="B18903" s="43" t="n">
        <v>-23.535473</v>
      </c>
      <c r="C18903" s="43" t="n">
        <v>-46.616003</v>
      </c>
      <c r="D18903" s="43" t="n">
        <v>421</v>
      </c>
      <c r="E18903" s="44" t="n">
        <v>13886.881</v>
      </c>
    </row>
    <row r="18904">
      <c r="A18904" s="39">
        <f>_xlfn.XLOOKUP(83369,Trip[shape_id],Trip[shape_id],"Não encontrado")</f>
        <v/>
      </c>
      <c r="B18904" s="40" t="n">
        <v>-23.535584</v>
      </c>
      <c r="C18904" s="40" t="n">
        <v>-46.616111</v>
      </c>
      <c r="D18904" s="40" t="n">
        <v>422</v>
      </c>
      <c r="E18904" s="41" t="n">
        <v>13903.396</v>
      </c>
    </row>
    <row r="18905">
      <c r="A18905" s="42">
        <f>_xlfn.XLOOKUP(83369,Trip[shape_id],Trip[shape_id],"Não encontrado")</f>
        <v/>
      </c>
      <c r="B18905" s="43" t="n">
        <v>-23.535547</v>
      </c>
      <c r="C18905" s="43" t="n">
        <v>-46.616751</v>
      </c>
      <c r="D18905" s="43" t="n">
        <v>423</v>
      </c>
      <c r="E18905" s="44" t="n">
        <v>13968.878</v>
      </c>
    </row>
    <row r="18906">
      <c r="A18906" s="39">
        <f>_xlfn.XLOOKUP(83369,Trip[shape_id],Trip[shape_id],"Não encontrado")</f>
        <v/>
      </c>
      <c r="B18906" s="40" t="n">
        <v>-23.535468</v>
      </c>
      <c r="C18906" s="40" t="n">
        <v>-46.617803</v>
      </c>
      <c r="D18906" s="40" t="n">
        <v>424</v>
      </c>
      <c r="E18906" s="41" t="n">
        <v>14076.657</v>
      </c>
    </row>
    <row r="18907">
      <c r="A18907" s="42">
        <f>_xlfn.XLOOKUP(83369,Trip[shape_id],Trip[shape_id],"Não encontrado")</f>
        <v/>
      </c>
      <c r="B18907" s="43" t="n">
        <v>-23.535377</v>
      </c>
      <c r="C18907" s="43" t="n">
        <v>-46.618966</v>
      </c>
      <c r="D18907" s="43" t="n">
        <v>425</v>
      </c>
      <c r="E18907" s="44" t="n">
        <v>14195.843</v>
      </c>
    </row>
    <row r="18908">
      <c r="A18908" s="39">
        <f>_xlfn.XLOOKUP(83369,Trip[shape_id],Trip[shape_id],"Não encontrado")</f>
        <v/>
      </c>
      <c r="B18908" s="40" t="n">
        <v>-23.535324</v>
      </c>
      <c r="C18908" s="40" t="n">
        <v>-46.619617</v>
      </c>
      <c r="D18908" s="40" t="n">
        <v>426</v>
      </c>
      <c r="E18908" s="41" t="n">
        <v>14262.577</v>
      </c>
    </row>
    <row r="18909">
      <c r="A18909" s="42">
        <f>_xlfn.XLOOKUP(83369,Trip[shape_id],Trip[shape_id],"Não encontrado")</f>
        <v/>
      </c>
      <c r="B18909" s="43" t="n">
        <v>-23.535258</v>
      </c>
      <c r="C18909" s="43" t="n">
        <v>-46.620438</v>
      </c>
      <c r="D18909" s="43" t="n">
        <v>427</v>
      </c>
      <c r="E18909" s="44" t="n">
        <v>14346.73</v>
      </c>
    </row>
    <row r="18910">
      <c r="A18910" s="39">
        <f>_xlfn.XLOOKUP(83369,Trip[shape_id],Trip[shape_id],"Não encontrado")</f>
        <v/>
      </c>
      <c r="B18910" s="40" t="n">
        <v>-23.535209</v>
      </c>
      <c r="C18910" s="40" t="n">
        <v>-46.620864</v>
      </c>
      <c r="D18910" s="40" t="n">
        <v>428</v>
      </c>
      <c r="E18910" s="41" t="n">
        <v>14390.568</v>
      </c>
    </row>
    <row r="18911">
      <c r="A18911" s="42">
        <f>_xlfn.XLOOKUP(83369,Trip[shape_id],Trip[shape_id],"Não encontrado")</f>
        <v/>
      </c>
      <c r="B18911" s="43" t="n">
        <v>-23.535145</v>
      </c>
      <c r="C18911" s="43" t="n">
        <v>-46.621403</v>
      </c>
      <c r="D18911" s="43" t="n">
        <v>429</v>
      </c>
      <c r="E18911" s="44" t="n">
        <v>14446.063</v>
      </c>
    </row>
    <row r="18912">
      <c r="A18912" s="39">
        <f>_xlfn.XLOOKUP(83369,Trip[shape_id],Trip[shape_id],"Não encontrado")</f>
        <v/>
      </c>
      <c r="B18912" s="40" t="n">
        <v>-23.535035</v>
      </c>
      <c r="C18912" s="40" t="n">
        <v>-46.622318</v>
      </c>
      <c r="D18912" s="40" t="n">
        <v>430</v>
      </c>
      <c r="E18912" s="41" t="n">
        <v>14540.288</v>
      </c>
    </row>
    <row r="18913">
      <c r="A18913" s="42">
        <f>_xlfn.XLOOKUP(83369,Trip[shape_id],Trip[shape_id],"Não encontrado")</f>
        <v/>
      </c>
      <c r="B18913" s="43" t="n">
        <v>-23.535033</v>
      </c>
      <c r="C18913" s="43" t="n">
        <v>-46.622364</v>
      </c>
      <c r="D18913" s="43" t="n">
        <v>431</v>
      </c>
      <c r="E18913" s="44" t="n">
        <v>14544.99</v>
      </c>
    </row>
    <row r="18914">
      <c r="A18914" s="39">
        <f>_xlfn.XLOOKUP(83369,Trip[shape_id],Trip[shape_id],"Não encontrado")</f>
        <v/>
      </c>
      <c r="B18914" s="40" t="n">
        <v>-23.534766</v>
      </c>
      <c r="C18914" s="40" t="n">
        <v>-46.623384</v>
      </c>
      <c r="D18914" s="40" t="n">
        <v>432</v>
      </c>
      <c r="E18914" s="41" t="n">
        <v>14653.263</v>
      </c>
    </row>
    <row r="18915">
      <c r="A18915" s="42">
        <f>_xlfn.XLOOKUP(83369,Trip[shape_id],Trip[shape_id],"Não encontrado")</f>
        <v/>
      </c>
      <c r="B18915" s="43" t="n">
        <v>-23.534516</v>
      </c>
      <c r="C18915" s="43" t="n">
        <v>-46.624361</v>
      </c>
      <c r="D18915" s="43" t="n">
        <v>433</v>
      </c>
      <c r="E18915" s="44" t="n">
        <v>14756.799</v>
      </c>
    </row>
    <row r="18916">
      <c r="A18916" s="39">
        <f>_xlfn.XLOOKUP(83369,Trip[shape_id],Trip[shape_id],"Não encontrado")</f>
        <v/>
      </c>
      <c r="B18916" s="40" t="n">
        <v>-23.534459</v>
      </c>
      <c r="C18916" s="40" t="n">
        <v>-46.624573</v>
      </c>
      <c r="D18916" s="40" t="n">
        <v>434</v>
      </c>
      <c r="E18916" s="41" t="n">
        <v>14779.349</v>
      </c>
    </row>
    <row r="18917">
      <c r="A18917" s="42">
        <f>_xlfn.XLOOKUP(83369,Trip[shape_id],Trip[shape_id],"Não encontrado")</f>
        <v/>
      </c>
      <c r="B18917" s="43" t="n">
        <v>-23.534344</v>
      </c>
      <c r="C18917" s="43" t="n">
        <v>-46.625008</v>
      </c>
      <c r="D18917" s="43" t="n">
        <v>435</v>
      </c>
      <c r="E18917" s="44" t="n">
        <v>14825.559</v>
      </c>
    </row>
    <row r="18918">
      <c r="A18918" s="39">
        <f>_xlfn.XLOOKUP(83369,Trip[shape_id],Trip[shape_id],"Não encontrado")</f>
        <v/>
      </c>
      <c r="B18918" s="40" t="n">
        <v>-23.534105</v>
      </c>
      <c r="C18918" s="40" t="n">
        <v>-46.625431</v>
      </c>
      <c r="D18918" s="40" t="n">
        <v>436</v>
      </c>
      <c r="E18918" s="41" t="n">
        <v>14876.218</v>
      </c>
    </row>
    <row r="18919">
      <c r="A18919" s="42">
        <f>_xlfn.XLOOKUP(83369,Trip[shape_id],Trip[shape_id],"Não encontrado")</f>
        <v/>
      </c>
      <c r="B18919" s="43" t="n">
        <v>-23.533928</v>
      </c>
      <c r="C18919" s="43" t="n">
        <v>-46.626127</v>
      </c>
      <c r="D18919" s="43" t="n">
        <v>437</v>
      </c>
      <c r="E18919" s="44" t="n">
        <v>14949.943</v>
      </c>
    </row>
    <row r="18920">
      <c r="A18920" s="39">
        <f>_xlfn.XLOOKUP(83369,Trip[shape_id],Trip[shape_id],"Não encontrado")</f>
        <v/>
      </c>
      <c r="B18920" s="40" t="n">
        <v>-23.533782</v>
      </c>
      <c r="C18920" s="40" t="n">
        <v>-46.626686</v>
      </c>
      <c r="D18920" s="40" t="n">
        <v>438</v>
      </c>
      <c r="E18920" s="41" t="n">
        <v>15009.271</v>
      </c>
    </row>
    <row r="18921">
      <c r="A18921" s="42">
        <f>_xlfn.XLOOKUP(83369,Trip[shape_id],Trip[shape_id],"Não encontrado")</f>
        <v/>
      </c>
      <c r="B18921" s="43" t="n">
        <v>-23.533449</v>
      </c>
      <c r="C18921" s="43" t="n">
        <v>-46.628017</v>
      </c>
      <c r="D18921" s="43" t="n">
        <v>439</v>
      </c>
      <c r="E18921" s="44" t="n">
        <v>15150.102</v>
      </c>
    </row>
    <row r="18922">
      <c r="A18922" s="39">
        <f>_xlfn.XLOOKUP(83369,Trip[shape_id],Trip[shape_id],"Não encontrado")</f>
        <v/>
      </c>
      <c r="B18922" s="40" t="n">
        <v>-23.533304</v>
      </c>
      <c r="C18922" s="40" t="n">
        <v>-46.628564</v>
      </c>
      <c r="D18922" s="40" t="n">
        <v>440</v>
      </c>
      <c r="E18922" s="41" t="n">
        <v>15208.222</v>
      </c>
    </row>
    <row r="18923">
      <c r="A18923" s="42">
        <f>_xlfn.XLOOKUP(83369,Trip[shape_id],Trip[shape_id],"Não encontrado")</f>
        <v/>
      </c>
      <c r="B18923" s="43" t="n">
        <v>-23.533101</v>
      </c>
      <c r="C18923" s="43" t="n">
        <v>-46.629342</v>
      </c>
      <c r="D18923" s="43" t="n">
        <v>441</v>
      </c>
      <c r="E18923" s="44" t="n">
        <v>15290.787</v>
      </c>
    </row>
    <row r="18924">
      <c r="A18924" s="39">
        <f>_xlfn.XLOOKUP(83369,Trip[shape_id],Trip[shape_id],"Não encontrado")</f>
        <v/>
      </c>
      <c r="B18924" s="40" t="n">
        <v>-23.533136</v>
      </c>
      <c r="C18924" s="40" t="n">
        <v>-46.629562</v>
      </c>
      <c r="D18924" s="40" t="n">
        <v>442</v>
      </c>
      <c r="E18924" s="41" t="n">
        <v>15313.585</v>
      </c>
    </row>
    <row r="18925">
      <c r="A18925" s="42">
        <f>_xlfn.XLOOKUP(83369,Trip[shape_id],Trip[shape_id],"Não encontrado")</f>
        <v/>
      </c>
      <c r="B18925" s="43" t="n">
        <v>-23.533157</v>
      </c>
      <c r="C18925" s="43" t="n">
        <v>-46.629794</v>
      </c>
      <c r="D18925" s="43" t="n">
        <v>443</v>
      </c>
      <c r="E18925" s="44" t="n">
        <v>15337.39</v>
      </c>
    </row>
    <row r="18926">
      <c r="A18926" s="39">
        <f>_xlfn.XLOOKUP(83369,Trip[shape_id],Trip[shape_id],"Não encontrado")</f>
        <v/>
      </c>
      <c r="B18926" s="40" t="n">
        <v>-23.533134</v>
      </c>
      <c r="C18926" s="40" t="n">
        <v>-46.629885</v>
      </c>
      <c r="D18926" s="40" t="n">
        <v>444</v>
      </c>
      <c r="E18926" s="41" t="n">
        <v>15347.025</v>
      </c>
    </row>
    <row r="18927">
      <c r="A18927" s="42">
        <f>_xlfn.XLOOKUP(83369,Trip[shape_id],Trip[shape_id],"Não encontrado")</f>
        <v/>
      </c>
      <c r="B18927" s="43" t="n">
        <v>-23.532995</v>
      </c>
      <c r="C18927" s="43" t="n">
        <v>-46.630462</v>
      </c>
      <c r="D18927" s="43" t="n">
        <v>445</v>
      </c>
      <c r="E18927" s="44" t="n">
        <v>15407.924</v>
      </c>
    </row>
    <row r="18928">
      <c r="A18928" s="39">
        <f>_xlfn.XLOOKUP(83369,Trip[shape_id],Trip[shape_id],"Não encontrado")</f>
        <v/>
      </c>
      <c r="B18928" s="40" t="n">
        <v>-23.532871</v>
      </c>
      <c r="C18928" s="40" t="n">
        <v>-46.630944</v>
      </c>
      <c r="D18928" s="40" t="n">
        <v>446</v>
      </c>
      <c r="E18928" s="41" t="n">
        <v>15459.023</v>
      </c>
    </row>
    <row r="18929">
      <c r="A18929" s="42">
        <f>_xlfn.XLOOKUP(83369,Trip[shape_id],Trip[shape_id],"Não encontrado")</f>
        <v/>
      </c>
      <c r="B18929" s="43" t="n">
        <v>-23.532786</v>
      </c>
      <c r="C18929" s="43" t="n">
        <v>-46.631303</v>
      </c>
      <c r="D18929" s="43" t="n">
        <v>447</v>
      </c>
      <c r="E18929" s="44" t="n">
        <v>15496.872</v>
      </c>
    </row>
    <row r="18930">
      <c r="A18930" s="39">
        <f>_xlfn.XLOOKUP(83369,Trip[shape_id],Trip[shape_id],"Não encontrado")</f>
        <v/>
      </c>
      <c r="B18930" s="40" t="n">
        <v>-23.532593</v>
      </c>
      <c r="C18930" s="40" t="n">
        <v>-46.632088</v>
      </c>
      <c r="D18930" s="40" t="n">
        <v>448</v>
      </c>
      <c r="E18930" s="41" t="n">
        <v>15579.834</v>
      </c>
    </row>
    <row r="18931">
      <c r="A18931" s="42">
        <f>_xlfn.XLOOKUP(83369,Trip[shape_id],Trip[shape_id],"Não encontrado")</f>
        <v/>
      </c>
      <c r="B18931" s="43" t="n">
        <v>-23.532504</v>
      </c>
      <c r="C18931" s="43" t="n">
        <v>-46.632444</v>
      </c>
      <c r="D18931" s="43" t="n">
        <v>449</v>
      </c>
      <c r="E18931" s="44" t="n">
        <v>15617.5</v>
      </c>
    </row>
    <row r="18932">
      <c r="A18932" s="39">
        <f>_xlfn.XLOOKUP(83369,Trip[shape_id],Trip[shape_id],"Não encontrado")</f>
        <v/>
      </c>
      <c r="B18932" s="40" t="n">
        <v>-23.532471</v>
      </c>
      <c r="C18932" s="40" t="n">
        <v>-46.632578</v>
      </c>
      <c r="D18932" s="40" t="n">
        <v>450</v>
      </c>
      <c r="E18932" s="41" t="n">
        <v>15631.663</v>
      </c>
    </row>
    <row r="18933">
      <c r="A18933" s="42">
        <f>_xlfn.XLOOKUP(83369,Trip[shape_id],Trip[shape_id],"Não encontrado")</f>
        <v/>
      </c>
      <c r="B18933" s="43" t="n">
        <v>-23.532437</v>
      </c>
      <c r="C18933" s="43" t="n">
        <v>-46.632709</v>
      </c>
      <c r="D18933" s="43" t="n">
        <v>451</v>
      </c>
      <c r="E18933" s="44" t="n">
        <v>15645.561</v>
      </c>
    </row>
    <row r="18934">
      <c r="A18934" s="39">
        <f>_xlfn.XLOOKUP(83369,Trip[shape_id],Trip[shape_id],"Não encontrado")</f>
        <v/>
      </c>
      <c r="B18934" s="40" t="n">
        <v>-23.532401</v>
      </c>
      <c r="C18934" s="40" t="n">
        <v>-46.63285</v>
      </c>
      <c r="D18934" s="40" t="n">
        <v>452</v>
      </c>
      <c r="E18934" s="41" t="n">
        <v>15660.501</v>
      </c>
    </row>
    <row r="18935">
      <c r="A18935" s="42">
        <f>_xlfn.XLOOKUP(83369,Trip[shape_id],Trip[shape_id],"Não encontrado")</f>
        <v/>
      </c>
      <c r="B18935" s="43" t="n">
        <v>-23.532189</v>
      </c>
      <c r="C18935" s="43" t="n">
        <v>-46.633697</v>
      </c>
      <c r="D18935" s="43" t="n">
        <v>453</v>
      </c>
      <c r="E18935" s="44" t="n">
        <v>15761.044</v>
      </c>
    </row>
    <row r="18936">
      <c r="A18936" s="39">
        <f>_xlfn.XLOOKUP(83369,Trip[shape_id],Trip[shape_id],"Não encontrado")</f>
        <v/>
      </c>
      <c r="B18936" s="40" t="n">
        <v>-23.532176</v>
      </c>
      <c r="C18936" s="40" t="n">
        <v>-46.633803</v>
      </c>
      <c r="D18936" s="40" t="n">
        <v>454</v>
      </c>
      <c r="E18936" s="41" t="n">
        <v>15799.743</v>
      </c>
    </row>
    <row r="18937">
      <c r="A18937" s="42">
        <f>_xlfn.XLOOKUP(83369,Trip[shape_id],Trip[shape_id],"Não encontrado")</f>
        <v/>
      </c>
      <c r="B18937" s="43" t="n">
        <v>-23.532151</v>
      </c>
      <c r="C18937" s="43" t="n">
        <v>-46.634181</v>
      </c>
      <c r="D18937" s="43" t="n">
        <v>455</v>
      </c>
      <c r="E18937" s="44" t="n">
        <v>15812.667</v>
      </c>
    </row>
    <row r="18938">
      <c r="A18938" s="39">
        <f>_xlfn.XLOOKUP(83369,Trip[shape_id],Trip[shape_id],"Não encontrado")</f>
        <v/>
      </c>
      <c r="B18938" s="40" t="n">
        <v>-23.53214</v>
      </c>
      <c r="C18938" s="40" t="n">
        <v>-46.634307</v>
      </c>
      <c r="D18938" s="40" t="n">
        <v>456</v>
      </c>
      <c r="E18938" s="41" t="n">
        <v>15824.416</v>
      </c>
    </row>
    <row r="18939">
      <c r="A18939" s="42">
        <f>_xlfn.XLOOKUP(83369,Trip[shape_id],Trip[shape_id],"Não encontrado")</f>
        <v/>
      </c>
      <c r="B18939" s="43" t="n">
        <v>-23.53212</v>
      </c>
      <c r="C18939" s="43" t="n">
        <v>-46.63442</v>
      </c>
      <c r="D18939" s="43" t="n">
        <v>457</v>
      </c>
      <c r="E18939" s="44" t="n">
        <v>15851.845</v>
      </c>
    </row>
    <row r="18940">
      <c r="A18940" s="39">
        <f>_xlfn.XLOOKUP(83369,Trip[shape_id],Trip[shape_id],"Não encontrado")</f>
        <v/>
      </c>
      <c r="B18940" s="40" t="n">
        <v>-23.532048</v>
      </c>
      <c r="C18940" s="40" t="n">
        <v>-46.634677</v>
      </c>
      <c r="D18940" s="40" t="n">
        <v>458</v>
      </c>
      <c r="E18940" s="41" t="n">
        <v>15851.845</v>
      </c>
    </row>
    <row r="18941">
      <c r="A18941" s="42">
        <f>_xlfn.XLOOKUP(83369,Trip[shape_id],Trip[shape_id],"Não encontrado")</f>
        <v/>
      </c>
      <c r="B18941" s="43" t="n">
        <v>-23.531998</v>
      </c>
      <c r="C18941" s="43" t="n">
        <v>-46.634783</v>
      </c>
      <c r="D18941" s="43" t="n">
        <v>459</v>
      </c>
      <c r="E18941" s="44" t="n">
        <v>15870.057</v>
      </c>
    </row>
    <row r="18942">
      <c r="A18942" s="39">
        <f>_xlfn.XLOOKUP(83369,Trip[shape_id],Trip[shape_id],"Não encontrado")</f>
        <v/>
      </c>
      <c r="B18942" s="40" t="n">
        <v>-23.531952</v>
      </c>
      <c r="C18942" s="40" t="n">
        <v>-46.634815</v>
      </c>
      <c r="D18942" s="40" t="n">
        <v>460</v>
      </c>
      <c r="E18942" s="41" t="n">
        <v>15870.057</v>
      </c>
    </row>
    <row r="18943">
      <c r="A18943" s="42">
        <f>_xlfn.XLOOKUP(83369,Trip[shape_id],Trip[shape_id],"Não encontrado")</f>
        <v/>
      </c>
      <c r="B18943" s="43" t="n">
        <v>-23.531889</v>
      </c>
      <c r="C18943" s="43" t="n">
        <v>-46.634794</v>
      </c>
      <c r="D18943" s="43" t="n">
        <v>461</v>
      </c>
      <c r="E18943" s="44" t="n">
        <v>15877.356</v>
      </c>
    </row>
    <row r="18944">
      <c r="A18944" s="39">
        <f>_xlfn.XLOOKUP(83369,Trip[shape_id],Trip[shape_id],"Não encontrado")</f>
        <v/>
      </c>
      <c r="B18944" s="40" t="n">
        <v>-23.531814</v>
      </c>
      <c r="C18944" s="40" t="n">
        <v>-46.63507</v>
      </c>
      <c r="D18944" s="40" t="n">
        <v>462</v>
      </c>
      <c r="E18944" s="41" t="n">
        <v>15906.739</v>
      </c>
    </row>
    <row r="18945">
      <c r="A18945" s="42">
        <f>_xlfn.XLOOKUP(83369,Trip[shape_id],Trip[shape_id],"Não encontrado")</f>
        <v/>
      </c>
      <c r="B18945" s="43" t="n">
        <v>-23.531777</v>
      </c>
      <c r="C18945" s="43" t="n">
        <v>-46.635248</v>
      </c>
      <c r="D18945" s="43" t="n">
        <v>463</v>
      </c>
      <c r="E18945" s="44" t="n">
        <v>15925.372</v>
      </c>
    </row>
    <row r="18946">
      <c r="A18946" s="39">
        <f>_xlfn.XLOOKUP(83369,Trip[shape_id],Trip[shape_id],"Não encontrado")</f>
        <v/>
      </c>
      <c r="B18946" s="40" t="n">
        <v>-23.531473</v>
      </c>
      <c r="C18946" s="40" t="n">
        <v>-46.636448</v>
      </c>
      <c r="D18946" s="40" t="n">
        <v>464</v>
      </c>
      <c r="E18946" s="41" t="n">
        <v>16062.382</v>
      </c>
    </row>
    <row r="18947">
      <c r="A18947" s="42">
        <f>_xlfn.XLOOKUP(83369,Trip[shape_id],Trip[shape_id],"Não encontrado")</f>
        <v/>
      </c>
      <c r="B18947" s="43" t="n">
        <v>-23.531444</v>
      </c>
      <c r="C18947" s="43" t="n">
        <v>-46.63654</v>
      </c>
      <c r="D18947" s="43" t="n">
        <v>465</v>
      </c>
      <c r="E18947" s="44" t="n">
        <v>16062.382</v>
      </c>
    </row>
    <row r="18948">
      <c r="A18948" s="39">
        <f>_xlfn.XLOOKUP(83369,Trip[shape_id],Trip[shape_id],"Não encontrado")</f>
        <v/>
      </c>
      <c r="B18948" s="40" t="n">
        <v>-23.531277</v>
      </c>
      <c r="C18948" s="40" t="n">
        <v>-46.637173</v>
      </c>
      <c r="D18948" s="40" t="n">
        <v>466</v>
      </c>
      <c r="E18948" s="41" t="n">
        <v>16129.616</v>
      </c>
    </row>
    <row r="18949">
      <c r="A18949" s="42">
        <f>_xlfn.XLOOKUP(83369,Trip[shape_id],Trip[shape_id],"Não encontrado")</f>
        <v/>
      </c>
      <c r="B18949" s="43" t="n">
        <v>-23.531032</v>
      </c>
      <c r="C18949" s="43" t="n">
        <v>-46.638113</v>
      </c>
      <c r="D18949" s="43" t="n">
        <v>467</v>
      </c>
      <c r="E18949" s="44" t="n">
        <v>16229.367</v>
      </c>
    </row>
    <row r="18950">
      <c r="A18950" s="39">
        <f>_xlfn.XLOOKUP(83369,Trip[shape_id],Trip[shape_id],"Não encontrado")</f>
        <v/>
      </c>
      <c r="B18950" s="40" t="n">
        <v>-23.531024</v>
      </c>
      <c r="C18950" s="40" t="n">
        <v>-46.638175</v>
      </c>
      <c r="D18950" s="40" t="n">
        <v>468</v>
      </c>
      <c r="E18950" s="41" t="n">
        <v>16240.611</v>
      </c>
    </row>
    <row r="18951">
      <c r="A18951" s="42">
        <f>_xlfn.XLOOKUP(83369,Trip[shape_id],Trip[shape_id],"Não encontrado")</f>
        <v/>
      </c>
      <c r="B18951" s="43" t="n">
        <v>-23.530999</v>
      </c>
      <c r="C18951" s="43" t="n">
        <v>-46.638214</v>
      </c>
      <c r="D18951" s="43" t="n">
        <v>469</v>
      </c>
      <c r="E18951" s="44" t="n">
        <v>16336.968</v>
      </c>
    </row>
    <row r="18952">
      <c r="A18952" s="39">
        <f>_xlfn.XLOOKUP(83369,Trip[shape_id],Trip[shape_id],"Não encontrado")</f>
        <v/>
      </c>
      <c r="B18952" s="40" t="n">
        <v>-23.530176</v>
      </c>
      <c r="C18952" s="40" t="n">
        <v>-46.63852</v>
      </c>
      <c r="D18952" s="40" t="n">
        <v>470</v>
      </c>
      <c r="E18952" s="41" t="n">
        <v>16336.968</v>
      </c>
    </row>
    <row r="18953">
      <c r="A18953" s="42">
        <f>_xlfn.XLOOKUP(83369,Trip[shape_id],Trip[shape_id],"Não encontrado")</f>
        <v/>
      </c>
      <c r="B18953" s="43" t="n">
        <v>-23.529069</v>
      </c>
      <c r="C18953" s="43" t="n">
        <v>-46.638917</v>
      </c>
      <c r="D18953" s="43" t="n">
        <v>471</v>
      </c>
      <c r="E18953" s="44" t="n">
        <v>16496.629</v>
      </c>
    </row>
    <row r="18954">
      <c r="A18954" s="39">
        <f>_xlfn.XLOOKUP(83369,Trip[shape_id],Trip[shape_id],"Não encontrado")</f>
        <v/>
      </c>
      <c r="B18954" s="40" t="n">
        <v>-23.528805</v>
      </c>
      <c r="C18954" s="40" t="n">
        <v>-46.639003</v>
      </c>
      <c r="D18954" s="40" t="n">
        <v>472</v>
      </c>
      <c r="E18954" s="41" t="n">
        <v>16496.629</v>
      </c>
    </row>
    <row r="18955">
      <c r="A18955" s="42">
        <f>_xlfn.XLOOKUP(83369,Trip[shape_id],Trip[shape_id],"Não encontrado")</f>
        <v/>
      </c>
      <c r="B18955" s="43" t="n">
        <v>-23.528744</v>
      </c>
      <c r="C18955" s="43" t="n">
        <v>-46.638919</v>
      </c>
      <c r="D18955" s="43" t="n">
        <v>473</v>
      </c>
      <c r="E18955" s="44" t="n">
        <v>16507.549</v>
      </c>
    </row>
    <row r="18956">
      <c r="A18956" s="39">
        <f>_xlfn.XLOOKUP(83369,Trip[shape_id],Trip[shape_id],"Não encontrado")</f>
        <v/>
      </c>
      <c r="B18956" s="40" t="n">
        <v>-23.528668</v>
      </c>
      <c r="C18956" s="40" t="n">
        <v>-46.639046</v>
      </c>
      <c r="D18956" s="40" t="n">
        <v>474</v>
      </c>
      <c r="E18956" s="41" t="n">
        <v>16537.299</v>
      </c>
    </row>
    <row r="18957">
      <c r="A18957" s="42">
        <f>_xlfn.XLOOKUP(83369,Trip[shape_id],Trip[shape_id],"Não encontrado")</f>
        <v/>
      </c>
      <c r="B18957" s="43" t="n">
        <v>-23.528551</v>
      </c>
      <c r="C18957" s="43" t="n">
        <v>-46.639105</v>
      </c>
      <c r="D18957" s="43" t="n">
        <v>475</v>
      </c>
      <c r="E18957" s="44" t="n">
        <v>16537.299</v>
      </c>
    </row>
    <row r="18958">
      <c r="A18958" s="39">
        <f>_xlfn.XLOOKUP(83369,Trip[shape_id],Trip[shape_id],"Não encontrado")</f>
        <v/>
      </c>
      <c r="B18958" s="40" t="n">
        <v>-23.528648</v>
      </c>
      <c r="C18958" s="40" t="n">
        <v>-46.639273</v>
      </c>
      <c r="D18958" s="40" t="n">
        <v>476</v>
      </c>
      <c r="E18958" s="41" t="n">
        <v>16557.541</v>
      </c>
    </row>
    <row r="18959">
      <c r="A18959" s="42">
        <f>_xlfn.XLOOKUP(83369,Trip[shape_id],Trip[shape_id],"Não encontrado")</f>
        <v/>
      </c>
      <c r="B18959" s="43" t="n">
        <v>-23.529042</v>
      </c>
      <c r="C18959" s="43" t="n">
        <v>-46.640112</v>
      </c>
      <c r="D18959" s="43" t="n">
        <v>477</v>
      </c>
      <c r="E18959" s="44" t="n">
        <v>16653.691</v>
      </c>
    </row>
    <row r="18960">
      <c r="A18960" s="39">
        <f>_xlfn.XLOOKUP(83369,Trip[shape_id],Trip[shape_id],"Não encontrado")</f>
        <v/>
      </c>
      <c r="B18960" s="40" t="n">
        <v>-23.528843</v>
      </c>
      <c r="C18960" s="40" t="n">
        <v>-46.640219</v>
      </c>
      <c r="D18960" s="40" t="n">
        <v>478</v>
      </c>
      <c r="E18960" s="41" t="n">
        <v>16875.83</v>
      </c>
    </row>
    <row r="18961">
      <c r="A18961" s="42">
        <f>_xlfn.XLOOKUP(83369,Trip[shape_id],Trip[shape_id],"Não encontrado")</f>
        <v/>
      </c>
      <c r="B18961" s="43" t="n">
        <v>-23.527257</v>
      </c>
      <c r="C18961" s="43" t="n">
        <v>-46.641104</v>
      </c>
      <c r="D18961" s="43" t="n">
        <v>479</v>
      </c>
      <c r="E18961" s="44" t="n">
        <v>16875.83</v>
      </c>
    </row>
    <row r="18962">
      <c r="A18962" s="39">
        <f>_xlfn.XLOOKUP(83369,Trip[shape_id],Trip[shape_id],"Não encontrado")</f>
        <v/>
      </c>
      <c r="B18962" s="40" t="n">
        <v>-23.526532</v>
      </c>
      <c r="C18962" s="40" t="n">
        <v>-46.6415</v>
      </c>
      <c r="D18962" s="40" t="n">
        <v>480</v>
      </c>
      <c r="E18962" s="41" t="n">
        <v>16989.877</v>
      </c>
    </row>
    <row r="18963">
      <c r="A18963" s="42">
        <f>_xlfn.XLOOKUP(83369,Trip[shape_id],Trip[shape_id],"Não encontrado")</f>
        <v/>
      </c>
      <c r="B18963" s="43" t="n">
        <v>-23.52632</v>
      </c>
      <c r="C18963" s="43" t="n">
        <v>-46.641555</v>
      </c>
      <c r="D18963" s="43" t="n">
        <v>481</v>
      </c>
      <c r="E18963" s="44" t="n">
        <v>17002.021</v>
      </c>
    </row>
    <row r="18964">
      <c r="A18964" s="39">
        <f>_xlfn.XLOOKUP(83369,Trip[shape_id],Trip[shape_id],"Não encontrado")</f>
        <v/>
      </c>
      <c r="B18964" s="40" t="n">
        <v>-23.526213</v>
      </c>
      <c r="C18964" s="40" t="n">
        <v>-46.641581</v>
      </c>
      <c r="D18964" s="40" t="n">
        <v>482</v>
      </c>
      <c r="E18964" s="41" t="n">
        <v>17002.021</v>
      </c>
    </row>
    <row r="18965">
      <c r="A18965" s="42">
        <f>_xlfn.XLOOKUP(83369,Trip[shape_id],Trip[shape_id],"Não encontrado")</f>
        <v/>
      </c>
      <c r="B18965" s="43" t="n">
        <v>-23.52639</v>
      </c>
      <c r="C18965" s="43" t="n">
        <v>-46.641985</v>
      </c>
      <c r="D18965" s="43" t="n">
        <v>483</v>
      </c>
      <c r="E18965" s="44" t="n">
        <v>17047.699</v>
      </c>
    </row>
    <row r="18966">
      <c r="A18966" s="39">
        <f>_xlfn.XLOOKUP(83369,Trip[shape_id],Trip[shape_id],"Não encontrado")</f>
        <v/>
      </c>
      <c r="B18966" s="40" t="n">
        <v>-23.526716</v>
      </c>
      <c r="C18966" s="40" t="n">
        <v>-46.642673</v>
      </c>
      <c r="D18966" s="40" t="n">
        <v>484</v>
      </c>
      <c r="E18966" s="41" t="n">
        <v>17126.691</v>
      </c>
    </row>
    <row r="18967">
      <c r="A18967" s="42">
        <f>_xlfn.XLOOKUP(83369,Trip[shape_id],Trip[shape_id],"Não encontrado")</f>
        <v/>
      </c>
      <c r="B18967" s="43" t="n">
        <v>-23.526546</v>
      </c>
      <c r="C18967" s="43" t="n">
        <v>-46.642775</v>
      </c>
      <c r="D18967" s="43" t="n">
        <v>485</v>
      </c>
      <c r="E18967" s="44" t="n">
        <v>17183.605</v>
      </c>
    </row>
    <row r="18968">
      <c r="A18968" s="39">
        <f>_xlfn.XLOOKUP(83369,Trip[shape_id],Trip[shape_id],"Não encontrado")</f>
        <v/>
      </c>
      <c r="B18968" s="40" t="n">
        <v>-23.526257</v>
      </c>
      <c r="C18968" s="40" t="n">
        <v>-46.642923</v>
      </c>
      <c r="D18968" s="40" t="n">
        <v>486</v>
      </c>
      <c r="E18968" s="41" t="n">
        <v>17245.764</v>
      </c>
    </row>
    <row r="18969">
      <c r="A18969" s="42">
        <f>_xlfn.XLOOKUP(83369,Trip[shape_id],Trip[shape_id],"Não encontrado")</f>
        <v/>
      </c>
      <c r="B18969" s="43" t="n">
        <v>-23.525754</v>
      </c>
      <c r="C18969" s="43" t="n">
        <v>-46.643193</v>
      </c>
      <c r="D18969" s="43" t="n">
        <v>487</v>
      </c>
      <c r="E18969" s="44" t="n">
        <v>17252.826</v>
      </c>
    </row>
    <row r="18970">
      <c r="A18970" s="39">
        <f>_xlfn.XLOOKUP(83369,Trip[shape_id],Trip[shape_id],"Não encontrado")</f>
        <v/>
      </c>
      <c r="B18970" s="40" t="n">
        <v>-23.525697</v>
      </c>
      <c r="C18970" s="40" t="n">
        <v>-46.643224</v>
      </c>
      <c r="D18970" s="40" t="n">
        <v>488</v>
      </c>
      <c r="E18970" s="41" t="n">
        <v>17282.756</v>
      </c>
    </row>
    <row r="18971">
      <c r="A18971" s="42">
        <f>_xlfn.XLOOKUP(83369,Trip[shape_id],Trip[shape_id],"Não encontrado")</f>
        <v/>
      </c>
      <c r="B18971" s="43" t="n">
        <v>-23.525453</v>
      </c>
      <c r="C18971" s="43" t="n">
        <v>-46.64335</v>
      </c>
      <c r="D18971" s="43" t="n">
        <v>489</v>
      </c>
      <c r="E18971" s="44" t="n">
        <v>17307.789</v>
      </c>
    </row>
    <row r="18972">
      <c r="A18972" s="39">
        <f>_xlfn.XLOOKUP(83369,Trip[shape_id],Trip[shape_id],"Não encontrado")</f>
        <v/>
      </c>
      <c r="B18972" s="40" t="n">
        <v>-23.525251</v>
      </c>
      <c r="C18972" s="40" t="n">
        <v>-46.64346</v>
      </c>
      <c r="D18972" s="40" t="n">
        <v>490</v>
      </c>
      <c r="E18972" s="41" t="n">
        <v>17316.188</v>
      </c>
    </row>
    <row r="18973">
      <c r="A18973" s="42">
        <f>_xlfn.XLOOKUP(83369,Trip[shape_id],Trip[shape_id],"Não encontrado")</f>
        <v/>
      </c>
      <c r="B18973" s="43" t="n">
        <v>-23.525177</v>
      </c>
      <c r="C18973" s="43" t="n">
        <v>-46.643478</v>
      </c>
      <c r="D18973" s="43" t="n">
        <v>491</v>
      </c>
      <c r="E18973" s="44" t="n">
        <v>17316.188</v>
      </c>
    </row>
    <row r="18974">
      <c r="A18974" s="39">
        <f>_xlfn.XLOOKUP(83369,Trip[shape_id],Trip[shape_id],"Não encontrado")</f>
        <v/>
      </c>
      <c r="B18974" s="40" t="n">
        <v>-23.524945</v>
      </c>
      <c r="C18974" s="40" t="n">
        <v>-46.643622</v>
      </c>
      <c r="D18974" s="40" t="n">
        <v>492</v>
      </c>
      <c r="E18974" s="41" t="n">
        <v>17381.525</v>
      </c>
    </row>
    <row r="18975">
      <c r="A18975" s="42">
        <f>_xlfn.XLOOKUP(83369,Trip[shape_id],Trip[shape_id],"Não encontrado")</f>
        <v/>
      </c>
      <c r="B18975" s="43" t="n">
        <v>-23.524663</v>
      </c>
      <c r="C18975" s="43" t="n">
        <v>-46.643792</v>
      </c>
      <c r="D18975" s="43" t="n">
        <v>493</v>
      </c>
      <c r="E18975" s="44" t="n">
        <v>17381.525</v>
      </c>
    </row>
    <row r="18976">
      <c r="A18976" s="39">
        <f>_xlfn.XLOOKUP(83369,Trip[shape_id],Trip[shape_id],"Não encontrado")</f>
        <v/>
      </c>
      <c r="B18976" s="40" t="n">
        <v>-23.524413</v>
      </c>
      <c r="C18976" s="40" t="n">
        <v>-46.64392</v>
      </c>
      <c r="D18976" s="40" t="n">
        <v>494</v>
      </c>
      <c r="E18976" s="41" t="n">
        <v>17437.297</v>
      </c>
    </row>
    <row r="18977">
      <c r="A18977" s="42">
        <f>_xlfn.XLOOKUP(83369,Trip[shape_id],Trip[shape_id],"Não encontrado")</f>
        <v/>
      </c>
      <c r="B18977" s="43" t="n">
        <v>-23.524208</v>
      </c>
      <c r="C18977" s="43" t="n">
        <v>-46.644026</v>
      </c>
      <c r="D18977" s="43" t="n">
        <v>495</v>
      </c>
      <c r="E18977" s="44" t="n">
        <v>17450.756</v>
      </c>
    </row>
    <row r="18978">
      <c r="A18978" s="39">
        <f>_xlfn.XLOOKUP(83369,Trip[shape_id],Trip[shape_id],"Não encontrado")</f>
        <v/>
      </c>
      <c r="B18978" s="40" t="n">
        <v>-23.524098</v>
      </c>
      <c r="C18978" s="40" t="n">
        <v>-46.644082</v>
      </c>
      <c r="D18978" s="40" t="n">
        <v>496</v>
      </c>
      <c r="E18978" s="41" t="n">
        <v>17450.756</v>
      </c>
    </row>
    <row r="18979">
      <c r="A18979" s="42">
        <f>_xlfn.XLOOKUP(83369,Trip[shape_id],Trip[shape_id],"Não encontrado")</f>
        <v/>
      </c>
      <c r="B18979" s="43" t="n">
        <v>-23.524504</v>
      </c>
      <c r="C18979" s="43" t="n">
        <v>-46.644935</v>
      </c>
      <c r="D18979" s="43" t="n">
        <v>497</v>
      </c>
      <c r="E18979" s="44" t="n">
        <v>17548.787</v>
      </c>
    </row>
    <row r="18980">
      <c r="A18980" s="39">
        <f>_xlfn.XLOOKUP(83369,Trip[shape_id],Trip[shape_id],"Não encontrado")</f>
        <v/>
      </c>
      <c r="B18980" s="40" t="n">
        <v>-23.525074</v>
      </c>
      <c r="C18980" s="40" t="n">
        <v>-46.646153</v>
      </c>
      <c r="D18980" s="40" t="n">
        <v>498</v>
      </c>
      <c r="E18980" s="41" t="n">
        <v>17688.273</v>
      </c>
    </row>
    <row r="18981">
      <c r="A18981" s="42">
        <f>_xlfn.XLOOKUP(83369,Trip[shape_id],Trip[shape_id],"Não encontrado")</f>
        <v/>
      </c>
      <c r="B18981" s="43" t="n">
        <v>-23.525115</v>
      </c>
      <c r="C18981" s="43" t="n">
        <v>-46.646248</v>
      </c>
      <c r="D18981" s="43" t="n">
        <v>499</v>
      </c>
      <c r="E18981" s="44" t="n">
        <v>17698.986</v>
      </c>
    </row>
    <row r="18982">
      <c r="A18982" s="39">
        <f>_xlfn.XLOOKUP(83369,Trip[shape_id],Trip[shape_id],"Não encontrado")</f>
        <v/>
      </c>
      <c r="B18982" s="40" t="n">
        <v>-23.525132</v>
      </c>
      <c r="C18982" s="40" t="n">
        <v>-46.646299</v>
      </c>
      <c r="D18982" s="40" t="n">
        <v>500</v>
      </c>
      <c r="E18982" s="41" t="n">
        <v>17704.525</v>
      </c>
    </row>
    <row r="18983">
      <c r="A18983" s="42">
        <f>_xlfn.XLOOKUP(83369,Trip[shape_id],Trip[shape_id],"Não encontrado")</f>
        <v/>
      </c>
      <c r="B18983" s="43" t="n">
        <v>-23.525656</v>
      </c>
      <c r="C18983" s="43" t="n">
        <v>-46.647426</v>
      </c>
      <c r="D18983" s="43" t="n">
        <v>501</v>
      </c>
      <c r="E18983" s="44" t="n">
        <v>17833.42</v>
      </c>
    </row>
    <row r="18984">
      <c r="A18984" s="39">
        <f>_xlfn.XLOOKUP(83369,Trip[shape_id],Trip[shape_id],"Não encontrado")</f>
        <v/>
      </c>
      <c r="B18984" s="40" t="n">
        <v>-23.524603</v>
      </c>
      <c r="C18984" s="40" t="n">
        <v>-46.648026</v>
      </c>
      <c r="D18984" s="40" t="n">
        <v>502</v>
      </c>
      <c r="E18984" s="41" t="n">
        <v>17965.158</v>
      </c>
    </row>
    <row r="18985">
      <c r="A18985" s="42">
        <f>_xlfn.XLOOKUP(83369,Trip[shape_id],Trip[shape_id],"Não encontrado")</f>
        <v/>
      </c>
      <c r="B18985" s="43" t="n">
        <v>-23.524178</v>
      </c>
      <c r="C18985" s="43" t="n">
        <v>-46.648266</v>
      </c>
      <c r="D18985" s="43" t="n">
        <v>503</v>
      </c>
      <c r="E18985" s="44" t="n">
        <v>18069.195</v>
      </c>
    </row>
    <row r="18986">
      <c r="A18986" s="39">
        <f>_xlfn.XLOOKUP(83369,Trip[shape_id],Trip[shape_id],"Não encontrado")</f>
        <v/>
      </c>
      <c r="B18986" s="40" t="n">
        <v>-23.523772</v>
      </c>
      <c r="C18986" s="40" t="n">
        <v>-46.648501</v>
      </c>
      <c r="D18986" s="40" t="n">
        <v>504</v>
      </c>
      <c r="E18986" s="41" t="n">
        <v>18099.379</v>
      </c>
    </row>
    <row r="18987">
      <c r="A18987" s="42">
        <f>_xlfn.XLOOKUP(83369,Trip[shape_id],Trip[shape_id],"Não encontrado")</f>
        <v/>
      </c>
      <c r="B18987" s="43" t="n">
        <v>-23.523531</v>
      </c>
      <c r="C18987" s="43" t="n">
        <v>-46.648639</v>
      </c>
      <c r="D18987" s="43" t="n">
        <v>505</v>
      </c>
      <c r="E18987" s="44" t="n">
        <v>18099.379</v>
      </c>
    </row>
    <row r="18988">
      <c r="A18988" s="39">
        <f>_xlfn.XLOOKUP(83369,Trip[shape_id],Trip[shape_id],"Não encontrado")</f>
        <v/>
      </c>
      <c r="B18988" s="40" t="n">
        <v>-23.522547</v>
      </c>
      <c r="C18988" s="40" t="n">
        <v>-46.649199</v>
      </c>
      <c r="D18988" s="40" t="n">
        <v>506</v>
      </c>
      <c r="E18988" s="41" t="n">
        <v>18222.453</v>
      </c>
    </row>
    <row r="18989">
      <c r="A18989" s="42">
        <f>_xlfn.XLOOKUP(83369,Trip[shape_id],Trip[shape_id],"Não encontrado")</f>
        <v/>
      </c>
      <c r="B18989" s="43" t="n">
        <v>-23.522426</v>
      </c>
      <c r="C18989" s="43" t="n">
        <v>-46.64927</v>
      </c>
      <c r="D18989" s="43" t="n">
        <v>507</v>
      </c>
      <c r="E18989" s="44" t="n">
        <v>18237.689</v>
      </c>
    </row>
    <row r="18990">
      <c r="A18990" s="39">
        <f>_xlfn.XLOOKUP(83369,Trip[shape_id],Trip[shape_id],"Não encontrado")</f>
        <v/>
      </c>
      <c r="B18990" s="40" t="n">
        <v>-23.521761</v>
      </c>
      <c r="C18990" s="40" t="n">
        <v>-46.649649</v>
      </c>
      <c r="D18990" s="40" t="n">
        <v>508</v>
      </c>
      <c r="E18990" s="41" t="n">
        <v>18375.902</v>
      </c>
    </row>
    <row r="18991">
      <c r="A18991" s="42">
        <f>_xlfn.XLOOKUP(83369,Trip[shape_id],Trip[shape_id],"Não encontrado")</f>
        <v/>
      </c>
      <c r="B18991" s="43" t="n">
        <v>-23.521322</v>
      </c>
      <c r="C18991" s="43" t="n">
        <v>-46.649901</v>
      </c>
      <c r="D18991" s="43" t="n">
        <v>509</v>
      </c>
      <c r="E18991" s="44" t="n">
        <v>18375.902</v>
      </c>
    </row>
    <row r="18992">
      <c r="A18992" s="39">
        <f>_xlfn.XLOOKUP(83369,Trip[shape_id],Trip[shape_id],"Não encontrado")</f>
        <v/>
      </c>
      <c r="B18992" s="40" t="n">
        <v>-23.521269</v>
      </c>
      <c r="C18992" s="40" t="n">
        <v>-46.649946</v>
      </c>
      <c r="D18992" s="40" t="n">
        <v>510</v>
      </c>
      <c r="E18992" s="41" t="n">
        <v>18450.682</v>
      </c>
    </row>
    <row r="18993">
      <c r="A18993" s="42">
        <f>_xlfn.XLOOKUP(83369,Trip[shape_id],Trip[shape_id],"Não encontrado")</f>
        <v/>
      </c>
      <c r="B18993" s="43" t="n">
        <v>-23.520724</v>
      </c>
      <c r="C18993" s="43" t="n">
        <v>-46.650238</v>
      </c>
      <c r="D18993" s="43" t="n">
        <v>511</v>
      </c>
      <c r="E18993" s="44" t="n">
        <v>18511.881</v>
      </c>
    </row>
    <row r="18994">
      <c r="A18994" s="39">
        <f>_xlfn.XLOOKUP(83369,Trip[shape_id],Trip[shape_id],"Não encontrado")</f>
        <v/>
      </c>
      <c r="B18994" s="40" t="n">
        <v>-23.520234</v>
      </c>
      <c r="C18994" s="40" t="n">
        <v>-46.650515</v>
      </c>
      <c r="D18994" s="40" t="n">
        <v>512</v>
      </c>
      <c r="E18994" s="41" t="n">
        <v>18511.881</v>
      </c>
    </row>
    <row r="18995">
      <c r="A18995" s="42">
        <f>_xlfn.XLOOKUP(83369,Trip[shape_id],Trip[shape_id],"Não encontrado")</f>
        <v/>
      </c>
      <c r="B18995" s="43" t="n">
        <v>-23.519888</v>
      </c>
      <c r="C18995" s="43" t="n">
        <v>-46.649776</v>
      </c>
      <c r="D18995" s="43" t="n">
        <v>513</v>
      </c>
      <c r="E18995" s="44" t="n">
        <v>18613.502</v>
      </c>
    </row>
    <row r="18996">
      <c r="A18996" s="39">
        <f>_xlfn.XLOOKUP(83369,Trip[shape_id],Trip[shape_id],"Não encontrado")</f>
        <v/>
      </c>
      <c r="B18996" s="40" t="n">
        <v>-23.519813</v>
      </c>
      <c r="C18996" s="40" t="n">
        <v>-46.649631</v>
      </c>
      <c r="D18996" s="40" t="n">
        <v>514</v>
      </c>
      <c r="E18996" s="41" t="n">
        <v>18613.502</v>
      </c>
    </row>
    <row r="18997">
      <c r="A18997" s="42">
        <f>_xlfn.XLOOKUP(83369,Trip[shape_id],Trip[shape_id],"Não encontrado")</f>
        <v/>
      </c>
      <c r="B18997" s="43" t="n">
        <v>-23.519612</v>
      </c>
      <c r="C18997" s="43" t="n">
        <v>-46.649179</v>
      </c>
      <c r="D18997" s="43" t="n">
        <v>515</v>
      </c>
      <c r="E18997" s="44" t="n">
        <v>18664.75</v>
      </c>
    </row>
    <row r="18998">
      <c r="A18998" s="39">
        <f>_xlfn.XLOOKUP(83369,Trip[shape_id],Trip[shape_id],"Não encontrado")</f>
        <v/>
      </c>
      <c r="B18998" s="40" t="n">
        <v>-23.519493</v>
      </c>
      <c r="C18998" s="40" t="n">
        <v>-46.649277</v>
      </c>
      <c r="D18998" s="40" t="n">
        <v>516</v>
      </c>
      <c r="E18998" s="41" t="n">
        <v>18690.201</v>
      </c>
    </row>
    <row r="18999">
      <c r="A18999" s="42">
        <f>_xlfn.XLOOKUP(83369,Trip[shape_id],Trip[shape_id],"Não encontrado")</f>
        <v/>
      </c>
      <c r="B18999" s="43" t="n">
        <v>-23.519459</v>
      </c>
      <c r="C18999" s="43" t="n">
        <v>-46.649356</v>
      </c>
      <c r="D18999" s="43" t="n">
        <v>517</v>
      </c>
      <c r="E18999" s="44" t="n">
        <v>18730.977</v>
      </c>
    </row>
    <row r="19000">
      <c r="A19000" s="39">
        <f>_xlfn.XLOOKUP(83369,Trip[shape_id],Trip[shape_id],"Não encontrado")</f>
        <v/>
      </c>
      <c r="B19000" s="40" t="n">
        <v>-23.519346</v>
      </c>
      <c r="C19000" s="40" t="n">
        <v>-46.649736</v>
      </c>
      <c r="D19000" s="40" t="n">
        <v>518</v>
      </c>
      <c r="E19000" s="41" t="n">
        <v>18747.4</v>
      </c>
    </row>
    <row r="19001">
      <c r="A19001" s="42">
        <f>_xlfn.XLOOKUP(83369,Trip[shape_id],Trip[shape_id],"Não encontrado")</f>
        <v/>
      </c>
      <c r="B19001" s="43" t="n">
        <v>-23.519288</v>
      </c>
      <c r="C19001" s="43" t="n">
        <v>-46.649884</v>
      </c>
      <c r="D19001" s="43" t="n">
        <v>519</v>
      </c>
      <c r="E19001" s="44" t="n">
        <v>18758.951</v>
      </c>
    </row>
    <row r="19002">
      <c r="A19002" s="39">
        <f>_xlfn.XLOOKUP(83369,Trip[shape_id],Trip[shape_id],"Não encontrado")</f>
        <v/>
      </c>
      <c r="B19002" s="40" t="n">
        <v>-23.519247</v>
      </c>
      <c r="C19002" s="40" t="n">
        <v>-46.649988</v>
      </c>
      <c r="D19002" s="40" t="n">
        <v>520</v>
      </c>
      <c r="E19002" s="41" t="n">
        <v>18771.451</v>
      </c>
    </row>
    <row r="19003">
      <c r="A19003" s="42">
        <f>_xlfn.XLOOKUP(83369,Trip[shape_id],Trip[shape_id],"Não encontrado")</f>
        <v/>
      </c>
      <c r="B19003" s="43" t="n">
        <v>-23.519189</v>
      </c>
      <c r="C19003" s="43" t="n">
        <v>-46.650093</v>
      </c>
      <c r="D19003" s="43" t="n">
        <v>521</v>
      </c>
      <c r="E19003" s="44" t="n">
        <v>18782.395</v>
      </c>
    </row>
    <row r="19004">
      <c r="A19004" s="39">
        <f>_xlfn.XLOOKUP(83369,Trip[shape_id],Trip[shape_id],"Não encontrado")</f>
        <v/>
      </c>
      <c r="B19004" s="40" t="n">
        <v>-23.519115</v>
      </c>
      <c r="C19004" s="40" t="n">
        <v>-46.650164</v>
      </c>
      <c r="D19004" s="40" t="n">
        <v>522</v>
      </c>
      <c r="E19004" s="41" t="n">
        <v>18782.395</v>
      </c>
    </row>
    <row r="19005">
      <c r="A19005" s="42">
        <f>_xlfn.XLOOKUP(83369,Trip[shape_id],Trip[shape_id],"Não encontrado")</f>
        <v/>
      </c>
      <c r="B19005" s="43" t="n">
        <v>-23.518975</v>
      </c>
      <c r="C19005" s="43" t="n">
        <v>-46.650275</v>
      </c>
      <c r="D19005" s="43" t="n">
        <v>523</v>
      </c>
      <c r="E19005" s="44" t="n">
        <v>18824.523</v>
      </c>
    </row>
    <row r="19006">
      <c r="A19006" s="39">
        <f>_xlfn.XLOOKUP(83369,Trip[shape_id],Trip[shape_id],"Não encontrado")</f>
        <v/>
      </c>
      <c r="B19006" s="40" t="n">
        <v>-23.518805</v>
      </c>
      <c r="C19006" s="40" t="n">
        <v>-46.650403</v>
      </c>
      <c r="D19006" s="40" t="n">
        <v>524</v>
      </c>
      <c r="E19006" s="41" t="n">
        <v>18850.938</v>
      </c>
    </row>
    <row r="19007">
      <c r="A19007" s="42">
        <f>_xlfn.XLOOKUP(83369,Trip[shape_id],Trip[shape_id],"Não encontrado")</f>
        <v/>
      </c>
      <c r="B19007" s="43" t="n">
        <v>-23.518601</v>
      </c>
      <c r="C19007" s="43" t="n">
        <v>-46.650537</v>
      </c>
      <c r="D19007" s="43" t="n">
        <v>525</v>
      </c>
      <c r="E19007" s="44" t="n">
        <v>18850.938</v>
      </c>
    </row>
    <row r="19008">
      <c r="A19008" s="39">
        <f>_xlfn.XLOOKUP(83369,Trip[shape_id],Trip[shape_id],"Não encontrado")</f>
        <v/>
      </c>
      <c r="B19008" s="40" t="n">
        <v>-23.518364</v>
      </c>
      <c r="C19008" s="40" t="n">
        <v>-46.650726</v>
      </c>
      <c r="D19008" s="40" t="n">
        <v>526</v>
      </c>
      <c r="E19008" s="41" t="n">
        <v>18892.281</v>
      </c>
    </row>
    <row r="19009">
      <c r="A19009" s="42">
        <f>_xlfn.XLOOKUP(83369,Trip[shape_id],Trip[shape_id],"Não encontrado")</f>
        <v/>
      </c>
      <c r="B19009" s="43" t="n">
        <v>-23.518294</v>
      </c>
      <c r="C19009" s="43" t="n">
        <v>-46.650766</v>
      </c>
      <c r="D19009" s="43" t="n">
        <v>527</v>
      </c>
      <c r="E19009" s="44" t="n">
        <v>18900.979</v>
      </c>
    </row>
    <row r="19010">
      <c r="A19010" s="39">
        <f>_xlfn.XLOOKUP(83369,Trip[shape_id],Trip[shape_id],"Não encontrado")</f>
        <v/>
      </c>
      <c r="B19010" s="40" t="n">
        <v>-23.518222</v>
      </c>
      <c r="C19010" s="40" t="n">
        <v>-46.650732</v>
      </c>
      <c r="D19010" s="40" t="n">
        <v>528</v>
      </c>
      <c r="E19010" s="41" t="n">
        <v>18900.979</v>
      </c>
    </row>
    <row r="19011">
      <c r="A19011" s="42">
        <f>_xlfn.XLOOKUP(83369,Trip[shape_id],Trip[shape_id],"Não encontrado")</f>
        <v/>
      </c>
      <c r="B19011" s="43" t="n">
        <v>-23.518033</v>
      </c>
      <c r="C19011" s="43" t="n">
        <v>-46.650558</v>
      </c>
      <c r="D19011" s="43" t="n">
        <v>529</v>
      </c>
      <c r="E19011" s="44" t="n">
        <v>18928.436</v>
      </c>
    </row>
    <row r="19012">
      <c r="A19012" s="39">
        <f>_xlfn.XLOOKUP(83369,Trip[shape_id],Trip[shape_id],"Não encontrado")</f>
        <v/>
      </c>
      <c r="B19012" s="40" t="n">
        <v>-23.518389</v>
      </c>
      <c r="C19012" s="40" t="n">
        <v>-46.648241</v>
      </c>
      <c r="D19012" s="40" t="n">
        <v>530</v>
      </c>
      <c r="E19012" s="41" t="n">
        <v>19168.326</v>
      </c>
    </row>
    <row r="19013">
      <c r="A19013" s="42">
        <f>_xlfn.XLOOKUP(83369,Trip[shape_id],Trip[shape_id],"Não encontrado")</f>
        <v/>
      </c>
      <c r="B19013" s="43" t="n">
        <v>-23.518515</v>
      </c>
      <c r="C19013" s="43" t="n">
        <v>-46.648217</v>
      </c>
      <c r="D19013" s="43" t="n">
        <v>531</v>
      </c>
      <c r="E19013" s="44" t="n">
        <v>19182.494</v>
      </c>
    </row>
    <row r="19014">
      <c r="A19014" s="39">
        <f>_xlfn.XLOOKUP(83369,Trip[shape_id],Trip[shape_id],"Não encontrado")</f>
        <v/>
      </c>
      <c r="B19014" s="40" t="n">
        <v>-23.519133</v>
      </c>
      <c r="C19014" s="40" t="n">
        <v>-46.647867</v>
      </c>
      <c r="D19014" s="40" t="n">
        <v>532</v>
      </c>
      <c r="E19014" s="41" t="n">
        <v>19259.709</v>
      </c>
    </row>
    <row r="19015">
      <c r="A19015" s="42">
        <f>_xlfn.XLOOKUP(83369,Trip[shape_id],Trip[shape_id],"Não encontrado")</f>
        <v/>
      </c>
      <c r="B19015" s="43" t="n">
        <v>-23.519221</v>
      </c>
      <c r="C19015" s="43" t="n">
        <v>-46.647817</v>
      </c>
      <c r="D19015" s="43" t="n">
        <v>533</v>
      </c>
      <c r="E19015" s="44" t="n">
        <v>19270.711</v>
      </c>
    </row>
    <row r="19016">
      <c r="A19016" s="39">
        <f>_xlfn.XLOOKUP(83498,Trip[shape_id],Trip[shape_id],"Não encontrado")</f>
        <v/>
      </c>
      <c r="B19016" s="40" t="n">
        <v>-23.458074</v>
      </c>
      <c r="C19016" s="40" t="n">
        <v>-46.67149</v>
      </c>
      <c r="D19016" s="40" t="n">
        <v>1</v>
      </c>
      <c r="E19016" s="41" t="n">
        <v>7.7022581</v>
      </c>
    </row>
    <row r="19017">
      <c r="A19017" s="42">
        <f>_xlfn.XLOOKUP(83498,Trip[shape_id],Trip[shape_id],"Não encontrado")</f>
        <v/>
      </c>
      <c r="B19017" s="43" t="n">
        <v>-23.458081</v>
      </c>
      <c r="C19017" s="43" t="n">
        <v>-46.671565</v>
      </c>
      <c r="D19017" s="43" t="n">
        <v>2</v>
      </c>
      <c r="E19017" s="44" t="n">
        <v>7.7022581</v>
      </c>
    </row>
    <row r="19018">
      <c r="A19018" s="39">
        <f>_xlfn.XLOOKUP(83498,Trip[shape_id],Trip[shape_id],"Não encontrado")</f>
        <v/>
      </c>
      <c r="B19018" s="40" t="n">
        <v>-23.458096</v>
      </c>
      <c r="C19018" s="40" t="n">
        <v>-46.67194</v>
      </c>
      <c r="D19018" s="40" t="n">
        <v>3</v>
      </c>
      <c r="E19018" s="41" t="n">
        <v>58.638153</v>
      </c>
    </row>
    <row r="19019">
      <c r="A19019" s="42">
        <f>_xlfn.XLOOKUP(83498,Trip[shape_id],Trip[shape_id],"Não encontrado")</f>
        <v/>
      </c>
      <c r="B19019" s="43" t="n">
        <v>-23.45809</v>
      </c>
      <c r="C19019" s="43" t="n">
        <v>-46.672063</v>
      </c>
      <c r="D19019" s="43" t="n">
        <v>4</v>
      </c>
      <c r="E19019" s="44" t="n">
        <v>70.910034</v>
      </c>
    </row>
    <row r="19020">
      <c r="A19020" s="39">
        <f>_xlfn.XLOOKUP(83498,Trip[shape_id],Trip[shape_id],"Não encontrado")</f>
        <v/>
      </c>
      <c r="B19020" s="40" t="n">
        <v>-23.458075</v>
      </c>
      <c r="C19020" s="40" t="n">
        <v>-46.672182</v>
      </c>
      <c r="D19020" s="40" t="n">
        <v>5</v>
      </c>
      <c r="E19020" s="41" t="n">
        <v>71.985016</v>
      </c>
    </row>
    <row r="19021">
      <c r="A19021" s="42">
        <f>_xlfn.XLOOKUP(83498,Trip[shape_id],Trip[shape_id],"Não encontrado")</f>
        <v/>
      </c>
      <c r="B19021" s="43" t="n">
        <v>-23.458072</v>
      </c>
      <c r="C19021" s="43" t="n">
        <v>-46.672192</v>
      </c>
      <c r="D19021" s="43" t="n">
        <v>6</v>
      </c>
      <c r="E19021" s="44" t="n">
        <v>71.985016</v>
      </c>
    </row>
    <row r="19022">
      <c r="A19022" s="39">
        <f>_xlfn.XLOOKUP(83498,Trip[shape_id],Trip[shape_id],"Não encontrado")</f>
        <v/>
      </c>
      <c r="B19022" s="40" t="n">
        <v>-23.458047</v>
      </c>
      <c r="C19022" s="40" t="n">
        <v>-46.672286</v>
      </c>
      <c r="D19022" s="40" t="n">
        <v>7</v>
      </c>
      <c r="E19022" s="41" t="n">
        <v>81.980751</v>
      </c>
    </row>
    <row r="19023">
      <c r="A19023" s="42">
        <f>_xlfn.XLOOKUP(83498,Trip[shape_id],Trip[shape_id],"Não encontrado")</f>
        <v/>
      </c>
      <c r="B19023" s="43" t="n">
        <v>-23.458037</v>
      </c>
      <c r="C19023" s="43" t="n">
        <v>-46.672323</v>
      </c>
      <c r="D19023" s="43" t="n">
        <v>8</v>
      </c>
      <c r="E19023" s="44" t="n">
        <v>88.70784</v>
      </c>
    </row>
    <row r="19024">
      <c r="A19024" s="39">
        <f>_xlfn.XLOOKUP(83498,Trip[shape_id],Trip[shape_id],"Não encontrado")</f>
        <v/>
      </c>
      <c r="B19024" s="40" t="n">
        <v>-23.458025</v>
      </c>
      <c r="C19024" s="40" t="n">
        <v>-46.672347</v>
      </c>
      <c r="D19024" s="40" t="n">
        <v>9</v>
      </c>
      <c r="E19024" s="41" t="n">
        <v>119.20861</v>
      </c>
    </row>
    <row r="19025">
      <c r="A19025" s="42">
        <f>_xlfn.XLOOKUP(83498,Trip[shape_id],Trip[shape_id],"Não encontrado")</f>
        <v/>
      </c>
      <c r="B19025" s="43" t="n">
        <v>-23.4579</v>
      </c>
      <c r="C19025" s="43" t="n">
        <v>-46.672613</v>
      </c>
      <c r="D19025" s="43" t="n">
        <v>10</v>
      </c>
      <c r="E19025" s="44" t="n">
        <v>119.20861</v>
      </c>
    </row>
    <row r="19026">
      <c r="A19026" s="39">
        <f>_xlfn.XLOOKUP(83498,Trip[shape_id],Trip[shape_id],"Não encontrado")</f>
        <v/>
      </c>
      <c r="B19026" s="40" t="n">
        <v>-23.457857</v>
      </c>
      <c r="C19026" s="40" t="n">
        <v>-46.672698</v>
      </c>
      <c r="D19026" s="40" t="n">
        <v>11</v>
      </c>
      <c r="E19026" s="41" t="n">
        <v>134.84683</v>
      </c>
    </row>
    <row r="19027">
      <c r="A19027" s="42">
        <f>_xlfn.XLOOKUP(83498,Trip[shape_id],Trip[shape_id],"Não encontrado")</f>
        <v/>
      </c>
      <c r="B19027" s="43" t="n">
        <v>-23.45784</v>
      </c>
      <c r="C19027" s="43" t="n">
        <v>-46.672751</v>
      </c>
      <c r="D19027" s="43" t="n">
        <v>12</v>
      </c>
      <c r="E19027" s="44" t="n">
        <v>141.50238</v>
      </c>
    </row>
    <row r="19028">
      <c r="A19028" s="39">
        <f>_xlfn.XLOOKUP(83498,Trip[shape_id],Trip[shape_id],"Não encontrado")</f>
        <v/>
      </c>
      <c r="B19028" s="40" t="n">
        <v>-23.457836</v>
      </c>
      <c r="C19028" s="40" t="n">
        <v>-46.672816</v>
      </c>
      <c r="D19028" s="40" t="n">
        <v>13</v>
      </c>
      <c r="E19028" s="41" t="n">
        <v>141.50238</v>
      </c>
    </row>
    <row r="19029">
      <c r="A19029" s="42">
        <f>_xlfn.XLOOKUP(83498,Trip[shape_id],Trip[shape_id],"Não encontrado")</f>
        <v/>
      </c>
      <c r="B19029" s="43" t="n">
        <v>-23.457718</v>
      </c>
      <c r="C19029" s="43" t="n">
        <v>-46.672916</v>
      </c>
      <c r="D19029" s="43" t="n">
        <v>14</v>
      </c>
      <c r="E19029" s="44" t="n">
        <v>158.09109</v>
      </c>
    </row>
    <row r="19030">
      <c r="A19030" s="39">
        <f>_xlfn.XLOOKUP(83498,Trip[shape_id],Trip[shape_id],"Não encontrado")</f>
        <v/>
      </c>
      <c r="B19030" s="40" t="n">
        <v>-23.457685</v>
      </c>
      <c r="C19030" s="40" t="n">
        <v>-46.672937</v>
      </c>
      <c r="D19030" s="40" t="n">
        <v>15</v>
      </c>
      <c r="E19030" s="41" t="n">
        <v>170.41911</v>
      </c>
    </row>
    <row r="19031">
      <c r="A19031" s="42">
        <f>_xlfn.XLOOKUP(83498,Trip[shape_id],Trip[shape_id],"Não encontrado")</f>
        <v/>
      </c>
      <c r="B19031" s="43" t="n">
        <v>-23.457612</v>
      </c>
      <c r="C19031" s="43" t="n">
        <v>-46.672934</v>
      </c>
      <c r="D19031" s="43" t="n">
        <v>16</v>
      </c>
      <c r="E19031" s="44" t="n">
        <v>176.24693</v>
      </c>
    </row>
    <row r="19032">
      <c r="A19032" s="39">
        <f>_xlfn.XLOOKUP(83498,Trip[shape_id],Trip[shape_id],"Não encontrado")</f>
        <v/>
      </c>
      <c r="B19032" s="40" t="n">
        <v>-23.45761</v>
      </c>
      <c r="C19032" s="40" t="n">
        <v>-46.672991</v>
      </c>
      <c r="D19032" s="40" t="n">
        <v>17</v>
      </c>
      <c r="E19032" s="41" t="n">
        <v>184.02881</v>
      </c>
    </row>
    <row r="19033">
      <c r="A19033" s="42">
        <f>_xlfn.XLOOKUP(83498,Trip[shape_id],Trip[shape_id],"Não encontrado")</f>
        <v/>
      </c>
      <c r="B19033" s="43" t="n">
        <v>-23.457552</v>
      </c>
      <c r="C19033" s="43" t="n">
        <v>-46.673034</v>
      </c>
      <c r="D19033" s="43" t="n">
        <v>18</v>
      </c>
      <c r="E19033" s="44" t="n">
        <v>242.44003</v>
      </c>
    </row>
    <row r="19034">
      <c r="A19034" s="39">
        <f>_xlfn.XLOOKUP(83498,Trip[shape_id],Trip[shape_id],"Não encontrado")</f>
        <v/>
      </c>
      <c r="B19034" s="40" t="n">
        <v>-23.457128</v>
      </c>
      <c r="C19034" s="40" t="n">
        <v>-46.673374</v>
      </c>
      <c r="D19034" s="40" t="n">
        <v>19</v>
      </c>
      <c r="E19034" s="41" t="n">
        <v>242.44003</v>
      </c>
    </row>
    <row r="19035">
      <c r="A19035" s="42">
        <f>_xlfn.XLOOKUP(83498,Trip[shape_id],Trip[shape_id],"Não encontrado")</f>
        <v/>
      </c>
      <c r="B19035" s="43" t="n">
        <v>-23.456988</v>
      </c>
      <c r="C19035" s="43" t="n">
        <v>-46.673479</v>
      </c>
      <c r="D19035" s="43" t="n">
        <v>20</v>
      </c>
      <c r="E19035" s="44" t="n">
        <v>286.9205</v>
      </c>
    </row>
    <row r="19036">
      <c r="A19036" s="39">
        <f>_xlfn.XLOOKUP(83498,Trip[shape_id],Trip[shape_id],"Não encontrado")</f>
        <v/>
      </c>
      <c r="B19036" s="40" t="n">
        <v>-23.456793</v>
      </c>
      <c r="C19036" s="40" t="n">
        <v>-46.673614</v>
      </c>
      <c r="D19036" s="40" t="n">
        <v>21</v>
      </c>
      <c r="E19036" s="41" t="n">
        <v>286.9205</v>
      </c>
    </row>
    <row r="19037">
      <c r="A19037" s="42">
        <f>_xlfn.XLOOKUP(83498,Trip[shape_id],Trip[shape_id],"Não encontrado")</f>
        <v/>
      </c>
      <c r="B19037" s="43" t="n">
        <v>-23.456676</v>
      </c>
      <c r="C19037" s="43" t="n">
        <v>-46.673693</v>
      </c>
      <c r="D19037" s="43" t="n">
        <v>22</v>
      </c>
      <c r="E19037" s="44" t="n">
        <v>315.87134</v>
      </c>
    </row>
    <row r="19038">
      <c r="A19038" s="39">
        <f>_xlfn.XLOOKUP(83498,Trip[shape_id],Trip[shape_id],"Não encontrado")</f>
        <v/>
      </c>
      <c r="B19038" s="40" t="n">
        <v>-23.456561</v>
      </c>
      <c r="C19038" s="40" t="n">
        <v>-46.673742</v>
      </c>
      <c r="D19038" s="40" t="n">
        <v>23</v>
      </c>
      <c r="E19038" s="41" t="n">
        <v>315.87134</v>
      </c>
    </row>
    <row r="19039">
      <c r="A19039" s="42">
        <f>_xlfn.XLOOKUP(83498,Trip[shape_id],Trip[shape_id],"Não encontrado")</f>
        <v/>
      </c>
      <c r="B19039" s="43" t="n">
        <v>-23.456448</v>
      </c>
      <c r="C19039" s="43" t="n">
        <v>-46.673775</v>
      </c>
      <c r="D19039" s="43" t="n">
        <v>24</v>
      </c>
      <c r="E19039" s="44" t="n">
        <v>342.31866</v>
      </c>
    </row>
    <row r="19040">
      <c r="A19040" s="39">
        <f>_xlfn.XLOOKUP(83498,Trip[shape_id],Trip[shape_id],"Não encontrado")</f>
        <v/>
      </c>
      <c r="B19040" s="40" t="n">
        <v>-23.456329</v>
      </c>
      <c r="C19040" s="40" t="n">
        <v>-46.673803</v>
      </c>
      <c r="D19040" s="40" t="n">
        <v>25</v>
      </c>
      <c r="E19040" s="41" t="n">
        <v>405.84982</v>
      </c>
    </row>
    <row r="19041">
      <c r="A19041" s="42">
        <f>_xlfn.XLOOKUP(83498,Trip[shape_id],Trip[shape_id],"Não encontrado")</f>
        <v/>
      </c>
      <c r="B19041" s="43" t="n">
        <v>-23.455761</v>
      </c>
      <c r="C19041" s="43" t="n">
        <v>-46.67389</v>
      </c>
      <c r="D19041" s="43" t="n">
        <v>26</v>
      </c>
      <c r="E19041" s="44" t="n">
        <v>405.84982</v>
      </c>
    </row>
    <row r="19042">
      <c r="A19042" s="39">
        <f>_xlfn.XLOOKUP(83498,Trip[shape_id],Trip[shape_id],"Não encontrado")</f>
        <v/>
      </c>
      <c r="B19042" s="40" t="n">
        <v>-23.455579</v>
      </c>
      <c r="C19042" s="40" t="n">
        <v>-46.673905</v>
      </c>
      <c r="D19042" s="40" t="n">
        <v>27</v>
      </c>
      <c r="E19042" s="41" t="n">
        <v>439.2453</v>
      </c>
    </row>
    <row r="19043">
      <c r="A19043" s="42">
        <f>_xlfn.XLOOKUP(83498,Trip[shape_id],Trip[shape_id],"Não encontrado")</f>
        <v/>
      </c>
      <c r="B19043" s="43" t="n">
        <v>-23.45546</v>
      </c>
      <c r="C19043" s="43" t="n">
        <v>-46.673907</v>
      </c>
      <c r="D19043" s="43" t="n">
        <v>28</v>
      </c>
      <c r="E19043" s="44" t="n">
        <v>460.87622</v>
      </c>
    </row>
    <row r="19044">
      <c r="A19044" s="39">
        <f>_xlfn.XLOOKUP(83498,Trip[shape_id],Trip[shape_id],"Não encontrado")</f>
        <v/>
      </c>
      <c r="B19044" s="40" t="n">
        <v>-23.455265</v>
      </c>
      <c r="C19044" s="40" t="n">
        <v>-46.673895</v>
      </c>
      <c r="D19044" s="40" t="n">
        <v>29</v>
      </c>
      <c r="E19044" s="41" t="n">
        <v>482.19901</v>
      </c>
    </row>
    <row r="19045">
      <c r="A19045" s="42">
        <f>_xlfn.XLOOKUP(83498,Trip[shape_id],Trip[shape_id],"Não encontrado")</f>
        <v/>
      </c>
      <c r="B19045" s="43" t="n">
        <v>-23.455077</v>
      </c>
      <c r="C19045" s="43" t="n">
        <v>-46.67385</v>
      </c>
      <c r="D19045" s="43" t="n">
        <v>30</v>
      </c>
      <c r="E19045" s="44" t="n">
        <v>505.61295</v>
      </c>
    </row>
    <row r="19046">
      <c r="A19046" s="39">
        <f>_xlfn.XLOOKUP(83498,Trip[shape_id],Trip[shape_id],"Não encontrado")</f>
        <v/>
      </c>
      <c r="B19046" s="40" t="n">
        <v>-23.454874</v>
      </c>
      <c r="C19046" s="40" t="n">
        <v>-46.673786</v>
      </c>
      <c r="D19046" s="40" t="n">
        <v>31</v>
      </c>
      <c r="E19046" s="41" t="n">
        <v>535.02808</v>
      </c>
    </row>
    <row r="19047">
      <c r="A19047" s="42">
        <f>_xlfn.XLOOKUP(83498,Trip[shape_id],Trip[shape_id],"Não encontrado")</f>
        <v/>
      </c>
      <c r="B19047" s="43" t="n">
        <v>-23.454633</v>
      </c>
      <c r="C19047" s="43" t="n">
        <v>-46.673665</v>
      </c>
      <c r="D19047" s="43" t="n">
        <v>32</v>
      </c>
      <c r="E19047" s="44" t="n">
        <v>554.21002</v>
      </c>
    </row>
    <row r="19048">
      <c r="A19048" s="39">
        <f>_xlfn.XLOOKUP(83498,Trip[shape_id],Trip[shape_id],"Não encontrado")</f>
        <v/>
      </c>
      <c r="B19048" s="40" t="n">
        <v>-23.454481</v>
      </c>
      <c r="C19048" s="40" t="n">
        <v>-46.673575</v>
      </c>
      <c r="D19048" s="40" t="n">
        <v>33</v>
      </c>
      <c r="E19048" s="41" t="n">
        <v>562.1455099999999</v>
      </c>
    </row>
    <row r="19049">
      <c r="A19049" s="42">
        <f>_xlfn.XLOOKUP(83498,Trip[shape_id],Trip[shape_id],"Não encontrado")</f>
        <v/>
      </c>
      <c r="B19049" s="43" t="n">
        <v>-23.454418</v>
      </c>
      <c r="C19049" s="43" t="n">
        <v>-46.673538</v>
      </c>
      <c r="D19049" s="43" t="n">
        <v>34</v>
      </c>
      <c r="E19049" s="44" t="n">
        <v>562.1455099999999</v>
      </c>
    </row>
    <row r="19050">
      <c r="A19050" s="39">
        <f>_xlfn.XLOOKUP(83498,Trip[shape_id],Trip[shape_id],"Não encontrado")</f>
        <v/>
      </c>
      <c r="B19050" s="40" t="n">
        <v>-23.454117</v>
      </c>
      <c r="C19050" s="40" t="n">
        <v>-46.673281</v>
      </c>
      <c r="D19050" s="40" t="n">
        <v>35</v>
      </c>
      <c r="E19050" s="41" t="n">
        <v>644.87219</v>
      </c>
    </row>
    <row r="19051">
      <c r="A19051" s="42">
        <f>_xlfn.XLOOKUP(83498,Trip[shape_id],Trip[shape_id],"Não encontrado")</f>
        <v/>
      </c>
      <c r="B19051" s="43" t="n">
        <v>-23.453851</v>
      </c>
      <c r="C19051" s="43" t="n">
        <v>-46.673012</v>
      </c>
      <c r="D19051" s="43" t="n">
        <v>36</v>
      </c>
      <c r="E19051" s="44" t="n">
        <v>644.87219</v>
      </c>
    </row>
    <row r="19052">
      <c r="A19052" s="39">
        <f>_xlfn.XLOOKUP(83498,Trip[shape_id],Trip[shape_id],"Não encontrado")</f>
        <v/>
      </c>
      <c r="B19052" s="40" t="n">
        <v>-23.453755</v>
      </c>
      <c r="C19052" s="40" t="n">
        <v>-46.672868</v>
      </c>
      <c r="D19052" s="40" t="n">
        <v>37</v>
      </c>
      <c r="E19052" s="41" t="n">
        <v>672.07733</v>
      </c>
    </row>
    <row r="19053">
      <c r="A19053" s="42">
        <f>_xlfn.XLOOKUP(83498,Trip[shape_id],Trip[shape_id],"Não encontrado")</f>
        <v/>
      </c>
      <c r="B19053" s="43" t="n">
        <v>-23.453718</v>
      </c>
      <c r="C19053" s="43" t="n">
        <v>-46.672789</v>
      </c>
      <c r="D19053" s="43" t="n">
        <v>38</v>
      </c>
      <c r="E19053" s="44" t="n">
        <v>679.09656</v>
      </c>
    </row>
    <row r="19054">
      <c r="A19054" s="39">
        <f>_xlfn.XLOOKUP(83498,Trip[shape_id],Trip[shape_id],"Não encontrado")</f>
        <v/>
      </c>
      <c r="B19054" s="40" t="n">
        <v>-23.453704</v>
      </c>
      <c r="C19054" s="40" t="n">
        <v>-46.672722</v>
      </c>
      <c r="D19054" s="40" t="n">
        <v>39</v>
      </c>
      <c r="E19054" s="41" t="n">
        <v>706.50171</v>
      </c>
    </row>
    <row r="19055">
      <c r="A19055" s="42">
        <f>_xlfn.XLOOKUP(83498,Trip[shape_id],Trip[shape_id],"Não encontrado")</f>
        <v/>
      </c>
      <c r="B19055" s="43" t="n">
        <v>-23.453647</v>
      </c>
      <c r="C19055" s="43" t="n">
        <v>-46.672461</v>
      </c>
      <c r="D19055" s="43" t="n">
        <v>40</v>
      </c>
      <c r="E19055" s="44" t="n">
        <v>724.19952</v>
      </c>
    </row>
    <row r="19056">
      <c r="A19056" s="39">
        <f>_xlfn.XLOOKUP(83498,Trip[shape_id],Trip[shape_id],"Não encontrado")</f>
        <v/>
      </c>
      <c r="B19056" s="40" t="n">
        <v>-23.453612</v>
      </c>
      <c r="C19056" s="40" t="n">
        <v>-46.672292</v>
      </c>
      <c r="D19056" s="40" t="n">
        <v>41</v>
      </c>
      <c r="E19056" s="41" t="n">
        <v>724.19952</v>
      </c>
    </row>
    <row r="19057">
      <c r="A19057" s="42">
        <f>_xlfn.XLOOKUP(83498,Trip[shape_id],Trip[shape_id],"Não encontrado")</f>
        <v/>
      </c>
      <c r="B19057" s="43" t="n">
        <v>-23.45357</v>
      </c>
      <c r="C19057" s="43" t="n">
        <v>-46.672073</v>
      </c>
      <c r="D19057" s="43" t="n">
        <v>42</v>
      </c>
      <c r="E19057" s="44" t="n">
        <v>747.0546900000001</v>
      </c>
    </row>
    <row r="19058">
      <c r="A19058" s="39">
        <f>_xlfn.XLOOKUP(83498,Trip[shape_id],Trip[shape_id],"Não encontrado")</f>
        <v/>
      </c>
      <c r="B19058" s="40" t="n">
        <v>-23.453547</v>
      </c>
      <c r="C19058" s="40" t="n">
        <v>-46.67197</v>
      </c>
      <c r="D19058" s="40" t="n">
        <v>43</v>
      </c>
      <c r="E19058" s="41" t="n">
        <v>765.86224</v>
      </c>
    </row>
    <row r="19059">
      <c r="A19059" s="42">
        <f>_xlfn.XLOOKUP(83498,Trip[shape_id],Trip[shape_id],"Não encontrado")</f>
        <v/>
      </c>
      <c r="B19059" s="43" t="n">
        <v>-23.453535</v>
      </c>
      <c r="C19059" s="43" t="n">
        <v>-46.671893</v>
      </c>
      <c r="D19059" s="43" t="n">
        <v>44</v>
      </c>
      <c r="E19059" s="44" t="n">
        <v>765.86224</v>
      </c>
    </row>
    <row r="19060">
      <c r="A19060" s="39">
        <f>_xlfn.XLOOKUP(83498,Trip[shape_id],Trip[shape_id],"Não encontrado")</f>
        <v/>
      </c>
      <c r="B19060" s="40" t="n">
        <v>-23.453491</v>
      </c>
      <c r="C19060" s="40" t="n">
        <v>-46.671666</v>
      </c>
      <c r="D19060" s="40" t="n">
        <v>45</v>
      </c>
      <c r="E19060" s="41" t="n">
        <v>814.70868</v>
      </c>
    </row>
    <row r="19061">
      <c r="A19061" s="42">
        <f>_xlfn.XLOOKUP(83498,Trip[shape_id],Trip[shape_id],"Não encontrado")</f>
        <v/>
      </c>
      <c r="B19061" s="43" t="n">
        <v>-23.453445</v>
      </c>
      <c r="C19061" s="43" t="n">
        <v>-46.671425</v>
      </c>
      <c r="D19061" s="43" t="n">
        <v>46</v>
      </c>
      <c r="E19061" s="44" t="n">
        <v>819.98206</v>
      </c>
    </row>
    <row r="19062">
      <c r="A19062" s="39">
        <f>_xlfn.XLOOKUP(83498,Trip[shape_id],Trip[shape_id],"Não encontrado")</f>
        <v/>
      </c>
      <c r="B19062" s="40" t="n">
        <v>-23.45341</v>
      </c>
      <c r="C19062" s="40" t="n">
        <v>-46.67139</v>
      </c>
      <c r="D19062" s="40" t="n">
        <v>47</v>
      </c>
      <c r="E19062" s="41" t="n">
        <v>819.98206</v>
      </c>
    </row>
    <row r="19063">
      <c r="A19063" s="42">
        <f>_xlfn.XLOOKUP(83498,Trip[shape_id],Trip[shape_id],"Não encontrado")</f>
        <v/>
      </c>
      <c r="B19063" s="43" t="n">
        <v>-23.453465</v>
      </c>
      <c r="C19063" s="43" t="n">
        <v>-46.670695</v>
      </c>
      <c r="D19063" s="43" t="n">
        <v>48</v>
      </c>
      <c r="E19063" s="44" t="n">
        <v>920.61987</v>
      </c>
    </row>
    <row r="19064">
      <c r="A19064" s="39">
        <f>_xlfn.XLOOKUP(83498,Trip[shape_id],Trip[shape_id],"Não encontrado")</f>
        <v/>
      </c>
      <c r="B19064" s="40" t="n">
        <v>-23.453491</v>
      </c>
      <c r="C19064" s="40" t="n">
        <v>-46.670409</v>
      </c>
      <c r="D19064" s="40" t="n">
        <v>49</v>
      </c>
      <c r="E19064" s="41" t="n">
        <v>934.23517</v>
      </c>
    </row>
    <row r="19065">
      <c r="A19065" s="42">
        <f>_xlfn.XLOOKUP(83498,Trip[shape_id],Trip[shape_id],"Não encontrado")</f>
        <v/>
      </c>
      <c r="B19065" s="43" t="n">
        <v>-23.453518</v>
      </c>
      <c r="C19065" s="43" t="n">
        <v>-46.670279</v>
      </c>
      <c r="D19065" s="43" t="n">
        <v>50</v>
      </c>
      <c r="E19065" s="44" t="n">
        <v>946.82593</v>
      </c>
    </row>
    <row r="19066">
      <c r="A19066" s="39">
        <f>_xlfn.XLOOKUP(83498,Trip[shape_id],Trip[shape_id],"Não encontrado")</f>
        <v/>
      </c>
      <c r="B19066" s="40" t="n">
        <v>-23.453534</v>
      </c>
      <c r="C19066" s="40" t="n">
        <v>-46.670157</v>
      </c>
      <c r="D19066" s="40" t="n">
        <v>51</v>
      </c>
      <c r="E19066" s="41" t="n">
        <v>963.43414</v>
      </c>
    </row>
    <row r="19067">
      <c r="A19067" s="42">
        <f>_xlfn.XLOOKUP(83498,Trip[shape_id],Trip[shape_id],"Não encontrado")</f>
        <v/>
      </c>
      <c r="B19067" s="43" t="n">
        <v>-23.453596</v>
      </c>
      <c r="C19067" s="43" t="n">
        <v>-46.670009</v>
      </c>
      <c r="D19067" s="43" t="n">
        <v>52</v>
      </c>
      <c r="E19067" s="44" t="n">
        <v>963.43414</v>
      </c>
    </row>
    <row r="19068">
      <c r="A19068" s="39">
        <f>_xlfn.XLOOKUP(83498,Trip[shape_id],Trip[shape_id],"Não encontrado")</f>
        <v/>
      </c>
      <c r="B19068" s="40" t="n">
        <v>-23.45386</v>
      </c>
      <c r="C19068" s="40" t="n">
        <v>-46.669424</v>
      </c>
      <c r="D19068" s="40" t="n">
        <v>53</v>
      </c>
      <c r="E19068" s="41" t="n">
        <v>1064.3625</v>
      </c>
    </row>
    <row r="19069">
      <c r="A19069" s="42">
        <f>_xlfn.XLOOKUP(83498,Trip[shape_id],Trip[shape_id],"Não encontrado")</f>
        <v/>
      </c>
      <c r="B19069" s="43" t="n">
        <v>-23.454035</v>
      </c>
      <c r="C19069" s="43" t="n">
        <v>-46.669146</v>
      </c>
      <c r="D19069" s="43" t="n">
        <v>54</v>
      </c>
      <c r="E19069" s="44" t="n">
        <v>1092.7914</v>
      </c>
    </row>
    <row r="19070">
      <c r="A19070" s="39">
        <f>_xlfn.XLOOKUP(83498,Trip[shape_id],Trip[shape_id],"Não encontrado")</f>
        <v/>
      </c>
      <c r="B19070" s="40" t="n">
        <v>-23.454186</v>
      </c>
      <c r="C19070" s="40" t="n">
        <v>-46.668921</v>
      </c>
      <c r="D19070" s="40" t="n">
        <v>55</v>
      </c>
      <c r="E19070" s="41" t="n">
        <v>1109.8578</v>
      </c>
    </row>
    <row r="19071">
      <c r="A19071" s="42">
        <f>_xlfn.XLOOKUP(83498,Trip[shape_id],Trip[shape_id],"Não encontrado")</f>
        <v/>
      </c>
      <c r="B19071" s="43" t="n">
        <v>-23.454285</v>
      </c>
      <c r="C19071" s="43" t="n">
        <v>-46.668793</v>
      </c>
      <c r="D19071" s="43" t="n">
        <v>56</v>
      </c>
      <c r="E19071" s="44" t="n">
        <v>1109.8578</v>
      </c>
    </row>
    <row r="19072">
      <c r="A19072" s="39">
        <f>_xlfn.XLOOKUP(83498,Trip[shape_id],Trip[shape_id],"Não encontrado")</f>
        <v/>
      </c>
      <c r="B19072" s="40" t="n">
        <v>-23.454644</v>
      </c>
      <c r="C19072" s="40" t="n">
        <v>-46.668279</v>
      </c>
      <c r="D19072" s="40" t="n">
        <v>57</v>
      </c>
      <c r="E19072" s="41" t="n">
        <v>1193.1907</v>
      </c>
    </row>
    <row r="19073">
      <c r="A19073" s="42">
        <f>_xlfn.XLOOKUP(83498,Trip[shape_id],Trip[shape_id],"Não encontrado")</f>
        <v/>
      </c>
      <c r="B19073" s="43" t="n">
        <v>-23.454737</v>
      </c>
      <c r="C19073" s="43" t="n">
        <v>-46.668141</v>
      </c>
      <c r="D19073" s="43" t="n">
        <v>58</v>
      </c>
      <c r="E19073" s="44" t="n">
        <v>1201.1731</v>
      </c>
    </row>
    <row r="19074">
      <c r="A19074" s="39">
        <f>_xlfn.XLOOKUP(83498,Trip[shape_id],Trip[shape_id],"Não encontrado")</f>
        <v/>
      </c>
      <c r="B19074" s="40" t="n">
        <v>-23.454769</v>
      </c>
      <c r="C19074" s="40" t="n">
        <v>-46.668071</v>
      </c>
      <c r="D19074" s="40" t="n">
        <v>59</v>
      </c>
      <c r="E19074" s="41" t="n">
        <v>1215.901</v>
      </c>
    </row>
    <row r="19075">
      <c r="A19075" s="42">
        <f>_xlfn.XLOOKUP(83498,Trip[shape_id],Trip[shape_id],"Não encontrado")</f>
        <v/>
      </c>
      <c r="B19075" s="43" t="n">
        <v>-23.454818</v>
      </c>
      <c r="C19075" s="43" t="n">
        <v>-46.667937</v>
      </c>
      <c r="D19075" s="43" t="n">
        <v>60</v>
      </c>
      <c r="E19075" s="44" t="n">
        <v>1234.0349</v>
      </c>
    </row>
    <row r="19076">
      <c r="A19076" s="39">
        <f>_xlfn.XLOOKUP(83498,Trip[shape_id],Trip[shape_id],"Não encontrado")</f>
        <v/>
      </c>
      <c r="B19076" s="40" t="n">
        <v>-23.454868</v>
      </c>
      <c r="C19076" s="40" t="n">
        <v>-46.667768</v>
      </c>
      <c r="D19076" s="40" t="n">
        <v>61</v>
      </c>
      <c r="E19076" s="41" t="n">
        <v>1246.4978</v>
      </c>
    </row>
    <row r="19077">
      <c r="A19077" s="42">
        <f>_xlfn.XLOOKUP(83498,Trip[shape_id],Trip[shape_id],"Não encontrado")</f>
        <v/>
      </c>
      <c r="B19077" s="43" t="n">
        <v>-23.454935</v>
      </c>
      <c r="C19077" s="43" t="n">
        <v>-46.66767</v>
      </c>
      <c r="D19077" s="43" t="n">
        <v>62</v>
      </c>
      <c r="E19077" s="44" t="n">
        <v>1246.4978</v>
      </c>
    </row>
    <row r="19078">
      <c r="A19078" s="39">
        <f>_xlfn.XLOOKUP(83498,Trip[shape_id],Trip[shape_id],"Não encontrado")</f>
        <v/>
      </c>
      <c r="B19078" s="40" t="n">
        <v>-23.45524</v>
      </c>
      <c r="C19078" s="40" t="n">
        <v>-46.66771</v>
      </c>
      <c r="D19078" s="40" t="n">
        <v>63</v>
      </c>
      <c r="E19078" s="41" t="n">
        <v>1280.5229</v>
      </c>
    </row>
    <row r="19079">
      <c r="A19079" s="42">
        <f>_xlfn.XLOOKUP(83498,Trip[shape_id],Trip[shape_id],"Não encontrado")</f>
        <v/>
      </c>
      <c r="B19079" s="43" t="n">
        <v>-23.455584</v>
      </c>
      <c r="C19079" s="43" t="n">
        <v>-46.667747</v>
      </c>
      <c r="D19079" s="43" t="n">
        <v>64</v>
      </c>
      <c r="E19079" s="44" t="n">
        <v>1318.8082</v>
      </c>
    </row>
    <row r="19080">
      <c r="A19080" s="39">
        <f>_xlfn.XLOOKUP(83498,Trip[shape_id],Trip[shape_id],"Não encontrado")</f>
        <v/>
      </c>
      <c r="B19080" s="40" t="n">
        <v>-23.455647</v>
      </c>
      <c r="C19080" s="40" t="n">
        <v>-46.667787</v>
      </c>
      <c r="D19080" s="40" t="n">
        <v>65</v>
      </c>
      <c r="E19080" s="41" t="n">
        <v>1326.8948</v>
      </c>
    </row>
    <row r="19081">
      <c r="A19081" s="42">
        <f>_xlfn.XLOOKUP(83498,Trip[shape_id],Trip[shape_id],"Não encontrado")</f>
        <v/>
      </c>
      <c r="B19081" s="43" t="n">
        <v>-23.455685</v>
      </c>
      <c r="C19081" s="43" t="n">
        <v>-46.667792</v>
      </c>
      <c r="D19081" s="43" t="n">
        <v>66</v>
      </c>
      <c r="E19081" s="44" t="n">
        <v>1331.1333</v>
      </c>
    </row>
    <row r="19082">
      <c r="A19082" s="39">
        <f>_xlfn.XLOOKUP(83498,Trip[shape_id],Trip[shape_id],"Não encontrado")</f>
        <v/>
      </c>
      <c r="B19082" s="40" t="n">
        <v>-23.455723</v>
      </c>
      <c r="C19082" s="40" t="n">
        <v>-46.6678</v>
      </c>
      <c r="D19082" s="40" t="n">
        <v>67</v>
      </c>
      <c r="E19082" s="41" t="n">
        <v>1335.4207</v>
      </c>
    </row>
    <row r="19083">
      <c r="A19083" s="42">
        <f>_xlfn.XLOOKUP(83498,Trip[shape_id],Trip[shape_id],"Não encontrado")</f>
        <v/>
      </c>
      <c r="B19083" s="43" t="n">
        <v>-23.45576</v>
      </c>
      <c r="C19083" s="43" t="n">
        <v>-46.667777</v>
      </c>
      <c r="D19083" s="43" t="n">
        <v>68</v>
      </c>
      <c r="E19083" s="44" t="n">
        <v>1340.1437</v>
      </c>
    </row>
    <row r="19084">
      <c r="A19084" s="39">
        <f>_xlfn.XLOOKUP(83498,Trip[shape_id],Trip[shape_id],"Não encontrado")</f>
        <v/>
      </c>
      <c r="B19084" s="40" t="n">
        <v>-23.455805</v>
      </c>
      <c r="C19084" s="40" t="n">
        <v>-46.667787</v>
      </c>
      <c r="D19084" s="40" t="n">
        <v>69</v>
      </c>
      <c r="E19084" s="41" t="n">
        <v>1345.2303</v>
      </c>
    </row>
    <row r="19085">
      <c r="A19085" s="42">
        <f>_xlfn.XLOOKUP(83498,Trip[shape_id],Trip[shape_id],"Não encontrado")</f>
        <v/>
      </c>
      <c r="B19085" s="43" t="n">
        <v>-23.455963</v>
      </c>
      <c r="C19085" s="43" t="n">
        <v>-46.667833</v>
      </c>
      <c r="D19085" s="43" t="n">
        <v>70</v>
      </c>
      <c r="E19085" s="44" t="n">
        <v>1363.3491</v>
      </c>
    </row>
    <row r="19086">
      <c r="A19086" s="39">
        <f>_xlfn.XLOOKUP(83498,Trip[shape_id],Trip[shape_id],"Não encontrado")</f>
        <v/>
      </c>
      <c r="B19086" s="40" t="n">
        <v>-23.456049</v>
      </c>
      <c r="C19086" s="40" t="n">
        <v>-46.667835</v>
      </c>
      <c r="D19086" s="40" t="n">
        <v>71</v>
      </c>
      <c r="E19086" s="41" t="n">
        <v>1372.8756</v>
      </c>
    </row>
    <row r="19087">
      <c r="A19087" s="42">
        <f>_xlfn.XLOOKUP(83498,Trip[shape_id],Trip[shape_id],"Não encontrado")</f>
        <v/>
      </c>
      <c r="B19087" s="43" t="n">
        <v>-23.456101</v>
      </c>
      <c r="C19087" s="43" t="n">
        <v>-46.667807</v>
      </c>
      <c r="D19087" s="43" t="n">
        <v>72</v>
      </c>
      <c r="E19087" s="44" t="n">
        <v>1379.3057</v>
      </c>
    </row>
    <row r="19088">
      <c r="A19088" s="39">
        <f>_xlfn.XLOOKUP(83498,Trip[shape_id],Trip[shape_id],"Não encontrado")</f>
        <v/>
      </c>
      <c r="B19088" s="40" t="n">
        <v>-23.45613</v>
      </c>
      <c r="C19088" s="40" t="n">
        <v>-46.667805</v>
      </c>
      <c r="D19088" s="40" t="n">
        <v>73</v>
      </c>
      <c r="E19088" s="41" t="n">
        <v>1382.5251</v>
      </c>
    </row>
    <row r="19089">
      <c r="A19089" s="42">
        <f>_xlfn.XLOOKUP(83498,Trip[shape_id],Trip[shape_id],"Não encontrado")</f>
        <v/>
      </c>
      <c r="B19089" s="43" t="n">
        <v>-23.456156</v>
      </c>
      <c r="C19089" s="43" t="n">
        <v>-46.667806</v>
      </c>
      <c r="D19089" s="43" t="n">
        <v>74</v>
      </c>
      <c r="E19089" s="44" t="n">
        <v>1385.406</v>
      </c>
    </row>
    <row r="19090">
      <c r="A19090" s="39">
        <f>_xlfn.XLOOKUP(83498,Trip[shape_id],Trip[shape_id],"Não encontrado")</f>
        <v/>
      </c>
      <c r="B19090" s="40" t="n">
        <v>-23.456206</v>
      </c>
      <c r="C19090" s="40" t="n">
        <v>-46.667792</v>
      </c>
      <c r="D19090" s="40" t="n">
        <v>75</v>
      </c>
      <c r="E19090" s="41" t="n">
        <v>1391.1249</v>
      </c>
    </row>
    <row r="19091">
      <c r="A19091" s="42">
        <f>_xlfn.XLOOKUP(83498,Trip[shape_id],Trip[shape_id],"Não encontrado")</f>
        <v/>
      </c>
      <c r="B19091" s="43" t="n">
        <v>-23.456624</v>
      </c>
      <c r="C19091" s="43" t="n">
        <v>-46.667677</v>
      </c>
      <c r="D19091" s="43" t="n">
        <v>76</v>
      </c>
      <c r="E19091" s="44" t="n">
        <v>1438.8865</v>
      </c>
    </row>
    <row r="19092">
      <c r="A19092" s="39">
        <f>_xlfn.XLOOKUP(83498,Trip[shape_id],Trip[shape_id],"Não encontrado")</f>
        <v/>
      </c>
      <c r="B19092" s="40" t="n">
        <v>-23.457077</v>
      </c>
      <c r="C19092" s="40" t="n">
        <v>-46.667577</v>
      </c>
      <c r="D19092" s="40" t="n">
        <v>77</v>
      </c>
      <c r="E19092" s="41" t="n">
        <v>1490.0863</v>
      </c>
    </row>
    <row r="19093">
      <c r="A19093" s="42">
        <f>_xlfn.XLOOKUP(83498,Trip[shape_id],Trip[shape_id],"Não encontrado")</f>
        <v/>
      </c>
      <c r="B19093" s="43" t="n">
        <v>-23.457295</v>
      </c>
      <c r="C19093" s="43" t="n">
        <v>-46.667546</v>
      </c>
      <c r="D19093" s="43" t="n">
        <v>78</v>
      </c>
      <c r="E19093" s="44" t="n">
        <v>1514.4366</v>
      </c>
    </row>
    <row r="19094">
      <c r="A19094" s="39">
        <f>_xlfn.XLOOKUP(83498,Trip[shape_id],Trip[shape_id],"Não encontrado")</f>
        <v/>
      </c>
      <c r="B19094" s="40" t="n">
        <v>-23.457563</v>
      </c>
      <c r="C19094" s="40" t="n">
        <v>-46.667523</v>
      </c>
      <c r="D19094" s="40" t="n">
        <v>79</v>
      </c>
      <c r="E19094" s="41" t="n">
        <v>1544.2108</v>
      </c>
    </row>
    <row r="19095">
      <c r="A19095" s="42">
        <f>_xlfn.XLOOKUP(83498,Trip[shape_id],Trip[shape_id],"Não encontrado")</f>
        <v/>
      </c>
      <c r="B19095" s="43" t="n">
        <v>-23.457765</v>
      </c>
      <c r="C19095" s="43" t="n">
        <v>-46.66754</v>
      </c>
      <c r="D19095" s="43" t="n">
        <v>80</v>
      </c>
      <c r="E19095" s="44" t="n">
        <v>1566.6499</v>
      </c>
    </row>
    <row r="19096">
      <c r="A19096" s="39">
        <f>_xlfn.XLOOKUP(83498,Trip[shape_id],Trip[shape_id],"Não encontrado")</f>
        <v/>
      </c>
      <c r="B19096" s="40" t="n">
        <v>-23.457895</v>
      </c>
      <c r="C19096" s="40" t="n">
        <v>-46.667581</v>
      </c>
      <c r="D19096" s="40" t="n">
        <v>81</v>
      </c>
      <c r="E19096" s="41" t="n">
        <v>1581.6448</v>
      </c>
    </row>
    <row r="19097">
      <c r="A19097" s="42">
        <f>_xlfn.XLOOKUP(83498,Trip[shape_id],Trip[shape_id],"Não encontrado")</f>
        <v/>
      </c>
      <c r="B19097" s="43" t="n">
        <v>-23.458003</v>
      </c>
      <c r="C19097" s="43" t="n">
        <v>-46.667625</v>
      </c>
      <c r="D19097" s="43" t="n">
        <v>82</v>
      </c>
      <c r="E19097" s="44" t="n">
        <v>1594.4229</v>
      </c>
    </row>
    <row r="19098">
      <c r="A19098" s="39">
        <f>_xlfn.XLOOKUP(83498,Trip[shape_id],Trip[shape_id],"Não encontrado")</f>
        <v/>
      </c>
      <c r="B19098" s="40" t="n">
        <v>-23.458154</v>
      </c>
      <c r="C19098" s="40" t="n">
        <v>-46.667694</v>
      </c>
      <c r="D19098" s="40" t="n">
        <v>83</v>
      </c>
      <c r="E19098" s="41" t="n">
        <v>1612.5717</v>
      </c>
    </row>
    <row r="19099">
      <c r="A19099" s="42">
        <f>_xlfn.XLOOKUP(83498,Trip[shape_id],Trip[shape_id],"Não encontrado")</f>
        <v/>
      </c>
      <c r="B19099" s="43" t="n">
        <v>-23.458202</v>
      </c>
      <c r="C19099" s="43" t="n">
        <v>-46.667699</v>
      </c>
      <c r="D19099" s="43" t="n">
        <v>84</v>
      </c>
      <c r="E19099" s="44" t="n">
        <v>1617.9128</v>
      </c>
    </row>
    <row r="19100">
      <c r="A19100" s="39">
        <f>_xlfn.XLOOKUP(83498,Trip[shape_id],Trip[shape_id],"Não encontrado")</f>
        <v/>
      </c>
      <c r="B19100" s="40" t="n">
        <v>-23.458289</v>
      </c>
      <c r="C19100" s="40" t="n">
        <v>-46.667686</v>
      </c>
      <c r="D19100" s="40" t="n">
        <v>85</v>
      </c>
      <c r="E19100" s="41" t="n">
        <v>1627.6395</v>
      </c>
    </row>
    <row r="19101">
      <c r="A19101" s="42">
        <f>_xlfn.XLOOKUP(83498,Trip[shape_id],Trip[shape_id],"Não encontrado")</f>
        <v/>
      </c>
      <c r="B19101" s="43" t="n">
        <v>-23.45844</v>
      </c>
      <c r="C19101" s="43" t="n">
        <v>-46.667638</v>
      </c>
      <c r="D19101" s="43" t="n">
        <v>86</v>
      </c>
      <c r="E19101" s="44" t="n">
        <v>1645.0673</v>
      </c>
    </row>
    <row r="19102">
      <c r="A19102" s="39">
        <f>_xlfn.XLOOKUP(83498,Trip[shape_id],Trip[shape_id],"Não encontrado")</f>
        <v/>
      </c>
      <c r="B19102" s="40" t="n">
        <v>-23.458602</v>
      </c>
      <c r="C19102" s="40" t="n">
        <v>-46.667595</v>
      </c>
      <c r="D19102" s="40" t="n">
        <v>87</v>
      </c>
      <c r="E19102" s="41" t="n">
        <v>1663.5391</v>
      </c>
    </row>
    <row r="19103">
      <c r="A19103" s="42">
        <f>_xlfn.XLOOKUP(83498,Trip[shape_id],Trip[shape_id],"Não encontrado")</f>
        <v/>
      </c>
      <c r="B19103" s="43" t="n">
        <v>-23.458775</v>
      </c>
      <c r="C19103" s="43" t="n">
        <v>-46.667555</v>
      </c>
      <c r="D19103" s="43" t="n">
        <v>88</v>
      </c>
      <c r="E19103" s="44" t="n">
        <v>1683.13</v>
      </c>
    </row>
    <row r="19104">
      <c r="A19104" s="39">
        <f>_xlfn.XLOOKUP(83498,Trip[shape_id],Trip[shape_id],"Não encontrado")</f>
        <v/>
      </c>
      <c r="B19104" s="40" t="n">
        <v>-23.458808</v>
      </c>
      <c r="C19104" s="40" t="n">
        <v>-46.66753</v>
      </c>
      <c r="D19104" s="40" t="n">
        <v>89</v>
      </c>
      <c r="E19104" s="41" t="n">
        <v>1687.5895</v>
      </c>
    </row>
    <row r="19105">
      <c r="A19105" s="42">
        <f>_xlfn.XLOOKUP(83498,Trip[shape_id],Trip[shape_id],"Não encontrado")</f>
        <v/>
      </c>
      <c r="B19105" s="43" t="n">
        <v>-23.459204</v>
      </c>
      <c r="C19105" s="43" t="n">
        <v>-46.666977</v>
      </c>
      <c r="D19105" s="43" t="n">
        <v>90</v>
      </c>
      <c r="E19105" s="44" t="n">
        <v>1759.1147</v>
      </c>
    </row>
    <row r="19106">
      <c r="A19106" s="39">
        <f>_xlfn.XLOOKUP(83498,Trip[shape_id],Trip[shape_id],"Não encontrado")</f>
        <v/>
      </c>
      <c r="B19106" s="40" t="n">
        <v>-23.459383</v>
      </c>
      <c r="C19106" s="40" t="n">
        <v>-46.666654</v>
      </c>
      <c r="D19106" s="40" t="n">
        <v>91</v>
      </c>
      <c r="E19106" s="41" t="n">
        <v>1797.613</v>
      </c>
    </row>
    <row r="19107">
      <c r="A19107" s="42">
        <f>_xlfn.XLOOKUP(83498,Trip[shape_id],Trip[shape_id],"Não encontrado")</f>
        <v/>
      </c>
      <c r="B19107" s="43" t="n">
        <v>-23.459554</v>
      </c>
      <c r="C19107" s="43" t="n">
        <v>-46.666415</v>
      </c>
      <c r="D19107" s="43" t="n">
        <v>92</v>
      </c>
      <c r="E19107" s="44" t="n">
        <v>1828.5153</v>
      </c>
    </row>
    <row r="19108">
      <c r="A19108" s="39">
        <f>_xlfn.XLOOKUP(83498,Trip[shape_id],Trip[shape_id],"Não encontrado")</f>
        <v/>
      </c>
      <c r="B19108" s="40" t="n">
        <v>-23.459712</v>
      </c>
      <c r="C19108" s="40" t="n">
        <v>-46.666045</v>
      </c>
      <c r="D19108" s="40" t="n">
        <v>93</v>
      </c>
      <c r="E19108" s="41" t="n">
        <v>1870.1724</v>
      </c>
    </row>
    <row r="19109">
      <c r="A19109" s="42">
        <f>_xlfn.XLOOKUP(83498,Trip[shape_id],Trip[shape_id],"Não encontrado")</f>
        <v/>
      </c>
      <c r="B19109" s="43" t="n">
        <v>-23.459748</v>
      </c>
      <c r="C19109" s="43" t="n">
        <v>-46.665984</v>
      </c>
      <c r="D19109" s="43" t="n">
        <v>94</v>
      </c>
      <c r="E19109" s="44" t="n">
        <v>1877.571</v>
      </c>
    </row>
    <row r="19110">
      <c r="A19110" s="39">
        <f>_xlfn.XLOOKUP(83498,Trip[shape_id],Trip[shape_id],"Não encontrado")</f>
        <v/>
      </c>
      <c r="B19110" s="40" t="n">
        <v>-23.459786</v>
      </c>
      <c r="C19110" s="40" t="n">
        <v>-46.665875</v>
      </c>
      <c r="D19110" s="40" t="n">
        <v>95</v>
      </c>
      <c r="E19110" s="41" t="n">
        <v>1889.4763</v>
      </c>
    </row>
    <row r="19111">
      <c r="A19111" s="42">
        <f>_xlfn.XLOOKUP(83498,Trip[shape_id],Trip[shape_id],"Não encontrado")</f>
        <v/>
      </c>
      <c r="B19111" s="43" t="n">
        <v>-23.459844</v>
      </c>
      <c r="C19111" s="43" t="n">
        <v>-46.665762</v>
      </c>
      <c r="D19111" s="43" t="n">
        <v>96</v>
      </c>
      <c r="E19111" s="44" t="n">
        <v>1902.6881</v>
      </c>
    </row>
    <row r="19112">
      <c r="A19112" s="39">
        <f>_xlfn.XLOOKUP(83498,Trip[shape_id],Trip[shape_id],"Não encontrado")</f>
        <v/>
      </c>
      <c r="B19112" s="40" t="n">
        <v>-23.460095</v>
      </c>
      <c r="C19112" s="40" t="n">
        <v>-46.665425</v>
      </c>
      <c r="D19112" s="40" t="n">
        <v>97</v>
      </c>
      <c r="E19112" s="41" t="n">
        <v>1946.9409</v>
      </c>
    </row>
    <row r="19113">
      <c r="A19113" s="42">
        <f>_xlfn.XLOOKUP(83498,Trip[shape_id],Trip[shape_id],"Não encontrado")</f>
        <v/>
      </c>
      <c r="B19113" s="43" t="n">
        <v>-23.460146</v>
      </c>
      <c r="C19113" s="43" t="n">
        <v>-46.66534</v>
      </c>
      <c r="D19113" s="43" t="n">
        <v>98</v>
      </c>
      <c r="E19113" s="44" t="n">
        <v>1957.3009</v>
      </c>
    </row>
    <row r="19114">
      <c r="A19114" s="39">
        <f>_xlfn.XLOOKUP(83498,Trip[shape_id],Trip[shape_id],"Não encontrado")</f>
        <v/>
      </c>
      <c r="B19114" s="40" t="n">
        <v>-23.460199</v>
      </c>
      <c r="C19114" s="40" t="n">
        <v>-46.66541</v>
      </c>
      <c r="D19114" s="40" t="n">
        <v>99</v>
      </c>
      <c r="E19114" s="41" t="n">
        <v>1966.5529</v>
      </c>
    </row>
    <row r="19115">
      <c r="A19115" s="42">
        <f>_xlfn.XLOOKUP(83498,Trip[shape_id],Trip[shape_id],"Não encontrado")</f>
        <v/>
      </c>
      <c r="B19115" s="43" t="n">
        <v>-23.460242</v>
      </c>
      <c r="C19115" s="43" t="n">
        <v>-46.665446</v>
      </c>
      <c r="D19115" s="43" t="n">
        <v>100</v>
      </c>
      <c r="E19115" s="44" t="n">
        <v>1972.5697</v>
      </c>
    </row>
    <row r="19116">
      <c r="A19116" s="39">
        <f>_xlfn.XLOOKUP(83498,Trip[shape_id],Trip[shape_id],"Não encontrado")</f>
        <v/>
      </c>
      <c r="B19116" s="40" t="n">
        <v>-23.460303</v>
      </c>
      <c r="C19116" s="40" t="n">
        <v>-46.665487</v>
      </c>
      <c r="D19116" s="40" t="n">
        <v>101</v>
      </c>
      <c r="E19116" s="41" t="n">
        <v>1980.5188</v>
      </c>
    </row>
    <row r="19117">
      <c r="A19117" s="42">
        <f>_xlfn.XLOOKUP(83498,Trip[shape_id],Trip[shape_id],"Não encontrado")</f>
        <v/>
      </c>
      <c r="B19117" s="43" t="n">
        <v>-23.460402</v>
      </c>
      <c r="C19117" s="43" t="n">
        <v>-46.665528</v>
      </c>
      <c r="D19117" s="43" t="n">
        <v>102</v>
      </c>
      <c r="E19117" s="44" t="n">
        <v>1992.2557</v>
      </c>
    </row>
    <row r="19118">
      <c r="A19118" s="39">
        <f>_xlfn.XLOOKUP(83498,Trip[shape_id],Trip[shape_id],"Não encontrado")</f>
        <v/>
      </c>
      <c r="B19118" s="40" t="n">
        <v>-23.460487</v>
      </c>
      <c r="C19118" s="40" t="n">
        <v>-46.665561</v>
      </c>
      <c r="D19118" s="40" t="n">
        <v>103</v>
      </c>
      <c r="E19118" s="41" t="n">
        <v>2002.2548</v>
      </c>
    </row>
    <row r="19119">
      <c r="A19119" s="42">
        <f>_xlfn.XLOOKUP(83498,Trip[shape_id],Trip[shape_id],"Não encontrado")</f>
        <v/>
      </c>
      <c r="B19119" s="43" t="n">
        <v>-23.460553</v>
      </c>
      <c r="C19119" s="43" t="n">
        <v>-46.665579</v>
      </c>
      <c r="D19119" s="43" t="n">
        <v>104</v>
      </c>
      <c r="E19119" s="44" t="n">
        <v>2009.7915</v>
      </c>
    </row>
    <row r="19120">
      <c r="A19120" s="39">
        <f>_xlfn.XLOOKUP(83498,Trip[shape_id],Trip[shape_id],"Não encontrado")</f>
        <v/>
      </c>
      <c r="B19120" s="40" t="n">
        <v>-23.460634</v>
      </c>
      <c r="C19120" s="40" t="n">
        <v>-46.665615</v>
      </c>
      <c r="D19120" s="40" t="n">
        <v>105</v>
      </c>
      <c r="E19120" s="41" t="n">
        <v>2019.4874</v>
      </c>
    </row>
    <row r="19121">
      <c r="A19121" s="42">
        <f>_xlfn.XLOOKUP(83498,Trip[shape_id],Trip[shape_id],"Não encontrado")</f>
        <v/>
      </c>
      <c r="B19121" s="43" t="n">
        <v>-23.461123</v>
      </c>
      <c r="C19121" s="43" t="n">
        <v>-46.665788</v>
      </c>
      <c r="D19121" s="43" t="n">
        <v>106</v>
      </c>
      <c r="E19121" s="44" t="n">
        <v>2076.4558</v>
      </c>
    </row>
    <row r="19122">
      <c r="A19122" s="39">
        <f>_xlfn.XLOOKUP(83498,Trip[shape_id],Trip[shape_id],"Não encontrado")</f>
        <v/>
      </c>
      <c r="B19122" s="40" t="n">
        <v>-23.461255</v>
      </c>
      <c r="C19122" s="40" t="n">
        <v>-46.665835</v>
      </c>
      <c r="D19122" s="40" t="n">
        <v>107</v>
      </c>
      <c r="E19122" s="41" t="n">
        <v>2091.843</v>
      </c>
    </row>
    <row r="19123">
      <c r="A19123" s="42">
        <f>_xlfn.XLOOKUP(83498,Trip[shape_id],Trip[shape_id],"Não encontrado")</f>
        <v/>
      </c>
      <c r="B19123" s="43" t="n">
        <v>-23.461415</v>
      </c>
      <c r="C19123" s="43" t="n">
        <v>-46.665908</v>
      </c>
      <c r="D19123" s="43" t="n">
        <v>108</v>
      </c>
      <c r="E19123" s="44" t="n">
        <v>2111.0688</v>
      </c>
    </row>
    <row r="19124">
      <c r="A19124" s="39">
        <f>_xlfn.XLOOKUP(83498,Trip[shape_id],Trip[shape_id],"Não encontrado")</f>
        <v/>
      </c>
      <c r="B19124" s="40" t="n">
        <v>-23.461663</v>
      </c>
      <c r="C19124" s="40" t="n">
        <v>-46.666016</v>
      </c>
      <c r="D19124" s="40" t="n">
        <v>109</v>
      </c>
      <c r="E19124" s="41" t="n">
        <v>2140.6685</v>
      </c>
    </row>
    <row r="19125">
      <c r="A19125" s="42">
        <f>_xlfn.XLOOKUP(83498,Trip[shape_id],Trip[shape_id],"Não encontrado")</f>
        <v/>
      </c>
      <c r="B19125" s="43" t="n">
        <v>-23.461765</v>
      </c>
      <c r="C19125" s="43" t="n">
        <v>-46.666057</v>
      </c>
      <c r="D19125" s="43" t="n">
        <v>110</v>
      </c>
      <c r="E19125" s="44" t="n">
        <v>2152.7166</v>
      </c>
    </row>
    <row r="19126">
      <c r="A19126" s="39">
        <f>_xlfn.XLOOKUP(83498,Trip[shape_id],Trip[shape_id],"Não encontrado")</f>
        <v/>
      </c>
      <c r="B19126" s="40" t="n">
        <v>-23.462059</v>
      </c>
      <c r="C19126" s="40" t="n">
        <v>-46.66617</v>
      </c>
      <c r="D19126" s="40" t="n">
        <v>111</v>
      </c>
      <c r="E19126" s="41" t="n">
        <v>2187.2634</v>
      </c>
    </row>
    <row r="19127">
      <c r="A19127" s="42">
        <f>_xlfn.XLOOKUP(83498,Trip[shape_id],Trip[shape_id],"Não encontrado")</f>
        <v/>
      </c>
      <c r="B19127" s="43" t="n">
        <v>-23.462155</v>
      </c>
      <c r="C19127" s="43" t="n">
        <v>-46.666208</v>
      </c>
      <c r="D19127" s="43" t="n">
        <v>112</v>
      </c>
      <c r="E19127" s="44" t="n">
        <v>2198.5823</v>
      </c>
    </row>
    <row r="19128">
      <c r="A19128" s="39">
        <f>_xlfn.XLOOKUP(83498,Trip[shape_id],Trip[shape_id],"Não encontrado")</f>
        <v/>
      </c>
      <c r="B19128" s="40" t="n">
        <v>-23.462257</v>
      </c>
      <c r="C19128" s="40" t="n">
        <v>-46.666243</v>
      </c>
      <c r="D19128" s="40" t="n">
        <v>113</v>
      </c>
      <c r="E19128" s="41" t="n">
        <v>2210.4316</v>
      </c>
    </row>
    <row r="19129">
      <c r="A19129" s="42">
        <f>_xlfn.XLOOKUP(83498,Trip[shape_id],Trip[shape_id],"Não encontrado")</f>
        <v/>
      </c>
      <c r="B19129" s="43" t="n">
        <v>-23.46243</v>
      </c>
      <c r="C19129" s="43" t="n">
        <v>-46.66628</v>
      </c>
      <c r="D19129" s="43" t="n">
        <v>114</v>
      </c>
      <c r="E19129" s="44" t="n">
        <v>2229.9607</v>
      </c>
    </row>
    <row r="19130">
      <c r="A19130" s="39">
        <f>_xlfn.XLOOKUP(83498,Trip[shape_id],Trip[shape_id],"Não encontrado")</f>
        <v/>
      </c>
      <c r="B19130" s="40" t="n">
        <v>-23.462547</v>
      </c>
      <c r="C19130" s="40" t="n">
        <v>-46.666246</v>
      </c>
      <c r="D19130" s="40" t="n">
        <v>115</v>
      </c>
      <c r="E19130" s="41" t="n">
        <v>2243.3762</v>
      </c>
    </row>
    <row r="19131">
      <c r="A19131" s="42">
        <f>_xlfn.XLOOKUP(83498,Trip[shape_id],Trip[shape_id],"Não encontrado")</f>
        <v/>
      </c>
      <c r="B19131" s="43" t="n">
        <v>-23.462571</v>
      </c>
      <c r="C19131" s="43" t="n">
        <v>-46.666229</v>
      </c>
      <c r="D19131" s="43" t="n">
        <v>116</v>
      </c>
      <c r="E19131" s="44" t="n">
        <v>2246.5505</v>
      </c>
    </row>
    <row r="19132">
      <c r="A19132" s="39">
        <f>_xlfn.XLOOKUP(83498,Trip[shape_id],Trip[shape_id],"Não encontrado")</f>
        <v/>
      </c>
      <c r="B19132" s="40" t="n">
        <v>-23.46271</v>
      </c>
      <c r="C19132" s="40" t="n">
        <v>-46.666162</v>
      </c>
      <c r="D19132" s="40" t="n">
        <v>117</v>
      </c>
      <c r="E19132" s="41" t="n">
        <v>2263.3982</v>
      </c>
    </row>
    <row r="19133">
      <c r="A19133" s="42">
        <f>_xlfn.XLOOKUP(83498,Trip[shape_id],Trip[shape_id],"Não encontrado")</f>
        <v/>
      </c>
      <c r="B19133" s="43" t="n">
        <v>-23.462991</v>
      </c>
      <c r="C19133" s="43" t="n">
        <v>-46.665944</v>
      </c>
      <c r="D19133" s="43" t="n">
        <v>118</v>
      </c>
      <c r="E19133" s="44" t="n">
        <v>2301.6682</v>
      </c>
    </row>
    <row r="19134">
      <c r="A19134" s="39">
        <f>_xlfn.XLOOKUP(83498,Trip[shape_id],Trip[shape_id],"Não encontrado")</f>
        <v/>
      </c>
      <c r="B19134" s="40" t="n">
        <v>-23.463066</v>
      </c>
      <c r="C19134" s="40" t="n">
        <v>-46.665895</v>
      </c>
      <c r="D19134" s="40" t="n">
        <v>119</v>
      </c>
      <c r="E19134" s="41" t="n">
        <v>2311.3665</v>
      </c>
    </row>
    <row r="19135">
      <c r="A19135" s="42">
        <f>_xlfn.XLOOKUP(83498,Trip[shape_id],Trip[shape_id],"Não encontrado")</f>
        <v/>
      </c>
      <c r="B19135" s="43" t="n">
        <v>-23.463255</v>
      </c>
      <c r="C19135" s="43" t="n">
        <v>-46.665757</v>
      </c>
      <c r="D19135" s="43" t="n">
        <v>120</v>
      </c>
      <c r="E19135" s="44" t="n">
        <v>2336.604</v>
      </c>
    </row>
    <row r="19136">
      <c r="A19136" s="39">
        <f>_xlfn.XLOOKUP(83498,Trip[shape_id],Trip[shape_id],"Não encontrado")</f>
        <v/>
      </c>
      <c r="B19136" s="40" t="n">
        <v>-23.463405</v>
      </c>
      <c r="C19136" s="40" t="n">
        <v>-46.665694</v>
      </c>
      <c r="D19136" s="40" t="n">
        <v>121</v>
      </c>
      <c r="E19136" s="41" t="n">
        <v>2354.4199</v>
      </c>
    </row>
    <row r="19137">
      <c r="A19137" s="42">
        <f>_xlfn.XLOOKUP(83498,Trip[shape_id],Trip[shape_id],"Não encontrado")</f>
        <v/>
      </c>
      <c r="B19137" s="43" t="n">
        <v>-23.463502</v>
      </c>
      <c r="C19137" s="43" t="n">
        <v>-46.665703</v>
      </c>
      <c r="D19137" s="43" t="n">
        <v>122</v>
      </c>
      <c r="E19137" s="44" t="n">
        <v>2365.2019</v>
      </c>
    </row>
    <row r="19138">
      <c r="A19138" s="39">
        <f>_xlfn.XLOOKUP(83498,Trip[shape_id],Trip[shape_id],"Não encontrado")</f>
        <v/>
      </c>
      <c r="B19138" s="40" t="n">
        <v>-23.463567</v>
      </c>
      <c r="C19138" s="40" t="n">
        <v>-46.665737</v>
      </c>
      <c r="D19138" s="40" t="n">
        <v>123</v>
      </c>
      <c r="E19138" s="41" t="n">
        <v>2373.1953</v>
      </c>
    </row>
    <row r="19139">
      <c r="A19139" s="42">
        <f>_xlfn.XLOOKUP(83498,Trip[shape_id],Trip[shape_id],"Não encontrado")</f>
        <v/>
      </c>
      <c r="B19139" s="43" t="n">
        <v>-23.463652</v>
      </c>
      <c r="C19139" s="43" t="n">
        <v>-46.665785</v>
      </c>
      <c r="D19139" s="43" t="n">
        <v>124</v>
      </c>
      <c r="E19139" s="44" t="n">
        <v>2392.8997</v>
      </c>
    </row>
    <row r="19140">
      <c r="A19140" s="39">
        <f>_xlfn.XLOOKUP(83498,Trip[shape_id],Trip[shape_id],"Não encontrado")</f>
        <v/>
      </c>
      <c r="B19140" s="40" t="n">
        <v>-23.463706</v>
      </c>
      <c r="C19140" s="40" t="n">
        <v>-46.665852</v>
      </c>
      <c r="D19140" s="40" t="n">
        <v>125</v>
      </c>
      <c r="E19140" s="41" t="n">
        <v>2407.542</v>
      </c>
    </row>
    <row r="19141">
      <c r="A19141" s="42">
        <f>_xlfn.XLOOKUP(83498,Trip[shape_id],Trip[shape_id],"Não encontrado")</f>
        <v/>
      </c>
      <c r="B19141" s="43" t="n">
        <v>-23.463769</v>
      </c>
      <c r="C19141" s="43" t="n">
        <v>-46.665978</v>
      </c>
      <c r="D19141" s="43" t="n">
        <v>126</v>
      </c>
      <c r="E19141" s="44" t="n">
        <v>2437.7966</v>
      </c>
    </row>
    <row r="19142">
      <c r="A19142" s="39">
        <f>_xlfn.XLOOKUP(83498,Trip[shape_id],Trip[shape_id],"Não encontrado")</f>
        <v/>
      </c>
      <c r="B19142" s="40" t="n">
        <v>-23.463877</v>
      </c>
      <c r="C19142" s="40" t="n">
        <v>-46.66625</v>
      </c>
      <c r="D19142" s="40" t="n">
        <v>127</v>
      </c>
      <c r="E19142" s="41" t="n">
        <v>2455.1589</v>
      </c>
    </row>
    <row r="19143">
      <c r="A19143" s="42">
        <f>_xlfn.XLOOKUP(83498,Trip[shape_id],Trip[shape_id],"Não encontrado")</f>
        <v/>
      </c>
      <c r="B19143" s="43" t="n">
        <v>-23.463937</v>
      </c>
      <c r="C19143" s="43" t="n">
        <v>-46.666407</v>
      </c>
      <c r="D19143" s="43" t="n">
        <v>128</v>
      </c>
      <c r="E19143" s="44" t="n">
        <v>2455.1589</v>
      </c>
    </row>
    <row r="19144">
      <c r="A19144" s="39">
        <f>_xlfn.XLOOKUP(83498,Trip[shape_id],Trip[shape_id],"Não encontrado")</f>
        <v/>
      </c>
      <c r="B19144" s="40" t="n">
        <v>-23.463894</v>
      </c>
      <c r="C19144" s="40" t="n">
        <v>-46.666507</v>
      </c>
      <c r="D19144" s="40" t="n">
        <v>129</v>
      </c>
      <c r="E19144" s="41" t="n">
        <v>2475.3818</v>
      </c>
    </row>
    <row r="19145">
      <c r="A19145" s="42">
        <f>_xlfn.XLOOKUP(83498,Trip[shape_id],Trip[shape_id],"Não encontrado")</f>
        <v/>
      </c>
      <c r="B19145" s="43" t="n">
        <v>-23.463836</v>
      </c>
      <c r="C19145" s="43" t="n">
        <v>-46.666568</v>
      </c>
      <c r="D19145" s="43" t="n">
        <v>130</v>
      </c>
      <c r="E19145" s="44" t="n">
        <v>2487.8105</v>
      </c>
    </row>
    <row r="19146">
      <c r="A19146" s="39">
        <f>_xlfn.XLOOKUP(83498,Trip[shape_id],Trip[shape_id],"Não encontrado")</f>
        <v/>
      </c>
      <c r="B19146" s="40" t="n">
        <v>-23.46374</v>
      </c>
      <c r="C19146" s="40" t="n">
        <v>-46.666631</v>
      </c>
      <c r="D19146" s="40" t="n">
        <v>131</v>
      </c>
      <c r="E19146" s="41" t="n">
        <v>2502.033</v>
      </c>
    </row>
    <row r="19147">
      <c r="A19147" s="42">
        <f>_xlfn.XLOOKUP(83498,Trip[shape_id],Trip[shape_id],"Não encontrado")</f>
        <v/>
      </c>
      <c r="B19147" s="43" t="n">
        <v>-23.463629</v>
      </c>
      <c r="C19147" s="43" t="n">
        <v>-46.666701</v>
      </c>
      <c r="D19147" s="43" t="n">
        <v>132</v>
      </c>
      <c r="E19147" s="44" t="n">
        <v>2510.2239</v>
      </c>
    </row>
    <row r="19148">
      <c r="A19148" s="39">
        <f>_xlfn.XLOOKUP(83498,Trip[shape_id],Trip[shape_id],"Não encontrado")</f>
        <v/>
      </c>
      <c r="B19148" s="40" t="n">
        <v>-23.463566</v>
      </c>
      <c r="C19148" s="40" t="n">
        <v>-46.666743</v>
      </c>
      <c r="D19148" s="40" t="n">
        <v>133</v>
      </c>
      <c r="E19148" s="41" t="n">
        <v>2510.2239</v>
      </c>
    </row>
    <row r="19149">
      <c r="A19149" s="42">
        <f>_xlfn.XLOOKUP(83498,Trip[shape_id],Trip[shape_id],"Não encontrado")</f>
        <v/>
      </c>
      <c r="B19149" s="43" t="n">
        <v>-23.463505</v>
      </c>
      <c r="C19149" s="43" t="n">
        <v>-46.666789</v>
      </c>
      <c r="D19149" s="43" t="n">
        <v>134</v>
      </c>
      <c r="E19149" s="44" t="n">
        <v>2524.3076</v>
      </c>
    </row>
    <row r="19150">
      <c r="A19150" s="39">
        <f>_xlfn.XLOOKUP(83498,Trip[shape_id],Trip[shape_id],"Não encontrado")</f>
        <v/>
      </c>
      <c r="B19150" s="40" t="n">
        <v>-23.463457</v>
      </c>
      <c r="C19150" s="40" t="n">
        <v>-46.666813</v>
      </c>
      <c r="D19150" s="40" t="n">
        <v>135</v>
      </c>
      <c r="E19150" s="41" t="n">
        <v>2535.0513</v>
      </c>
    </row>
    <row r="19151">
      <c r="A19151" s="42">
        <f>_xlfn.XLOOKUP(83498,Trip[shape_id],Trip[shape_id],"Não encontrado")</f>
        <v/>
      </c>
      <c r="B19151" s="43" t="n">
        <v>-23.463389</v>
      </c>
      <c r="C19151" s="43" t="n">
        <v>-46.666888</v>
      </c>
      <c r="D19151" s="43" t="n">
        <v>136</v>
      </c>
      <c r="E19151" s="44" t="n">
        <v>2550.7383</v>
      </c>
    </row>
    <row r="19152">
      <c r="A19152" s="39">
        <f>_xlfn.XLOOKUP(83498,Trip[shape_id],Trip[shape_id],"Não encontrado")</f>
        <v/>
      </c>
      <c r="B19152" s="40" t="n">
        <v>-23.463303</v>
      </c>
      <c r="C19152" s="40" t="n">
        <v>-46.66701</v>
      </c>
      <c r="D19152" s="40" t="n">
        <v>137</v>
      </c>
      <c r="E19152" s="41" t="n">
        <v>2563.4265</v>
      </c>
    </row>
    <row r="19153">
      <c r="A19153" s="42">
        <f>_xlfn.XLOOKUP(83498,Trip[shape_id],Trip[shape_id],"Não encontrado")</f>
        <v/>
      </c>
      <c r="B19153" s="43" t="n">
        <v>-23.463239</v>
      </c>
      <c r="C19153" s="43" t="n">
        <v>-46.667113</v>
      </c>
      <c r="D19153" s="43" t="n">
        <v>138</v>
      </c>
      <c r="E19153" s="44" t="n">
        <v>2573.5535</v>
      </c>
    </row>
    <row r="19154">
      <c r="A19154" s="39">
        <f>_xlfn.XLOOKUP(83498,Trip[shape_id],Trip[shape_id],"Não encontrado")</f>
        <v/>
      </c>
      <c r="B19154" s="40" t="n">
        <v>-23.46321</v>
      </c>
      <c r="C19154" s="40" t="n">
        <v>-46.667207</v>
      </c>
      <c r="D19154" s="40" t="n">
        <v>139</v>
      </c>
      <c r="E19154" s="41" t="n">
        <v>2582.376</v>
      </c>
    </row>
    <row r="19155">
      <c r="A19155" s="42">
        <f>_xlfn.XLOOKUP(83498,Trip[shape_id],Trip[shape_id],"Não encontrado")</f>
        <v/>
      </c>
      <c r="B19155" s="43" t="n">
        <v>-23.46318</v>
      </c>
      <c r="C19155" s="43" t="n">
        <v>-46.667287</v>
      </c>
      <c r="D19155" s="43" t="n">
        <v>140</v>
      </c>
      <c r="E19155" s="44" t="n">
        <v>2591.449</v>
      </c>
    </row>
    <row r="19156">
      <c r="A19156" s="39">
        <f>_xlfn.XLOOKUP(83498,Trip[shape_id],Trip[shape_id],"Não encontrado")</f>
        <v/>
      </c>
      <c r="B19156" s="40" t="n">
        <v>-23.463169</v>
      </c>
      <c r="C19156" s="40" t="n">
        <v>-46.667375</v>
      </c>
      <c r="D19156" s="40" t="n">
        <v>141</v>
      </c>
      <c r="E19156" s="41" t="n">
        <v>2598.8674</v>
      </c>
    </row>
    <row r="19157">
      <c r="A19157" s="42">
        <f>_xlfn.XLOOKUP(83498,Trip[shape_id],Trip[shape_id],"Não encontrado")</f>
        <v/>
      </c>
      <c r="B19157" s="43" t="n">
        <v>-23.463183</v>
      </c>
      <c r="C19157" s="43" t="n">
        <v>-46.667446</v>
      </c>
      <c r="D19157" s="43" t="n">
        <v>142</v>
      </c>
      <c r="E19157" s="44" t="n">
        <v>2607.8623</v>
      </c>
    </row>
    <row r="19158">
      <c r="A19158" s="39">
        <f>_xlfn.XLOOKUP(83498,Trip[shape_id],Trip[shape_id],"Não encontrado")</f>
        <v/>
      </c>
      <c r="B19158" s="40" t="n">
        <v>-23.463227</v>
      </c>
      <c r="C19158" s="40" t="n">
        <v>-46.66752</v>
      </c>
      <c r="D19158" s="40" t="n">
        <v>143</v>
      </c>
      <c r="E19158" s="41" t="n">
        <v>2614.7896</v>
      </c>
    </row>
    <row r="19159">
      <c r="A19159" s="42">
        <f>_xlfn.XLOOKUP(83498,Trip[shape_id],Trip[shape_id],"Não encontrado")</f>
        <v/>
      </c>
      <c r="B19159" s="43" t="n">
        <v>-23.46328</v>
      </c>
      <c r="C19159" s="43" t="n">
        <v>-46.667556</v>
      </c>
      <c r="D19159" s="43" t="n">
        <v>144</v>
      </c>
      <c r="E19159" s="44" t="n">
        <v>2623.8594</v>
      </c>
    </row>
    <row r="19160">
      <c r="A19160" s="39">
        <f>_xlfn.XLOOKUP(83498,Trip[shape_id],Trip[shape_id],"Não encontrado")</f>
        <v/>
      </c>
      <c r="B19160" s="40" t="n">
        <v>-23.46336</v>
      </c>
      <c r="C19160" s="40" t="n">
        <v>-46.667575</v>
      </c>
      <c r="D19160" s="40" t="n">
        <v>145</v>
      </c>
      <c r="E19160" s="41" t="n">
        <v>2632.0571</v>
      </c>
    </row>
    <row r="19161">
      <c r="A19161" s="42">
        <f>_xlfn.XLOOKUP(83498,Trip[shape_id],Trip[shape_id],"Não encontrado")</f>
        <v/>
      </c>
      <c r="B19161" s="43" t="n">
        <v>-23.463434</v>
      </c>
      <c r="C19161" s="43" t="n">
        <v>-46.667577</v>
      </c>
      <c r="D19161" s="43" t="n">
        <v>146</v>
      </c>
      <c r="E19161" s="44" t="n">
        <v>2632.0571</v>
      </c>
    </row>
    <row r="19162">
      <c r="A19162" s="39">
        <f>_xlfn.XLOOKUP(83498,Trip[shape_id],Trip[shape_id],"Não encontrado")</f>
        <v/>
      </c>
      <c r="B19162" s="40" t="n">
        <v>-23.463499</v>
      </c>
      <c r="C19162" s="40" t="n">
        <v>-46.667547</v>
      </c>
      <c r="D19162" s="40" t="n">
        <v>147</v>
      </c>
      <c r="E19162" s="41" t="n">
        <v>2652.9956</v>
      </c>
    </row>
    <row r="19163">
      <c r="A19163" s="42">
        <f>_xlfn.XLOOKUP(83498,Trip[shape_id],Trip[shape_id],"Não encontrado")</f>
        <v/>
      </c>
      <c r="B19163" s="43" t="n">
        <v>-23.4636</v>
      </c>
      <c r="C19163" s="43" t="n">
        <v>-46.66748</v>
      </c>
      <c r="D19163" s="43" t="n">
        <v>148</v>
      </c>
      <c r="E19163" s="44" t="n">
        <v>2658.6904</v>
      </c>
    </row>
    <row r="19164">
      <c r="A19164" s="39">
        <f>_xlfn.XLOOKUP(83498,Trip[shape_id],Trip[shape_id],"Não encontrado")</f>
        <v/>
      </c>
      <c r="B19164" s="40" t="n">
        <v>-23.463648</v>
      </c>
      <c r="C19164" s="40" t="n">
        <v>-46.66746</v>
      </c>
      <c r="D19164" s="40" t="n">
        <v>149</v>
      </c>
      <c r="E19164" s="41" t="n">
        <v>2658.6904</v>
      </c>
    </row>
    <row r="19165">
      <c r="A19165" s="42">
        <f>_xlfn.XLOOKUP(83498,Trip[shape_id],Trip[shape_id],"Não encontrado")</f>
        <v/>
      </c>
      <c r="B19165" s="43" t="n">
        <v>-23.464309</v>
      </c>
      <c r="C19165" s="43" t="n">
        <v>-46.667693</v>
      </c>
      <c r="D19165" s="43" t="n">
        <v>150</v>
      </c>
      <c r="E19165" s="44" t="n">
        <v>2771.2246</v>
      </c>
    </row>
    <row r="19166">
      <c r="A19166" s="39">
        <f>_xlfn.XLOOKUP(83498,Trip[shape_id],Trip[shape_id],"Não encontrado")</f>
        <v/>
      </c>
      <c r="B19166" s="40" t="n">
        <v>-23.464612</v>
      </c>
      <c r="C19166" s="40" t="n">
        <v>-46.667808</v>
      </c>
      <c r="D19166" s="40" t="n">
        <v>151</v>
      </c>
      <c r="E19166" s="41" t="n">
        <v>2771.2246</v>
      </c>
    </row>
    <row r="19167">
      <c r="A19167" s="42">
        <f>_xlfn.XLOOKUP(83498,Trip[shape_id],Trip[shape_id],"Não encontrado")</f>
        <v/>
      </c>
      <c r="B19167" s="43" t="n">
        <v>-23.464711</v>
      </c>
      <c r="C19167" s="43" t="n">
        <v>-46.667808</v>
      </c>
      <c r="D19167" s="43" t="n">
        <v>152</v>
      </c>
      <c r="E19167" s="44" t="n">
        <v>2782.189</v>
      </c>
    </row>
    <row r="19168">
      <c r="A19168" s="39">
        <f>_xlfn.XLOOKUP(83498,Trip[shape_id],Trip[shape_id],"Não encontrado")</f>
        <v/>
      </c>
      <c r="B19168" s="40" t="n">
        <v>-23.464826</v>
      </c>
      <c r="C19168" s="40" t="n">
        <v>-46.667808</v>
      </c>
      <c r="D19168" s="40" t="n">
        <v>153</v>
      </c>
      <c r="E19168" s="41" t="n">
        <v>2794.9253</v>
      </c>
    </row>
    <row r="19169">
      <c r="A19169" s="42">
        <f>_xlfn.XLOOKUP(83498,Trip[shape_id],Trip[shape_id],"Não encontrado")</f>
        <v/>
      </c>
      <c r="B19169" s="43" t="n">
        <v>-23.46491</v>
      </c>
      <c r="C19169" s="43" t="n">
        <v>-46.66781</v>
      </c>
      <c r="D19169" s="43" t="n">
        <v>154</v>
      </c>
      <c r="E19169" s="44" t="n">
        <v>2804.2305</v>
      </c>
    </row>
    <row r="19170">
      <c r="A19170" s="39">
        <f>_xlfn.XLOOKUP(83498,Trip[shape_id],Trip[shape_id],"Não encontrado")</f>
        <v/>
      </c>
      <c r="B19170" s="40" t="n">
        <v>-23.464998</v>
      </c>
      <c r="C19170" s="40" t="n">
        <v>-46.667821</v>
      </c>
      <c r="D19170" s="40" t="n">
        <v>155</v>
      </c>
      <c r="E19170" s="41" t="n">
        <v>2814.0408</v>
      </c>
    </row>
    <row r="19171">
      <c r="A19171" s="42">
        <f>_xlfn.XLOOKUP(83498,Trip[shape_id],Trip[shape_id],"Não encontrado")</f>
        <v/>
      </c>
      <c r="B19171" s="43" t="n">
        <v>-23.465104</v>
      </c>
      <c r="C19171" s="43" t="n">
        <v>-46.667867</v>
      </c>
      <c r="D19171" s="43" t="n">
        <v>156</v>
      </c>
      <c r="E19171" s="44" t="n">
        <v>2826.6858</v>
      </c>
    </row>
    <row r="19172">
      <c r="A19172" s="39">
        <f>_xlfn.XLOOKUP(83498,Trip[shape_id],Trip[shape_id],"Não encontrado")</f>
        <v/>
      </c>
      <c r="B19172" s="40" t="n">
        <v>-23.465442</v>
      </c>
      <c r="C19172" s="40" t="n">
        <v>-46.668161</v>
      </c>
      <c r="D19172" s="40" t="n">
        <v>157</v>
      </c>
      <c r="E19172" s="41" t="n">
        <v>2874.6809</v>
      </c>
    </row>
    <row r="19173">
      <c r="A19173" s="42">
        <f>_xlfn.XLOOKUP(83498,Trip[shape_id],Trip[shape_id],"Não encontrado")</f>
        <v/>
      </c>
      <c r="B19173" s="43" t="n">
        <v>-23.465774</v>
      </c>
      <c r="C19173" s="43" t="n">
        <v>-46.668449</v>
      </c>
      <c r="D19173" s="43" t="n">
        <v>158</v>
      </c>
      <c r="E19173" s="44" t="n">
        <v>2921.7739</v>
      </c>
    </row>
    <row r="19174">
      <c r="A19174" s="39">
        <f>_xlfn.XLOOKUP(83498,Trip[shape_id],Trip[shape_id],"Não encontrado")</f>
        <v/>
      </c>
      <c r="B19174" s="40" t="n">
        <v>-23.465874</v>
      </c>
      <c r="C19174" s="40" t="n">
        <v>-46.668526</v>
      </c>
      <c r="D19174" s="40" t="n">
        <v>159</v>
      </c>
      <c r="E19174" s="41" t="n">
        <v>2935.3589</v>
      </c>
    </row>
    <row r="19175">
      <c r="A19175" s="42">
        <f>_xlfn.XLOOKUP(83498,Trip[shape_id],Trip[shape_id],"Não encontrado")</f>
        <v/>
      </c>
      <c r="B19175" s="43" t="n">
        <v>-23.466092</v>
      </c>
      <c r="C19175" s="43" t="n">
        <v>-46.668648</v>
      </c>
      <c r="D19175" s="43" t="n">
        <v>160</v>
      </c>
      <c r="E19175" s="44" t="n">
        <v>2962.5303</v>
      </c>
    </row>
    <row r="19176">
      <c r="A19176" s="39">
        <f>_xlfn.XLOOKUP(83498,Trip[shape_id],Trip[shape_id],"Não encontrado")</f>
        <v/>
      </c>
      <c r="B19176" s="40" t="n">
        <v>-23.466368</v>
      </c>
      <c r="C19176" s="40" t="n">
        <v>-46.668794</v>
      </c>
      <c r="D19176" s="40" t="n">
        <v>161</v>
      </c>
      <c r="E19176" s="41" t="n">
        <v>2996.543</v>
      </c>
    </row>
    <row r="19177">
      <c r="A19177" s="42">
        <f>_xlfn.XLOOKUP(83498,Trip[shape_id],Trip[shape_id],"Não encontrado")</f>
        <v/>
      </c>
      <c r="B19177" s="43" t="n">
        <v>-23.466497</v>
      </c>
      <c r="C19177" s="43" t="n">
        <v>-46.66884</v>
      </c>
      <c r="D19177" s="43" t="n">
        <v>162</v>
      </c>
      <c r="E19177" s="44" t="n">
        <v>3011.583</v>
      </c>
    </row>
    <row r="19178">
      <c r="A19178" s="39">
        <f>_xlfn.XLOOKUP(83498,Trip[shape_id],Trip[shape_id],"Não encontrado")</f>
        <v/>
      </c>
      <c r="B19178" s="40" t="n">
        <v>-23.466784</v>
      </c>
      <c r="C19178" s="40" t="n">
        <v>-46.668944</v>
      </c>
      <c r="D19178" s="40" t="n">
        <v>163</v>
      </c>
      <c r="E19178" s="41" t="n">
        <v>3045.0972</v>
      </c>
    </row>
    <row r="19179">
      <c r="A19179" s="42">
        <f>_xlfn.XLOOKUP(83498,Trip[shape_id],Trip[shape_id],"Não encontrado")</f>
        <v/>
      </c>
      <c r="B19179" s="43" t="n">
        <v>-23.466902</v>
      </c>
      <c r="C19179" s="43" t="n">
        <v>-46.668953</v>
      </c>
      <c r="D19179" s="43" t="n">
        <v>164</v>
      </c>
      <c r="E19179" s="44" t="n">
        <v>3058.198</v>
      </c>
    </row>
    <row r="19180">
      <c r="A19180" s="39">
        <f>_xlfn.XLOOKUP(83498,Trip[shape_id],Trip[shape_id],"Não encontrado")</f>
        <v/>
      </c>
      <c r="B19180" s="40" t="n">
        <v>-23.467276</v>
      </c>
      <c r="C19180" s="40" t="n">
        <v>-46.668977</v>
      </c>
      <c r="D19180" s="40" t="n">
        <v>165</v>
      </c>
      <c r="E19180" s="41" t="n">
        <v>3099.6912</v>
      </c>
    </row>
    <row r="19181">
      <c r="A19181" s="42">
        <f>_xlfn.XLOOKUP(83498,Trip[shape_id],Trip[shape_id],"Não encontrado")</f>
        <v/>
      </c>
      <c r="B19181" s="43" t="n">
        <v>-23.467375</v>
      </c>
      <c r="C19181" s="43" t="n">
        <v>-46.668977</v>
      </c>
      <c r="D19181" s="43" t="n">
        <v>166</v>
      </c>
      <c r="E19181" s="44" t="n">
        <v>3110.6555</v>
      </c>
    </row>
    <row r="19182">
      <c r="A19182" s="39">
        <f>_xlfn.XLOOKUP(83498,Trip[shape_id],Trip[shape_id],"Não encontrado")</f>
        <v/>
      </c>
      <c r="B19182" s="40" t="n">
        <v>-23.467493</v>
      </c>
      <c r="C19182" s="40" t="n">
        <v>-46.66895</v>
      </c>
      <c r="D19182" s="40" t="n">
        <v>167</v>
      </c>
      <c r="E19182" s="41" t="n">
        <v>3124.0117</v>
      </c>
    </row>
    <row r="19183">
      <c r="A19183" s="42">
        <f>_xlfn.XLOOKUP(83498,Trip[shape_id],Trip[shape_id],"Não encontrado")</f>
        <v/>
      </c>
      <c r="B19183" s="43" t="n">
        <v>-23.467619</v>
      </c>
      <c r="C19183" s="43" t="n">
        <v>-46.668921</v>
      </c>
      <c r="D19183" s="43" t="n">
        <v>168</v>
      </c>
      <c r="E19183" s="44" t="n">
        <v>3138.2773</v>
      </c>
    </row>
    <row r="19184">
      <c r="A19184" s="39">
        <f>_xlfn.XLOOKUP(83498,Trip[shape_id],Trip[shape_id],"Não encontrado")</f>
        <v/>
      </c>
      <c r="B19184" s="40" t="n">
        <v>-23.467808</v>
      </c>
      <c r="C19184" s="40" t="n">
        <v>-46.668848</v>
      </c>
      <c r="D19184" s="40" t="n">
        <v>169</v>
      </c>
      <c r="E19184" s="41" t="n">
        <v>3160.4983</v>
      </c>
    </row>
    <row r="19185">
      <c r="A19185" s="42">
        <f>_xlfn.XLOOKUP(83498,Trip[shape_id],Trip[shape_id],"Não encontrado")</f>
        <v/>
      </c>
      <c r="B19185" s="43" t="n">
        <v>-23.467867</v>
      </c>
      <c r="C19185" s="43" t="n">
        <v>-46.668808</v>
      </c>
      <c r="D19185" s="43" t="n">
        <v>170</v>
      </c>
      <c r="E19185" s="44" t="n">
        <v>3168.2051</v>
      </c>
    </row>
    <row r="19186">
      <c r="A19186" s="39">
        <f>_xlfn.XLOOKUP(83498,Trip[shape_id],Trip[shape_id],"Não encontrado")</f>
        <v/>
      </c>
      <c r="B19186" s="40" t="n">
        <v>-23.467932</v>
      </c>
      <c r="C19186" s="40" t="n">
        <v>-46.668747</v>
      </c>
      <c r="D19186" s="40" t="n">
        <v>171</v>
      </c>
      <c r="E19186" s="41" t="n">
        <v>3177.7271</v>
      </c>
    </row>
    <row r="19187">
      <c r="A19187" s="42">
        <f>_xlfn.XLOOKUP(83498,Trip[shape_id],Trip[shape_id],"Não encontrado")</f>
        <v/>
      </c>
      <c r="B19187" s="43" t="n">
        <v>-23.467989</v>
      </c>
      <c r="C19187" s="43" t="n">
        <v>-46.668678</v>
      </c>
      <c r="D19187" s="43" t="n">
        <v>172</v>
      </c>
      <c r="E19187" s="44" t="n">
        <v>3187.1897</v>
      </c>
    </row>
    <row r="19188">
      <c r="A19188" s="39">
        <f>_xlfn.XLOOKUP(83498,Trip[shape_id],Trip[shape_id],"Não encontrado")</f>
        <v/>
      </c>
      <c r="B19188" s="40" t="n">
        <v>-23.468052</v>
      </c>
      <c r="C19188" s="40" t="n">
        <v>-46.668594</v>
      </c>
      <c r="D19188" s="40" t="n">
        <v>173</v>
      </c>
      <c r="E19188" s="41" t="n">
        <v>3198.2502</v>
      </c>
    </row>
    <row r="19189">
      <c r="A19189" s="42">
        <f>_xlfn.XLOOKUP(83498,Trip[shape_id],Trip[shape_id],"Não encontrado")</f>
        <v/>
      </c>
      <c r="B19189" s="43" t="n">
        <v>-23.468156</v>
      </c>
      <c r="C19189" s="43" t="n">
        <v>-46.668449</v>
      </c>
      <c r="D19189" s="43" t="n">
        <v>174</v>
      </c>
      <c r="E19189" s="44" t="n">
        <v>3217.0154</v>
      </c>
    </row>
    <row r="19190">
      <c r="A19190" s="39">
        <f>_xlfn.XLOOKUP(83498,Trip[shape_id],Trip[shape_id],"Não encontrado")</f>
        <v/>
      </c>
      <c r="B19190" s="40" t="n">
        <v>-23.468222</v>
      </c>
      <c r="C19190" s="40" t="n">
        <v>-46.668286</v>
      </c>
      <c r="D19190" s="40" t="n">
        <v>175</v>
      </c>
      <c r="E19190" s="41" t="n">
        <v>3235.2019</v>
      </c>
    </row>
    <row r="19191">
      <c r="A19191" s="42">
        <f>_xlfn.XLOOKUP(83498,Trip[shape_id],Trip[shape_id],"Não encontrado")</f>
        <v/>
      </c>
      <c r="B19191" s="43" t="n">
        <v>-23.468273</v>
      </c>
      <c r="C19191" s="43" t="n">
        <v>-46.668099</v>
      </c>
      <c r="D19191" s="43" t="n">
        <v>176</v>
      </c>
      <c r="E19191" s="44" t="n">
        <v>3255.1245</v>
      </c>
    </row>
    <row r="19192">
      <c r="A19192" s="39">
        <f>_xlfn.XLOOKUP(83498,Trip[shape_id],Trip[shape_id],"Não encontrado")</f>
        <v/>
      </c>
      <c r="B19192" s="40" t="n">
        <v>-23.468294</v>
      </c>
      <c r="C19192" s="40" t="n">
        <v>-46.668029</v>
      </c>
      <c r="D19192" s="40" t="n">
        <v>177</v>
      </c>
      <c r="E19192" s="41" t="n">
        <v>3262.6445</v>
      </c>
    </row>
    <row r="19193">
      <c r="A19193" s="42">
        <f>_xlfn.XLOOKUP(83498,Trip[shape_id],Trip[shape_id],"Não encontrado")</f>
        <v/>
      </c>
      <c r="B19193" s="43" t="n">
        <v>-23.468404</v>
      </c>
      <c r="C19193" s="43" t="n">
        <v>-46.667883</v>
      </c>
      <c r="D19193" s="43" t="n">
        <v>178</v>
      </c>
      <c r="E19193" s="44" t="n">
        <v>3281.9033</v>
      </c>
    </row>
    <row r="19194">
      <c r="A19194" s="39">
        <f>_xlfn.XLOOKUP(83498,Trip[shape_id],Trip[shape_id],"Não encontrado")</f>
        <v/>
      </c>
      <c r="B19194" s="40" t="n">
        <v>-23.468367</v>
      </c>
      <c r="C19194" s="40" t="n">
        <v>-46.66781</v>
      </c>
      <c r="D19194" s="40" t="n">
        <v>179</v>
      </c>
      <c r="E19194" s="41" t="n">
        <v>3301.1863</v>
      </c>
    </row>
    <row r="19195">
      <c r="A19195" s="42">
        <f>_xlfn.XLOOKUP(83498,Trip[shape_id],Trip[shape_id],"Não encontrado")</f>
        <v/>
      </c>
      <c r="B19195" s="43" t="n">
        <v>-23.468307</v>
      </c>
      <c r="C19195" s="43" t="n">
        <v>-46.667727</v>
      </c>
      <c r="D19195" s="43" t="n">
        <v>180</v>
      </c>
      <c r="E19195" s="44" t="n">
        <v>3334.9226</v>
      </c>
    </row>
    <row r="19196">
      <c r="A19196" s="39">
        <f>_xlfn.XLOOKUP(83498,Trip[shape_id],Trip[shape_id],"Não encontrado")</f>
        <v/>
      </c>
      <c r="B19196" s="40" t="n">
        <v>-23.468093</v>
      </c>
      <c r="C19196" s="40" t="n">
        <v>-46.667492</v>
      </c>
      <c r="D19196" s="40" t="n">
        <v>181</v>
      </c>
      <c r="E19196" s="41" t="n">
        <v>3343.0664</v>
      </c>
    </row>
    <row r="19197">
      <c r="A19197" s="42">
        <f>_xlfn.XLOOKUP(83498,Trip[shape_id],Trip[shape_id],"Não encontrado")</f>
        <v/>
      </c>
      <c r="B19197" s="43" t="n">
        <v>-23.468035</v>
      </c>
      <c r="C19197" s="43" t="n">
        <v>-46.667443</v>
      </c>
      <c r="D19197" s="43" t="n">
        <v>182</v>
      </c>
      <c r="E19197" s="44" t="n">
        <v>3356.6423</v>
      </c>
    </row>
    <row r="19198">
      <c r="A19198" s="39">
        <f>_xlfn.XLOOKUP(83498,Trip[shape_id],Trip[shape_id],"Não encontrado")</f>
        <v/>
      </c>
      <c r="B19198" s="40" t="n">
        <v>-23.46792</v>
      </c>
      <c r="C19198" s="40" t="n">
        <v>-46.667397</v>
      </c>
      <c r="D19198" s="40" t="n">
        <v>183</v>
      </c>
      <c r="E19198" s="41" t="n">
        <v>3369.8367</v>
      </c>
    </row>
    <row r="19199">
      <c r="A19199" s="42">
        <f>_xlfn.XLOOKUP(83498,Trip[shape_id],Trip[shape_id],"Não encontrado")</f>
        <v/>
      </c>
      <c r="B19199" s="43" t="n">
        <v>-23.467816</v>
      </c>
      <c r="C19199" s="43" t="n">
        <v>-46.667334</v>
      </c>
      <c r="D19199" s="43" t="n">
        <v>184</v>
      </c>
      <c r="E19199" s="44" t="n">
        <v>3369.8367</v>
      </c>
    </row>
    <row r="19200">
      <c r="A19200" s="39">
        <f>_xlfn.XLOOKUP(83498,Trip[shape_id],Trip[shape_id],"Não encontrado")</f>
        <v/>
      </c>
      <c r="B19200" s="40" t="n">
        <v>-23.467898</v>
      </c>
      <c r="C19200" s="40" t="n">
        <v>-46.667159</v>
      </c>
      <c r="D19200" s="40" t="n">
        <v>185</v>
      </c>
      <c r="E19200" s="41" t="n">
        <v>3389.8899</v>
      </c>
    </row>
    <row r="19201">
      <c r="A19201" s="42">
        <f>_xlfn.XLOOKUP(83498,Trip[shape_id],Trip[shape_id],"Não encontrado")</f>
        <v/>
      </c>
      <c r="B19201" s="43" t="n">
        <v>-23.467874</v>
      </c>
      <c r="C19201" s="43" t="n">
        <v>-46.6671</v>
      </c>
      <c r="D19201" s="43" t="n">
        <v>186</v>
      </c>
      <c r="E19201" s="44" t="n">
        <v>3459.0762</v>
      </c>
    </row>
    <row r="19202">
      <c r="A19202" s="39">
        <f>_xlfn.XLOOKUP(83498,Trip[shape_id],Trip[shape_id],"Não encontrado")</f>
        <v/>
      </c>
      <c r="B19202" s="40" t="n">
        <v>-23.467669</v>
      </c>
      <c r="C19202" s="40" t="n">
        <v>-46.666529</v>
      </c>
      <c r="D19202" s="40" t="n">
        <v>187</v>
      </c>
      <c r="E19202" s="41" t="n">
        <v>3459.0762</v>
      </c>
    </row>
    <row r="19203">
      <c r="A19203" s="42">
        <f>_xlfn.XLOOKUP(83498,Trip[shape_id],Trip[shape_id],"Não encontrado")</f>
        <v/>
      </c>
      <c r="B19203" s="43" t="n">
        <v>-23.467368</v>
      </c>
      <c r="C19203" s="43" t="n">
        <v>-46.665647</v>
      </c>
      <c r="D19203" s="43" t="n">
        <v>188</v>
      </c>
      <c r="E19203" s="44" t="n">
        <v>3555.1553</v>
      </c>
    </row>
    <row r="19204">
      <c r="A19204" s="39">
        <f>_xlfn.XLOOKUP(83498,Trip[shape_id],Trip[shape_id],"Não encontrado")</f>
        <v/>
      </c>
      <c r="B19204" s="40" t="n">
        <v>-23.467147</v>
      </c>
      <c r="C19204" s="40" t="n">
        <v>-46.665029</v>
      </c>
      <c r="D19204" s="40" t="n">
        <v>189</v>
      </c>
      <c r="E19204" s="41" t="n">
        <v>3622.8721</v>
      </c>
    </row>
    <row r="19205">
      <c r="A19205" s="42">
        <f>_xlfn.XLOOKUP(83498,Trip[shape_id],Trip[shape_id],"Não encontrado")</f>
        <v/>
      </c>
      <c r="B19205" s="43" t="n">
        <v>-23.466784</v>
      </c>
      <c r="C19205" s="43" t="n">
        <v>-46.664019</v>
      </c>
      <c r="D19205" s="43" t="n">
        <v>190</v>
      </c>
      <c r="E19205" s="44" t="n">
        <v>3733.6152</v>
      </c>
    </row>
    <row r="19206">
      <c r="A19206" s="39">
        <f>_xlfn.XLOOKUP(83498,Trip[shape_id],Trip[shape_id],"Não encontrado")</f>
        <v/>
      </c>
      <c r="B19206" s="40" t="n">
        <v>-23.466846</v>
      </c>
      <c r="C19206" s="40" t="n">
        <v>-46.663878</v>
      </c>
      <c r="D19206" s="40" t="n">
        <v>191</v>
      </c>
      <c r="E19206" s="41" t="n">
        <v>3749.5732</v>
      </c>
    </row>
    <row r="19207">
      <c r="A19207" s="42">
        <f>_xlfn.XLOOKUP(83498,Trip[shape_id],Trip[shape_id],"Não encontrado")</f>
        <v/>
      </c>
      <c r="B19207" s="43" t="n">
        <v>-23.466903</v>
      </c>
      <c r="C19207" s="43" t="n">
        <v>-46.663763</v>
      </c>
      <c r="D19207" s="43" t="n">
        <v>192</v>
      </c>
      <c r="E19207" s="44" t="n">
        <v>3762.9106</v>
      </c>
    </row>
    <row r="19208">
      <c r="A19208" s="39">
        <f>_xlfn.XLOOKUP(83498,Trip[shape_id],Trip[shape_id],"Não encontrado")</f>
        <v/>
      </c>
      <c r="B19208" s="40" t="n">
        <v>-23.466951</v>
      </c>
      <c r="C19208" s="40" t="n">
        <v>-46.663633</v>
      </c>
      <c r="D19208" s="40" t="n">
        <v>193</v>
      </c>
      <c r="E19208" s="41" t="n">
        <v>3777.217</v>
      </c>
    </row>
    <row r="19209">
      <c r="A19209" s="42">
        <f>_xlfn.XLOOKUP(83498,Trip[shape_id],Trip[shape_id],"Não encontrado")</f>
        <v/>
      </c>
      <c r="B19209" s="43" t="n">
        <v>-23.466975</v>
      </c>
      <c r="C19209" s="43" t="n">
        <v>-46.663553</v>
      </c>
      <c r="D19209" s="43" t="n">
        <v>194</v>
      </c>
      <c r="E19209" s="44" t="n">
        <v>3785.8118</v>
      </c>
    </row>
    <row r="19210">
      <c r="A19210" s="39">
        <f>_xlfn.XLOOKUP(83498,Trip[shape_id],Trip[shape_id],"Não encontrado")</f>
        <v/>
      </c>
      <c r="B19210" s="40" t="n">
        <v>-23.466998</v>
      </c>
      <c r="C19210" s="40" t="n">
        <v>-46.663463</v>
      </c>
      <c r="D19210" s="40" t="n">
        <v>195</v>
      </c>
      <c r="E19210" s="41" t="n">
        <v>3795.3528</v>
      </c>
    </row>
    <row r="19211">
      <c r="A19211" s="42">
        <f>_xlfn.XLOOKUP(83498,Trip[shape_id],Trip[shape_id],"Não encontrado")</f>
        <v/>
      </c>
      <c r="B19211" s="43" t="n">
        <v>-23.467077</v>
      </c>
      <c r="C19211" s="43" t="n">
        <v>-46.663095</v>
      </c>
      <c r="D19211" s="43" t="n">
        <v>196</v>
      </c>
      <c r="E19211" s="44" t="n">
        <v>3833.9546</v>
      </c>
    </row>
    <row r="19212">
      <c r="A19212" s="39">
        <f>_xlfn.XLOOKUP(83498,Trip[shape_id],Trip[shape_id],"Não encontrado")</f>
        <v/>
      </c>
      <c r="B19212" s="40" t="n">
        <v>-23.467263</v>
      </c>
      <c r="C19212" s="40" t="n">
        <v>-46.662215</v>
      </c>
      <c r="D19212" s="40" t="n">
        <v>197</v>
      </c>
      <c r="E19212" s="41" t="n">
        <v>3926.1907</v>
      </c>
    </row>
    <row r="19213">
      <c r="A19213" s="42">
        <f>_xlfn.XLOOKUP(83498,Trip[shape_id],Trip[shape_id],"Não encontrado")</f>
        <v/>
      </c>
      <c r="B19213" s="43" t="n">
        <v>-23.467327</v>
      </c>
      <c r="C19213" s="43" t="n">
        <v>-46.661886</v>
      </c>
      <c r="D19213" s="43" t="n">
        <v>198</v>
      </c>
      <c r="E19213" s="44" t="n">
        <v>3960.5425</v>
      </c>
    </row>
    <row r="19214">
      <c r="A19214" s="39">
        <f>_xlfn.XLOOKUP(83498,Trip[shape_id],Trip[shape_id],"Não encontrado")</f>
        <v/>
      </c>
      <c r="B19214" s="40" t="n">
        <v>-23.467428</v>
      </c>
      <c r="C19214" s="40" t="n">
        <v>-46.66146</v>
      </c>
      <c r="D19214" s="40" t="n">
        <v>199</v>
      </c>
      <c r="E19214" s="41" t="n">
        <v>4005.4797</v>
      </c>
    </row>
    <row r="19215">
      <c r="A19215" s="42">
        <f>_xlfn.XLOOKUP(83498,Trip[shape_id],Trip[shape_id],"Não encontrado")</f>
        <v/>
      </c>
      <c r="B19215" s="43" t="n">
        <v>-23.467445</v>
      </c>
      <c r="C19215" s="43" t="n">
        <v>-46.661243</v>
      </c>
      <c r="D19215" s="43" t="n">
        <v>200</v>
      </c>
      <c r="E19215" s="44" t="n">
        <v>4027.7295</v>
      </c>
    </row>
    <row r="19216">
      <c r="A19216" s="39">
        <f>_xlfn.XLOOKUP(83498,Trip[shape_id],Trip[shape_id],"Não encontrado")</f>
        <v/>
      </c>
      <c r="B19216" s="40" t="n">
        <v>-23.467428</v>
      </c>
      <c r="C19216" s="40" t="n">
        <v>-46.660966</v>
      </c>
      <c r="D19216" s="40" t="n">
        <v>201</v>
      </c>
      <c r="E19216" s="41" t="n">
        <v>4056.092</v>
      </c>
    </row>
    <row r="19217">
      <c r="A19217" s="42">
        <f>_xlfn.XLOOKUP(83498,Trip[shape_id],Trip[shape_id],"Não encontrado")</f>
        <v/>
      </c>
      <c r="B19217" s="43" t="n">
        <v>-23.467422</v>
      </c>
      <c r="C19217" s="43" t="n">
        <v>-46.660529</v>
      </c>
      <c r="D19217" s="43" t="n">
        <v>202</v>
      </c>
      <c r="E19217" s="44" t="n">
        <v>4100.7437</v>
      </c>
    </row>
    <row r="19218">
      <c r="A19218" s="39">
        <f>_xlfn.XLOOKUP(83498,Trip[shape_id],Trip[shape_id],"Não encontrado")</f>
        <v/>
      </c>
      <c r="B19218" s="40" t="n">
        <v>-23.467816</v>
      </c>
      <c r="C19218" s="40" t="n">
        <v>-46.659848</v>
      </c>
      <c r="D19218" s="40" t="n">
        <v>203</v>
      </c>
      <c r="E19218" s="41" t="n">
        <v>4182.8701</v>
      </c>
    </row>
    <row r="19219">
      <c r="A19219" s="42">
        <f>_xlfn.XLOOKUP(83498,Trip[shape_id],Trip[shape_id],"Não encontrado")</f>
        <v/>
      </c>
      <c r="B19219" s="43" t="n">
        <v>-23.468134</v>
      </c>
      <c r="C19219" s="43" t="n">
        <v>-46.659369</v>
      </c>
      <c r="D19219" s="43" t="n">
        <v>204</v>
      </c>
      <c r="E19219" s="44" t="n">
        <v>4243.1631</v>
      </c>
    </row>
    <row r="19220">
      <c r="A19220" s="39">
        <f>_xlfn.XLOOKUP(83498,Trip[shape_id],Trip[shape_id],"Não encontrado")</f>
        <v/>
      </c>
      <c r="B19220" s="40" t="n">
        <v>-23.468269</v>
      </c>
      <c r="C19220" s="40" t="n">
        <v>-46.65913</v>
      </c>
      <c r="D19220" s="40" t="n">
        <v>205</v>
      </c>
      <c r="E19220" s="41" t="n">
        <v>4271.7944</v>
      </c>
    </row>
    <row r="19221">
      <c r="A19221" s="42">
        <f>_xlfn.XLOOKUP(83498,Trip[shape_id],Trip[shape_id],"Não encontrado")</f>
        <v/>
      </c>
      <c r="B19221" s="43" t="n">
        <v>-23.468308</v>
      </c>
      <c r="C19221" s="43" t="n">
        <v>-46.658988</v>
      </c>
      <c r="D19221" s="43" t="n">
        <v>206</v>
      </c>
      <c r="E19221" s="44" t="n">
        <v>4286.9316</v>
      </c>
    </row>
    <row r="19222">
      <c r="A19222" s="39">
        <f>_xlfn.XLOOKUP(83498,Trip[shape_id],Trip[shape_id],"Não encontrado")</f>
        <v/>
      </c>
      <c r="B19222" s="40" t="n">
        <v>-23.468372</v>
      </c>
      <c r="C19222" s="40" t="n">
        <v>-46.658642</v>
      </c>
      <c r="D19222" s="40" t="n">
        <v>207</v>
      </c>
      <c r="E19222" s="41" t="n">
        <v>4322.9844</v>
      </c>
    </row>
    <row r="19223">
      <c r="A19223" s="42">
        <f>_xlfn.XLOOKUP(83498,Trip[shape_id],Trip[shape_id],"Não encontrado")</f>
        <v/>
      </c>
      <c r="B19223" s="43" t="n">
        <v>-23.468427</v>
      </c>
      <c r="C19223" s="43" t="n">
        <v>-46.658375</v>
      </c>
      <c r="D19223" s="43" t="n">
        <v>208</v>
      </c>
      <c r="E19223" s="44" t="n">
        <v>4350.9346</v>
      </c>
    </row>
    <row r="19224">
      <c r="A19224" s="39">
        <f>_xlfn.XLOOKUP(83498,Trip[shape_id],Trip[shape_id],"Não encontrado")</f>
        <v/>
      </c>
      <c r="B19224" s="40" t="n">
        <v>-23.468463</v>
      </c>
      <c r="C19224" s="40" t="n">
        <v>-46.658185</v>
      </c>
      <c r="D19224" s="40" t="n">
        <v>209</v>
      </c>
      <c r="E19224" s="41" t="n">
        <v>4370.751</v>
      </c>
    </row>
    <row r="19225">
      <c r="A19225" s="42">
        <f>_xlfn.XLOOKUP(83498,Trip[shape_id],Trip[shape_id],"Não encontrado")</f>
        <v/>
      </c>
      <c r="B19225" s="43" t="n">
        <v>-23.468542</v>
      </c>
      <c r="C19225" s="43" t="n">
        <v>-46.657755</v>
      </c>
      <c r="D19225" s="43" t="n">
        <v>210</v>
      </c>
      <c r="E19225" s="44" t="n">
        <v>4415.5449</v>
      </c>
    </row>
    <row r="19226">
      <c r="A19226" s="39">
        <f>_xlfn.XLOOKUP(83498,Trip[shape_id],Trip[shape_id],"Não encontrado")</f>
        <v/>
      </c>
      <c r="B19226" s="40" t="n">
        <v>-23.468592</v>
      </c>
      <c r="C19226" s="40" t="n">
        <v>-46.657489</v>
      </c>
      <c r="D19226" s="40" t="n">
        <v>211</v>
      </c>
      <c r="E19226" s="41" t="n">
        <v>4443.2793</v>
      </c>
    </row>
    <row r="19227">
      <c r="A19227" s="42">
        <f>_xlfn.XLOOKUP(83498,Trip[shape_id],Trip[shape_id],"Não encontrado")</f>
        <v/>
      </c>
      <c r="B19227" s="43" t="n">
        <v>-23.468671</v>
      </c>
      <c r="C19227" s="43" t="n">
        <v>-46.657072</v>
      </c>
      <c r="D19227" s="43" t="n">
        <v>212</v>
      </c>
      <c r="E19227" s="44" t="n">
        <v>4486.7715</v>
      </c>
    </row>
    <row r="19228">
      <c r="A19228" s="39">
        <f>_xlfn.XLOOKUP(83498,Trip[shape_id],Trip[shape_id],"Não encontrado")</f>
        <v/>
      </c>
      <c r="B19228" s="40" t="n">
        <v>-23.468679</v>
      </c>
      <c r="C19228" s="40" t="n">
        <v>-46.657018</v>
      </c>
      <c r="D19228" s="40" t="n">
        <v>213</v>
      </c>
      <c r="E19228" s="41" t="n">
        <v>4492.3584</v>
      </c>
    </row>
    <row r="19229">
      <c r="A19229" s="42">
        <f>_xlfn.XLOOKUP(83498,Trip[shape_id],Trip[shape_id],"Não encontrado")</f>
        <v/>
      </c>
      <c r="B19229" s="43" t="n">
        <v>-23.46878</v>
      </c>
      <c r="C19229" s="43" t="n">
        <v>-46.656479</v>
      </c>
      <c r="D19229" s="43" t="n">
        <v>214</v>
      </c>
      <c r="E19229" s="44" t="n">
        <v>4548.5503</v>
      </c>
    </row>
    <row r="19230">
      <c r="A19230" s="39">
        <f>_xlfn.XLOOKUP(83498,Trip[shape_id],Trip[shape_id],"Não encontrado")</f>
        <v/>
      </c>
      <c r="B19230" s="40" t="n">
        <v>-23.468863</v>
      </c>
      <c r="C19230" s="40" t="n">
        <v>-46.655995</v>
      </c>
      <c r="D19230" s="40" t="n">
        <v>215</v>
      </c>
      <c r="E19230" s="41" t="n">
        <v>4598.8452</v>
      </c>
    </row>
    <row r="19231">
      <c r="A19231" s="42">
        <f>_xlfn.XLOOKUP(83498,Trip[shape_id],Trip[shape_id],"Não encontrado")</f>
        <v/>
      </c>
      <c r="B19231" s="43" t="n">
        <v>-23.469163</v>
      </c>
      <c r="C19231" s="43" t="n">
        <v>-46.655702</v>
      </c>
      <c r="D19231" s="43" t="n">
        <v>216</v>
      </c>
      <c r="E19231" s="44" t="n">
        <v>4643.5664</v>
      </c>
    </row>
    <row r="19232">
      <c r="A19232" s="39">
        <f>_xlfn.XLOOKUP(83498,Trip[shape_id],Trip[shape_id],"Não encontrado")</f>
        <v/>
      </c>
      <c r="B19232" s="40" t="n">
        <v>-23.469218</v>
      </c>
      <c r="C19232" s="40" t="n">
        <v>-46.655616</v>
      </c>
      <c r="D19232" s="40" t="n">
        <v>217</v>
      </c>
      <c r="E19232" s="41" t="n">
        <v>4654.2578</v>
      </c>
    </row>
    <row r="19233">
      <c r="A19233" s="42">
        <f>_xlfn.XLOOKUP(83498,Trip[shape_id],Trip[shape_id],"Não encontrado")</f>
        <v/>
      </c>
      <c r="B19233" s="43" t="n">
        <v>-23.46947</v>
      </c>
      <c r="C19233" s="43" t="n">
        <v>-46.65518</v>
      </c>
      <c r="D19233" s="43" t="n">
        <v>218</v>
      </c>
      <c r="E19233" s="44" t="n">
        <v>4706.8228</v>
      </c>
    </row>
    <row r="19234">
      <c r="A19234" s="39">
        <f>_xlfn.XLOOKUP(83498,Trip[shape_id],Trip[shape_id],"Não encontrado")</f>
        <v/>
      </c>
      <c r="B19234" s="40" t="n">
        <v>-23.469526</v>
      </c>
      <c r="C19234" s="40" t="n">
        <v>-46.655082</v>
      </c>
      <c r="D19234" s="40" t="n">
        <v>219</v>
      </c>
      <c r="E19234" s="41" t="n">
        <v>4718.6001</v>
      </c>
    </row>
    <row r="19235">
      <c r="A19235" s="42">
        <f>_xlfn.XLOOKUP(83498,Trip[shape_id],Trip[shape_id],"Não encontrado")</f>
        <v/>
      </c>
      <c r="B19235" s="43" t="n">
        <v>-23.46972</v>
      </c>
      <c r="C19235" s="43" t="n">
        <v>-46.654749</v>
      </c>
      <c r="D19235" s="43" t="n">
        <v>220</v>
      </c>
      <c r="E19235" s="44" t="n">
        <v>4758.8374</v>
      </c>
    </row>
    <row r="19236">
      <c r="A19236" s="39">
        <f>_xlfn.XLOOKUP(83498,Trip[shape_id],Trip[shape_id],"Não encontrado")</f>
        <v/>
      </c>
      <c r="B19236" s="40" t="n">
        <v>-23.469736</v>
      </c>
      <c r="C19236" s="40" t="n">
        <v>-46.654722</v>
      </c>
      <c r="D19236" s="40" t="n">
        <v>221</v>
      </c>
      <c r="E19236" s="41" t="n">
        <v>4762.1162</v>
      </c>
    </row>
    <row r="19237">
      <c r="A19237" s="42">
        <f>_xlfn.XLOOKUP(83498,Trip[shape_id],Trip[shape_id],"Não encontrado")</f>
        <v/>
      </c>
      <c r="B19237" s="43" t="n">
        <v>-23.469861</v>
      </c>
      <c r="C19237" s="43" t="n">
        <v>-46.654555</v>
      </c>
      <c r="D19237" s="43" t="n">
        <v>222</v>
      </c>
      <c r="E19237" s="44" t="n">
        <v>4784.0879</v>
      </c>
    </row>
    <row r="19238">
      <c r="A19238" s="39">
        <f>_xlfn.XLOOKUP(83498,Trip[shape_id],Trip[shape_id],"Não encontrado")</f>
        <v/>
      </c>
      <c r="B19238" s="40" t="n">
        <v>-23.469942</v>
      </c>
      <c r="C19238" s="40" t="n">
        <v>-46.654383</v>
      </c>
      <c r="D19238" s="40" t="n">
        <v>223</v>
      </c>
      <c r="E19238" s="41" t="n">
        <v>4803.8174</v>
      </c>
    </row>
    <row r="19239">
      <c r="A19239" s="42">
        <f>_xlfn.XLOOKUP(83498,Trip[shape_id],Trip[shape_id],"Não encontrado")</f>
        <v/>
      </c>
      <c r="B19239" s="43" t="n">
        <v>-23.470013</v>
      </c>
      <c r="C19239" s="43" t="n">
        <v>-46.654242</v>
      </c>
      <c r="D19239" s="43" t="n">
        <v>224</v>
      </c>
      <c r="E19239" s="44" t="n">
        <v>4826.269</v>
      </c>
    </row>
    <row r="19240">
      <c r="A19240" s="39">
        <f>_xlfn.XLOOKUP(83498,Trip[shape_id],Trip[shape_id],"Não encontrado")</f>
        <v/>
      </c>
      <c r="B19240" s="40" t="n">
        <v>-23.470033</v>
      </c>
      <c r="C19240" s="40" t="n">
        <v>-46.654187</v>
      </c>
      <c r="D19240" s="40" t="n">
        <v>225</v>
      </c>
      <c r="E19240" s="41" t="n">
        <v>4835.7793</v>
      </c>
    </row>
    <row r="19241">
      <c r="A19241" s="42">
        <f>_xlfn.XLOOKUP(83498,Trip[shape_id],Trip[shape_id],"Não encontrado")</f>
        <v/>
      </c>
      <c r="B19241" s="43" t="n">
        <v>-23.470068</v>
      </c>
      <c r="C19241" s="43" t="n">
        <v>-46.654102</v>
      </c>
      <c r="D19241" s="43" t="n">
        <v>226</v>
      </c>
      <c r="E19241" s="44" t="n">
        <v>4857.3525</v>
      </c>
    </row>
    <row r="19242">
      <c r="A19242" s="39">
        <f>_xlfn.XLOOKUP(83498,Trip[shape_id],Trip[shape_id],"Não encontrado")</f>
        <v/>
      </c>
      <c r="B19242" s="40" t="n">
        <v>-23.470153</v>
      </c>
      <c r="C19242" s="40" t="n">
        <v>-46.653912</v>
      </c>
      <c r="D19242" s="40" t="n">
        <v>227</v>
      </c>
      <c r="E19242" s="41" t="n">
        <v>4857.3525</v>
      </c>
    </row>
    <row r="19243">
      <c r="A19243" s="42">
        <f>_xlfn.XLOOKUP(83498,Trip[shape_id],Trip[shape_id],"Não encontrado")</f>
        <v/>
      </c>
      <c r="B19243" s="43" t="n">
        <v>-23.470175</v>
      </c>
      <c r="C19243" s="43" t="n">
        <v>-46.653857</v>
      </c>
      <c r="D19243" s="43" t="n">
        <v>228</v>
      </c>
      <c r="E19243" s="44" t="n">
        <v>4863.4771</v>
      </c>
    </row>
    <row r="19244">
      <c r="A19244" s="39">
        <f>_xlfn.XLOOKUP(83498,Trip[shape_id],Trip[shape_id],"Não encontrado")</f>
        <v/>
      </c>
      <c r="B19244" s="40" t="n">
        <v>-23.4702</v>
      </c>
      <c r="C19244" s="40" t="n">
        <v>-46.653776</v>
      </c>
      <c r="D19244" s="40" t="n">
        <v>229</v>
      </c>
      <c r="E19244" s="41" t="n">
        <v>4886.855</v>
      </c>
    </row>
    <row r="19245">
      <c r="A19245" s="42">
        <f>_xlfn.XLOOKUP(83498,Trip[shape_id],Trip[shape_id],"Não encontrado")</f>
        <v/>
      </c>
      <c r="B19245" s="43" t="n">
        <v>-23.470242</v>
      </c>
      <c r="C19245" s="43" t="n">
        <v>-46.65364</v>
      </c>
      <c r="D19245" s="43" t="n">
        <v>230</v>
      </c>
      <c r="E19245" s="44" t="n">
        <v>4897.3579</v>
      </c>
    </row>
    <row r="19246">
      <c r="A19246" s="39">
        <f>_xlfn.XLOOKUP(83498,Trip[shape_id],Trip[shape_id],"Não encontrado")</f>
        <v/>
      </c>
      <c r="B19246" s="40" t="n">
        <v>-23.470264</v>
      </c>
      <c r="C19246" s="40" t="n">
        <v>-46.65354</v>
      </c>
      <c r="D19246" s="40" t="n">
        <v>231</v>
      </c>
      <c r="E19246" s="41" t="n">
        <v>4907.7358</v>
      </c>
    </row>
    <row r="19247">
      <c r="A19247" s="42">
        <f>_xlfn.XLOOKUP(83498,Trip[shape_id],Trip[shape_id],"Não encontrado")</f>
        <v/>
      </c>
      <c r="B19247" s="43" t="n">
        <v>-23.470274</v>
      </c>
      <c r="C19247" s="43" t="n">
        <v>-46.653439</v>
      </c>
      <c r="D19247" s="43" t="n">
        <v>232</v>
      </c>
      <c r="E19247" s="44" t="n">
        <v>4916.834</v>
      </c>
    </row>
    <row r="19248">
      <c r="A19248" s="39">
        <f>_xlfn.XLOOKUP(83498,Trip[shape_id],Trip[shape_id],"Não encontrado")</f>
        <v/>
      </c>
      <c r="B19248" s="40" t="n">
        <v>-23.470277</v>
      </c>
      <c r="C19248" s="40" t="n">
        <v>-46.65335</v>
      </c>
      <c r="D19248" s="40" t="n">
        <v>233</v>
      </c>
      <c r="E19248" s="41" t="n">
        <v>4927.1846</v>
      </c>
    </row>
    <row r="19249">
      <c r="A19249" s="42">
        <f>_xlfn.XLOOKUP(83498,Trip[shape_id],Trip[shape_id],"Não encontrado")</f>
        <v/>
      </c>
      <c r="B19249" s="43" t="n">
        <v>-23.470292</v>
      </c>
      <c r="C19249" s="43" t="n">
        <v>-46.65325</v>
      </c>
      <c r="D19249" s="43" t="n">
        <v>234</v>
      </c>
      <c r="E19249" s="44" t="n">
        <v>4936.8896</v>
      </c>
    </row>
    <row r="19250">
      <c r="A19250" s="39">
        <f>_xlfn.XLOOKUP(83498,Trip[shape_id],Trip[shape_id],"Não encontrado")</f>
        <v/>
      </c>
      <c r="B19250" s="40" t="n">
        <v>-23.470325</v>
      </c>
      <c r="C19250" s="40" t="n">
        <v>-46.653162</v>
      </c>
      <c r="D19250" s="40" t="n">
        <v>235</v>
      </c>
      <c r="E19250" s="41" t="n">
        <v>4947.2441</v>
      </c>
    </row>
    <row r="19251">
      <c r="A19251" s="42">
        <f>_xlfn.XLOOKUP(83498,Trip[shape_id],Trip[shape_id],"Não encontrado")</f>
        <v/>
      </c>
      <c r="B19251" s="43" t="n">
        <v>-23.470368</v>
      </c>
      <c r="C19251" s="43" t="n">
        <v>-46.653072</v>
      </c>
      <c r="D19251" s="43" t="n">
        <v>236</v>
      </c>
      <c r="E19251" s="44" t="n">
        <v>4961.8101</v>
      </c>
    </row>
    <row r="19252">
      <c r="A19252" s="39">
        <f>_xlfn.XLOOKUP(83498,Trip[shape_id],Trip[shape_id],"Não encontrado")</f>
        <v/>
      </c>
      <c r="B19252" s="40" t="n">
        <v>-23.470422</v>
      </c>
      <c r="C19252" s="40" t="n">
        <v>-46.652942</v>
      </c>
      <c r="D19252" s="40" t="n">
        <v>237</v>
      </c>
      <c r="E19252" s="41" t="n">
        <v>4961.8101</v>
      </c>
    </row>
    <row r="19253">
      <c r="A19253" s="42">
        <f>_xlfn.XLOOKUP(83498,Trip[shape_id],Trip[shape_id],"Não encontrado")</f>
        <v/>
      </c>
      <c r="B19253" s="43" t="n">
        <v>-23.470498</v>
      </c>
      <c r="C19253" s="43" t="n">
        <v>-46.652809</v>
      </c>
      <c r="D19253" s="43" t="n">
        <v>238</v>
      </c>
      <c r="E19253" s="44" t="n">
        <v>4991.1646</v>
      </c>
    </row>
    <row r="19254">
      <c r="A19254" s="39">
        <f>_xlfn.XLOOKUP(83498,Trip[shape_id],Trip[shape_id],"Não encontrado")</f>
        <v/>
      </c>
      <c r="B19254" s="40" t="n">
        <v>-23.470582</v>
      </c>
      <c r="C19254" s="40" t="n">
        <v>-46.652715</v>
      </c>
      <c r="D19254" s="40" t="n">
        <v>239</v>
      </c>
      <c r="E19254" s="41" t="n">
        <v>4997.9766</v>
      </c>
    </row>
    <row r="19255">
      <c r="A19255" s="42">
        <f>_xlfn.XLOOKUP(83498,Trip[shape_id],Trip[shape_id],"Não encontrado")</f>
        <v/>
      </c>
      <c r="B19255" s="43" t="n">
        <v>-23.470629</v>
      </c>
      <c r="C19255" s="43" t="n">
        <v>-46.652672</v>
      </c>
      <c r="D19255" s="43" t="n">
        <v>240</v>
      </c>
      <c r="E19255" s="44" t="n">
        <v>4997.9766</v>
      </c>
    </row>
    <row r="19256">
      <c r="A19256" s="39">
        <f>_xlfn.XLOOKUP(83498,Trip[shape_id],Trip[shape_id],"Não encontrado")</f>
        <v/>
      </c>
      <c r="B19256" s="40" t="n">
        <v>-23.470715</v>
      </c>
      <c r="C19256" s="40" t="n">
        <v>-46.652588</v>
      </c>
      <c r="D19256" s="40" t="n">
        <v>241</v>
      </c>
      <c r="E19256" s="41" t="n">
        <v>5025.0693</v>
      </c>
    </row>
    <row r="19257">
      <c r="A19257" s="42">
        <f>_xlfn.XLOOKUP(83498,Trip[shape_id],Trip[shape_id],"Não encontrado")</f>
        <v/>
      </c>
      <c r="B19257" s="43" t="n">
        <v>-23.4708</v>
      </c>
      <c r="C19257" s="43" t="n">
        <v>-46.652483</v>
      </c>
      <c r="D19257" s="43" t="n">
        <v>242</v>
      </c>
      <c r="E19257" s="44" t="n">
        <v>5037.1133</v>
      </c>
    </row>
    <row r="19258">
      <c r="A19258" s="39">
        <f>_xlfn.XLOOKUP(83498,Trip[shape_id],Trip[shape_id],"Não encontrado")</f>
        <v/>
      </c>
      <c r="B19258" s="40" t="n">
        <v>-23.470868</v>
      </c>
      <c r="C19258" s="40" t="n">
        <v>-46.652391</v>
      </c>
      <c r="D19258" s="40" t="n">
        <v>243</v>
      </c>
      <c r="E19258" s="41" t="n">
        <v>5050.6025</v>
      </c>
    </row>
    <row r="19259">
      <c r="A19259" s="42">
        <f>_xlfn.XLOOKUP(83498,Trip[shape_id],Trip[shape_id],"Não encontrado")</f>
        <v/>
      </c>
      <c r="B19259" s="43" t="n">
        <v>-23.470931</v>
      </c>
      <c r="C19259" s="43" t="n">
        <v>-46.652278</v>
      </c>
      <c r="D19259" s="43" t="n">
        <v>244</v>
      </c>
      <c r="E19259" s="44" t="n">
        <v>5066.5605</v>
      </c>
    </row>
    <row r="19260">
      <c r="A19260" s="39">
        <f>_xlfn.XLOOKUP(83498,Trip[shape_id],Trip[shape_id],"Não encontrado")</f>
        <v/>
      </c>
      <c r="B19260" s="40" t="n">
        <v>-23.470993</v>
      </c>
      <c r="C19260" s="40" t="n">
        <v>-46.652137</v>
      </c>
      <c r="D19260" s="40" t="n">
        <v>245</v>
      </c>
      <c r="E19260" s="41" t="n">
        <v>5097.6563</v>
      </c>
    </row>
    <row r="19261">
      <c r="A19261" s="42">
        <f>_xlfn.XLOOKUP(83498,Trip[shape_id],Trip[shape_id],"Não encontrado")</f>
        <v/>
      </c>
      <c r="B19261" s="43" t="n">
        <v>-23.471094</v>
      </c>
      <c r="C19261" s="43" t="n">
        <v>-46.651853</v>
      </c>
      <c r="D19261" s="43" t="n">
        <v>246</v>
      </c>
      <c r="E19261" s="44" t="n">
        <v>5113.9316</v>
      </c>
    </row>
    <row r="19262">
      <c r="A19262" s="39">
        <f>_xlfn.XLOOKUP(83498,Trip[shape_id],Trip[shape_id],"Não encontrado")</f>
        <v/>
      </c>
      <c r="B19262" s="40" t="n">
        <v>-23.471138</v>
      </c>
      <c r="C19262" s="40" t="n">
        <v>-46.651701</v>
      </c>
      <c r="D19262" s="40" t="n">
        <v>247</v>
      </c>
      <c r="E19262" s="41" t="n">
        <v>5123.4883</v>
      </c>
    </row>
    <row r="19263">
      <c r="A19263" s="42">
        <f>_xlfn.XLOOKUP(83498,Trip[shape_id],Trip[shape_id],"Não encontrado")</f>
        <v/>
      </c>
      <c r="B19263" s="43" t="n">
        <v>-23.471158</v>
      </c>
      <c r="C19263" s="43" t="n">
        <v>-46.65161</v>
      </c>
      <c r="D19263" s="43" t="n">
        <v>248</v>
      </c>
      <c r="E19263" s="44" t="n">
        <v>5123.4883</v>
      </c>
    </row>
    <row r="19264">
      <c r="A19264" s="39">
        <f>_xlfn.XLOOKUP(83498,Trip[shape_id],Trip[shape_id],"Não encontrado")</f>
        <v/>
      </c>
      <c r="B19264" s="40" t="n">
        <v>-23.471171</v>
      </c>
      <c r="C19264" s="40" t="n">
        <v>-46.651546</v>
      </c>
      <c r="D19264" s="40" t="n">
        <v>249</v>
      </c>
      <c r="E19264" s="41" t="n">
        <v>5130.1836</v>
      </c>
    </row>
    <row r="19265">
      <c r="A19265" s="42">
        <f>_xlfn.XLOOKUP(83498,Trip[shape_id],Trip[shape_id],"Não encontrado")</f>
        <v/>
      </c>
      <c r="B19265" s="43" t="n">
        <v>-23.471166</v>
      </c>
      <c r="C19265" s="43" t="n">
        <v>-46.651406</v>
      </c>
      <c r="D19265" s="43" t="n">
        <v>250</v>
      </c>
      <c r="E19265" s="44" t="n">
        <v>5181.8115</v>
      </c>
    </row>
    <row r="19266">
      <c r="A19266" s="39">
        <f>_xlfn.XLOOKUP(83498,Trip[shape_id],Trip[shape_id],"Não encontrado")</f>
        <v/>
      </c>
      <c r="B19266" s="40" t="n">
        <v>-23.471104</v>
      </c>
      <c r="C19266" s="40" t="n">
        <v>-46.651047</v>
      </c>
      <c r="D19266" s="40" t="n">
        <v>251</v>
      </c>
      <c r="E19266" s="41" t="n">
        <v>5181.8115</v>
      </c>
    </row>
    <row r="19267">
      <c r="A19267" s="42">
        <f>_xlfn.XLOOKUP(83498,Trip[shape_id],Trip[shape_id],"Não encontrado")</f>
        <v/>
      </c>
      <c r="B19267" s="43" t="n">
        <v>-23.471029</v>
      </c>
      <c r="C19267" s="43" t="n">
        <v>-46.650797</v>
      </c>
      <c r="D19267" s="43" t="n">
        <v>252</v>
      </c>
      <c r="E19267" s="44" t="n">
        <v>5238.5737</v>
      </c>
    </row>
    <row r="19268">
      <c r="A19268" s="39">
        <f>_xlfn.XLOOKUP(83498,Trip[shape_id],Trip[shape_id],"Não encontrado")</f>
        <v/>
      </c>
      <c r="B19268" s="40" t="n">
        <v>-23.470934</v>
      </c>
      <c r="C19268" s="40" t="n">
        <v>-46.650523</v>
      </c>
      <c r="D19268" s="40" t="n">
        <v>253</v>
      </c>
      <c r="E19268" s="41" t="n">
        <v>5264.2251</v>
      </c>
    </row>
    <row r="19269">
      <c r="A19269" s="42">
        <f>_xlfn.XLOOKUP(83498,Trip[shape_id],Trip[shape_id],"Não encontrado")</f>
        <v/>
      </c>
      <c r="B19269" s="43" t="n">
        <v>-23.470837</v>
      </c>
      <c r="C19269" s="43" t="n">
        <v>-46.650295</v>
      </c>
      <c r="D19269" s="43" t="n">
        <v>254</v>
      </c>
      <c r="E19269" s="44" t="n">
        <v>5264.2251</v>
      </c>
    </row>
    <row r="19270">
      <c r="A19270" s="39">
        <f>_xlfn.XLOOKUP(83498,Trip[shape_id],Trip[shape_id],"Não encontrado")</f>
        <v/>
      </c>
      <c r="B19270" s="40" t="n">
        <v>-23.470789</v>
      </c>
      <c r="C19270" s="40" t="n">
        <v>-46.6502</v>
      </c>
      <c r="D19270" s="40" t="n">
        <v>255</v>
      </c>
      <c r="E19270" s="41" t="n">
        <v>5275.291</v>
      </c>
    </row>
    <row r="19271">
      <c r="A19271" s="42">
        <f>_xlfn.XLOOKUP(83498,Trip[shape_id],Trip[shape_id],"Não encontrado")</f>
        <v/>
      </c>
      <c r="B19271" s="43" t="n">
        <v>-23.470681</v>
      </c>
      <c r="C19271" s="43" t="n">
        <v>-46.649978</v>
      </c>
      <c r="D19271" s="43" t="n">
        <v>256</v>
      </c>
      <c r="E19271" s="44" t="n">
        <v>5334.1812</v>
      </c>
    </row>
    <row r="19272">
      <c r="A19272" s="39">
        <f>_xlfn.XLOOKUP(83498,Trip[shape_id],Trip[shape_id],"Não encontrado")</f>
        <v/>
      </c>
      <c r="B19272" s="40" t="n">
        <v>-23.470519</v>
      </c>
      <c r="C19272" s="40" t="n">
        <v>-46.649704</v>
      </c>
      <c r="D19272" s="40" t="n">
        <v>257</v>
      </c>
      <c r="E19272" s="41" t="n">
        <v>5388.02</v>
      </c>
    </row>
    <row r="19273">
      <c r="A19273" s="42">
        <f>_xlfn.XLOOKUP(83498,Trip[shape_id],Trip[shape_id],"Não encontrado")</f>
        <v/>
      </c>
      <c r="B19273" s="43" t="n">
        <v>-23.470292</v>
      </c>
      <c r="C19273" s="43" t="n">
        <v>-46.649238</v>
      </c>
      <c r="D19273" s="43" t="n">
        <v>258</v>
      </c>
      <c r="E19273" s="44" t="n">
        <v>5388.02</v>
      </c>
    </row>
    <row r="19274">
      <c r="A19274" s="39">
        <f>_xlfn.XLOOKUP(83498,Trip[shape_id],Trip[shape_id],"Não encontrado")</f>
        <v/>
      </c>
      <c r="B19274" s="40" t="n">
        <v>-23.470245</v>
      </c>
      <c r="C19274" s="40" t="n">
        <v>-46.649163</v>
      </c>
      <c r="D19274" s="40" t="n">
        <v>259</v>
      </c>
      <c r="E19274" s="41" t="n">
        <v>5397.2832</v>
      </c>
    </row>
    <row r="19275">
      <c r="A19275" s="42">
        <f>_xlfn.XLOOKUP(83498,Trip[shape_id],Trip[shape_id],"Não encontrado")</f>
        <v/>
      </c>
      <c r="B19275" s="43" t="n">
        <v>-23.469922</v>
      </c>
      <c r="C19275" s="43" t="n">
        <v>-46.648705</v>
      </c>
      <c r="D19275" s="43" t="n">
        <v>260</v>
      </c>
      <c r="E19275" s="44" t="n">
        <v>5473.2046</v>
      </c>
    </row>
    <row r="19276">
      <c r="A19276" s="39">
        <f>_xlfn.XLOOKUP(83498,Trip[shape_id],Trip[shape_id],"Não encontrado")</f>
        <v/>
      </c>
      <c r="B19276" s="40" t="n">
        <v>-23.469868</v>
      </c>
      <c r="C19276" s="40" t="n">
        <v>-46.648549</v>
      </c>
      <c r="D19276" s="40" t="n">
        <v>261</v>
      </c>
      <c r="E19276" s="41" t="n">
        <v>5483.5356</v>
      </c>
    </row>
    <row r="19277">
      <c r="A19277" s="42">
        <f>_xlfn.XLOOKUP(83498,Trip[shape_id],Trip[shape_id],"Não encontrado")</f>
        <v/>
      </c>
      <c r="B19277" s="43" t="n">
        <v>-23.469849</v>
      </c>
      <c r="C19277" s="43" t="n">
        <v>-46.64845</v>
      </c>
      <c r="D19277" s="43" t="n">
        <v>262</v>
      </c>
      <c r="E19277" s="44" t="n">
        <v>5483.5356</v>
      </c>
    </row>
    <row r="19278">
      <c r="A19278" s="39">
        <f>_xlfn.XLOOKUP(83498,Trip[shape_id],Trip[shape_id],"Não encontrado")</f>
        <v/>
      </c>
      <c r="B19278" s="40" t="n">
        <v>-23.469611</v>
      </c>
      <c r="C19278" s="40" t="n">
        <v>-46.647447</v>
      </c>
      <c r="D19278" s="40" t="n">
        <v>263</v>
      </c>
      <c r="E19278" s="41" t="n">
        <v>5589.3423</v>
      </c>
    </row>
    <row r="19279">
      <c r="A19279" s="42">
        <f>_xlfn.XLOOKUP(83498,Trip[shape_id],Trip[shape_id],"Não encontrado")</f>
        <v/>
      </c>
      <c r="B19279" s="43" t="n">
        <v>-23.469514</v>
      </c>
      <c r="C19279" s="43" t="n">
        <v>-46.647028</v>
      </c>
      <c r="D19279" s="43" t="n">
        <v>264</v>
      </c>
      <c r="E19279" s="44" t="n">
        <v>5633.4766</v>
      </c>
    </row>
    <row r="19280">
      <c r="A19280" s="39">
        <f>_xlfn.XLOOKUP(83498,Trip[shape_id],Trip[shape_id],"Não encontrado")</f>
        <v/>
      </c>
      <c r="B19280" s="40" t="n">
        <v>-23.469467</v>
      </c>
      <c r="C19280" s="40" t="n">
        <v>-46.646746</v>
      </c>
      <c r="D19280" s="40" t="n">
        <v>265</v>
      </c>
      <c r="E19280" s="41" t="n">
        <v>5684.1963</v>
      </c>
    </row>
    <row r="19281">
      <c r="A19281" s="42">
        <f>_xlfn.XLOOKUP(83498,Trip[shape_id],Trip[shape_id],"Não encontrado")</f>
        <v/>
      </c>
      <c r="B19281" s="43" t="n">
        <v>-23.469435</v>
      </c>
      <c r="C19281" s="43" t="n">
        <v>-46.646539</v>
      </c>
      <c r="D19281" s="43" t="n">
        <v>266</v>
      </c>
      <c r="E19281" s="44" t="n">
        <v>5684.1963</v>
      </c>
    </row>
    <row r="19282">
      <c r="A19282" s="39">
        <f>_xlfn.XLOOKUP(83498,Trip[shape_id],Trip[shape_id],"Não encontrado")</f>
        <v/>
      </c>
      <c r="B19282" s="40" t="n">
        <v>-23.469421</v>
      </c>
      <c r="C19282" s="40" t="n">
        <v>-46.646348</v>
      </c>
      <c r="D19282" s="40" t="n">
        <v>267</v>
      </c>
      <c r="E19282" s="41" t="n">
        <v>5719.2305</v>
      </c>
    </row>
    <row r="19283">
      <c r="A19283" s="42">
        <f>_xlfn.XLOOKUP(83498,Trip[shape_id],Trip[shape_id],"Não encontrado")</f>
        <v/>
      </c>
      <c r="B19283" s="43" t="n">
        <v>-23.469412</v>
      </c>
      <c r="C19283" s="43" t="n">
        <v>-46.646197</v>
      </c>
      <c r="D19283" s="43" t="n">
        <v>268</v>
      </c>
      <c r="E19283" s="44" t="n">
        <v>5730.4688</v>
      </c>
    </row>
    <row r="19284">
      <c r="A19284" s="39">
        <f>_xlfn.XLOOKUP(83498,Trip[shape_id],Trip[shape_id],"Não encontrado")</f>
        <v/>
      </c>
      <c r="B19284" s="40" t="n">
        <v>-23.469412</v>
      </c>
      <c r="C19284" s="40" t="n">
        <v>-46.646087</v>
      </c>
      <c r="D19284" s="40" t="n">
        <v>269</v>
      </c>
      <c r="E19284" s="41" t="n">
        <v>5730.4688</v>
      </c>
    </row>
    <row r="19285">
      <c r="A19285" s="42">
        <f>_xlfn.XLOOKUP(83498,Trip[shape_id],Trip[shape_id],"Não encontrado")</f>
        <v/>
      </c>
      <c r="B19285" s="43" t="n">
        <v>-23.469381</v>
      </c>
      <c r="C19285" s="43" t="n">
        <v>-46.645591</v>
      </c>
      <c r="D19285" s="43" t="n">
        <v>270</v>
      </c>
      <c r="E19285" s="44" t="n">
        <v>5810.8452</v>
      </c>
    </row>
    <row r="19286">
      <c r="A19286" s="39">
        <f>_xlfn.XLOOKUP(83498,Trip[shape_id],Trip[shape_id],"Não encontrado")</f>
        <v/>
      </c>
      <c r="B19286" s="40" t="n">
        <v>-23.469353</v>
      </c>
      <c r="C19286" s="40" t="n">
        <v>-46.645303</v>
      </c>
      <c r="D19286" s="40" t="n">
        <v>271</v>
      </c>
      <c r="E19286" s="41" t="n">
        <v>5827.0762</v>
      </c>
    </row>
    <row r="19287">
      <c r="A19287" s="42">
        <f>_xlfn.XLOOKUP(83498,Trip[shape_id],Trip[shape_id],"Não encontrado")</f>
        <v/>
      </c>
      <c r="B19287" s="43" t="n">
        <v>-23.469317</v>
      </c>
      <c r="C19287" s="43" t="n">
        <v>-46.645149</v>
      </c>
      <c r="D19287" s="43" t="n">
        <v>272</v>
      </c>
      <c r="E19287" s="44" t="n">
        <v>5839.5449</v>
      </c>
    </row>
    <row r="19288">
      <c r="A19288" s="39">
        <f>_xlfn.XLOOKUP(83498,Trip[shape_id],Trip[shape_id],"Não encontrado")</f>
        <v/>
      </c>
      <c r="B19288" s="40" t="n">
        <v>-23.469292</v>
      </c>
      <c r="C19288" s="40" t="n">
        <v>-46.64503</v>
      </c>
      <c r="D19288" s="40" t="n">
        <v>273</v>
      </c>
      <c r="E19288" s="41" t="n">
        <v>5839.5449</v>
      </c>
    </row>
    <row r="19289">
      <c r="A19289" s="42">
        <f>_xlfn.XLOOKUP(83498,Trip[shape_id],Trip[shape_id],"Não encontrado")</f>
        <v/>
      </c>
      <c r="B19289" s="43" t="n">
        <v>-23.46944</v>
      </c>
      <c r="C19289" s="43" t="n">
        <v>-46.644956</v>
      </c>
      <c r="D19289" s="43" t="n">
        <v>274</v>
      </c>
      <c r="E19289" s="44" t="n">
        <v>5857.5957</v>
      </c>
    </row>
    <row r="19290">
      <c r="A19290" s="39">
        <f>_xlfn.XLOOKUP(83498,Trip[shape_id],Trip[shape_id],"Não encontrado")</f>
        <v/>
      </c>
      <c r="B19290" s="40" t="n">
        <v>-23.469594</v>
      </c>
      <c r="C19290" s="40" t="n">
        <v>-46.644874</v>
      </c>
      <c r="D19290" s="40" t="n">
        <v>275</v>
      </c>
      <c r="E19290" s="41" t="n">
        <v>5876.5977</v>
      </c>
    </row>
    <row r="19291">
      <c r="A19291" s="42">
        <f>_xlfn.XLOOKUP(83498,Trip[shape_id],Trip[shape_id],"Não encontrado")</f>
        <v/>
      </c>
      <c r="B19291" s="43" t="n">
        <v>-23.47024</v>
      </c>
      <c r="C19291" s="43" t="n">
        <v>-46.644543</v>
      </c>
      <c r="D19291" s="43" t="n">
        <v>276</v>
      </c>
      <c r="E19291" s="44" t="n">
        <v>5955.7319</v>
      </c>
    </row>
    <row r="19292">
      <c r="A19292" s="39">
        <f>_xlfn.XLOOKUP(83498,Trip[shape_id],Trip[shape_id],"Não encontrado")</f>
        <v/>
      </c>
      <c r="B19292" s="40" t="n">
        <v>-23.470485</v>
      </c>
      <c r="C19292" s="40" t="n">
        <v>-46.644426</v>
      </c>
      <c r="D19292" s="40" t="n">
        <v>277</v>
      </c>
      <c r="E19292" s="41" t="n">
        <v>5985.3823</v>
      </c>
    </row>
    <row r="19293">
      <c r="A19293" s="42">
        <f>_xlfn.XLOOKUP(83498,Trip[shape_id],Trip[shape_id],"Não encontrado")</f>
        <v/>
      </c>
      <c r="B19293" s="43" t="n">
        <v>-23.470598</v>
      </c>
      <c r="C19293" s="43" t="n">
        <v>-46.644354</v>
      </c>
      <c r="D19293" s="43" t="n">
        <v>278</v>
      </c>
      <c r="E19293" s="44" t="n">
        <v>5999.8989</v>
      </c>
    </row>
    <row r="19294">
      <c r="A19294" s="39">
        <f>_xlfn.XLOOKUP(83498,Trip[shape_id],Trip[shape_id],"Não encontrado")</f>
        <v/>
      </c>
      <c r="B19294" s="40" t="n">
        <v>-23.470676</v>
      </c>
      <c r="C19294" s="40" t="n">
        <v>-46.644272</v>
      </c>
      <c r="D19294" s="40" t="n">
        <v>279</v>
      </c>
      <c r="E19294" s="41" t="n">
        <v>6011.9326</v>
      </c>
    </row>
    <row r="19295">
      <c r="A19295" s="42">
        <f>_xlfn.XLOOKUP(83498,Trip[shape_id],Trip[shape_id],"Não encontrado")</f>
        <v/>
      </c>
      <c r="B19295" s="43" t="n">
        <v>-23.470778</v>
      </c>
      <c r="C19295" s="43" t="n">
        <v>-46.644146</v>
      </c>
      <c r="D19295" s="43" t="n">
        <v>280</v>
      </c>
      <c r="E19295" s="44" t="n">
        <v>6029.0591</v>
      </c>
    </row>
    <row r="19296">
      <c r="A19296" s="39">
        <f>_xlfn.XLOOKUP(83498,Trip[shape_id],Trip[shape_id],"Não encontrado")</f>
        <v/>
      </c>
      <c r="B19296" s="40" t="n">
        <v>-23.470836</v>
      </c>
      <c r="C19296" s="40" t="n">
        <v>-46.644001</v>
      </c>
      <c r="D19296" s="40" t="n">
        <v>281</v>
      </c>
      <c r="E19296" s="41" t="n">
        <v>6045.2056</v>
      </c>
    </row>
    <row r="19297">
      <c r="A19297" s="42">
        <f>_xlfn.XLOOKUP(83498,Trip[shape_id],Trip[shape_id],"Não encontrado")</f>
        <v/>
      </c>
      <c r="B19297" s="43" t="n">
        <v>-23.470906</v>
      </c>
      <c r="C19297" s="43" t="n">
        <v>-46.643742</v>
      </c>
      <c r="D19297" s="43" t="n">
        <v>282</v>
      </c>
      <c r="E19297" s="44" t="n">
        <v>6072.7783</v>
      </c>
    </row>
    <row r="19298">
      <c r="A19298" s="39">
        <f>_xlfn.XLOOKUP(83498,Trip[shape_id],Trip[shape_id],"Não encontrado")</f>
        <v/>
      </c>
      <c r="B19298" s="40" t="n">
        <v>-23.470969</v>
      </c>
      <c r="C19298" s="40" t="n">
        <v>-46.643406</v>
      </c>
      <c r="D19298" s="40" t="n">
        <v>283</v>
      </c>
      <c r="E19298" s="41" t="n">
        <v>6107.8071</v>
      </c>
    </row>
    <row r="19299">
      <c r="A19299" s="42">
        <f>_xlfn.XLOOKUP(83498,Trip[shape_id],Trip[shape_id],"Não encontrado")</f>
        <v/>
      </c>
      <c r="B19299" s="43" t="n">
        <v>-23.471015</v>
      </c>
      <c r="C19299" s="43" t="n">
        <v>-46.643051</v>
      </c>
      <c r="D19299" s="43" t="n">
        <v>284</v>
      </c>
      <c r="E19299" s="44" t="n">
        <v>6144.4312</v>
      </c>
    </row>
    <row r="19300">
      <c r="A19300" s="39">
        <f>_xlfn.XLOOKUP(83498,Trip[shape_id],Trip[shape_id],"Não encontrado")</f>
        <v/>
      </c>
      <c r="B19300" s="40" t="n">
        <v>-23.47112</v>
      </c>
      <c r="C19300" s="40" t="n">
        <v>-46.641967</v>
      </c>
      <c r="D19300" s="40" t="n">
        <v>285</v>
      </c>
      <c r="E19300" s="41" t="n">
        <v>6255.7852</v>
      </c>
    </row>
    <row r="19301">
      <c r="A19301" s="42">
        <f>_xlfn.XLOOKUP(83498,Trip[shape_id],Trip[shape_id],"Não encontrado")</f>
        <v/>
      </c>
      <c r="B19301" s="43" t="n">
        <v>-23.471165</v>
      </c>
      <c r="C19301" s="43" t="n">
        <v>-46.64161</v>
      </c>
      <c r="D19301" s="43" t="n">
        <v>286</v>
      </c>
      <c r="E19301" s="44" t="n">
        <v>6292.5962</v>
      </c>
    </row>
    <row r="19302">
      <c r="A19302" s="39">
        <f>_xlfn.XLOOKUP(83498,Trip[shape_id],Trip[shape_id],"Não encontrado")</f>
        <v/>
      </c>
      <c r="B19302" s="40" t="n">
        <v>-23.471239</v>
      </c>
      <c r="C19302" s="40" t="n">
        <v>-46.641122</v>
      </c>
      <c r="D19302" s="40" t="n">
        <v>287</v>
      </c>
      <c r="E19302" s="41" t="n">
        <v>6343.1211</v>
      </c>
    </row>
    <row r="19303">
      <c r="A19303" s="42">
        <f>_xlfn.XLOOKUP(83498,Trip[shape_id],Trip[shape_id],"Não encontrado")</f>
        <v/>
      </c>
      <c r="B19303" s="43" t="n">
        <v>-23.4713</v>
      </c>
      <c r="C19303" s="43" t="n">
        <v>-46.640838</v>
      </c>
      <c r="D19303" s="43" t="n">
        <v>288</v>
      </c>
      <c r="E19303" s="44" t="n">
        <v>6372.9116</v>
      </c>
    </row>
    <row r="19304">
      <c r="A19304" s="39">
        <f>_xlfn.XLOOKUP(83498,Trip[shape_id],Trip[shape_id],"Não encontrado")</f>
        <v/>
      </c>
      <c r="B19304" s="40" t="n">
        <v>-23.471338</v>
      </c>
      <c r="C19304" s="40" t="n">
        <v>-46.640767</v>
      </c>
      <c r="D19304" s="40" t="n">
        <v>289</v>
      </c>
      <c r="E19304" s="41" t="n">
        <v>6381.2974</v>
      </c>
    </row>
    <row r="19305">
      <c r="A19305" s="42">
        <f>_xlfn.XLOOKUP(83498,Trip[shape_id],Trip[shape_id],"Não encontrado")</f>
        <v/>
      </c>
      <c r="B19305" s="43" t="n">
        <v>-23.471376</v>
      </c>
      <c r="C19305" s="43" t="n">
        <v>-46.640692</v>
      </c>
      <c r="D19305" s="43" t="n">
        <v>290</v>
      </c>
      <c r="E19305" s="44" t="n">
        <v>6390.0396</v>
      </c>
    </row>
    <row r="19306">
      <c r="A19306" s="39">
        <f>_xlfn.XLOOKUP(83498,Trip[shape_id],Trip[shape_id],"Não encontrado")</f>
        <v/>
      </c>
      <c r="B19306" s="40" t="n">
        <v>-23.471455</v>
      </c>
      <c r="C19306" s="40" t="n">
        <v>-46.640623</v>
      </c>
      <c r="D19306" s="40" t="n">
        <v>291</v>
      </c>
      <c r="E19306" s="41" t="n">
        <v>6401.2754</v>
      </c>
    </row>
    <row r="19307">
      <c r="A19307" s="42">
        <f>_xlfn.XLOOKUP(83498,Trip[shape_id],Trip[shape_id],"Não encontrado")</f>
        <v/>
      </c>
      <c r="B19307" s="43" t="n">
        <v>-23.471547</v>
      </c>
      <c r="C19307" s="43" t="n">
        <v>-46.640542</v>
      </c>
      <c r="D19307" s="43" t="n">
        <v>292</v>
      </c>
      <c r="E19307" s="44" t="n">
        <v>6414.4019</v>
      </c>
    </row>
    <row r="19308">
      <c r="A19308" s="39">
        <f>_xlfn.XLOOKUP(83498,Trip[shape_id],Trip[shape_id],"Não encontrado")</f>
        <v/>
      </c>
      <c r="B19308" s="40" t="n">
        <v>-23.471659</v>
      </c>
      <c r="C19308" s="40" t="n">
        <v>-46.640466</v>
      </c>
      <c r="D19308" s="40" t="n">
        <v>293</v>
      </c>
      <c r="E19308" s="41" t="n">
        <v>6429.0356</v>
      </c>
    </row>
    <row r="19309">
      <c r="A19309" s="42">
        <f>_xlfn.XLOOKUP(83498,Trip[shape_id],Trip[shape_id],"Não encontrado")</f>
        <v/>
      </c>
      <c r="B19309" s="43" t="n">
        <v>-23.471893</v>
      </c>
      <c r="C19309" s="43" t="n">
        <v>-46.640386</v>
      </c>
      <c r="D19309" s="43" t="n">
        <v>294</v>
      </c>
      <c r="E19309" s="44" t="n">
        <v>6456.2095</v>
      </c>
    </row>
    <row r="19310">
      <c r="A19310" s="39">
        <f>_xlfn.XLOOKUP(83498,Trip[shape_id],Trip[shape_id],"Não encontrado")</f>
        <v/>
      </c>
      <c r="B19310" s="40" t="n">
        <v>-23.472672</v>
      </c>
      <c r="C19310" s="40" t="n">
        <v>-46.640121</v>
      </c>
      <c r="D19310" s="40" t="n">
        <v>295</v>
      </c>
      <c r="E19310" s="41" t="n">
        <v>6546.6323</v>
      </c>
    </row>
    <row r="19311">
      <c r="A19311" s="42">
        <f>_xlfn.XLOOKUP(83498,Trip[shape_id],Trip[shape_id],"Não encontrado")</f>
        <v/>
      </c>
      <c r="B19311" s="43" t="n">
        <v>-23.473029</v>
      </c>
      <c r="C19311" s="43" t="n">
        <v>-46.639997</v>
      </c>
      <c r="D19311" s="43" t="n">
        <v>296</v>
      </c>
      <c r="E19311" s="44" t="n">
        <v>6588.1504</v>
      </c>
    </row>
    <row r="19312">
      <c r="A19312" s="39">
        <f>_xlfn.XLOOKUP(83498,Trip[shape_id],Trip[shape_id],"Não encontrado")</f>
        <v/>
      </c>
      <c r="B19312" s="40" t="n">
        <v>-23.473226</v>
      </c>
      <c r="C19312" s="40" t="n">
        <v>-46.639928</v>
      </c>
      <c r="D19312" s="40" t="n">
        <v>297</v>
      </c>
      <c r="E19312" s="41" t="n">
        <v>6611.0786</v>
      </c>
    </row>
    <row r="19313">
      <c r="A19313" s="42">
        <f>_xlfn.XLOOKUP(83498,Trip[shape_id],Trip[shape_id],"Não encontrado")</f>
        <v/>
      </c>
      <c r="B19313" s="43" t="n">
        <v>-23.47334</v>
      </c>
      <c r="C19313" s="43" t="n">
        <v>-46.639889</v>
      </c>
      <c r="D19313" s="43" t="n">
        <v>298</v>
      </c>
      <c r="E19313" s="44" t="n">
        <v>6624.3179</v>
      </c>
    </row>
    <row r="19314">
      <c r="A19314" s="39">
        <f>_xlfn.XLOOKUP(83498,Trip[shape_id],Trip[shape_id],"Não encontrado")</f>
        <v/>
      </c>
      <c r="B19314" s="40" t="n">
        <v>-23.473755</v>
      </c>
      <c r="C19314" s="40" t="n">
        <v>-46.639745</v>
      </c>
      <c r="D19314" s="40" t="n">
        <v>299</v>
      </c>
      <c r="E19314" s="41" t="n">
        <v>6672.5762</v>
      </c>
    </row>
    <row r="19315">
      <c r="A19315" s="42">
        <f>_xlfn.XLOOKUP(83498,Trip[shape_id],Trip[shape_id],"Não encontrado")</f>
        <v/>
      </c>
      <c r="B19315" s="43" t="n">
        <v>-23.474442</v>
      </c>
      <c r="C19315" s="43" t="n">
        <v>-46.639509</v>
      </c>
      <c r="D19315" s="43" t="n">
        <v>300</v>
      </c>
      <c r="E19315" s="44" t="n">
        <v>6752.3906</v>
      </c>
    </row>
    <row r="19316">
      <c r="A19316" s="39">
        <f>_xlfn.XLOOKUP(83498,Trip[shape_id],Trip[shape_id],"Não encontrado")</f>
        <v/>
      </c>
      <c r="B19316" s="40" t="n">
        <v>-23.474561</v>
      </c>
      <c r="C19316" s="40" t="n">
        <v>-46.639468</v>
      </c>
      <c r="D19316" s="40" t="n">
        <v>301</v>
      </c>
      <c r="E19316" s="41" t="n">
        <v>6766.2192</v>
      </c>
    </row>
    <row r="19317">
      <c r="A19317" s="42">
        <f>_xlfn.XLOOKUP(83498,Trip[shape_id],Trip[shape_id],"Não encontrado")</f>
        <v/>
      </c>
      <c r="B19317" s="43" t="n">
        <v>-23.474623</v>
      </c>
      <c r="C19317" s="43" t="n">
        <v>-46.639448</v>
      </c>
      <c r="D19317" s="43" t="n">
        <v>302</v>
      </c>
      <c r="E19317" s="44" t="n">
        <v>6773.3838</v>
      </c>
    </row>
    <row r="19318">
      <c r="A19318" s="39">
        <f>_xlfn.XLOOKUP(83498,Trip[shape_id],Trip[shape_id],"Não encontrado")</f>
        <v/>
      </c>
      <c r="B19318" s="40" t="n">
        <v>-23.474845</v>
      </c>
      <c r="C19318" s="40" t="n">
        <v>-46.639322</v>
      </c>
      <c r="D19318" s="40" t="n">
        <v>303</v>
      </c>
      <c r="E19318" s="41" t="n">
        <v>6801.1362</v>
      </c>
    </row>
    <row r="19319">
      <c r="A19319" s="42">
        <f>_xlfn.XLOOKUP(83498,Trip[shape_id],Trip[shape_id],"Não encontrado")</f>
        <v/>
      </c>
      <c r="B19319" s="43" t="n">
        <v>-23.474935</v>
      </c>
      <c r="C19319" s="43" t="n">
        <v>-46.639282</v>
      </c>
      <c r="D19319" s="43" t="n">
        <v>304</v>
      </c>
      <c r="E19319" s="44" t="n">
        <v>6811.9092</v>
      </c>
    </row>
    <row r="19320">
      <c r="A19320" s="39">
        <f>_xlfn.XLOOKUP(83498,Trip[shape_id],Trip[shape_id],"Não encontrado")</f>
        <v/>
      </c>
      <c r="B19320" s="40" t="n">
        <v>-23.47498</v>
      </c>
      <c r="C19320" s="40" t="n">
        <v>-46.639251</v>
      </c>
      <c r="D19320" s="40" t="n">
        <v>305</v>
      </c>
      <c r="E19320" s="41" t="n">
        <v>6817.8145</v>
      </c>
    </row>
    <row r="19321">
      <c r="A19321" s="42">
        <f>_xlfn.XLOOKUP(83498,Trip[shape_id],Trip[shape_id],"Não encontrado")</f>
        <v/>
      </c>
      <c r="B19321" s="43" t="n">
        <v>-23.475008</v>
      </c>
      <c r="C19321" s="43" t="n">
        <v>-46.63923</v>
      </c>
      <c r="D19321" s="43" t="n">
        <v>306</v>
      </c>
      <c r="E19321" s="44" t="n">
        <v>6821.585</v>
      </c>
    </row>
    <row r="19322">
      <c r="A19322" s="39">
        <f>_xlfn.XLOOKUP(83498,Trip[shape_id],Trip[shape_id],"Não encontrado")</f>
        <v/>
      </c>
      <c r="B19322" s="40" t="n">
        <v>-23.475051</v>
      </c>
      <c r="C19322" s="40" t="n">
        <v>-46.639082</v>
      </c>
      <c r="D19322" s="40" t="n">
        <v>307</v>
      </c>
      <c r="E19322" s="41" t="n">
        <v>6837.437</v>
      </c>
    </row>
    <row r="19323">
      <c r="A19323" s="42">
        <f>_xlfn.XLOOKUP(83498,Trip[shape_id],Trip[shape_id],"Não encontrado")</f>
        <v/>
      </c>
      <c r="B19323" s="43" t="n">
        <v>-23.475089</v>
      </c>
      <c r="C19323" s="43" t="n">
        <v>-46.638982</v>
      </c>
      <c r="D19323" s="43" t="n">
        <v>308</v>
      </c>
      <c r="E19323" s="44" t="n">
        <v>6848.4858</v>
      </c>
    </row>
    <row r="19324">
      <c r="A19324" s="39">
        <f>_xlfn.XLOOKUP(83498,Trip[shape_id],Trip[shape_id],"Não encontrado")</f>
        <v/>
      </c>
      <c r="B19324" s="40" t="n">
        <v>-23.475148</v>
      </c>
      <c r="C19324" s="40" t="n">
        <v>-46.638842</v>
      </c>
      <c r="D19324" s="40" t="n">
        <v>309</v>
      </c>
      <c r="E19324" s="41" t="n">
        <v>6864.2104</v>
      </c>
    </row>
    <row r="19325">
      <c r="A19325" s="42">
        <f>_xlfn.XLOOKUP(83498,Trip[shape_id],Trip[shape_id],"Não encontrado")</f>
        <v/>
      </c>
      <c r="B19325" s="43" t="n">
        <v>-23.475282</v>
      </c>
      <c r="C19325" s="43" t="n">
        <v>-46.638594</v>
      </c>
      <c r="D19325" s="43" t="n">
        <v>310</v>
      </c>
      <c r="E19325" s="44" t="n">
        <v>6893.5728</v>
      </c>
    </row>
    <row r="19326">
      <c r="A19326" s="39">
        <f>_xlfn.XLOOKUP(83498,Trip[shape_id],Trip[shape_id],"Não encontrado")</f>
        <v/>
      </c>
      <c r="B19326" s="40" t="n">
        <v>-23.475336</v>
      </c>
      <c r="C19326" s="40" t="n">
        <v>-46.638493</v>
      </c>
      <c r="D19326" s="40" t="n">
        <v>311</v>
      </c>
      <c r="E19326" s="41" t="n">
        <v>6905.4985</v>
      </c>
    </row>
    <row r="19327">
      <c r="A19327" s="42">
        <f>_xlfn.XLOOKUP(83498,Trip[shape_id],Trip[shape_id],"Não encontrado")</f>
        <v/>
      </c>
      <c r="B19327" s="43" t="n">
        <v>-23.475392</v>
      </c>
      <c r="C19327" s="43" t="n">
        <v>-46.63841</v>
      </c>
      <c r="D19327" s="43" t="n">
        <v>312</v>
      </c>
      <c r="E19327" s="44" t="n">
        <v>6916.0039</v>
      </c>
    </row>
    <row r="19328">
      <c r="A19328" s="39">
        <f>_xlfn.XLOOKUP(83498,Trip[shape_id],Trip[shape_id],"Não encontrado")</f>
        <v/>
      </c>
      <c r="B19328" s="40" t="n">
        <v>-23.475597</v>
      </c>
      <c r="C19328" s="40" t="n">
        <v>-46.638082</v>
      </c>
      <c r="D19328" s="40" t="n">
        <v>313</v>
      </c>
      <c r="E19328" s="41" t="n">
        <v>6956.4795</v>
      </c>
    </row>
    <row r="19329">
      <c r="A19329" s="42">
        <f>_xlfn.XLOOKUP(83498,Trip[shape_id],Trip[shape_id],"Não encontrado")</f>
        <v/>
      </c>
      <c r="B19329" s="43" t="n">
        <v>-23.476056</v>
      </c>
      <c r="C19329" s="43" t="n">
        <v>-46.637315</v>
      </c>
      <c r="D19329" s="43" t="n">
        <v>314</v>
      </c>
      <c r="E19329" s="44" t="n">
        <v>7049.8813</v>
      </c>
    </row>
    <row r="19330">
      <c r="A19330" s="39">
        <f>_xlfn.XLOOKUP(83498,Trip[shape_id],Trip[shape_id],"Não encontrado")</f>
        <v/>
      </c>
      <c r="B19330" s="40" t="n">
        <v>-23.476197</v>
      </c>
      <c r="C19330" s="40" t="n">
        <v>-46.63715</v>
      </c>
      <c r="D19330" s="40" t="n">
        <v>315</v>
      </c>
      <c r="E19330" s="41" t="n">
        <v>7072.8594</v>
      </c>
    </row>
    <row r="19331">
      <c r="A19331" s="42">
        <f>_xlfn.XLOOKUP(83498,Trip[shape_id],Trip[shape_id],"Não encontrado")</f>
        <v/>
      </c>
      <c r="B19331" s="43" t="n">
        <v>-23.476432</v>
      </c>
      <c r="C19331" s="43" t="n">
        <v>-46.636961</v>
      </c>
      <c r="D19331" s="43" t="n">
        <v>316</v>
      </c>
      <c r="E19331" s="44" t="n">
        <v>7105.2656</v>
      </c>
    </row>
    <row r="19332">
      <c r="A19332" s="39">
        <f>_xlfn.XLOOKUP(83498,Trip[shape_id],Trip[shape_id],"Não encontrado")</f>
        <v/>
      </c>
      <c r="B19332" s="40" t="n">
        <v>-23.476567</v>
      </c>
      <c r="C19332" s="40" t="n">
        <v>-46.636851</v>
      </c>
      <c r="D19332" s="40" t="n">
        <v>317</v>
      </c>
      <c r="E19332" s="41" t="n">
        <v>7123.9692</v>
      </c>
    </row>
    <row r="19333">
      <c r="A19333" s="42">
        <f>_xlfn.XLOOKUP(83498,Trip[shape_id],Trip[shape_id],"Não encontrado")</f>
        <v/>
      </c>
      <c r="B19333" s="43" t="n">
        <v>-23.476636</v>
      </c>
      <c r="C19333" s="43" t="n">
        <v>-46.636854</v>
      </c>
      <c r="D19333" s="43" t="n">
        <v>318</v>
      </c>
      <c r="E19333" s="44" t="n">
        <v>7131.6172</v>
      </c>
    </row>
    <row r="19334">
      <c r="A19334" s="39">
        <f>_xlfn.XLOOKUP(83498,Trip[shape_id],Trip[shape_id],"Não encontrado")</f>
        <v/>
      </c>
      <c r="B19334" s="40" t="n">
        <v>-23.476662</v>
      </c>
      <c r="C19334" s="40" t="n">
        <v>-46.636857</v>
      </c>
      <c r="D19334" s="40" t="n">
        <v>319</v>
      </c>
      <c r="E19334" s="41" t="n">
        <v>7134.5137</v>
      </c>
    </row>
    <row r="19335">
      <c r="A19335" s="42">
        <f>_xlfn.XLOOKUP(83498,Trip[shape_id],Trip[shape_id],"Não encontrado")</f>
        <v/>
      </c>
      <c r="B19335" s="43" t="n">
        <v>-23.476672</v>
      </c>
      <c r="C19335" s="43" t="n">
        <v>-46.636859</v>
      </c>
      <c r="D19335" s="43" t="n">
        <v>320</v>
      </c>
      <c r="E19335" s="44" t="n">
        <v>7135.6431</v>
      </c>
    </row>
    <row r="19336">
      <c r="A19336" s="39">
        <f>_xlfn.XLOOKUP(83498,Trip[shape_id],Trip[shape_id],"Não encontrado")</f>
        <v/>
      </c>
      <c r="B19336" s="40" t="n">
        <v>-23.476696</v>
      </c>
      <c r="C19336" s="40" t="n">
        <v>-46.636872</v>
      </c>
      <c r="D19336" s="40" t="n">
        <v>321</v>
      </c>
      <c r="E19336" s="41" t="n">
        <v>7138.6147</v>
      </c>
    </row>
    <row r="19337">
      <c r="A19337" s="42">
        <f>_xlfn.XLOOKUP(83498,Trip[shape_id],Trip[shape_id],"Não encontrado")</f>
        <v/>
      </c>
      <c r="B19337" s="43" t="n">
        <v>-23.476727</v>
      </c>
      <c r="C19337" s="43" t="n">
        <v>-46.636895</v>
      </c>
      <c r="D19337" s="43" t="n">
        <v>322</v>
      </c>
      <c r="E19337" s="44" t="n">
        <v>7142.7754</v>
      </c>
    </row>
    <row r="19338">
      <c r="A19338" s="39">
        <f>_xlfn.XLOOKUP(83498,Trip[shape_id],Trip[shape_id],"Não encontrado")</f>
        <v/>
      </c>
      <c r="B19338" s="40" t="n">
        <v>-23.476751</v>
      </c>
      <c r="C19338" s="40" t="n">
        <v>-46.636708</v>
      </c>
      <c r="D19338" s="40" t="n">
        <v>323</v>
      </c>
      <c r="E19338" s="41" t="n">
        <v>7162.0635</v>
      </c>
    </row>
    <row r="19339">
      <c r="A19339" s="42">
        <f>_xlfn.XLOOKUP(83498,Trip[shape_id],Trip[shape_id],"Não encontrado")</f>
        <v/>
      </c>
      <c r="B19339" s="43" t="n">
        <v>-23.476781</v>
      </c>
      <c r="C19339" s="43" t="n">
        <v>-46.636458</v>
      </c>
      <c r="D19339" s="43" t="n">
        <v>324</v>
      </c>
      <c r="E19339" s="44" t="n">
        <v>7187.8184</v>
      </c>
    </row>
    <row r="19340">
      <c r="A19340" s="39">
        <f>_xlfn.XLOOKUP(83498,Trip[shape_id],Trip[shape_id],"Não encontrado")</f>
        <v/>
      </c>
      <c r="B19340" s="40" t="n">
        <v>-23.4768</v>
      </c>
      <c r="C19340" s="40" t="n">
        <v>-46.636304</v>
      </c>
      <c r="D19340" s="40" t="n">
        <v>325</v>
      </c>
      <c r="E19340" s="41" t="n">
        <v>7203.6909</v>
      </c>
    </row>
    <row r="19341">
      <c r="A19341" s="42">
        <f>_xlfn.XLOOKUP(83498,Trip[shape_id],Trip[shape_id],"Não encontrado")</f>
        <v/>
      </c>
      <c r="B19341" s="43" t="n">
        <v>-23.476844</v>
      </c>
      <c r="C19341" s="43" t="n">
        <v>-46.636022</v>
      </c>
      <c r="D19341" s="43" t="n">
        <v>326</v>
      </c>
      <c r="E19341" s="44" t="n">
        <v>7232.9092</v>
      </c>
    </row>
    <row r="19342">
      <c r="A19342" s="39">
        <f>_xlfn.XLOOKUP(83498,Trip[shape_id],Trip[shape_id],"Não encontrado")</f>
        <v/>
      </c>
      <c r="B19342" s="40" t="n">
        <v>-23.476851</v>
      </c>
      <c r="C19342" s="40" t="n">
        <v>-46.635948</v>
      </c>
      <c r="D19342" s="40" t="n">
        <v>327</v>
      </c>
      <c r="E19342" s="41" t="n">
        <v>7240.5088</v>
      </c>
    </row>
    <row r="19343">
      <c r="A19343" s="42">
        <f>_xlfn.XLOOKUP(83498,Trip[shape_id],Trip[shape_id],"Não encontrado")</f>
        <v/>
      </c>
      <c r="B19343" s="43" t="n">
        <v>-23.47684</v>
      </c>
      <c r="C19343" s="43" t="n">
        <v>-46.635756</v>
      </c>
      <c r="D19343" s="43" t="n">
        <v>328</v>
      </c>
      <c r="E19343" s="44" t="n">
        <v>7260.1611</v>
      </c>
    </row>
    <row r="19344">
      <c r="A19344" s="39">
        <f>_xlfn.XLOOKUP(83498,Trip[shape_id],Trip[shape_id],"Não encontrado")</f>
        <v/>
      </c>
      <c r="B19344" s="40" t="n">
        <v>-23.476893</v>
      </c>
      <c r="C19344" s="40" t="n">
        <v>-46.635481</v>
      </c>
      <c r="D19344" s="40" t="n">
        <v>329</v>
      </c>
      <c r="E19344" s="41" t="n">
        <v>7288.8613</v>
      </c>
    </row>
    <row r="19345">
      <c r="A19345" s="42">
        <f>_xlfn.XLOOKUP(83498,Trip[shape_id],Trip[shape_id],"Não encontrado")</f>
        <v/>
      </c>
      <c r="B19345" s="43" t="n">
        <v>-23.476909</v>
      </c>
      <c r="C19345" s="43" t="n">
        <v>-46.635043</v>
      </c>
      <c r="D19345" s="43" t="n">
        <v>330</v>
      </c>
      <c r="E19345" s="44" t="n">
        <v>7333.6421</v>
      </c>
    </row>
    <row r="19346">
      <c r="A19346" s="39">
        <f>_xlfn.XLOOKUP(83498,Trip[shape_id],Trip[shape_id],"Não encontrado")</f>
        <v/>
      </c>
      <c r="B19346" s="40" t="n">
        <v>-23.476942</v>
      </c>
      <c r="C19346" s="40" t="n">
        <v>-46.634804</v>
      </c>
      <c r="D19346" s="40" t="n">
        <v>331</v>
      </c>
      <c r="E19346" s="41" t="n">
        <v>7358.3301</v>
      </c>
    </row>
    <row r="19347">
      <c r="A19347" s="42">
        <f>_xlfn.XLOOKUP(83498,Trip[shape_id],Trip[shape_id],"Não encontrado")</f>
        <v/>
      </c>
      <c r="B19347" s="43" t="n">
        <v>-23.476991</v>
      </c>
      <c r="C19347" s="43" t="n">
        <v>-46.634676</v>
      </c>
      <c r="D19347" s="43" t="n">
        <v>332</v>
      </c>
      <c r="E19347" s="44" t="n">
        <v>7372.4878</v>
      </c>
    </row>
    <row r="19348">
      <c r="A19348" s="39">
        <f>_xlfn.XLOOKUP(83498,Trip[shape_id],Trip[shape_id],"Não encontrado")</f>
        <v/>
      </c>
      <c r="B19348" s="40" t="n">
        <v>-23.476657</v>
      </c>
      <c r="C19348" s="40" t="n">
        <v>-46.634173</v>
      </c>
      <c r="D19348" s="40" t="n">
        <v>333</v>
      </c>
      <c r="E19348" s="41" t="n">
        <v>7435.8032</v>
      </c>
    </row>
    <row r="19349">
      <c r="A19349" s="42">
        <f>_xlfn.XLOOKUP(83498,Trip[shape_id],Trip[shape_id],"Não encontrado")</f>
        <v/>
      </c>
      <c r="B19349" s="43" t="n">
        <v>-23.476474</v>
      </c>
      <c r="C19349" s="43" t="n">
        <v>-46.633924</v>
      </c>
      <c r="D19349" s="43" t="n">
        <v>334</v>
      </c>
      <c r="E19349" s="44" t="n">
        <v>7468.3276</v>
      </c>
    </row>
    <row r="19350">
      <c r="A19350" s="39">
        <f>_xlfn.XLOOKUP(83498,Trip[shape_id],Trip[shape_id],"Não encontrado")</f>
        <v/>
      </c>
      <c r="B19350" s="40" t="n">
        <v>-23.477224</v>
      </c>
      <c r="C19350" s="40" t="n">
        <v>-46.633536</v>
      </c>
      <c r="D19350" s="40" t="n">
        <v>335</v>
      </c>
      <c r="E19350" s="41" t="n">
        <v>7560.3638</v>
      </c>
    </row>
    <row r="19351">
      <c r="A19351" s="42">
        <f>_xlfn.XLOOKUP(83498,Trip[shape_id],Trip[shape_id],"Não encontrado")</f>
        <v/>
      </c>
      <c r="B19351" s="43" t="n">
        <v>-23.478692</v>
      </c>
      <c r="C19351" s="43" t="n">
        <v>-46.632782</v>
      </c>
      <c r="D19351" s="43" t="n">
        <v>336</v>
      </c>
      <c r="E19351" s="44" t="n">
        <v>7740.2695</v>
      </c>
    </row>
    <row r="19352">
      <c r="A19352" s="39">
        <f>_xlfn.XLOOKUP(83498,Trip[shape_id],Trip[shape_id],"Não encontrado")</f>
        <v/>
      </c>
      <c r="B19352" s="40" t="n">
        <v>-23.478953</v>
      </c>
      <c r="C19352" s="40" t="n">
        <v>-46.63269</v>
      </c>
      <c r="D19352" s="40" t="n">
        <v>337</v>
      </c>
      <c r="E19352" s="41" t="n">
        <v>7770.665</v>
      </c>
    </row>
    <row r="19353">
      <c r="A19353" s="42">
        <f>_xlfn.XLOOKUP(83498,Trip[shape_id],Trip[shape_id],"Não encontrado")</f>
        <v/>
      </c>
      <c r="B19353" s="43" t="n">
        <v>-23.479518</v>
      </c>
      <c r="C19353" s="43" t="n">
        <v>-46.632541</v>
      </c>
      <c r="D19353" s="43" t="n">
        <v>338</v>
      </c>
      <c r="E19353" s="44" t="n">
        <v>7835.064</v>
      </c>
    </row>
    <row r="19354">
      <c r="A19354" s="39">
        <f>_xlfn.XLOOKUP(83498,Trip[shape_id],Trip[shape_id],"Não encontrado")</f>
        <v/>
      </c>
      <c r="B19354" s="40" t="n">
        <v>-23.479818</v>
      </c>
      <c r="C19354" s="40" t="n">
        <v>-46.632475</v>
      </c>
      <c r="D19354" s="40" t="n">
        <v>339</v>
      </c>
      <c r="E19354" s="41" t="n">
        <v>7868.9663</v>
      </c>
    </row>
    <row r="19355">
      <c r="A19355" s="42">
        <f>_xlfn.XLOOKUP(83498,Trip[shape_id],Trip[shape_id],"Não encontrado")</f>
        <v/>
      </c>
      <c r="B19355" s="43" t="n">
        <v>-23.480008</v>
      </c>
      <c r="C19355" s="43" t="n">
        <v>-46.632404</v>
      </c>
      <c r="D19355" s="43" t="n">
        <v>340</v>
      </c>
      <c r="E19355" s="44" t="n">
        <v>7891.2241</v>
      </c>
    </row>
    <row r="19356">
      <c r="A19356" s="39">
        <f>_xlfn.XLOOKUP(83498,Trip[shape_id],Trip[shape_id],"Não encontrado")</f>
        <v/>
      </c>
      <c r="B19356" s="40" t="n">
        <v>-23.480141</v>
      </c>
      <c r="C19356" s="40" t="n">
        <v>-46.632365</v>
      </c>
      <c r="D19356" s="40" t="n">
        <v>341</v>
      </c>
      <c r="E19356" s="41" t="n">
        <v>7906.4834</v>
      </c>
    </row>
    <row r="19357">
      <c r="A19357" s="42">
        <f>_xlfn.XLOOKUP(83498,Trip[shape_id],Trip[shape_id],"Não encontrado")</f>
        <v/>
      </c>
      <c r="B19357" s="43" t="n">
        <v>-23.480431</v>
      </c>
      <c r="C19357" s="43" t="n">
        <v>-46.632246</v>
      </c>
      <c r="D19357" s="43" t="n">
        <v>342</v>
      </c>
      <c r="E19357" s="44" t="n">
        <v>7940.8247</v>
      </c>
    </row>
    <row r="19358">
      <c r="A19358" s="39">
        <f>_xlfn.XLOOKUP(83498,Trip[shape_id],Trip[shape_id],"Não encontrado")</f>
        <v/>
      </c>
      <c r="B19358" s="40" t="n">
        <v>-23.480613</v>
      </c>
      <c r="C19358" s="40" t="n">
        <v>-46.632167</v>
      </c>
      <c r="D19358" s="40" t="n">
        <v>343</v>
      </c>
      <c r="E19358" s="41" t="n">
        <v>7962.5371</v>
      </c>
    </row>
    <row r="19359">
      <c r="A19359" s="42">
        <f>_xlfn.XLOOKUP(83498,Trip[shape_id],Trip[shape_id],"Não encontrado")</f>
        <v/>
      </c>
      <c r="B19359" s="43" t="n">
        <v>-23.480728</v>
      </c>
      <c r="C19359" s="43" t="n">
        <v>-46.632124</v>
      </c>
      <c r="D19359" s="43" t="n">
        <v>344</v>
      </c>
      <c r="E19359" s="44" t="n">
        <v>7976.0098</v>
      </c>
    </row>
    <row r="19360">
      <c r="A19360" s="39">
        <f>_xlfn.XLOOKUP(83498,Trip[shape_id],Trip[shape_id],"Não encontrado")</f>
        <v/>
      </c>
      <c r="B19360" s="40" t="n">
        <v>-23.48078</v>
      </c>
      <c r="C19360" s="40" t="n">
        <v>-46.632118</v>
      </c>
      <c r="D19360" s="40" t="n">
        <v>345</v>
      </c>
      <c r="E19360" s="41" t="n">
        <v>7981.8013</v>
      </c>
    </row>
    <row r="19361">
      <c r="A19361" s="42">
        <f>_xlfn.XLOOKUP(83498,Trip[shape_id],Trip[shape_id],"Não encontrado")</f>
        <v/>
      </c>
      <c r="B19361" s="43" t="n">
        <v>-23.481364</v>
      </c>
      <c r="C19361" s="43" t="n">
        <v>-46.632122</v>
      </c>
      <c r="D19361" s="43" t="n">
        <v>346</v>
      </c>
      <c r="E19361" s="44" t="n">
        <v>8046.481</v>
      </c>
    </row>
    <row r="19362">
      <c r="A19362" s="39">
        <f>_xlfn.XLOOKUP(83498,Trip[shape_id],Trip[shape_id],"Não encontrado")</f>
        <v/>
      </c>
      <c r="B19362" s="40" t="n">
        <v>-23.481495</v>
      </c>
      <c r="C19362" s="40" t="n">
        <v>-46.632116</v>
      </c>
      <c r="D19362" s="40" t="n">
        <v>347</v>
      </c>
      <c r="E19362" s="41" t="n">
        <v>8061.002</v>
      </c>
    </row>
    <row r="19363">
      <c r="A19363" s="42">
        <f>_xlfn.XLOOKUP(83498,Trip[shape_id],Trip[shape_id],"Não encontrado")</f>
        <v/>
      </c>
      <c r="B19363" s="43" t="n">
        <v>-23.481569</v>
      </c>
      <c r="C19363" s="43" t="n">
        <v>-46.632109</v>
      </c>
      <c r="D19363" s="43" t="n">
        <v>348</v>
      </c>
      <c r="E19363" s="44" t="n">
        <v>8069.2285</v>
      </c>
    </row>
    <row r="19364">
      <c r="A19364" s="39">
        <f>_xlfn.XLOOKUP(83498,Trip[shape_id],Trip[shape_id],"Não encontrado")</f>
        <v/>
      </c>
      <c r="B19364" s="40" t="n">
        <v>-23.481752</v>
      </c>
      <c r="C19364" s="40" t="n">
        <v>-46.632077</v>
      </c>
      <c r="D19364" s="40" t="n">
        <v>349</v>
      </c>
      <c r="E19364" s="41" t="n">
        <v>8089.7578</v>
      </c>
    </row>
    <row r="19365">
      <c r="A19365" s="42">
        <f>_xlfn.XLOOKUP(83498,Trip[shape_id],Trip[shape_id],"Não encontrado")</f>
        <v/>
      </c>
      <c r="B19365" s="43" t="n">
        <v>-23.48191</v>
      </c>
      <c r="C19365" s="43" t="n">
        <v>-46.632033</v>
      </c>
      <c r="D19365" s="43" t="n">
        <v>350</v>
      </c>
      <c r="E19365" s="44" t="n">
        <v>8107.8247</v>
      </c>
    </row>
    <row r="19366">
      <c r="A19366" s="39">
        <f>_xlfn.XLOOKUP(83498,Trip[shape_id],Trip[shape_id],"Não encontrado")</f>
        <v/>
      </c>
      <c r="B19366" s="40" t="n">
        <v>-23.481954</v>
      </c>
      <c r="C19366" s="40" t="n">
        <v>-46.632018</v>
      </c>
      <c r="D19366" s="40" t="n">
        <v>351</v>
      </c>
      <c r="E19366" s="41" t="n">
        <v>8112.9331</v>
      </c>
    </row>
    <row r="19367">
      <c r="A19367" s="42">
        <f>_xlfn.XLOOKUP(83498,Trip[shape_id],Trip[shape_id],"Não encontrado")</f>
        <v/>
      </c>
      <c r="B19367" s="43" t="n">
        <v>-23.482071</v>
      </c>
      <c r="C19367" s="43" t="n">
        <v>-46.631987</v>
      </c>
      <c r="D19367" s="43" t="n">
        <v>352</v>
      </c>
      <c r="E19367" s="44" t="n">
        <v>8126.2725</v>
      </c>
    </row>
    <row r="19368">
      <c r="A19368" s="39">
        <f>_xlfn.XLOOKUP(83498,Trip[shape_id],Trip[shape_id],"Não encontrado")</f>
        <v/>
      </c>
      <c r="B19368" s="40" t="n">
        <v>-23.482358</v>
      </c>
      <c r="C19368" s="40" t="n">
        <v>-46.63195</v>
      </c>
      <c r="D19368" s="40" t="n">
        <v>353</v>
      </c>
      <c r="E19368" s="41" t="n">
        <v>8158.2817</v>
      </c>
    </row>
    <row r="19369">
      <c r="A19369" s="42">
        <f>_xlfn.XLOOKUP(83498,Trip[shape_id],Trip[shape_id],"Não encontrado")</f>
        <v/>
      </c>
      <c r="B19369" s="43" t="n">
        <v>-23.482703</v>
      </c>
      <c r="C19369" s="43" t="n">
        <v>-46.631878</v>
      </c>
      <c r="D19369" s="43" t="n">
        <v>354</v>
      </c>
      <c r="E19369" s="44" t="n">
        <v>8197.1924</v>
      </c>
    </row>
    <row r="19370">
      <c r="A19370" s="39">
        <f>_xlfn.XLOOKUP(83498,Trip[shape_id],Trip[shape_id],"Não encontrado")</f>
        <v/>
      </c>
      <c r="B19370" s="40" t="n">
        <v>-23.482908</v>
      </c>
      <c r="C19370" s="40" t="n">
        <v>-46.631827</v>
      </c>
      <c r="D19370" s="40" t="n">
        <v>355</v>
      </c>
      <c r="E19370" s="41" t="n">
        <v>8220.4863</v>
      </c>
    </row>
    <row r="19371">
      <c r="A19371" s="42">
        <f>_xlfn.XLOOKUP(83498,Trip[shape_id],Trip[shape_id],"Não encontrado")</f>
        <v/>
      </c>
      <c r="B19371" s="43" t="n">
        <v>-23.483031</v>
      </c>
      <c r="C19371" s="43" t="n">
        <v>-46.631759</v>
      </c>
      <c r="D19371" s="43" t="n">
        <v>356</v>
      </c>
      <c r="E19371" s="44" t="n">
        <v>8235.7773</v>
      </c>
    </row>
    <row r="19372">
      <c r="A19372" s="39">
        <f>_xlfn.XLOOKUP(83498,Trip[shape_id],Trip[shape_id],"Não encontrado")</f>
        <v/>
      </c>
      <c r="B19372" s="40" t="n">
        <v>-23.483307</v>
      </c>
      <c r="C19372" s="40" t="n">
        <v>-46.631558</v>
      </c>
      <c r="D19372" s="40" t="n">
        <v>357</v>
      </c>
      <c r="E19372" s="41" t="n">
        <v>8272.6006</v>
      </c>
    </row>
    <row r="19373">
      <c r="A19373" s="42">
        <f>_xlfn.XLOOKUP(83498,Trip[shape_id],Trip[shape_id],"Não encontrado")</f>
        <v/>
      </c>
      <c r="B19373" s="43" t="n">
        <v>-23.48341</v>
      </c>
      <c r="C19373" s="43" t="n">
        <v>-46.631455</v>
      </c>
      <c r="D19373" s="43" t="n">
        <v>358</v>
      </c>
      <c r="E19373" s="44" t="n">
        <v>8288.1191</v>
      </c>
    </row>
    <row r="19374">
      <c r="A19374" s="39">
        <f>_xlfn.XLOOKUP(83498,Trip[shape_id],Trip[shape_id],"Não encontrado")</f>
        <v/>
      </c>
      <c r="B19374" s="40" t="n">
        <v>-23.483713</v>
      </c>
      <c r="C19374" s="40" t="n">
        <v>-46.631141</v>
      </c>
      <c r="D19374" s="40" t="n">
        <v>359</v>
      </c>
      <c r="E19374" s="41" t="n">
        <v>8334.540999999999</v>
      </c>
    </row>
    <row r="19375">
      <c r="A19375" s="42">
        <f>_xlfn.XLOOKUP(83498,Trip[shape_id],Trip[shape_id],"Não encontrado")</f>
        <v/>
      </c>
      <c r="B19375" s="43" t="n">
        <v>-23.483902</v>
      </c>
      <c r="C19375" s="43" t="n">
        <v>-46.63094</v>
      </c>
      <c r="D19375" s="43" t="n">
        <v>360</v>
      </c>
      <c r="E19375" s="44" t="n">
        <v>8363.862300000001</v>
      </c>
    </row>
    <row r="19376">
      <c r="A19376" s="39">
        <f>_xlfn.XLOOKUP(83498,Trip[shape_id],Trip[shape_id],"Não encontrado")</f>
        <v/>
      </c>
      <c r="B19376" s="40" t="n">
        <v>-23.484311</v>
      </c>
      <c r="C19376" s="40" t="n">
        <v>-46.63043</v>
      </c>
      <c r="D19376" s="40" t="n">
        <v>361</v>
      </c>
      <c r="E19376" s="41" t="n">
        <v>8432.8984</v>
      </c>
    </row>
    <row r="19377">
      <c r="A19377" s="42">
        <f>_xlfn.XLOOKUP(83498,Trip[shape_id],Trip[shape_id],"Não encontrado")</f>
        <v/>
      </c>
      <c r="B19377" s="43" t="n">
        <v>-23.485396</v>
      </c>
      <c r="C19377" s="43" t="n">
        <v>-46.628974</v>
      </c>
      <c r="D19377" s="43" t="n">
        <v>362</v>
      </c>
      <c r="E19377" s="44" t="n">
        <v>8624.109399999999</v>
      </c>
    </row>
    <row r="19378">
      <c r="A19378" s="39">
        <f>_xlfn.XLOOKUP(83498,Trip[shape_id],Trip[shape_id],"Não encontrado")</f>
        <v/>
      </c>
      <c r="B19378" s="40" t="n">
        <v>-23.486216</v>
      </c>
      <c r="C19378" s="40" t="n">
        <v>-46.627927</v>
      </c>
      <c r="D19378" s="40" t="n">
        <v>363</v>
      </c>
      <c r="E19378" s="41" t="n">
        <v>8764.418</v>
      </c>
    </row>
    <row r="19379">
      <c r="A19379" s="42">
        <f>_xlfn.XLOOKUP(83498,Trip[shape_id],Trip[shape_id],"Não encontrado")</f>
        <v/>
      </c>
      <c r="B19379" s="43" t="n">
        <v>-23.486489</v>
      </c>
      <c r="C19379" s="43" t="n">
        <v>-46.627595</v>
      </c>
      <c r="D19379" s="43" t="n">
        <v>364</v>
      </c>
      <c r="E19379" s="44" t="n">
        <v>8809.852500000001</v>
      </c>
    </row>
    <row r="19380">
      <c r="A19380" s="39">
        <f>_xlfn.XLOOKUP(83498,Trip[shape_id],Trip[shape_id],"Não encontrado")</f>
        <v/>
      </c>
      <c r="B19380" s="40" t="n">
        <v>-23.486777</v>
      </c>
      <c r="C19380" s="40" t="n">
        <v>-46.627258</v>
      </c>
      <c r="D19380" s="40" t="n">
        <v>365</v>
      </c>
      <c r="E19380" s="41" t="n">
        <v>8856.7832</v>
      </c>
    </row>
    <row r="19381">
      <c r="A19381" s="42">
        <f>_xlfn.XLOOKUP(83498,Trip[shape_id],Trip[shape_id],"Não encontrado")</f>
        <v/>
      </c>
      <c r="B19381" s="43" t="n">
        <v>-23.487037</v>
      </c>
      <c r="C19381" s="43" t="n">
        <v>-46.626987</v>
      </c>
      <c r="D19381" s="43" t="n">
        <v>366</v>
      </c>
      <c r="E19381" s="44" t="n">
        <v>8896.727500000001</v>
      </c>
    </row>
    <row r="19382">
      <c r="A19382" s="39">
        <f>_xlfn.XLOOKUP(83498,Trip[shape_id],Trip[shape_id],"Não encontrado")</f>
        <v/>
      </c>
      <c r="B19382" s="40" t="n">
        <v>-23.487353</v>
      </c>
      <c r="C19382" s="40" t="n">
        <v>-46.626637</v>
      </c>
      <c r="D19382" s="40" t="n">
        <v>367</v>
      </c>
      <c r="E19382" s="41" t="n">
        <v>8946.757799999999</v>
      </c>
    </row>
    <row r="19383">
      <c r="A19383" s="42">
        <f>_xlfn.XLOOKUP(83498,Trip[shape_id],Trip[shape_id],"Não encontrado")</f>
        <v/>
      </c>
      <c r="B19383" s="43" t="n">
        <v>-23.487448</v>
      </c>
      <c r="C19383" s="43" t="n">
        <v>-46.626537</v>
      </c>
      <c r="D19383" s="43" t="n">
        <v>368</v>
      </c>
      <c r="E19383" s="44" t="n">
        <v>8961.421899999999</v>
      </c>
    </row>
    <row r="19384">
      <c r="A19384" s="39">
        <f>_xlfn.XLOOKUP(83498,Trip[shape_id],Trip[shape_id],"Não encontrado")</f>
        <v/>
      </c>
      <c r="B19384" s="40" t="n">
        <v>-23.487506</v>
      </c>
      <c r="C19384" s="40" t="n">
        <v>-46.626505</v>
      </c>
      <c r="D19384" s="40" t="n">
        <v>369</v>
      </c>
      <c r="E19384" s="41" t="n">
        <v>8968.6289</v>
      </c>
    </row>
    <row r="19385">
      <c r="A19385" s="42">
        <f>_xlfn.XLOOKUP(83498,Trip[shape_id],Trip[shape_id],"Não encontrado")</f>
        <v/>
      </c>
      <c r="B19385" s="43" t="n">
        <v>-23.487732</v>
      </c>
      <c r="C19385" s="43" t="n">
        <v>-46.626419</v>
      </c>
      <c r="D19385" s="43" t="n">
        <v>370</v>
      </c>
      <c r="E19385" s="44" t="n">
        <v>8995.1553</v>
      </c>
    </row>
    <row r="19386">
      <c r="A19386" s="39">
        <f>_xlfn.XLOOKUP(83498,Trip[shape_id],Trip[shape_id],"Não encontrado")</f>
        <v/>
      </c>
      <c r="B19386" s="40" t="n">
        <v>-23.487828</v>
      </c>
      <c r="C19386" s="40" t="n">
        <v>-46.626397</v>
      </c>
      <c r="D19386" s="40" t="n">
        <v>371</v>
      </c>
      <c r="E19386" s="41" t="n">
        <v>9006.022499999999</v>
      </c>
    </row>
    <row r="19387">
      <c r="A19387" s="42">
        <f>_xlfn.XLOOKUP(83498,Trip[shape_id],Trip[shape_id],"Não encontrado")</f>
        <v/>
      </c>
      <c r="B19387" s="43" t="n">
        <v>-23.487932</v>
      </c>
      <c r="C19387" s="43" t="n">
        <v>-46.626373</v>
      </c>
      <c r="D19387" s="43" t="n">
        <v>372</v>
      </c>
      <c r="E19387" s="44" t="n">
        <v>9017.7988</v>
      </c>
    </row>
    <row r="19388">
      <c r="A19388" s="39">
        <f>_xlfn.XLOOKUP(83498,Trip[shape_id],Trip[shape_id],"Não encontrado")</f>
        <v/>
      </c>
      <c r="B19388" s="40" t="n">
        <v>-23.48814</v>
      </c>
      <c r="C19388" s="40" t="n">
        <v>-46.626325</v>
      </c>
      <c r="D19388" s="40" t="n">
        <v>373</v>
      </c>
      <c r="E19388" s="41" t="n">
        <v>9041.3506</v>
      </c>
    </row>
    <row r="19389">
      <c r="A19389" s="42">
        <f>_xlfn.XLOOKUP(83498,Trip[shape_id],Trip[shape_id],"Não encontrado")</f>
        <v/>
      </c>
      <c r="B19389" s="43" t="n">
        <v>-23.48832</v>
      </c>
      <c r="C19389" s="43" t="n">
        <v>-46.626291</v>
      </c>
      <c r="D19389" s="43" t="n">
        <v>374</v>
      </c>
      <c r="E19389" s="44" t="n">
        <v>9061.5859</v>
      </c>
    </row>
    <row r="19390">
      <c r="A19390" s="39">
        <f>_xlfn.XLOOKUP(83498,Trip[shape_id],Trip[shape_id],"Não encontrado")</f>
        <v/>
      </c>
      <c r="B19390" s="40" t="n">
        <v>-23.488478</v>
      </c>
      <c r="C19390" s="40" t="n">
        <v>-46.626267</v>
      </c>
      <c r="D19390" s="40" t="n">
        <v>375</v>
      </c>
      <c r="E19390" s="41" t="n">
        <v>9079.2559</v>
      </c>
    </row>
    <row r="19391">
      <c r="A19391" s="42">
        <f>_xlfn.XLOOKUP(83498,Trip[shape_id],Trip[shape_id],"Não encontrado")</f>
        <v/>
      </c>
      <c r="B19391" s="43" t="n">
        <v>-23.489157</v>
      </c>
      <c r="C19391" s="43" t="n">
        <v>-46.62632</v>
      </c>
      <c r="D19391" s="43" t="n">
        <v>376</v>
      </c>
      <c r="E19391" s="44" t="n">
        <v>9154.6504</v>
      </c>
    </row>
    <row r="19392">
      <c r="A19392" s="39">
        <f>_xlfn.XLOOKUP(83498,Trip[shape_id],Trip[shape_id],"Não encontrado")</f>
        <v/>
      </c>
      <c r="B19392" s="40" t="n">
        <v>-23.489456</v>
      </c>
      <c r="C19392" s="40" t="n">
        <v>-46.626309</v>
      </c>
      <c r="D19392" s="40" t="n">
        <v>377</v>
      </c>
      <c r="E19392" s="41" t="n">
        <v>9187.7842</v>
      </c>
    </row>
    <row r="19393">
      <c r="A19393" s="42">
        <f>_xlfn.XLOOKUP(83498,Trip[shape_id],Trip[shape_id],"Não encontrado")</f>
        <v/>
      </c>
      <c r="B19393" s="43" t="n">
        <v>-23.489652</v>
      </c>
      <c r="C19393" s="43" t="n">
        <v>-46.626281</v>
      </c>
      <c r="D19393" s="43" t="n">
        <v>378</v>
      </c>
      <c r="E19393" s="44" t="n">
        <v>9209.6787</v>
      </c>
    </row>
    <row r="19394">
      <c r="A19394" s="39">
        <f>_xlfn.XLOOKUP(83498,Trip[shape_id],Trip[shape_id],"Não encontrado")</f>
        <v/>
      </c>
      <c r="B19394" s="40" t="n">
        <v>-23.489975</v>
      </c>
      <c r="C19394" s="40" t="n">
        <v>-46.626205</v>
      </c>
      <c r="D19394" s="40" t="n">
        <v>379</v>
      </c>
      <c r="E19394" s="41" t="n">
        <v>9246.2842</v>
      </c>
    </row>
    <row r="19395">
      <c r="A19395" s="42">
        <f>_xlfn.XLOOKUP(83498,Trip[shape_id],Trip[shape_id],"Não encontrado")</f>
        <v/>
      </c>
      <c r="B19395" s="43" t="n">
        <v>-23.490288</v>
      </c>
      <c r="C19395" s="43" t="n">
        <v>-46.626148</v>
      </c>
      <c r="D19395" s="43" t="n">
        <v>380</v>
      </c>
      <c r="E19395" s="44" t="n">
        <v>9281.434600000001</v>
      </c>
    </row>
    <row r="19396">
      <c r="A19396" s="39">
        <f>_xlfn.XLOOKUP(83498,Trip[shape_id],Trip[shape_id],"Não encontrado")</f>
        <v/>
      </c>
      <c r="B19396" s="40" t="n">
        <v>-23.490621</v>
      </c>
      <c r="C19396" s="40" t="n">
        <v>-46.626101</v>
      </c>
      <c r="D19396" s="40" t="n">
        <v>381</v>
      </c>
      <c r="E19396" s="41" t="n">
        <v>9318.626</v>
      </c>
    </row>
    <row r="19397">
      <c r="A19397" s="42">
        <f>_xlfn.XLOOKUP(83498,Trip[shape_id],Trip[shape_id],"Não encontrado")</f>
        <v/>
      </c>
      <c r="B19397" s="43" t="n">
        <v>-23.491078</v>
      </c>
      <c r="C19397" s="43" t="n">
        <v>-46.626081</v>
      </c>
      <c r="D19397" s="43" t="n">
        <v>382</v>
      </c>
      <c r="E19397" s="44" t="n">
        <v>9369.2803</v>
      </c>
    </row>
    <row r="19398">
      <c r="A19398" s="39">
        <f>_xlfn.XLOOKUP(83498,Trip[shape_id],Trip[shape_id],"Não encontrado")</f>
        <v/>
      </c>
      <c r="B19398" s="40" t="n">
        <v>-23.491561</v>
      </c>
      <c r="C19398" s="40" t="n">
        <v>-46.626043</v>
      </c>
      <c r="D19398" s="40" t="n">
        <v>383</v>
      </c>
      <c r="E19398" s="41" t="n">
        <v>9422.9141</v>
      </c>
    </row>
    <row r="19399">
      <c r="A19399" s="42">
        <f>_xlfn.XLOOKUP(83498,Trip[shape_id],Trip[shape_id],"Não encontrado")</f>
        <v/>
      </c>
      <c r="B19399" s="43" t="n">
        <v>-23.492133</v>
      </c>
      <c r="C19399" s="43" t="n">
        <v>-46.625967</v>
      </c>
      <c r="D19399" s="43" t="n">
        <v>384</v>
      </c>
      <c r="E19399" s="44" t="n">
        <v>9486.737300000001</v>
      </c>
    </row>
    <row r="19400">
      <c r="A19400" s="39">
        <f>_xlfn.XLOOKUP(83498,Trip[shape_id],Trip[shape_id],"Não encontrado")</f>
        <v/>
      </c>
      <c r="B19400" s="40" t="n">
        <v>-23.492267</v>
      </c>
      <c r="C19400" s="40" t="n">
        <v>-46.625985</v>
      </c>
      <c r="D19400" s="40" t="n">
        <v>385</v>
      </c>
      <c r="E19400" s="41" t="n">
        <v>9501.6914</v>
      </c>
    </row>
    <row r="19401">
      <c r="A19401" s="42">
        <f>_xlfn.XLOOKUP(83498,Trip[shape_id],Trip[shape_id],"Não encontrado")</f>
        <v/>
      </c>
      <c r="B19401" s="43" t="n">
        <v>-23.492754</v>
      </c>
      <c r="C19401" s="43" t="n">
        <v>-46.626153</v>
      </c>
      <c r="D19401" s="43" t="n">
        <v>386</v>
      </c>
      <c r="E19401" s="44" t="n">
        <v>9558.290999999999</v>
      </c>
    </row>
    <row r="19402">
      <c r="A19402" s="39">
        <f>_xlfn.XLOOKUP(83498,Trip[shape_id],Trip[shape_id],"Não encontrado")</f>
        <v/>
      </c>
      <c r="B19402" s="40" t="n">
        <v>-23.492965</v>
      </c>
      <c r="C19402" s="40" t="n">
        <v>-46.626227</v>
      </c>
      <c r="D19402" s="40" t="n">
        <v>387</v>
      </c>
      <c r="E19402" s="41" t="n">
        <v>9582.8516</v>
      </c>
    </row>
    <row r="19403">
      <c r="A19403" s="42">
        <f>_xlfn.XLOOKUP(83498,Trip[shape_id],Trip[shape_id],"Não encontrado")</f>
        <v/>
      </c>
      <c r="B19403" s="43" t="n">
        <v>-23.493213</v>
      </c>
      <c r="C19403" s="43" t="n">
        <v>-46.626325</v>
      </c>
      <c r="D19403" s="43" t="n">
        <v>388</v>
      </c>
      <c r="E19403" s="44" t="n">
        <v>9612.084999999999</v>
      </c>
    </row>
    <row r="19404">
      <c r="A19404" s="39">
        <f>_xlfn.XLOOKUP(83498,Trip[shape_id],Trip[shape_id],"Não encontrado")</f>
        <v/>
      </c>
      <c r="B19404" s="40" t="n">
        <v>-23.493346</v>
      </c>
      <c r="C19404" s="40" t="n">
        <v>-46.626315</v>
      </c>
      <c r="D19404" s="40" t="n">
        <v>389</v>
      </c>
      <c r="E19404" s="41" t="n">
        <v>9626.8506</v>
      </c>
    </row>
    <row r="19405">
      <c r="A19405" s="42">
        <f>_xlfn.XLOOKUP(83498,Trip[shape_id],Trip[shape_id],"Não encontrado")</f>
        <v/>
      </c>
      <c r="B19405" s="43" t="n">
        <v>-23.493525</v>
      </c>
      <c r="C19405" s="43" t="n">
        <v>-46.626289</v>
      </c>
      <c r="D19405" s="43" t="n">
        <v>390</v>
      </c>
      <c r="E19405" s="44" t="n">
        <v>9646.852500000001</v>
      </c>
    </row>
    <row r="19406">
      <c r="A19406" s="39">
        <f>_xlfn.XLOOKUP(83498,Trip[shape_id],Trip[shape_id],"Não encontrado")</f>
        <v/>
      </c>
      <c r="B19406" s="40" t="n">
        <v>-23.493797</v>
      </c>
      <c r="C19406" s="40" t="n">
        <v>-46.626169</v>
      </c>
      <c r="D19406" s="40" t="n">
        <v>391</v>
      </c>
      <c r="E19406" s="41" t="n">
        <v>9679.375</v>
      </c>
    </row>
    <row r="19407">
      <c r="A19407" s="42">
        <f>_xlfn.XLOOKUP(83498,Trip[shape_id],Trip[shape_id],"Não encontrado")</f>
        <v/>
      </c>
      <c r="B19407" s="43" t="n">
        <v>-23.49424</v>
      </c>
      <c r="C19407" s="43" t="n">
        <v>-46.625949</v>
      </c>
      <c r="D19407" s="43" t="n">
        <v>392</v>
      </c>
      <c r="E19407" s="44" t="n">
        <v>9733.338900000001</v>
      </c>
    </row>
    <row r="19408">
      <c r="A19408" s="39">
        <f>_xlfn.XLOOKUP(83498,Trip[shape_id],Trip[shape_id],"Não encontrado")</f>
        <v/>
      </c>
      <c r="B19408" s="40" t="n">
        <v>-23.494413</v>
      </c>
      <c r="C19408" s="40" t="n">
        <v>-46.625878</v>
      </c>
      <c r="D19408" s="40" t="n">
        <v>393</v>
      </c>
      <c r="E19408" s="41" t="n">
        <v>9753.825199999999</v>
      </c>
    </row>
    <row r="19409">
      <c r="A19409" s="42">
        <f>_xlfn.XLOOKUP(83498,Trip[shape_id],Trip[shape_id],"Não encontrado")</f>
        <v/>
      </c>
      <c r="B19409" s="43" t="n">
        <v>-23.494478</v>
      </c>
      <c r="C19409" s="43" t="n">
        <v>-46.625863</v>
      </c>
      <c r="D19409" s="43" t="n">
        <v>394</v>
      </c>
      <c r="E19409" s="44" t="n">
        <v>9761.1855</v>
      </c>
    </row>
    <row r="19410">
      <c r="A19410" s="39">
        <f>_xlfn.XLOOKUP(83498,Trip[shape_id],Trip[shape_id],"Não encontrado")</f>
        <v/>
      </c>
      <c r="B19410" s="40" t="n">
        <v>-23.494497</v>
      </c>
      <c r="C19410" s="40" t="n">
        <v>-46.626802</v>
      </c>
      <c r="D19410" s="40" t="n">
        <v>395</v>
      </c>
      <c r="E19410" s="41" t="n">
        <v>9857.123</v>
      </c>
    </row>
    <row r="19411">
      <c r="A19411" s="42">
        <f>_xlfn.XLOOKUP(83498,Trip[shape_id],Trip[shape_id],"Não encontrado")</f>
        <v/>
      </c>
      <c r="B19411" s="43" t="n">
        <v>-23.494429</v>
      </c>
      <c r="C19411" s="43" t="n">
        <v>-46.626963</v>
      </c>
      <c r="D19411" s="43" t="n">
        <v>396</v>
      </c>
      <c r="E19411" s="44" t="n">
        <v>9892.2256</v>
      </c>
    </row>
    <row r="19412">
      <c r="A19412" s="39">
        <f>_xlfn.XLOOKUP(83498,Trip[shape_id],Trip[shape_id],"Não encontrado")</f>
        <v/>
      </c>
      <c r="B19412" s="40" t="n">
        <v>-23.494339</v>
      </c>
      <c r="C19412" s="40" t="n">
        <v>-46.627098</v>
      </c>
      <c r="D19412" s="40" t="n">
        <v>397</v>
      </c>
      <c r="E19412" s="41" t="n">
        <v>9910.357400000001</v>
      </c>
    </row>
    <row r="19413">
      <c r="A19413" s="42">
        <f>_xlfn.XLOOKUP(83498,Trip[shape_id],Trip[shape_id],"Não encontrado")</f>
        <v/>
      </c>
      <c r="B19413" s="43" t="n">
        <v>-23.494281</v>
      </c>
      <c r="C19413" s="43" t="n">
        <v>-46.627264</v>
      </c>
      <c r="D19413" s="43" t="n">
        <v>398</v>
      </c>
      <c r="E19413" s="44" t="n">
        <v>9921.252899999999</v>
      </c>
    </row>
    <row r="19414">
      <c r="A19414" s="39">
        <f>_xlfn.XLOOKUP(83498,Trip[shape_id],Trip[shape_id],"Não encontrado")</f>
        <v/>
      </c>
      <c r="B19414" s="40" t="n">
        <v>-23.494203</v>
      </c>
      <c r="C19414" s="40" t="n">
        <v>-46.627329</v>
      </c>
      <c r="D19414" s="40" t="n">
        <v>399</v>
      </c>
      <c r="E19414" s="41" t="n">
        <v>9929.698200000001</v>
      </c>
    </row>
    <row r="19415">
      <c r="A19415" s="42">
        <f>_xlfn.XLOOKUP(83498,Trip[shape_id],Trip[shape_id],"Não encontrado")</f>
        <v/>
      </c>
      <c r="B19415" s="43" t="n">
        <v>-23.494169</v>
      </c>
      <c r="C19415" s="43" t="n">
        <v>-46.627403</v>
      </c>
      <c r="D19415" s="43" t="n">
        <v>400</v>
      </c>
      <c r="E19415" s="44" t="n">
        <v>9929.698200000001</v>
      </c>
    </row>
    <row r="19416">
      <c r="A19416" s="39">
        <f>_xlfn.XLOOKUP(83498,Trip[shape_id],Trip[shape_id],"Não encontrado")</f>
        <v/>
      </c>
      <c r="B19416" s="40" t="n">
        <v>-23.494306</v>
      </c>
      <c r="C19416" s="40" t="n">
        <v>-46.627514</v>
      </c>
      <c r="D19416" s="40" t="n">
        <v>401</v>
      </c>
      <c r="E19416" s="41" t="n">
        <v>9948.6396</v>
      </c>
    </row>
    <row r="19417">
      <c r="A19417" s="42">
        <f>_xlfn.XLOOKUP(83498,Trip[shape_id],Trip[shape_id],"Não encontrado")</f>
        <v/>
      </c>
      <c r="B19417" s="43" t="n">
        <v>-23.494398</v>
      </c>
      <c r="C19417" s="43" t="n">
        <v>-46.627546</v>
      </c>
      <c r="D19417" s="43" t="n">
        <v>402</v>
      </c>
      <c r="E19417" s="44" t="n">
        <v>9959.3408</v>
      </c>
    </row>
    <row r="19418">
      <c r="A19418" s="39">
        <f>_xlfn.XLOOKUP(83498,Trip[shape_id],Trip[shape_id],"Não encontrado")</f>
        <v/>
      </c>
      <c r="B19418" s="40" t="n">
        <v>-23.494466</v>
      </c>
      <c r="C19418" s="40" t="n">
        <v>-46.627563</v>
      </c>
      <c r="D19418" s="40" t="n">
        <v>403</v>
      </c>
      <c r="E19418" s="41" t="n">
        <v>9967.069299999999</v>
      </c>
    </row>
    <row r="19419">
      <c r="A19419" s="42">
        <f>_xlfn.XLOOKUP(83498,Trip[shape_id],Trip[shape_id],"Não encontrado")</f>
        <v/>
      </c>
      <c r="B19419" s="43" t="n">
        <v>-23.494603</v>
      </c>
      <c r="C19419" s="43" t="n">
        <v>-46.627574</v>
      </c>
      <c r="D19419" s="43" t="n">
        <v>404</v>
      </c>
      <c r="E19419" s="44" t="n">
        <v>9982.2832</v>
      </c>
    </row>
    <row r="19420">
      <c r="A19420" s="39">
        <f>_xlfn.XLOOKUP(83498,Trip[shape_id],Trip[shape_id],"Não encontrado")</f>
        <v/>
      </c>
      <c r="B19420" s="40" t="n">
        <v>-23.494655</v>
      </c>
      <c r="C19420" s="40" t="n">
        <v>-46.62756</v>
      </c>
      <c r="D19420" s="40" t="n">
        <v>405</v>
      </c>
      <c r="E19420" s="41" t="n">
        <v>9988.2168</v>
      </c>
    </row>
    <row r="19421">
      <c r="A19421" s="42">
        <f>_xlfn.XLOOKUP(83498,Trip[shape_id],Trip[shape_id],"Não encontrado")</f>
        <v/>
      </c>
      <c r="B19421" s="43" t="n">
        <v>-23.495333</v>
      </c>
      <c r="C19421" s="43" t="n">
        <v>-46.627634</v>
      </c>
      <c r="D19421" s="43" t="n">
        <v>406</v>
      </c>
      <c r="E19421" s="44" t="n">
        <v>10063.686</v>
      </c>
    </row>
    <row r="19422">
      <c r="A19422" s="39">
        <f>_xlfn.XLOOKUP(83498,Trip[shape_id],Trip[shape_id],"Não encontrado")</f>
        <v/>
      </c>
      <c r="B19422" s="40" t="n">
        <v>-23.495664</v>
      </c>
      <c r="C19422" s="40" t="n">
        <v>-46.627677</v>
      </c>
      <c r="D19422" s="40" t="n">
        <v>407</v>
      </c>
      <c r="E19422" s="41" t="n">
        <v>10100.606</v>
      </c>
    </row>
    <row r="19423">
      <c r="A19423" s="42">
        <f>_xlfn.XLOOKUP(83498,Trip[shape_id],Trip[shape_id],"Não encontrado")</f>
        <v/>
      </c>
      <c r="B19423" s="43" t="n">
        <v>-23.496015</v>
      </c>
      <c r="C19423" s="43" t="n">
        <v>-46.627702</v>
      </c>
      <c r="D19423" s="43" t="n">
        <v>408</v>
      </c>
      <c r="E19423" s="44" t="n">
        <v>10139.563</v>
      </c>
    </row>
    <row r="19424">
      <c r="A19424" s="39">
        <f>_xlfn.XLOOKUP(83498,Trip[shape_id],Trip[shape_id],"Não encontrado")</f>
        <v/>
      </c>
      <c r="B19424" s="40" t="n">
        <v>-23.49644</v>
      </c>
      <c r="C19424" s="40" t="n">
        <v>-46.627747</v>
      </c>
      <c r="D19424" s="40" t="n">
        <v>409</v>
      </c>
      <c r="E19424" s="41" t="n">
        <v>10186.856</v>
      </c>
    </row>
    <row r="19425">
      <c r="A19425" s="42">
        <f>_xlfn.XLOOKUP(83498,Trip[shape_id],Trip[shape_id],"Não encontrado")</f>
        <v/>
      </c>
      <c r="B19425" s="43" t="n">
        <v>-23.496902</v>
      </c>
      <c r="C19425" s="43" t="n">
        <v>-46.627819</v>
      </c>
      <c r="D19425" s="43" t="n">
        <v>410</v>
      </c>
      <c r="E19425" s="44" t="n">
        <v>10238.549</v>
      </c>
    </row>
    <row r="19426">
      <c r="A19426" s="39">
        <f>_xlfn.XLOOKUP(83498,Trip[shape_id],Trip[shape_id],"Não encontrado")</f>
        <v/>
      </c>
      <c r="B19426" s="40" t="n">
        <v>-23.497014</v>
      </c>
      <c r="C19426" s="40" t="n">
        <v>-46.627489</v>
      </c>
      <c r="D19426" s="40" t="n">
        <v>411</v>
      </c>
      <c r="E19426" s="41" t="n">
        <v>10274.466</v>
      </c>
    </row>
    <row r="19427">
      <c r="A19427" s="42">
        <f>_xlfn.XLOOKUP(83498,Trip[shape_id],Trip[shape_id],"Não encontrado")</f>
        <v/>
      </c>
      <c r="B19427" s="43" t="n">
        <v>-23.497046</v>
      </c>
      <c r="C19427" s="43" t="n">
        <v>-46.627416</v>
      </c>
      <c r="D19427" s="43" t="n">
        <v>412</v>
      </c>
      <c r="E19427" s="44" t="n">
        <v>10282.722</v>
      </c>
    </row>
    <row r="19428">
      <c r="A19428" s="39">
        <f>_xlfn.XLOOKUP(83498,Trip[shape_id],Trip[shape_id],"Não encontrado")</f>
        <v/>
      </c>
      <c r="B19428" s="40" t="n">
        <v>-23.49711</v>
      </c>
      <c r="C19428" s="40" t="n">
        <v>-46.627369</v>
      </c>
      <c r="D19428" s="40" t="n">
        <v>413</v>
      </c>
      <c r="E19428" s="41" t="n">
        <v>10291.282</v>
      </c>
    </row>
    <row r="19429">
      <c r="A19429" s="42">
        <f>_xlfn.XLOOKUP(83498,Trip[shape_id],Trip[shape_id],"Não encontrado")</f>
        <v/>
      </c>
      <c r="B19429" s="43" t="n">
        <v>-23.4972</v>
      </c>
      <c r="C19429" s="43" t="n">
        <v>-46.627459</v>
      </c>
      <c r="D19429" s="43" t="n">
        <v>414</v>
      </c>
      <c r="E19429" s="44" t="n">
        <v>10304.842</v>
      </c>
    </row>
    <row r="19430">
      <c r="A19430" s="39">
        <f>_xlfn.XLOOKUP(83498,Trip[shape_id],Trip[shape_id],"Não encontrado")</f>
        <v/>
      </c>
      <c r="B19430" s="40" t="n">
        <v>-23.497305</v>
      </c>
      <c r="C19430" s="40" t="n">
        <v>-46.627651</v>
      </c>
      <c r="D19430" s="40" t="n">
        <v>415</v>
      </c>
      <c r="E19430" s="41" t="n">
        <v>10327.642</v>
      </c>
    </row>
    <row r="19431">
      <c r="A19431" s="42">
        <f>_xlfn.XLOOKUP(83498,Trip[shape_id],Trip[shape_id],"Não encontrado")</f>
        <v/>
      </c>
      <c r="B19431" s="43" t="n">
        <v>-23.497336</v>
      </c>
      <c r="C19431" s="43" t="n">
        <v>-46.627686</v>
      </c>
      <c r="D19431" s="43" t="n">
        <v>416</v>
      </c>
      <c r="E19431" s="44" t="n">
        <v>10332.599</v>
      </c>
    </row>
    <row r="19432">
      <c r="A19432" s="39">
        <f>_xlfn.XLOOKUP(83498,Trip[shape_id],Trip[shape_id],"Não encontrado")</f>
        <v/>
      </c>
      <c r="B19432" s="40" t="n">
        <v>-23.497423</v>
      </c>
      <c r="C19432" s="40" t="n">
        <v>-46.627761</v>
      </c>
      <c r="D19432" s="40" t="n">
        <v>417</v>
      </c>
      <c r="E19432" s="41" t="n">
        <v>10344.908</v>
      </c>
    </row>
    <row r="19433">
      <c r="A19433" s="42">
        <f>_xlfn.XLOOKUP(83498,Trip[shape_id],Trip[shape_id],"Não encontrado")</f>
        <v/>
      </c>
      <c r="B19433" s="43" t="n">
        <v>-23.497518</v>
      </c>
      <c r="C19433" s="43" t="n">
        <v>-46.627816</v>
      </c>
      <c r="D19433" s="43" t="n">
        <v>418</v>
      </c>
      <c r="E19433" s="44" t="n">
        <v>10356.835</v>
      </c>
    </row>
    <row r="19434">
      <c r="A19434" s="39">
        <f>_xlfn.XLOOKUP(83498,Trip[shape_id],Trip[shape_id],"Não encontrado")</f>
        <v/>
      </c>
      <c r="B19434" s="40" t="n">
        <v>-23.497621</v>
      </c>
      <c r="C19434" s="40" t="n">
        <v>-46.627825</v>
      </c>
      <c r="D19434" s="40" t="n">
        <v>419</v>
      </c>
      <c r="E19434" s="41" t="n">
        <v>10368.279</v>
      </c>
    </row>
    <row r="19435">
      <c r="A19435" s="42">
        <f>_xlfn.XLOOKUP(83498,Trip[shape_id],Trip[shape_id],"Não encontrado")</f>
        <v/>
      </c>
      <c r="B19435" s="43" t="n">
        <v>-23.497733</v>
      </c>
      <c r="C19435" s="43" t="n">
        <v>-46.627791</v>
      </c>
      <c r="D19435" s="43" t="n">
        <v>420</v>
      </c>
      <c r="E19435" s="44" t="n">
        <v>10381.161</v>
      </c>
    </row>
    <row r="19436">
      <c r="A19436" s="39">
        <f>_xlfn.XLOOKUP(83498,Trip[shape_id],Trip[shape_id],"Não encontrado")</f>
        <v/>
      </c>
      <c r="B19436" s="40" t="n">
        <v>-23.497939</v>
      </c>
      <c r="C19436" s="40" t="n">
        <v>-46.627596</v>
      </c>
      <c r="D19436" s="40" t="n">
        <v>421</v>
      </c>
      <c r="E19436" s="41" t="n">
        <v>10411.447</v>
      </c>
    </row>
    <row r="19437">
      <c r="A19437" s="42">
        <f>_xlfn.XLOOKUP(83498,Trip[shape_id],Trip[shape_id],"Não encontrado")</f>
        <v/>
      </c>
      <c r="B19437" s="43" t="n">
        <v>-23.498012</v>
      </c>
      <c r="C19437" s="43" t="n">
        <v>-46.627528</v>
      </c>
      <c r="D19437" s="43" t="n">
        <v>422</v>
      </c>
      <c r="E19437" s="44" t="n">
        <v>10422.105</v>
      </c>
    </row>
    <row r="19438">
      <c r="A19438" s="39">
        <f>_xlfn.XLOOKUP(83498,Trip[shape_id],Trip[shape_id],"Não encontrado")</f>
        <v/>
      </c>
      <c r="B19438" s="40" t="n">
        <v>-23.498204</v>
      </c>
      <c r="C19438" s="40" t="n">
        <v>-46.627358</v>
      </c>
      <c r="D19438" s="40" t="n">
        <v>423</v>
      </c>
      <c r="E19438" s="41" t="n">
        <v>10449.559</v>
      </c>
    </row>
    <row r="19439">
      <c r="A19439" s="42">
        <f>_xlfn.XLOOKUP(83498,Trip[shape_id],Trip[shape_id],"Não encontrado")</f>
        <v/>
      </c>
      <c r="B19439" s="43" t="n">
        <v>-23.498251</v>
      </c>
      <c r="C19439" s="43" t="n">
        <v>-46.627305</v>
      </c>
      <c r="D19439" s="43" t="n">
        <v>424</v>
      </c>
      <c r="E19439" s="44" t="n">
        <v>10457.069</v>
      </c>
    </row>
    <row r="19440">
      <c r="A19440" s="39">
        <f>_xlfn.XLOOKUP(83498,Trip[shape_id],Trip[shape_id],"Não encontrado")</f>
        <v/>
      </c>
      <c r="B19440" s="40" t="n">
        <v>-23.498671</v>
      </c>
      <c r="C19440" s="40" t="n">
        <v>-46.626908</v>
      </c>
      <c r="D19440" s="40" t="n">
        <v>425</v>
      </c>
      <c r="E19440" s="41" t="n">
        <v>10518.778</v>
      </c>
    </row>
    <row r="19441">
      <c r="A19441" s="42">
        <f>_xlfn.XLOOKUP(83498,Trip[shape_id],Trip[shape_id],"Não encontrado")</f>
        <v/>
      </c>
      <c r="B19441" s="43" t="n">
        <v>-23.498759</v>
      </c>
      <c r="C19441" s="43" t="n">
        <v>-46.626759</v>
      </c>
      <c r="D19441" s="43" t="n">
        <v>426</v>
      </c>
      <c r="E19441" s="44" t="n">
        <v>10582.069</v>
      </c>
    </row>
    <row r="19442">
      <c r="A19442" s="39">
        <f>_xlfn.XLOOKUP(83498,Trip[shape_id],Trip[shape_id],"Não encontrado")</f>
        <v/>
      </c>
      <c r="B19442" s="40" t="n">
        <v>-23.498844</v>
      </c>
      <c r="C19442" s="40" t="n">
        <v>-46.626326</v>
      </c>
      <c r="D19442" s="40" t="n">
        <v>427</v>
      </c>
      <c r="E19442" s="41" t="n">
        <v>10582.069</v>
      </c>
    </row>
    <row r="19443">
      <c r="A19443" s="42">
        <f>_xlfn.XLOOKUP(83498,Trip[shape_id],Trip[shape_id],"Não encontrado")</f>
        <v/>
      </c>
      <c r="B19443" s="43" t="n">
        <v>-23.499002</v>
      </c>
      <c r="C19443" s="43" t="n">
        <v>-46.62561</v>
      </c>
      <c r="D19443" s="43" t="n">
        <v>428</v>
      </c>
      <c r="E19443" s="44" t="n">
        <v>10657.268</v>
      </c>
    </row>
    <row r="19444">
      <c r="A19444" s="39">
        <f>_xlfn.XLOOKUP(83498,Trip[shape_id],Trip[shape_id],"Não encontrado")</f>
        <v/>
      </c>
      <c r="B19444" s="40" t="n">
        <v>-23.499136</v>
      </c>
      <c r="C19444" s="40" t="n">
        <v>-46.625597</v>
      </c>
      <c r="D19444" s="40" t="n">
        <v>429</v>
      </c>
      <c r="E19444" s="41" t="n">
        <v>10672.168</v>
      </c>
    </row>
    <row r="19445">
      <c r="A19445" s="42">
        <f>_xlfn.XLOOKUP(83498,Trip[shape_id],Trip[shape_id],"Não encontrado")</f>
        <v/>
      </c>
      <c r="B19445" s="43" t="n">
        <v>-23.499268</v>
      </c>
      <c r="C19445" s="43" t="n">
        <v>-46.625595</v>
      </c>
      <c r="D19445" s="43" t="n">
        <v>430</v>
      </c>
      <c r="E19445" s="44" t="n">
        <v>10686.788</v>
      </c>
    </row>
    <row r="19446">
      <c r="A19446" s="39">
        <f>_xlfn.XLOOKUP(83498,Trip[shape_id],Trip[shape_id],"Não encontrado")</f>
        <v/>
      </c>
      <c r="B19446" s="40" t="n">
        <v>-23.499439</v>
      </c>
      <c r="C19446" s="40" t="n">
        <v>-46.625616</v>
      </c>
      <c r="D19446" s="40" t="n">
        <v>431</v>
      </c>
      <c r="E19446" s="41" t="n">
        <v>10705.848</v>
      </c>
    </row>
    <row r="19447">
      <c r="A19447" s="42">
        <f>_xlfn.XLOOKUP(83498,Trip[shape_id],Trip[shape_id],"Não encontrado")</f>
        <v/>
      </c>
      <c r="B19447" s="43" t="n">
        <v>-23.499837</v>
      </c>
      <c r="C19447" s="43" t="n">
        <v>-46.625703</v>
      </c>
      <c r="D19447" s="43" t="n">
        <v>432</v>
      </c>
      <c r="E19447" s="44" t="n">
        <v>10750.813</v>
      </c>
    </row>
    <row r="19448">
      <c r="A19448" s="39">
        <f>_xlfn.XLOOKUP(83498,Trip[shape_id],Trip[shape_id],"Não encontrado")</f>
        <v/>
      </c>
      <c r="B19448" s="40" t="n">
        <v>-23.499859</v>
      </c>
      <c r="C19448" s="40" t="n">
        <v>-46.624848</v>
      </c>
      <c r="D19448" s="40" t="n">
        <v>433</v>
      </c>
      <c r="E19448" s="41" t="n">
        <v>10838.178</v>
      </c>
    </row>
    <row r="19449">
      <c r="A19449" s="42">
        <f>_xlfn.XLOOKUP(83498,Trip[shape_id],Trip[shape_id],"Não encontrado")</f>
        <v/>
      </c>
      <c r="B19449" s="43" t="n">
        <v>-23.500153</v>
      </c>
      <c r="C19449" s="43" t="n">
        <v>-46.624866</v>
      </c>
      <c r="D19449" s="43" t="n">
        <v>434</v>
      </c>
      <c r="E19449" s="44" t="n">
        <v>10870.79</v>
      </c>
    </row>
    <row r="19450">
      <c r="A19450" s="39">
        <f>_xlfn.XLOOKUP(83498,Trip[shape_id],Trip[shape_id],"Não encontrado")</f>
        <v/>
      </c>
      <c r="B19450" s="40" t="n">
        <v>-23.500713</v>
      </c>
      <c r="C19450" s="40" t="n">
        <v>-46.624831</v>
      </c>
      <c r="D19450" s="40" t="n">
        <v>435</v>
      </c>
      <c r="E19450" s="41" t="n">
        <v>10932.914</v>
      </c>
    </row>
    <row r="19451">
      <c r="A19451" s="42">
        <f>_xlfn.XLOOKUP(83498,Trip[shape_id],Trip[shape_id],"Não encontrado")</f>
        <v/>
      </c>
      <c r="B19451" s="43" t="n">
        <v>-23.500924</v>
      </c>
      <c r="C19451" s="43" t="n">
        <v>-46.62484</v>
      </c>
      <c r="D19451" s="43" t="n">
        <v>436</v>
      </c>
      <c r="E19451" s="44" t="n">
        <v>10956.301</v>
      </c>
    </row>
    <row r="19452">
      <c r="A19452" s="39">
        <f>_xlfn.XLOOKUP(83498,Trip[shape_id],Trip[shape_id],"Não encontrado")</f>
        <v/>
      </c>
      <c r="B19452" s="40" t="n">
        <v>-23.502012</v>
      </c>
      <c r="C19452" s="40" t="n">
        <v>-46.62488</v>
      </c>
      <c r="D19452" s="40" t="n">
        <v>437</v>
      </c>
      <c r="E19452" s="41" t="n">
        <v>11076.867</v>
      </c>
    </row>
    <row r="19453">
      <c r="A19453" s="42">
        <f>_xlfn.XLOOKUP(83498,Trip[shape_id],Trip[shape_id],"Não encontrado")</f>
        <v/>
      </c>
      <c r="B19453" s="43" t="n">
        <v>-23.502328</v>
      </c>
      <c r="C19453" s="43" t="n">
        <v>-46.62488</v>
      </c>
      <c r="D19453" s="43" t="n">
        <v>438</v>
      </c>
      <c r="E19453" s="44" t="n">
        <v>11111.864</v>
      </c>
    </row>
    <row r="19454">
      <c r="A19454" s="39">
        <f>_xlfn.XLOOKUP(83498,Trip[shape_id],Trip[shape_id],"Não encontrado")</f>
        <v/>
      </c>
      <c r="B19454" s="40" t="n">
        <v>-23.502634</v>
      </c>
      <c r="C19454" s="40" t="n">
        <v>-46.624885</v>
      </c>
      <c r="D19454" s="40" t="n">
        <v>439</v>
      </c>
      <c r="E19454" s="41" t="n">
        <v>11145.758</v>
      </c>
    </row>
    <row r="19455">
      <c r="A19455" s="42">
        <f>_xlfn.XLOOKUP(83498,Trip[shape_id],Trip[shape_id],"Não encontrado")</f>
        <v/>
      </c>
      <c r="B19455" s="43" t="n">
        <v>-23.502758</v>
      </c>
      <c r="C19455" s="43" t="n">
        <v>-46.624885</v>
      </c>
      <c r="D19455" s="43" t="n">
        <v>440</v>
      </c>
      <c r="E19455" s="44" t="n">
        <v>11159.491</v>
      </c>
    </row>
    <row r="19456">
      <c r="A19456" s="39">
        <f>_xlfn.XLOOKUP(83498,Trip[shape_id],Trip[shape_id],"Não encontrado")</f>
        <v/>
      </c>
      <c r="B19456" s="40" t="n">
        <v>-23.502858</v>
      </c>
      <c r="C19456" s="40" t="n">
        <v>-46.624907</v>
      </c>
      <c r="D19456" s="40" t="n">
        <v>441</v>
      </c>
      <c r="E19456" s="41" t="n">
        <v>11170.792</v>
      </c>
    </row>
    <row r="19457">
      <c r="A19457" s="42">
        <f>_xlfn.XLOOKUP(83498,Trip[shape_id],Trip[shape_id],"Não encontrado")</f>
        <v/>
      </c>
      <c r="B19457" s="43" t="n">
        <v>-23.50314</v>
      </c>
      <c r="C19457" s="43" t="n">
        <v>-46.624901</v>
      </c>
      <c r="D19457" s="43" t="n">
        <v>442</v>
      </c>
      <c r="E19457" s="44" t="n">
        <v>11202.03</v>
      </c>
    </row>
    <row r="19458">
      <c r="A19458" s="39">
        <f>_xlfn.XLOOKUP(83498,Trip[shape_id],Trip[shape_id],"Não encontrado")</f>
        <v/>
      </c>
      <c r="B19458" s="40" t="n">
        <v>-23.503267</v>
      </c>
      <c r="C19458" s="40" t="n">
        <v>-46.624897</v>
      </c>
      <c r="D19458" s="40" t="n">
        <v>443</v>
      </c>
      <c r="E19458" s="41" t="n">
        <v>11216.102</v>
      </c>
    </row>
    <row r="19459">
      <c r="A19459" s="42">
        <f>_xlfn.XLOOKUP(83498,Trip[shape_id],Trip[shape_id],"Não encontrado")</f>
        <v/>
      </c>
      <c r="B19459" s="43" t="n">
        <v>-23.504103</v>
      </c>
      <c r="C19459" s="43" t="n">
        <v>-46.624927</v>
      </c>
      <c r="D19459" s="43" t="n">
        <v>444</v>
      </c>
      <c r="E19459" s="44" t="n">
        <v>11308.74</v>
      </c>
    </row>
    <row r="19460">
      <c r="A19460" s="39">
        <f>_xlfn.XLOOKUP(83498,Trip[shape_id],Trip[shape_id],"Não encontrado")</f>
        <v/>
      </c>
      <c r="B19460" s="40" t="n">
        <v>-23.505228</v>
      </c>
      <c r="C19460" s="40" t="n">
        <v>-46.62496</v>
      </c>
      <c r="D19460" s="40" t="n">
        <v>445</v>
      </c>
      <c r="E19460" s="41" t="n">
        <v>11433.381</v>
      </c>
    </row>
    <row r="19461">
      <c r="A19461" s="42">
        <f>_xlfn.XLOOKUP(83498,Trip[shape_id],Trip[shape_id],"Não encontrado")</f>
        <v/>
      </c>
      <c r="B19461" s="43" t="n">
        <v>-23.506322</v>
      </c>
      <c r="C19461" s="43" t="n">
        <v>-46.624993</v>
      </c>
      <c r="D19461" s="43" t="n">
        <v>446</v>
      </c>
      <c r="E19461" s="44" t="n">
        <v>11554.59</v>
      </c>
    </row>
    <row r="19462">
      <c r="A19462" s="39">
        <f>_xlfn.XLOOKUP(83498,Trip[shape_id],Trip[shape_id],"Não encontrado")</f>
        <v/>
      </c>
      <c r="B19462" s="40" t="n">
        <v>-23.507301</v>
      </c>
      <c r="C19462" s="40" t="n">
        <v>-46.625008</v>
      </c>
      <c r="D19462" s="40" t="n">
        <v>447</v>
      </c>
      <c r="E19462" s="41" t="n">
        <v>11663.026</v>
      </c>
    </row>
    <row r="19463">
      <c r="A19463" s="42">
        <f>_xlfn.XLOOKUP(83498,Trip[shape_id],Trip[shape_id],"Não encontrado")</f>
        <v/>
      </c>
      <c r="B19463" s="43" t="n">
        <v>-23.50738</v>
      </c>
      <c r="C19463" s="43" t="n">
        <v>-46.625012</v>
      </c>
      <c r="D19463" s="43" t="n">
        <v>448</v>
      </c>
      <c r="E19463" s="44" t="n">
        <v>11671.786</v>
      </c>
    </row>
    <row r="19464">
      <c r="A19464" s="39">
        <f>_xlfn.XLOOKUP(83498,Trip[shape_id],Trip[shape_id],"Não encontrado")</f>
        <v/>
      </c>
      <c r="B19464" s="40" t="n">
        <v>-23.509944</v>
      </c>
      <c r="C19464" s="40" t="n">
        <v>-46.625086</v>
      </c>
      <c r="D19464" s="40" t="n">
        <v>449</v>
      </c>
      <c r="E19464" s="41" t="n">
        <v>11955.853</v>
      </c>
    </row>
    <row r="19465">
      <c r="A19465" s="42">
        <f>_xlfn.XLOOKUP(83498,Trip[shape_id],Trip[shape_id],"Não encontrado")</f>
        <v/>
      </c>
      <c r="B19465" s="43" t="n">
        <v>-23.51067</v>
      </c>
      <c r="C19465" s="43" t="n">
        <v>-46.625111</v>
      </c>
      <c r="D19465" s="43" t="n">
        <v>450</v>
      </c>
      <c r="E19465" s="44" t="n">
        <v>12036.299</v>
      </c>
    </row>
    <row r="19466">
      <c r="A19466" s="39">
        <f>_xlfn.XLOOKUP(83498,Trip[shape_id],Trip[shape_id],"Não encontrado")</f>
        <v/>
      </c>
      <c r="B19466" s="40" t="n">
        <v>-23.511414</v>
      </c>
      <c r="C19466" s="40" t="n">
        <v>-46.625126</v>
      </c>
      <c r="D19466" s="40" t="n">
        <v>451</v>
      </c>
      <c r="E19466" s="41" t="n">
        <v>12118.712</v>
      </c>
    </row>
    <row r="19467">
      <c r="A19467" s="42">
        <f>_xlfn.XLOOKUP(83498,Trip[shape_id],Trip[shape_id],"Não encontrado")</f>
        <v/>
      </c>
      <c r="B19467" s="43" t="n">
        <v>-23.511568</v>
      </c>
      <c r="C19467" s="43" t="n">
        <v>-46.625126</v>
      </c>
      <c r="D19467" s="43" t="n">
        <v>452</v>
      </c>
      <c r="E19467" s="44" t="n">
        <v>12135.768</v>
      </c>
    </row>
    <row r="19468">
      <c r="A19468" s="39">
        <f>_xlfn.XLOOKUP(83498,Trip[shape_id],Trip[shape_id],"Não encontrado")</f>
        <v/>
      </c>
      <c r="B19468" s="40" t="n">
        <v>-23.511795</v>
      </c>
      <c r="C19468" s="40" t="n">
        <v>-46.625133</v>
      </c>
      <c r="D19468" s="40" t="n">
        <v>453</v>
      </c>
      <c r="E19468" s="41" t="n">
        <v>12160.918</v>
      </c>
    </row>
    <row r="19469">
      <c r="A19469" s="42">
        <f>_xlfn.XLOOKUP(83498,Trip[shape_id],Trip[shape_id],"Não encontrado")</f>
        <v/>
      </c>
      <c r="B19469" s="43" t="n">
        <v>-23.512395</v>
      </c>
      <c r="C19469" s="43" t="n">
        <v>-46.625154</v>
      </c>
      <c r="D19469" s="43" t="n">
        <v>454</v>
      </c>
      <c r="E19469" s="44" t="n">
        <v>12227.403</v>
      </c>
    </row>
    <row r="19470">
      <c r="A19470" s="39">
        <f>_xlfn.XLOOKUP(83498,Trip[shape_id],Trip[shape_id],"Não encontrado")</f>
        <v/>
      </c>
      <c r="B19470" s="40" t="n">
        <v>-23.512635</v>
      </c>
      <c r="C19470" s="40" t="n">
        <v>-46.625161</v>
      </c>
      <c r="D19470" s="40" t="n">
        <v>455</v>
      </c>
      <c r="E19470" s="41" t="n">
        <v>12253.993</v>
      </c>
    </row>
    <row r="19471">
      <c r="A19471" s="42">
        <f>_xlfn.XLOOKUP(83498,Trip[shape_id],Trip[shape_id],"Não encontrado")</f>
        <v/>
      </c>
      <c r="B19471" s="43" t="n">
        <v>-23.513098</v>
      </c>
      <c r="C19471" s="43" t="n">
        <v>-46.625179</v>
      </c>
      <c r="D19471" s="43" t="n">
        <v>456</v>
      </c>
      <c r="E19471" s="44" t="n">
        <v>12305.304</v>
      </c>
    </row>
    <row r="19472">
      <c r="A19472" s="39">
        <f>_xlfn.XLOOKUP(83498,Trip[shape_id],Trip[shape_id],"Não encontrado")</f>
        <v/>
      </c>
      <c r="B19472" s="40" t="n">
        <v>-23.513494</v>
      </c>
      <c r="C19472" s="40" t="n">
        <v>-46.62519</v>
      </c>
      <c r="D19472" s="40" t="n">
        <v>457</v>
      </c>
      <c r="E19472" s="41" t="n">
        <v>12349.176</v>
      </c>
    </row>
    <row r="19473">
      <c r="A19473" s="42">
        <f>_xlfn.XLOOKUP(83498,Trip[shape_id],Trip[shape_id],"Não encontrado")</f>
        <v/>
      </c>
      <c r="B19473" s="43" t="n">
        <v>-23.514433</v>
      </c>
      <c r="C19473" s="43" t="n">
        <v>-46.625217</v>
      </c>
      <c r="D19473" s="43" t="n">
        <v>458</v>
      </c>
      <c r="E19473" s="44" t="n">
        <v>12453.208</v>
      </c>
    </row>
    <row r="19474">
      <c r="A19474" s="39">
        <f>_xlfn.XLOOKUP(83498,Trip[shape_id],Trip[shape_id],"Não encontrado")</f>
        <v/>
      </c>
      <c r="B19474" s="40" t="n">
        <v>-23.515344</v>
      </c>
      <c r="C19474" s="40" t="n">
        <v>-46.625245</v>
      </c>
      <c r="D19474" s="40" t="n">
        <v>459</v>
      </c>
      <c r="E19474" s="41" t="n">
        <v>12554.143</v>
      </c>
    </row>
    <row r="19475">
      <c r="A19475" s="42">
        <f>_xlfn.XLOOKUP(83498,Trip[shape_id],Trip[shape_id],"Não encontrado")</f>
        <v/>
      </c>
      <c r="B19475" s="43" t="n">
        <v>-23.515573</v>
      </c>
      <c r="C19475" s="43" t="n">
        <v>-46.625254</v>
      </c>
      <c r="D19475" s="43" t="n">
        <v>460</v>
      </c>
      <c r="E19475" s="44" t="n">
        <v>12579.521</v>
      </c>
    </row>
    <row r="19476">
      <c r="A19476" s="39">
        <f>_xlfn.XLOOKUP(83498,Trip[shape_id],Trip[shape_id],"Não encontrado")</f>
        <v/>
      </c>
      <c r="B19476" s="40" t="n">
        <v>-23.516066</v>
      </c>
      <c r="C19476" s="40" t="n">
        <v>-46.625252</v>
      </c>
      <c r="D19476" s="40" t="n">
        <v>461</v>
      </c>
      <c r="E19476" s="41" t="n">
        <v>12634.122</v>
      </c>
    </row>
    <row r="19477">
      <c r="A19477" s="42">
        <f>_xlfn.XLOOKUP(83498,Trip[shape_id],Trip[shape_id],"Não encontrado")</f>
        <v/>
      </c>
      <c r="B19477" s="43" t="n">
        <v>-23.516102</v>
      </c>
      <c r="C19477" s="43" t="n">
        <v>-46.625252</v>
      </c>
      <c r="D19477" s="43" t="n">
        <v>462</v>
      </c>
      <c r="E19477" s="44" t="n">
        <v>12638.109</v>
      </c>
    </row>
    <row r="19478">
      <c r="A19478" s="39">
        <f>_xlfn.XLOOKUP(83498,Trip[shape_id],Trip[shape_id],"Não encontrado")</f>
        <v/>
      </c>
      <c r="B19478" s="40" t="n">
        <v>-23.516556</v>
      </c>
      <c r="C19478" s="40" t="n">
        <v>-46.625265</v>
      </c>
      <c r="D19478" s="40" t="n">
        <v>463</v>
      </c>
      <c r="E19478" s="41" t="n">
        <v>12688.408</v>
      </c>
    </row>
    <row r="19479">
      <c r="A19479" s="42">
        <f>_xlfn.XLOOKUP(83498,Trip[shape_id],Trip[shape_id],"Não encontrado")</f>
        <v/>
      </c>
      <c r="B19479" s="43" t="n">
        <v>-23.516817</v>
      </c>
      <c r="C19479" s="43" t="n">
        <v>-46.625273</v>
      </c>
      <c r="D19479" s="43" t="n">
        <v>464</v>
      </c>
      <c r="E19479" s="44" t="n">
        <v>12717.326</v>
      </c>
    </row>
    <row r="19480">
      <c r="A19480" s="39">
        <f>_xlfn.XLOOKUP(83498,Trip[shape_id],Trip[shape_id],"Não encontrado")</f>
        <v/>
      </c>
      <c r="B19480" s="40" t="n">
        <v>-23.516944</v>
      </c>
      <c r="C19480" s="40" t="n">
        <v>-46.625366</v>
      </c>
      <c r="D19480" s="40" t="n">
        <v>465</v>
      </c>
      <c r="E19480" s="41" t="n">
        <v>12749.489</v>
      </c>
    </row>
    <row r="19481">
      <c r="A19481" s="42">
        <f>_xlfn.XLOOKUP(83498,Trip[shape_id],Trip[shape_id],"Não encontrado")</f>
        <v/>
      </c>
      <c r="B19481" s="43" t="n">
        <v>-23.517066</v>
      </c>
      <c r="C19481" s="43" t="n">
        <v>-46.625434</v>
      </c>
      <c r="D19481" s="43" t="n">
        <v>466</v>
      </c>
      <c r="E19481" s="44" t="n">
        <v>12773.772</v>
      </c>
    </row>
    <row r="19482">
      <c r="A19482" s="39">
        <f>_xlfn.XLOOKUP(83498,Trip[shape_id],Trip[shape_id],"Não encontrado")</f>
        <v/>
      </c>
      <c r="B19482" s="40" t="n">
        <v>-23.517267</v>
      </c>
      <c r="C19482" s="40" t="n">
        <v>-46.625529</v>
      </c>
      <c r="D19482" s="40" t="n">
        <v>467</v>
      </c>
      <c r="E19482" s="41" t="n">
        <v>12798.715</v>
      </c>
    </row>
    <row r="19483">
      <c r="A19483" s="42">
        <f>_xlfn.XLOOKUP(83498,Trip[shape_id],Trip[shape_id],"Não encontrado")</f>
        <v/>
      </c>
      <c r="B19483" s="43" t="n">
        <v>-23.517488</v>
      </c>
      <c r="C19483" s="43" t="n">
        <v>-46.625576</v>
      </c>
      <c r="D19483" s="43" t="n">
        <v>468</v>
      </c>
      <c r="E19483" s="44" t="n">
        <v>12838.434</v>
      </c>
    </row>
    <row r="19484">
      <c r="A19484" s="39">
        <f>_xlfn.XLOOKUP(83498,Trip[shape_id],Trip[shape_id],"Não encontrado")</f>
        <v/>
      </c>
      <c r="B19484" s="40" t="n">
        <v>-23.517845</v>
      </c>
      <c r="C19484" s="40" t="n">
        <v>-46.625613</v>
      </c>
      <c r="D19484" s="40" t="n">
        <v>469</v>
      </c>
      <c r="E19484" s="41" t="n">
        <v>12850.556</v>
      </c>
    </row>
    <row r="19485">
      <c r="A19485" s="42">
        <f>_xlfn.XLOOKUP(83498,Trip[shape_id],Trip[shape_id],"Não encontrado")</f>
        <v/>
      </c>
      <c r="B19485" s="43" t="n">
        <v>-23.517949</v>
      </c>
      <c r="C19485" s="43" t="n">
        <v>-46.62565</v>
      </c>
      <c r="D19485" s="43" t="n">
        <v>470</v>
      </c>
      <c r="E19485" s="44" t="n">
        <v>12863.099</v>
      </c>
    </row>
    <row r="19486">
      <c r="A19486" s="39">
        <f>_xlfn.XLOOKUP(83498,Trip[shape_id],Trip[shape_id],"Não encontrado")</f>
        <v/>
      </c>
      <c r="B19486" s="40" t="n">
        <v>-23.518028</v>
      </c>
      <c r="C19486" s="40" t="n">
        <v>-46.625738</v>
      </c>
      <c r="D19486" s="40" t="n">
        <v>471</v>
      </c>
      <c r="E19486" s="41" t="n">
        <v>12872.721</v>
      </c>
    </row>
    <row r="19487">
      <c r="A19487" s="42">
        <f>_xlfn.XLOOKUP(83498,Trip[shape_id],Trip[shape_id],"Não encontrado")</f>
        <v/>
      </c>
      <c r="B19487" s="43" t="n">
        <v>-23.51809</v>
      </c>
      <c r="C19487" s="43" t="n">
        <v>-46.625804</v>
      </c>
      <c r="D19487" s="43" t="n">
        <v>472</v>
      </c>
      <c r="E19487" s="44" t="n">
        <v>12883.91</v>
      </c>
    </row>
    <row r="19488">
      <c r="A19488" s="39">
        <f>_xlfn.XLOOKUP(83498,Trip[shape_id],Trip[shape_id],"Não encontrado")</f>
        <v/>
      </c>
      <c r="B19488" s="40" t="n">
        <v>-23.51816</v>
      </c>
      <c r="C19488" s="40" t="n">
        <v>-46.625883</v>
      </c>
      <c r="D19488" s="40" t="n">
        <v>473</v>
      </c>
      <c r="E19488" s="41" t="n">
        <v>12905.339</v>
      </c>
    </row>
    <row r="19489">
      <c r="A19489" s="42">
        <f>_xlfn.XLOOKUP(83498,Trip[shape_id],Trip[shape_id],"Não encontrado")</f>
        <v/>
      </c>
      <c r="B19489" s="43" t="n">
        <v>-23.518253</v>
      </c>
      <c r="C19489" s="43" t="n">
        <v>-46.626067</v>
      </c>
      <c r="D19489" s="43" t="n">
        <v>474</v>
      </c>
      <c r="E19489" s="44" t="n">
        <v>12950.828</v>
      </c>
    </row>
    <row r="19490">
      <c r="A19490" s="39">
        <f>_xlfn.XLOOKUP(83498,Trip[shape_id],Trip[shape_id],"Não encontrado")</f>
        <v/>
      </c>
      <c r="B19490" s="40" t="n">
        <v>-23.518337</v>
      </c>
      <c r="C19490" s="40" t="n">
        <v>-46.626503</v>
      </c>
      <c r="D19490" s="40" t="n">
        <v>475</v>
      </c>
      <c r="E19490" s="41" t="n">
        <v>12950.828</v>
      </c>
    </row>
    <row r="19491">
      <c r="A19491" s="42">
        <f>_xlfn.XLOOKUP(83498,Trip[shape_id],Trip[shape_id],"Não encontrado")</f>
        <v/>
      </c>
      <c r="B19491" s="43" t="n">
        <v>-23.518342</v>
      </c>
      <c r="C19491" s="43" t="n">
        <v>-46.626786</v>
      </c>
      <c r="D19491" s="43" t="n">
        <v>476</v>
      </c>
      <c r="E19491" s="44" t="n">
        <v>12979.735</v>
      </c>
    </row>
    <row r="19492">
      <c r="A19492" s="39">
        <f>_xlfn.XLOOKUP(83498,Trip[shape_id],Trip[shape_id],"Não encontrado")</f>
        <v/>
      </c>
      <c r="B19492" s="40" t="n">
        <v>-23.51835</v>
      </c>
      <c r="C19492" s="40" t="n">
        <v>-46.626915</v>
      </c>
      <c r="D19492" s="40" t="n">
        <v>477</v>
      </c>
      <c r="E19492" s="41" t="n">
        <v>12992.939</v>
      </c>
    </row>
    <row r="19493">
      <c r="A19493" s="42">
        <f>_xlfn.XLOOKUP(83498,Trip[shape_id],Trip[shape_id],"Não encontrado")</f>
        <v/>
      </c>
      <c r="B19493" s="43" t="n">
        <v>-23.518347</v>
      </c>
      <c r="C19493" s="43" t="n">
        <v>-46.627089</v>
      </c>
      <c r="D19493" s="43" t="n">
        <v>478</v>
      </c>
      <c r="E19493" s="44" t="n">
        <v>13010.713</v>
      </c>
    </row>
    <row r="19494">
      <c r="A19494" s="39">
        <f>_xlfn.XLOOKUP(83498,Trip[shape_id],Trip[shape_id],"Não encontrado")</f>
        <v/>
      </c>
      <c r="B19494" s="40" t="n">
        <v>-23.518324</v>
      </c>
      <c r="C19494" s="40" t="n">
        <v>-46.627943</v>
      </c>
      <c r="D19494" s="40" t="n">
        <v>479</v>
      </c>
      <c r="E19494" s="41" t="n">
        <v>13097.967</v>
      </c>
    </row>
    <row r="19495">
      <c r="A19495" s="42">
        <f>_xlfn.XLOOKUP(83498,Trip[shape_id],Trip[shape_id],"Não encontrado")</f>
        <v/>
      </c>
      <c r="B19495" s="43" t="n">
        <v>-23.518308</v>
      </c>
      <c r="C19495" s="43" t="n">
        <v>-46.628409</v>
      </c>
      <c r="D19495" s="43" t="n">
        <v>480</v>
      </c>
      <c r="E19495" s="44" t="n">
        <v>13145.591</v>
      </c>
    </row>
    <row r="19496">
      <c r="A19496" s="39">
        <f>_xlfn.XLOOKUP(83498,Trip[shape_id],Trip[shape_id],"Não encontrado")</f>
        <v/>
      </c>
      <c r="B19496" s="40" t="n">
        <v>-23.518246</v>
      </c>
      <c r="C19496" s="40" t="n">
        <v>-46.628885</v>
      </c>
      <c r="D19496" s="40" t="n">
        <v>481</v>
      </c>
      <c r="E19496" s="41" t="n">
        <v>13194.686</v>
      </c>
    </row>
    <row r="19497">
      <c r="A19497" s="42">
        <f>_xlfn.XLOOKUP(83498,Trip[shape_id],Trip[shape_id],"Não encontrado")</f>
        <v/>
      </c>
      <c r="B19497" s="43" t="n">
        <v>-23.51821</v>
      </c>
      <c r="C19497" s="43" t="n">
        <v>-46.629134</v>
      </c>
      <c r="D19497" s="43" t="n">
        <v>482</v>
      </c>
      <c r="E19497" s="44" t="n">
        <v>13220.426</v>
      </c>
    </row>
    <row r="19498">
      <c r="A19498" s="39">
        <f>_xlfn.XLOOKUP(83498,Trip[shape_id],Trip[shape_id],"Não encontrado")</f>
        <v/>
      </c>
      <c r="B19498" s="40" t="n">
        <v>-23.518164</v>
      </c>
      <c r="C19498" s="40" t="n">
        <v>-46.629527</v>
      </c>
      <c r="D19498" s="40" t="n">
        <v>483</v>
      </c>
      <c r="E19498" s="41" t="n">
        <v>13260.884</v>
      </c>
    </row>
    <row r="19499">
      <c r="A19499" s="42">
        <f>_xlfn.XLOOKUP(83498,Trip[shape_id],Trip[shape_id],"Não encontrado")</f>
        <v/>
      </c>
      <c r="B19499" s="43" t="n">
        <v>-23.518141</v>
      </c>
      <c r="C19499" s="43" t="n">
        <v>-46.629806</v>
      </c>
      <c r="D19499" s="43" t="n">
        <v>484</v>
      </c>
      <c r="E19499" s="44" t="n">
        <v>13289.491</v>
      </c>
    </row>
    <row r="19500">
      <c r="A19500" s="39">
        <f>_xlfn.XLOOKUP(83498,Trip[shape_id],Trip[shape_id],"Não encontrado")</f>
        <v/>
      </c>
      <c r="B19500" s="40" t="n">
        <v>-23.518128</v>
      </c>
      <c r="C19500" s="40" t="n">
        <v>-46.629999</v>
      </c>
      <c r="D19500" s="40" t="n">
        <v>485</v>
      </c>
      <c r="E19500" s="41" t="n">
        <v>13330.469</v>
      </c>
    </row>
    <row r="19501">
      <c r="A19501" s="42">
        <f>_xlfn.XLOOKUP(83498,Trip[shape_id],Trip[shape_id],"Não encontrado")</f>
        <v/>
      </c>
      <c r="B19501" s="43" t="n">
        <v>-23.518112</v>
      </c>
      <c r="C19501" s="43" t="n">
        <v>-46.630206</v>
      </c>
      <c r="D19501" s="43" t="n">
        <v>486</v>
      </c>
      <c r="E19501" s="44" t="n">
        <v>13330.469</v>
      </c>
    </row>
    <row r="19502">
      <c r="A19502" s="39">
        <f>_xlfn.XLOOKUP(83498,Trip[shape_id],Trip[shape_id],"Não encontrado")</f>
        <v/>
      </c>
      <c r="B19502" s="40" t="n">
        <v>-23.518065</v>
      </c>
      <c r="C19502" s="40" t="n">
        <v>-46.630514</v>
      </c>
      <c r="D19502" s="40" t="n">
        <v>487</v>
      </c>
      <c r="E19502" s="41" t="n">
        <v>13375.564</v>
      </c>
    </row>
    <row r="19503">
      <c r="A19503" s="42">
        <f>_xlfn.XLOOKUP(83498,Trip[shape_id],Trip[shape_id],"Não encontrado")</f>
        <v/>
      </c>
      <c r="B19503" s="43" t="n">
        <v>-23.518028</v>
      </c>
      <c r="C19503" s="43" t="n">
        <v>-46.630637</v>
      </c>
      <c r="D19503" s="43" t="n">
        <v>488</v>
      </c>
      <c r="E19503" s="44" t="n">
        <v>13381.388</v>
      </c>
    </row>
    <row r="19504">
      <c r="A19504" s="39">
        <f>_xlfn.XLOOKUP(83498,Trip[shape_id],Trip[shape_id],"Não encontrado")</f>
        <v/>
      </c>
      <c r="B19504" s="40" t="n">
        <v>-23.517988</v>
      </c>
      <c r="C19504" s="40" t="n">
        <v>-46.630674</v>
      </c>
      <c r="D19504" s="40" t="n">
        <v>489</v>
      </c>
      <c r="E19504" s="41" t="n">
        <v>13390.881</v>
      </c>
    </row>
    <row r="19505">
      <c r="A19505" s="42">
        <f>_xlfn.XLOOKUP(83498,Trip[shape_id],Trip[shape_id],"Não encontrado")</f>
        <v/>
      </c>
      <c r="B19505" s="43" t="n">
        <v>-23.517912</v>
      </c>
      <c r="C19505" s="43" t="n">
        <v>-46.630717</v>
      </c>
      <c r="D19505" s="43" t="n">
        <v>490</v>
      </c>
      <c r="E19505" s="44" t="n">
        <v>13399.088</v>
      </c>
    </row>
    <row r="19506">
      <c r="A19506" s="39">
        <f>_xlfn.XLOOKUP(83498,Trip[shape_id],Trip[shape_id],"Não encontrado")</f>
        <v/>
      </c>
      <c r="B19506" s="40" t="n">
        <v>-23.51784</v>
      </c>
      <c r="C19506" s="40" t="n">
        <v>-46.630736</v>
      </c>
      <c r="D19506" s="40" t="n">
        <v>491</v>
      </c>
      <c r="E19506" s="41" t="n">
        <v>13408.129</v>
      </c>
    </row>
    <row r="19507">
      <c r="A19507" s="42">
        <f>_xlfn.XLOOKUP(83498,Trip[shape_id],Trip[shape_id],"Não encontrado")</f>
        <v/>
      </c>
      <c r="B19507" s="43" t="n">
        <v>-23.517759</v>
      </c>
      <c r="C19507" s="43" t="n">
        <v>-46.630747</v>
      </c>
      <c r="D19507" s="43" t="n">
        <v>492</v>
      </c>
      <c r="E19507" s="44" t="n">
        <v>13417.248</v>
      </c>
    </row>
    <row r="19508">
      <c r="A19508" s="39">
        <f>_xlfn.XLOOKUP(83498,Trip[shape_id],Trip[shape_id],"Não encontrado")</f>
        <v/>
      </c>
      <c r="B19508" s="40" t="n">
        <v>-23.517678</v>
      </c>
      <c r="C19508" s="40" t="n">
        <v>-46.630731</v>
      </c>
      <c r="D19508" s="40" t="n">
        <v>493</v>
      </c>
      <c r="E19508" s="41" t="n">
        <v>13430.993</v>
      </c>
    </row>
    <row r="19509">
      <c r="A19509" s="42">
        <f>_xlfn.XLOOKUP(83498,Trip[shape_id],Trip[shape_id],"Não encontrado")</f>
        <v/>
      </c>
      <c r="B19509" s="43" t="n">
        <v>-23.517572</v>
      </c>
      <c r="C19509" s="43" t="n">
        <v>-46.630661</v>
      </c>
      <c r="D19509" s="43" t="n">
        <v>494</v>
      </c>
      <c r="E19509" s="44" t="n">
        <v>13440.173</v>
      </c>
    </row>
    <row r="19510">
      <c r="A19510" s="39">
        <f>_xlfn.XLOOKUP(83498,Trip[shape_id],Trip[shape_id],"Não encontrado")</f>
        <v/>
      </c>
      <c r="B19510" s="40" t="n">
        <v>-23.51752</v>
      </c>
      <c r="C19510" s="40" t="n">
        <v>-46.630591</v>
      </c>
      <c r="D19510" s="40" t="n">
        <v>495</v>
      </c>
      <c r="E19510" s="41" t="n">
        <v>13455.221</v>
      </c>
    </row>
    <row r="19511">
      <c r="A19511" s="42">
        <f>_xlfn.XLOOKUP(83498,Trip[shape_id],Trip[shape_id],"Não encontrado")</f>
        <v/>
      </c>
      <c r="B19511" s="43" t="n">
        <v>-23.51747</v>
      </c>
      <c r="C19511" s="43" t="n">
        <v>-46.630454</v>
      </c>
      <c r="D19511" s="43" t="n">
        <v>496</v>
      </c>
      <c r="E19511" s="44" t="n">
        <v>13465.741</v>
      </c>
    </row>
    <row r="19512">
      <c r="A19512" s="39">
        <f>_xlfn.XLOOKUP(83498,Trip[shape_id],Trip[shape_id],"Não encontrado")</f>
        <v/>
      </c>
      <c r="B19512" s="40" t="n">
        <v>-23.517471</v>
      </c>
      <c r="C19512" s="40" t="n">
        <v>-46.630351</v>
      </c>
      <c r="D19512" s="40" t="n">
        <v>497</v>
      </c>
      <c r="E19512" s="41" t="n">
        <v>13473.682</v>
      </c>
    </row>
    <row r="19513">
      <c r="A19513" s="42">
        <f>_xlfn.XLOOKUP(83498,Trip[shape_id],Trip[shape_id],"Não encontrado")</f>
        <v/>
      </c>
      <c r="B19513" s="43" t="n">
        <v>-23.517493</v>
      </c>
      <c r="C19513" s="43" t="n">
        <v>-46.630277</v>
      </c>
      <c r="D19513" s="43" t="n">
        <v>498</v>
      </c>
      <c r="E19513" s="44" t="n">
        <v>13483.226</v>
      </c>
    </row>
    <row r="19514">
      <c r="A19514" s="39">
        <f>_xlfn.XLOOKUP(83498,Trip[shape_id],Trip[shape_id],"Não encontrado")</f>
        <v/>
      </c>
      <c r="B19514" s="40" t="n">
        <v>-23.517554</v>
      </c>
      <c r="C19514" s="40" t="n">
        <v>-46.630211</v>
      </c>
      <c r="D19514" s="40" t="n">
        <v>499</v>
      </c>
      <c r="E19514" s="41" t="n">
        <v>13495.196</v>
      </c>
    </row>
    <row r="19515">
      <c r="A19515" s="42">
        <f>_xlfn.XLOOKUP(83498,Trip[shape_id],Trip[shape_id],"Não encontrado")</f>
        <v/>
      </c>
      <c r="B19515" s="43" t="n">
        <v>-23.51764</v>
      </c>
      <c r="C19515" s="43" t="n">
        <v>-46.63014</v>
      </c>
      <c r="D19515" s="43" t="n">
        <v>500</v>
      </c>
      <c r="E19515" s="44" t="n">
        <v>13501.801</v>
      </c>
    </row>
    <row r="19516">
      <c r="A19516" s="39">
        <f>_xlfn.XLOOKUP(83498,Trip[shape_id],Trip[shape_id],"Não encontrado")</f>
        <v/>
      </c>
      <c r="B19516" s="40" t="n">
        <v>-23.517697</v>
      </c>
      <c r="C19516" s="40" t="n">
        <v>-46.630121</v>
      </c>
      <c r="D19516" s="40" t="n">
        <v>501</v>
      </c>
      <c r="E19516" s="41" t="n">
        <v>13513.158</v>
      </c>
    </row>
    <row r="19517">
      <c r="A19517" s="42">
        <f>_xlfn.XLOOKUP(83498,Trip[shape_id],Trip[shape_id],"Não encontrado")</f>
        <v/>
      </c>
      <c r="B19517" s="43" t="n">
        <v>-23.517796</v>
      </c>
      <c r="C19517" s="43" t="n">
        <v>-46.630092</v>
      </c>
      <c r="D19517" s="43" t="n">
        <v>502</v>
      </c>
      <c r="E19517" s="44" t="n">
        <v>13532.253</v>
      </c>
    </row>
    <row r="19518">
      <c r="A19518" s="39">
        <f>_xlfn.XLOOKUP(83498,Trip[shape_id],Trip[shape_id],"Não encontrado")</f>
        <v/>
      </c>
      <c r="B19518" s="40" t="n">
        <v>-23.517964</v>
      </c>
      <c r="C19518" s="40" t="n">
        <v>-46.63005</v>
      </c>
      <c r="D19518" s="40" t="n">
        <v>503</v>
      </c>
      <c r="E19518" s="41" t="n">
        <v>13532.253</v>
      </c>
    </row>
    <row r="19519">
      <c r="A19519" s="42">
        <f>_xlfn.XLOOKUP(83498,Trip[shape_id],Trip[shape_id],"Não encontrado")</f>
        <v/>
      </c>
      <c r="B19519" s="43" t="n">
        <v>-23.518409</v>
      </c>
      <c r="C19519" s="43" t="n">
        <v>-46.630123</v>
      </c>
      <c r="D19519" s="43" t="n">
        <v>504</v>
      </c>
      <c r="E19519" s="44" t="n">
        <v>13582.098</v>
      </c>
    </row>
    <row r="19520">
      <c r="A19520" s="39">
        <f>_xlfn.XLOOKUP(83498,Trip[shape_id],Trip[shape_id],"Não encontrado")</f>
        <v/>
      </c>
      <c r="B19520" s="40" t="n">
        <v>-23.518501</v>
      </c>
      <c r="C19520" s="40" t="n">
        <v>-46.630112</v>
      </c>
      <c r="D19520" s="40" t="n">
        <v>505</v>
      </c>
      <c r="E19520" s="41" t="n">
        <v>13592.349</v>
      </c>
    </row>
    <row r="19521">
      <c r="A19521" s="42">
        <f>_xlfn.XLOOKUP(83498,Trip[shape_id],Trip[shape_id],"Não encontrado")</f>
        <v/>
      </c>
      <c r="B19521" s="43" t="n">
        <v>-23.518766</v>
      </c>
      <c r="C19521" s="43" t="n">
        <v>-46.630135</v>
      </c>
      <c r="D19521" s="43" t="n">
        <v>506</v>
      </c>
      <c r="E19521" s="44" t="n">
        <v>13621.792</v>
      </c>
    </row>
    <row r="19522">
      <c r="A19522" s="39">
        <f>_xlfn.XLOOKUP(83498,Trip[shape_id],Trip[shape_id],"Não encontrado")</f>
        <v/>
      </c>
      <c r="B19522" s="40" t="n">
        <v>-23.519567</v>
      </c>
      <c r="C19522" s="40" t="n">
        <v>-46.630271</v>
      </c>
      <c r="D19522" s="40" t="n">
        <v>507</v>
      </c>
      <c r="E19522" s="41" t="n">
        <v>13711.585</v>
      </c>
    </row>
    <row r="19523">
      <c r="A19523" s="42">
        <f>_xlfn.XLOOKUP(83498,Trip[shape_id],Trip[shape_id],"Não encontrado")</f>
        <v/>
      </c>
      <c r="B19523" s="43" t="n">
        <v>-23.519697</v>
      </c>
      <c r="C19523" s="43" t="n">
        <v>-46.630282</v>
      </c>
      <c r="D19523" s="43" t="n">
        <v>508</v>
      </c>
      <c r="E19523" s="44" t="n">
        <v>13726.026</v>
      </c>
    </row>
    <row r="19524">
      <c r="A19524" s="39">
        <f>_xlfn.XLOOKUP(83498,Trip[shape_id],Trip[shape_id],"Não encontrado")</f>
        <v/>
      </c>
      <c r="B19524" s="40" t="n">
        <v>-23.51984</v>
      </c>
      <c r="C19524" s="40" t="n">
        <v>-46.630286</v>
      </c>
      <c r="D19524" s="40" t="n">
        <v>509</v>
      </c>
      <c r="E19524" s="41" t="n">
        <v>13741.869</v>
      </c>
    </row>
    <row r="19525">
      <c r="A19525" s="42">
        <f>_xlfn.XLOOKUP(83498,Trip[shape_id],Trip[shape_id],"Não encontrado")</f>
        <v/>
      </c>
      <c r="B19525" s="43" t="n">
        <v>-23.519936</v>
      </c>
      <c r="C19525" s="43" t="n">
        <v>-46.630286</v>
      </c>
      <c r="D19525" s="43" t="n">
        <v>510</v>
      </c>
      <c r="E19525" s="44" t="n">
        <v>13752.502</v>
      </c>
    </row>
    <row r="19526">
      <c r="A19526" s="39">
        <f>_xlfn.XLOOKUP(83498,Trip[shape_id],Trip[shape_id],"Não encontrado")</f>
        <v/>
      </c>
      <c r="B19526" s="40" t="n">
        <v>-23.520009</v>
      </c>
      <c r="C19526" s="40" t="n">
        <v>-46.630286</v>
      </c>
      <c r="D19526" s="40" t="n">
        <v>511</v>
      </c>
      <c r="E19526" s="41" t="n">
        <v>13760.587</v>
      </c>
    </row>
    <row r="19527">
      <c r="A19527" s="42">
        <f>_xlfn.XLOOKUP(83498,Trip[shape_id],Trip[shape_id],"Não encontrado")</f>
        <v/>
      </c>
      <c r="B19527" s="43" t="n">
        <v>-23.52074</v>
      </c>
      <c r="C19527" s="43" t="n">
        <v>-46.630328</v>
      </c>
      <c r="D19527" s="43" t="n">
        <v>512</v>
      </c>
      <c r="E19527" s="44" t="n">
        <v>13841.659</v>
      </c>
    </row>
    <row r="19528">
      <c r="A19528" s="39">
        <f>_xlfn.XLOOKUP(83498,Trip[shape_id],Trip[shape_id],"Não encontrado")</f>
        <v/>
      </c>
      <c r="B19528" s="40" t="n">
        <v>-23.521205</v>
      </c>
      <c r="C19528" s="40" t="n">
        <v>-46.630413</v>
      </c>
      <c r="D19528" s="40" t="n">
        <v>513</v>
      </c>
      <c r="E19528" s="41" t="n">
        <v>13893.885</v>
      </c>
    </row>
    <row r="19529">
      <c r="A19529" s="42">
        <f>_xlfn.XLOOKUP(83498,Trip[shape_id],Trip[shape_id],"Não encontrado")</f>
        <v/>
      </c>
      <c r="B19529" s="43" t="n">
        <v>-23.521343</v>
      </c>
      <c r="C19529" s="43" t="n">
        <v>-46.630434</v>
      </c>
      <c r="D19529" s="43" t="n">
        <v>514</v>
      </c>
      <c r="E19529" s="44" t="n">
        <v>13909.318</v>
      </c>
    </row>
    <row r="19530">
      <c r="A19530" s="39">
        <f>_xlfn.XLOOKUP(83498,Trip[shape_id],Trip[shape_id],"Não encontrado")</f>
        <v/>
      </c>
      <c r="B19530" s="40" t="n">
        <v>-23.521727</v>
      </c>
      <c r="C19530" s="40" t="n">
        <v>-46.630505</v>
      </c>
      <c r="D19530" s="40" t="n">
        <v>515</v>
      </c>
      <c r="E19530" s="41" t="n">
        <v>13952.461</v>
      </c>
    </row>
    <row r="19531">
      <c r="A19531" s="42">
        <f>_xlfn.XLOOKUP(83498,Trip[shape_id],Trip[shape_id],"Não encontrado")</f>
        <v/>
      </c>
      <c r="B19531" s="43" t="n">
        <v>-23.522264</v>
      </c>
      <c r="C19531" s="43" t="n">
        <v>-46.630607</v>
      </c>
      <c r="D19531" s="43" t="n">
        <v>516</v>
      </c>
      <c r="E19531" s="44" t="n">
        <v>14012.84</v>
      </c>
    </row>
    <row r="19532">
      <c r="A19532" s="39">
        <f>_xlfn.XLOOKUP(83498,Trip[shape_id],Trip[shape_id],"Não encontrado")</f>
        <v/>
      </c>
      <c r="B19532" s="40" t="n">
        <v>-23.522989</v>
      </c>
      <c r="C19532" s="40" t="n">
        <v>-46.630759</v>
      </c>
      <c r="D19532" s="40" t="n">
        <v>517</v>
      </c>
      <c r="E19532" s="41" t="n">
        <v>14094.621</v>
      </c>
    </row>
    <row r="19533">
      <c r="A19533" s="42">
        <f>_xlfn.XLOOKUP(83498,Trip[shape_id],Trip[shape_id],"Não encontrado")</f>
        <v/>
      </c>
      <c r="B19533" s="43" t="n">
        <v>-23.523548</v>
      </c>
      <c r="C19533" s="43" t="n">
        <v>-46.630856</v>
      </c>
      <c r="D19533" s="43" t="n">
        <v>518</v>
      </c>
      <c r="E19533" s="44" t="n">
        <v>14157.318</v>
      </c>
    </row>
    <row r="19534">
      <c r="A19534" s="39">
        <f>_xlfn.XLOOKUP(83498,Trip[shape_id],Trip[shape_id],"Não encontrado")</f>
        <v/>
      </c>
      <c r="B19534" s="40" t="n">
        <v>-23.523853</v>
      </c>
      <c r="C19534" s="40" t="n">
        <v>-46.630972</v>
      </c>
      <c r="D19534" s="40" t="n">
        <v>519</v>
      </c>
      <c r="E19534" s="41" t="n">
        <v>14193.114</v>
      </c>
    </row>
    <row r="19535">
      <c r="A19535" s="42">
        <f>_xlfn.XLOOKUP(83498,Trip[shape_id],Trip[shape_id],"Não encontrado")</f>
        <v/>
      </c>
      <c r="B19535" s="43" t="n">
        <v>-23.524125</v>
      </c>
      <c r="C19535" s="43" t="n">
        <v>-46.631026</v>
      </c>
      <c r="D19535" s="43" t="n">
        <v>520</v>
      </c>
      <c r="E19535" s="44" t="n">
        <v>14223.739</v>
      </c>
    </row>
    <row r="19536">
      <c r="A19536" s="39">
        <f>_xlfn.XLOOKUP(83498,Trip[shape_id],Trip[shape_id],"Não encontrado")</f>
        <v/>
      </c>
      <c r="B19536" s="40" t="n">
        <v>-23.524581</v>
      </c>
      <c r="C19536" s="40" t="n">
        <v>-46.63111</v>
      </c>
      <c r="D19536" s="40" t="n">
        <v>521</v>
      </c>
      <c r="E19536" s="41" t="n">
        <v>14274.965</v>
      </c>
    </row>
    <row r="19537">
      <c r="A19537" s="42">
        <f>_xlfn.XLOOKUP(83498,Trip[shape_id],Trip[shape_id],"Não encontrado")</f>
        <v/>
      </c>
      <c r="B19537" s="43" t="n">
        <v>-23.524931</v>
      </c>
      <c r="C19537" s="43" t="n">
        <v>-46.631164</v>
      </c>
      <c r="D19537" s="43" t="n">
        <v>522</v>
      </c>
      <c r="E19537" s="44" t="n">
        <v>14314.118</v>
      </c>
    </row>
    <row r="19538">
      <c r="A19538" s="39">
        <f>_xlfn.XLOOKUP(83498,Trip[shape_id],Trip[shape_id],"Não encontrado")</f>
        <v/>
      </c>
      <c r="B19538" s="40" t="n">
        <v>-23.525404</v>
      </c>
      <c r="C19538" s="40" t="n">
        <v>-46.631227</v>
      </c>
      <c r="D19538" s="40" t="n">
        <v>523</v>
      </c>
      <c r="E19538" s="41" t="n">
        <v>14366.897</v>
      </c>
    </row>
    <row r="19539">
      <c r="A19539" s="42">
        <f>_xlfn.XLOOKUP(83498,Trip[shape_id],Trip[shape_id],"Não encontrado")</f>
        <v/>
      </c>
      <c r="B19539" s="43" t="n">
        <v>-23.526009</v>
      </c>
      <c r="C19539" s="43" t="n">
        <v>-46.631305</v>
      </c>
      <c r="D19539" s="43" t="n">
        <v>524</v>
      </c>
      <c r="E19539" s="44" t="n">
        <v>14434.374</v>
      </c>
    </row>
    <row r="19540">
      <c r="A19540" s="39">
        <f>_xlfn.XLOOKUP(83498,Trip[shape_id],Trip[shape_id],"Não encontrado")</f>
        <v/>
      </c>
      <c r="B19540" s="40" t="n">
        <v>-23.526107</v>
      </c>
      <c r="C19540" s="40" t="n">
        <v>-46.631322</v>
      </c>
      <c r="D19540" s="40" t="n">
        <v>525</v>
      </c>
      <c r="E19540" s="41" t="n">
        <v>14445.365</v>
      </c>
    </row>
    <row r="19541">
      <c r="A19541" s="42">
        <f>_xlfn.XLOOKUP(83498,Trip[shape_id],Trip[shape_id],"Não encontrado")</f>
        <v/>
      </c>
      <c r="B19541" s="43" t="n">
        <v>-23.526305</v>
      </c>
      <c r="C19541" s="43" t="n">
        <v>-46.631235</v>
      </c>
      <c r="D19541" s="43" t="n">
        <v>526</v>
      </c>
      <c r="E19541" s="44" t="n">
        <v>14469.025</v>
      </c>
    </row>
    <row r="19542">
      <c r="A19542" s="39">
        <f>_xlfn.XLOOKUP(83498,Trip[shape_id],Trip[shape_id],"Não encontrado")</f>
        <v/>
      </c>
      <c r="B19542" s="40" t="n">
        <v>-23.526541</v>
      </c>
      <c r="C19542" s="40" t="n">
        <v>-46.631332</v>
      </c>
      <c r="D19542" s="40" t="n">
        <v>527</v>
      </c>
      <c r="E19542" s="41" t="n">
        <v>14496.977</v>
      </c>
    </row>
    <row r="19543">
      <c r="A19543" s="42">
        <f>_xlfn.XLOOKUP(83498,Trip[shape_id],Trip[shape_id],"Não encontrado")</f>
        <v/>
      </c>
      <c r="B19543" s="43" t="n">
        <v>-23.526771</v>
      </c>
      <c r="C19543" s="43" t="n">
        <v>-46.631377</v>
      </c>
      <c r="D19543" s="43" t="n">
        <v>528</v>
      </c>
      <c r="E19543" s="44" t="n">
        <v>14522.86</v>
      </c>
    </row>
    <row r="19544">
      <c r="A19544" s="39">
        <f>_xlfn.XLOOKUP(83498,Trip[shape_id],Trip[shape_id],"Não encontrado")</f>
        <v/>
      </c>
      <c r="B19544" s="40" t="n">
        <v>-23.527513</v>
      </c>
      <c r="C19544" s="40" t="n">
        <v>-46.631494</v>
      </c>
      <c r="D19544" s="40" t="n">
        <v>529</v>
      </c>
      <c r="E19544" s="41" t="n">
        <v>14605.902</v>
      </c>
    </row>
    <row r="19545">
      <c r="A19545" s="42">
        <f>_xlfn.XLOOKUP(83498,Trip[shape_id],Trip[shape_id],"Não encontrado")</f>
        <v/>
      </c>
      <c r="B19545" s="43" t="n">
        <v>-23.527829</v>
      </c>
      <c r="C19545" s="43" t="n">
        <v>-46.631554</v>
      </c>
      <c r="D19545" s="43" t="n">
        <v>530</v>
      </c>
      <c r="E19545" s="44" t="n">
        <v>14641.433</v>
      </c>
    </row>
    <row r="19546">
      <c r="A19546" s="39">
        <f>_xlfn.XLOOKUP(83498,Trip[shape_id],Trip[shape_id],"Não encontrado")</f>
        <v/>
      </c>
      <c r="B19546" s="40" t="n">
        <v>-23.528167</v>
      </c>
      <c r="C19546" s="40" t="n">
        <v>-46.631619</v>
      </c>
      <c r="D19546" s="40" t="n">
        <v>531</v>
      </c>
      <c r="E19546" s="41" t="n">
        <v>14679.45</v>
      </c>
    </row>
    <row r="19547">
      <c r="A19547" s="42">
        <f>_xlfn.XLOOKUP(83498,Trip[shape_id],Trip[shape_id],"Não encontrado")</f>
        <v/>
      </c>
      <c r="B19547" s="43" t="n">
        <v>-23.528758</v>
      </c>
      <c r="C19547" s="43" t="n">
        <v>-46.631732</v>
      </c>
      <c r="D19547" s="43" t="n">
        <v>532</v>
      </c>
      <c r="E19547" s="44" t="n">
        <v>14745.914</v>
      </c>
    </row>
    <row r="19548">
      <c r="A19548" s="39">
        <f>_xlfn.XLOOKUP(83498,Trip[shape_id],Trip[shape_id],"Não encontrado")</f>
        <v/>
      </c>
      <c r="B19548" s="40" t="n">
        <v>-23.529553</v>
      </c>
      <c r="C19548" s="40" t="n">
        <v>-46.63198</v>
      </c>
      <c r="D19548" s="40" t="n">
        <v>533</v>
      </c>
      <c r="E19548" s="41" t="n">
        <v>14837.531</v>
      </c>
    </row>
    <row r="19549">
      <c r="A19549" s="42">
        <f>_xlfn.XLOOKUP(83498,Trip[shape_id],Trip[shape_id],"Não encontrado")</f>
        <v/>
      </c>
      <c r="B19549" s="43" t="n">
        <v>-23.530335</v>
      </c>
      <c r="C19549" s="43" t="n">
        <v>-46.63222</v>
      </c>
      <c r="D19549" s="43" t="n">
        <v>534</v>
      </c>
      <c r="E19549" s="44" t="n">
        <v>14927.54</v>
      </c>
    </row>
    <row r="19550">
      <c r="A19550" s="39">
        <f>_xlfn.XLOOKUP(83498,Trip[shape_id],Trip[shape_id],"Não encontrado")</f>
        <v/>
      </c>
      <c r="B19550" s="40" t="n">
        <v>-23.530607</v>
      </c>
      <c r="C19550" s="40" t="n">
        <v>-46.632311</v>
      </c>
      <c r="D19550" s="40" t="n">
        <v>535</v>
      </c>
      <c r="E19550" s="41" t="n">
        <v>14959.065</v>
      </c>
    </row>
    <row r="19551">
      <c r="A19551" s="42">
        <f>_xlfn.XLOOKUP(83498,Trip[shape_id],Trip[shape_id],"Não encontrado")</f>
        <v/>
      </c>
      <c r="B19551" s="43" t="n">
        <v>-23.530735</v>
      </c>
      <c r="C19551" s="43" t="n">
        <v>-46.63235</v>
      </c>
      <c r="D19551" s="43" t="n">
        <v>536</v>
      </c>
      <c r="E19551" s="44" t="n">
        <v>14973.79</v>
      </c>
    </row>
    <row r="19552">
      <c r="A19552" s="39">
        <f>_xlfn.XLOOKUP(83498,Trip[shape_id],Trip[shape_id],"Não encontrado")</f>
        <v/>
      </c>
      <c r="B19552" s="40" t="n">
        <v>-23.530993</v>
      </c>
      <c r="C19552" s="40" t="n">
        <v>-46.632425</v>
      </c>
      <c r="D19552" s="40" t="n">
        <v>537</v>
      </c>
      <c r="E19552" s="41" t="n">
        <v>15003.373</v>
      </c>
    </row>
    <row r="19553">
      <c r="A19553" s="42">
        <f>_xlfn.XLOOKUP(83498,Trip[shape_id],Trip[shape_id],"Não encontrado")</f>
        <v/>
      </c>
      <c r="B19553" s="43" t="n">
        <v>-23.53227</v>
      </c>
      <c r="C19553" s="43" t="n">
        <v>-46.632806</v>
      </c>
      <c r="D19553" s="43" t="n">
        <v>538</v>
      </c>
      <c r="E19553" s="44" t="n">
        <v>15150.057</v>
      </c>
    </row>
    <row r="19554">
      <c r="A19554" s="39">
        <f>_xlfn.XLOOKUP(83498,Trip[shape_id],Trip[shape_id],"Não encontrado")</f>
        <v/>
      </c>
      <c r="B19554" s="40" t="n">
        <v>-23.532401</v>
      </c>
      <c r="C19554" s="40" t="n">
        <v>-46.63285</v>
      </c>
      <c r="D19554" s="40" t="n">
        <v>539</v>
      </c>
      <c r="E19554" s="41" t="n">
        <v>15165.245</v>
      </c>
    </row>
    <row r="19555">
      <c r="A19555" s="42">
        <f>_xlfn.XLOOKUP(83498,Trip[shape_id],Trip[shape_id],"Não encontrado")</f>
        <v/>
      </c>
      <c r="B19555" s="43" t="n">
        <v>-23.532189</v>
      </c>
      <c r="C19555" s="43" t="n">
        <v>-46.633697</v>
      </c>
      <c r="D19555" s="43" t="n">
        <v>540</v>
      </c>
      <c r="E19555" s="44" t="n">
        <v>15265.788</v>
      </c>
    </row>
    <row r="19556">
      <c r="A19556" s="39">
        <f>_xlfn.XLOOKUP(83498,Trip[shape_id],Trip[shape_id],"Não encontrado")</f>
        <v/>
      </c>
      <c r="B19556" s="40" t="n">
        <v>-23.532176</v>
      </c>
      <c r="C19556" s="40" t="n">
        <v>-46.633803</v>
      </c>
      <c r="D19556" s="40" t="n">
        <v>541</v>
      </c>
      <c r="E19556" s="41" t="n">
        <v>15304.487</v>
      </c>
    </row>
    <row r="19557">
      <c r="A19557" s="42">
        <f>_xlfn.XLOOKUP(83498,Trip[shape_id],Trip[shape_id],"Não encontrado")</f>
        <v/>
      </c>
      <c r="B19557" s="43" t="n">
        <v>-23.532151</v>
      </c>
      <c r="C19557" s="43" t="n">
        <v>-46.634181</v>
      </c>
      <c r="D19557" s="43" t="n">
        <v>542</v>
      </c>
      <c r="E19557" s="44" t="n">
        <v>15317.411</v>
      </c>
    </row>
    <row r="19558">
      <c r="A19558" s="39">
        <f>_xlfn.XLOOKUP(83498,Trip[shape_id],Trip[shape_id],"Não encontrado")</f>
        <v/>
      </c>
      <c r="B19558" s="40" t="n">
        <v>-23.53214</v>
      </c>
      <c r="C19558" s="40" t="n">
        <v>-46.634307</v>
      </c>
      <c r="D19558" s="40" t="n">
        <v>543</v>
      </c>
      <c r="E19558" s="41" t="n">
        <v>15329.16</v>
      </c>
    </row>
    <row r="19559">
      <c r="A19559" s="42">
        <f>_xlfn.XLOOKUP(83498,Trip[shape_id],Trip[shape_id],"Não encontrado")</f>
        <v/>
      </c>
      <c r="B19559" s="43" t="n">
        <v>-23.53212</v>
      </c>
      <c r="C19559" s="43" t="n">
        <v>-46.63442</v>
      </c>
      <c r="D19559" s="43" t="n">
        <v>544</v>
      </c>
      <c r="E19559" s="44" t="n">
        <v>15356.589</v>
      </c>
    </row>
    <row r="19560">
      <c r="A19560" s="39">
        <f>_xlfn.XLOOKUP(83498,Trip[shape_id],Trip[shape_id],"Não encontrado")</f>
        <v/>
      </c>
      <c r="B19560" s="40" t="n">
        <v>-23.532048</v>
      </c>
      <c r="C19560" s="40" t="n">
        <v>-46.634677</v>
      </c>
      <c r="D19560" s="40" t="n">
        <v>545</v>
      </c>
      <c r="E19560" s="41" t="n">
        <v>15356.589</v>
      </c>
    </row>
    <row r="19561">
      <c r="A19561" s="42">
        <f>_xlfn.XLOOKUP(83498,Trip[shape_id],Trip[shape_id],"Não encontrado")</f>
        <v/>
      </c>
      <c r="B19561" s="43" t="n">
        <v>-23.531998</v>
      </c>
      <c r="C19561" s="43" t="n">
        <v>-46.634783</v>
      </c>
      <c r="D19561" s="43" t="n">
        <v>546</v>
      </c>
      <c r="E19561" s="44" t="n">
        <v>15374.801</v>
      </c>
    </row>
    <row r="19562">
      <c r="A19562" s="39">
        <f>_xlfn.XLOOKUP(83498,Trip[shape_id],Trip[shape_id],"Não encontrado")</f>
        <v/>
      </c>
      <c r="B19562" s="40" t="n">
        <v>-23.531952</v>
      </c>
      <c r="C19562" s="40" t="n">
        <v>-46.634815</v>
      </c>
      <c r="D19562" s="40" t="n">
        <v>547</v>
      </c>
      <c r="E19562" s="41" t="n">
        <v>15374.801</v>
      </c>
    </row>
    <row r="19563">
      <c r="A19563" s="42">
        <f>_xlfn.XLOOKUP(83498,Trip[shape_id],Trip[shape_id],"Não encontrado")</f>
        <v/>
      </c>
      <c r="B19563" s="43" t="n">
        <v>-23.531893</v>
      </c>
      <c r="C19563" s="43" t="n">
        <v>-46.634907</v>
      </c>
      <c r="D19563" s="43" t="n">
        <v>548</v>
      </c>
      <c r="E19563" s="44" t="n">
        <v>15405.049</v>
      </c>
    </row>
    <row r="19564">
      <c r="A19564" s="39">
        <f>_xlfn.XLOOKUP(83498,Trip[shape_id],Trip[shape_id],"Não encontrado")</f>
        <v/>
      </c>
      <c r="B19564" s="40" t="n">
        <v>-23.531814</v>
      </c>
      <c r="C19564" s="40" t="n">
        <v>-46.63507</v>
      </c>
      <c r="D19564" s="40" t="n">
        <v>549</v>
      </c>
      <c r="E19564" s="41" t="n">
        <v>15405.049</v>
      </c>
    </row>
    <row r="19565">
      <c r="A19565" s="42">
        <f>_xlfn.XLOOKUP(83498,Trip[shape_id],Trip[shape_id],"Não encontrado")</f>
        <v/>
      </c>
      <c r="B19565" s="43" t="n">
        <v>-23.531777</v>
      </c>
      <c r="C19565" s="43" t="n">
        <v>-46.635248</v>
      </c>
      <c r="D19565" s="43" t="n">
        <v>550</v>
      </c>
      <c r="E19565" s="44" t="n">
        <v>15423.682</v>
      </c>
    </row>
    <row r="19566">
      <c r="A19566" s="39">
        <f>_xlfn.XLOOKUP(83498,Trip[shape_id],Trip[shape_id],"Não encontrado")</f>
        <v/>
      </c>
      <c r="B19566" s="40" t="n">
        <v>-23.531473</v>
      </c>
      <c r="C19566" s="40" t="n">
        <v>-46.636448</v>
      </c>
      <c r="D19566" s="40" t="n">
        <v>551</v>
      </c>
      <c r="E19566" s="41" t="n">
        <v>15560.691</v>
      </c>
    </row>
    <row r="19567">
      <c r="A19567" s="42">
        <f>_xlfn.XLOOKUP(83498,Trip[shape_id],Trip[shape_id],"Não encontrado")</f>
        <v/>
      </c>
      <c r="B19567" s="43" t="n">
        <v>-23.531444</v>
      </c>
      <c r="C19567" s="43" t="n">
        <v>-46.63654</v>
      </c>
      <c r="D19567" s="43" t="n">
        <v>552</v>
      </c>
      <c r="E19567" s="44" t="n">
        <v>15560.691</v>
      </c>
    </row>
    <row r="19568">
      <c r="A19568" s="39">
        <f>_xlfn.XLOOKUP(83498,Trip[shape_id],Trip[shape_id],"Não encontrado")</f>
        <v/>
      </c>
      <c r="B19568" s="40" t="n">
        <v>-23.531277</v>
      </c>
      <c r="C19568" s="40" t="n">
        <v>-46.637173</v>
      </c>
      <c r="D19568" s="40" t="n">
        <v>553</v>
      </c>
      <c r="E19568" s="41" t="n">
        <v>15627.926</v>
      </c>
    </row>
    <row r="19569">
      <c r="A19569" s="42">
        <f>_xlfn.XLOOKUP(83498,Trip[shape_id],Trip[shape_id],"Não encontrado")</f>
        <v/>
      </c>
      <c r="B19569" s="43" t="n">
        <v>-23.531032</v>
      </c>
      <c r="C19569" s="43" t="n">
        <v>-46.638113</v>
      </c>
      <c r="D19569" s="43" t="n">
        <v>554</v>
      </c>
      <c r="E19569" s="44" t="n">
        <v>15727.677</v>
      </c>
    </row>
    <row r="19570">
      <c r="A19570" s="39">
        <f>_xlfn.XLOOKUP(83498,Trip[shape_id],Trip[shape_id],"Não encontrado")</f>
        <v/>
      </c>
      <c r="B19570" s="40" t="n">
        <v>-23.531024</v>
      </c>
      <c r="C19570" s="40" t="n">
        <v>-46.638175</v>
      </c>
      <c r="D19570" s="40" t="n">
        <v>555</v>
      </c>
      <c r="E19570" s="41" t="n">
        <v>15738.921</v>
      </c>
    </row>
    <row r="19571">
      <c r="A19571" s="42">
        <f>_xlfn.XLOOKUP(83498,Trip[shape_id],Trip[shape_id],"Não encontrado")</f>
        <v/>
      </c>
      <c r="B19571" s="43" t="n">
        <v>-23.530999</v>
      </c>
      <c r="C19571" s="43" t="n">
        <v>-46.638214</v>
      </c>
      <c r="D19571" s="43" t="n">
        <v>556</v>
      </c>
      <c r="E19571" s="44" t="n">
        <v>15835.277</v>
      </c>
    </row>
    <row r="19572">
      <c r="A19572" s="39">
        <f>_xlfn.XLOOKUP(83498,Trip[shape_id],Trip[shape_id],"Não encontrado")</f>
        <v/>
      </c>
      <c r="B19572" s="40" t="n">
        <v>-23.530176</v>
      </c>
      <c r="C19572" s="40" t="n">
        <v>-46.63852</v>
      </c>
      <c r="D19572" s="40" t="n">
        <v>557</v>
      </c>
      <c r="E19572" s="41" t="n">
        <v>15835.277</v>
      </c>
    </row>
    <row r="19573">
      <c r="A19573" s="42">
        <f>_xlfn.XLOOKUP(83498,Trip[shape_id],Trip[shape_id],"Não encontrado")</f>
        <v/>
      </c>
      <c r="B19573" s="43" t="n">
        <v>-23.529069</v>
      </c>
      <c r="C19573" s="43" t="n">
        <v>-46.638917</v>
      </c>
      <c r="D19573" s="43" t="n">
        <v>558</v>
      </c>
      <c r="E19573" s="44" t="n">
        <v>15994.938</v>
      </c>
    </row>
    <row r="19574">
      <c r="A19574" s="39">
        <f>_xlfn.XLOOKUP(83498,Trip[shape_id],Trip[shape_id],"Não encontrado")</f>
        <v/>
      </c>
      <c r="B19574" s="40" t="n">
        <v>-23.528805</v>
      </c>
      <c r="C19574" s="40" t="n">
        <v>-46.639003</v>
      </c>
      <c r="D19574" s="40" t="n">
        <v>559</v>
      </c>
      <c r="E19574" s="41" t="n">
        <v>15994.938</v>
      </c>
    </row>
    <row r="19575">
      <c r="A19575" s="42">
        <f>_xlfn.XLOOKUP(83498,Trip[shape_id],Trip[shape_id],"Não encontrado")</f>
        <v/>
      </c>
      <c r="B19575" s="43" t="n">
        <v>-23.528744</v>
      </c>
      <c r="C19575" s="43" t="n">
        <v>-46.638919</v>
      </c>
      <c r="D19575" s="43" t="n">
        <v>560</v>
      </c>
      <c r="E19575" s="44" t="n">
        <v>16005.856</v>
      </c>
    </row>
    <row r="19576">
      <c r="A19576" s="39">
        <f>_xlfn.XLOOKUP(83498,Trip[shape_id],Trip[shape_id],"Não encontrado")</f>
        <v/>
      </c>
      <c r="B19576" s="40" t="n">
        <v>-23.528668</v>
      </c>
      <c r="C19576" s="40" t="n">
        <v>-46.639046</v>
      </c>
      <c r="D19576" s="40" t="n">
        <v>561</v>
      </c>
      <c r="E19576" s="41" t="n">
        <v>16035.607</v>
      </c>
    </row>
    <row r="19577">
      <c r="A19577" s="42">
        <f>_xlfn.XLOOKUP(83498,Trip[shape_id],Trip[shape_id],"Não encontrado")</f>
        <v/>
      </c>
      <c r="B19577" s="43" t="n">
        <v>-23.528551</v>
      </c>
      <c r="C19577" s="43" t="n">
        <v>-46.639105</v>
      </c>
      <c r="D19577" s="43" t="n">
        <v>562</v>
      </c>
      <c r="E19577" s="44" t="n">
        <v>16035.607</v>
      </c>
    </row>
    <row r="19578">
      <c r="A19578" s="39">
        <f>_xlfn.XLOOKUP(83498,Trip[shape_id],Trip[shape_id],"Não encontrado")</f>
        <v/>
      </c>
      <c r="B19578" s="40" t="n">
        <v>-23.528648</v>
      </c>
      <c r="C19578" s="40" t="n">
        <v>-46.639273</v>
      </c>
      <c r="D19578" s="40" t="n">
        <v>563</v>
      </c>
      <c r="E19578" s="41" t="n">
        <v>16055.85</v>
      </c>
    </row>
    <row r="19579">
      <c r="A19579" s="42">
        <f>_xlfn.XLOOKUP(83498,Trip[shape_id],Trip[shape_id],"Não encontrado")</f>
        <v/>
      </c>
      <c r="B19579" s="43" t="n">
        <v>-23.529042</v>
      </c>
      <c r="C19579" s="43" t="n">
        <v>-46.640112</v>
      </c>
      <c r="D19579" s="43" t="n">
        <v>564</v>
      </c>
      <c r="E19579" s="44" t="n">
        <v>16151.999</v>
      </c>
    </row>
    <row r="19580">
      <c r="A19580" s="39">
        <f>_xlfn.XLOOKUP(83498,Trip[shape_id],Trip[shape_id],"Não encontrado")</f>
        <v/>
      </c>
      <c r="B19580" s="40" t="n">
        <v>-23.529353</v>
      </c>
      <c r="C19580" s="40" t="n">
        <v>-46.64078</v>
      </c>
      <c r="D19580" s="40" t="n">
        <v>565</v>
      </c>
      <c r="E19580" s="41" t="n">
        <v>16228.417</v>
      </c>
    </row>
    <row r="19581">
      <c r="A19581" s="42">
        <f>_xlfn.XLOOKUP(83498,Trip[shape_id],Trip[shape_id],"Não encontrado")</f>
        <v/>
      </c>
      <c r="B19581" s="43" t="n">
        <v>-23.529515</v>
      </c>
      <c r="C19581" s="43" t="n">
        <v>-46.64113</v>
      </c>
      <c r="D19581" s="43" t="n">
        <v>566</v>
      </c>
      <c r="E19581" s="44" t="n">
        <v>16268.409</v>
      </c>
    </row>
    <row r="19582">
      <c r="A19582" s="39">
        <f>_xlfn.XLOOKUP(83498,Trip[shape_id],Trip[shape_id],"Não encontrado")</f>
        <v/>
      </c>
      <c r="B19582" s="40" t="n">
        <v>-23.529652</v>
      </c>
      <c r="C19582" s="40" t="n">
        <v>-46.641419</v>
      </c>
      <c r="D19582" s="40" t="n">
        <v>567</v>
      </c>
      <c r="E19582" s="41" t="n">
        <v>16301.593</v>
      </c>
    </row>
    <row r="19583">
      <c r="A19583" s="42">
        <f>_xlfn.XLOOKUP(83498,Trip[shape_id],Trip[shape_id],"Não encontrado")</f>
        <v/>
      </c>
      <c r="B19583" s="43" t="n">
        <v>-23.529927</v>
      </c>
      <c r="C19583" s="43" t="n">
        <v>-46.641997</v>
      </c>
      <c r="D19583" s="43" t="n">
        <v>568</v>
      </c>
      <c r="E19583" s="44" t="n">
        <v>16368.012</v>
      </c>
    </row>
    <row r="19584">
      <c r="A19584" s="39">
        <f>_xlfn.XLOOKUP(83498,Trip[shape_id],Trip[shape_id],"Não encontrado")</f>
        <v/>
      </c>
      <c r="B19584" s="40" t="n">
        <v>-23.529961</v>
      </c>
      <c r="C19584" s="40" t="n">
        <v>-46.642066</v>
      </c>
      <c r="D19584" s="40" t="n">
        <v>569</v>
      </c>
      <c r="E19584" s="41" t="n">
        <v>16376</v>
      </c>
    </row>
    <row r="19585">
      <c r="A19585" s="42">
        <f>_xlfn.XLOOKUP(83498,Trip[shape_id],Trip[shape_id],"Não encontrado")</f>
        <v/>
      </c>
      <c r="B19585" s="43" t="n">
        <v>-23.530224</v>
      </c>
      <c r="C19585" s="43" t="n">
        <v>-46.642449</v>
      </c>
      <c r="D19585" s="43" t="n">
        <v>570</v>
      </c>
      <c r="E19585" s="44" t="n">
        <v>16424.766</v>
      </c>
    </row>
    <row r="19586">
      <c r="A19586" s="39">
        <f>_xlfn.XLOOKUP(83498,Trip[shape_id],Trip[shape_id],"Não encontrado")</f>
        <v/>
      </c>
      <c r="B19586" s="40" t="n">
        <v>-23.530335</v>
      </c>
      <c r="C19586" s="40" t="n">
        <v>-46.642625</v>
      </c>
      <c r="D19586" s="40" t="n">
        <v>571</v>
      </c>
      <c r="E19586" s="41" t="n">
        <v>16446.541</v>
      </c>
    </row>
    <row r="19587">
      <c r="A19587" s="42">
        <f>_xlfn.XLOOKUP(83498,Trip[shape_id],Trip[shape_id],"Não encontrado")</f>
        <v/>
      </c>
      <c r="B19587" s="43" t="n">
        <v>-23.530574</v>
      </c>
      <c r="C19587" s="43" t="n">
        <v>-46.643001</v>
      </c>
      <c r="D19587" s="43" t="n">
        <v>572</v>
      </c>
      <c r="E19587" s="44" t="n">
        <v>16493.178</v>
      </c>
    </row>
    <row r="19588">
      <c r="A19588" s="39">
        <f>_xlfn.XLOOKUP(83498,Trip[shape_id],Trip[shape_id],"Não encontrado")</f>
        <v/>
      </c>
      <c r="B19588" s="40" t="n">
        <v>-23.531116</v>
      </c>
      <c r="C19588" s="40" t="n">
        <v>-46.643854</v>
      </c>
      <c r="D19588" s="40" t="n">
        <v>573</v>
      </c>
      <c r="E19588" s="41" t="n">
        <v>16598.965</v>
      </c>
    </row>
    <row r="19589">
      <c r="A19589" s="42">
        <f>_xlfn.XLOOKUP(83498,Trip[shape_id],Trip[shape_id],"Não encontrado")</f>
        <v/>
      </c>
      <c r="B19589" s="43" t="n">
        <v>-23.53164</v>
      </c>
      <c r="C19589" s="43" t="n">
        <v>-46.644694</v>
      </c>
      <c r="D19589" s="43" t="n">
        <v>574</v>
      </c>
      <c r="E19589" s="44" t="n">
        <v>16702.531</v>
      </c>
    </row>
    <row r="19590">
      <c r="A19590" s="39">
        <f>_xlfn.XLOOKUP(83498,Trip[shape_id],Trip[shape_id],"Não encontrado")</f>
        <v/>
      </c>
      <c r="B19590" s="40" t="n">
        <v>-23.532151</v>
      </c>
      <c r="C19590" s="40" t="n">
        <v>-46.645512</v>
      </c>
      <c r="D19590" s="40" t="n">
        <v>575</v>
      </c>
      <c r="E19590" s="41" t="n">
        <v>16803.43</v>
      </c>
    </row>
    <row r="19591">
      <c r="A19591" s="42">
        <f>_xlfn.XLOOKUP(83498,Trip[shape_id],Trip[shape_id],"Não encontrado")</f>
        <v/>
      </c>
      <c r="B19591" s="43" t="n">
        <v>-23.532225</v>
      </c>
      <c r="C19591" s="43" t="n">
        <v>-46.645618</v>
      </c>
      <c r="D19591" s="43" t="n">
        <v>576</v>
      </c>
      <c r="E19591" s="44" t="n">
        <v>16817.008</v>
      </c>
    </row>
    <row r="19592">
      <c r="A19592" s="39">
        <f>_xlfn.XLOOKUP(83498,Trip[shape_id],Trip[shape_id],"Não encontrado")</f>
        <v/>
      </c>
      <c r="B19592" s="40" t="n">
        <v>-23.532451</v>
      </c>
      <c r="C19592" s="40" t="n">
        <v>-46.645973</v>
      </c>
      <c r="D19592" s="40" t="n">
        <v>577</v>
      </c>
      <c r="E19592" s="41" t="n">
        <v>16920.535</v>
      </c>
    </row>
    <row r="19593">
      <c r="A19593" s="42">
        <f>_xlfn.XLOOKUP(83498,Trip[shape_id],Trip[shape_id],"Não encontrado")</f>
        <v/>
      </c>
      <c r="B19593" s="43" t="n">
        <v>-23.532778</v>
      </c>
      <c r="C19593" s="43" t="n">
        <v>-46.646435</v>
      </c>
      <c r="D19593" s="43" t="n">
        <v>578</v>
      </c>
      <c r="E19593" s="44" t="n">
        <v>16920.535</v>
      </c>
    </row>
    <row r="19594">
      <c r="A19594" s="39">
        <f>_xlfn.XLOOKUP(83498,Trip[shape_id],Trip[shape_id],"Não encontrado")</f>
        <v/>
      </c>
      <c r="B19594" s="40" t="n">
        <v>-23.532951</v>
      </c>
      <c r="C19594" s="40" t="n">
        <v>-46.646752</v>
      </c>
      <c r="D19594" s="40" t="n">
        <v>579</v>
      </c>
      <c r="E19594" s="41" t="n">
        <v>17028.785</v>
      </c>
    </row>
    <row r="19595">
      <c r="A19595" s="42">
        <f>_xlfn.XLOOKUP(83498,Trip[shape_id],Trip[shape_id],"Não encontrado")</f>
        <v/>
      </c>
      <c r="B19595" s="43" t="n">
        <v>-23.533315</v>
      </c>
      <c r="C19595" s="43" t="n">
        <v>-46.64732</v>
      </c>
      <c r="D19595" s="43" t="n">
        <v>580</v>
      </c>
      <c r="E19595" s="44" t="n">
        <v>17028.785</v>
      </c>
    </row>
    <row r="19596">
      <c r="A19596" s="39">
        <f>_xlfn.XLOOKUP(83498,Trip[shape_id],Trip[shape_id],"Não encontrado")</f>
        <v/>
      </c>
      <c r="B19596" s="40" t="n">
        <v>-23.533868</v>
      </c>
      <c r="C19596" s="40" t="n">
        <v>-46.648165</v>
      </c>
      <c r="D19596" s="40" t="n">
        <v>581</v>
      </c>
      <c r="E19596" s="41" t="n">
        <v>17134.6</v>
      </c>
    </row>
    <row r="19597">
      <c r="A19597" s="42">
        <f>_xlfn.XLOOKUP(83498,Trip[shape_id],Trip[shape_id],"Não encontrado")</f>
        <v/>
      </c>
      <c r="B19597" s="43" t="n">
        <v>-23.534407</v>
      </c>
      <c r="C19597" s="43" t="n">
        <v>-46.649023</v>
      </c>
      <c r="D19597" s="43" t="n">
        <v>582</v>
      </c>
      <c r="E19597" s="44" t="n">
        <v>17240.617</v>
      </c>
    </row>
    <row r="19598">
      <c r="A19598" s="39">
        <f>_xlfn.XLOOKUP(83498,Trip[shape_id],Trip[shape_id],"Não encontrado")</f>
        <v/>
      </c>
      <c r="B19598" s="40" t="n">
        <v>-23.534939</v>
      </c>
      <c r="C19598" s="40" t="n">
        <v>-46.649851</v>
      </c>
      <c r="D19598" s="40" t="n">
        <v>583</v>
      </c>
      <c r="E19598" s="41" t="n">
        <v>17343.672</v>
      </c>
    </row>
    <row r="19599">
      <c r="A19599" s="42">
        <f>_xlfn.XLOOKUP(83498,Trip[shape_id],Trip[shape_id],"Não encontrado")</f>
        <v/>
      </c>
      <c r="B19599" s="43" t="n">
        <v>-23.535604</v>
      </c>
      <c r="C19599" s="43" t="n">
        <v>-46.650921</v>
      </c>
      <c r="D19599" s="43" t="n">
        <v>584</v>
      </c>
      <c r="E19599" s="44" t="n">
        <v>17475.438</v>
      </c>
    </row>
    <row r="19600">
      <c r="A19600" s="39">
        <f>_xlfn.XLOOKUP(83498,Trip[shape_id],Trip[shape_id],"Não encontrado")</f>
        <v/>
      </c>
      <c r="B19600" s="40" t="n">
        <v>-23.535967</v>
      </c>
      <c r="C19600" s="40" t="n">
        <v>-46.651485</v>
      </c>
      <c r="D19600" s="40" t="n">
        <v>585</v>
      </c>
      <c r="E19600" s="41" t="n">
        <v>17545.674</v>
      </c>
    </row>
    <row r="19601">
      <c r="A19601" s="42">
        <f>_xlfn.XLOOKUP(83498,Trip[shape_id],Trip[shape_id],"Não encontrado")</f>
        <v/>
      </c>
      <c r="B19601" s="43" t="n">
        <v>-23.536072</v>
      </c>
      <c r="C19601" s="43" t="n">
        <v>-46.651652</v>
      </c>
      <c r="D19601" s="43" t="n">
        <v>586</v>
      </c>
      <c r="E19601" s="44" t="n">
        <v>17566.314</v>
      </c>
    </row>
    <row r="19602">
      <c r="A19602" s="39">
        <f>_xlfn.XLOOKUP(83498,Trip[shape_id],Trip[shape_id],"Não encontrado")</f>
        <v/>
      </c>
      <c r="B19602" s="40" t="n">
        <v>-23.536501</v>
      </c>
      <c r="C19602" s="40" t="n">
        <v>-46.652316</v>
      </c>
      <c r="D19602" s="40" t="n">
        <v>587</v>
      </c>
      <c r="E19602" s="41" t="n">
        <v>17649.107</v>
      </c>
    </row>
    <row r="19603">
      <c r="A19603" s="42">
        <f>_xlfn.XLOOKUP(83498,Trip[shape_id],Trip[shape_id],"Não encontrado")</f>
        <v/>
      </c>
      <c r="B19603" s="43" t="n">
        <v>-23.537655</v>
      </c>
      <c r="C19603" s="43" t="n">
        <v>-46.65081</v>
      </c>
      <c r="D19603" s="43" t="n">
        <v>588</v>
      </c>
      <c r="E19603" s="44" t="n">
        <v>17849.066</v>
      </c>
    </row>
    <row r="19604">
      <c r="A19604" s="39">
        <f>_xlfn.XLOOKUP(83498,Trip[shape_id],Trip[shape_id],"Não encontrado")</f>
        <v/>
      </c>
      <c r="B19604" s="40" t="n">
        <v>-23.537597</v>
      </c>
      <c r="C19604" s="40" t="n">
        <v>-46.65074</v>
      </c>
      <c r="D19604" s="40" t="n">
        <v>589</v>
      </c>
      <c r="E19604" s="41" t="n">
        <v>17858.676</v>
      </c>
    </row>
    <row r="19605">
      <c r="A19605" s="42">
        <f>_xlfn.XLOOKUP(83498,Trip[shape_id],Trip[shape_id],"Não encontrado")</f>
        <v/>
      </c>
      <c r="B19605" s="43" t="n">
        <v>-23.537517</v>
      </c>
      <c r="C19605" s="43" t="n">
        <v>-46.650624</v>
      </c>
      <c r="D19605" s="43" t="n">
        <v>590</v>
      </c>
      <c r="E19605" s="44" t="n">
        <v>17873.467</v>
      </c>
    </row>
    <row r="19606">
      <c r="A19606" s="39">
        <f>_xlfn.XLOOKUP(83498,Trip[shape_id],Trip[shape_id],"Não encontrado")</f>
        <v/>
      </c>
      <c r="B19606" s="40" t="n">
        <v>-23.537479</v>
      </c>
      <c r="C19606" s="40" t="n">
        <v>-46.650591</v>
      </c>
      <c r="D19606" s="40" t="n">
        <v>591</v>
      </c>
      <c r="E19606" s="41" t="n">
        <v>17878.857</v>
      </c>
    </row>
    <row r="19607">
      <c r="A19607" s="42">
        <f>_xlfn.XLOOKUP(83498,Trip[shape_id],Trip[shape_id],"Não encontrado")</f>
        <v/>
      </c>
      <c r="B19607" s="43" t="n">
        <v>-23.537451</v>
      </c>
      <c r="C19607" s="43" t="n">
        <v>-46.650513</v>
      </c>
      <c r="D19607" s="43" t="n">
        <v>592</v>
      </c>
      <c r="E19607" s="44" t="n">
        <v>17887.404</v>
      </c>
    </row>
    <row r="19608">
      <c r="A19608" s="39">
        <f>_xlfn.XLOOKUP(83498,Trip[shape_id],Trip[shape_id],"Não encontrado")</f>
        <v/>
      </c>
      <c r="B19608" s="40" t="n">
        <v>-23.537053</v>
      </c>
      <c r="C19608" s="40" t="n">
        <v>-46.649896</v>
      </c>
      <c r="D19608" s="40" t="n">
        <v>593</v>
      </c>
      <c r="E19608" s="41" t="n">
        <v>17964.297</v>
      </c>
    </row>
    <row r="19609">
      <c r="A19609" s="42">
        <f>_xlfn.XLOOKUP(83498,Trip[shape_id],Trip[shape_id],"Não encontrado")</f>
        <v/>
      </c>
      <c r="B19609" s="43" t="n">
        <v>-23.537196</v>
      </c>
      <c r="C19609" s="43" t="n">
        <v>-46.649666</v>
      </c>
      <c r="D19609" s="43" t="n">
        <v>594</v>
      </c>
      <c r="E19609" s="44" t="n">
        <v>17992.623</v>
      </c>
    </row>
    <row r="19610">
      <c r="A19610" s="39">
        <f>_xlfn.XLOOKUP(83498,Trip[shape_id],Trip[shape_id],"Não encontrado")</f>
        <v/>
      </c>
      <c r="B19610" s="40" t="n">
        <v>-23.537275</v>
      </c>
      <c r="C19610" s="40" t="n">
        <v>-46.649545</v>
      </c>
      <c r="D19610" s="40" t="n">
        <v>595</v>
      </c>
      <c r="E19610" s="41" t="n">
        <v>18007.764</v>
      </c>
    </row>
    <row r="19611">
      <c r="A19611" s="42">
        <f>_xlfn.XLOOKUP(83498,Trip[shape_id],Trip[shape_id],"Não encontrado")</f>
        <v/>
      </c>
      <c r="B19611" s="43" t="n">
        <v>-23.537326</v>
      </c>
      <c r="C19611" s="43" t="n">
        <v>-46.649462</v>
      </c>
      <c r="D19611" s="43" t="n">
        <v>596</v>
      </c>
      <c r="E19611" s="44" t="n">
        <v>18017.949</v>
      </c>
    </row>
    <row r="19612">
      <c r="A19612" s="39">
        <f>_xlfn.XLOOKUP(83498,Trip[shape_id],Trip[shape_id],"Não encontrado")</f>
        <v/>
      </c>
      <c r="B19612" s="40" t="n">
        <v>-23.537409</v>
      </c>
      <c r="C19612" s="40" t="n">
        <v>-46.649338</v>
      </c>
      <c r="D19612" s="40" t="n">
        <v>597</v>
      </c>
      <c r="E19612" s="41" t="n">
        <v>18033.596</v>
      </c>
    </row>
    <row r="19613">
      <c r="A19613" s="42">
        <f>_xlfn.XLOOKUP(83498,Trip[shape_id],Trip[shape_id],"Não encontrado")</f>
        <v/>
      </c>
      <c r="B19613" s="43" t="n">
        <v>-23.537498</v>
      </c>
      <c r="C19613" s="43" t="n">
        <v>-46.64925</v>
      </c>
      <c r="D19613" s="43" t="n">
        <v>598</v>
      </c>
      <c r="E19613" s="44" t="n">
        <v>18046.934</v>
      </c>
    </row>
    <row r="19614">
      <c r="A19614" s="39">
        <f>_xlfn.XLOOKUP(83498,Trip[shape_id],Trip[shape_id],"Não encontrado")</f>
        <v/>
      </c>
      <c r="B19614" s="40" t="n">
        <v>-23.537613</v>
      </c>
      <c r="C19614" s="40" t="n">
        <v>-46.649172</v>
      </c>
      <c r="D19614" s="40" t="n">
        <v>599</v>
      </c>
      <c r="E19614" s="41" t="n">
        <v>18061.955</v>
      </c>
    </row>
    <row r="19615">
      <c r="A19615" s="42">
        <f>_xlfn.XLOOKUP(83498,Trip[shape_id],Trip[shape_id],"Não encontrado")</f>
        <v/>
      </c>
      <c r="B19615" s="43" t="n">
        <v>-23.537872</v>
      </c>
      <c r="C19615" s="43" t="n">
        <v>-46.649037</v>
      </c>
      <c r="D19615" s="43" t="n">
        <v>600</v>
      </c>
      <c r="E19615" s="44" t="n">
        <v>18093.779</v>
      </c>
    </row>
    <row r="19616">
      <c r="A19616" s="39">
        <f>_xlfn.XLOOKUP(83498,Trip[shape_id],Trip[shape_id],"Não encontrado")</f>
        <v/>
      </c>
      <c r="B19616" s="40" t="n">
        <v>-23.538591</v>
      </c>
      <c r="C19616" s="40" t="n">
        <v>-46.648721</v>
      </c>
      <c r="D19616" s="40" t="n">
        <v>601</v>
      </c>
      <c r="E19616" s="41" t="n">
        <v>18179.699</v>
      </c>
    </row>
    <row r="19617">
      <c r="A19617" s="42">
        <f>_xlfn.XLOOKUP(83498,Trip[shape_id],Trip[shape_id],"Não encontrado")</f>
        <v/>
      </c>
      <c r="B19617" s="43" t="n">
        <v>-23.538687</v>
      </c>
      <c r="C19617" s="43" t="n">
        <v>-46.648665</v>
      </c>
      <c r="D19617" s="43" t="n">
        <v>602</v>
      </c>
      <c r="E19617" s="44" t="n">
        <v>18197.453</v>
      </c>
    </row>
    <row r="19618">
      <c r="A19618" s="39">
        <f>_xlfn.XLOOKUP(83498,Trip[shape_id],Trip[shape_id],"Não encontrado")</f>
        <v/>
      </c>
      <c r="B19618" s="40" t="n">
        <v>-23.538738</v>
      </c>
      <c r="C19618" s="40" t="n">
        <v>-46.648659</v>
      </c>
      <c r="D19618" s="40" t="n">
        <v>603</v>
      </c>
      <c r="E19618" s="41" t="n">
        <v>18201.703</v>
      </c>
    </row>
    <row r="19619">
      <c r="A19619" s="42">
        <f>_xlfn.XLOOKUP(83498,Trip[shape_id],Trip[shape_id],"Não encontrado")</f>
        <v/>
      </c>
      <c r="B19619" s="43" t="n">
        <v>-23.538775</v>
      </c>
      <c r="C19619" s="43" t="n">
        <v>-46.64867</v>
      </c>
      <c r="D19619" s="43" t="n">
        <v>604</v>
      </c>
      <c r="E19619" s="44" t="n">
        <v>18205.471</v>
      </c>
    </row>
    <row r="19620">
      <c r="A19620" s="39">
        <f>_xlfn.XLOOKUP(83498,Trip[shape_id],Trip[shape_id],"Não encontrado")</f>
        <v/>
      </c>
      <c r="B19620" s="40" t="n">
        <v>-23.538808</v>
      </c>
      <c r="C19620" s="40" t="n">
        <v>-46.648661</v>
      </c>
      <c r="D19620" s="40" t="n">
        <v>605</v>
      </c>
      <c r="E19620" s="41" t="n">
        <v>18210.111</v>
      </c>
    </row>
    <row r="19621">
      <c r="A19621" s="42">
        <f>_xlfn.XLOOKUP(83498,Trip[shape_id],Trip[shape_id],"Não encontrado")</f>
        <v/>
      </c>
      <c r="B19621" s="43" t="n">
        <v>-23.538843</v>
      </c>
      <c r="C19621" s="43" t="n">
        <v>-46.648636</v>
      </c>
      <c r="D19621" s="43" t="n">
        <v>606</v>
      </c>
      <c r="E19621" s="44" t="n">
        <v>18216.123</v>
      </c>
    </row>
    <row r="19622">
      <c r="A19622" s="39">
        <f>_xlfn.XLOOKUP(83498,Trip[shape_id],Trip[shape_id],"Não encontrado")</f>
        <v/>
      </c>
      <c r="B19622" s="40" t="n">
        <v>-23.538878</v>
      </c>
      <c r="C19622" s="40" t="n">
        <v>-46.648591</v>
      </c>
      <c r="D19622" s="40" t="n">
        <v>607</v>
      </c>
      <c r="E19622" s="41" t="n">
        <v>18221.869</v>
      </c>
    </row>
    <row r="19623">
      <c r="A19623" s="42">
        <f>_xlfn.XLOOKUP(83498,Trip[shape_id],Trip[shape_id],"Não encontrado")</f>
        <v/>
      </c>
      <c r="B19623" s="43" t="n">
        <v>-23.538889</v>
      </c>
      <c r="C19623" s="43" t="n">
        <v>-46.648536</v>
      </c>
      <c r="D19623" s="43" t="n">
        <v>608</v>
      </c>
      <c r="E19623" s="44" t="n">
        <v>18259.809</v>
      </c>
    </row>
    <row r="19624">
      <c r="A19624" s="39">
        <f>_xlfn.XLOOKUP(83498,Trip[shape_id],Trip[shape_id],"Não encontrado")</f>
        <v/>
      </c>
      <c r="B19624" s="40" t="n">
        <v>-23.539204</v>
      </c>
      <c r="C19624" s="40" t="n">
        <v>-46.64839</v>
      </c>
      <c r="D19624" s="40" t="n">
        <v>609</v>
      </c>
      <c r="E19624" s="41" t="n">
        <v>18259.809</v>
      </c>
    </row>
    <row r="19625">
      <c r="A19625" s="42">
        <f>_xlfn.XLOOKUP(83498,Trip[shape_id],Trip[shape_id],"Não encontrado")</f>
        <v/>
      </c>
      <c r="B19625" s="43" t="n">
        <v>-23.539247</v>
      </c>
      <c r="C19625" s="43" t="n">
        <v>-46.64837</v>
      </c>
      <c r="D19625" s="43" t="n">
        <v>610</v>
      </c>
      <c r="E19625" s="44" t="n">
        <v>18264.99</v>
      </c>
    </row>
    <row r="19626">
      <c r="A19626" s="39">
        <f>_xlfn.XLOOKUP(83498,Trip[shape_id],Trip[shape_id],"Não encontrado")</f>
        <v/>
      </c>
      <c r="B19626" s="40" t="n">
        <v>-23.539383</v>
      </c>
      <c r="C19626" s="40" t="n">
        <v>-46.648307</v>
      </c>
      <c r="D19626" s="40" t="n">
        <v>611</v>
      </c>
      <c r="E19626" s="41" t="n">
        <v>18281.369</v>
      </c>
    </row>
    <row r="19627">
      <c r="A19627" s="42">
        <f>_xlfn.XLOOKUP(83498,Trip[shape_id],Trip[shape_id],"Não encontrado")</f>
        <v/>
      </c>
      <c r="B19627" s="43" t="n">
        <v>-23.53944</v>
      </c>
      <c r="C19627" s="43" t="n">
        <v>-46.648282</v>
      </c>
      <c r="D19627" s="43" t="n">
        <v>612</v>
      </c>
      <c r="E19627" s="44" t="n">
        <v>18288.178</v>
      </c>
    </row>
    <row r="19628">
      <c r="A19628" s="39">
        <f>_xlfn.XLOOKUP(83498,Trip[shape_id],Trip[shape_id],"Não encontrado")</f>
        <v/>
      </c>
      <c r="B19628" s="40" t="n">
        <v>-23.539718</v>
      </c>
      <c r="C19628" s="40" t="n">
        <v>-46.648161</v>
      </c>
      <c r="D19628" s="40" t="n">
        <v>613</v>
      </c>
      <c r="E19628" s="41" t="n">
        <v>18321.354</v>
      </c>
    </row>
    <row r="19629">
      <c r="A19629" s="42">
        <f>_xlfn.XLOOKUP(83498,Trip[shape_id],Trip[shape_id],"Não encontrado")</f>
        <v/>
      </c>
      <c r="B19629" s="43" t="n">
        <v>-23.539967</v>
      </c>
      <c r="C19629" s="43" t="n">
        <v>-46.64805</v>
      </c>
      <c r="D19629" s="43" t="n">
        <v>614</v>
      </c>
      <c r="E19629" s="44" t="n">
        <v>18372.635</v>
      </c>
    </row>
    <row r="19630">
      <c r="A19630" s="39">
        <f>_xlfn.XLOOKUP(83498,Trip[shape_id],Trip[shape_id],"Não encontrado")</f>
        <v/>
      </c>
      <c r="B19630" s="40" t="n">
        <v>-23.540147</v>
      </c>
      <c r="C19630" s="40" t="n">
        <v>-46.647972</v>
      </c>
      <c r="D19630" s="40" t="n">
        <v>615</v>
      </c>
      <c r="E19630" s="41" t="n">
        <v>18408.695</v>
      </c>
    </row>
    <row r="19631">
      <c r="A19631" s="42">
        <f>_xlfn.XLOOKUP(83498,Trip[shape_id],Trip[shape_id],"Não encontrado")</f>
        <v/>
      </c>
      <c r="B19631" s="43" t="n">
        <v>-23.540449</v>
      </c>
      <c r="C19631" s="43" t="n">
        <v>-46.64784</v>
      </c>
      <c r="D19631" s="43" t="n">
        <v>616</v>
      </c>
      <c r="E19631" s="44" t="n">
        <v>18427.982</v>
      </c>
    </row>
    <row r="19632">
      <c r="A19632" s="39">
        <f>_xlfn.XLOOKUP(83498,Trip[shape_id],Trip[shape_id],"Não encontrado")</f>
        <v/>
      </c>
      <c r="B19632" s="40" t="n">
        <v>-23.54061</v>
      </c>
      <c r="C19632" s="40" t="n">
        <v>-46.647768</v>
      </c>
      <c r="D19632" s="40" t="n">
        <v>617</v>
      </c>
      <c r="E19632" s="41" t="n">
        <v>18438.023</v>
      </c>
    </row>
    <row r="19633">
      <c r="A19633" s="42">
        <f>_xlfn.XLOOKUP(83498,Trip[shape_id],Trip[shape_id],"Não encontrado")</f>
        <v/>
      </c>
      <c r="B19633" s="43" t="n">
        <v>-23.540694</v>
      </c>
      <c r="C19633" s="43" t="n">
        <v>-46.647731</v>
      </c>
      <c r="D19633" s="43" t="n">
        <v>618</v>
      </c>
      <c r="E19633" s="44" t="n">
        <v>18445.105</v>
      </c>
    </row>
    <row r="19634">
      <c r="A19634" s="39">
        <f>_xlfn.XLOOKUP(83498,Trip[shape_id],Trip[shape_id],"Não encontrado")</f>
        <v/>
      </c>
      <c r="B19634" s="40" t="n">
        <v>-23.540756</v>
      </c>
      <c r="C19634" s="40" t="n">
        <v>-46.647714</v>
      </c>
      <c r="D19634" s="40" t="n">
        <v>619</v>
      </c>
      <c r="E19634" s="41" t="n">
        <v>18453.111</v>
      </c>
    </row>
    <row r="19635">
      <c r="A19635" s="42">
        <f>_xlfn.XLOOKUP(83498,Trip[shape_id],Trip[shape_id],"Não encontrado")</f>
        <v/>
      </c>
      <c r="B19635" s="43" t="n">
        <v>-23.540828</v>
      </c>
      <c r="C19635" s="43" t="n">
        <v>-46.647707</v>
      </c>
      <c r="D19635" s="43" t="n">
        <v>620</v>
      </c>
      <c r="E19635" s="44" t="n">
        <v>18453.111</v>
      </c>
    </row>
    <row r="19636">
      <c r="A19636" s="39">
        <f>_xlfn.XLOOKUP(83498,Trip[shape_id],Trip[shape_id],"Não encontrado")</f>
        <v/>
      </c>
      <c r="B19636" s="40" t="n">
        <v>-23.540835</v>
      </c>
      <c r="C19636" s="40" t="n">
        <v>-46.647696</v>
      </c>
      <c r="D19636" s="40" t="n">
        <v>621</v>
      </c>
      <c r="E19636" s="41" t="n">
        <v>18457.539</v>
      </c>
    </row>
    <row r="19637">
      <c r="A19637" s="42">
        <f>_xlfn.XLOOKUP(83498,Trip[shape_id],Trip[shape_id],"Não encontrado")</f>
        <v/>
      </c>
      <c r="B19637" s="43" t="n">
        <v>-23.540836</v>
      </c>
      <c r="C19637" s="43" t="n">
        <v>-46.647666</v>
      </c>
      <c r="D19637" s="43" t="n">
        <v>622</v>
      </c>
      <c r="E19637" s="44" t="n">
        <v>18460.854</v>
      </c>
    </row>
    <row r="19638">
      <c r="A19638" s="39">
        <f>_xlfn.XLOOKUP(83498,Trip[shape_id],Trip[shape_id],"Não encontrado")</f>
        <v/>
      </c>
      <c r="B19638" s="40" t="n">
        <v>-23.540831</v>
      </c>
      <c r="C19638" s="40" t="n">
        <v>-46.647634</v>
      </c>
      <c r="D19638" s="40" t="n">
        <v>623</v>
      </c>
      <c r="E19638" s="41" t="n">
        <v>18463.59</v>
      </c>
    </row>
    <row r="19639">
      <c r="A19639" s="42">
        <f>_xlfn.XLOOKUP(83498,Trip[shape_id],Trip[shape_id],"Não encontrado")</f>
        <v/>
      </c>
      <c r="B19639" s="43" t="n">
        <v>-23.54082</v>
      </c>
      <c r="C19639" s="43" t="n">
        <v>-46.64761</v>
      </c>
      <c r="D19639" s="43" t="n">
        <v>624</v>
      </c>
      <c r="E19639" s="44" t="n">
        <v>18466.488</v>
      </c>
    </row>
    <row r="19640">
      <c r="A19640" s="39">
        <f>_xlfn.XLOOKUP(83498,Trip[shape_id],Trip[shape_id],"Não encontrado")</f>
        <v/>
      </c>
      <c r="B19640" s="40" t="n">
        <v>-23.540806</v>
      </c>
      <c r="C19640" s="40" t="n">
        <v>-46.647586</v>
      </c>
      <c r="D19640" s="40" t="n">
        <v>625</v>
      </c>
      <c r="E19640" s="41" t="n">
        <v>18469.516</v>
      </c>
    </row>
    <row r="19641">
      <c r="A19641" s="42">
        <f>_xlfn.XLOOKUP(83498,Trip[shape_id],Trip[shape_id],"Não encontrado")</f>
        <v/>
      </c>
      <c r="B19641" s="43" t="n">
        <v>-23.540785</v>
      </c>
      <c r="C19641" s="43" t="n">
        <v>-46.647567</v>
      </c>
      <c r="D19641" s="43" t="n">
        <v>626</v>
      </c>
      <c r="E19641" s="44" t="n">
        <v>18469.516</v>
      </c>
    </row>
    <row r="19642">
      <c r="A19642" s="39">
        <f>_xlfn.XLOOKUP(83498,Trip[shape_id],Trip[shape_id],"Não encontrado")</f>
        <v/>
      </c>
      <c r="B19642" s="40" t="n">
        <v>-23.540743</v>
      </c>
      <c r="C19642" s="40" t="n">
        <v>-46.647552</v>
      </c>
      <c r="D19642" s="40" t="n">
        <v>627</v>
      </c>
      <c r="E19642" s="41" t="n">
        <v>18477.789</v>
      </c>
    </row>
    <row r="19643">
      <c r="A19643" s="42">
        <f>_xlfn.XLOOKUP(83498,Trip[shape_id],Trip[shape_id],"Não encontrado")</f>
        <v/>
      </c>
      <c r="B19643" s="43" t="n">
        <v>-23.540713</v>
      </c>
      <c r="C19643" s="43" t="n">
        <v>-46.647546</v>
      </c>
      <c r="D19643" s="43" t="n">
        <v>628</v>
      </c>
      <c r="E19643" s="44" t="n">
        <v>18481.014</v>
      </c>
    </row>
    <row r="19644">
      <c r="A19644" s="39">
        <f>_xlfn.XLOOKUP(83498,Trip[shape_id],Trip[shape_id],"Não encontrado")</f>
        <v/>
      </c>
      <c r="B19644" s="40" t="n">
        <v>-23.540684</v>
      </c>
      <c r="C19644" s="40" t="n">
        <v>-46.647543</v>
      </c>
      <c r="D19644" s="40" t="n">
        <v>629</v>
      </c>
      <c r="E19644" s="41" t="n">
        <v>18483.449</v>
      </c>
    </row>
    <row r="19645">
      <c r="A19645" s="42">
        <f>_xlfn.XLOOKUP(83498,Trip[shape_id],Trip[shape_id],"Não encontrado")</f>
        <v/>
      </c>
      <c r="B19645" s="43" t="n">
        <v>-23.540662</v>
      </c>
      <c r="C19645" s="43" t="n">
        <v>-46.647543</v>
      </c>
      <c r="D19645" s="43" t="n">
        <v>630</v>
      </c>
      <c r="E19645" s="44" t="n">
        <v>18486.109</v>
      </c>
    </row>
    <row r="19646">
      <c r="A19646" s="39">
        <f>_xlfn.XLOOKUP(83498,Trip[shape_id],Trip[shape_id],"Não encontrado")</f>
        <v/>
      </c>
      <c r="B19646" s="40" t="n">
        <v>-23.540638</v>
      </c>
      <c r="C19646" s="40" t="n">
        <v>-46.647544</v>
      </c>
      <c r="D19646" s="40" t="n">
        <v>631</v>
      </c>
      <c r="E19646" s="41" t="n">
        <v>18489.346</v>
      </c>
    </row>
    <row r="19647">
      <c r="A19647" s="42">
        <f>_xlfn.XLOOKUP(83498,Trip[shape_id],Trip[shape_id],"Não encontrado")</f>
        <v/>
      </c>
      <c r="B19647" s="43" t="n">
        <v>-23.540609</v>
      </c>
      <c r="C19647" s="43" t="n">
        <v>-46.647548</v>
      </c>
      <c r="D19647" s="43" t="n">
        <v>632</v>
      </c>
      <c r="E19647" s="44" t="n">
        <v>18492.6</v>
      </c>
    </row>
    <row r="19648">
      <c r="A19648" s="39">
        <f>_xlfn.XLOOKUP(83498,Trip[shape_id],Trip[shape_id],"Não encontrado")</f>
        <v/>
      </c>
      <c r="B19648" s="40" t="n">
        <v>-23.54058</v>
      </c>
      <c r="C19648" s="40" t="n">
        <v>-46.647553</v>
      </c>
      <c r="D19648" s="40" t="n">
        <v>633</v>
      </c>
      <c r="E19648" s="41" t="n">
        <v>18494.926</v>
      </c>
    </row>
    <row r="19649">
      <c r="A19649" s="42">
        <f>_xlfn.XLOOKUP(83498,Trip[shape_id],Trip[shape_id],"Não encontrado")</f>
        <v/>
      </c>
      <c r="B19649" s="43" t="n">
        <v>-23.54056</v>
      </c>
      <c r="C19649" s="43" t="n">
        <v>-46.64756</v>
      </c>
      <c r="D19649" s="43" t="n">
        <v>634</v>
      </c>
      <c r="E19649" s="44" t="n">
        <v>18497.947</v>
      </c>
    </row>
    <row r="19650">
      <c r="A19650" s="39">
        <f>_xlfn.XLOOKUP(83498,Trip[shape_id],Trip[shape_id],"Não encontrado")</f>
        <v/>
      </c>
      <c r="B19650" s="40" t="n">
        <v>-23.540534</v>
      </c>
      <c r="C19650" s="40" t="n">
        <v>-46.647569</v>
      </c>
      <c r="D19650" s="40" t="n">
        <v>635</v>
      </c>
      <c r="E19650" s="41" t="n">
        <v>18501.207</v>
      </c>
    </row>
    <row r="19651">
      <c r="A19651" s="42">
        <f>_xlfn.XLOOKUP(83498,Trip[shape_id],Trip[shape_id],"Não encontrado")</f>
        <v/>
      </c>
      <c r="B19651" s="43" t="n">
        <v>-23.540508</v>
      </c>
      <c r="C19651" s="43" t="n">
        <v>-46.647584</v>
      </c>
      <c r="D19651" s="43" t="n">
        <v>636</v>
      </c>
      <c r="E19651" s="44" t="n">
        <v>18504.477</v>
      </c>
    </row>
    <row r="19652">
      <c r="A19652" s="39">
        <f>_xlfn.XLOOKUP(83498,Trip[shape_id],Trip[shape_id],"Não encontrado")</f>
        <v/>
      </c>
      <c r="B19652" s="40" t="n">
        <v>-23.540483</v>
      </c>
      <c r="C19652" s="40" t="n">
        <v>-46.647601</v>
      </c>
      <c r="D19652" s="40" t="n">
        <v>637</v>
      </c>
      <c r="E19652" s="41" t="n">
        <v>18507.031</v>
      </c>
    </row>
    <row r="19653">
      <c r="A19653" s="42">
        <f>_xlfn.XLOOKUP(83498,Trip[shape_id],Trip[shape_id],"Não encontrado")</f>
        <v/>
      </c>
      <c r="B19653" s="43" t="n">
        <v>-23.540468</v>
      </c>
      <c r="C19653" s="43" t="n">
        <v>-46.64762</v>
      </c>
      <c r="D19653" s="43" t="n">
        <v>638</v>
      </c>
      <c r="E19653" s="44" t="n">
        <v>18510.498</v>
      </c>
    </row>
    <row r="19654">
      <c r="A19654" s="39">
        <f>_xlfn.XLOOKUP(83498,Trip[shape_id],Trip[shape_id],"Não encontrado")</f>
        <v/>
      </c>
      <c r="B19654" s="40" t="n">
        <v>-23.540449</v>
      </c>
      <c r="C19654" s="40" t="n">
        <v>-46.647647</v>
      </c>
      <c r="D19654" s="40" t="n">
        <v>639</v>
      </c>
      <c r="E19654" s="41" t="n">
        <v>18532.15</v>
      </c>
    </row>
    <row r="19655">
      <c r="A19655" s="42">
        <f>_xlfn.XLOOKUP(83498,Trip[shape_id],Trip[shape_id],"Não encontrado")</f>
        <v/>
      </c>
      <c r="B19655" s="43" t="n">
        <v>-23.540259</v>
      </c>
      <c r="C19655" s="43" t="n">
        <v>-46.647697</v>
      </c>
      <c r="D19655" s="43" t="n">
        <v>640</v>
      </c>
      <c r="E19655" s="44" t="n">
        <v>18576.857</v>
      </c>
    </row>
    <row r="19656">
      <c r="A19656" s="39">
        <f>_xlfn.XLOOKUP(83498,Trip[shape_id],Trip[shape_id],"Não encontrado")</f>
        <v/>
      </c>
      <c r="B19656" s="40" t="n">
        <v>-23.539869</v>
      </c>
      <c r="C19656" s="40" t="n">
        <v>-46.64781</v>
      </c>
      <c r="D19656" s="40" t="n">
        <v>641</v>
      </c>
      <c r="E19656" s="41" t="n">
        <v>18610.854</v>
      </c>
    </row>
    <row r="19657">
      <c r="A19657" s="42">
        <f>_xlfn.XLOOKUP(83498,Trip[shape_id],Trip[shape_id],"Não encontrado")</f>
        <v/>
      </c>
      <c r="B19657" s="43" t="n">
        <v>-23.539588</v>
      </c>
      <c r="C19657" s="43" t="n">
        <v>-46.647944</v>
      </c>
      <c r="D19657" s="43" t="n">
        <v>642</v>
      </c>
      <c r="E19657" s="44" t="n">
        <v>18610.854</v>
      </c>
    </row>
    <row r="19658">
      <c r="A19658" s="39">
        <f>_xlfn.XLOOKUP(83498,Trip[shape_id],Trip[shape_id],"Não encontrado")</f>
        <v/>
      </c>
      <c r="B19658" s="40" t="n">
        <v>-23.539482</v>
      </c>
      <c r="C19658" s="40" t="n">
        <v>-46.647995</v>
      </c>
      <c r="D19658" s="40" t="n">
        <v>643</v>
      </c>
      <c r="E19658" s="41" t="n">
        <v>18623.697</v>
      </c>
    </row>
    <row r="19659">
      <c r="A19659" s="42">
        <f>_xlfn.XLOOKUP(83498,Trip[shape_id],Trip[shape_id],"Não encontrado")</f>
        <v/>
      </c>
      <c r="B19659" s="43" t="n">
        <v>-23.539424</v>
      </c>
      <c r="C19659" s="43" t="n">
        <v>-46.648022</v>
      </c>
      <c r="D19659" s="43" t="n">
        <v>644</v>
      </c>
      <c r="E19659" s="44" t="n">
        <v>18630.688</v>
      </c>
    </row>
    <row r="19660">
      <c r="A19660" s="39">
        <f>_xlfn.XLOOKUP(83498,Trip[shape_id],Trip[shape_id],"Não encontrado")</f>
        <v/>
      </c>
      <c r="B19660" s="40" t="n">
        <v>-23.539303</v>
      </c>
      <c r="C19660" s="40" t="n">
        <v>-46.648079</v>
      </c>
      <c r="D19660" s="40" t="n">
        <v>645</v>
      </c>
      <c r="E19660" s="41" t="n">
        <v>18645.297</v>
      </c>
    </row>
    <row r="19661">
      <c r="A19661" s="42">
        <f>_xlfn.XLOOKUP(83498,Trip[shape_id],Trip[shape_id],"Não encontrado")</f>
        <v/>
      </c>
      <c r="B19661" s="43" t="n">
        <v>-23.539264</v>
      </c>
      <c r="C19661" s="43" t="n">
        <v>-46.648098</v>
      </c>
      <c r="D19661" s="43" t="n">
        <v>646</v>
      </c>
      <c r="E19661" s="44" t="n">
        <v>18650.031</v>
      </c>
    </row>
    <row r="19662">
      <c r="A19662" s="39">
        <f>_xlfn.XLOOKUP(83498,Trip[shape_id],Trip[shape_id],"Não encontrado")</f>
        <v/>
      </c>
      <c r="B19662" s="40" t="n">
        <v>-23.538929</v>
      </c>
      <c r="C19662" s="40" t="n">
        <v>-46.648258</v>
      </c>
      <c r="D19662" s="40" t="n">
        <v>647</v>
      </c>
      <c r="E19662" s="41" t="n">
        <v>18690.57</v>
      </c>
    </row>
    <row r="19663">
      <c r="A19663" s="42">
        <f>_xlfn.XLOOKUP(83498,Trip[shape_id],Trip[shape_id],"Não encontrado")</f>
        <v/>
      </c>
      <c r="B19663" s="43" t="n">
        <v>-23.538891</v>
      </c>
      <c r="C19663" s="43" t="n">
        <v>-46.648276</v>
      </c>
      <c r="D19663" s="43" t="n">
        <v>648</v>
      </c>
      <c r="E19663" s="44" t="n">
        <v>18695.162</v>
      </c>
    </row>
    <row r="19664">
      <c r="A19664" s="39">
        <f>_xlfn.XLOOKUP(83500,Trip[shape_id],Trip[shape_id],"Não encontrado")</f>
        <v/>
      </c>
      <c r="B19664" s="40" t="n">
        <v>-23.538929</v>
      </c>
      <c r="C19664" s="40" t="n">
        <v>-46.648258</v>
      </c>
      <c r="D19664" s="40" t="n">
        <v>1</v>
      </c>
      <c r="E19664" s="41" t="n">
        <v>4.5924811</v>
      </c>
    </row>
    <row r="19665">
      <c r="A19665" s="42">
        <f>_xlfn.XLOOKUP(83500,Trip[shape_id],Trip[shape_id],"Não encontrado")</f>
        <v/>
      </c>
      <c r="B19665" s="43" t="n">
        <v>-23.538891</v>
      </c>
      <c r="C19665" s="43" t="n">
        <v>-46.648276</v>
      </c>
      <c r="D19665" s="43" t="n">
        <v>2</v>
      </c>
      <c r="E19665" s="44" t="n">
        <v>4.5924811</v>
      </c>
    </row>
    <row r="19666">
      <c r="A19666" s="39">
        <f>_xlfn.XLOOKUP(83500,Trip[shape_id],Trip[shape_id],"Não encontrado")</f>
        <v/>
      </c>
      <c r="B19666" s="40" t="n">
        <v>-23.538557</v>
      </c>
      <c r="C19666" s="40" t="n">
        <v>-46.648434</v>
      </c>
      <c r="D19666" s="40" t="n">
        <v>3</v>
      </c>
      <c r="E19666" s="41" t="n">
        <v>44.948814</v>
      </c>
    </row>
    <row r="19667">
      <c r="A19667" s="42">
        <f>_xlfn.XLOOKUP(83500,Trip[shape_id],Trip[shape_id],"Não encontrado")</f>
        <v/>
      </c>
      <c r="B19667" s="43" t="n">
        <v>-23.538534</v>
      </c>
      <c r="C19667" s="43" t="n">
        <v>-46.648445</v>
      </c>
      <c r="D19667" s="43" t="n">
        <v>4</v>
      </c>
      <c r="E19667" s="44" t="n">
        <v>47.732628</v>
      </c>
    </row>
    <row r="19668">
      <c r="A19668" s="39">
        <f>_xlfn.XLOOKUP(83500,Trip[shape_id],Trip[shape_id],"Não encontrado")</f>
        <v/>
      </c>
      <c r="B19668" s="40" t="n">
        <v>-23.538484</v>
      </c>
      <c r="C19668" s="40" t="n">
        <v>-46.648582</v>
      </c>
      <c r="D19668" s="40" t="n">
        <v>5</v>
      </c>
      <c r="E19668" s="41" t="n">
        <v>62.778286</v>
      </c>
    </row>
    <row r="19669">
      <c r="A19669" s="42">
        <f>_xlfn.XLOOKUP(83500,Trip[shape_id],Trip[shape_id],"Não encontrado")</f>
        <v/>
      </c>
      <c r="B19669" s="43" t="n">
        <v>-23.538591</v>
      </c>
      <c r="C19669" s="43" t="n">
        <v>-46.648721</v>
      </c>
      <c r="D19669" s="43" t="n">
        <v>6</v>
      </c>
      <c r="E19669" s="44" t="n">
        <v>81.268692</v>
      </c>
    </row>
    <row r="19670">
      <c r="A19670" s="39">
        <f>_xlfn.XLOOKUP(83500,Trip[shape_id],Trip[shape_id],"Não encontrado")</f>
        <v/>
      </c>
      <c r="B19670" s="40" t="n">
        <v>-23.538961</v>
      </c>
      <c r="C19670" s="40" t="n">
        <v>-46.649301</v>
      </c>
      <c r="D19670" s="40" t="n">
        <v>7</v>
      </c>
      <c r="E19670" s="41" t="n">
        <v>153.28775</v>
      </c>
    </row>
    <row r="19671">
      <c r="A19671" s="42">
        <f>_xlfn.XLOOKUP(83500,Trip[shape_id],Trip[shape_id],"Não encontrado")</f>
        <v/>
      </c>
      <c r="B19671" s="43" t="n">
        <v>-23.539106</v>
      </c>
      <c r="C19671" s="43" t="n">
        <v>-46.649209</v>
      </c>
      <c r="D19671" s="43" t="n">
        <v>8</v>
      </c>
      <c r="E19671" s="44" t="n">
        <v>171.89268</v>
      </c>
    </row>
    <row r="19672">
      <c r="A19672" s="39">
        <f>_xlfn.XLOOKUP(83500,Trip[shape_id],Trip[shape_id],"Não encontrado")</f>
        <v/>
      </c>
      <c r="B19672" s="40" t="n">
        <v>-23.539268</v>
      </c>
      <c r="C19672" s="40" t="n">
        <v>-46.649139</v>
      </c>
      <c r="D19672" s="40" t="n">
        <v>9</v>
      </c>
      <c r="E19672" s="41" t="n">
        <v>191.2056</v>
      </c>
    </row>
    <row r="19673">
      <c r="A19673" s="42">
        <f>_xlfn.XLOOKUP(83500,Trip[shape_id],Trip[shape_id],"Não encontrado")</f>
        <v/>
      </c>
      <c r="B19673" s="43" t="n">
        <v>-23.539908</v>
      </c>
      <c r="C19673" s="43" t="n">
        <v>-46.648711</v>
      </c>
      <c r="D19673" s="43" t="n">
        <v>10</v>
      </c>
      <c r="E19673" s="44" t="n">
        <v>274.47681</v>
      </c>
    </row>
    <row r="19674">
      <c r="A19674" s="39">
        <f>_xlfn.XLOOKUP(83500,Trip[shape_id],Trip[shape_id],"Não encontrado")</f>
        <v/>
      </c>
      <c r="B19674" s="40" t="n">
        <v>-23.540012</v>
      </c>
      <c r="C19674" s="40" t="n">
        <v>-46.648643</v>
      </c>
      <c r="D19674" s="40" t="n">
        <v>11</v>
      </c>
      <c r="E19674" s="41" t="n">
        <v>287.92606</v>
      </c>
    </row>
    <row r="19675">
      <c r="A19675" s="42">
        <f>_xlfn.XLOOKUP(83500,Trip[shape_id],Trip[shape_id],"Não encontrado")</f>
        <v/>
      </c>
      <c r="B19675" s="43" t="n">
        <v>-23.540091</v>
      </c>
      <c r="C19675" s="43" t="n">
        <v>-46.648598</v>
      </c>
      <c r="D19675" s="43" t="n">
        <v>12</v>
      </c>
      <c r="E19675" s="44" t="n">
        <v>297.80856</v>
      </c>
    </row>
    <row r="19676">
      <c r="A19676" s="39">
        <f>_xlfn.XLOOKUP(83500,Trip[shape_id],Trip[shape_id],"Não encontrado")</f>
        <v/>
      </c>
      <c r="B19676" s="40" t="n">
        <v>-23.540251</v>
      </c>
      <c r="C19676" s="40" t="n">
        <v>-46.648511</v>
      </c>
      <c r="D19676" s="40" t="n">
        <v>13</v>
      </c>
      <c r="E19676" s="41" t="n">
        <v>317.63086</v>
      </c>
    </row>
    <row r="19677">
      <c r="A19677" s="42">
        <f>_xlfn.XLOOKUP(83500,Trip[shape_id],Trip[shape_id],"Não encontrado")</f>
        <v/>
      </c>
      <c r="B19677" s="43" t="n">
        <v>-23.540597</v>
      </c>
      <c r="C19677" s="43" t="n">
        <v>-46.648292</v>
      </c>
      <c r="D19677" s="43" t="n">
        <v>14</v>
      </c>
      <c r="E19677" s="44" t="n">
        <v>361.99844</v>
      </c>
    </row>
    <row r="19678">
      <c r="A19678" s="39">
        <f>_xlfn.XLOOKUP(83500,Trip[shape_id],Trip[shape_id],"Não encontrado")</f>
        <v/>
      </c>
      <c r="B19678" s="40" t="n">
        <v>-23.540894</v>
      </c>
      <c r="C19678" s="40" t="n">
        <v>-46.648102</v>
      </c>
      <c r="D19678" s="40" t="n">
        <v>15</v>
      </c>
      <c r="E19678" s="41" t="n">
        <v>400.18692</v>
      </c>
    </row>
    <row r="19679">
      <c r="A19679" s="42">
        <f>_xlfn.XLOOKUP(83500,Trip[shape_id],Trip[shape_id],"Não encontrado")</f>
        <v/>
      </c>
      <c r="B19679" s="43" t="n">
        <v>-23.541132</v>
      </c>
      <c r="C19679" s="43" t="n">
        <v>-46.647972</v>
      </c>
      <c r="D19679" s="43" t="n">
        <v>16</v>
      </c>
      <c r="E19679" s="44" t="n">
        <v>429.69949</v>
      </c>
    </row>
    <row r="19680">
      <c r="A19680" s="39">
        <f>_xlfn.XLOOKUP(83500,Trip[shape_id],Trip[shape_id],"Não encontrado")</f>
        <v/>
      </c>
      <c r="B19680" s="40" t="n">
        <v>-23.541588</v>
      </c>
      <c r="C19680" s="40" t="n">
        <v>-46.647581</v>
      </c>
      <c r="D19680" s="40" t="n">
        <v>17</v>
      </c>
      <c r="E19680" s="41" t="n">
        <v>494.07733</v>
      </c>
    </row>
    <row r="19681">
      <c r="A19681" s="42">
        <f>_xlfn.XLOOKUP(83500,Trip[shape_id],Trip[shape_id],"Não encontrado")</f>
        <v/>
      </c>
      <c r="B19681" s="43" t="n">
        <v>-23.541504</v>
      </c>
      <c r="C19681" s="43" t="n">
        <v>-46.647421</v>
      </c>
      <c r="D19681" s="43" t="n">
        <v>18</v>
      </c>
      <c r="E19681" s="44" t="n">
        <v>512.87775</v>
      </c>
    </row>
    <row r="19682">
      <c r="A19682" s="39">
        <f>_xlfn.XLOOKUP(83500,Trip[shape_id],Trip[shape_id],"Não encontrado")</f>
        <v/>
      </c>
      <c r="B19682" s="40" t="n">
        <v>-23.541414</v>
      </c>
      <c r="C19682" s="40" t="n">
        <v>-46.647266</v>
      </c>
      <c r="D19682" s="40" t="n">
        <v>19</v>
      </c>
      <c r="E19682" s="41" t="n">
        <v>531.58179</v>
      </c>
    </row>
    <row r="19683">
      <c r="A19683" s="42">
        <f>_xlfn.XLOOKUP(83500,Trip[shape_id],Trip[shape_id],"Não encontrado")</f>
        <v/>
      </c>
      <c r="B19683" s="43" t="n">
        <v>-23.541069</v>
      </c>
      <c r="C19683" s="43" t="n">
        <v>-46.646628</v>
      </c>
      <c r="D19683" s="43" t="n">
        <v>20</v>
      </c>
      <c r="E19683" s="44" t="n">
        <v>607.1060199999999</v>
      </c>
    </row>
    <row r="19684">
      <c r="A19684" s="39">
        <f>_xlfn.XLOOKUP(83500,Trip[shape_id],Trip[shape_id],"Não encontrado")</f>
        <v/>
      </c>
      <c r="B19684" s="40" t="n">
        <v>-23.541011</v>
      </c>
      <c r="C19684" s="40" t="n">
        <v>-46.646561</v>
      </c>
      <c r="D19684" s="40" t="n">
        <v>21</v>
      </c>
      <c r="E19684" s="41" t="n">
        <v>616.49066</v>
      </c>
    </row>
    <row r="19685">
      <c r="A19685" s="42">
        <f>_xlfn.XLOOKUP(83500,Trip[shape_id],Trip[shape_id],"Não encontrado")</f>
        <v/>
      </c>
      <c r="B19685" s="43" t="n">
        <v>-23.539273</v>
      </c>
      <c r="C19685" s="43" t="n">
        <v>-46.646194</v>
      </c>
      <c r="D19685" s="43" t="n">
        <v>22</v>
      </c>
      <c r="E19685" s="44" t="n">
        <v>827.53961</v>
      </c>
    </row>
    <row r="19686">
      <c r="A19686" s="39">
        <f>_xlfn.XLOOKUP(83500,Trip[shape_id],Trip[shape_id],"Não encontrado")</f>
        <v/>
      </c>
      <c r="B19686" s="40" t="n">
        <v>-23.539156</v>
      </c>
      <c r="C19686" s="40" t="n">
        <v>-46.646121</v>
      </c>
      <c r="D19686" s="40" t="n">
        <v>23</v>
      </c>
      <c r="E19686" s="41" t="n">
        <v>827.53961</v>
      </c>
    </row>
    <row r="19687">
      <c r="A19687" s="42">
        <f>_xlfn.XLOOKUP(83500,Trip[shape_id],Trip[shape_id],"Não encontrado")</f>
        <v/>
      </c>
      <c r="B19687" s="43" t="n">
        <v>-23.539077</v>
      </c>
      <c r="C19687" s="43" t="n">
        <v>-46.646017</v>
      </c>
      <c r="D19687" s="43" t="n">
        <v>24</v>
      </c>
      <c r="E19687" s="44" t="n">
        <v>841.29932</v>
      </c>
    </row>
    <row r="19688">
      <c r="A19688" s="39">
        <f>_xlfn.XLOOKUP(83500,Trip[shape_id],Trip[shape_id],"Não encontrado")</f>
        <v/>
      </c>
      <c r="B19688" s="40" t="n">
        <v>-23.538668</v>
      </c>
      <c r="C19688" s="40" t="n">
        <v>-46.645445</v>
      </c>
      <c r="D19688" s="40" t="n">
        <v>25</v>
      </c>
      <c r="E19688" s="41" t="n">
        <v>915.21344</v>
      </c>
    </row>
    <row r="19689">
      <c r="A19689" s="42">
        <f>_xlfn.XLOOKUP(83500,Trip[shape_id],Trip[shape_id],"Não encontrado")</f>
        <v/>
      </c>
      <c r="B19689" s="43" t="n">
        <v>-23.538553</v>
      </c>
      <c r="C19689" s="43" t="n">
        <v>-46.645285</v>
      </c>
      <c r="D19689" s="43" t="n">
        <v>26</v>
      </c>
      <c r="E19689" s="44" t="n">
        <v>946.25195</v>
      </c>
    </row>
    <row r="19690">
      <c r="A19690" s="39">
        <f>_xlfn.XLOOKUP(83500,Trip[shape_id],Trip[shape_id],"Não encontrado")</f>
        <v/>
      </c>
      <c r="B19690" s="40" t="n">
        <v>-23.53847</v>
      </c>
      <c r="C19690" s="40" t="n">
        <v>-46.645239</v>
      </c>
      <c r="D19690" s="40" t="n">
        <v>27</v>
      </c>
      <c r="E19690" s="41" t="n">
        <v>960.8006</v>
      </c>
    </row>
    <row r="19691">
      <c r="A19691" s="42">
        <f>_xlfn.XLOOKUP(83500,Trip[shape_id],Trip[shape_id],"Não encontrado")</f>
        <v/>
      </c>
      <c r="B19691" s="43" t="n">
        <v>-23.538428</v>
      </c>
      <c r="C19691" s="43" t="n">
        <v>-46.645104</v>
      </c>
      <c r="D19691" s="43" t="n">
        <v>28</v>
      </c>
      <c r="E19691" s="44" t="n">
        <v>1016.9821</v>
      </c>
    </row>
    <row r="19692">
      <c r="A19692" s="39">
        <f>_xlfn.XLOOKUP(83500,Trip[shape_id],Trip[shape_id],"Não encontrado")</f>
        <v/>
      </c>
      <c r="B19692" s="40" t="n">
        <v>-23.538121</v>
      </c>
      <c r="C19692" s="40" t="n">
        <v>-46.644666</v>
      </c>
      <c r="D19692" s="40" t="n">
        <v>29</v>
      </c>
      <c r="E19692" s="41" t="n">
        <v>1016.9821</v>
      </c>
    </row>
    <row r="19693">
      <c r="A19693" s="42">
        <f>_xlfn.XLOOKUP(83500,Trip[shape_id],Trip[shape_id],"Não encontrado")</f>
        <v/>
      </c>
      <c r="B19693" s="43" t="n">
        <v>-23.537876</v>
      </c>
      <c r="C19693" s="43" t="n">
        <v>-46.644322</v>
      </c>
      <c r="D19693" s="43" t="n">
        <v>30</v>
      </c>
      <c r="E19693" s="44" t="n">
        <v>1061.3683</v>
      </c>
    </row>
    <row r="19694">
      <c r="A19694" s="39">
        <f>_xlfn.XLOOKUP(83500,Trip[shape_id],Trip[shape_id],"Não encontrado")</f>
        <v/>
      </c>
      <c r="B19694" s="40" t="n">
        <v>-23.537658</v>
      </c>
      <c r="C19694" s="40" t="n">
        <v>-46.644011</v>
      </c>
      <c r="D19694" s="40" t="n">
        <v>31</v>
      </c>
      <c r="E19694" s="41" t="n">
        <v>1101.261</v>
      </c>
    </row>
    <row r="19695">
      <c r="A19695" s="42">
        <f>_xlfn.XLOOKUP(83500,Trip[shape_id],Trip[shape_id],"Não encontrado")</f>
        <v/>
      </c>
      <c r="B19695" s="43" t="n">
        <v>-23.537562</v>
      </c>
      <c r="C19695" s="43" t="n">
        <v>-46.643885</v>
      </c>
      <c r="D19695" s="43" t="n">
        <v>32</v>
      </c>
      <c r="E19695" s="44" t="n">
        <v>1117.9519</v>
      </c>
    </row>
    <row r="19696">
      <c r="A19696" s="39">
        <f>_xlfn.XLOOKUP(83500,Trip[shape_id],Trip[shape_id],"Não encontrado")</f>
        <v/>
      </c>
      <c r="B19696" s="40" t="n">
        <v>-23.537337</v>
      </c>
      <c r="C19696" s="40" t="n">
        <v>-46.643749</v>
      </c>
      <c r="D19696" s="40" t="n">
        <v>33</v>
      </c>
      <c r="E19696" s="41" t="n">
        <v>1146.4794</v>
      </c>
    </row>
    <row r="19697">
      <c r="A19697" s="42">
        <f>_xlfn.XLOOKUP(83500,Trip[shape_id],Trip[shape_id],"Não encontrado")</f>
        <v/>
      </c>
      <c r="B19697" s="43" t="n">
        <v>-23.537012</v>
      </c>
      <c r="C19697" s="43" t="n">
        <v>-46.6433</v>
      </c>
      <c r="D19697" s="43" t="n">
        <v>34</v>
      </c>
      <c r="E19697" s="44" t="n">
        <v>1204.7689</v>
      </c>
    </row>
    <row r="19698">
      <c r="A19698" s="39">
        <f>_xlfn.XLOOKUP(83500,Trip[shape_id],Trip[shape_id],"Não encontrado")</f>
        <v/>
      </c>
      <c r="B19698" s="40" t="n">
        <v>-23.536859</v>
      </c>
      <c r="C19698" s="40" t="n">
        <v>-46.643399</v>
      </c>
      <c r="D19698" s="40" t="n">
        <v>35</v>
      </c>
      <c r="E19698" s="41" t="n">
        <v>1275.2997</v>
      </c>
    </row>
    <row r="19699">
      <c r="A19699" s="42">
        <f>_xlfn.XLOOKUP(83500,Trip[shape_id],Trip[shape_id],"Não encontrado")</f>
        <v/>
      </c>
      <c r="B19699" s="43" t="n">
        <v>-23.536485</v>
      </c>
      <c r="C19699" s="43" t="n">
        <v>-46.643687</v>
      </c>
      <c r="D19699" s="43" t="n">
        <v>36</v>
      </c>
      <c r="E19699" s="44" t="n">
        <v>1275.2997</v>
      </c>
    </row>
    <row r="19700">
      <c r="A19700" s="39">
        <f>_xlfn.XLOOKUP(83500,Trip[shape_id],Trip[shape_id],"Não encontrado")</f>
        <v/>
      </c>
      <c r="B19700" s="40" t="n">
        <v>-23.53641</v>
      </c>
      <c r="C19700" s="40" t="n">
        <v>-46.643746</v>
      </c>
      <c r="D19700" s="40" t="n">
        <v>37</v>
      </c>
      <c r="E19700" s="41" t="n">
        <v>1285.561</v>
      </c>
    </row>
    <row r="19701">
      <c r="A19701" s="42">
        <f>_xlfn.XLOOKUP(83500,Trip[shape_id],Trip[shape_id],"Não encontrado")</f>
        <v/>
      </c>
      <c r="B19701" s="43" t="n">
        <v>-23.536323</v>
      </c>
      <c r="C19701" s="43" t="n">
        <v>-46.64381</v>
      </c>
      <c r="D19701" s="43" t="n">
        <v>38</v>
      </c>
      <c r="E19701" s="44" t="n">
        <v>1297.2035</v>
      </c>
    </row>
    <row r="19702">
      <c r="A19702" s="39">
        <f>_xlfn.XLOOKUP(83500,Trip[shape_id],Trip[shape_id],"Não encontrado")</f>
        <v/>
      </c>
      <c r="B19702" s="40" t="n">
        <v>-23.53626</v>
      </c>
      <c r="C19702" s="40" t="n">
        <v>-46.643856</v>
      </c>
      <c r="D19702" s="40" t="n">
        <v>39</v>
      </c>
      <c r="E19702" s="41" t="n">
        <v>1329.5535</v>
      </c>
    </row>
    <row r="19703">
      <c r="A19703" s="42">
        <f>_xlfn.XLOOKUP(83500,Trip[shape_id],Trip[shape_id],"Não encontrado")</f>
        <v/>
      </c>
      <c r="B19703" s="43" t="n">
        <v>-23.536082</v>
      </c>
      <c r="C19703" s="43" t="n">
        <v>-46.643989</v>
      </c>
      <c r="D19703" s="43" t="n">
        <v>40</v>
      </c>
      <c r="E19703" s="44" t="n">
        <v>1380.7545</v>
      </c>
    </row>
    <row r="19704">
      <c r="A19704" s="39">
        <f>_xlfn.XLOOKUP(83500,Trip[shape_id],Trip[shape_id],"Não encontrado")</f>
        <v/>
      </c>
      <c r="B19704" s="40" t="n">
        <v>-23.535701</v>
      </c>
      <c r="C19704" s="40" t="n">
        <v>-46.644273</v>
      </c>
      <c r="D19704" s="40" t="n">
        <v>41</v>
      </c>
      <c r="E19704" s="41" t="n">
        <v>1387.6067</v>
      </c>
    </row>
    <row r="19705">
      <c r="A19705" s="42">
        <f>_xlfn.XLOOKUP(83500,Trip[shape_id],Trip[shape_id],"Não encontrado")</f>
        <v/>
      </c>
      <c r="B19705" s="43" t="n">
        <v>-23.53565</v>
      </c>
      <c r="C19705" s="43" t="n">
        <v>-46.644311</v>
      </c>
      <c r="D19705" s="43" t="n">
        <v>42</v>
      </c>
      <c r="E19705" s="44" t="n">
        <v>1425.8811</v>
      </c>
    </row>
    <row r="19706">
      <c r="A19706" s="39">
        <f>_xlfn.XLOOKUP(83500,Trip[shape_id],Trip[shape_id],"Não encontrado")</f>
        <v/>
      </c>
      <c r="B19706" s="40" t="n">
        <v>-23.535365</v>
      </c>
      <c r="C19706" s="40" t="n">
        <v>-46.644523</v>
      </c>
      <c r="D19706" s="40" t="n">
        <v>43</v>
      </c>
      <c r="E19706" s="41" t="n">
        <v>1425.8811</v>
      </c>
    </row>
    <row r="19707">
      <c r="A19707" s="42">
        <f>_xlfn.XLOOKUP(83500,Trip[shape_id],Trip[shape_id],"Não encontrado")</f>
        <v/>
      </c>
      <c r="B19707" s="43" t="n">
        <v>-23.535237</v>
      </c>
      <c r="C19707" s="43" t="n">
        <v>-46.644617</v>
      </c>
      <c r="D19707" s="43" t="n">
        <v>44</v>
      </c>
      <c r="E19707" s="44" t="n">
        <v>1443.0012</v>
      </c>
    </row>
    <row r="19708">
      <c r="A19708" s="39">
        <f>_xlfn.XLOOKUP(83500,Trip[shape_id],Trip[shape_id],"Não encontrado")</f>
        <v/>
      </c>
      <c r="B19708" s="40" t="n">
        <v>-23.53454</v>
      </c>
      <c r="C19708" s="40" t="n">
        <v>-46.645137</v>
      </c>
      <c r="D19708" s="40" t="n">
        <v>45</v>
      </c>
      <c r="E19708" s="41" t="n">
        <v>1558.8688</v>
      </c>
    </row>
    <row r="19709">
      <c r="A19709" s="42">
        <f>_xlfn.XLOOKUP(83500,Trip[shape_id],Trip[shape_id],"Não encontrado")</f>
        <v/>
      </c>
      <c r="B19709" s="43" t="n">
        <v>-23.534375</v>
      </c>
      <c r="C19709" s="43" t="n">
        <v>-46.64526</v>
      </c>
      <c r="D19709" s="43" t="n">
        <v>46</v>
      </c>
      <c r="E19709" s="44" t="n">
        <v>1558.8688</v>
      </c>
    </row>
    <row r="19710">
      <c r="A19710" s="39">
        <f>_xlfn.XLOOKUP(83500,Trip[shape_id],Trip[shape_id],"Não encontrado")</f>
        <v/>
      </c>
      <c r="B19710" s="40" t="n">
        <v>-23.534297</v>
      </c>
      <c r="C19710" s="40" t="n">
        <v>-46.645318</v>
      </c>
      <c r="D19710" s="40" t="n">
        <v>47</v>
      </c>
      <c r="E19710" s="41" t="n">
        <v>1569.3429</v>
      </c>
    </row>
    <row r="19711">
      <c r="A19711" s="42">
        <f>_xlfn.XLOOKUP(83500,Trip[shape_id],Trip[shape_id],"Não encontrado")</f>
        <v/>
      </c>
      <c r="B19711" s="43" t="n">
        <v>-23.534198</v>
      </c>
      <c r="C19711" s="43" t="n">
        <v>-46.645393</v>
      </c>
      <c r="D19711" s="43" t="n">
        <v>48</v>
      </c>
      <c r="E19711" s="44" t="n">
        <v>1582.7173</v>
      </c>
    </row>
    <row r="19712">
      <c r="A19712" s="39">
        <f>_xlfn.XLOOKUP(83500,Trip[shape_id],Trip[shape_id],"Não encontrado")</f>
        <v/>
      </c>
      <c r="B19712" s="40" t="n">
        <v>-23.533709</v>
      </c>
      <c r="C19712" s="40" t="n">
        <v>-46.644626</v>
      </c>
      <c r="D19712" s="40" t="n">
        <v>49</v>
      </c>
      <c r="E19712" s="41" t="n">
        <v>1677.9402</v>
      </c>
    </row>
    <row r="19713">
      <c r="A19713" s="42">
        <f>_xlfn.XLOOKUP(83500,Trip[shape_id],Trip[shape_id],"Não encontrado")</f>
        <v/>
      </c>
      <c r="B19713" s="43" t="n">
        <v>-23.533669</v>
      </c>
      <c r="C19713" s="43" t="n">
        <v>-46.644566</v>
      </c>
      <c r="D19713" s="43" t="n">
        <v>50</v>
      </c>
      <c r="E19713" s="44" t="n">
        <v>1685.5005</v>
      </c>
    </row>
    <row r="19714">
      <c r="A19714" s="39">
        <f>_xlfn.XLOOKUP(83500,Trip[shape_id],Trip[shape_id],"Não encontrado")</f>
        <v/>
      </c>
      <c r="B19714" s="40" t="n">
        <v>-23.533585</v>
      </c>
      <c r="C19714" s="40" t="n">
        <v>-46.644439</v>
      </c>
      <c r="D19714" s="40" t="n">
        <v>51</v>
      </c>
      <c r="E19714" s="41" t="n">
        <v>1701.4606</v>
      </c>
    </row>
    <row r="19715">
      <c r="A19715" s="42">
        <f>_xlfn.XLOOKUP(83500,Trip[shape_id],Trip[shape_id],"Não encontrado")</f>
        <v/>
      </c>
      <c r="B19715" s="43" t="n">
        <v>-23.533069</v>
      </c>
      <c r="C19715" s="43" t="n">
        <v>-46.643628</v>
      </c>
      <c r="D19715" s="43" t="n">
        <v>52</v>
      </c>
      <c r="E19715" s="44" t="n">
        <v>1802.0801</v>
      </c>
    </row>
    <row r="19716">
      <c r="A19716" s="39">
        <f>_xlfn.XLOOKUP(83500,Trip[shape_id],Trip[shape_id],"Não encontrado")</f>
        <v/>
      </c>
      <c r="B19716" s="40" t="n">
        <v>-23.533541</v>
      </c>
      <c r="C19716" s="40" t="n">
        <v>-46.643273</v>
      </c>
      <c r="D19716" s="40" t="n">
        <v>53</v>
      </c>
      <c r="E19716" s="41" t="n">
        <v>1865.6945</v>
      </c>
    </row>
    <row r="19717">
      <c r="A19717" s="42">
        <f>_xlfn.XLOOKUP(83500,Trip[shape_id],Trip[shape_id],"Não encontrado")</f>
        <v/>
      </c>
      <c r="B19717" s="43" t="n">
        <v>-23.534112</v>
      </c>
      <c r="C19717" s="43" t="n">
        <v>-46.642841</v>
      </c>
      <c r="D19717" s="43" t="n">
        <v>54</v>
      </c>
      <c r="E19717" s="44" t="n">
        <v>1942.7997</v>
      </c>
    </row>
    <row r="19718">
      <c r="A19718" s="39">
        <f>_xlfn.XLOOKUP(83500,Trip[shape_id],Trip[shape_id],"Não encontrado")</f>
        <v/>
      </c>
      <c r="B19718" s="40" t="n">
        <v>-23.535671</v>
      </c>
      <c r="C19718" s="40" t="n">
        <v>-46.641673</v>
      </c>
      <c r="D19718" s="40" t="n">
        <v>55</v>
      </c>
      <c r="E19718" s="41" t="n">
        <v>2152.6501</v>
      </c>
    </row>
    <row r="19719">
      <c r="A19719" s="42">
        <f>_xlfn.XLOOKUP(83500,Trip[shape_id],Trip[shape_id],"Não encontrado")</f>
        <v/>
      </c>
      <c r="B19719" s="43" t="n">
        <v>-23.535791</v>
      </c>
      <c r="C19719" s="43" t="n">
        <v>-46.641565</v>
      </c>
      <c r="D19719" s="43" t="n">
        <v>56</v>
      </c>
      <c r="E19719" s="44" t="n">
        <v>2169.9204</v>
      </c>
    </row>
    <row r="19720">
      <c r="A19720" s="39">
        <f>_xlfn.XLOOKUP(83500,Trip[shape_id],Trip[shape_id],"Não encontrado")</f>
        <v/>
      </c>
      <c r="B19720" s="40" t="n">
        <v>-23.535879</v>
      </c>
      <c r="C19720" s="40" t="n">
        <v>-46.641481</v>
      </c>
      <c r="D19720" s="40" t="n">
        <v>57</v>
      </c>
      <c r="E19720" s="41" t="n">
        <v>2182.9033</v>
      </c>
    </row>
    <row r="19721">
      <c r="A19721" s="42">
        <f>_xlfn.XLOOKUP(83500,Trip[shape_id],Trip[shape_id],"Não encontrado")</f>
        <v/>
      </c>
      <c r="B19721" s="43" t="n">
        <v>-23.535675</v>
      </c>
      <c r="C19721" s="43" t="n">
        <v>-46.641185</v>
      </c>
      <c r="D19721" s="43" t="n">
        <v>58</v>
      </c>
      <c r="E19721" s="44" t="n">
        <v>2220.6396</v>
      </c>
    </row>
    <row r="19722">
      <c r="A19722" s="39">
        <f>_xlfn.XLOOKUP(83500,Trip[shape_id],Trip[shape_id],"Não encontrado")</f>
        <v/>
      </c>
      <c r="B19722" s="40" t="n">
        <v>-23.535317</v>
      </c>
      <c r="C19722" s="40" t="n">
        <v>-46.640648</v>
      </c>
      <c r="D19722" s="40" t="n">
        <v>59</v>
      </c>
      <c r="E19722" s="41" t="n">
        <v>2288.3074</v>
      </c>
    </row>
    <row r="19723">
      <c r="A19723" s="42">
        <f>_xlfn.XLOOKUP(83500,Trip[shape_id],Trip[shape_id],"Não encontrado")</f>
        <v/>
      </c>
      <c r="B19723" s="43" t="n">
        <v>-23.535197</v>
      </c>
      <c r="C19723" s="43" t="n">
        <v>-46.640494</v>
      </c>
      <c r="D19723" s="43" t="n">
        <v>60</v>
      </c>
      <c r="E19723" s="44" t="n">
        <v>2308.8967</v>
      </c>
    </row>
    <row r="19724">
      <c r="A19724" s="39">
        <f>_xlfn.XLOOKUP(83500,Trip[shape_id],Trip[shape_id],"Não encontrado")</f>
        <v/>
      </c>
      <c r="B19724" s="40" t="n">
        <v>-23.535086</v>
      </c>
      <c r="C19724" s="40" t="n">
        <v>-46.64034</v>
      </c>
      <c r="D19724" s="40" t="n">
        <v>61</v>
      </c>
      <c r="E19724" s="41" t="n">
        <v>2345.6023</v>
      </c>
    </row>
    <row r="19725">
      <c r="A19725" s="42">
        <f>_xlfn.XLOOKUP(83500,Trip[shape_id],Trip[shape_id],"Não encontrado")</f>
        <v/>
      </c>
      <c r="B19725" s="43" t="n">
        <v>-23.535049</v>
      </c>
      <c r="C19725" s="43" t="n">
        <v>-46.640181</v>
      </c>
      <c r="D19725" s="43" t="n">
        <v>62</v>
      </c>
      <c r="E19725" s="44" t="n">
        <v>2358.6746</v>
      </c>
    </row>
    <row r="19726">
      <c r="A19726" s="39">
        <f>_xlfn.XLOOKUP(83500,Trip[shape_id],Trip[shape_id],"Não encontrado")</f>
        <v/>
      </c>
      <c r="B19726" s="40" t="n">
        <v>-23.535051</v>
      </c>
      <c r="C19726" s="40" t="n">
        <v>-46.640053</v>
      </c>
      <c r="D19726" s="40" t="n">
        <v>63</v>
      </c>
      <c r="E19726" s="41" t="n">
        <v>2358.6746</v>
      </c>
    </row>
    <row r="19727">
      <c r="A19727" s="42">
        <f>_xlfn.XLOOKUP(83500,Trip[shape_id],Trip[shape_id],"Não encontrado")</f>
        <v/>
      </c>
      <c r="B19727" s="43" t="n">
        <v>-23.535054</v>
      </c>
      <c r="C19727" s="43" t="n">
        <v>-46.639828</v>
      </c>
      <c r="D19727" s="43" t="n">
        <v>64</v>
      </c>
      <c r="E19727" s="44" t="n">
        <v>2381.6526</v>
      </c>
    </row>
    <row r="19728">
      <c r="A19728" s="39">
        <f>_xlfn.XLOOKUP(83500,Trip[shape_id],Trip[shape_id],"Não encontrado")</f>
        <v/>
      </c>
      <c r="B19728" s="40" t="n">
        <v>-23.535072</v>
      </c>
      <c r="C19728" s="40" t="n">
        <v>-46.63936</v>
      </c>
      <c r="D19728" s="40" t="n">
        <v>65</v>
      </c>
      <c r="E19728" s="41" t="n">
        <v>2429.4834</v>
      </c>
    </row>
    <row r="19729">
      <c r="A19729" s="42">
        <f>_xlfn.XLOOKUP(83500,Trip[shape_id],Trip[shape_id],"Não encontrado")</f>
        <v/>
      </c>
      <c r="B19729" s="43" t="n">
        <v>-23.535084</v>
      </c>
      <c r="C19729" s="43" t="n">
        <v>-46.639185</v>
      </c>
      <c r="D19729" s="43" t="n">
        <v>66</v>
      </c>
      <c r="E19729" s="44" t="n">
        <v>2447.4028</v>
      </c>
    </row>
    <row r="19730">
      <c r="A19730" s="39">
        <f>_xlfn.XLOOKUP(83500,Trip[shape_id],Trip[shape_id],"Não encontrado")</f>
        <v/>
      </c>
      <c r="B19730" s="40" t="n">
        <v>-23.535138</v>
      </c>
      <c r="C19730" s="40" t="n">
        <v>-46.638354</v>
      </c>
      <c r="D19730" s="40" t="n">
        <v>67</v>
      </c>
      <c r="E19730" s="41" t="n">
        <v>2532.47</v>
      </c>
    </row>
    <row r="19731">
      <c r="A19731" s="42">
        <f>_xlfn.XLOOKUP(83500,Trip[shape_id],Trip[shape_id],"Não encontrado")</f>
        <v/>
      </c>
      <c r="B19731" s="43" t="n">
        <v>-23.535157</v>
      </c>
      <c r="C19731" s="43" t="n">
        <v>-46.637935</v>
      </c>
      <c r="D19731" s="43" t="n">
        <v>68</v>
      </c>
      <c r="E19731" s="44" t="n">
        <v>2575.3074</v>
      </c>
    </row>
    <row r="19732">
      <c r="A19732" s="39">
        <f>_xlfn.XLOOKUP(83500,Trip[shape_id],Trip[shape_id],"Não encontrado")</f>
        <v/>
      </c>
      <c r="B19732" s="40" t="n">
        <v>-23.535179</v>
      </c>
      <c r="C19732" s="40" t="n">
        <v>-46.637174</v>
      </c>
      <c r="D19732" s="40" t="n">
        <v>69</v>
      </c>
      <c r="E19732" s="41" t="n">
        <v>2653.0542</v>
      </c>
    </row>
    <row r="19733">
      <c r="A19733" s="42">
        <f>_xlfn.XLOOKUP(83500,Trip[shape_id],Trip[shape_id],"Não encontrado")</f>
        <v/>
      </c>
      <c r="B19733" s="43" t="n">
        <v>-23.53515</v>
      </c>
      <c r="C19733" s="43" t="n">
        <v>-46.637089</v>
      </c>
      <c r="D19733" s="43" t="n">
        <v>70</v>
      </c>
      <c r="E19733" s="44" t="n">
        <v>2662.3086</v>
      </c>
    </row>
    <row r="19734">
      <c r="A19734" s="39">
        <f>_xlfn.XLOOKUP(83500,Trip[shape_id],Trip[shape_id],"Não encontrado")</f>
        <v/>
      </c>
      <c r="B19734" s="40" t="n">
        <v>-23.535126</v>
      </c>
      <c r="C19734" s="40" t="n">
        <v>-46.637043</v>
      </c>
      <c r="D19734" s="40" t="n">
        <v>71</v>
      </c>
      <c r="E19734" s="41" t="n">
        <v>2676.9775</v>
      </c>
    </row>
    <row r="19735">
      <c r="A19735" s="42">
        <f>_xlfn.XLOOKUP(83500,Trip[shape_id],Trip[shape_id],"Não encontrado")</f>
        <v/>
      </c>
      <c r="B19735" s="43" t="n">
        <v>-23.535075</v>
      </c>
      <c r="C19735" s="43" t="n">
        <v>-46.636971</v>
      </c>
      <c r="D19735" s="43" t="n">
        <v>72</v>
      </c>
      <c r="E19735" s="44" t="n">
        <v>2683.7881</v>
      </c>
    </row>
    <row r="19736">
      <c r="A19736" s="39">
        <f>_xlfn.XLOOKUP(83500,Trip[shape_id],Trip[shape_id],"Não encontrado")</f>
        <v/>
      </c>
      <c r="B19736" s="40" t="n">
        <v>-23.535028</v>
      </c>
      <c r="C19736" s="40" t="n">
        <v>-46.636928</v>
      </c>
      <c r="D19736" s="40" t="n">
        <v>73</v>
      </c>
      <c r="E19736" s="41" t="n">
        <v>2683.7881</v>
      </c>
    </row>
    <row r="19737">
      <c r="A19737" s="42">
        <f>_xlfn.XLOOKUP(83500,Trip[shape_id],Trip[shape_id],"Não encontrado")</f>
        <v/>
      </c>
      <c r="B19737" s="43" t="n">
        <v>-23.534919</v>
      </c>
      <c r="C19737" s="43" t="n">
        <v>-46.636878</v>
      </c>
      <c r="D19737" s="43" t="n">
        <v>74</v>
      </c>
      <c r="E19737" s="44" t="n">
        <v>2719.2769</v>
      </c>
    </row>
    <row r="19738">
      <c r="A19738" s="39">
        <f>_xlfn.XLOOKUP(83500,Trip[shape_id],Trip[shape_id],"Não encontrado")</f>
        <v/>
      </c>
      <c r="B19738" s="40" t="n">
        <v>-23.534726</v>
      </c>
      <c r="C19738" s="40" t="n">
        <v>-46.636813</v>
      </c>
      <c r="D19738" s="40" t="n">
        <v>75</v>
      </c>
      <c r="E19738" s="41" t="n">
        <v>2751.9839</v>
      </c>
    </row>
    <row r="19739">
      <c r="A19739" s="42">
        <f>_xlfn.XLOOKUP(83500,Trip[shape_id],Trip[shape_id],"Não encontrado")</f>
        <v/>
      </c>
      <c r="B19739" s="43" t="n">
        <v>-23.534447</v>
      </c>
      <c r="C19739" s="43" t="n">
        <v>-46.636708</v>
      </c>
      <c r="D19739" s="43" t="n">
        <v>76</v>
      </c>
      <c r="E19739" s="44" t="n">
        <v>2751.9839</v>
      </c>
    </row>
    <row r="19740">
      <c r="A19740" s="39">
        <f>_xlfn.XLOOKUP(83500,Trip[shape_id],Trip[shape_id],"Não encontrado")</f>
        <v/>
      </c>
      <c r="B19740" s="40" t="n">
        <v>-23.534339</v>
      </c>
      <c r="C19740" s="40" t="n">
        <v>-46.636751</v>
      </c>
      <c r="D19740" s="40" t="n">
        <v>77</v>
      </c>
      <c r="E19740" s="41" t="n">
        <v>2781.1794</v>
      </c>
    </row>
    <row r="19741">
      <c r="A19741" s="42">
        <f>_xlfn.XLOOKUP(83500,Trip[shape_id],Trip[shape_id],"Não encontrado")</f>
        <v/>
      </c>
      <c r="B19741" s="43" t="n">
        <v>-23.534209</v>
      </c>
      <c r="C19741" s="43" t="n">
        <v>-46.636829</v>
      </c>
      <c r="D19741" s="43" t="n">
        <v>78</v>
      </c>
      <c r="E19741" s="44" t="n">
        <v>2792.9988</v>
      </c>
    </row>
    <row r="19742">
      <c r="A19742" s="39">
        <f>_xlfn.XLOOKUP(83500,Trip[shape_id],Trip[shape_id],"Não encontrado")</f>
        <v/>
      </c>
      <c r="B19742" s="40" t="n">
        <v>-23.534131</v>
      </c>
      <c r="C19742" s="40" t="n">
        <v>-46.636908</v>
      </c>
      <c r="D19742" s="40" t="n">
        <v>79</v>
      </c>
      <c r="E19742" s="41" t="n">
        <v>2792.9988</v>
      </c>
    </row>
    <row r="19743">
      <c r="A19743" s="42">
        <f>_xlfn.XLOOKUP(83500,Trip[shape_id],Trip[shape_id],"Não encontrado")</f>
        <v/>
      </c>
      <c r="B19743" s="43" t="n">
        <v>-23.534063</v>
      </c>
      <c r="C19743" s="43" t="n">
        <v>-46.637138</v>
      </c>
      <c r="D19743" s="43" t="n">
        <v>80</v>
      </c>
      <c r="E19743" s="44" t="n">
        <v>2817.6633</v>
      </c>
    </row>
    <row r="19744">
      <c r="A19744" s="39">
        <f>_xlfn.XLOOKUP(83500,Trip[shape_id],Trip[shape_id],"Não encontrado")</f>
        <v/>
      </c>
      <c r="B19744" s="40" t="n">
        <v>-23.53383</v>
      </c>
      <c r="C19744" s="40" t="n">
        <v>-46.637141</v>
      </c>
      <c r="D19744" s="40" t="n">
        <v>81</v>
      </c>
      <c r="E19744" s="41" t="n">
        <v>2860.7468</v>
      </c>
    </row>
    <row r="19745">
      <c r="A19745" s="42">
        <f>_xlfn.XLOOKUP(83500,Trip[shape_id],Trip[shape_id],"Não encontrado")</f>
        <v/>
      </c>
      <c r="B19745" s="43" t="n">
        <v>-23.533677</v>
      </c>
      <c r="C19745" s="43" t="n">
        <v>-46.637108</v>
      </c>
      <c r="D19745" s="43" t="n">
        <v>82</v>
      </c>
      <c r="E19745" s="44" t="n">
        <v>2887.283</v>
      </c>
    </row>
    <row r="19746">
      <c r="A19746" s="39">
        <f>_xlfn.XLOOKUP(83500,Trip[shape_id],Trip[shape_id],"Não encontrado")</f>
        <v/>
      </c>
      <c r="B19746" s="40" t="n">
        <v>-23.533446</v>
      </c>
      <c r="C19746" s="40" t="n">
        <v>-46.637039</v>
      </c>
      <c r="D19746" s="40" t="n">
        <v>83</v>
      </c>
      <c r="E19746" s="41" t="n">
        <v>2897.5754</v>
      </c>
    </row>
    <row r="19747">
      <c r="A19747" s="42">
        <f>_xlfn.XLOOKUP(83500,Trip[shape_id],Trip[shape_id],"Não encontrado")</f>
        <v/>
      </c>
      <c r="B19747" s="43" t="n">
        <v>-23.53337</v>
      </c>
      <c r="C19747" s="43" t="n">
        <v>-46.636981</v>
      </c>
      <c r="D19747" s="43" t="n">
        <v>84</v>
      </c>
      <c r="E19747" s="44" t="n">
        <v>2906.3157</v>
      </c>
    </row>
    <row r="19748">
      <c r="A19748" s="39">
        <f>_xlfn.XLOOKUP(83500,Trip[shape_id],Trip[shape_id],"Não encontrado")</f>
        <v/>
      </c>
      <c r="B19748" s="40" t="n">
        <v>-23.533292</v>
      </c>
      <c r="C19748" s="40" t="n">
        <v>-46.636994</v>
      </c>
      <c r="D19748" s="40" t="n">
        <v>85</v>
      </c>
      <c r="E19748" s="41" t="n">
        <v>3004.1509</v>
      </c>
    </row>
    <row r="19749">
      <c r="A19749" s="42">
        <f>_xlfn.XLOOKUP(83500,Trip[shape_id],Trip[shape_id],"Não encontrado")</f>
        <v/>
      </c>
      <c r="B19749" s="43" t="n">
        <v>-23.532441</v>
      </c>
      <c r="C19749" s="43" t="n">
        <v>-46.636737</v>
      </c>
      <c r="D19749" s="43" t="n">
        <v>86</v>
      </c>
      <c r="E19749" s="44" t="n">
        <v>3065.5076</v>
      </c>
    </row>
    <row r="19750">
      <c r="A19750" s="39">
        <f>_xlfn.XLOOKUP(83500,Trip[shape_id],Trip[shape_id],"Não encontrado")</f>
        <v/>
      </c>
      <c r="B19750" s="40" t="n">
        <v>-23.531907</v>
      </c>
      <c r="C19750" s="40" t="n">
        <v>-46.636577</v>
      </c>
      <c r="D19750" s="40" t="n">
        <v>87</v>
      </c>
      <c r="E19750" s="41" t="n">
        <v>3069.7432</v>
      </c>
    </row>
    <row r="19751">
      <c r="A19751" s="42">
        <f>_xlfn.XLOOKUP(83500,Trip[shape_id],Trip[shape_id],"Não encontrado")</f>
        <v/>
      </c>
      <c r="B19751" s="43" t="n">
        <v>-23.531871</v>
      </c>
      <c r="C19751" s="43" t="n">
        <v>-46.636563</v>
      </c>
      <c r="D19751" s="43" t="n">
        <v>88</v>
      </c>
      <c r="E19751" s="44" t="n">
        <v>3069.7432</v>
      </c>
    </row>
    <row r="19752">
      <c r="A19752" s="39">
        <f>_xlfn.XLOOKUP(83500,Trip[shape_id],Trip[shape_id],"Não encontrado")</f>
        <v/>
      </c>
      <c r="B19752" s="40" t="n">
        <v>-23.531765</v>
      </c>
      <c r="C19752" s="40" t="n">
        <v>-46.636476</v>
      </c>
      <c r="D19752" s="40" t="n">
        <v>89</v>
      </c>
      <c r="E19752" s="41" t="n">
        <v>3090.1895</v>
      </c>
    </row>
    <row r="19753">
      <c r="A19753" s="42">
        <f>_xlfn.XLOOKUP(83500,Trip[shape_id],Trip[shape_id],"Não encontrado")</f>
        <v/>
      </c>
      <c r="B19753" s="43" t="n">
        <v>-23.531727</v>
      </c>
      <c r="C19753" s="43" t="n">
        <v>-46.636438</v>
      </c>
      <c r="D19753" s="43" t="n">
        <v>90</v>
      </c>
      <c r="E19753" s="44" t="n">
        <v>3104.6797</v>
      </c>
    </row>
    <row r="19754">
      <c r="A19754" s="39">
        <f>_xlfn.XLOOKUP(83500,Trip[shape_id],Trip[shape_id],"Não encontrado")</f>
        <v/>
      </c>
      <c r="B19754" s="40" t="n">
        <v>-23.531679</v>
      </c>
      <c r="C19754" s="40" t="n">
        <v>-46.636306</v>
      </c>
      <c r="D19754" s="40" t="n">
        <v>91</v>
      </c>
      <c r="E19754" s="41" t="n">
        <v>3119.3428</v>
      </c>
    </row>
    <row r="19755">
      <c r="A19755" s="42">
        <f>_xlfn.XLOOKUP(83500,Trip[shape_id],Trip[shape_id],"Não encontrado")</f>
        <v/>
      </c>
      <c r="B19755" s="43" t="n">
        <v>-23.531667</v>
      </c>
      <c r="C19755" s="43" t="n">
        <v>-46.636163</v>
      </c>
      <c r="D19755" s="43" t="n">
        <v>92</v>
      </c>
      <c r="E19755" s="44" t="n">
        <v>3119.3428</v>
      </c>
    </row>
    <row r="19756">
      <c r="A19756" s="39">
        <f>_xlfn.XLOOKUP(83500,Trip[shape_id],Trip[shape_id],"Não encontrado")</f>
        <v/>
      </c>
      <c r="B19756" s="40" t="n">
        <v>-23.531957</v>
      </c>
      <c r="C19756" s="40" t="n">
        <v>-46.635009</v>
      </c>
      <c r="D19756" s="40" t="n">
        <v>93</v>
      </c>
      <c r="E19756" s="41" t="n">
        <v>3241.4836</v>
      </c>
    </row>
    <row r="19757">
      <c r="A19757" s="42">
        <f>_xlfn.XLOOKUP(83500,Trip[shape_id],Trip[shape_id],"Não encontrado")</f>
        <v/>
      </c>
      <c r="B19757" s="43" t="n">
        <v>-23.531971</v>
      </c>
      <c r="C19757" s="43" t="n">
        <v>-46.634888</v>
      </c>
      <c r="D19757" s="43" t="n">
        <v>94</v>
      </c>
      <c r="E19757" s="44" t="n">
        <v>3261.6821</v>
      </c>
    </row>
    <row r="19758">
      <c r="A19758" s="39">
        <f>_xlfn.XLOOKUP(83500,Trip[shape_id],Trip[shape_id],"Não encontrado")</f>
        <v/>
      </c>
      <c r="B19758" s="40" t="n">
        <v>-23.531952</v>
      </c>
      <c r="C19758" s="40" t="n">
        <v>-46.634815</v>
      </c>
      <c r="D19758" s="40" t="n">
        <v>95</v>
      </c>
      <c r="E19758" s="41" t="n">
        <v>3261.6821</v>
      </c>
    </row>
    <row r="19759">
      <c r="A19759" s="42">
        <f>_xlfn.XLOOKUP(83500,Trip[shape_id],Trip[shape_id],"Não encontrado")</f>
        <v/>
      </c>
      <c r="B19759" s="43" t="n">
        <v>-23.53195</v>
      </c>
      <c r="C19759" s="43" t="n">
        <v>-46.634708</v>
      </c>
      <c r="D19759" s="43" t="n">
        <v>96</v>
      </c>
      <c r="E19759" s="44" t="n">
        <v>3292.8979</v>
      </c>
    </row>
    <row r="19760">
      <c r="A19760" s="39">
        <f>_xlfn.XLOOKUP(83500,Trip[shape_id],Trip[shape_id],"Não encontrado")</f>
        <v/>
      </c>
      <c r="B19760" s="40" t="n">
        <v>-23.531965</v>
      </c>
      <c r="C19760" s="40" t="n">
        <v>-46.63451</v>
      </c>
      <c r="D19760" s="40" t="n">
        <v>97</v>
      </c>
      <c r="E19760" s="41" t="n">
        <v>3292.8979</v>
      </c>
    </row>
    <row r="19761">
      <c r="A19761" s="42">
        <f>_xlfn.XLOOKUP(83500,Trip[shape_id],Trip[shape_id],"Não encontrado")</f>
        <v/>
      </c>
      <c r="B19761" s="43" t="n">
        <v>-23.532043</v>
      </c>
      <c r="C19761" s="43" t="n">
        <v>-46.634139</v>
      </c>
      <c r="D19761" s="43" t="n">
        <v>98</v>
      </c>
      <c r="E19761" s="44" t="n">
        <v>3331.7556</v>
      </c>
    </row>
    <row r="19762">
      <c r="A19762" s="39">
        <f>_xlfn.XLOOKUP(83500,Trip[shape_id],Trip[shape_id],"Não encontrado")</f>
        <v/>
      </c>
      <c r="B19762" s="40" t="n">
        <v>-23.532051</v>
      </c>
      <c r="C19762" s="40" t="n">
        <v>-46.634065</v>
      </c>
      <c r="D19762" s="40" t="n">
        <v>99</v>
      </c>
      <c r="E19762" s="41" t="n">
        <v>3339.3635</v>
      </c>
    </row>
    <row r="19763">
      <c r="A19763" s="42">
        <f>_xlfn.XLOOKUP(83500,Trip[shape_id],Trip[shape_id],"Não encontrado")</f>
        <v/>
      </c>
      <c r="B19763" s="43" t="n">
        <v>-23.532057</v>
      </c>
      <c r="C19763" s="43" t="n">
        <v>-46.633759</v>
      </c>
      <c r="D19763" s="43" t="n">
        <v>100</v>
      </c>
      <c r="E19763" s="44" t="n">
        <v>3370.6182</v>
      </c>
    </row>
    <row r="19764">
      <c r="A19764" s="39">
        <f>_xlfn.XLOOKUP(83500,Trip[shape_id],Trip[shape_id],"Não encontrado")</f>
        <v/>
      </c>
      <c r="B19764" s="40" t="n">
        <v>-23.532066</v>
      </c>
      <c r="C19764" s="40" t="n">
        <v>-46.633624</v>
      </c>
      <c r="D19764" s="40" t="n">
        <v>101</v>
      </c>
      <c r="E19764" s="41" t="n">
        <v>3384.4399</v>
      </c>
    </row>
    <row r="19765">
      <c r="A19765" s="42">
        <f>_xlfn.XLOOKUP(83500,Trip[shape_id],Trip[shape_id],"Não encontrado")</f>
        <v/>
      </c>
      <c r="B19765" s="43" t="n">
        <v>-23.532102</v>
      </c>
      <c r="C19765" s="43" t="n">
        <v>-46.633479</v>
      </c>
      <c r="D19765" s="43" t="n">
        <v>102</v>
      </c>
      <c r="E19765" s="44" t="n">
        <v>3399.7744</v>
      </c>
    </row>
    <row r="19766">
      <c r="A19766" s="39">
        <f>_xlfn.XLOOKUP(83500,Trip[shape_id],Trip[shape_id],"Não encontrado")</f>
        <v/>
      </c>
      <c r="B19766" s="40" t="n">
        <v>-23.53219</v>
      </c>
      <c r="C19766" s="40" t="n">
        <v>-46.633114</v>
      </c>
      <c r="D19766" s="40" t="n">
        <v>103</v>
      </c>
      <c r="E19766" s="41" t="n">
        <v>3438.3</v>
      </c>
    </row>
    <row r="19767">
      <c r="A19767" s="42">
        <f>_xlfn.XLOOKUP(83500,Trip[shape_id],Trip[shape_id],"Não encontrado")</f>
        <v/>
      </c>
      <c r="B19767" s="43" t="n">
        <v>-23.53227</v>
      </c>
      <c r="C19767" s="43" t="n">
        <v>-46.632806</v>
      </c>
      <c r="D19767" s="43" t="n">
        <v>104</v>
      </c>
      <c r="E19767" s="44" t="n">
        <v>3470.9761</v>
      </c>
    </row>
    <row r="19768">
      <c r="A19768" s="39">
        <f>_xlfn.XLOOKUP(83500,Trip[shape_id],Trip[shape_id],"Não encontrado")</f>
        <v/>
      </c>
      <c r="B19768" s="40" t="n">
        <v>-23.532295</v>
      </c>
      <c r="C19768" s="40" t="n">
        <v>-46.632663</v>
      </c>
      <c r="D19768" s="40" t="n">
        <v>105</v>
      </c>
      <c r="E19768" s="41" t="n">
        <v>3485.8389</v>
      </c>
    </row>
    <row r="19769">
      <c r="A19769" s="42">
        <f>_xlfn.XLOOKUP(83500,Trip[shape_id],Trip[shape_id],"Não encontrado")</f>
        <v/>
      </c>
      <c r="B19769" s="43" t="n">
        <v>-23.532327</v>
      </c>
      <c r="C19769" s="43" t="n">
        <v>-46.632535</v>
      </c>
      <c r="D19769" s="43" t="n">
        <v>106</v>
      </c>
      <c r="E19769" s="44" t="n">
        <v>3499.3816</v>
      </c>
    </row>
    <row r="19770">
      <c r="A19770" s="39">
        <f>_xlfn.XLOOKUP(83500,Trip[shape_id],Trip[shape_id],"Não encontrado")</f>
        <v/>
      </c>
      <c r="B19770" s="40" t="n">
        <v>-23.532359</v>
      </c>
      <c r="C19770" s="40" t="n">
        <v>-46.632381</v>
      </c>
      <c r="D19770" s="40" t="n">
        <v>107</v>
      </c>
      <c r="E19770" s="41" t="n">
        <v>3515.5017</v>
      </c>
    </row>
    <row r="19771">
      <c r="A19771" s="42">
        <f>_xlfn.XLOOKUP(83500,Trip[shape_id],Trip[shape_id],"Não encontrado")</f>
        <v/>
      </c>
      <c r="B19771" s="43" t="n">
        <v>-23.531455</v>
      </c>
      <c r="C19771" s="43" t="n">
        <v>-46.632109</v>
      </c>
      <c r="D19771" s="43" t="n">
        <v>108</v>
      </c>
      <c r="E19771" s="44" t="n">
        <v>3662.6758</v>
      </c>
    </row>
    <row r="19772">
      <c r="A19772" s="39">
        <f>_xlfn.XLOOKUP(83500,Trip[shape_id],Trip[shape_id],"Não encontrado")</f>
        <v/>
      </c>
      <c r="B19772" s="40" t="n">
        <v>-23.53108</v>
      </c>
      <c r="C19772" s="40" t="n">
        <v>-46.63199</v>
      </c>
      <c r="D19772" s="40" t="n">
        <v>109</v>
      </c>
      <c r="E19772" s="41" t="n">
        <v>3662.6758</v>
      </c>
    </row>
    <row r="19773">
      <c r="A19773" s="42">
        <f>_xlfn.XLOOKUP(83500,Trip[shape_id],Trip[shape_id],"Não encontrado")</f>
        <v/>
      </c>
      <c r="B19773" s="43" t="n">
        <v>-23.530152</v>
      </c>
      <c r="C19773" s="43" t="n">
        <v>-46.631712</v>
      </c>
      <c r="D19773" s="43" t="n">
        <v>110</v>
      </c>
      <c r="E19773" s="44" t="n">
        <v>3872.1084</v>
      </c>
    </row>
    <row r="19774">
      <c r="A19774" s="39">
        <f>_xlfn.XLOOKUP(83500,Trip[shape_id],Trip[shape_id],"Não encontrado")</f>
        <v/>
      </c>
      <c r="B19774" s="40" t="n">
        <v>-23.529258</v>
      </c>
      <c r="C19774" s="40" t="n">
        <v>-46.631441</v>
      </c>
      <c r="D19774" s="40" t="n">
        <v>111</v>
      </c>
      <c r="E19774" s="41" t="n">
        <v>3872.1084</v>
      </c>
    </row>
    <row r="19775">
      <c r="A19775" s="42">
        <f>_xlfn.XLOOKUP(83500,Trip[shape_id],Trip[shape_id],"Não encontrado")</f>
        <v/>
      </c>
      <c r="B19775" s="43" t="n">
        <v>-23.528885</v>
      </c>
      <c r="C19775" s="43" t="n">
        <v>-46.631327</v>
      </c>
      <c r="D19775" s="43" t="n">
        <v>112</v>
      </c>
      <c r="E19775" s="44" t="n">
        <v>3915.0276</v>
      </c>
    </row>
    <row r="19776">
      <c r="A19776" s="39">
        <f>_xlfn.XLOOKUP(83500,Trip[shape_id],Trip[shape_id],"Não encontrado")</f>
        <v/>
      </c>
      <c r="B19776" s="40" t="n">
        <v>-23.528667</v>
      </c>
      <c r="C19776" s="40" t="n">
        <v>-46.631236</v>
      </c>
      <c r="D19776" s="40" t="n">
        <v>113</v>
      </c>
      <c r="E19776" s="41" t="n">
        <v>3940.8982</v>
      </c>
    </row>
    <row r="19777">
      <c r="A19777" s="42">
        <f>_xlfn.XLOOKUP(83500,Trip[shape_id],Trip[shape_id],"Não encontrado")</f>
        <v/>
      </c>
      <c r="B19777" s="43" t="n">
        <v>-23.528057</v>
      </c>
      <c r="C19777" s="43" t="n">
        <v>-46.630988</v>
      </c>
      <c r="D19777" s="43" t="n">
        <v>114</v>
      </c>
      <c r="E19777" s="44" t="n">
        <v>4013.0474</v>
      </c>
    </row>
    <row r="19778">
      <c r="A19778" s="39">
        <f>_xlfn.XLOOKUP(83500,Trip[shape_id],Trip[shape_id],"Não encontrado")</f>
        <v/>
      </c>
      <c r="B19778" s="40" t="n">
        <v>-23.527667</v>
      </c>
      <c r="C19778" s="40" t="n">
        <v>-46.630823</v>
      </c>
      <c r="D19778" s="40" t="n">
        <v>115</v>
      </c>
      <c r="E19778" s="41" t="n">
        <v>4059.4106</v>
      </c>
    </row>
    <row r="19779">
      <c r="A19779" s="42">
        <f>_xlfn.XLOOKUP(83500,Trip[shape_id],Trip[shape_id],"Não encontrado")</f>
        <v/>
      </c>
      <c r="B19779" s="43" t="n">
        <v>-23.527618</v>
      </c>
      <c r="C19779" s="43" t="n">
        <v>-46.630806</v>
      </c>
      <c r="D19779" s="43" t="n">
        <v>116</v>
      </c>
      <c r="E19779" s="44" t="n">
        <v>4068.8557</v>
      </c>
    </row>
    <row r="19780">
      <c r="A19780" s="39">
        <f>_xlfn.XLOOKUP(83500,Trip[shape_id],Trip[shape_id],"Não encontrado")</f>
        <v/>
      </c>
      <c r="B19780" s="40" t="n">
        <v>-23.527588</v>
      </c>
      <c r="C19780" s="40" t="n">
        <v>-46.630789</v>
      </c>
      <c r="D19780" s="40" t="n">
        <v>117</v>
      </c>
      <c r="E19780" s="41" t="n">
        <v>4122.0103</v>
      </c>
    </row>
    <row r="19781">
      <c r="A19781" s="42">
        <f>_xlfn.XLOOKUP(83500,Trip[shape_id],Trip[shape_id],"Não encontrado")</f>
        <v/>
      </c>
      <c r="B19781" s="43" t="n">
        <v>-23.527157</v>
      </c>
      <c r="C19781" s="43" t="n">
        <v>-46.63056</v>
      </c>
      <c r="D19781" s="43" t="n">
        <v>118</v>
      </c>
      <c r="E19781" s="44" t="n">
        <v>4182.4536</v>
      </c>
    </row>
    <row r="19782">
      <c r="A19782" s="39">
        <f>_xlfn.XLOOKUP(83500,Trip[shape_id],Trip[shape_id],"Não encontrado")</f>
        <v/>
      </c>
      <c r="B19782" s="40" t="n">
        <v>-23.526669</v>
      </c>
      <c r="C19782" s="40" t="n">
        <v>-46.630295</v>
      </c>
      <c r="D19782" s="40" t="n">
        <v>119</v>
      </c>
      <c r="E19782" s="41" t="n">
        <v>4187.8706</v>
      </c>
    </row>
    <row r="19783">
      <c r="A19783" s="42">
        <f>_xlfn.XLOOKUP(83500,Trip[shape_id],Trip[shape_id],"Não encontrado")</f>
        <v/>
      </c>
      <c r="B19783" s="43" t="n">
        <v>-23.52663</v>
      </c>
      <c r="C19783" s="43" t="n">
        <v>-46.630263</v>
      </c>
      <c r="D19783" s="43" t="n">
        <v>120</v>
      </c>
      <c r="E19783" s="44" t="n">
        <v>4194.2759</v>
      </c>
    </row>
    <row r="19784">
      <c r="A19784" s="39">
        <f>_xlfn.XLOOKUP(83500,Trip[shape_id],Trip[shape_id],"Não encontrado")</f>
        <v/>
      </c>
      <c r="B19784" s="40" t="n">
        <v>-23.526582</v>
      </c>
      <c r="C19784" s="40" t="n">
        <v>-46.630228</v>
      </c>
      <c r="D19784" s="40" t="n">
        <v>121</v>
      </c>
      <c r="E19784" s="41" t="n">
        <v>4194.2759</v>
      </c>
    </row>
    <row r="19785">
      <c r="A19785" s="42">
        <f>_xlfn.XLOOKUP(83500,Trip[shape_id],Trip[shape_id],"Não encontrado")</f>
        <v/>
      </c>
      <c r="B19785" s="43" t="n">
        <v>-23.526406</v>
      </c>
      <c r="C19785" s="43" t="n">
        <v>-46.630043</v>
      </c>
      <c r="D19785" s="43" t="n">
        <v>122</v>
      </c>
      <c r="E19785" s="44" t="n">
        <v>4245.4624</v>
      </c>
    </row>
    <row r="19786">
      <c r="A19786" s="39">
        <f>_xlfn.XLOOKUP(83500,Trip[shape_id],Trip[shape_id],"Não encontrado")</f>
        <v/>
      </c>
      <c r="B19786" s="40" t="n">
        <v>-23.526253</v>
      </c>
      <c r="C19786" s="40" t="n">
        <v>-46.629876</v>
      </c>
      <c r="D19786" s="40" t="n">
        <v>123</v>
      </c>
      <c r="E19786" s="41" t="n">
        <v>4274.9946</v>
      </c>
    </row>
    <row r="19787">
      <c r="A19787" s="42">
        <f>_xlfn.XLOOKUP(83500,Trip[shape_id],Trip[shape_id],"Não encontrado")</f>
        <v/>
      </c>
      <c r="B19787" s="43" t="n">
        <v>-23.526064</v>
      </c>
      <c r="C19787" s="43" t="n">
        <v>-46.629672</v>
      </c>
      <c r="D19787" s="43" t="n">
        <v>124</v>
      </c>
      <c r="E19787" s="44" t="n">
        <v>4274.9946</v>
      </c>
    </row>
    <row r="19788">
      <c r="A19788" s="39">
        <f>_xlfn.XLOOKUP(83500,Trip[shape_id],Trip[shape_id],"Não encontrado")</f>
        <v/>
      </c>
      <c r="B19788" s="40" t="n">
        <v>-23.525854</v>
      </c>
      <c r="C19788" s="40" t="n">
        <v>-46.629441</v>
      </c>
      <c r="D19788" s="40" t="n">
        <v>125</v>
      </c>
      <c r="E19788" s="41" t="n">
        <v>4308.1221</v>
      </c>
    </row>
    <row r="19789">
      <c r="A19789" s="42">
        <f>_xlfn.XLOOKUP(83500,Trip[shape_id],Trip[shape_id],"Não encontrado")</f>
        <v/>
      </c>
      <c r="B19789" s="43" t="n">
        <v>-23.525469</v>
      </c>
      <c r="C19789" s="43" t="n">
        <v>-46.628945</v>
      </c>
      <c r="D19789" s="43" t="n">
        <v>126</v>
      </c>
      <c r="E19789" s="44" t="n">
        <v>4374.332</v>
      </c>
    </row>
    <row r="19790">
      <c r="A19790" s="39">
        <f>_xlfn.XLOOKUP(83500,Trip[shape_id],Trip[shape_id],"Não encontrado")</f>
        <v/>
      </c>
      <c r="B19790" s="40" t="n">
        <v>-23.525341</v>
      </c>
      <c r="C19790" s="40" t="n">
        <v>-46.628815</v>
      </c>
      <c r="D19790" s="40" t="n">
        <v>127</v>
      </c>
      <c r="E19790" s="41" t="n">
        <v>4403.6729</v>
      </c>
    </row>
    <row r="19791">
      <c r="A19791" s="42">
        <f>_xlfn.XLOOKUP(83500,Trip[shape_id],Trip[shape_id],"Não encontrado")</f>
        <v/>
      </c>
      <c r="B19791" s="43" t="n">
        <v>-23.525293</v>
      </c>
      <c r="C19791" s="43" t="n">
        <v>-46.628733</v>
      </c>
      <c r="D19791" s="43" t="n">
        <v>128</v>
      </c>
      <c r="E19791" s="44" t="n">
        <v>4412.0366</v>
      </c>
    </row>
    <row r="19792">
      <c r="A19792" s="39">
        <f>_xlfn.XLOOKUP(83500,Trip[shape_id],Trip[shape_id],"Não encontrado")</f>
        <v/>
      </c>
      <c r="B19792" s="40" t="n">
        <v>-23.525257</v>
      </c>
      <c r="C19792" s="40" t="n">
        <v>-46.628661</v>
      </c>
      <c r="D19792" s="40" t="n">
        <v>129</v>
      </c>
      <c r="E19792" s="41" t="n">
        <v>4419.0117</v>
      </c>
    </row>
    <row r="19793">
      <c r="A19793" s="42">
        <f>_xlfn.XLOOKUP(83500,Trip[shape_id],Trip[shape_id],"Não encontrado")</f>
        <v/>
      </c>
      <c r="B19793" s="43" t="n">
        <v>-23.525235</v>
      </c>
      <c r="C19793" s="43" t="n">
        <v>-46.628597</v>
      </c>
      <c r="D19793" s="43" t="n">
        <v>130</v>
      </c>
      <c r="E19793" s="44" t="n">
        <v>4432.9287</v>
      </c>
    </row>
    <row r="19794">
      <c r="A19794" s="39">
        <f>_xlfn.XLOOKUP(83500,Trip[shape_id],Trip[shape_id],"Não encontrado")</f>
        <v/>
      </c>
      <c r="B19794" s="40" t="n">
        <v>-23.525227</v>
      </c>
      <c r="C19794" s="40" t="n">
        <v>-46.628461</v>
      </c>
      <c r="D19794" s="40" t="n">
        <v>131</v>
      </c>
      <c r="E19794" s="41" t="n">
        <v>4444.8955</v>
      </c>
    </row>
    <row r="19795">
      <c r="A19795" s="42">
        <f>_xlfn.XLOOKUP(83500,Trip[shape_id],Trip[shape_id],"Não encontrado")</f>
        <v/>
      </c>
      <c r="B19795" s="43" t="n">
        <v>-23.525221</v>
      </c>
      <c r="C19795" s="43" t="n">
        <v>-46.628344</v>
      </c>
      <c r="D19795" s="43" t="n">
        <v>132</v>
      </c>
      <c r="E19795" s="44" t="n">
        <v>4444.8955</v>
      </c>
    </row>
    <row r="19796">
      <c r="A19796" s="39">
        <f>_xlfn.XLOOKUP(83500,Trip[shape_id],Trip[shape_id],"Não encontrado")</f>
        <v/>
      </c>
      <c r="B19796" s="40" t="n">
        <v>-23.525268</v>
      </c>
      <c r="C19796" s="40" t="n">
        <v>-46.627831</v>
      </c>
      <c r="D19796" s="40" t="n">
        <v>133</v>
      </c>
      <c r="E19796" s="41" t="n">
        <v>4564.3882</v>
      </c>
    </row>
    <row r="19797">
      <c r="A19797" s="42">
        <f>_xlfn.XLOOKUP(83500,Trip[shape_id],Trip[shape_id],"Não encontrado")</f>
        <v/>
      </c>
      <c r="B19797" s="43" t="n">
        <v>-23.525331</v>
      </c>
      <c r="C19797" s="43" t="n">
        <v>-46.62718</v>
      </c>
      <c r="D19797" s="43" t="n">
        <v>134</v>
      </c>
      <c r="E19797" s="44" t="n">
        <v>4652.4331</v>
      </c>
    </row>
    <row r="19798">
      <c r="A19798" s="39">
        <f>_xlfn.XLOOKUP(83500,Trip[shape_id],Trip[shape_id],"Não encontrado")</f>
        <v/>
      </c>
      <c r="B19798" s="40" t="n">
        <v>-23.525409</v>
      </c>
      <c r="C19798" s="40" t="n">
        <v>-46.626322</v>
      </c>
      <c r="D19798" s="40" t="n">
        <v>135</v>
      </c>
      <c r="E19798" s="41" t="n">
        <v>4730.4771</v>
      </c>
    </row>
    <row r="19799">
      <c r="A19799" s="42">
        <f>_xlfn.XLOOKUP(83500,Trip[shape_id],Trip[shape_id],"Não encontrado")</f>
        <v/>
      </c>
      <c r="B19799" s="43" t="n">
        <v>-23.525483</v>
      </c>
      <c r="C19799" s="43" t="n">
        <v>-46.625562</v>
      </c>
      <c r="D19799" s="43" t="n">
        <v>136</v>
      </c>
      <c r="E19799" s="44" t="n">
        <v>4730.4771</v>
      </c>
    </row>
    <row r="19800">
      <c r="A19800" s="39">
        <f>_xlfn.XLOOKUP(83500,Trip[shape_id],Trip[shape_id],"Não encontrado")</f>
        <v/>
      </c>
      <c r="B19800" s="40" t="n">
        <v>-23.525296</v>
      </c>
      <c r="C19800" s="40" t="n">
        <v>-46.625308</v>
      </c>
      <c r="D19800" s="40" t="n">
        <v>137</v>
      </c>
      <c r="E19800" s="41" t="n">
        <v>4763.6699</v>
      </c>
    </row>
    <row r="19801">
      <c r="A19801" s="42">
        <f>_xlfn.XLOOKUP(83500,Trip[shape_id],Trip[shape_id],"Não encontrado")</f>
        <v/>
      </c>
      <c r="B19801" s="43" t="n">
        <v>-23.524633</v>
      </c>
      <c r="C19801" s="43" t="n">
        <v>-46.625285</v>
      </c>
      <c r="D19801" s="43" t="n">
        <v>138</v>
      </c>
      <c r="E19801" s="44" t="n">
        <v>4837.1357</v>
      </c>
    </row>
    <row r="19802">
      <c r="A19802" s="39">
        <f>_xlfn.XLOOKUP(83500,Trip[shape_id],Trip[shape_id],"Não encontrado")</f>
        <v/>
      </c>
      <c r="B19802" s="40" t="n">
        <v>-23.524224</v>
      </c>
      <c r="C19802" s="40" t="n">
        <v>-46.625278</v>
      </c>
      <c r="D19802" s="40" t="n">
        <v>139</v>
      </c>
      <c r="E19802" s="41" t="n">
        <v>4882.4385</v>
      </c>
    </row>
    <row r="19803">
      <c r="A19803" s="42">
        <f>_xlfn.XLOOKUP(83500,Trip[shape_id],Trip[shape_id],"Não encontrado")</f>
        <v/>
      </c>
      <c r="B19803" s="43" t="n">
        <v>-23.523765</v>
      </c>
      <c r="C19803" s="43" t="n">
        <v>-46.625255</v>
      </c>
      <c r="D19803" s="43" t="n">
        <v>140</v>
      </c>
      <c r="E19803" s="44" t="n">
        <v>5005.4683</v>
      </c>
    </row>
    <row r="19804">
      <c r="A19804" s="39">
        <f>_xlfn.XLOOKUP(83500,Trip[shape_id],Trip[shape_id],"Não encontrado")</f>
        <v/>
      </c>
      <c r="B19804" s="40" t="n">
        <v>-23.523114</v>
      </c>
      <c r="C19804" s="40" t="n">
        <v>-46.625231</v>
      </c>
      <c r="D19804" s="40" t="n">
        <v>141</v>
      </c>
      <c r="E19804" s="41" t="n">
        <v>5005.4683</v>
      </c>
    </row>
    <row r="19805">
      <c r="A19805" s="42">
        <f>_xlfn.XLOOKUP(83500,Trip[shape_id],Trip[shape_id],"Não encontrado")</f>
        <v/>
      </c>
      <c r="B19805" s="43" t="n">
        <v>-23.522892</v>
      </c>
      <c r="C19805" s="43" t="n">
        <v>-46.625219</v>
      </c>
      <c r="D19805" s="43" t="n">
        <v>142</v>
      </c>
      <c r="E19805" s="44" t="n">
        <v>5030.0854</v>
      </c>
    </row>
    <row r="19806">
      <c r="A19806" s="39">
        <f>_xlfn.XLOOKUP(83500,Trip[shape_id],Trip[shape_id],"Não encontrado")</f>
        <v/>
      </c>
      <c r="B19806" s="40" t="n">
        <v>-23.522819</v>
      </c>
      <c r="C19806" s="40" t="n">
        <v>-46.625213</v>
      </c>
      <c r="D19806" s="40" t="n">
        <v>143</v>
      </c>
      <c r="E19806" s="41" t="n">
        <v>5078.6177</v>
      </c>
    </row>
    <row r="19807">
      <c r="A19807" s="42">
        <f>_xlfn.XLOOKUP(83500,Trip[shape_id],Trip[shape_id],"Não encontrado")</f>
        <v/>
      </c>
      <c r="B19807" s="43" t="n">
        <v>-23.522454</v>
      </c>
      <c r="C19807" s="43" t="n">
        <v>-46.625211</v>
      </c>
      <c r="D19807" s="43" t="n">
        <v>144</v>
      </c>
      <c r="E19807" s="44" t="n">
        <v>5078.6177</v>
      </c>
    </row>
    <row r="19808">
      <c r="A19808" s="39">
        <f>_xlfn.XLOOKUP(83500,Trip[shape_id],Trip[shape_id],"Não encontrado")</f>
        <v/>
      </c>
      <c r="B19808" s="40" t="n">
        <v>-23.52171</v>
      </c>
      <c r="C19808" s="40" t="n">
        <v>-46.625202</v>
      </c>
      <c r="D19808" s="40" t="n">
        <v>145</v>
      </c>
      <c r="E19808" s="41" t="n">
        <v>5161.022</v>
      </c>
    </row>
    <row r="19809">
      <c r="A19809" s="42">
        <f>_xlfn.XLOOKUP(83500,Trip[shape_id],Trip[shape_id],"Não encontrado")</f>
        <v/>
      </c>
      <c r="B19809" s="43" t="n">
        <v>-23.520571</v>
      </c>
      <c r="C19809" s="43" t="n">
        <v>-46.625183</v>
      </c>
      <c r="D19809" s="43" t="n">
        <v>146</v>
      </c>
      <c r="E19809" s="44" t="n">
        <v>5287.1826</v>
      </c>
    </row>
    <row r="19810">
      <c r="A19810" s="39">
        <f>_xlfn.XLOOKUP(83500,Trip[shape_id],Trip[shape_id],"Não encontrado")</f>
        <v/>
      </c>
      <c r="B19810" s="40" t="n">
        <v>-23.520501</v>
      </c>
      <c r="C19810" s="40" t="n">
        <v>-46.62518</v>
      </c>
      <c r="D19810" s="40" t="n">
        <v>147</v>
      </c>
      <c r="E19810" s="41" t="n">
        <v>5294.9414</v>
      </c>
    </row>
    <row r="19811">
      <c r="A19811" s="42">
        <f>_xlfn.XLOOKUP(83500,Trip[shape_id],Trip[shape_id],"Não encontrado")</f>
        <v/>
      </c>
      <c r="B19811" s="43" t="n">
        <v>-23.51991</v>
      </c>
      <c r="C19811" s="43" t="n">
        <v>-46.625165</v>
      </c>
      <c r="D19811" s="43" t="n">
        <v>148</v>
      </c>
      <c r="E19811" s="44" t="n">
        <v>5402.7329</v>
      </c>
    </row>
    <row r="19812">
      <c r="A19812" s="39">
        <f>_xlfn.XLOOKUP(83500,Trip[shape_id],Trip[shape_id],"Não encontrado")</f>
        <v/>
      </c>
      <c r="B19812" s="40" t="n">
        <v>-23.519528</v>
      </c>
      <c r="C19812" s="40" t="n">
        <v>-46.625155</v>
      </c>
      <c r="D19812" s="40" t="n">
        <v>149</v>
      </c>
      <c r="E19812" s="41" t="n">
        <v>5564.7485</v>
      </c>
    </row>
    <row r="19813">
      <c r="A19813" s="42">
        <f>_xlfn.XLOOKUP(83500,Trip[shape_id],Trip[shape_id],"Não encontrado")</f>
        <v/>
      </c>
      <c r="B19813" s="43" t="n">
        <v>-23.518066</v>
      </c>
      <c r="C19813" s="43" t="n">
        <v>-46.6251</v>
      </c>
      <c r="D19813" s="43" t="n">
        <v>150</v>
      </c>
      <c r="E19813" s="44" t="n">
        <v>5564.7485</v>
      </c>
    </row>
    <row r="19814">
      <c r="A19814" s="39">
        <f>_xlfn.XLOOKUP(83500,Trip[shape_id],Trip[shape_id],"Não encontrado")</f>
        <v/>
      </c>
      <c r="B19814" s="40" t="n">
        <v>-23.517089</v>
      </c>
      <c r="C19814" s="40" t="n">
        <v>-46.625074</v>
      </c>
      <c r="D19814" s="40" t="n">
        <v>151</v>
      </c>
      <c r="E19814" s="41" t="n">
        <v>5672.9854</v>
      </c>
    </row>
    <row r="19815">
      <c r="A19815" s="42">
        <f>_xlfn.XLOOKUP(83500,Trip[shape_id],Trip[shape_id],"Não encontrado")</f>
        <v/>
      </c>
      <c r="B19815" s="43" t="n">
        <v>-23.516911</v>
      </c>
      <c r="C19815" s="43" t="n">
        <v>-46.625064</v>
      </c>
      <c r="D19815" s="43" t="n">
        <v>152</v>
      </c>
      <c r="E19815" s="44" t="n">
        <v>5692.7256</v>
      </c>
    </row>
    <row r="19816">
      <c r="A19816" s="39">
        <f>_xlfn.XLOOKUP(83500,Trip[shape_id],Trip[shape_id],"Não encontrado")</f>
        <v/>
      </c>
      <c r="B19816" s="40" t="n">
        <v>-23.516598</v>
      </c>
      <c r="C19816" s="40" t="n">
        <v>-46.625036</v>
      </c>
      <c r="D19816" s="40" t="n">
        <v>153</v>
      </c>
      <c r="E19816" s="41" t="n">
        <v>5727.5083</v>
      </c>
    </row>
    <row r="19817">
      <c r="A19817" s="42">
        <f>_xlfn.XLOOKUP(83500,Trip[shape_id],Trip[shape_id],"Não encontrado")</f>
        <v/>
      </c>
      <c r="B19817" s="43" t="n">
        <v>-23.516318</v>
      </c>
      <c r="C19817" s="43" t="n">
        <v>-46.625018</v>
      </c>
      <c r="D19817" s="43" t="n">
        <v>154</v>
      </c>
      <c r="E19817" s="44" t="n">
        <v>5787.2695</v>
      </c>
    </row>
    <row r="19818">
      <c r="A19818" s="39">
        <f>_xlfn.XLOOKUP(83500,Trip[shape_id],Trip[shape_id],"Não encontrado")</f>
        <v/>
      </c>
      <c r="B19818" s="40" t="n">
        <v>-23.516059</v>
      </c>
      <c r="C19818" s="40" t="n">
        <v>-46.62501</v>
      </c>
      <c r="D19818" s="40" t="n">
        <v>155</v>
      </c>
      <c r="E19818" s="41" t="n">
        <v>5911.6812</v>
      </c>
    </row>
    <row r="19819">
      <c r="A19819" s="42">
        <f>_xlfn.XLOOKUP(83500,Trip[shape_id],Trip[shape_id],"Não encontrado")</f>
        <v/>
      </c>
      <c r="B19819" s="43" t="n">
        <v>-23.514936</v>
      </c>
      <c r="C19819" s="43" t="n">
        <v>-46.62498</v>
      </c>
      <c r="D19819" s="43" t="n">
        <v>156</v>
      </c>
      <c r="E19819" s="44" t="n">
        <v>5911.6812</v>
      </c>
    </row>
    <row r="19820">
      <c r="A19820" s="39">
        <f>_xlfn.XLOOKUP(83500,Trip[shape_id],Trip[shape_id],"Não encontrado")</f>
        <v/>
      </c>
      <c r="B19820" s="40" t="n">
        <v>-23.514431</v>
      </c>
      <c r="C19820" s="40" t="n">
        <v>-46.624959</v>
      </c>
      <c r="D19820" s="40" t="n">
        <v>157</v>
      </c>
      <c r="E19820" s="41" t="n">
        <v>5967.6519</v>
      </c>
    </row>
    <row r="19821">
      <c r="A19821" s="42">
        <f>_xlfn.XLOOKUP(83500,Trip[shape_id],Trip[shape_id],"Não encontrado")</f>
        <v/>
      </c>
      <c r="B19821" s="43" t="n">
        <v>-23.513924</v>
      </c>
      <c r="C19821" s="43" t="n">
        <v>-46.624948</v>
      </c>
      <c r="D19821" s="43" t="n">
        <v>158</v>
      </c>
      <c r="E19821" s="44" t="n">
        <v>6101.6743</v>
      </c>
    </row>
    <row r="19822">
      <c r="A19822" s="39">
        <f>_xlfn.XLOOKUP(83500,Trip[shape_id],Trip[shape_id],"Não encontrado")</f>
        <v/>
      </c>
      <c r="B19822" s="40" t="n">
        <v>-23.513221</v>
      </c>
      <c r="C19822" s="40" t="n">
        <v>-46.624942</v>
      </c>
      <c r="D19822" s="40" t="n">
        <v>159</v>
      </c>
      <c r="E19822" s="41" t="n">
        <v>6101.6743</v>
      </c>
    </row>
    <row r="19823">
      <c r="A19823" s="42">
        <f>_xlfn.XLOOKUP(83500,Trip[shape_id],Trip[shape_id],"Não encontrado")</f>
        <v/>
      </c>
      <c r="B19823" s="43" t="n">
        <v>-23.512878</v>
      </c>
      <c r="C19823" s="43" t="n">
        <v>-46.624932</v>
      </c>
      <c r="D19823" s="43" t="n">
        <v>160</v>
      </c>
      <c r="E19823" s="44" t="n">
        <v>6193.9629</v>
      </c>
    </row>
    <row r="19824">
      <c r="A19824" s="39">
        <f>_xlfn.XLOOKUP(83500,Trip[shape_id],Trip[shape_id],"Não encontrado")</f>
        <v/>
      </c>
      <c r="B19824" s="40" t="n">
        <v>-23.512388</v>
      </c>
      <c r="C19824" s="40" t="n">
        <v>-46.624918</v>
      </c>
      <c r="D19824" s="40" t="n">
        <v>161</v>
      </c>
      <c r="E19824" s="41" t="n">
        <v>6193.9629</v>
      </c>
    </row>
    <row r="19825">
      <c r="A19825" s="42">
        <f>_xlfn.XLOOKUP(83500,Trip[shape_id],Trip[shape_id],"Não encontrado")</f>
        <v/>
      </c>
      <c r="B19825" s="43" t="n">
        <v>-23.511787</v>
      </c>
      <c r="C19825" s="43" t="n">
        <v>-46.624906</v>
      </c>
      <c r="D19825" s="43" t="n">
        <v>162</v>
      </c>
      <c r="E19825" s="44" t="n">
        <v>6285.0254</v>
      </c>
    </row>
    <row r="19826">
      <c r="A19826" s="39">
        <f>_xlfn.XLOOKUP(83500,Trip[shape_id],Trip[shape_id],"Não encontrado")</f>
        <v/>
      </c>
      <c r="B19826" s="40" t="n">
        <v>-23.511566</v>
      </c>
      <c r="C19826" s="40" t="n">
        <v>-46.624898</v>
      </c>
      <c r="D19826" s="40" t="n">
        <v>163</v>
      </c>
      <c r="E19826" s="41" t="n">
        <v>6285.0254</v>
      </c>
    </row>
    <row r="19827">
      <c r="A19827" s="42">
        <f>_xlfn.XLOOKUP(83500,Trip[shape_id],Trip[shape_id],"Não encontrado")</f>
        <v/>
      </c>
      <c r="B19827" s="43" t="n">
        <v>-23.511405</v>
      </c>
      <c r="C19827" s="43" t="n">
        <v>-46.624898</v>
      </c>
      <c r="D19827" s="43" t="n">
        <v>164</v>
      </c>
      <c r="E19827" s="44" t="n">
        <v>6302.8564</v>
      </c>
    </row>
    <row r="19828">
      <c r="A19828" s="39">
        <f>_xlfn.XLOOKUP(83500,Trip[shape_id],Trip[shape_id],"Não encontrado")</f>
        <v/>
      </c>
      <c r="B19828" s="40" t="n">
        <v>-23.510224</v>
      </c>
      <c r="C19828" s="40" t="n">
        <v>-46.624858</v>
      </c>
      <c r="D19828" s="40" t="n">
        <v>165</v>
      </c>
      <c r="E19828" s="41" t="n">
        <v>6465.9561</v>
      </c>
    </row>
    <row r="19829">
      <c r="A19829" s="42">
        <f>_xlfn.XLOOKUP(83500,Trip[shape_id],Trip[shape_id],"Não encontrado")</f>
        <v/>
      </c>
      <c r="B19829" s="43" t="n">
        <v>-23.509933</v>
      </c>
      <c r="C19829" s="43" t="n">
        <v>-46.62485</v>
      </c>
      <c r="D19829" s="43" t="n">
        <v>166</v>
      </c>
      <c r="E19829" s="44" t="n">
        <v>6465.9561</v>
      </c>
    </row>
    <row r="19830">
      <c r="A19830" s="39">
        <f>_xlfn.XLOOKUP(83500,Trip[shape_id],Trip[shape_id],"Não encontrado")</f>
        <v/>
      </c>
      <c r="B19830" s="40" t="n">
        <v>-23.509281</v>
      </c>
      <c r="C19830" s="40" t="n">
        <v>-46.624834</v>
      </c>
      <c r="D19830" s="40" t="n">
        <v>167</v>
      </c>
      <c r="E19830" s="41" t="n">
        <v>6568.564</v>
      </c>
    </row>
    <row r="19831">
      <c r="A19831" s="42">
        <f>_xlfn.XLOOKUP(83500,Trip[shape_id],Trip[shape_id],"Não encontrado")</f>
        <v/>
      </c>
      <c r="B19831" s="43" t="n">
        <v>-23.509007</v>
      </c>
      <c r="C19831" s="43" t="n">
        <v>-46.62482</v>
      </c>
      <c r="D19831" s="43" t="n">
        <v>168</v>
      </c>
      <c r="E19831" s="44" t="n">
        <v>6697.752</v>
      </c>
    </row>
    <row r="19832">
      <c r="A19832" s="39">
        <f>_xlfn.XLOOKUP(83500,Trip[shape_id],Trip[shape_id],"Não encontrado")</f>
        <v/>
      </c>
      <c r="B19832" s="40" t="n">
        <v>-23.507841</v>
      </c>
      <c r="C19832" s="40" t="n">
        <v>-46.624784</v>
      </c>
      <c r="D19832" s="40" t="n">
        <v>169</v>
      </c>
      <c r="E19832" s="41" t="n">
        <v>6697.752</v>
      </c>
    </row>
    <row r="19833">
      <c r="A19833" s="42">
        <f>_xlfn.XLOOKUP(83500,Trip[shape_id],Trip[shape_id],"Não encontrado")</f>
        <v/>
      </c>
      <c r="B19833" s="43" t="n">
        <v>-23.507248</v>
      </c>
      <c r="C19833" s="43" t="n">
        <v>-46.624784</v>
      </c>
      <c r="D19833" s="43" t="n">
        <v>170</v>
      </c>
      <c r="E19833" s="44" t="n">
        <v>6763.4272</v>
      </c>
    </row>
    <row r="19834">
      <c r="A19834" s="39">
        <f>_xlfn.XLOOKUP(83500,Trip[shape_id],Trip[shape_id],"Não encontrado")</f>
        <v/>
      </c>
      <c r="B19834" s="40" t="n">
        <v>-23.507124</v>
      </c>
      <c r="C19834" s="40" t="n">
        <v>-46.624764</v>
      </c>
      <c r="D19834" s="40" t="n">
        <v>171</v>
      </c>
      <c r="E19834" s="41" t="n">
        <v>6777.3115</v>
      </c>
    </row>
    <row r="19835">
      <c r="A19835" s="42">
        <f>_xlfn.XLOOKUP(83500,Trip[shape_id],Trip[shape_id],"Não encontrado")</f>
        <v/>
      </c>
      <c r="B19835" s="43" t="n">
        <v>-23.506312</v>
      </c>
      <c r="C19835" s="43" t="n">
        <v>-46.624749</v>
      </c>
      <c r="D19835" s="43" t="n">
        <v>172</v>
      </c>
      <c r="E19835" s="44" t="n">
        <v>6867.2544</v>
      </c>
    </row>
    <row r="19836">
      <c r="A19836" s="39">
        <f>_xlfn.XLOOKUP(83500,Trip[shape_id],Trip[shape_id],"Não encontrado")</f>
        <v/>
      </c>
      <c r="B19836" s="40" t="n">
        <v>-23.505266</v>
      </c>
      <c r="C19836" s="40" t="n">
        <v>-46.624707</v>
      </c>
      <c r="D19836" s="40" t="n">
        <v>173</v>
      </c>
      <c r="E19836" s="41" t="n">
        <v>6983.1797</v>
      </c>
    </row>
    <row r="19837">
      <c r="A19837" s="42">
        <f>_xlfn.XLOOKUP(83500,Trip[shape_id],Trip[shape_id],"Não encontrado")</f>
        <v/>
      </c>
      <c r="B19837" s="43" t="n">
        <v>-23.504187</v>
      </c>
      <c r="C19837" s="43" t="n">
        <v>-46.624674</v>
      </c>
      <c r="D19837" s="43" t="n">
        <v>174</v>
      </c>
      <c r="E19837" s="44" t="n">
        <v>7102.7275</v>
      </c>
    </row>
    <row r="19838">
      <c r="A19838" s="39">
        <f>_xlfn.XLOOKUP(83500,Trip[shape_id],Trip[shape_id],"Não encontrado")</f>
        <v/>
      </c>
      <c r="B19838" s="40" t="n">
        <v>-23.503124</v>
      </c>
      <c r="C19838" s="40" t="n">
        <v>-46.624638</v>
      </c>
      <c r="D19838" s="40" t="n">
        <v>175</v>
      </c>
      <c r="E19838" s="41" t="n">
        <v>7220.5132</v>
      </c>
    </row>
    <row r="19839">
      <c r="A19839" s="42">
        <f>_xlfn.XLOOKUP(83500,Trip[shape_id],Trip[shape_id],"Não encontrado")</f>
        <v/>
      </c>
      <c r="B19839" s="43" t="n">
        <v>-23.503014</v>
      </c>
      <c r="C19839" s="43" t="n">
        <v>-46.624625</v>
      </c>
      <c r="D19839" s="43" t="n">
        <v>176</v>
      </c>
      <c r="E19839" s="44" t="n">
        <v>7261.8374</v>
      </c>
    </row>
    <row r="19840">
      <c r="A19840" s="39">
        <f>_xlfn.XLOOKUP(83500,Trip[shape_id],Trip[shape_id],"Não encontrado")</f>
        <v/>
      </c>
      <c r="B19840" s="40" t="n">
        <v>-23.502754</v>
      </c>
      <c r="C19840" s="40" t="n">
        <v>-46.624586</v>
      </c>
      <c r="D19840" s="40" t="n">
        <v>177</v>
      </c>
      <c r="E19840" s="41" t="n">
        <v>7269.8276</v>
      </c>
    </row>
    <row r="19841">
      <c r="A19841" s="42">
        <f>_xlfn.XLOOKUP(83500,Trip[shape_id],Trip[shape_id],"Não encontrado")</f>
        <v/>
      </c>
      <c r="B19841" s="43" t="n">
        <v>-23.502682</v>
      </c>
      <c r="C19841" s="43" t="n">
        <v>-46.624581</v>
      </c>
      <c r="D19841" s="43" t="n">
        <v>178</v>
      </c>
      <c r="E19841" s="44" t="n">
        <v>7301.5024</v>
      </c>
    </row>
    <row r="19842">
      <c r="A19842" s="39">
        <f>_xlfn.XLOOKUP(83500,Trip[shape_id],Trip[shape_id],"Não encontrado")</f>
        <v/>
      </c>
      <c r="B19842" s="40" t="n">
        <v>-23.502396</v>
      </c>
      <c r="C19842" s="40" t="n">
        <v>-46.624581</v>
      </c>
      <c r="D19842" s="40" t="n">
        <v>179</v>
      </c>
      <c r="E19842" s="41" t="n">
        <v>7342.4814</v>
      </c>
    </row>
    <row r="19843">
      <c r="A19843" s="42">
        <f>_xlfn.XLOOKUP(83500,Trip[shape_id],Trip[shape_id],"Não encontrado")</f>
        <v/>
      </c>
      <c r="B19843" s="43" t="n">
        <v>-23.502026</v>
      </c>
      <c r="C19843" s="43" t="n">
        <v>-46.624584</v>
      </c>
      <c r="D19843" s="43" t="n">
        <v>180</v>
      </c>
      <c r="E19843" s="44" t="n">
        <v>7342.4814</v>
      </c>
    </row>
    <row r="19844">
      <c r="A19844" s="39">
        <f>_xlfn.XLOOKUP(83500,Trip[shape_id],Trip[shape_id],"Não encontrado")</f>
        <v/>
      </c>
      <c r="B19844" s="40" t="n">
        <v>-23.501854</v>
      </c>
      <c r="C19844" s="40" t="n">
        <v>-46.624584</v>
      </c>
      <c r="D19844" s="40" t="n">
        <v>181</v>
      </c>
      <c r="E19844" s="41" t="n">
        <v>7369.7495</v>
      </c>
    </row>
    <row r="19845">
      <c r="A19845" s="42">
        <f>_xlfn.XLOOKUP(83500,Trip[shape_id],Trip[shape_id],"Não encontrado")</f>
        <v/>
      </c>
      <c r="B19845" s="43" t="n">
        <v>-23.50178</v>
      </c>
      <c r="C19845" s="43" t="n">
        <v>-46.62459</v>
      </c>
      <c r="D19845" s="43" t="n">
        <v>182</v>
      </c>
      <c r="E19845" s="44" t="n">
        <v>7403.5303</v>
      </c>
    </row>
    <row r="19846">
      <c r="A19846" s="39">
        <f>_xlfn.XLOOKUP(83500,Trip[shape_id],Trip[shape_id],"Não encontrado")</f>
        <v/>
      </c>
      <c r="B19846" s="40" t="n">
        <v>-23.501475</v>
      </c>
      <c r="C19846" s="40" t="n">
        <v>-46.624587</v>
      </c>
      <c r="D19846" s="40" t="n">
        <v>183</v>
      </c>
      <c r="E19846" s="41" t="n">
        <v>7463.1494</v>
      </c>
    </row>
    <row r="19847">
      <c r="A19847" s="42">
        <f>_xlfn.XLOOKUP(83500,Trip[shape_id],Trip[shape_id],"Não encontrado")</f>
        <v/>
      </c>
      <c r="B19847" s="43" t="n">
        <v>-23.500937</v>
      </c>
      <c r="C19847" s="43" t="n">
        <v>-46.624567</v>
      </c>
      <c r="D19847" s="43" t="n">
        <v>184</v>
      </c>
      <c r="E19847" s="44" t="n">
        <v>7463.1494</v>
      </c>
    </row>
    <row r="19848">
      <c r="A19848" s="39">
        <f>_xlfn.XLOOKUP(83500,Trip[shape_id],Trip[shape_id],"Não encontrado")</f>
        <v/>
      </c>
      <c r="B19848" s="40" t="n">
        <v>-23.500491</v>
      </c>
      <c r="C19848" s="40" t="n">
        <v>-46.624552</v>
      </c>
      <c r="D19848" s="40" t="n">
        <v>185</v>
      </c>
      <c r="E19848" s="41" t="n">
        <v>7546.9224</v>
      </c>
    </row>
    <row r="19849">
      <c r="A19849" s="42">
        <f>_xlfn.XLOOKUP(83500,Trip[shape_id],Trip[shape_id],"Não encontrado")</f>
        <v/>
      </c>
      <c r="B19849" s="43" t="n">
        <v>-23.500181</v>
      </c>
      <c r="C19849" s="43" t="n">
        <v>-46.62454</v>
      </c>
      <c r="D19849" s="43" t="n">
        <v>186</v>
      </c>
      <c r="E19849" s="44" t="n">
        <v>7546.9224</v>
      </c>
    </row>
    <row r="19850">
      <c r="A19850" s="39">
        <f>_xlfn.XLOOKUP(83500,Trip[shape_id],Trip[shape_id],"Não encontrado")</f>
        <v/>
      </c>
      <c r="B19850" s="40" t="n">
        <v>-23.499871</v>
      </c>
      <c r="C19850" s="40" t="n">
        <v>-46.624503</v>
      </c>
      <c r="D19850" s="40" t="n">
        <v>187</v>
      </c>
      <c r="E19850" s="41" t="n">
        <v>7581.4624</v>
      </c>
    </row>
    <row r="19851">
      <c r="A19851" s="42">
        <f>_xlfn.XLOOKUP(83500,Trip[shape_id],Trip[shape_id],"Não encontrado")</f>
        <v/>
      </c>
      <c r="B19851" s="43" t="n">
        <v>-23.499199</v>
      </c>
      <c r="C19851" s="43" t="n">
        <v>-46.624511</v>
      </c>
      <c r="D19851" s="43" t="n">
        <v>188</v>
      </c>
      <c r="E19851" s="44" t="n">
        <v>7670.6216</v>
      </c>
    </row>
    <row r="19852">
      <c r="A19852" s="39">
        <f>_xlfn.XLOOKUP(83500,Trip[shape_id],Trip[shape_id],"Não encontrado")</f>
        <v/>
      </c>
      <c r="B19852" s="40" t="n">
        <v>-23.499066</v>
      </c>
      <c r="C19852" s="40" t="n">
        <v>-46.624511</v>
      </c>
      <c r="D19852" s="40" t="n">
        <v>189</v>
      </c>
      <c r="E19852" s="41" t="n">
        <v>7670.6216</v>
      </c>
    </row>
    <row r="19853">
      <c r="A19853" s="42">
        <f>_xlfn.XLOOKUP(83500,Trip[shape_id],Trip[shape_id],"Não encontrado")</f>
        <v/>
      </c>
      <c r="B19853" s="43" t="n">
        <v>-23.499047</v>
      </c>
      <c r="C19853" s="43" t="n">
        <v>-46.624789</v>
      </c>
      <c r="D19853" s="43" t="n">
        <v>190</v>
      </c>
      <c r="E19853" s="44" t="n">
        <v>7699.0947</v>
      </c>
    </row>
    <row r="19854">
      <c r="A19854" s="39">
        <f>_xlfn.XLOOKUP(83500,Trip[shape_id],Trip[shape_id],"Não encontrado")</f>
        <v/>
      </c>
      <c r="B19854" s="40" t="n">
        <v>-23.499045</v>
      </c>
      <c r="C19854" s="40" t="n">
        <v>-46.624822</v>
      </c>
      <c r="D19854" s="40" t="n">
        <v>191</v>
      </c>
      <c r="E19854" s="41" t="n">
        <v>7702.4736</v>
      </c>
    </row>
    <row r="19855">
      <c r="A19855" s="42">
        <f>_xlfn.XLOOKUP(83500,Trip[shape_id],Trip[shape_id],"Não encontrado")</f>
        <v/>
      </c>
      <c r="B19855" s="43" t="n">
        <v>-23.499034</v>
      </c>
      <c r="C19855" s="43" t="n">
        <v>-46.625066</v>
      </c>
      <c r="D19855" s="43" t="n">
        <v>192</v>
      </c>
      <c r="E19855" s="44" t="n">
        <v>7727.4258</v>
      </c>
    </row>
    <row r="19856">
      <c r="A19856" s="39">
        <f>_xlfn.XLOOKUP(83500,Trip[shape_id],Trip[shape_id],"Não encontrado")</f>
        <v/>
      </c>
      <c r="B19856" s="40" t="n">
        <v>-23.499029</v>
      </c>
      <c r="C19856" s="40" t="n">
        <v>-46.625171</v>
      </c>
      <c r="D19856" s="40" t="n">
        <v>193</v>
      </c>
      <c r="E19856" s="41" t="n">
        <v>7738.165</v>
      </c>
    </row>
    <row r="19857">
      <c r="A19857" s="42">
        <f>_xlfn.XLOOKUP(83500,Trip[shape_id],Trip[shape_id],"Não encontrado")</f>
        <v/>
      </c>
      <c r="B19857" s="43" t="n">
        <v>-23.499018</v>
      </c>
      <c r="C19857" s="43" t="n">
        <v>-46.625415</v>
      </c>
      <c r="D19857" s="43" t="n">
        <v>194</v>
      </c>
      <c r="E19857" s="44" t="n">
        <v>7763.1172</v>
      </c>
    </row>
    <row r="19858">
      <c r="A19858" s="39">
        <f>_xlfn.XLOOKUP(83500,Trip[shape_id],Trip[shape_id],"Não encontrado")</f>
        <v/>
      </c>
      <c r="B19858" s="40" t="n">
        <v>-23.499002</v>
      </c>
      <c r="C19858" s="40" t="n">
        <v>-46.62561</v>
      </c>
      <c r="D19858" s="40" t="n">
        <v>195</v>
      </c>
      <c r="E19858" s="41" t="n">
        <v>7783.1133</v>
      </c>
    </row>
    <row r="19859">
      <c r="A19859" s="42">
        <f>_xlfn.XLOOKUP(83500,Trip[shape_id],Trip[shape_id],"Não encontrado")</f>
        <v/>
      </c>
      <c r="B19859" s="43" t="n">
        <v>-23.498844</v>
      </c>
      <c r="C19859" s="43" t="n">
        <v>-46.626326</v>
      </c>
      <c r="D19859" s="43" t="n">
        <v>196</v>
      </c>
      <c r="E19859" s="44" t="n">
        <v>7858.311</v>
      </c>
    </row>
    <row r="19860">
      <c r="A19860" s="39">
        <f>_xlfn.XLOOKUP(83500,Trip[shape_id],Trip[shape_id],"Não encontrado")</f>
        <v/>
      </c>
      <c r="B19860" s="40" t="n">
        <v>-23.498759</v>
      </c>
      <c r="C19860" s="40" t="n">
        <v>-46.626759</v>
      </c>
      <c r="D19860" s="40" t="n">
        <v>197</v>
      </c>
      <c r="E19860" s="41" t="n">
        <v>7903.5293</v>
      </c>
    </row>
    <row r="19861">
      <c r="A19861" s="42">
        <f>_xlfn.XLOOKUP(83500,Trip[shape_id],Trip[shape_id],"Não encontrado")</f>
        <v/>
      </c>
      <c r="B19861" s="43" t="n">
        <v>-23.498671</v>
      </c>
      <c r="C19861" s="43" t="n">
        <v>-46.626908</v>
      </c>
      <c r="D19861" s="43" t="n">
        <v>198</v>
      </c>
      <c r="E19861" s="44" t="n">
        <v>7921.6021</v>
      </c>
    </row>
    <row r="19862">
      <c r="A19862" s="39">
        <f>_xlfn.XLOOKUP(83500,Trip[shape_id],Trip[shape_id],"Não encontrado")</f>
        <v/>
      </c>
      <c r="B19862" s="40" t="n">
        <v>-23.498251</v>
      </c>
      <c r="C19862" s="40" t="n">
        <v>-46.627305</v>
      </c>
      <c r="D19862" s="40" t="n">
        <v>199</v>
      </c>
      <c r="E19862" s="41" t="n">
        <v>7983.311</v>
      </c>
    </row>
    <row r="19863">
      <c r="A19863" s="42">
        <f>_xlfn.XLOOKUP(83500,Trip[shape_id],Trip[shape_id],"Não encontrado")</f>
        <v/>
      </c>
      <c r="B19863" s="43" t="n">
        <v>-23.498204</v>
      </c>
      <c r="C19863" s="43" t="n">
        <v>-46.627358</v>
      </c>
      <c r="D19863" s="43" t="n">
        <v>200</v>
      </c>
      <c r="E19863" s="44" t="n">
        <v>7990.8218</v>
      </c>
    </row>
    <row r="19864">
      <c r="A19864" s="39">
        <f>_xlfn.XLOOKUP(83500,Trip[shape_id],Trip[shape_id],"Não encontrado")</f>
        <v/>
      </c>
      <c r="B19864" s="40" t="n">
        <v>-23.498012</v>
      </c>
      <c r="C19864" s="40" t="n">
        <v>-46.627528</v>
      </c>
      <c r="D19864" s="40" t="n">
        <v>201</v>
      </c>
      <c r="E19864" s="41" t="n">
        <v>8028.9341</v>
      </c>
    </row>
    <row r="19865">
      <c r="A19865" s="42">
        <f>_xlfn.XLOOKUP(83500,Trip[shape_id],Trip[shape_id],"Não encontrado")</f>
        <v/>
      </c>
      <c r="B19865" s="43" t="n">
        <v>-23.497939</v>
      </c>
      <c r="C19865" s="43" t="n">
        <v>-46.627596</v>
      </c>
      <c r="D19865" s="43" t="n">
        <v>202</v>
      </c>
      <c r="E19865" s="44" t="n">
        <v>8059.2197</v>
      </c>
    </row>
    <row r="19866">
      <c r="A19866" s="39">
        <f>_xlfn.XLOOKUP(83500,Trip[shape_id],Trip[shape_id],"Não encontrado")</f>
        <v/>
      </c>
      <c r="B19866" s="40" t="n">
        <v>-23.497733</v>
      </c>
      <c r="C19866" s="40" t="n">
        <v>-46.627791</v>
      </c>
      <c r="D19866" s="40" t="n">
        <v>203</v>
      </c>
      <c r="E19866" s="41" t="n">
        <v>8072.1011</v>
      </c>
    </row>
    <row r="19867">
      <c r="A19867" s="42">
        <f>_xlfn.XLOOKUP(83500,Trip[shape_id],Trip[shape_id],"Não encontrado")</f>
        <v/>
      </c>
      <c r="B19867" s="43" t="n">
        <v>-23.497621</v>
      </c>
      <c r="C19867" s="43" t="n">
        <v>-46.627825</v>
      </c>
      <c r="D19867" s="43" t="n">
        <v>204</v>
      </c>
      <c r="E19867" s="44" t="n">
        <v>8083.5459</v>
      </c>
    </row>
    <row r="19868">
      <c r="A19868" s="39">
        <f>_xlfn.XLOOKUP(83500,Trip[shape_id],Trip[shape_id],"Não encontrado")</f>
        <v/>
      </c>
      <c r="B19868" s="40" t="n">
        <v>-23.497518</v>
      </c>
      <c r="C19868" s="40" t="n">
        <v>-46.627816</v>
      </c>
      <c r="D19868" s="40" t="n">
        <v>205</v>
      </c>
      <c r="E19868" s="41" t="n">
        <v>8095.4731</v>
      </c>
    </row>
    <row r="19869">
      <c r="A19869" s="42">
        <f>_xlfn.XLOOKUP(83500,Trip[shape_id],Trip[shape_id],"Não encontrado")</f>
        <v/>
      </c>
      <c r="B19869" s="43" t="n">
        <v>-23.497423</v>
      </c>
      <c r="C19869" s="43" t="n">
        <v>-46.627761</v>
      </c>
      <c r="D19869" s="43" t="n">
        <v>206</v>
      </c>
      <c r="E19869" s="44" t="n">
        <v>8107.7832</v>
      </c>
    </row>
    <row r="19870">
      <c r="A19870" s="39">
        <f>_xlfn.XLOOKUP(83500,Trip[shape_id],Trip[shape_id],"Não encontrado")</f>
        <v/>
      </c>
      <c r="B19870" s="40" t="n">
        <v>-23.497336</v>
      </c>
      <c r="C19870" s="40" t="n">
        <v>-46.627686</v>
      </c>
      <c r="D19870" s="40" t="n">
        <v>207</v>
      </c>
      <c r="E19870" s="41" t="n">
        <v>8112.7407</v>
      </c>
    </row>
    <row r="19871">
      <c r="A19871" s="42">
        <f>_xlfn.XLOOKUP(83500,Trip[shape_id],Trip[shape_id],"Não encontrado")</f>
        <v/>
      </c>
      <c r="B19871" s="43" t="n">
        <v>-23.497305</v>
      </c>
      <c r="C19871" s="43" t="n">
        <v>-46.627651</v>
      </c>
      <c r="D19871" s="43" t="n">
        <v>208</v>
      </c>
      <c r="E19871" s="44" t="n">
        <v>8135.5405</v>
      </c>
    </row>
    <row r="19872">
      <c r="A19872" s="39">
        <f>_xlfn.XLOOKUP(83500,Trip[shape_id],Trip[shape_id],"Não encontrado")</f>
        <v/>
      </c>
      <c r="B19872" s="40" t="n">
        <v>-23.4972</v>
      </c>
      <c r="C19872" s="40" t="n">
        <v>-46.627459</v>
      </c>
      <c r="D19872" s="40" t="n">
        <v>209</v>
      </c>
      <c r="E19872" s="41" t="n">
        <v>8149.1006</v>
      </c>
    </row>
    <row r="19873">
      <c r="A19873" s="42">
        <f>_xlfn.XLOOKUP(83500,Trip[shape_id],Trip[shape_id],"Não encontrado")</f>
        <v/>
      </c>
      <c r="B19873" s="43" t="n">
        <v>-23.49711</v>
      </c>
      <c r="C19873" s="43" t="n">
        <v>-46.627369</v>
      </c>
      <c r="D19873" s="43" t="n">
        <v>210</v>
      </c>
      <c r="E19873" s="44" t="n">
        <v>8149.1006</v>
      </c>
    </row>
    <row r="19874">
      <c r="A19874" s="39">
        <f>_xlfn.XLOOKUP(83500,Trip[shape_id],Trip[shape_id],"Não encontrado")</f>
        <v/>
      </c>
      <c r="B19874" s="40" t="n">
        <v>-23.497046</v>
      </c>
      <c r="C19874" s="40" t="n">
        <v>-46.627416</v>
      </c>
      <c r="D19874" s="40" t="n">
        <v>211</v>
      </c>
      <c r="E19874" s="41" t="n">
        <v>8165.9175</v>
      </c>
    </row>
    <row r="19875">
      <c r="A19875" s="42">
        <f>_xlfn.XLOOKUP(83500,Trip[shape_id],Trip[shape_id],"Não encontrado")</f>
        <v/>
      </c>
      <c r="B19875" s="43" t="n">
        <v>-23.497014</v>
      </c>
      <c r="C19875" s="43" t="n">
        <v>-46.627489</v>
      </c>
      <c r="D19875" s="43" t="n">
        <v>212</v>
      </c>
      <c r="E19875" s="44" t="n">
        <v>8201.834999999999</v>
      </c>
    </row>
    <row r="19876">
      <c r="A19876" s="39">
        <f>_xlfn.XLOOKUP(83500,Trip[shape_id],Trip[shape_id],"Não encontrado")</f>
        <v/>
      </c>
      <c r="B19876" s="40" t="n">
        <v>-23.496902</v>
      </c>
      <c r="C19876" s="40" t="n">
        <v>-46.627819</v>
      </c>
      <c r="D19876" s="40" t="n">
        <v>213</v>
      </c>
      <c r="E19876" s="41" t="n">
        <v>8201.834999999999</v>
      </c>
    </row>
    <row r="19877">
      <c r="A19877" s="42">
        <f>_xlfn.XLOOKUP(83500,Trip[shape_id],Trip[shape_id],"Não encontrado")</f>
        <v/>
      </c>
      <c r="B19877" s="43" t="n">
        <v>-23.49644</v>
      </c>
      <c r="C19877" s="43" t="n">
        <v>-46.627747</v>
      </c>
      <c r="D19877" s="43" t="n">
        <v>214</v>
      </c>
      <c r="E19877" s="44" t="n">
        <v>8253.5273</v>
      </c>
    </row>
    <row r="19878">
      <c r="A19878" s="39">
        <f>_xlfn.XLOOKUP(83500,Trip[shape_id],Trip[shape_id],"Não encontrado")</f>
        <v/>
      </c>
      <c r="B19878" s="40" t="n">
        <v>-23.496015</v>
      </c>
      <c r="C19878" s="40" t="n">
        <v>-46.627702</v>
      </c>
      <c r="D19878" s="40" t="n">
        <v>215</v>
      </c>
      <c r="E19878" s="41" t="n">
        <v>8300.820299999999</v>
      </c>
    </row>
    <row r="19879">
      <c r="A19879" s="42">
        <f>_xlfn.XLOOKUP(83500,Trip[shape_id],Trip[shape_id],"Não encontrado")</f>
        <v/>
      </c>
      <c r="B19879" s="43" t="n">
        <v>-23.495664</v>
      </c>
      <c r="C19879" s="43" t="n">
        <v>-46.627677</v>
      </c>
      <c r="D19879" s="43" t="n">
        <v>216</v>
      </c>
      <c r="E19879" s="44" t="n">
        <v>8339.7773</v>
      </c>
    </row>
    <row r="19880">
      <c r="A19880" s="39">
        <f>_xlfn.XLOOKUP(83500,Trip[shape_id],Trip[shape_id],"Não encontrado")</f>
        <v/>
      </c>
      <c r="B19880" s="40" t="n">
        <v>-23.495333</v>
      </c>
      <c r="C19880" s="40" t="n">
        <v>-46.627634</v>
      </c>
      <c r="D19880" s="40" t="n">
        <v>217</v>
      </c>
      <c r="E19880" s="41" t="n">
        <v>8376.698200000001</v>
      </c>
    </row>
    <row r="19881">
      <c r="A19881" s="42">
        <f>_xlfn.XLOOKUP(83500,Trip[shape_id],Trip[shape_id],"Não encontrado")</f>
        <v/>
      </c>
      <c r="B19881" s="43" t="n">
        <v>-23.494655</v>
      </c>
      <c r="C19881" s="43" t="n">
        <v>-46.62756</v>
      </c>
      <c r="D19881" s="43" t="n">
        <v>218</v>
      </c>
      <c r="E19881" s="44" t="n">
        <v>8452.166999999999</v>
      </c>
    </row>
    <row r="19882">
      <c r="A19882" s="39">
        <f>_xlfn.XLOOKUP(83500,Trip[shape_id],Trip[shape_id],"Não encontrado")</f>
        <v/>
      </c>
      <c r="B19882" s="40" t="n">
        <v>-23.49462</v>
      </c>
      <c r="C19882" s="40" t="n">
        <v>-46.627534</v>
      </c>
      <c r="D19882" s="40" t="n">
        <v>219</v>
      </c>
      <c r="E19882" s="41" t="n">
        <v>8456.8662</v>
      </c>
    </row>
    <row r="19883">
      <c r="A19883" s="42">
        <f>_xlfn.XLOOKUP(83500,Trip[shape_id],Trip[shape_id],"Não encontrado")</f>
        <v/>
      </c>
      <c r="B19883" s="43" t="n">
        <v>-23.494555</v>
      </c>
      <c r="C19883" s="43" t="n">
        <v>-46.627517</v>
      </c>
      <c r="D19883" s="43" t="n">
        <v>220</v>
      </c>
      <c r="E19883" s="44" t="n">
        <v>8464.271500000001</v>
      </c>
    </row>
    <row r="19884">
      <c r="A19884" s="39">
        <f>_xlfn.XLOOKUP(83500,Trip[shape_id],Trip[shape_id],"Não encontrado")</f>
        <v/>
      </c>
      <c r="B19884" s="40" t="n">
        <v>-23.494523</v>
      </c>
      <c r="C19884" s="40" t="n">
        <v>-46.627466</v>
      </c>
      <c r="D19884" s="40" t="n">
        <v>221</v>
      </c>
      <c r="E19884" s="41" t="n">
        <v>8470.5713</v>
      </c>
    </row>
    <row r="19885">
      <c r="A19885" s="42">
        <f>_xlfn.XLOOKUP(83500,Trip[shape_id],Trip[shape_id],"Não encontrado")</f>
        <v/>
      </c>
      <c r="B19885" s="43" t="n">
        <v>-23.494508</v>
      </c>
      <c r="C19885" s="43" t="n">
        <v>-46.627423</v>
      </c>
      <c r="D19885" s="43" t="n">
        <v>222</v>
      </c>
      <c r="E19885" s="44" t="n">
        <v>8475.266600000001</v>
      </c>
    </row>
    <row r="19886">
      <c r="A19886" s="39">
        <f>_xlfn.XLOOKUP(83500,Trip[shape_id],Trip[shape_id],"Não encontrado")</f>
        <v/>
      </c>
      <c r="B19886" s="40" t="n">
        <v>-23.49451</v>
      </c>
      <c r="C19886" s="40" t="n">
        <v>-46.627136</v>
      </c>
      <c r="D19886" s="40" t="n">
        <v>223</v>
      </c>
      <c r="E19886" s="41" t="n">
        <v>8504.583000000001</v>
      </c>
    </row>
    <row r="19887">
      <c r="A19887" s="42">
        <f>_xlfn.XLOOKUP(83500,Trip[shape_id],Trip[shape_id],"Não encontrado")</f>
        <v/>
      </c>
      <c r="B19887" s="43" t="n">
        <v>-23.494518</v>
      </c>
      <c r="C19887" s="43" t="n">
        <v>-46.627025</v>
      </c>
      <c r="D19887" s="43" t="n">
        <v>224</v>
      </c>
      <c r="E19887" s="44" t="n">
        <v>8515.956099999999</v>
      </c>
    </row>
    <row r="19888">
      <c r="A19888" s="39">
        <f>_xlfn.XLOOKUP(83500,Trip[shape_id],Trip[shape_id],"Não encontrado")</f>
        <v/>
      </c>
      <c r="B19888" s="40" t="n">
        <v>-23.494497</v>
      </c>
      <c r="C19888" s="40" t="n">
        <v>-46.626802</v>
      </c>
      <c r="D19888" s="40" t="n">
        <v>225</v>
      </c>
      <c r="E19888" s="41" t="n">
        <v>8538.852500000001</v>
      </c>
    </row>
    <row r="19889">
      <c r="A19889" s="42">
        <f>_xlfn.XLOOKUP(83500,Trip[shape_id],Trip[shape_id],"Não encontrado")</f>
        <v/>
      </c>
      <c r="B19889" s="43" t="n">
        <v>-23.494478</v>
      </c>
      <c r="C19889" s="43" t="n">
        <v>-46.625863</v>
      </c>
      <c r="D19889" s="43" t="n">
        <v>226</v>
      </c>
      <c r="E19889" s="44" t="n">
        <v>8634.790000000001</v>
      </c>
    </row>
    <row r="19890">
      <c r="A19890" s="39">
        <f>_xlfn.XLOOKUP(83500,Trip[shape_id],Trip[shape_id],"Não encontrado")</f>
        <v/>
      </c>
      <c r="B19890" s="40" t="n">
        <v>-23.494413</v>
      </c>
      <c r="C19890" s="40" t="n">
        <v>-46.625878</v>
      </c>
      <c r="D19890" s="40" t="n">
        <v>227</v>
      </c>
      <c r="E19890" s="41" t="n">
        <v>8662.636699999999</v>
      </c>
    </row>
    <row r="19891">
      <c r="A19891" s="42">
        <f>_xlfn.XLOOKUP(83500,Trip[shape_id],Trip[shape_id],"Não encontrado")</f>
        <v/>
      </c>
      <c r="B19891" s="43" t="n">
        <v>-23.49424</v>
      </c>
      <c r="C19891" s="43" t="n">
        <v>-46.625949</v>
      </c>
      <c r="D19891" s="43" t="n">
        <v>228</v>
      </c>
      <c r="E19891" s="44" t="n">
        <v>8662.636699999999</v>
      </c>
    </row>
    <row r="19892">
      <c r="A19892" s="39">
        <f>_xlfn.XLOOKUP(83500,Trip[shape_id],Trip[shape_id],"Não encontrado")</f>
        <v/>
      </c>
      <c r="B19892" s="40" t="n">
        <v>-23.493797</v>
      </c>
      <c r="C19892" s="40" t="n">
        <v>-46.626169</v>
      </c>
      <c r="D19892" s="40" t="n">
        <v>229</v>
      </c>
      <c r="E19892" s="41" t="n">
        <v>8749.123</v>
      </c>
    </row>
    <row r="19893">
      <c r="A19893" s="42">
        <f>_xlfn.XLOOKUP(83500,Trip[shape_id],Trip[shape_id],"Não encontrado")</f>
        <v/>
      </c>
      <c r="B19893" s="43" t="n">
        <v>-23.493525</v>
      </c>
      <c r="C19893" s="43" t="n">
        <v>-46.626289</v>
      </c>
      <c r="D19893" s="43" t="n">
        <v>230</v>
      </c>
      <c r="E19893" s="44" t="n">
        <v>8769.125</v>
      </c>
    </row>
    <row r="19894">
      <c r="A19894" s="39">
        <f>_xlfn.XLOOKUP(83500,Trip[shape_id],Trip[shape_id],"Não encontrado")</f>
        <v/>
      </c>
      <c r="B19894" s="40" t="n">
        <v>-23.493346</v>
      </c>
      <c r="C19894" s="40" t="n">
        <v>-46.626315</v>
      </c>
      <c r="D19894" s="40" t="n">
        <v>231</v>
      </c>
      <c r="E19894" s="41" t="n">
        <v>8783.890600000001</v>
      </c>
    </row>
    <row r="19895">
      <c r="A19895" s="42">
        <f>_xlfn.XLOOKUP(83500,Trip[shape_id],Trip[shape_id],"Não encontrado")</f>
        <v/>
      </c>
      <c r="B19895" s="43" t="n">
        <v>-23.493213</v>
      </c>
      <c r="C19895" s="43" t="n">
        <v>-46.626325</v>
      </c>
      <c r="D19895" s="43" t="n">
        <v>232</v>
      </c>
      <c r="E19895" s="44" t="n">
        <v>8783.890600000001</v>
      </c>
    </row>
    <row r="19896">
      <c r="A19896" s="39">
        <f>_xlfn.XLOOKUP(83500,Trip[shape_id],Trip[shape_id],"Não encontrado")</f>
        <v/>
      </c>
      <c r="B19896" s="40" t="n">
        <v>-23.492965</v>
      </c>
      <c r="C19896" s="40" t="n">
        <v>-46.626227</v>
      </c>
      <c r="D19896" s="40" t="n">
        <v>233</v>
      </c>
      <c r="E19896" s="41" t="n">
        <v>8813.124</v>
      </c>
    </row>
    <row r="19897">
      <c r="A19897" s="42">
        <f>_xlfn.XLOOKUP(83500,Trip[shape_id],Trip[shape_id],"Não encontrado")</f>
        <v/>
      </c>
      <c r="B19897" s="43" t="n">
        <v>-23.492754</v>
      </c>
      <c r="C19897" s="43" t="n">
        <v>-46.626153</v>
      </c>
      <c r="D19897" s="43" t="n">
        <v>234</v>
      </c>
      <c r="E19897" s="44" t="n">
        <v>8894.2842</v>
      </c>
    </row>
    <row r="19898">
      <c r="A19898" s="39">
        <f>_xlfn.XLOOKUP(83500,Trip[shape_id],Trip[shape_id],"Não encontrado")</f>
        <v/>
      </c>
      <c r="B19898" s="40" t="n">
        <v>-23.492267</v>
      </c>
      <c r="C19898" s="40" t="n">
        <v>-46.625985</v>
      </c>
      <c r="D19898" s="40" t="n">
        <v>235</v>
      </c>
      <c r="E19898" s="41" t="n">
        <v>8909.238300000001</v>
      </c>
    </row>
    <row r="19899">
      <c r="A19899" s="42">
        <f>_xlfn.XLOOKUP(83500,Trip[shape_id],Trip[shape_id],"Não encontrado")</f>
        <v/>
      </c>
      <c r="B19899" s="43" t="n">
        <v>-23.492133</v>
      </c>
      <c r="C19899" s="43" t="n">
        <v>-46.625967</v>
      </c>
      <c r="D19899" s="43" t="n">
        <v>236</v>
      </c>
      <c r="E19899" s="44" t="n">
        <v>8909.238300000001</v>
      </c>
    </row>
    <row r="19900">
      <c r="A19900" s="39">
        <f>_xlfn.XLOOKUP(83500,Trip[shape_id],Trip[shape_id],"Não encontrado")</f>
        <v/>
      </c>
      <c r="B19900" s="40" t="n">
        <v>-23.491561</v>
      </c>
      <c r="C19900" s="40" t="n">
        <v>-46.626043</v>
      </c>
      <c r="D19900" s="40" t="n">
        <v>237</v>
      </c>
      <c r="E19900" s="41" t="n">
        <v>8973.0615</v>
      </c>
    </row>
    <row r="19901">
      <c r="A19901" s="42">
        <f>_xlfn.XLOOKUP(83500,Trip[shape_id],Trip[shape_id],"Não encontrado")</f>
        <v/>
      </c>
      <c r="B19901" s="43" t="n">
        <v>-23.491078</v>
      </c>
      <c r="C19901" s="43" t="n">
        <v>-46.626081</v>
      </c>
      <c r="D19901" s="43" t="n">
        <v>238</v>
      </c>
      <c r="E19901" s="44" t="n">
        <v>9026.695299999999</v>
      </c>
    </row>
    <row r="19902">
      <c r="A19902" s="39">
        <f>_xlfn.XLOOKUP(83500,Trip[shape_id],Trip[shape_id],"Não encontrado")</f>
        <v/>
      </c>
      <c r="B19902" s="40" t="n">
        <v>-23.490621</v>
      </c>
      <c r="C19902" s="40" t="n">
        <v>-46.626101</v>
      </c>
      <c r="D19902" s="40" t="n">
        <v>239</v>
      </c>
      <c r="E19902" s="41" t="n">
        <v>9077.3496</v>
      </c>
    </row>
    <row r="19903">
      <c r="A19903" s="42">
        <f>_xlfn.XLOOKUP(83500,Trip[shape_id],Trip[shape_id],"Não encontrado")</f>
        <v/>
      </c>
      <c r="B19903" s="43" t="n">
        <v>-23.490288</v>
      </c>
      <c r="C19903" s="43" t="n">
        <v>-46.626148</v>
      </c>
      <c r="D19903" s="43" t="n">
        <v>240</v>
      </c>
      <c r="E19903" s="44" t="n">
        <v>9149.6914</v>
      </c>
    </row>
    <row r="19904">
      <c r="A19904" s="39">
        <f>_xlfn.XLOOKUP(83500,Trip[shape_id],Trip[shape_id],"Não encontrado")</f>
        <v/>
      </c>
      <c r="B19904" s="40" t="n">
        <v>-23.489975</v>
      </c>
      <c r="C19904" s="40" t="n">
        <v>-46.626205</v>
      </c>
      <c r="D19904" s="40" t="n">
        <v>241</v>
      </c>
      <c r="E19904" s="41" t="n">
        <v>9186.296899999999</v>
      </c>
    </row>
    <row r="19905">
      <c r="A19905" s="42">
        <f>_xlfn.XLOOKUP(83500,Trip[shape_id],Trip[shape_id],"Não encontrado")</f>
        <v/>
      </c>
      <c r="B19905" s="43" t="n">
        <v>-23.489652</v>
      </c>
      <c r="C19905" s="43" t="n">
        <v>-46.626281</v>
      </c>
      <c r="D19905" s="43" t="n">
        <v>242</v>
      </c>
      <c r="E19905" s="44" t="n">
        <v>9208.1914</v>
      </c>
    </row>
    <row r="19906">
      <c r="A19906" s="39">
        <f>_xlfn.XLOOKUP(83500,Trip[shape_id],Trip[shape_id],"Não encontrado")</f>
        <v/>
      </c>
      <c r="B19906" s="40" t="n">
        <v>-23.489456</v>
      </c>
      <c r="C19906" s="40" t="n">
        <v>-46.626309</v>
      </c>
      <c r="D19906" s="40" t="n">
        <v>243</v>
      </c>
      <c r="E19906" s="41" t="n">
        <v>9241.325199999999</v>
      </c>
    </row>
    <row r="19907">
      <c r="A19907" s="42">
        <f>_xlfn.XLOOKUP(83500,Trip[shape_id],Trip[shape_id],"Não encontrado")</f>
        <v/>
      </c>
      <c r="B19907" s="43" t="n">
        <v>-23.489157</v>
      </c>
      <c r="C19907" s="43" t="n">
        <v>-46.62632</v>
      </c>
      <c r="D19907" s="43" t="n">
        <v>244</v>
      </c>
      <c r="E19907" s="44" t="n">
        <v>9241.325199999999</v>
      </c>
    </row>
    <row r="19908">
      <c r="A19908" s="39">
        <f>_xlfn.XLOOKUP(83500,Trip[shape_id],Trip[shape_id],"Não encontrado")</f>
        <v/>
      </c>
      <c r="B19908" s="40" t="n">
        <v>-23.488478</v>
      </c>
      <c r="C19908" s="40" t="n">
        <v>-46.626267</v>
      </c>
      <c r="D19908" s="40" t="n">
        <v>245</v>
      </c>
      <c r="E19908" s="41" t="n">
        <v>9334.3896</v>
      </c>
    </row>
    <row r="19909">
      <c r="A19909" s="42">
        <f>_xlfn.XLOOKUP(83500,Trip[shape_id],Trip[shape_id],"Não encontrado")</f>
        <v/>
      </c>
      <c r="B19909" s="43" t="n">
        <v>-23.48832</v>
      </c>
      <c r="C19909" s="43" t="n">
        <v>-46.626291</v>
      </c>
      <c r="D19909" s="43" t="n">
        <v>246</v>
      </c>
      <c r="E19909" s="44" t="n">
        <v>9354.625</v>
      </c>
    </row>
    <row r="19910">
      <c r="A19910" s="39">
        <f>_xlfn.XLOOKUP(83500,Trip[shape_id],Trip[shape_id],"Não encontrado")</f>
        <v/>
      </c>
      <c r="B19910" s="40" t="n">
        <v>-23.48814</v>
      </c>
      <c r="C19910" s="40" t="n">
        <v>-46.626325</v>
      </c>
      <c r="D19910" s="40" t="n">
        <v>247</v>
      </c>
      <c r="E19910" s="41" t="n">
        <v>9354.625</v>
      </c>
    </row>
    <row r="19911">
      <c r="A19911" s="42">
        <f>_xlfn.XLOOKUP(83500,Trip[shape_id],Trip[shape_id],"Não encontrado")</f>
        <v/>
      </c>
      <c r="B19911" s="43" t="n">
        <v>-23.487932</v>
      </c>
      <c r="C19911" s="43" t="n">
        <v>-46.626373</v>
      </c>
      <c r="D19911" s="43" t="n">
        <v>248</v>
      </c>
      <c r="E19911" s="44" t="n">
        <v>9378.176799999999</v>
      </c>
    </row>
    <row r="19912">
      <c r="A19912" s="39">
        <f>_xlfn.XLOOKUP(83500,Trip[shape_id],Trip[shape_id],"Não encontrado")</f>
        <v/>
      </c>
      <c r="B19912" s="40" t="n">
        <v>-23.487828</v>
      </c>
      <c r="C19912" s="40" t="n">
        <v>-46.626397</v>
      </c>
      <c r="D19912" s="40" t="n">
        <v>249</v>
      </c>
      <c r="E19912" s="41" t="n">
        <v>9389.953100000001</v>
      </c>
    </row>
    <row r="19913">
      <c r="A19913" s="42">
        <f>_xlfn.XLOOKUP(83500,Trip[shape_id],Trip[shape_id],"Não encontrado")</f>
        <v/>
      </c>
      <c r="B19913" s="43" t="n">
        <v>-23.487732</v>
      </c>
      <c r="C19913" s="43" t="n">
        <v>-46.626419</v>
      </c>
      <c r="D19913" s="43" t="n">
        <v>250</v>
      </c>
      <c r="E19913" s="44" t="n">
        <v>9427.3467</v>
      </c>
    </row>
    <row r="19914">
      <c r="A19914" s="39">
        <f>_xlfn.XLOOKUP(83500,Trip[shape_id],Trip[shape_id],"Não encontrado")</f>
        <v/>
      </c>
      <c r="B19914" s="40" t="n">
        <v>-23.487506</v>
      </c>
      <c r="C19914" s="40" t="n">
        <v>-46.626505</v>
      </c>
      <c r="D19914" s="40" t="n">
        <v>251</v>
      </c>
      <c r="E19914" s="41" t="n">
        <v>9427.3467</v>
      </c>
    </row>
    <row r="19915">
      <c r="A19915" s="42">
        <f>_xlfn.XLOOKUP(83500,Trip[shape_id],Trip[shape_id],"Não encontrado")</f>
        <v/>
      </c>
      <c r="B19915" s="43" t="n">
        <v>-23.487448</v>
      </c>
      <c r="C19915" s="43" t="n">
        <v>-46.626537</v>
      </c>
      <c r="D19915" s="43" t="n">
        <v>252</v>
      </c>
      <c r="E19915" s="44" t="n">
        <v>9449.2178</v>
      </c>
    </row>
    <row r="19916">
      <c r="A19916" s="39">
        <f>_xlfn.XLOOKUP(83500,Trip[shape_id],Trip[shape_id],"Não encontrado")</f>
        <v/>
      </c>
      <c r="B19916" s="40" t="n">
        <v>-23.487353</v>
      </c>
      <c r="C19916" s="40" t="n">
        <v>-46.626637</v>
      </c>
      <c r="D19916" s="40" t="n">
        <v>253</v>
      </c>
      <c r="E19916" s="41" t="n">
        <v>9499.248</v>
      </c>
    </row>
    <row r="19917">
      <c r="A19917" s="42">
        <f>_xlfn.XLOOKUP(83500,Trip[shape_id],Trip[shape_id],"Não encontrado")</f>
        <v/>
      </c>
      <c r="B19917" s="43" t="n">
        <v>-23.487037</v>
      </c>
      <c r="C19917" s="43" t="n">
        <v>-46.626987</v>
      </c>
      <c r="D19917" s="43" t="n">
        <v>254</v>
      </c>
      <c r="E19917" s="44" t="n">
        <v>9499.248</v>
      </c>
    </row>
    <row r="19918">
      <c r="A19918" s="39">
        <f>_xlfn.XLOOKUP(83500,Trip[shape_id],Trip[shape_id],"Não encontrado")</f>
        <v/>
      </c>
      <c r="B19918" s="40" t="n">
        <v>-23.486777</v>
      </c>
      <c r="C19918" s="40" t="n">
        <v>-46.627258</v>
      </c>
      <c r="D19918" s="40" t="n">
        <v>255</v>
      </c>
      <c r="E19918" s="41" t="n">
        <v>9586.123</v>
      </c>
    </row>
    <row r="19919">
      <c r="A19919" s="42">
        <f>_xlfn.XLOOKUP(83500,Trip[shape_id],Trip[shape_id],"Não encontrado")</f>
        <v/>
      </c>
      <c r="B19919" s="43" t="n">
        <v>-23.486489</v>
      </c>
      <c r="C19919" s="43" t="n">
        <v>-46.627595</v>
      </c>
      <c r="D19919" s="43" t="n">
        <v>256</v>
      </c>
      <c r="E19919" s="44" t="n">
        <v>9631.5576</v>
      </c>
    </row>
    <row r="19920">
      <c r="A19920" s="39">
        <f>_xlfn.XLOOKUP(83500,Trip[shape_id],Trip[shape_id],"Não encontrado")</f>
        <v/>
      </c>
      <c r="B19920" s="40" t="n">
        <v>-23.486216</v>
      </c>
      <c r="C19920" s="40" t="n">
        <v>-46.627927</v>
      </c>
      <c r="D19920" s="40" t="n">
        <v>257</v>
      </c>
      <c r="E19920" s="41" t="n">
        <v>9771.8662</v>
      </c>
    </row>
    <row r="19921">
      <c r="A19921" s="42">
        <f>_xlfn.XLOOKUP(83500,Trip[shape_id],Trip[shape_id],"Não encontrado")</f>
        <v/>
      </c>
      <c r="B19921" s="43" t="n">
        <v>-23.485396</v>
      </c>
      <c r="C19921" s="43" t="n">
        <v>-46.628974</v>
      </c>
      <c r="D19921" s="43" t="n">
        <v>258</v>
      </c>
      <c r="E19921" s="44" t="n">
        <v>9771.8662</v>
      </c>
    </row>
    <row r="19922">
      <c r="A19922" s="39">
        <f>_xlfn.XLOOKUP(83500,Trip[shape_id],Trip[shape_id],"Não encontrado")</f>
        <v/>
      </c>
      <c r="B19922" s="40" t="n">
        <v>-23.484311</v>
      </c>
      <c r="C19922" s="40" t="n">
        <v>-46.63043</v>
      </c>
      <c r="D19922" s="40" t="n">
        <v>259</v>
      </c>
      <c r="E19922" s="41" t="n">
        <v>9963.0771</v>
      </c>
    </row>
    <row r="19923">
      <c r="A19923" s="42">
        <f>_xlfn.XLOOKUP(83500,Trip[shape_id],Trip[shape_id],"Não encontrado")</f>
        <v/>
      </c>
      <c r="B19923" s="43" t="n">
        <v>-23.483902</v>
      </c>
      <c r="C19923" s="43" t="n">
        <v>-46.63094</v>
      </c>
      <c r="D19923" s="43" t="n">
        <v>260</v>
      </c>
      <c r="E19923" s="44" t="n">
        <v>10061.435</v>
      </c>
    </row>
    <row r="19924">
      <c r="A19924" s="39">
        <f>_xlfn.XLOOKUP(83500,Trip[shape_id],Trip[shape_id],"Não encontrado")</f>
        <v/>
      </c>
      <c r="B19924" s="40" t="n">
        <v>-23.483713</v>
      </c>
      <c r="C19924" s="40" t="n">
        <v>-46.631141</v>
      </c>
      <c r="D19924" s="40" t="n">
        <v>261</v>
      </c>
      <c r="E19924" s="41" t="n">
        <v>10107.856</v>
      </c>
    </row>
    <row r="19925">
      <c r="A19925" s="42">
        <f>_xlfn.XLOOKUP(83500,Trip[shape_id],Trip[shape_id],"Não encontrado")</f>
        <v/>
      </c>
      <c r="B19925" s="43" t="n">
        <v>-23.48341</v>
      </c>
      <c r="C19925" s="43" t="n">
        <v>-46.631455</v>
      </c>
      <c r="D19925" s="43" t="n">
        <v>262</v>
      </c>
      <c r="E19925" s="44" t="n">
        <v>10123.375</v>
      </c>
    </row>
    <row r="19926">
      <c r="A19926" s="39">
        <f>_xlfn.XLOOKUP(83500,Trip[shape_id],Trip[shape_id],"Não encontrado")</f>
        <v/>
      </c>
      <c r="B19926" s="40" t="n">
        <v>-23.483307</v>
      </c>
      <c r="C19926" s="40" t="n">
        <v>-46.631558</v>
      </c>
      <c r="D19926" s="40" t="n">
        <v>263</v>
      </c>
      <c r="E19926" s="41" t="n">
        <v>10160.198</v>
      </c>
    </row>
    <row r="19927">
      <c r="A19927" s="42">
        <f>_xlfn.XLOOKUP(83500,Trip[shape_id],Trip[shape_id],"Não encontrado")</f>
        <v/>
      </c>
      <c r="B19927" s="43" t="n">
        <v>-23.483031</v>
      </c>
      <c r="C19927" s="43" t="n">
        <v>-46.631759</v>
      </c>
      <c r="D19927" s="43" t="n">
        <v>264</v>
      </c>
      <c r="E19927" s="44" t="n">
        <v>10160.198</v>
      </c>
    </row>
    <row r="19928">
      <c r="A19928" s="39">
        <f>_xlfn.XLOOKUP(83500,Trip[shape_id],Trip[shape_id],"Não encontrado")</f>
        <v/>
      </c>
      <c r="B19928" s="40" t="n">
        <v>-23.482908</v>
      </c>
      <c r="C19928" s="40" t="n">
        <v>-46.631827</v>
      </c>
      <c r="D19928" s="40" t="n">
        <v>265</v>
      </c>
      <c r="E19928" s="41" t="n">
        <v>10175.489</v>
      </c>
    </row>
    <row r="19929">
      <c r="A19929" s="42">
        <f>_xlfn.XLOOKUP(83500,Trip[shape_id],Trip[shape_id],"Não encontrado")</f>
        <v/>
      </c>
      <c r="B19929" s="43" t="n">
        <v>-23.482703</v>
      </c>
      <c r="C19929" s="43" t="n">
        <v>-46.631878</v>
      </c>
      <c r="D19929" s="43" t="n">
        <v>266</v>
      </c>
      <c r="E19929" s="44" t="n">
        <v>10198.783</v>
      </c>
    </row>
    <row r="19930">
      <c r="A19930" s="39">
        <f>_xlfn.XLOOKUP(83500,Trip[shape_id],Trip[shape_id],"Não encontrado")</f>
        <v/>
      </c>
      <c r="B19930" s="40" t="n">
        <v>-23.482358</v>
      </c>
      <c r="C19930" s="40" t="n">
        <v>-46.63195</v>
      </c>
      <c r="D19930" s="40" t="n">
        <v>267</v>
      </c>
      <c r="E19930" s="41" t="n">
        <v>10269.703</v>
      </c>
    </row>
    <row r="19931">
      <c r="A19931" s="42">
        <f>_xlfn.XLOOKUP(83500,Trip[shape_id],Trip[shape_id],"Não encontrado")</f>
        <v/>
      </c>
      <c r="B19931" s="43" t="n">
        <v>-23.482071</v>
      </c>
      <c r="C19931" s="43" t="n">
        <v>-46.631987</v>
      </c>
      <c r="D19931" s="43" t="n">
        <v>268</v>
      </c>
      <c r="E19931" s="44" t="n">
        <v>10269.703</v>
      </c>
    </row>
    <row r="19932">
      <c r="A19932" s="39">
        <f>_xlfn.XLOOKUP(83500,Trip[shape_id],Trip[shape_id],"Não encontrado")</f>
        <v/>
      </c>
      <c r="B19932" s="40" t="n">
        <v>-23.481954</v>
      </c>
      <c r="C19932" s="40" t="n">
        <v>-46.632018</v>
      </c>
      <c r="D19932" s="40" t="n">
        <v>269</v>
      </c>
      <c r="E19932" s="41" t="n">
        <v>10283.042</v>
      </c>
    </row>
    <row r="19933">
      <c r="A19933" s="42">
        <f>_xlfn.XLOOKUP(83500,Trip[shape_id],Trip[shape_id],"Não encontrado")</f>
        <v/>
      </c>
      <c r="B19933" s="43" t="n">
        <v>-23.48191</v>
      </c>
      <c r="C19933" s="43" t="n">
        <v>-46.632033</v>
      </c>
      <c r="D19933" s="43" t="n">
        <v>270</v>
      </c>
      <c r="E19933" s="44" t="n">
        <v>10306.217</v>
      </c>
    </row>
    <row r="19934">
      <c r="A19934" s="39">
        <f>_xlfn.XLOOKUP(83500,Trip[shape_id],Trip[shape_id],"Não encontrado")</f>
        <v/>
      </c>
      <c r="B19934" s="40" t="n">
        <v>-23.481752</v>
      </c>
      <c r="C19934" s="40" t="n">
        <v>-46.632077</v>
      </c>
      <c r="D19934" s="40" t="n">
        <v>271</v>
      </c>
      <c r="E19934" s="41" t="n">
        <v>10326.746</v>
      </c>
    </row>
    <row r="19935">
      <c r="A19935" s="42">
        <f>_xlfn.XLOOKUP(83500,Trip[shape_id],Trip[shape_id],"Não encontrado")</f>
        <v/>
      </c>
      <c r="B19935" s="43" t="n">
        <v>-23.481569</v>
      </c>
      <c r="C19935" s="43" t="n">
        <v>-46.632109</v>
      </c>
      <c r="D19935" s="43" t="n">
        <v>272</v>
      </c>
      <c r="E19935" s="44" t="n">
        <v>10334.973</v>
      </c>
    </row>
    <row r="19936">
      <c r="A19936" s="39">
        <f>_xlfn.XLOOKUP(83500,Trip[shape_id],Trip[shape_id],"Não encontrado")</f>
        <v/>
      </c>
      <c r="B19936" s="40" t="n">
        <v>-23.481495</v>
      </c>
      <c r="C19936" s="40" t="n">
        <v>-46.632116</v>
      </c>
      <c r="D19936" s="40" t="n">
        <v>273</v>
      </c>
      <c r="E19936" s="41" t="n">
        <v>10349.494</v>
      </c>
    </row>
    <row r="19937">
      <c r="A19937" s="42">
        <f>_xlfn.XLOOKUP(83500,Trip[shape_id],Trip[shape_id],"Não encontrado")</f>
        <v/>
      </c>
      <c r="B19937" s="43" t="n">
        <v>-23.481364</v>
      </c>
      <c r="C19937" s="43" t="n">
        <v>-46.632122</v>
      </c>
      <c r="D19937" s="43" t="n">
        <v>274</v>
      </c>
      <c r="E19937" s="44" t="n">
        <v>10414.174</v>
      </c>
    </row>
    <row r="19938">
      <c r="A19938" s="39">
        <f>_xlfn.XLOOKUP(83500,Trip[shape_id],Trip[shape_id],"Não encontrado")</f>
        <v/>
      </c>
      <c r="B19938" s="40" t="n">
        <v>-23.48078</v>
      </c>
      <c r="C19938" s="40" t="n">
        <v>-46.632118</v>
      </c>
      <c r="D19938" s="40" t="n">
        <v>275</v>
      </c>
      <c r="E19938" s="41" t="n">
        <v>10419.965</v>
      </c>
    </row>
    <row r="19939">
      <c r="A19939" s="42">
        <f>_xlfn.XLOOKUP(83500,Trip[shape_id],Trip[shape_id],"Não encontrado")</f>
        <v/>
      </c>
      <c r="B19939" s="43" t="n">
        <v>-23.480728</v>
      </c>
      <c r="C19939" s="43" t="n">
        <v>-46.632124</v>
      </c>
      <c r="D19939" s="43" t="n">
        <v>276</v>
      </c>
      <c r="E19939" s="44" t="n">
        <v>10419.965</v>
      </c>
    </row>
    <row r="19940">
      <c r="A19940" s="39">
        <f>_xlfn.XLOOKUP(83500,Trip[shape_id],Trip[shape_id],"Não encontrado")</f>
        <v/>
      </c>
      <c r="B19940" s="40" t="n">
        <v>-23.480613</v>
      </c>
      <c r="C19940" s="40" t="n">
        <v>-46.632167</v>
      </c>
      <c r="D19940" s="40" t="n">
        <v>277</v>
      </c>
      <c r="E19940" s="41" t="n">
        <v>10455.149</v>
      </c>
    </row>
    <row r="19941">
      <c r="A19941" s="42">
        <f>_xlfn.XLOOKUP(83500,Trip[shape_id],Trip[shape_id],"Não encontrado")</f>
        <v/>
      </c>
      <c r="B19941" s="43" t="n">
        <v>-23.480431</v>
      </c>
      <c r="C19941" s="43" t="n">
        <v>-46.632246</v>
      </c>
      <c r="D19941" s="43" t="n">
        <v>278</v>
      </c>
      <c r="E19941" s="44" t="n">
        <v>10489.49</v>
      </c>
    </row>
    <row r="19942">
      <c r="A19942" s="39">
        <f>_xlfn.XLOOKUP(83500,Trip[shape_id],Trip[shape_id],"Não encontrado")</f>
        <v/>
      </c>
      <c r="B19942" s="40" t="n">
        <v>-23.480141</v>
      </c>
      <c r="C19942" s="40" t="n">
        <v>-46.632365</v>
      </c>
      <c r="D19942" s="40" t="n">
        <v>279</v>
      </c>
      <c r="E19942" s="41" t="n">
        <v>10504.75</v>
      </c>
    </row>
    <row r="19943">
      <c r="A19943" s="42">
        <f>_xlfn.XLOOKUP(83500,Trip[shape_id],Trip[shape_id],"Não encontrado")</f>
        <v/>
      </c>
      <c r="B19943" s="43" t="n">
        <v>-23.480008</v>
      </c>
      <c r="C19943" s="43" t="n">
        <v>-46.632404</v>
      </c>
      <c r="D19943" s="43" t="n">
        <v>280</v>
      </c>
      <c r="E19943" s="44" t="n">
        <v>10504.75</v>
      </c>
    </row>
    <row r="19944">
      <c r="A19944" s="39">
        <f>_xlfn.XLOOKUP(83500,Trip[shape_id],Trip[shape_id],"Não encontrado")</f>
        <v/>
      </c>
      <c r="B19944" s="40" t="n">
        <v>-23.479818</v>
      </c>
      <c r="C19944" s="40" t="n">
        <v>-46.632475</v>
      </c>
      <c r="D19944" s="40" t="n">
        <v>281</v>
      </c>
      <c r="E19944" s="41" t="n">
        <v>10527.008</v>
      </c>
    </row>
    <row r="19945">
      <c r="A19945" s="42">
        <f>_xlfn.XLOOKUP(83500,Trip[shape_id],Trip[shape_id],"Não encontrado")</f>
        <v/>
      </c>
      <c r="B19945" s="43" t="n">
        <v>-23.479518</v>
      </c>
      <c r="C19945" s="43" t="n">
        <v>-46.632541</v>
      </c>
      <c r="D19945" s="43" t="n">
        <v>282</v>
      </c>
      <c r="E19945" s="44" t="n">
        <v>10625.309</v>
      </c>
    </row>
    <row r="19946">
      <c r="A19946" s="39">
        <f>_xlfn.XLOOKUP(83500,Trip[shape_id],Trip[shape_id],"Não encontrado")</f>
        <v/>
      </c>
      <c r="B19946" s="40" t="n">
        <v>-23.478953</v>
      </c>
      <c r="C19946" s="40" t="n">
        <v>-46.63269</v>
      </c>
      <c r="D19946" s="40" t="n">
        <v>283</v>
      </c>
      <c r="E19946" s="41" t="n">
        <v>10625.309</v>
      </c>
    </row>
    <row r="19947">
      <c r="A19947" s="42">
        <f>_xlfn.XLOOKUP(83500,Trip[shape_id],Trip[shape_id],"Não encontrado")</f>
        <v/>
      </c>
      <c r="B19947" s="43" t="n">
        <v>-23.478692</v>
      </c>
      <c r="C19947" s="43" t="n">
        <v>-46.632782</v>
      </c>
      <c r="D19947" s="43" t="n">
        <v>284</v>
      </c>
      <c r="E19947" s="44" t="n">
        <v>10835.61</v>
      </c>
    </row>
    <row r="19948">
      <c r="A19948" s="39">
        <f>_xlfn.XLOOKUP(83500,Trip[shape_id],Trip[shape_id],"Não encontrado")</f>
        <v/>
      </c>
      <c r="B19948" s="40" t="n">
        <v>-23.477224</v>
      </c>
      <c r="C19948" s="40" t="n">
        <v>-46.633536</v>
      </c>
      <c r="D19948" s="40" t="n">
        <v>285</v>
      </c>
      <c r="E19948" s="41" t="n">
        <v>10835.61</v>
      </c>
    </row>
    <row r="19949">
      <c r="A19949" s="42">
        <f>_xlfn.XLOOKUP(83500,Trip[shape_id],Trip[shape_id],"Não encontrado")</f>
        <v/>
      </c>
      <c r="B19949" s="43" t="n">
        <v>-23.476474</v>
      </c>
      <c r="C19949" s="43" t="n">
        <v>-46.633924</v>
      </c>
      <c r="D19949" s="43" t="n">
        <v>286</v>
      </c>
      <c r="E19949" s="44" t="n">
        <v>10927.646</v>
      </c>
    </row>
    <row r="19950">
      <c r="A19950" s="39">
        <f>_xlfn.XLOOKUP(83500,Trip[shape_id],Trip[shape_id],"Não encontrado")</f>
        <v/>
      </c>
      <c r="B19950" s="40" t="n">
        <v>-23.476657</v>
      </c>
      <c r="C19950" s="40" t="n">
        <v>-46.634173</v>
      </c>
      <c r="D19950" s="40" t="n">
        <v>287</v>
      </c>
      <c r="E19950" s="41" t="n">
        <v>10960.171</v>
      </c>
    </row>
    <row r="19951">
      <c r="A19951" s="42">
        <f>_xlfn.XLOOKUP(83500,Trip[shape_id],Trip[shape_id],"Não encontrado")</f>
        <v/>
      </c>
      <c r="B19951" s="43" t="n">
        <v>-23.476991</v>
      </c>
      <c r="C19951" s="43" t="n">
        <v>-46.634676</v>
      </c>
      <c r="D19951" s="43" t="n">
        <v>288</v>
      </c>
      <c r="E19951" s="44" t="n">
        <v>11023.486</v>
      </c>
    </row>
    <row r="19952">
      <c r="A19952" s="39">
        <f>_xlfn.XLOOKUP(83500,Trip[shape_id],Trip[shape_id],"Não encontrado")</f>
        <v/>
      </c>
      <c r="B19952" s="40" t="n">
        <v>-23.476942</v>
      </c>
      <c r="C19952" s="40" t="n">
        <v>-46.634804</v>
      </c>
      <c r="D19952" s="40" t="n">
        <v>289</v>
      </c>
      <c r="E19952" s="41" t="n">
        <v>11062.332</v>
      </c>
    </row>
    <row r="19953">
      <c r="A19953" s="42">
        <f>_xlfn.XLOOKUP(83500,Trip[shape_id],Trip[shape_id],"Não encontrado")</f>
        <v/>
      </c>
      <c r="B19953" s="43" t="n">
        <v>-23.476909</v>
      </c>
      <c r="C19953" s="43" t="n">
        <v>-46.635043</v>
      </c>
      <c r="D19953" s="43" t="n">
        <v>290</v>
      </c>
      <c r="E19953" s="44" t="n">
        <v>11107.112</v>
      </c>
    </row>
    <row r="19954">
      <c r="A19954" s="39">
        <f>_xlfn.XLOOKUP(83500,Trip[shape_id],Trip[shape_id],"Não encontrado")</f>
        <v/>
      </c>
      <c r="B19954" s="40" t="n">
        <v>-23.476893</v>
      </c>
      <c r="C19954" s="40" t="n">
        <v>-46.635481</v>
      </c>
      <c r="D19954" s="40" t="n">
        <v>291</v>
      </c>
      <c r="E19954" s="41" t="n">
        <v>11107.112</v>
      </c>
    </row>
    <row r="19955">
      <c r="A19955" s="42">
        <f>_xlfn.XLOOKUP(83500,Trip[shape_id],Trip[shape_id],"Não encontrado")</f>
        <v/>
      </c>
      <c r="B19955" s="43" t="n">
        <v>-23.47684</v>
      </c>
      <c r="C19955" s="43" t="n">
        <v>-46.635756</v>
      </c>
      <c r="D19955" s="43" t="n">
        <v>292</v>
      </c>
      <c r="E19955" s="44" t="n">
        <v>11155.465</v>
      </c>
    </row>
    <row r="19956">
      <c r="A19956" s="39">
        <f>_xlfn.XLOOKUP(83500,Trip[shape_id],Trip[shape_id],"Não encontrado")</f>
        <v/>
      </c>
      <c r="B19956" s="40" t="n">
        <v>-23.476851</v>
      </c>
      <c r="C19956" s="40" t="n">
        <v>-46.635948</v>
      </c>
      <c r="D19956" s="40" t="n">
        <v>293</v>
      </c>
      <c r="E19956" s="41" t="n">
        <v>11155.465</v>
      </c>
    </row>
    <row r="19957">
      <c r="A19957" s="42">
        <f>_xlfn.XLOOKUP(83500,Trip[shape_id],Trip[shape_id],"Não encontrado")</f>
        <v/>
      </c>
      <c r="B19957" s="43" t="n">
        <v>-23.476844</v>
      </c>
      <c r="C19957" s="43" t="n">
        <v>-46.636022</v>
      </c>
      <c r="D19957" s="43" t="n">
        <v>294</v>
      </c>
      <c r="E19957" s="44" t="n">
        <v>11192.282</v>
      </c>
    </row>
    <row r="19958">
      <c r="A19958" s="39">
        <f>_xlfn.XLOOKUP(83500,Trip[shape_id],Trip[shape_id],"Não encontrado")</f>
        <v/>
      </c>
      <c r="B19958" s="40" t="n">
        <v>-23.4768</v>
      </c>
      <c r="C19958" s="40" t="n">
        <v>-46.636304</v>
      </c>
      <c r="D19958" s="40" t="n">
        <v>295</v>
      </c>
      <c r="E19958" s="41" t="n">
        <v>11208.155</v>
      </c>
    </row>
    <row r="19959">
      <c r="A19959" s="42">
        <f>_xlfn.XLOOKUP(83500,Trip[shape_id],Trip[shape_id],"Não encontrado")</f>
        <v/>
      </c>
      <c r="B19959" s="43" t="n">
        <v>-23.476781</v>
      </c>
      <c r="C19959" s="43" t="n">
        <v>-46.636458</v>
      </c>
      <c r="D19959" s="43" t="n">
        <v>296</v>
      </c>
      <c r="E19959" s="44" t="n">
        <v>11233.91</v>
      </c>
    </row>
    <row r="19960">
      <c r="A19960" s="39">
        <f>_xlfn.XLOOKUP(83500,Trip[shape_id],Trip[shape_id],"Não encontrado")</f>
        <v/>
      </c>
      <c r="B19960" s="40" t="n">
        <v>-23.476751</v>
      </c>
      <c r="C19960" s="40" t="n">
        <v>-46.636708</v>
      </c>
      <c r="D19960" s="40" t="n">
        <v>297</v>
      </c>
      <c r="E19960" s="41" t="n">
        <v>11233.91</v>
      </c>
    </row>
    <row r="19961">
      <c r="A19961" s="42">
        <f>_xlfn.XLOOKUP(83500,Trip[shape_id],Trip[shape_id],"Não encontrado")</f>
        <v/>
      </c>
      <c r="B19961" s="43" t="n">
        <v>-23.476628</v>
      </c>
      <c r="C19961" s="43" t="n">
        <v>-46.636803</v>
      </c>
      <c r="D19961" s="43" t="n">
        <v>298</v>
      </c>
      <c r="E19961" s="44" t="n">
        <v>11250.637</v>
      </c>
    </row>
    <row r="19962">
      <c r="A19962" s="39">
        <f>_xlfn.XLOOKUP(83500,Trip[shape_id],Trip[shape_id],"Não encontrado")</f>
        <v/>
      </c>
      <c r="B19962" s="40" t="n">
        <v>-23.476567</v>
      </c>
      <c r="C19962" s="40" t="n">
        <v>-46.636851</v>
      </c>
      <c r="D19962" s="40" t="n">
        <v>299</v>
      </c>
      <c r="E19962" s="41" t="n">
        <v>11258.985</v>
      </c>
    </row>
    <row r="19963">
      <c r="A19963" s="42">
        <f>_xlfn.XLOOKUP(83500,Trip[shape_id],Trip[shape_id],"Não encontrado")</f>
        <v/>
      </c>
      <c r="B19963" s="43" t="n">
        <v>-23.476432</v>
      </c>
      <c r="C19963" s="43" t="n">
        <v>-46.636961</v>
      </c>
      <c r="D19963" s="43" t="n">
        <v>300</v>
      </c>
      <c r="E19963" s="44" t="n">
        <v>11310.095</v>
      </c>
    </row>
    <row r="19964">
      <c r="A19964" s="39">
        <f>_xlfn.XLOOKUP(83500,Trip[shape_id],Trip[shape_id],"Não encontrado")</f>
        <v/>
      </c>
      <c r="B19964" s="40" t="n">
        <v>-23.476197</v>
      </c>
      <c r="C19964" s="40" t="n">
        <v>-46.63715</v>
      </c>
      <c r="D19964" s="40" t="n">
        <v>301</v>
      </c>
      <c r="E19964" s="41" t="n">
        <v>11333.072</v>
      </c>
    </row>
    <row r="19965">
      <c r="A19965" s="42">
        <f>_xlfn.XLOOKUP(83500,Trip[shape_id],Trip[shape_id],"Não encontrado")</f>
        <v/>
      </c>
      <c r="B19965" s="43" t="n">
        <v>-23.476056</v>
      </c>
      <c r="C19965" s="43" t="n">
        <v>-46.637315</v>
      </c>
      <c r="D19965" s="43" t="n">
        <v>302</v>
      </c>
      <c r="E19965" s="44" t="n">
        <v>11333.072</v>
      </c>
    </row>
    <row r="19966">
      <c r="A19966" s="39">
        <f>_xlfn.XLOOKUP(83500,Trip[shape_id],Trip[shape_id],"Não encontrado")</f>
        <v/>
      </c>
      <c r="B19966" s="40" t="n">
        <v>-23.475597</v>
      </c>
      <c r="C19966" s="40" t="n">
        <v>-46.638082</v>
      </c>
      <c r="D19966" s="40" t="n">
        <v>303</v>
      </c>
      <c r="E19966" s="41" t="n">
        <v>11426.474</v>
      </c>
    </row>
    <row r="19967">
      <c r="A19967" s="42">
        <f>_xlfn.XLOOKUP(83500,Trip[shape_id],Trip[shape_id],"Não encontrado")</f>
        <v/>
      </c>
      <c r="B19967" s="43" t="n">
        <v>-23.475392</v>
      </c>
      <c r="C19967" s="43" t="n">
        <v>-46.63841</v>
      </c>
      <c r="D19967" s="43" t="n">
        <v>304</v>
      </c>
      <c r="E19967" s="44" t="n">
        <v>11466.949</v>
      </c>
    </row>
    <row r="19968">
      <c r="A19968" s="39">
        <f>_xlfn.XLOOKUP(83500,Trip[shape_id],Trip[shape_id],"Não encontrado")</f>
        <v/>
      </c>
      <c r="B19968" s="40" t="n">
        <v>-23.475336</v>
      </c>
      <c r="C19968" s="40" t="n">
        <v>-46.638493</v>
      </c>
      <c r="D19968" s="40" t="n">
        <v>305</v>
      </c>
      <c r="E19968" s="41" t="n">
        <v>11477.455</v>
      </c>
    </row>
    <row r="19969">
      <c r="A19969" s="42">
        <f>_xlfn.XLOOKUP(83500,Trip[shape_id],Trip[shape_id],"Não encontrado")</f>
        <v/>
      </c>
      <c r="B19969" s="43" t="n">
        <v>-23.475282</v>
      </c>
      <c r="C19969" s="43" t="n">
        <v>-46.638594</v>
      </c>
      <c r="D19969" s="43" t="n">
        <v>306</v>
      </c>
      <c r="E19969" s="44" t="n">
        <v>11489.381</v>
      </c>
    </row>
    <row r="19970">
      <c r="A19970" s="39">
        <f>_xlfn.XLOOKUP(83500,Trip[shape_id],Trip[shape_id],"Não encontrado")</f>
        <v/>
      </c>
      <c r="B19970" s="40" t="n">
        <v>-23.475148</v>
      </c>
      <c r="C19970" s="40" t="n">
        <v>-46.638842</v>
      </c>
      <c r="D19970" s="40" t="n">
        <v>307</v>
      </c>
      <c r="E19970" s="41" t="n">
        <v>11534.468</v>
      </c>
    </row>
    <row r="19971">
      <c r="A19971" s="42">
        <f>_xlfn.XLOOKUP(83500,Trip[shape_id],Trip[shape_id],"Não encontrado")</f>
        <v/>
      </c>
      <c r="B19971" s="43" t="n">
        <v>-23.475089</v>
      </c>
      <c r="C19971" s="43" t="n">
        <v>-46.638982</v>
      </c>
      <c r="D19971" s="43" t="n">
        <v>308</v>
      </c>
      <c r="E19971" s="44" t="n">
        <v>11545.517</v>
      </c>
    </row>
    <row r="19972">
      <c r="A19972" s="39">
        <f>_xlfn.XLOOKUP(83500,Trip[shape_id],Trip[shape_id],"Não encontrado")</f>
        <v/>
      </c>
      <c r="B19972" s="40" t="n">
        <v>-23.475051</v>
      </c>
      <c r="C19972" s="40" t="n">
        <v>-46.639082</v>
      </c>
      <c r="D19972" s="40" t="n">
        <v>309</v>
      </c>
      <c r="E19972" s="41" t="n">
        <v>11561.369</v>
      </c>
    </row>
    <row r="19973">
      <c r="A19973" s="42">
        <f>_xlfn.XLOOKUP(83500,Trip[shape_id],Trip[shape_id],"Não encontrado")</f>
        <v/>
      </c>
      <c r="B19973" s="43" t="n">
        <v>-23.475008</v>
      </c>
      <c r="C19973" s="43" t="n">
        <v>-46.63923</v>
      </c>
      <c r="D19973" s="43" t="n">
        <v>310</v>
      </c>
      <c r="E19973" s="44" t="n">
        <v>11561.369</v>
      </c>
    </row>
    <row r="19974">
      <c r="A19974" s="39">
        <f>_xlfn.XLOOKUP(83500,Trip[shape_id],Trip[shape_id],"Não encontrado")</f>
        <v/>
      </c>
      <c r="B19974" s="40" t="n">
        <v>-23.47498</v>
      </c>
      <c r="C19974" s="40" t="n">
        <v>-46.639251</v>
      </c>
      <c r="D19974" s="40" t="n">
        <v>311</v>
      </c>
      <c r="E19974" s="41" t="n">
        <v>11571.045</v>
      </c>
    </row>
    <row r="19975">
      <c r="A19975" s="42">
        <f>_xlfn.XLOOKUP(83500,Trip[shape_id],Trip[shape_id],"Não encontrado")</f>
        <v/>
      </c>
      <c r="B19975" s="43" t="n">
        <v>-23.474935</v>
      </c>
      <c r="C19975" s="43" t="n">
        <v>-46.639282</v>
      </c>
      <c r="D19975" s="43" t="n">
        <v>312</v>
      </c>
      <c r="E19975" s="44" t="n">
        <v>11581.817</v>
      </c>
    </row>
    <row r="19976">
      <c r="A19976" s="39">
        <f>_xlfn.XLOOKUP(83500,Trip[shape_id],Trip[shape_id],"Não encontrado")</f>
        <v/>
      </c>
      <c r="B19976" s="40" t="n">
        <v>-23.474845</v>
      </c>
      <c r="C19976" s="40" t="n">
        <v>-46.639322</v>
      </c>
      <c r="D19976" s="40" t="n">
        <v>313</v>
      </c>
      <c r="E19976" s="41" t="n">
        <v>11609.57</v>
      </c>
    </row>
    <row r="19977">
      <c r="A19977" s="42">
        <f>_xlfn.XLOOKUP(83500,Trip[shape_id],Trip[shape_id],"Não encontrado")</f>
        <v/>
      </c>
      <c r="B19977" s="43" t="n">
        <v>-23.474623</v>
      </c>
      <c r="C19977" s="43" t="n">
        <v>-46.639448</v>
      </c>
      <c r="D19977" s="43" t="n">
        <v>314</v>
      </c>
      <c r="E19977" s="44" t="n">
        <v>11609.57</v>
      </c>
    </row>
    <row r="19978">
      <c r="A19978" s="39">
        <f>_xlfn.XLOOKUP(83500,Trip[shape_id],Trip[shape_id],"Não encontrado")</f>
        <v/>
      </c>
      <c r="B19978" s="40" t="n">
        <v>-23.474561</v>
      </c>
      <c r="C19978" s="40" t="n">
        <v>-46.639468</v>
      </c>
      <c r="D19978" s="40" t="n">
        <v>315</v>
      </c>
      <c r="E19978" s="41" t="n">
        <v>11630.563</v>
      </c>
    </row>
    <row r="19979">
      <c r="A19979" s="42">
        <f>_xlfn.XLOOKUP(83500,Trip[shape_id],Trip[shape_id],"Não encontrado")</f>
        <v/>
      </c>
      <c r="B19979" s="43" t="n">
        <v>-23.474442</v>
      </c>
      <c r="C19979" s="43" t="n">
        <v>-46.639509</v>
      </c>
      <c r="D19979" s="43" t="n">
        <v>316</v>
      </c>
      <c r="E19979" s="44" t="n">
        <v>11710.378</v>
      </c>
    </row>
    <row r="19980">
      <c r="A19980" s="39">
        <f>_xlfn.XLOOKUP(83500,Trip[shape_id],Trip[shape_id],"Não encontrado")</f>
        <v/>
      </c>
      <c r="B19980" s="40" t="n">
        <v>-23.473755</v>
      </c>
      <c r="C19980" s="40" t="n">
        <v>-46.639745</v>
      </c>
      <c r="D19980" s="40" t="n">
        <v>317</v>
      </c>
      <c r="E19980" s="41" t="n">
        <v>11758.637</v>
      </c>
    </row>
    <row r="19981">
      <c r="A19981" s="42">
        <f>_xlfn.XLOOKUP(83500,Trip[shape_id],Trip[shape_id],"Não encontrado")</f>
        <v/>
      </c>
      <c r="B19981" s="43" t="n">
        <v>-23.47334</v>
      </c>
      <c r="C19981" s="43" t="n">
        <v>-46.639889</v>
      </c>
      <c r="D19981" s="43" t="n">
        <v>318</v>
      </c>
      <c r="E19981" s="44" t="n">
        <v>11771.876</v>
      </c>
    </row>
    <row r="19982">
      <c r="A19982" s="39">
        <f>_xlfn.XLOOKUP(83500,Trip[shape_id],Trip[shape_id],"Não encontrado")</f>
        <v/>
      </c>
      <c r="B19982" s="40" t="n">
        <v>-23.473226</v>
      </c>
      <c r="C19982" s="40" t="n">
        <v>-46.639928</v>
      </c>
      <c r="D19982" s="40" t="n">
        <v>319</v>
      </c>
      <c r="E19982" s="41" t="n">
        <v>11771.876</v>
      </c>
    </row>
    <row r="19983">
      <c r="A19983" s="42">
        <f>_xlfn.XLOOKUP(83500,Trip[shape_id],Trip[shape_id],"Não encontrado")</f>
        <v/>
      </c>
      <c r="B19983" s="43" t="n">
        <v>-23.473029</v>
      </c>
      <c r="C19983" s="43" t="n">
        <v>-46.639997</v>
      </c>
      <c r="D19983" s="43" t="n">
        <v>320</v>
      </c>
      <c r="E19983" s="44" t="n">
        <v>11836.322</v>
      </c>
    </row>
    <row r="19984">
      <c r="A19984" s="39">
        <f>_xlfn.XLOOKUP(83500,Trip[shape_id],Trip[shape_id],"Não encontrado")</f>
        <v/>
      </c>
      <c r="B19984" s="40" t="n">
        <v>-23.472672</v>
      </c>
      <c r="C19984" s="40" t="n">
        <v>-46.640121</v>
      </c>
      <c r="D19984" s="40" t="n">
        <v>321</v>
      </c>
      <c r="E19984" s="41" t="n">
        <v>11836.322</v>
      </c>
    </row>
    <row r="19985">
      <c r="A19985" s="42">
        <f>_xlfn.XLOOKUP(83500,Trip[shape_id],Trip[shape_id],"Não encontrado")</f>
        <v/>
      </c>
      <c r="B19985" s="43" t="n">
        <v>-23.471893</v>
      </c>
      <c r="C19985" s="43" t="n">
        <v>-46.640386</v>
      </c>
      <c r="D19985" s="43" t="n">
        <v>322</v>
      </c>
      <c r="E19985" s="44" t="n">
        <v>11926.745</v>
      </c>
    </row>
    <row r="19986">
      <c r="A19986" s="39">
        <f>_xlfn.XLOOKUP(83500,Trip[shape_id],Trip[shape_id],"Não encontrado")</f>
        <v/>
      </c>
      <c r="B19986" s="40" t="n">
        <v>-23.471659</v>
      </c>
      <c r="C19986" s="40" t="n">
        <v>-46.640466</v>
      </c>
      <c r="D19986" s="40" t="n">
        <v>323</v>
      </c>
      <c r="E19986" s="41" t="n">
        <v>11968.553</v>
      </c>
    </row>
    <row r="19987">
      <c r="A19987" s="42">
        <f>_xlfn.XLOOKUP(83500,Trip[shape_id],Trip[shape_id],"Não encontrado")</f>
        <v/>
      </c>
      <c r="B19987" s="43" t="n">
        <v>-23.471547</v>
      </c>
      <c r="C19987" s="43" t="n">
        <v>-46.640542</v>
      </c>
      <c r="D19987" s="43" t="n">
        <v>324</v>
      </c>
      <c r="E19987" s="44" t="n">
        <v>11981.679</v>
      </c>
    </row>
    <row r="19988">
      <c r="A19988" s="39">
        <f>_xlfn.XLOOKUP(83500,Trip[shape_id],Trip[shape_id],"Não encontrado")</f>
        <v/>
      </c>
      <c r="B19988" s="40" t="n">
        <v>-23.471455</v>
      </c>
      <c r="C19988" s="40" t="n">
        <v>-46.640623</v>
      </c>
      <c r="D19988" s="40" t="n">
        <v>325</v>
      </c>
      <c r="E19988" s="41" t="n">
        <v>11992.914</v>
      </c>
    </row>
    <row r="19989">
      <c r="A19989" s="42">
        <f>_xlfn.XLOOKUP(83500,Trip[shape_id],Trip[shape_id],"Não encontrado")</f>
        <v/>
      </c>
      <c r="B19989" s="43" t="n">
        <v>-23.471376</v>
      </c>
      <c r="C19989" s="43" t="n">
        <v>-46.640692</v>
      </c>
      <c r="D19989" s="43" t="n">
        <v>326</v>
      </c>
      <c r="E19989" s="44" t="n">
        <v>11992.914</v>
      </c>
    </row>
    <row r="19990">
      <c r="A19990" s="39">
        <f>_xlfn.XLOOKUP(83500,Trip[shape_id],Trip[shape_id],"Não encontrado")</f>
        <v/>
      </c>
      <c r="B19990" s="40" t="n">
        <v>-23.471338</v>
      </c>
      <c r="C19990" s="40" t="n">
        <v>-46.640767</v>
      </c>
      <c r="D19990" s="40" t="n">
        <v>327</v>
      </c>
      <c r="E19990" s="41" t="n">
        <v>12001.656</v>
      </c>
    </row>
    <row r="19991">
      <c r="A19991" s="42">
        <f>_xlfn.XLOOKUP(83500,Trip[shape_id],Trip[shape_id],"Não encontrado")</f>
        <v/>
      </c>
      <c r="B19991" s="43" t="n">
        <v>-23.4713</v>
      </c>
      <c r="C19991" s="43" t="n">
        <v>-46.640838</v>
      </c>
      <c r="D19991" s="43" t="n">
        <v>328</v>
      </c>
      <c r="E19991" s="44" t="n">
        <v>12039.833</v>
      </c>
    </row>
    <row r="19992">
      <c r="A19992" s="39">
        <f>_xlfn.XLOOKUP(83500,Trip[shape_id],Trip[shape_id],"Não encontrado")</f>
        <v/>
      </c>
      <c r="B19992" s="40" t="n">
        <v>-23.471239</v>
      </c>
      <c r="C19992" s="40" t="n">
        <v>-46.641122</v>
      </c>
      <c r="D19992" s="40" t="n">
        <v>329</v>
      </c>
      <c r="E19992" s="41" t="n">
        <v>12090.357</v>
      </c>
    </row>
    <row r="19993">
      <c r="A19993" s="42">
        <f>_xlfn.XLOOKUP(83500,Trip[shape_id],Trip[shape_id],"Não encontrado")</f>
        <v/>
      </c>
      <c r="B19993" s="43" t="n">
        <v>-23.471165</v>
      </c>
      <c r="C19993" s="43" t="n">
        <v>-46.64161</v>
      </c>
      <c r="D19993" s="43" t="n">
        <v>330</v>
      </c>
      <c r="E19993" s="44" t="n">
        <v>12090.357</v>
      </c>
    </row>
    <row r="19994">
      <c r="A19994" s="39">
        <f>_xlfn.XLOOKUP(83500,Trip[shape_id],Trip[shape_id],"Não encontrado")</f>
        <v/>
      </c>
      <c r="B19994" s="40" t="n">
        <v>-23.47112</v>
      </c>
      <c r="C19994" s="40" t="n">
        <v>-46.641967</v>
      </c>
      <c r="D19994" s="40" t="n">
        <v>331</v>
      </c>
      <c r="E19994" s="41" t="n">
        <v>12127.169</v>
      </c>
    </row>
    <row r="19995">
      <c r="A19995" s="42">
        <f>_xlfn.XLOOKUP(83500,Trip[shape_id],Trip[shape_id],"Não encontrado")</f>
        <v/>
      </c>
      <c r="B19995" s="43" t="n">
        <v>-23.471015</v>
      </c>
      <c r="C19995" s="43" t="n">
        <v>-46.643051</v>
      </c>
      <c r="D19995" s="43" t="n">
        <v>332</v>
      </c>
      <c r="E19995" s="44" t="n">
        <v>12275.146</v>
      </c>
    </row>
    <row r="19996">
      <c r="A19996" s="39">
        <f>_xlfn.XLOOKUP(83500,Trip[shape_id],Trip[shape_id],"Não encontrado")</f>
        <v/>
      </c>
      <c r="B19996" s="40" t="n">
        <v>-23.470969</v>
      </c>
      <c r="C19996" s="40" t="n">
        <v>-46.643406</v>
      </c>
      <c r="D19996" s="40" t="n">
        <v>333</v>
      </c>
      <c r="E19996" s="41" t="n">
        <v>12310.176</v>
      </c>
    </row>
    <row r="19997">
      <c r="A19997" s="42">
        <f>_xlfn.XLOOKUP(83500,Trip[shape_id],Trip[shape_id],"Não encontrado")</f>
        <v/>
      </c>
      <c r="B19997" s="43" t="n">
        <v>-23.470906</v>
      </c>
      <c r="C19997" s="43" t="n">
        <v>-46.643742</v>
      </c>
      <c r="D19997" s="43" t="n">
        <v>334</v>
      </c>
      <c r="E19997" s="44" t="n">
        <v>12337.748</v>
      </c>
    </row>
    <row r="19998">
      <c r="A19998" s="39">
        <f>_xlfn.XLOOKUP(83500,Trip[shape_id],Trip[shape_id],"Não encontrado")</f>
        <v/>
      </c>
      <c r="B19998" s="40" t="n">
        <v>-23.470836</v>
      </c>
      <c r="C19998" s="40" t="n">
        <v>-46.644001</v>
      </c>
      <c r="D19998" s="40" t="n">
        <v>335</v>
      </c>
      <c r="E19998" s="41" t="n">
        <v>12353.895</v>
      </c>
    </row>
    <row r="19999">
      <c r="A19999" s="42">
        <f>_xlfn.XLOOKUP(83500,Trip[shape_id],Trip[shape_id],"Não encontrado")</f>
        <v/>
      </c>
      <c r="B19999" s="43" t="n">
        <v>-23.470778</v>
      </c>
      <c r="C19999" s="43" t="n">
        <v>-46.644146</v>
      </c>
      <c r="D19999" s="43" t="n">
        <v>336</v>
      </c>
      <c r="E19999" s="44" t="n">
        <v>12353.895</v>
      </c>
    </row>
    <row r="20000">
      <c r="A20000" s="39">
        <f>_xlfn.XLOOKUP(83500,Trip[shape_id],Trip[shape_id],"Não encontrado")</f>
        <v/>
      </c>
      <c r="B20000" s="40" t="n">
        <v>-23.470676</v>
      </c>
      <c r="C20000" s="40" t="n">
        <v>-46.644272</v>
      </c>
      <c r="D20000" s="40" t="n">
        <v>337</v>
      </c>
      <c r="E20000" s="41" t="n">
        <v>12383.055</v>
      </c>
    </row>
    <row r="20001">
      <c r="A20001" s="42">
        <f>_xlfn.XLOOKUP(83500,Trip[shape_id],Trip[shape_id],"Não encontrado")</f>
        <v/>
      </c>
      <c r="B20001" s="43" t="n">
        <v>-23.470598</v>
      </c>
      <c r="C20001" s="43" t="n">
        <v>-46.644354</v>
      </c>
      <c r="D20001" s="43" t="n">
        <v>338</v>
      </c>
      <c r="E20001" s="44" t="n">
        <v>12397.571</v>
      </c>
    </row>
    <row r="20002">
      <c r="A20002" s="39">
        <f>_xlfn.XLOOKUP(83500,Trip[shape_id],Trip[shape_id],"Não encontrado")</f>
        <v/>
      </c>
      <c r="B20002" s="40" t="n">
        <v>-23.470485</v>
      </c>
      <c r="C20002" s="40" t="n">
        <v>-46.644426</v>
      </c>
      <c r="D20002" s="40" t="n">
        <v>339</v>
      </c>
      <c r="E20002" s="41" t="n">
        <v>12427.222</v>
      </c>
    </row>
    <row r="20003">
      <c r="A20003" s="42">
        <f>_xlfn.XLOOKUP(83500,Trip[shape_id],Trip[shape_id],"Não encontrado")</f>
        <v/>
      </c>
      <c r="B20003" s="43" t="n">
        <v>-23.47024</v>
      </c>
      <c r="C20003" s="43" t="n">
        <v>-46.644543</v>
      </c>
      <c r="D20003" s="43" t="n">
        <v>340</v>
      </c>
      <c r="E20003" s="44" t="n">
        <v>12427.222</v>
      </c>
    </row>
    <row r="20004">
      <c r="A20004" s="39">
        <f>_xlfn.XLOOKUP(83500,Trip[shape_id],Trip[shape_id],"Não encontrado")</f>
        <v/>
      </c>
      <c r="B20004" s="40" t="n">
        <v>-23.469594</v>
      </c>
      <c r="C20004" s="40" t="n">
        <v>-46.644874</v>
      </c>
      <c r="D20004" s="40" t="n">
        <v>341</v>
      </c>
      <c r="E20004" s="41" t="n">
        <v>12525.357</v>
      </c>
    </row>
    <row r="20005">
      <c r="A20005" s="42">
        <f>_xlfn.XLOOKUP(83500,Trip[shape_id],Trip[shape_id],"Não encontrado")</f>
        <v/>
      </c>
      <c r="B20005" s="43" t="n">
        <v>-23.46944</v>
      </c>
      <c r="C20005" s="43" t="n">
        <v>-46.644956</v>
      </c>
      <c r="D20005" s="43" t="n">
        <v>342</v>
      </c>
      <c r="E20005" s="44" t="n">
        <v>12543.408</v>
      </c>
    </row>
    <row r="20006">
      <c r="A20006" s="39">
        <f>_xlfn.XLOOKUP(83500,Trip[shape_id],Trip[shape_id],"Não encontrado")</f>
        <v/>
      </c>
      <c r="B20006" s="40" t="n">
        <v>-23.469292</v>
      </c>
      <c r="C20006" s="40" t="n">
        <v>-46.64503</v>
      </c>
      <c r="D20006" s="40" t="n">
        <v>343</v>
      </c>
      <c r="E20006" s="41" t="n">
        <v>12543.408</v>
      </c>
    </row>
    <row r="20007">
      <c r="A20007" s="42">
        <f>_xlfn.XLOOKUP(83500,Trip[shape_id],Trip[shape_id],"Não encontrado")</f>
        <v/>
      </c>
      <c r="B20007" s="43" t="n">
        <v>-23.469317</v>
      </c>
      <c r="C20007" s="43" t="n">
        <v>-46.645149</v>
      </c>
      <c r="D20007" s="43" t="n">
        <v>344</v>
      </c>
      <c r="E20007" s="44" t="n">
        <v>12555.877</v>
      </c>
    </row>
    <row r="20008">
      <c r="A20008" s="39">
        <f>_xlfn.XLOOKUP(83500,Trip[shape_id],Trip[shape_id],"Não encontrado")</f>
        <v/>
      </c>
      <c r="B20008" s="40" t="n">
        <v>-23.469353</v>
      </c>
      <c r="C20008" s="40" t="n">
        <v>-46.645303</v>
      </c>
      <c r="D20008" s="40" t="n">
        <v>345</v>
      </c>
      <c r="E20008" s="41" t="n">
        <v>12572.107</v>
      </c>
    </row>
    <row r="20009">
      <c r="A20009" s="42">
        <f>_xlfn.XLOOKUP(83500,Trip[shape_id],Trip[shape_id],"Não encontrado")</f>
        <v/>
      </c>
      <c r="B20009" s="43" t="n">
        <v>-23.469381</v>
      </c>
      <c r="C20009" s="43" t="n">
        <v>-46.645591</v>
      </c>
      <c r="D20009" s="43" t="n">
        <v>346</v>
      </c>
      <c r="E20009" s="44" t="n">
        <v>12601.694</v>
      </c>
    </row>
    <row r="20010">
      <c r="A20010" s="39">
        <f>_xlfn.XLOOKUP(83500,Trip[shape_id],Trip[shape_id],"Não encontrado")</f>
        <v/>
      </c>
      <c r="B20010" s="40" t="n">
        <v>-23.469412</v>
      </c>
      <c r="C20010" s="40" t="n">
        <v>-46.646087</v>
      </c>
      <c r="D20010" s="40" t="n">
        <v>347</v>
      </c>
      <c r="E20010" s="41" t="n">
        <v>12652.484</v>
      </c>
    </row>
    <row r="20011">
      <c r="A20011" s="42">
        <f>_xlfn.XLOOKUP(83500,Trip[shape_id],Trip[shape_id],"Não encontrado")</f>
        <v/>
      </c>
      <c r="B20011" s="43" t="n">
        <v>-23.469412</v>
      </c>
      <c r="C20011" s="43" t="n">
        <v>-46.646197</v>
      </c>
      <c r="D20011" s="43" t="n">
        <v>348</v>
      </c>
      <c r="E20011" s="44" t="n">
        <v>12663.723</v>
      </c>
    </row>
    <row r="20012">
      <c r="A20012" s="39">
        <f>_xlfn.XLOOKUP(83500,Trip[shape_id],Trip[shape_id],"Não encontrado")</f>
        <v/>
      </c>
      <c r="B20012" s="40" t="n">
        <v>-23.469421</v>
      </c>
      <c r="C20012" s="40" t="n">
        <v>-46.646348</v>
      </c>
      <c r="D20012" s="40" t="n">
        <v>349</v>
      </c>
      <c r="E20012" s="41" t="n">
        <v>12679.182</v>
      </c>
    </row>
    <row r="20013">
      <c r="A20013" s="42">
        <f>_xlfn.XLOOKUP(83500,Trip[shape_id],Trip[shape_id],"Não encontrado")</f>
        <v/>
      </c>
      <c r="B20013" s="43" t="n">
        <v>-23.469435</v>
      </c>
      <c r="C20013" s="43" t="n">
        <v>-46.646539</v>
      </c>
      <c r="D20013" s="43" t="n">
        <v>350</v>
      </c>
      <c r="E20013" s="44" t="n">
        <v>12698.757</v>
      </c>
    </row>
    <row r="20014">
      <c r="A20014" s="39">
        <f>_xlfn.XLOOKUP(83500,Trip[shape_id],Trip[shape_id],"Não encontrado")</f>
        <v/>
      </c>
      <c r="B20014" s="40" t="n">
        <v>-23.469467</v>
      </c>
      <c r="C20014" s="40" t="n">
        <v>-46.646746</v>
      </c>
      <c r="D20014" s="40" t="n">
        <v>351</v>
      </c>
      <c r="E20014" s="41" t="n">
        <v>12720.199</v>
      </c>
    </row>
    <row r="20015">
      <c r="A20015" s="42">
        <f>_xlfn.XLOOKUP(83500,Trip[shape_id],Trip[shape_id],"Não encontrado")</f>
        <v/>
      </c>
      <c r="B20015" s="43" t="n">
        <v>-23.469514</v>
      </c>
      <c r="C20015" s="43" t="n">
        <v>-46.647028</v>
      </c>
      <c r="D20015" s="43" t="n">
        <v>352</v>
      </c>
      <c r="E20015" s="44" t="n">
        <v>12749.477</v>
      </c>
    </row>
    <row r="20016">
      <c r="A20016" s="39">
        <f>_xlfn.XLOOKUP(83500,Trip[shape_id],Trip[shape_id],"Não encontrado")</f>
        <v/>
      </c>
      <c r="B20016" s="40" t="n">
        <v>-23.469611</v>
      </c>
      <c r="C20016" s="40" t="n">
        <v>-46.647447</v>
      </c>
      <c r="D20016" s="40" t="n">
        <v>353</v>
      </c>
      <c r="E20016" s="41" t="n">
        <v>12793.611</v>
      </c>
    </row>
    <row r="20017">
      <c r="A20017" s="42">
        <f>_xlfn.XLOOKUP(83500,Trip[shape_id],Trip[shape_id],"Não encontrado")</f>
        <v/>
      </c>
      <c r="B20017" s="43" t="n">
        <v>-23.469849</v>
      </c>
      <c r="C20017" s="43" t="n">
        <v>-46.64845</v>
      </c>
      <c r="D20017" s="43" t="n">
        <v>354</v>
      </c>
      <c r="E20017" s="44" t="n">
        <v>12899.418</v>
      </c>
    </row>
    <row r="20018">
      <c r="A20018" s="39">
        <f>_xlfn.XLOOKUP(83500,Trip[shape_id],Trip[shape_id],"Não encontrado")</f>
        <v/>
      </c>
      <c r="B20018" s="40" t="n">
        <v>-23.469868</v>
      </c>
      <c r="C20018" s="40" t="n">
        <v>-46.648549</v>
      </c>
      <c r="D20018" s="40" t="n">
        <v>355</v>
      </c>
      <c r="E20018" s="41" t="n">
        <v>12909.749</v>
      </c>
    </row>
    <row r="20019">
      <c r="A20019" s="42">
        <f>_xlfn.XLOOKUP(83500,Trip[shape_id],Trip[shape_id],"Não encontrado")</f>
        <v/>
      </c>
      <c r="B20019" s="43" t="n">
        <v>-23.469922</v>
      </c>
      <c r="C20019" s="43" t="n">
        <v>-46.648705</v>
      </c>
      <c r="D20019" s="43" t="n">
        <v>356</v>
      </c>
      <c r="E20019" s="44" t="n">
        <v>12926.771</v>
      </c>
    </row>
    <row r="20020">
      <c r="A20020" s="39">
        <f>_xlfn.XLOOKUP(83500,Trip[shape_id],Trip[shape_id],"Não encontrado")</f>
        <v/>
      </c>
      <c r="B20020" s="40" t="n">
        <v>-23.470245</v>
      </c>
      <c r="C20020" s="40" t="n">
        <v>-46.649163</v>
      </c>
      <c r="D20020" s="40" t="n">
        <v>357</v>
      </c>
      <c r="E20020" s="41" t="n">
        <v>12985.67</v>
      </c>
    </row>
    <row r="20021">
      <c r="A20021" s="42">
        <f>_xlfn.XLOOKUP(83500,Trip[shape_id],Trip[shape_id],"Não encontrado")</f>
        <v/>
      </c>
      <c r="B20021" s="43" t="n">
        <v>-23.470292</v>
      </c>
      <c r="C20021" s="43" t="n">
        <v>-46.649238</v>
      </c>
      <c r="D20021" s="43" t="n">
        <v>358</v>
      </c>
      <c r="E20021" s="44" t="n">
        <v>12994.933</v>
      </c>
    </row>
    <row r="20022">
      <c r="A20022" s="39">
        <f>_xlfn.XLOOKUP(83500,Trip[shape_id],Trip[shape_id],"Não encontrado")</f>
        <v/>
      </c>
      <c r="B20022" s="40" t="n">
        <v>-23.470519</v>
      </c>
      <c r="C20022" s="40" t="n">
        <v>-46.649704</v>
      </c>
      <c r="D20022" s="40" t="n">
        <v>359</v>
      </c>
      <c r="E20022" s="41" t="n">
        <v>13048.771</v>
      </c>
    </row>
    <row r="20023">
      <c r="A20023" s="42">
        <f>_xlfn.XLOOKUP(83500,Trip[shape_id],Trip[shape_id],"Não encontrado")</f>
        <v/>
      </c>
      <c r="B20023" s="43" t="n">
        <v>-23.470681</v>
      </c>
      <c r="C20023" s="43" t="n">
        <v>-46.649978</v>
      </c>
      <c r="D20023" s="43" t="n">
        <v>360</v>
      </c>
      <c r="E20023" s="44" t="n">
        <v>13082.021</v>
      </c>
    </row>
    <row r="20024">
      <c r="A20024" s="39">
        <f>_xlfn.XLOOKUP(83500,Trip[shape_id],Trip[shape_id],"Não encontrado")</f>
        <v/>
      </c>
      <c r="B20024" s="40" t="n">
        <v>-23.470789</v>
      </c>
      <c r="C20024" s="40" t="n">
        <v>-46.6502</v>
      </c>
      <c r="D20024" s="40" t="n">
        <v>361</v>
      </c>
      <c r="E20024" s="41" t="n">
        <v>13107.662</v>
      </c>
    </row>
    <row r="20025">
      <c r="A20025" s="42">
        <f>_xlfn.XLOOKUP(83500,Trip[shape_id],Trip[shape_id],"Não encontrado")</f>
        <v/>
      </c>
      <c r="B20025" s="43" t="n">
        <v>-23.470837</v>
      </c>
      <c r="C20025" s="43" t="n">
        <v>-46.650295</v>
      </c>
      <c r="D20025" s="43" t="n">
        <v>362</v>
      </c>
      <c r="E20025" s="44" t="n">
        <v>13118.728</v>
      </c>
    </row>
    <row r="20026">
      <c r="A20026" s="39">
        <f>_xlfn.XLOOKUP(83500,Trip[shape_id],Trip[shape_id],"Não encontrado")</f>
        <v/>
      </c>
      <c r="B20026" s="40" t="n">
        <v>-23.470934</v>
      </c>
      <c r="C20026" s="40" t="n">
        <v>-46.650523</v>
      </c>
      <c r="D20026" s="40" t="n">
        <v>363</v>
      </c>
      <c r="E20026" s="41" t="n">
        <v>13144.379</v>
      </c>
    </row>
    <row r="20027">
      <c r="A20027" s="42">
        <f>_xlfn.XLOOKUP(83500,Trip[shape_id],Trip[shape_id],"Não encontrado")</f>
        <v/>
      </c>
      <c r="B20027" s="43" t="n">
        <v>-23.471029</v>
      </c>
      <c r="C20027" s="43" t="n">
        <v>-46.650797</v>
      </c>
      <c r="D20027" s="43" t="n">
        <v>364</v>
      </c>
      <c r="E20027" s="44" t="n">
        <v>13174.284</v>
      </c>
    </row>
    <row r="20028">
      <c r="A20028" s="39">
        <f>_xlfn.XLOOKUP(83500,Trip[shape_id],Trip[shape_id],"Não encontrado")</f>
        <v/>
      </c>
      <c r="B20028" s="40" t="n">
        <v>-23.471104</v>
      </c>
      <c r="C20028" s="40" t="n">
        <v>-46.651047</v>
      </c>
      <c r="D20028" s="40" t="n">
        <v>365</v>
      </c>
      <c r="E20028" s="41" t="n">
        <v>13201.142</v>
      </c>
    </row>
    <row r="20029">
      <c r="A20029" s="42">
        <f>_xlfn.XLOOKUP(83500,Trip[shape_id],Trip[shape_id],"Não encontrado")</f>
        <v/>
      </c>
      <c r="B20029" s="43" t="n">
        <v>-23.471166</v>
      </c>
      <c r="C20029" s="43" t="n">
        <v>-46.651406</v>
      </c>
      <c r="D20029" s="43" t="n">
        <v>366</v>
      </c>
      <c r="E20029" s="44" t="n">
        <v>13238.455</v>
      </c>
    </row>
    <row r="20030">
      <c r="A20030" s="39">
        <f>_xlfn.XLOOKUP(83500,Trip[shape_id],Trip[shape_id],"Não encontrado")</f>
        <v/>
      </c>
      <c r="B20030" s="40" t="n">
        <v>-23.471171</v>
      </c>
      <c r="C20030" s="40" t="n">
        <v>-46.651546</v>
      </c>
      <c r="D20030" s="40" t="n">
        <v>367</v>
      </c>
      <c r="E20030" s="41" t="n">
        <v>13252.769</v>
      </c>
    </row>
    <row r="20031">
      <c r="A20031" s="42">
        <f>_xlfn.XLOOKUP(83500,Trip[shape_id],Trip[shape_id],"Não encontrado")</f>
        <v/>
      </c>
      <c r="B20031" s="43" t="n">
        <v>-23.471158</v>
      </c>
      <c r="C20031" s="43" t="n">
        <v>-46.65161</v>
      </c>
      <c r="D20031" s="43" t="n">
        <v>368</v>
      </c>
      <c r="E20031" s="44" t="n">
        <v>13259.464</v>
      </c>
    </row>
    <row r="20032">
      <c r="A20032" s="39">
        <f>_xlfn.XLOOKUP(83500,Trip[shape_id],Trip[shape_id],"Não encontrado")</f>
        <v/>
      </c>
      <c r="B20032" s="40" t="n">
        <v>-23.471138</v>
      </c>
      <c r="C20032" s="40" t="n">
        <v>-46.651701</v>
      </c>
      <c r="D20032" s="40" t="n">
        <v>369</v>
      </c>
      <c r="E20032" s="41" t="n">
        <v>13269.021</v>
      </c>
    </row>
    <row r="20033">
      <c r="A20033" s="42">
        <f>_xlfn.XLOOKUP(83500,Trip[shape_id],Trip[shape_id],"Não encontrado")</f>
        <v/>
      </c>
      <c r="B20033" s="43" t="n">
        <v>-23.471094</v>
      </c>
      <c r="C20033" s="43" t="n">
        <v>-46.651853</v>
      </c>
      <c r="D20033" s="43" t="n">
        <v>370</v>
      </c>
      <c r="E20033" s="44" t="n">
        <v>13285.296</v>
      </c>
    </row>
    <row r="20034">
      <c r="A20034" s="39">
        <f>_xlfn.XLOOKUP(83500,Trip[shape_id],Trip[shape_id],"Não encontrado")</f>
        <v/>
      </c>
      <c r="B20034" s="40" t="n">
        <v>-23.470993</v>
      </c>
      <c r="C20034" s="40" t="n">
        <v>-46.652137</v>
      </c>
      <c r="D20034" s="40" t="n">
        <v>371</v>
      </c>
      <c r="E20034" s="41" t="n">
        <v>13316.392</v>
      </c>
    </row>
    <row r="20035">
      <c r="A20035" s="42">
        <f>_xlfn.XLOOKUP(83500,Trip[shape_id],Trip[shape_id],"Não encontrado")</f>
        <v/>
      </c>
      <c r="B20035" s="43" t="n">
        <v>-23.470931</v>
      </c>
      <c r="C20035" s="43" t="n">
        <v>-46.652278</v>
      </c>
      <c r="D20035" s="43" t="n">
        <v>372</v>
      </c>
      <c r="E20035" s="44" t="n">
        <v>13332.35</v>
      </c>
    </row>
    <row r="20036">
      <c r="A20036" s="39">
        <f>_xlfn.XLOOKUP(83500,Trip[shape_id],Trip[shape_id],"Não encontrado")</f>
        <v/>
      </c>
      <c r="B20036" s="40" t="n">
        <v>-23.470868</v>
      </c>
      <c r="C20036" s="40" t="n">
        <v>-46.652391</v>
      </c>
      <c r="D20036" s="40" t="n">
        <v>373</v>
      </c>
      <c r="E20036" s="41" t="n">
        <v>13345.839</v>
      </c>
    </row>
    <row r="20037">
      <c r="A20037" s="42">
        <f>_xlfn.XLOOKUP(83500,Trip[shape_id],Trip[shape_id],"Não encontrado")</f>
        <v/>
      </c>
      <c r="B20037" s="43" t="n">
        <v>-23.4708</v>
      </c>
      <c r="C20037" s="43" t="n">
        <v>-46.652483</v>
      </c>
      <c r="D20037" s="43" t="n">
        <v>374</v>
      </c>
      <c r="E20037" s="44" t="n">
        <v>13357.883</v>
      </c>
    </row>
    <row r="20038">
      <c r="A20038" s="39">
        <f>_xlfn.XLOOKUP(83500,Trip[shape_id],Trip[shape_id],"Não encontrado")</f>
        <v/>
      </c>
      <c r="B20038" s="40" t="n">
        <v>-23.470715</v>
      </c>
      <c r="C20038" s="40" t="n">
        <v>-46.652588</v>
      </c>
      <c r="D20038" s="40" t="n">
        <v>375</v>
      </c>
      <c r="E20038" s="41" t="n">
        <v>13372.155</v>
      </c>
    </row>
    <row r="20039">
      <c r="A20039" s="42">
        <f>_xlfn.XLOOKUP(83500,Trip[shape_id],Trip[shape_id],"Não encontrado")</f>
        <v/>
      </c>
      <c r="B20039" s="43" t="n">
        <v>-23.470629</v>
      </c>
      <c r="C20039" s="43" t="n">
        <v>-46.652672</v>
      </c>
      <c r="D20039" s="43" t="n">
        <v>376</v>
      </c>
      <c r="E20039" s="44" t="n">
        <v>13384.976</v>
      </c>
    </row>
    <row r="20040">
      <c r="A20040" s="39">
        <f>_xlfn.XLOOKUP(83500,Trip[shape_id],Trip[shape_id],"Não encontrado")</f>
        <v/>
      </c>
      <c r="B20040" s="40" t="n">
        <v>-23.470582</v>
      </c>
      <c r="C20040" s="40" t="n">
        <v>-46.652715</v>
      </c>
      <c r="D20040" s="40" t="n">
        <v>377</v>
      </c>
      <c r="E20040" s="41" t="n">
        <v>13391.787</v>
      </c>
    </row>
    <row r="20041">
      <c r="A20041" s="42">
        <f>_xlfn.XLOOKUP(83500,Trip[shape_id],Trip[shape_id],"Não encontrado")</f>
        <v/>
      </c>
      <c r="B20041" s="43" t="n">
        <v>-23.470498</v>
      </c>
      <c r="C20041" s="43" t="n">
        <v>-46.652809</v>
      </c>
      <c r="D20041" s="43" t="n">
        <v>378</v>
      </c>
      <c r="E20041" s="44" t="n">
        <v>13405.158</v>
      </c>
    </row>
    <row r="20042">
      <c r="A20042" s="39">
        <f>_xlfn.XLOOKUP(83500,Trip[shape_id],Trip[shape_id],"Não encontrado")</f>
        <v/>
      </c>
      <c r="B20042" s="40" t="n">
        <v>-23.470422</v>
      </c>
      <c r="C20042" s="40" t="n">
        <v>-46.652942</v>
      </c>
      <c r="D20042" s="40" t="n">
        <v>379</v>
      </c>
      <c r="E20042" s="41" t="n">
        <v>13421.142</v>
      </c>
    </row>
    <row r="20043">
      <c r="A20043" s="42">
        <f>_xlfn.XLOOKUP(83500,Trip[shape_id],Trip[shape_id],"Não encontrado")</f>
        <v/>
      </c>
      <c r="B20043" s="43" t="n">
        <v>-23.470368</v>
      </c>
      <c r="C20043" s="43" t="n">
        <v>-46.653072</v>
      </c>
      <c r="D20043" s="43" t="n">
        <v>380</v>
      </c>
      <c r="E20043" s="44" t="n">
        <v>13435.707</v>
      </c>
    </row>
    <row r="20044">
      <c r="A20044" s="39">
        <f>_xlfn.XLOOKUP(83500,Trip[shape_id],Trip[shape_id],"Não encontrado")</f>
        <v/>
      </c>
      <c r="B20044" s="40" t="n">
        <v>-23.470325</v>
      </c>
      <c r="C20044" s="40" t="n">
        <v>-46.653162</v>
      </c>
      <c r="D20044" s="40" t="n">
        <v>381</v>
      </c>
      <c r="E20044" s="41" t="n">
        <v>13446.062</v>
      </c>
    </row>
    <row r="20045">
      <c r="A20045" s="42">
        <f>_xlfn.XLOOKUP(83500,Trip[shape_id],Trip[shape_id],"Não encontrado")</f>
        <v/>
      </c>
      <c r="B20045" s="43" t="n">
        <v>-23.470292</v>
      </c>
      <c r="C20045" s="43" t="n">
        <v>-46.65325</v>
      </c>
      <c r="D20045" s="43" t="n">
        <v>382</v>
      </c>
      <c r="E20045" s="44" t="n">
        <v>13455.767</v>
      </c>
    </row>
    <row r="20046">
      <c r="A20046" s="39">
        <f>_xlfn.XLOOKUP(83500,Trip[shape_id],Trip[shape_id],"Não encontrado")</f>
        <v/>
      </c>
      <c r="B20046" s="40" t="n">
        <v>-23.470277</v>
      </c>
      <c r="C20046" s="40" t="n">
        <v>-46.65335</v>
      </c>
      <c r="D20046" s="40" t="n">
        <v>383</v>
      </c>
      <c r="E20046" s="41" t="n">
        <v>13466.117</v>
      </c>
    </row>
    <row r="20047">
      <c r="A20047" s="42">
        <f>_xlfn.XLOOKUP(83500,Trip[shape_id],Trip[shape_id],"Não encontrado")</f>
        <v/>
      </c>
      <c r="B20047" s="43" t="n">
        <v>-23.470274</v>
      </c>
      <c r="C20047" s="43" t="n">
        <v>-46.653439</v>
      </c>
      <c r="D20047" s="43" t="n">
        <v>384</v>
      </c>
      <c r="E20047" s="44" t="n">
        <v>13475.216</v>
      </c>
    </row>
    <row r="20048">
      <c r="A20048" s="39">
        <f>_xlfn.XLOOKUP(83500,Trip[shape_id],Trip[shape_id],"Não encontrado")</f>
        <v/>
      </c>
      <c r="B20048" s="40" t="n">
        <v>-23.470264</v>
      </c>
      <c r="C20048" s="40" t="n">
        <v>-46.65354</v>
      </c>
      <c r="D20048" s="40" t="n">
        <v>385</v>
      </c>
      <c r="E20048" s="41" t="n">
        <v>13485.594</v>
      </c>
    </row>
    <row r="20049">
      <c r="A20049" s="42">
        <f>_xlfn.XLOOKUP(83500,Trip[shape_id],Trip[shape_id],"Não encontrado")</f>
        <v/>
      </c>
      <c r="B20049" s="43" t="n">
        <v>-23.470242</v>
      </c>
      <c r="C20049" s="43" t="n">
        <v>-46.65364</v>
      </c>
      <c r="D20049" s="43" t="n">
        <v>386</v>
      </c>
      <c r="E20049" s="44" t="n">
        <v>13496.097</v>
      </c>
    </row>
    <row r="20050">
      <c r="A20050" s="39">
        <f>_xlfn.XLOOKUP(83500,Trip[shape_id],Trip[shape_id],"Não encontrado")</f>
        <v/>
      </c>
      <c r="B20050" s="40" t="n">
        <v>-23.4702</v>
      </c>
      <c r="C20050" s="40" t="n">
        <v>-46.653776</v>
      </c>
      <c r="D20050" s="40" t="n">
        <v>387</v>
      </c>
      <c r="E20050" s="41" t="n">
        <v>13510.749</v>
      </c>
    </row>
    <row r="20051">
      <c r="A20051" s="42">
        <f>_xlfn.XLOOKUP(83500,Trip[shape_id],Trip[shape_id],"Não encontrado")</f>
        <v/>
      </c>
      <c r="B20051" s="43" t="n">
        <v>-23.470175</v>
      </c>
      <c r="C20051" s="43" t="n">
        <v>-46.653857</v>
      </c>
      <c r="D20051" s="43" t="n">
        <v>388</v>
      </c>
      <c r="E20051" s="44" t="n">
        <v>13519.475</v>
      </c>
    </row>
    <row r="20052">
      <c r="A20052" s="39">
        <f>_xlfn.XLOOKUP(83500,Trip[shape_id],Trip[shape_id],"Não encontrado")</f>
        <v/>
      </c>
      <c r="B20052" s="40" t="n">
        <v>-23.470153</v>
      </c>
      <c r="C20052" s="40" t="n">
        <v>-46.653912</v>
      </c>
      <c r="D20052" s="40" t="n">
        <v>389</v>
      </c>
      <c r="E20052" s="41" t="n">
        <v>13525.599</v>
      </c>
    </row>
    <row r="20053">
      <c r="A20053" s="42">
        <f>_xlfn.XLOOKUP(83500,Trip[shape_id],Trip[shape_id],"Não encontrado")</f>
        <v/>
      </c>
      <c r="B20053" s="43" t="n">
        <v>-23.470068</v>
      </c>
      <c r="C20053" s="43" t="n">
        <v>-46.654102</v>
      </c>
      <c r="D20053" s="43" t="n">
        <v>390</v>
      </c>
      <c r="E20053" s="44" t="n">
        <v>13547.172</v>
      </c>
    </row>
    <row r="20054">
      <c r="A20054" s="39">
        <f>_xlfn.XLOOKUP(83500,Trip[shape_id],Trip[shape_id],"Não encontrado")</f>
        <v/>
      </c>
      <c r="B20054" s="40" t="n">
        <v>-23.470033</v>
      </c>
      <c r="C20054" s="40" t="n">
        <v>-46.654187</v>
      </c>
      <c r="D20054" s="40" t="n">
        <v>391</v>
      </c>
      <c r="E20054" s="41" t="n">
        <v>13556.682</v>
      </c>
    </row>
    <row r="20055">
      <c r="A20055" s="42">
        <f>_xlfn.XLOOKUP(83500,Trip[shape_id],Trip[shape_id],"Não encontrado")</f>
        <v/>
      </c>
      <c r="B20055" s="43" t="n">
        <v>-23.470013</v>
      </c>
      <c r="C20055" s="43" t="n">
        <v>-46.654242</v>
      </c>
      <c r="D20055" s="43" t="n">
        <v>392</v>
      </c>
      <c r="E20055" s="44" t="n">
        <v>13562.722</v>
      </c>
    </row>
    <row r="20056">
      <c r="A20056" s="39">
        <f>_xlfn.XLOOKUP(83500,Trip[shape_id],Trip[shape_id],"Não encontrado")</f>
        <v/>
      </c>
      <c r="B20056" s="40" t="n">
        <v>-23.469942</v>
      </c>
      <c r="C20056" s="40" t="n">
        <v>-46.654383</v>
      </c>
      <c r="D20056" s="40" t="n">
        <v>393</v>
      </c>
      <c r="E20056" s="41" t="n">
        <v>13579.133</v>
      </c>
    </row>
    <row r="20057">
      <c r="A20057" s="42">
        <f>_xlfn.XLOOKUP(83500,Trip[shape_id],Trip[shape_id],"Não encontrado")</f>
        <v/>
      </c>
      <c r="B20057" s="43" t="n">
        <v>-23.469861</v>
      </c>
      <c r="C20057" s="43" t="n">
        <v>-46.654555</v>
      </c>
      <c r="D20057" s="43" t="n">
        <v>394</v>
      </c>
      <c r="E20057" s="44" t="n">
        <v>13598.862</v>
      </c>
    </row>
    <row r="20058">
      <c r="A20058" s="39">
        <f>_xlfn.XLOOKUP(83500,Trip[shape_id],Trip[shape_id],"Não encontrado")</f>
        <v/>
      </c>
      <c r="B20058" s="40" t="n">
        <v>-23.469852</v>
      </c>
      <c r="C20058" s="40" t="n">
        <v>-46.654689</v>
      </c>
      <c r="D20058" s="40" t="n">
        <v>395</v>
      </c>
      <c r="E20058" s="41" t="n">
        <v>13612.588</v>
      </c>
    </row>
    <row r="20059">
      <c r="A20059" s="42">
        <f>_xlfn.XLOOKUP(83500,Trip[shape_id],Trip[shape_id],"Não encontrado")</f>
        <v/>
      </c>
      <c r="B20059" s="43" t="n">
        <v>-23.469861</v>
      </c>
      <c r="C20059" s="43" t="n">
        <v>-46.654729</v>
      </c>
      <c r="D20059" s="43" t="n">
        <v>396</v>
      </c>
      <c r="E20059" s="44" t="n">
        <v>13616.795</v>
      </c>
    </row>
    <row r="20060">
      <c r="A20060" s="39">
        <f>_xlfn.XLOOKUP(83500,Trip[shape_id],Trip[shape_id],"Não encontrado")</f>
        <v/>
      </c>
      <c r="B20060" s="40" t="n">
        <v>-23.469794</v>
      </c>
      <c r="C20060" s="40" t="n">
        <v>-46.655195</v>
      </c>
      <c r="D20060" s="40" t="n">
        <v>397</v>
      </c>
      <c r="E20060" s="41" t="n">
        <v>13664.979</v>
      </c>
    </row>
    <row r="20061">
      <c r="A20061" s="42">
        <f>_xlfn.XLOOKUP(83500,Trip[shape_id],Trip[shape_id],"Não encontrado")</f>
        <v/>
      </c>
      <c r="B20061" s="43" t="n">
        <v>-23.469748</v>
      </c>
      <c r="C20061" s="43" t="n">
        <v>-46.655507</v>
      </c>
      <c r="D20061" s="43" t="n">
        <v>398</v>
      </c>
      <c r="E20061" s="44" t="n">
        <v>13697.258</v>
      </c>
    </row>
    <row r="20062">
      <c r="A20062" s="39">
        <f>_xlfn.XLOOKUP(83500,Trip[shape_id],Trip[shape_id],"Não encontrado")</f>
        <v/>
      </c>
      <c r="B20062" s="40" t="n">
        <v>-23.469723</v>
      </c>
      <c r="C20062" s="40" t="n">
        <v>-46.655692</v>
      </c>
      <c r="D20062" s="40" t="n">
        <v>399</v>
      </c>
      <c r="E20062" s="41" t="n">
        <v>13716.359</v>
      </c>
    </row>
    <row r="20063">
      <c r="A20063" s="42">
        <f>_xlfn.XLOOKUP(83500,Trip[shape_id],Trip[shape_id],"Não encontrado")</f>
        <v/>
      </c>
      <c r="B20063" s="43" t="n">
        <v>-23.469707</v>
      </c>
      <c r="C20063" s="43" t="n">
        <v>-46.655817</v>
      </c>
      <c r="D20063" s="43" t="n">
        <v>400</v>
      </c>
      <c r="E20063" s="44" t="n">
        <v>13729.252</v>
      </c>
    </row>
    <row r="20064">
      <c r="A20064" s="39">
        <f>_xlfn.XLOOKUP(83500,Trip[shape_id],Trip[shape_id],"Não encontrado")</f>
        <v/>
      </c>
      <c r="B20064" s="40" t="n">
        <v>-23.469699</v>
      </c>
      <c r="C20064" s="40" t="n">
        <v>-46.655871</v>
      </c>
      <c r="D20064" s="40" t="n">
        <v>401</v>
      </c>
      <c r="E20064" s="41" t="n">
        <v>13734.839</v>
      </c>
    </row>
    <row r="20065">
      <c r="A20065" s="42">
        <f>_xlfn.XLOOKUP(83500,Trip[shape_id],Trip[shape_id],"Não encontrado")</f>
        <v/>
      </c>
      <c r="B20065" s="43" t="n">
        <v>-23.46963</v>
      </c>
      <c r="C20065" s="43" t="n">
        <v>-46.656092</v>
      </c>
      <c r="D20065" s="43" t="n">
        <v>402</v>
      </c>
      <c r="E20065" s="44" t="n">
        <v>13758.676</v>
      </c>
    </row>
    <row r="20066">
      <c r="A20066" s="39">
        <f>_xlfn.XLOOKUP(83500,Trip[shape_id],Trip[shape_id],"Não encontrado")</f>
        <v/>
      </c>
      <c r="B20066" s="40" t="n">
        <v>-23.469521</v>
      </c>
      <c r="C20066" s="40" t="n">
        <v>-46.656403</v>
      </c>
      <c r="D20066" s="40" t="n">
        <v>403</v>
      </c>
      <c r="E20066" s="41" t="n">
        <v>13792.665</v>
      </c>
    </row>
    <row r="20067">
      <c r="A20067" s="42">
        <f>_xlfn.XLOOKUP(83500,Trip[shape_id],Trip[shape_id],"Não encontrado")</f>
        <v/>
      </c>
      <c r="B20067" s="43" t="n">
        <v>-23.46949</v>
      </c>
      <c r="C20067" s="43" t="n">
        <v>-46.656637</v>
      </c>
      <c r="D20067" s="43" t="n">
        <v>404</v>
      </c>
      <c r="E20067" s="44" t="n">
        <v>13816.817</v>
      </c>
    </row>
    <row r="20068">
      <c r="A20068" s="39">
        <f>_xlfn.XLOOKUP(83500,Trip[shape_id],Trip[shape_id],"Não encontrado")</f>
        <v/>
      </c>
      <c r="B20068" s="40" t="n">
        <v>-23.469472</v>
      </c>
      <c r="C20068" s="40" t="n">
        <v>-46.656803</v>
      </c>
      <c r="D20068" s="40" t="n">
        <v>405</v>
      </c>
      <c r="E20068" s="41" t="n">
        <v>13833.894</v>
      </c>
    </row>
    <row r="20069">
      <c r="A20069" s="42">
        <f>_xlfn.XLOOKUP(83500,Trip[shape_id],Trip[shape_id],"Não encontrado")</f>
        <v/>
      </c>
      <c r="B20069" s="43" t="n">
        <v>-23.469414</v>
      </c>
      <c r="C20069" s="43" t="n">
        <v>-46.657186</v>
      </c>
      <c r="D20069" s="43" t="n">
        <v>406</v>
      </c>
      <c r="E20069" s="44" t="n">
        <v>13873.546</v>
      </c>
    </row>
    <row r="20070">
      <c r="A20070" s="39">
        <f>_xlfn.XLOOKUP(83500,Trip[shape_id],Trip[shape_id],"Não encontrado")</f>
        <v/>
      </c>
      <c r="B20070" s="40" t="n">
        <v>-23.469382</v>
      </c>
      <c r="C20070" s="40" t="n">
        <v>-46.657451</v>
      </c>
      <c r="D20070" s="40" t="n">
        <v>407</v>
      </c>
      <c r="E20070" s="41" t="n">
        <v>13900.851</v>
      </c>
    </row>
    <row r="20071">
      <c r="A20071" s="42">
        <f>_xlfn.XLOOKUP(83500,Trip[shape_id],Trip[shape_id],"Não encontrado")</f>
        <v/>
      </c>
      <c r="B20071" s="43" t="n">
        <v>-23.469366</v>
      </c>
      <c r="C20071" s="43" t="n">
        <v>-46.657732</v>
      </c>
      <c r="D20071" s="43" t="n">
        <v>408</v>
      </c>
      <c r="E20071" s="44" t="n">
        <v>13929.613</v>
      </c>
    </row>
    <row r="20072">
      <c r="A20072" s="39">
        <f>_xlfn.XLOOKUP(83500,Trip[shape_id],Trip[shape_id],"Não encontrado")</f>
        <v/>
      </c>
      <c r="B20072" s="40" t="n">
        <v>-23.469373</v>
      </c>
      <c r="C20072" s="40" t="n">
        <v>-46.657831</v>
      </c>
      <c r="D20072" s="40" t="n">
        <v>409</v>
      </c>
      <c r="E20072" s="41" t="n">
        <v>13939.757</v>
      </c>
    </row>
    <row r="20073">
      <c r="A20073" s="42">
        <f>_xlfn.XLOOKUP(83500,Trip[shape_id],Trip[shape_id],"Não encontrado")</f>
        <v/>
      </c>
      <c r="B20073" s="43" t="n">
        <v>-23.469398</v>
      </c>
      <c r="C20073" s="43" t="n">
        <v>-46.657997</v>
      </c>
      <c r="D20073" s="43" t="n">
        <v>410</v>
      </c>
      <c r="E20073" s="44" t="n">
        <v>13956.94</v>
      </c>
    </row>
    <row r="20074">
      <c r="A20074" s="39">
        <f>_xlfn.XLOOKUP(83500,Trip[shape_id],Trip[shape_id],"Não encontrado")</f>
        <v/>
      </c>
      <c r="B20074" s="40" t="n">
        <v>-23.46942</v>
      </c>
      <c r="C20074" s="40" t="n">
        <v>-46.658079</v>
      </c>
      <c r="D20074" s="40" t="n">
        <v>411</v>
      </c>
      <c r="E20074" s="41" t="n">
        <v>13965.665</v>
      </c>
    </row>
    <row r="20075">
      <c r="A20075" s="42">
        <f>_xlfn.XLOOKUP(83500,Trip[shape_id],Trip[shape_id],"Não encontrado")</f>
        <v/>
      </c>
      <c r="B20075" s="43" t="n">
        <v>-23.469476</v>
      </c>
      <c r="C20075" s="43" t="n">
        <v>-46.658296</v>
      </c>
      <c r="D20075" s="43" t="n">
        <v>412</v>
      </c>
      <c r="E20075" s="44" t="n">
        <v>13988.686</v>
      </c>
    </row>
    <row r="20076">
      <c r="A20076" s="39">
        <f>_xlfn.XLOOKUP(83500,Trip[shape_id],Trip[shape_id],"Não encontrado")</f>
        <v/>
      </c>
      <c r="B20076" s="40" t="n">
        <v>-23.46951</v>
      </c>
      <c r="C20076" s="40" t="n">
        <v>-46.658387</v>
      </c>
      <c r="D20076" s="40" t="n">
        <v>413</v>
      </c>
      <c r="E20076" s="41" t="n">
        <v>13998.717</v>
      </c>
    </row>
    <row r="20077">
      <c r="A20077" s="42">
        <f>_xlfn.XLOOKUP(83500,Trip[shape_id],Trip[shape_id],"Não encontrado")</f>
        <v/>
      </c>
      <c r="B20077" s="43" t="n">
        <v>-23.469644</v>
      </c>
      <c r="C20077" s="43" t="n">
        <v>-46.658848</v>
      </c>
      <c r="D20077" s="43" t="n">
        <v>414</v>
      </c>
      <c r="E20077" s="44" t="n">
        <v>14048.098</v>
      </c>
    </row>
    <row r="20078">
      <c r="A20078" s="39">
        <f>_xlfn.XLOOKUP(83500,Trip[shape_id],Trip[shape_id],"Não encontrado")</f>
        <v/>
      </c>
      <c r="B20078" s="40" t="n">
        <v>-23.469683</v>
      </c>
      <c r="C20078" s="40" t="n">
        <v>-46.65902</v>
      </c>
      <c r="D20078" s="40" t="n">
        <v>415</v>
      </c>
      <c r="E20078" s="41" t="n">
        <v>14066.193</v>
      </c>
    </row>
    <row r="20079">
      <c r="A20079" s="42">
        <f>_xlfn.XLOOKUP(83500,Trip[shape_id],Trip[shape_id],"Não encontrado")</f>
        <v/>
      </c>
      <c r="B20079" s="43" t="n">
        <v>-23.469718</v>
      </c>
      <c r="C20079" s="43" t="n">
        <v>-46.65938</v>
      </c>
      <c r="D20079" s="43" t="n">
        <v>416</v>
      </c>
      <c r="E20079" s="44" t="n">
        <v>14103.176</v>
      </c>
    </row>
    <row r="20080">
      <c r="A20080" s="39">
        <f>_xlfn.XLOOKUP(83500,Trip[shape_id],Trip[shape_id],"Não encontrado")</f>
        <v/>
      </c>
      <c r="B20080" s="40" t="n">
        <v>-23.469651</v>
      </c>
      <c r="C20080" s="40" t="n">
        <v>-46.659433</v>
      </c>
      <c r="D20080" s="40" t="n">
        <v>417</v>
      </c>
      <c r="E20080" s="41" t="n">
        <v>14122.236</v>
      </c>
    </row>
    <row r="20081">
      <c r="A20081" s="42">
        <f>_xlfn.XLOOKUP(83500,Trip[shape_id],Trip[shape_id],"Não encontrado")</f>
        <v/>
      </c>
      <c r="B20081" s="43" t="n">
        <v>-23.469585</v>
      </c>
      <c r="C20081" s="43" t="n">
        <v>-46.659498</v>
      </c>
      <c r="D20081" s="43" t="n">
        <v>418</v>
      </c>
      <c r="E20081" s="44" t="n">
        <v>14145.457</v>
      </c>
    </row>
    <row r="20082">
      <c r="A20082" s="39">
        <f>_xlfn.XLOOKUP(83500,Trip[shape_id],Trip[shape_id],"Não encontrado")</f>
        <v/>
      </c>
      <c r="B20082" s="40" t="n">
        <v>-23.469437</v>
      </c>
      <c r="C20082" s="40" t="n">
        <v>-46.659659</v>
      </c>
      <c r="D20082" s="40" t="n">
        <v>419</v>
      </c>
      <c r="E20082" s="41" t="n">
        <v>14182.042</v>
      </c>
    </row>
    <row r="20083">
      <c r="A20083" s="42">
        <f>_xlfn.XLOOKUP(83500,Trip[shape_id],Trip[shape_id],"Não encontrado")</f>
        <v/>
      </c>
      <c r="B20083" s="43" t="n">
        <v>-23.46922</v>
      </c>
      <c r="C20083" s="43" t="n">
        <v>-46.659929</v>
      </c>
      <c r="D20083" s="43" t="n">
        <v>420</v>
      </c>
      <c r="E20083" s="44" t="n">
        <v>14218.613</v>
      </c>
    </row>
    <row r="20084">
      <c r="A20084" s="39">
        <f>_xlfn.XLOOKUP(83500,Trip[shape_id],Trip[shape_id],"Não encontrado")</f>
        <v/>
      </c>
      <c r="B20084" s="40" t="n">
        <v>-23.468998</v>
      </c>
      <c r="C20084" s="40" t="n">
        <v>-46.660194</v>
      </c>
      <c r="D20084" s="40" t="n">
        <v>421</v>
      </c>
      <c r="E20084" s="41" t="n">
        <v>14276.136</v>
      </c>
    </row>
    <row r="20085">
      <c r="A20085" s="42">
        <f>_xlfn.XLOOKUP(83500,Trip[shape_id],Trip[shape_id],"Não encontrado")</f>
        <v/>
      </c>
      <c r="B20085" s="43" t="n">
        <v>-23.468647</v>
      </c>
      <c r="C20085" s="43" t="n">
        <v>-46.660609</v>
      </c>
      <c r="D20085" s="43" t="n">
        <v>422</v>
      </c>
      <c r="E20085" s="44" t="n">
        <v>14295.105</v>
      </c>
    </row>
    <row r="20086">
      <c r="A20086" s="39">
        <f>_xlfn.XLOOKUP(83500,Trip[shape_id],Trip[shape_id],"Não encontrado")</f>
        <v/>
      </c>
      <c r="B20086" s="40" t="n">
        <v>-23.468514</v>
      </c>
      <c r="C20086" s="40" t="n">
        <v>-46.660726</v>
      </c>
      <c r="D20086" s="40" t="n">
        <v>423</v>
      </c>
      <c r="E20086" s="41" t="n">
        <v>14295.105</v>
      </c>
    </row>
    <row r="20087">
      <c r="A20087" s="42">
        <f>_xlfn.XLOOKUP(83500,Trip[shape_id],Trip[shape_id],"Não encontrado")</f>
        <v/>
      </c>
      <c r="B20087" s="43" t="n">
        <v>-23.468347</v>
      </c>
      <c r="C20087" s="43" t="n">
        <v>-46.660843</v>
      </c>
      <c r="D20087" s="43" t="n">
        <v>424</v>
      </c>
      <c r="E20087" s="44" t="n">
        <v>14340.921</v>
      </c>
    </row>
    <row r="20088">
      <c r="A20088" s="39">
        <f>_xlfn.XLOOKUP(83500,Trip[shape_id],Trip[shape_id],"Não encontrado")</f>
        <v/>
      </c>
      <c r="B20088" s="40" t="n">
        <v>-23.468164</v>
      </c>
      <c r="C20088" s="40" t="n">
        <v>-46.660965</v>
      </c>
      <c r="D20088" s="40" t="n">
        <v>425</v>
      </c>
      <c r="E20088" s="41" t="n">
        <v>14361.342</v>
      </c>
    </row>
    <row r="20089">
      <c r="A20089" s="42">
        <f>_xlfn.XLOOKUP(83500,Trip[shape_id],Trip[shape_id],"Não encontrado")</f>
        <v/>
      </c>
      <c r="B20089" s="43" t="n">
        <v>-23.467998</v>
      </c>
      <c r="C20089" s="43" t="n">
        <v>-46.661052</v>
      </c>
      <c r="D20089" s="43" t="n">
        <v>426</v>
      </c>
      <c r="E20089" s="44" t="n">
        <v>14381.238</v>
      </c>
    </row>
    <row r="20090">
      <c r="A20090" s="39">
        <f>_xlfn.XLOOKUP(83500,Trip[shape_id],Trip[shape_id],"Não encontrado")</f>
        <v/>
      </c>
      <c r="B20090" s="40" t="n">
        <v>-23.46783</v>
      </c>
      <c r="C20090" s="40" t="n">
        <v>-46.661121</v>
      </c>
      <c r="D20090" s="40" t="n">
        <v>427</v>
      </c>
      <c r="E20090" s="41" t="n">
        <v>14391.865</v>
      </c>
    </row>
    <row r="20091">
      <c r="A20091" s="42">
        <f>_xlfn.XLOOKUP(83500,Trip[shape_id],Trip[shape_id],"Não encontrado")</f>
        <v/>
      </c>
      <c r="B20091" s="43" t="n">
        <v>-23.467739</v>
      </c>
      <c r="C20091" s="43" t="n">
        <v>-46.661154</v>
      </c>
      <c r="D20091" s="43" t="n">
        <v>428</v>
      </c>
      <c r="E20091" s="44" t="n">
        <v>14410.023</v>
      </c>
    </row>
    <row r="20092">
      <c r="A20092" s="39">
        <f>_xlfn.XLOOKUP(83500,Trip[shape_id],Trip[shape_id],"Não encontrado")</f>
        <v/>
      </c>
      <c r="B20092" s="40" t="n">
        <v>-23.467585</v>
      </c>
      <c r="C20092" s="40" t="n">
        <v>-46.661215</v>
      </c>
      <c r="D20092" s="40" t="n">
        <v>429</v>
      </c>
      <c r="E20092" s="41" t="n">
        <v>14420.619</v>
      </c>
    </row>
    <row r="20093">
      <c r="A20093" s="42">
        <f>_xlfn.XLOOKUP(83500,Trip[shape_id],Trip[shape_id],"Não encontrado")</f>
        <v/>
      </c>
      <c r="B20093" s="43" t="n">
        <v>-23.467494</v>
      </c>
      <c r="C20093" s="43" t="n">
        <v>-46.661247</v>
      </c>
      <c r="D20093" s="43" t="n">
        <v>430</v>
      </c>
      <c r="E20093" s="44" t="n">
        <v>14426.062</v>
      </c>
    </row>
    <row r="20094">
      <c r="A20094" s="39">
        <f>_xlfn.XLOOKUP(83500,Trip[shape_id],Trip[shape_id],"Não encontrado")</f>
        <v/>
      </c>
      <c r="B20094" s="40" t="n">
        <v>-23.467445</v>
      </c>
      <c r="C20094" s="40" t="n">
        <v>-46.661243</v>
      </c>
      <c r="D20094" s="40" t="n">
        <v>431</v>
      </c>
      <c r="E20094" s="41" t="n">
        <v>14426.062</v>
      </c>
    </row>
    <row r="20095">
      <c r="A20095" s="42">
        <f>_xlfn.XLOOKUP(83500,Trip[shape_id],Trip[shape_id],"Não encontrado")</f>
        <v/>
      </c>
      <c r="B20095" s="43" t="n">
        <v>-23.467428</v>
      </c>
      <c r="C20095" s="43" t="n">
        <v>-46.66146</v>
      </c>
      <c r="D20095" s="43" t="n">
        <v>432</v>
      </c>
      <c r="E20095" s="44" t="n">
        <v>14493.249</v>
      </c>
    </row>
    <row r="20096">
      <c r="A20096" s="39">
        <f>_xlfn.XLOOKUP(83500,Trip[shape_id],Trip[shape_id],"Não encontrado")</f>
        <v/>
      </c>
      <c r="B20096" s="40" t="n">
        <v>-23.467327</v>
      </c>
      <c r="C20096" s="40" t="n">
        <v>-46.661886</v>
      </c>
      <c r="D20096" s="40" t="n">
        <v>433</v>
      </c>
      <c r="E20096" s="41" t="n">
        <v>14527.601</v>
      </c>
    </row>
    <row r="20097">
      <c r="A20097" s="42">
        <f>_xlfn.XLOOKUP(83500,Trip[shape_id],Trip[shape_id],"Não encontrado")</f>
        <v/>
      </c>
      <c r="B20097" s="43" t="n">
        <v>-23.467263</v>
      </c>
      <c r="C20097" s="43" t="n">
        <v>-46.662215</v>
      </c>
      <c r="D20097" s="43" t="n">
        <v>434</v>
      </c>
      <c r="E20097" s="44" t="n">
        <v>14527.601</v>
      </c>
    </row>
    <row r="20098">
      <c r="A20098" s="39">
        <f>_xlfn.XLOOKUP(83500,Trip[shape_id],Trip[shape_id],"Não encontrado")</f>
        <v/>
      </c>
      <c r="B20098" s="40" t="n">
        <v>-23.467077</v>
      </c>
      <c r="C20098" s="40" t="n">
        <v>-46.663095</v>
      </c>
      <c r="D20098" s="40" t="n">
        <v>435</v>
      </c>
      <c r="E20098" s="41" t="n">
        <v>14619.837</v>
      </c>
    </row>
    <row r="20099">
      <c r="A20099" s="42">
        <f>_xlfn.XLOOKUP(83500,Trip[shape_id],Trip[shape_id],"Não encontrado")</f>
        <v/>
      </c>
      <c r="B20099" s="43" t="n">
        <v>-23.466998</v>
      </c>
      <c r="C20099" s="43" t="n">
        <v>-46.663463</v>
      </c>
      <c r="D20099" s="43" t="n">
        <v>436</v>
      </c>
      <c r="E20099" s="44" t="n">
        <v>14667.979</v>
      </c>
    </row>
    <row r="20100">
      <c r="A20100" s="39">
        <f>_xlfn.XLOOKUP(83500,Trip[shape_id],Trip[shape_id],"Não encontrado")</f>
        <v/>
      </c>
      <c r="B20100" s="40" t="n">
        <v>-23.466975</v>
      </c>
      <c r="C20100" s="40" t="n">
        <v>-46.663553</v>
      </c>
      <c r="D20100" s="40" t="n">
        <v>437</v>
      </c>
      <c r="E20100" s="41" t="n">
        <v>14676.574</v>
      </c>
    </row>
    <row r="20101">
      <c r="A20101" s="42">
        <f>_xlfn.XLOOKUP(83500,Trip[shape_id],Trip[shape_id],"Não encontrado")</f>
        <v/>
      </c>
      <c r="B20101" s="43" t="n">
        <v>-23.466951</v>
      </c>
      <c r="C20101" s="43" t="n">
        <v>-46.663633</v>
      </c>
      <c r="D20101" s="43" t="n">
        <v>438</v>
      </c>
      <c r="E20101" s="44" t="n">
        <v>14690.881</v>
      </c>
    </row>
    <row r="20102">
      <c r="A20102" s="39">
        <f>_xlfn.XLOOKUP(83500,Trip[shape_id],Trip[shape_id],"Não encontrado")</f>
        <v/>
      </c>
      <c r="B20102" s="40" t="n">
        <v>-23.466903</v>
      </c>
      <c r="C20102" s="40" t="n">
        <v>-46.663763</v>
      </c>
      <c r="D20102" s="40" t="n">
        <v>439</v>
      </c>
      <c r="E20102" s="41" t="n">
        <v>14704.218</v>
      </c>
    </row>
    <row r="20103">
      <c r="A20103" s="42">
        <f>_xlfn.XLOOKUP(83500,Trip[shape_id],Trip[shape_id],"Não encontrado")</f>
        <v/>
      </c>
      <c r="B20103" s="43" t="n">
        <v>-23.466846</v>
      </c>
      <c r="C20103" s="43" t="n">
        <v>-46.663878</v>
      </c>
      <c r="D20103" s="43" t="n">
        <v>440</v>
      </c>
      <c r="E20103" s="44" t="n">
        <v>14720.176</v>
      </c>
    </row>
    <row r="20104">
      <c r="A20104" s="39">
        <f>_xlfn.XLOOKUP(83500,Trip[shape_id],Trip[shape_id],"Não encontrado")</f>
        <v/>
      </c>
      <c r="B20104" s="40" t="n">
        <v>-23.466784</v>
      </c>
      <c r="C20104" s="40" t="n">
        <v>-46.664019</v>
      </c>
      <c r="D20104" s="40" t="n">
        <v>441</v>
      </c>
      <c r="E20104" s="41" t="n">
        <v>14720.176</v>
      </c>
    </row>
    <row r="20105">
      <c r="A20105" s="42">
        <f>_xlfn.XLOOKUP(83500,Trip[shape_id],Trip[shape_id],"Não encontrado")</f>
        <v/>
      </c>
      <c r="B20105" s="43" t="n">
        <v>-23.467147</v>
      </c>
      <c r="C20105" s="43" t="n">
        <v>-46.665029</v>
      </c>
      <c r="D20105" s="43" t="n">
        <v>442</v>
      </c>
      <c r="E20105" s="44" t="n">
        <v>14830.919</v>
      </c>
    </row>
    <row r="20106">
      <c r="A20106" s="39">
        <f>_xlfn.XLOOKUP(83500,Trip[shape_id],Trip[shape_id],"Não encontrado")</f>
        <v/>
      </c>
      <c r="B20106" s="40" t="n">
        <v>-23.467368</v>
      </c>
      <c r="C20106" s="40" t="n">
        <v>-46.665647</v>
      </c>
      <c r="D20106" s="40" t="n">
        <v>443</v>
      </c>
      <c r="E20106" s="41" t="n">
        <v>14898.636</v>
      </c>
    </row>
    <row r="20107">
      <c r="A20107" s="42">
        <f>_xlfn.XLOOKUP(83500,Trip[shape_id],Trip[shape_id],"Não encontrado")</f>
        <v/>
      </c>
      <c r="B20107" s="43" t="n">
        <v>-23.467669</v>
      </c>
      <c r="C20107" s="43" t="n">
        <v>-46.666529</v>
      </c>
      <c r="D20107" s="43" t="n">
        <v>444</v>
      </c>
      <c r="E20107" s="44" t="n">
        <v>14994.715</v>
      </c>
    </row>
    <row r="20108">
      <c r="A20108" s="39">
        <f>_xlfn.XLOOKUP(83500,Trip[shape_id],Trip[shape_id],"Não encontrado")</f>
        <v/>
      </c>
      <c r="B20108" s="40" t="n">
        <v>-23.467874</v>
      </c>
      <c r="C20108" s="40" t="n">
        <v>-46.6671</v>
      </c>
      <c r="D20108" s="40" t="n">
        <v>445</v>
      </c>
      <c r="E20108" s="41" t="n">
        <v>15057.313</v>
      </c>
    </row>
    <row r="20109">
      <c r="A20109" s="42">
        <f>_xlfn.XLOOKUP(83500,Trip[shape_id],Trip[shape_id],"Não encontrado")</f>
        <v/>
      </c>
      <c r="B20109" s="43" t="n">
        <v>-23.467898</v>
      </c>
      <c r="C20109" s="43" t="n">
        <v>-46.667159</v>
      </c>
      <c r="D20109" s="43" t="n">
        <v>446</v>
      </c>
      <c r="E20109" s="44" t="n">
        <v>15063.9</v>
      </c>
    </row>
    <row r="20110">
      <c r="A20110" s="39">
        <f>_xlfn.XLOOKUP(83500,Trip[shape_id],Trip[shape_id],"Não encontrado")</f>
        <v/>
      </c>
      <c r="B20110" s="40" t="n">
        <v>-23.467816</v>
      </c>
      <c r="C20110" s="40" t="n">
        <v>-46.667334</v>
      </c>
      <c r="D20110" s="40" t="n">
        <v>447</v>
      </c>
      <c r="E20110" s="41" t="n">
        <v>15083.953</v>
      </c>
    </row>
    <row r="20111">
      <c r="A20111" s="42">
        <f>_xlfn.XLOOKUP(83500,Trip[shape_id],Trip[shape_id],"Não encontrado")</f>
        <v/>
      </c>
      <c r="B20111" s="43" t="n">
        <v>-23.4678</v>
      </c>
      <c r="C20111" s="43" t="n">
        <v>-46.667435</v>
      </c>
      <c r="D20111" s="43" t="n">
        <v>448</v>
      </c>
      <c r="E20111" s="44" t="n">
        <v>15100.375</v>
      </c>
    </row>
    <row r="20112">
      <c r="A20112" s="39">
        <f>_xlfn.XLOOKUP(83500,Trip[shape_id],Trip[shape_id],"Não encontrado")</f>
        <v/>
      </c>
      <c r="B20112" s="40" t="n">
        <v>-23.467805</v>
      </c>
      <c r="C20112" s="40" t="n">
        <v>-46.667493</v>
      </c>
      <c r="D20112" s="40" t="n">
        <v>449</v>
      </c>
      <c r="E20112" s="41" t="n">
        <v>15106.007</v>
      </c>
    </row>
    <row r="20113">
      <c r="A20113" s="42">
        <f>_xlfn.XLOOKUP(83500,Trip[shape_id],Trip[shape_id],"Não encontrado")</f>
        <v/>
      </c>
      <c r="B20113" s="43" t="n">
        <v>-23.46783</v>
      </c>
      <c r="C20113" s="43" t="n">
        <v>-46.667541</v>
      </c>
      <c r="D20113" s="43" t="n">
        <v>450</v>
      </c>
      <c r="E20113" s="44" t="n">
        <v>15106.007</v>
      </c>
    </row>
    <row r="20114">
      <c r="A20114" s="39">
        <f>_xlfn.XLOOKUP(83500,Trip[shape_id],Trip[shape_id],"Não encontrado")</f>
        <v/>
      </c>
      <c r="B20114" s="40" t="n">
        <v>-23.467919</v>
      </c>
      <c r="C20114" s="40" t="n">
        <v>-46.667591</v>
      </c>
      <c r="D20114" s="40" t="n">
        <v>451</v>
      </c>
      <c r="E20114" s="41" t="n">
        <v>15117.108</v>
      </c>
    </row>
    <row r="20115">
      <c r="A20115" s="42">
        <f>_xlfn.XLOOKUP(83500,Trip[shape_id],Trip[shape_id],"Não encontrado")</f>
        <v/>
      </c>
      <c r="B20115" s="43" t="n">
        <v>-23.468032</v>
      </c>
      <c r="C20115" s="43" t="n">
        <v>-46.667684</v>
      </c>
      <c r="D20115" s="43" t="n">
        <v>452</v>
      </c>
      <c r="E20115" s="44" t="n">
        <v>15132.821</v>
      </c>
    </row>
    <row r="20116">
      <c r="A20116" s="39">
        <f>_xlfn.XLOOKUP(83500,Trip[shape_id],Trip[shape_id],"Não encontrado")</f>
        <v/>
      </c>
      <c r="B20116" s="40" t="n">
        <v>-23.468129</v>
      </c>
      <c r="C20116" s="40" t="n">
        <v>-46.667776</v>
      </c>
      <c r="D20116" s="40" t="n">
        <v>453</v>
      </c>
      <c r="E20116" s="41" t="n">
        <v>15147.096</v>
      </c>
    </row>
    <row r="20117">
      <c r="A20117" s="42">
        <f>_xlfn.XLOOKUP(83500,Trip[shape_id],Trip[shape_id],"Não encontrado")</f>
        <v/>
      </c>
      <c r="B20117" s="43" t="n">
        <v>-23.468181</v>
      </c>
      <c r="C20117" s="43" t="n">
        <v>-46.667834</v>
      </c>
      <c r="D20117" s="43" t="n">
        <v>454</v>
      </c>
      <c r="E20117" s="44" t="n">
        <v>15155.359</v>
      </c>
    </row>
    <row r="20118">
      <c r="A20118" s="39">
        <f>_xlfn.XLOOKUP(83500,Trip[shape_id],Trip[shape_id],"Não encontrado")</f>
        <v/>
      </c>
      <c r="B20118" s="40" t="n">
        <v>-23.468217</v>
      </c>
      <c r="C20118" s="40" t="n">
        <v>-46.667888</v>
      </c>
      <c r="D20118" s="40" t="n">
        <v>455</v>
      </c>
      <c r="E20118" s="41" t="n">
        <v>15162.167</v>
      </c>
    </row>
    <row r="20119">
      <c r="A20119" s="42">
        <f>_xlfn.XLOOKUP(83500,Trip[shape_id],Trip[shape_id],"Não encontrado")</f>
        <v/>
      </c>
      <c r="B20119" s="43" t="n">
        <v>-23.468294</v>
      </c>
      <c r="C20119" s="43" t="n">
        <v>-46.668029</v>
      </c>
      <c r="D20119" s="43" t="n">
        <v>456</v>
      </c>
      <c r="E20119" s="44" t="n">
        <v>15178.907</v>
      </c>
    </row>
    <row r="20120">
      <c r="A20120" s="39">
        <f>_xlfn.XLOOKUP(83500,Trip[shape_id],Trip[shape_id],"Não encontrado")</f>
        <v/>
      </c>
      <c r="B20120" s="40" t="n">
        <v>-23.468273</v>
      </c>
      <c r="C20120" s="40" t="n">
        <v>-46.668099</v>
      </c>
      <c r="D20120" s="40" t="n">
        <v>457</v>
      </c>
      <c r="E20120" s="41" t="n">
        <v>15206.351</v>
      </c>
    </row>
    <row r="20121">
      <c r="A20121" s="42">
        <f>_xlfn.XLOOKUP(83500,Trip[shape_id],Trip[shape_id],"Não encontrado")</f>
        <v/>
      </c>
      <c r="B20121" s="43" t="n">
        <v>-23.468222</v>
      </c>
      <c r="C20121" s="43" t="n">
        <v>-46.668286</v>
      </c>
      <c r="D20121" s="43" t="n">
        <v>458</v>
      </c>
      <c r="E20121" s="44" t="n">
        <v>15224.537</v>
      </c>
    </row>
    <row r="20122">
      <c r="A20122" s="39">
        <f>_xlfn.XLOOKUP(83500,Trip[shape_id],Trip[shape_id],"Não encontrado")</f>
        <v/>
      </c>
      <c r="B20122" s="40" t="n">
        <v>-23.468156</v>
      </c>
      <c r="C20122" s="40" t="n">
        <v>-46.668449</v>
      </c>
      <c r="D20122" s="40" t="n">
        <v>459</v>
      </c>
      <c r="E20122" s="41" t="n">
        <v>15243.302</v>
      </c>
    </row>
    <row r="20123">
      <c r="A20123" s="42">
        <f>_xlfn.XLOOKUP(83500,Trip[shape_id],Trip[shape_id],"Não encontrado")</f>
        <v/>
      </c>
      <c r="B20123" s="43" t="n">
        <v>-23.468052</v>
      </c>
      <c r="C20123" s="43" t="n">
        <v>-46.668594</v>
      </c>
      <c r="D20123" s="43" t="n">
        <v>460</v>
      </c>
      <c r="E20123" s="44" t="n">
        <v>15254.362</v>
      </c>
    </row>
    <row r="20124">
      <c r="A20124" s="39">
        <f>_xlfn.XLOOKUP(83500,Trip[shape_id],Trip[shape_id],"Não encontrado")</f>
        <v/>
      </c>
      <c r="B20124" s="40" t="n">
        <v>-23.467989</v>
      </c>
      <c r="C20124" s="40" t="n">
        <v>-46.668678</v>
      </c>
      <c r="D20124" s="40" t="n">
        <v>461</v>
      </c>
      <c r="E20124" s="41" t="n">
        <v>15263.825</v>
      </c>
    </row>
    <row r="20125">
      <c r="A20125" s="42">
        <f>_xlfn.XLOOKUP(83500,Trip[shape_id],Trip[shape_id],"Não encontrado")</f>
        <v/>
      </c>
      <c r="B20125" s="43" t="n">
        <v>-23.467932</v>
      </c>
      <c r="C20125" s="43" t="n">
        <v>-46.668747</v>
      </c>
      <c r="D20125" s="43" t="n">
        <v>462</v>
      </c>
      <c r="E20125" s="44" t="n">
        <v>15273.347</v>
      </c>
    </row>
    <row r="20126">
      <c r="A20126" s="39">
        <f>_xlfn.XLOOKUP(83500,Trip[shape_id],Trip[shape_id],"Não encontrado")</f>
        <v/>
      </c>
      <c r="B20126" s="40" t="n">
        <v>-23.467867</v>
      </c>
      <c r="C20126" s="40" t="n">
        <v>-46.668808</v>
      </c>
      <c r="D20126" s="40" t="n">
        <v>463</v>
      </c>
      <c r="E20126" s="41" t="n">
        <v>15281.054</v>
      </c>
    </row>
    <row r="20127">
      <c r="A20127" s="42">
        <f>_xlfn.XLOOKUP(83500,Trip[shape_id],Trip[shape_id],"Não encontrado")</f>
        <v/>
      </c>
      <c r="B20127" s="43" t="n">
        <v>-23.467808</v>
      </c>
      <c r="C20127" s="43" t="n">
        <v>-46.668848</v>
      </c>
      <c r="D20127" s="43" t="n">
        <v>464</v>
      </c>
      <c r="E20127" s="44" t="n">
        <v>15303.274</v>
      </c>
    </row>
    <row r="20128">
      <c r="A20128" s="39">
        <f>_xlfn.XLOOKUP(83500,Trip[shape_id],Trip[shape_id],"Não encontrado")</f>
        <v/>
      </c>
      <c r="B20128" s="40" t="n">
        <v>-23.467619</v>
      </c>
      <c r="C20128" s="40" t="n">
        <v>-46.668921</v>
      </c>
      <c r="D20128" s="40" t="n">
        <v>465</v>
      </c>
      <c r="E20128" s="41" t="n">
        <v>15317.54</v>
      </c>
    </row>
    <row r="20129">
      <c r="A20129" s="42">
        <f>_xlfn.XLOOKUP(83500,Trip[shape_id],Trip[shape_id],"Não encontrado")</f>
        <v/>
      </c>
      <c r="B20129" s="43" t="n">
        <v>-23.467493</v>
      </c>
      <c r="C20129" s="43" t="n">
        <v>-46.66895</v>
      </c>
      <c r="D20129" s="43" t="n">
        <v>466</v>
      </c>
      <c r="E20129" s="44" t="n">
        <v>15330.896</v>
      </c>
    </row>
    <row r="20130">
      <c r="A20130" s="39">
        <f>_xlfn.XLOOKUP(83500,Trip[shape_id],Trip[shape_id],"Não encontrado")</f>
        <v/>
      </c>
      <c r="B20130" s="40" t="n">
        <v>-23.467375</v>
      </c>
      <c r="C20130" s="40" t="n">
        <v>-46.668977</v>
      </c>
      <c r="D20130" s="40" t="n">
        <v>467</v>
      </c>
      <c r="E20130" s="41" t="n">
        <v>15341.86</v>
      </c>
    </row>
    <row r="20131">
      <c r="A20131" s="42">
        <f>_xlfn.XLOOKUP(83500,Trip[shape_id],Trip[shape_id],"Não encontrado")</f>
        <v/>
      </c>
      <c r="B20131" s="43" t="n">
        <v>-23.467276</v>
      </c>
      <c r="C20131" s="43" t="n">
        <v>-46.668977</v>
      </c>
      <c r="D20131" s="43" t="n">
        <v>468</v>
      </c>
      <c r="E20131" s="44" t="n">
        <v>15383.354</v>
      </c>
    </row>
    <row r="20132">
      <c r="A20132" s="39">
        <f>_xlfn.XLOOKUP(83500,Trip[shape_id],Trip[shape_id],"Não encontrado")</f>
        <v/>
      </c>
      <c r="B20132" s="40" t="n">
        <v>-23.466902</v>
      </c>
      <c r="C20132" s="40" t="n">
        <v>-46.668953</v>
      </c>
      <c r="D20132" s="40" t="n">
        <v>469</v>
      </c>
      <c r="E20132" s="41" t="n">
        <v>15383.354</v>
      </c>
    </row>
    <row r="20133">
      <c r="A20133" s="42">
        <f>_xlfn.XLOOKUP(83500,Trip[shape_id],Trip[shape_id],"Não encontrado")</f>
        <v/>
      </c>
      <c r="B20133" s="43" t="n">
        <v>-23.466784</v>
      </c>
      <c r="C20133" s="43" t="n">
        <v>-46.668944</v>
      </c>
      <c r="D20133" s="43" t="n">
        <v>470</v>
      </c>
      <c r="E20133" s="44" t="n">
        <v>15429.969</v>
      </c>
    </row>
    <row r="20134">
      <c r="A20134" s="39">
        <f>_xlfn.XLOOKUP(83500,Trip[shape_id],Trip[shape_id],"Não encontrado")</f>
        <v/>
      </c>
      <c r="B20134" s="40" t="n">
        <v>-23.466497</v>
      </c>
      <c r="C20134" s="40" t="n">
        <v>-46.66884</v>
      </c>
      <c r="D20134" s="40" t="n">
        <v>471</v>
      </c>
      <c r="E20134" s="41" t="n">
        <v>15445.009</v>
      </c>
    </row>
    <row r="20135">
      <c r="A20135" s="42">
        <f>_xlfn.XLOOKUP(83500,Trip[shape_id],Trip[shape_id],"Não encontrado")</f>
        <v/>
      </c>
      <c r="B20135" s="43" t="n">
        <v>-23.466368</v>
      </c>
      <c r="C20135" s="43" t="n">
        <v>-46.668794</v>
      </c>
      <c r="D20135" s="43" t="n">
        <v>472</v>
      </c>
      <c r="E20135" s="44" t="n">
        <v>15479.021</v>
      </c>
    </row>
    <row r="20136">
      <c r="A20136" s="39">
        <f>_xlfn.XLOOKUP(83500,Trip[shape_id],Trip[shape_id],"Não encontrado")</f>
        <v/>
      </c>
      <c r="B20136" s="40" t="n">
        <v>-23.466092</v>
      </c>
      <c r="C20136" s="40" t="n">
        <v>-46.668648</v>
      </c>
      <c r="D20136" s="40" t="n">
        <v>473</v>
      </c>
      <c r="E20136" s="41" t="n">
        <v>15479.021</v>
      </c>
    </row>
    <row r="20137">
      <c r="A20137" s="42">
        <f>_xlfn.XLOOKUP(83500,Trip[shape_id],Trip[shape_id],"Não encontrado")</f>
        <v/>
      </c>
      <c r="B20137" s="43" t="n">
        <v>-23.465874</v>
      </c>
      <c r="C20137" s="43" t="n">
        <v>-46.668526</v>
      </c>
      <c r="D20137" s="43" t="n">
        <v>474</v>
      </c>
      <c r="E20137" s="44" t="n">
        <v>15519.777</v>
      </c>
    </row>
    <row r="20138">
      <c r="A20138" s="39">
        <f>_xlfn.XLOOKUP(83500,Trip[shape_id],Trip[shape_id],"Não encontrado")</f>
        <v/>
      </c>
      <c r="B20138" s="40" t="n">
        <v>-23.465774</v>
      </c>
      <c r="C20138" s="40" t="n">
        <v>-46.668449</v>
      </c>
      <c r="D20138" s="40" t="n">
        <v>475</v>
      </c>
      <c r="E20138" s="41" t="n">
        <v>15566.87</v>
      </c>
    </row>
    <row r="20139">
      <c r="A20139" s="42">
        <f>_xlfn.XLOOKUP(83500,Trip[shape_id],Trip[shape_id],"Não encontrado")</f>
        <v/>
      </c>
      <c r="B20139" s="43" t="n">
        <v>-23.465442</v>
      </c>
      <c r="C20139" s="43" t="n">
        <v>-46.668161</v>
      </c>
      <c r="D20139" s="43" t="n">
        <v>476</v>
      </c>
      <c r="E20139" s="44" t="n">
        <v>15614.865</v>
      </c>
    </row>
    <row r="20140">
      <c r="A20140" s="39">
        <f>_xlfn.XLOOKUP(83500,Trip[shape_id],Trip[shape_id],"Não encontrado")</f>
        <v/>
      </c>
      <c r="B20140" s="40" t="n">
        <v>-23.465104</v>
      </c>
      <c r="C20140" s="40" t="n">
        <v>-46.667867</v>
      </c>
      <c r="D20140" s="40" t="n">
        <v>477</v>
      </c>
      <c r="E20140" s="41" t="n">
        <v>15614.865</v>
      </c>
    </row>
    <row r="20141">
      <c r="A20141" s="42">
        <f>_xlfn.XLOOKUP(83500,Trip[shape_id],Trip[shape_id],"Não encontrado")</f>
        <v/>
      </c>
      <c r="B20141" s="43" t="n">
        <v>-23.464998</v>
      </c>
      <c r="C20141" s="43" t="n">
        <v>-46.667821</v>
      </c>
      <c r="D20141" s="43" t="n">
        <v>478</v>
      </c>
      <c r="E20141" s="44" t="n">
        <v>15637.32</v>
      </c>
    </row>
    <row r="20142">
      <c r="A20142" s="39">
        <f>_xlfn.XLOOKUP(83500,Trip[shape_id],Trip[shape_id],"Não encontrado")</f>
        <v/>
      </c>
      <c r="B20142" s="40" t="n">
        <v>-23.46491</v>
      </c>
      <c r="C20142" s="40" t="n">
        <v>-46.66781</v>
      </c>
      <c r="D20142" s="40" t="n">
        <v>479</v>
      </c>
      <c r="E20142" s="41" t="n">
        <v>15646.626</v>
      </c>
    </row>
    <row r="20143">
      <c r="A20143" s="42">
        <f>_xlfn.XLOOKUP(83500,Trip[shape_id],Trip[shape_id],"Não encontrado")</f>
        <v/>
      </c>
      <c r="B20143" s="43" t="n">
        <v>-23.464826</v>
      </c>
      <c r="C20143" s="43" t="n">
        <v>-46.667808</v>
      </c>
      <c r="D20143" s="43" t="n">
        <v>480</v>
      </c>
      <c r="E20143" s="44" t="n">
        <v>15659.362</v>
      </c>
    </row>
    <row r="20144">
      <c r="A20144" s="39">
        <f>_xlfn.XLOOKUP(83500,Trip[shape_id],Trip[shape_id],"Não encontrado")</f>
        <v/>
      </c>
      <c r="B20144" s="40" t="n">
        <v>-23.464711</v>
      </c>
      <c r="C20144" s="40" t="n">
        <v>-46.667808</v>
      </c>
      <c r="D20144" s="40" t="n">
        <v>481</v>
      </c>
      <c r="E20144" s="41" t="n">
        <v>15670.326</v>
      </c>
    </row>
    <row r="20145">
      <c r="A20145" s="42">
        <f>_xlfn.XLOOKUP(83500,Trip[shape_id],Trip[shape_id],"Não encontrado")</f>
        <v/>
      </c>
      <c r="B20145" s="43" t="n">
        <v>-23.464612</v>
      </c>
      <c r="C20145" s="43" t="n">
        <v>-46.667808</v>
      </c>
      <c r="D20145" s="43" t="n">
        <v>482</v>
      </c>
      <c r="E20145" s="44" t="n">
        <v>15670.326</v>
      </c>
    </row>
    <row r="20146">
      <c r="A20146" s="39">
        <f>_xlfn.XLOOKUP(83500,Trip[shape_id],Trip[shape_id],"Não encontrado")</f>
        <v/>
      </c>
      <c r="B20146" s="40" t="n">
        <v>-23.464309</v>
      </c>
      <c r="C20146" s="40" t="n">
        <v>-46.667693</v>
      </c>
      <c r="D20146" s="40" t="n">
        <v>483</v>
      </c>
      <c r="E20146" s="41" t="n">
        <v>15705.881</v>
      </c>
    </row>
    <row r="20147">
      <c r="A20147" s="42">
        <f>_xlfn.XLOOKUP(83500,Trip[shape_id],Trip[shape_id],"Não encontrado")</f>
        <v/>
      </c>
      <c r="B20147" s="43" t="n">
        <v>-23.463648</v>
      </c>
      <c r="C20147" s="43" t="n">
        <v>-46.66746</v>
      </c>
      <c r="D20147" s="43" t="n">
        <v>484</v>
      </c>
      <c r="E20147" s="44" t="n">
        <v>15782.86</v>
      </c>
    </row>
    <row r="20148">
      <c r="A20148" s="39">
        <f>_xlfn.XLOOKUP(83500,Trip[shape_id],Trip[shape_id],"Não encontrado")</f>
        <v/>
      </c>
      <c r="B20148" s="40" t="n">
        <v>-23.4636</v>
      </c>
      <c r="C20148" s="40" t="n">
        <v>-46.66748</v>
      </c>
      <c r="D20148" s="40" t="n">
        <v>485</v>
      </c>
      <c r="E20148" s="41" t="n">
        <v>15788.555</v>
      </c>
    </row>
    <row r="20149">
      <c r="A20149" s="42">
        <f>_xlfn.XLOOKUP(83500,Trip[shape_id],Trip[shape_id],"Não encontrado")</f>
        <v/>
      </c>
      <c r="B20149" s="43" t="n">
        <v>-23.463499</v>
      </c>
      <c r="C20149" s="43" t="n">
        <v>-46.667547</v>
      </c>
      <c r="D20149" s="43" t="n">
        <v>486</v>
      </c>
      <c r="E20149" s="44" t="n">
        <v>15801.669</v>
      </c>
    </row>
    <row r="20150">
      <c r="A20150" s="39">
        <f>_xlfn.XLOOKUP(83500,Trip[shape_id],Trip[shape_id],"Não encontrado")</f>
        <v/>
      </c>
      <c r="B20150" s="40" t="n">
        <v>-23.463434</v>
      </c>
      <c r="C20150" s="40" t="n">
        <v>-46.667577</v>
      </c>
      <c r="D20150" s="40" t="n">
        <v>487</v>
      </c>
      <c r="E20150" s="41" t="n">
        <v>15809.493</v>
      </c>
    </row>
    <row r="20151">
      <c r="A20151" s="42">
        <f>_xlfn.XLOOKUP(83500,Trip[shape_id],Trip[shape_id],"Não encontrado")</f>
        <v/>
      </c>
      <c r="B20151" s="43" t="n">
        <v>-23.46336</v>
      </c>
      <c r="C20151" s="43" t="n">
        <v>-46.667575</v>
      </c>
      <c r="D20151" s="43" t="n">
        <v>488</v>
      </c>
      <c r="E20151" s="44" t="n">
        <v>15817.691</v>
      </c>
    </row>
    <row r="20152">
      <c r="A20152" s="39">
        <f>_xlfn.XLOOKUP(83500,Trip[shape_id],Trip[shape_id],"Não encontrado")</f>
        <v/>
      </c>
      <c r="B20152" s="40" t="n">
        <v>-23.46328</v>
      </c>
      <c r="C20152" s="40" t="n">
        <v>-46.667556</v>
      </c>
      <c r="D20152" s="40" t="n">
        <v>489</v>
      </c>
      <c r="E20152" s="41" t="n">
        <v>15826.761</v>
      </c>
    </row>
    <row r="20153">
      <c r="A20153" s="42">
        <f>_xlfn.XLOOKUP(83500,Trip[shape_id],Trip[shape_id],"Não encontrado")</f>
        <v/>
      </c>
      <c r="B20153" s="43" t="n">
        <v>-23.463227</v>
      </c>
      <c r="C20153" s="43" t="n">
        <v>-46.66752</v>
      </c>
      <c r="D20153" s="43" t="n">
        <v>490</v>
      </c>
      <c r="E20153" s="44" t="n">
        <v>15833.688</v>
      </c>
    </row>
    <row r="20154">
      <c r="A20154" s="39">
        <f>_xlfn.XLOOKUP(83500,Trip[shape_id],Trip[shape_id],"Não encontrado")</f>
        <v/>
      </c>
      <c r="B20154" s="40" t="n">
        <v>-23.463183</v>
      </c>
      <c r="C20154" s="40" t="n">
        <v>-46.667446</v>
      </c>
      <c r="D20154" s="40" t="n">
        <v>491</v>
      </c>
      <c r="E20154" s="41" t="n">
        <v>15842.683</v>
      </c>
    </row>
    <row r="20155">
      <c r="A20155" s="42">
        <f>_xlfn.XLOOKUP(83500,Trip[shape_id],Trip[shape_id],"Não encontrado")</f>
        <v/>
      </c>
      <c r="B20155" s="43" t="n">
        <v>-23.463169</v>
      </c>
      <c r="C20155" s="43" t="n">
        <v>-46.667375</v>
      </c>
      <c r="D20155" s="43" t="n">
        <v>492</v>
      </c>
      <c r="E20155" s="44" t="n">
        <v>15850.101</v>
      </c>
    </row>
    <row r="20156">
      <c r="A20156" s="39">
        <f>_xlfn.XLOOKUP(83500,Trip[shape_id],Trip[shape_id],"Não encontrado")</f>
        <v/>
      </c>
      <c r="B20156" s="40" t="n">
        <v>-23.46318</v>
      </c>
      <c r="C20156" s="40" t="n">
        <v>-46.667287</v>
      </c>
      <c r="D20156" s="40" t="n">
        <v>493</v>
      </c>
      <c r="E20156" s="41" t="n">
        <v>15859.174</v>
      </c>
    </row>
    <row r="20157">
      <c r="A20157" s="42">
        <f>_xlfn.XLOOKUP(83500,Trip[shape_id],Trip[shape_id],"Não encontrado")</f>
        <v/>
      </c>
      <c r="B20157" s="43" t="n">
        <v>-23.46321</v>
      </c>
      <c r="C20157" s="43" t="n">
        <v>-46.667207</v>
      </c>
      <c r="D20157" s="43" t="n">
        <v>494</v>
      </c>
      <c r="E20157" s="44" t="n">
        <v>15867.996</v>
      </c>
    </row>
    <row r="20158">
      <c r="A20158" s="39">
        <f>_xlfn.XLOOKUP(83500,Trip[shape_id],Trip[shape_id],"Não encontrado")</f>
        <v/>
      </c>
      <c r="B20158" s="40" t="n">
        <v>-23.463239</v>
      </c>
      <c r="C20158" s="40" t="n">
        <v>-46.667113</v>
      </c>
      <c r="D20158" s="40" t="n">
        <v>495</v>
      </c>
      <c r="E20158" s="41" t="n">
        <v>15878.123</v>
      </c>
    </row>
    <row r="20159">
      <c r="A20159" s="42">
        <f>_xlfn.XLOOKUP(83500,Trip[shape_id],Trip[shape_id],"Não encontrado")</f>
        <v/>
      </c>
      <c r="B20159" s="43" t="n">
        <v>-23.463303</v>
      </c>
      <c r="C20159" s="43" t="n">
        <v>-46.66701</v>
      </c>
      <c r="D20159" s="43" t="n">
        <v>496</v>
      </c>
      <c r="E20159" s="44" t="n">
        <v>15890.812</v>
      </c>
    </row>
    <row r="20160">
      <c r="A20160" s="39">
        <f>_xlfn.XLOOKUP(83500,Trip[shape_id],Trip[shape_id],"Não encontrado")</f>
        <v/>
      </c>
      <c r="B20160" s="40" t="n">
        <v>-23.463389</v>
      </c>
      <c r="C20160" s="40" t="n">
        <v>-46.666888</v>
      </c>
      <c r="D20160" s="40" t="n">
        <v>497</v>
      </c>
      <c r="E20160" s="41" t="n">
        <v>15906.499</v>
      </c>
    </row>
    <row r="20161">
      <c r="A20161" s="42">
        <f>_xlfn.XLOOKUP(83500,Trip[shape_id],Trip[shape_id],"Não encontrado")</f>
        <v/>
      </c>
      <c r="B20161" s="43" t="n">
        <v>-23.463457</v>
      </c>
      <c r="C20161" s="43" t="n">
        <v>-46.666813</v>
      </c>
      <c r="D20161" s="43" t="n">
        <v>498</v>
      </c>
      <c r="E20161" s="44" t="n">
        <v>15917.243</v>
      </c>
    </row>
    <row r="20162">
      <c r="A20162" s="39">
        <f>_xlfn.XLOOKUP(83500,Trip[shape_id],Trip[shape_id],"Não encontrado")</f>
        <v/>
      </c>
      <c r="B20162" s="40" t="n">
        <v>-23.463505</v>
      </c>
      <c r="C20162" s="40" t="n">
        <v>-46.666789</v>
      </c>
      <c r="D20162" s="40" t="n">
        <v>499</v>
      </c>
      <c r="E20162" s="41" t="n">
        <v>15923.098</v>
      </c>
    </row>
    <row r="20163">
      <c r="A20163" s="42">
        <f>_xlfn.XLOOKUP(83500,Trip[shape_id],Trip[shape_id],"Não encontrado")</f>
        <v/>
      </c>
      <c r="B20163" s="43" t="n">
        <v>-23.463566</v>
      </c>
      <c r="C20163" s="43" t="n">
        <v>-46.666743</v>
      </c>
      <c r="D20163" s="43" t="n">
        <v>500</v>
      </c>
      <c r="E20163" s="44" t="n">
        <v>15931.327</v>
      </c>
    </row>
    <row r="20164">
      <c r="A20164" s="39">
        <f>_xlfn.XLOOKUP(83500,Trip[shape_id],Trip[shape_id],"Não encontrado")</f>
        <v/>
      </c>
      <c r="B20164" s="40" t="n">
        <v>-23.463629</v>
      </c>
      <c r="C20164" s="40" t="n">
        <v>-46.666701</v>
      </c>
      <c r="D20164" s="40" t="n">
        <v>501</v>
      </c>
      <c r="E20164" s="41" t="n">
        <v>15939.519</v>
      </c>
    </row>
    <row r="20165">
      <c r="A20165" s="42">
        <f>_xlfn.XLOOKUP(83500,Trip[shape_id],Trip[shape_id],"Não encontrado")</f>
        <v/>
      </c>
      <c r="B20165" s="43" t="n">
        <v>-23.46374</v>
      </c>
      <c r="C20165" s="43" t="n">
        <v>-46.666631</v>
      </c>
      <c r="D20165" s="43" t="n">
        <v>502</v>
      </c>
      <c r="E20165" s="44" t="n">
        <v>15953.741</v>
      </c>
    </row>
    <row r="20166">
      <c r="A20166" s="39">
        <f>_xlfn.XLOOKUP(83500,Trip[shape_id],Trip[shape_id],"Não encontrado")</f>
        <v/>
      </c>
      <c r="B20166" s="40" t="n">
        <v>-23.463836</v>
      </c>
      <c r="C20166" s="40" t="n">
        <v>-46.666568</v>
      </c>
      <c r="D20166" s="40" t="n">
        <v>503</v>
      </c>
      <c r="E20166" s="41" t="n">
        <v>15966.17</v>
      </c>
    </row>
    <row r="20167">
      <c r="A20167" s="42">
        <f>_xlfn.XLOOKUP(83500,Trip[shape_id],Trip[shape_id],"Não encontrado")</f>
        <v/>
      </c>
      <c r="B20167" s="43" t="n">
        <v>-23.463894</v>
      </c>
      <c r="C20167" s="43" t="n">
        <v>-46.666507</v>
      </c>
      <c r="D20167" s="43" t="n">
        <v>504</v>
      </c>
      <c r="E20167" s="44" t="n">
        <v>15975.12</v>
      </c>
    </row>
    <row r="20168">
      <c r="A20168" s="39">
        <f>_xlfn.XLOOKUP(83500,Trip[shape_id],Trip[shape_id],"Não encontrado")</f>
        <v/>
      </c>
      <c r="B20168" s="40" t="n">
        <v>-23.463937</v>
      </c>
      <c r="C20168" s="40" t="n">
        <v>-46.666407</v>
      </c>
      <c r="D20168" s="40" t="n">
        <v>505</v>
      </c>
      <c r="E20168" s="41" t="n">
        <v>15986.393</v>
      </c>
    </row>
    <row r="20169">
      <c r="A20169" s="42">
        <f>_xlfn.XLOOKUP(83500,Trip[shape_id],Trip[shape_id],"Não encontrado")</f>
        <v/>
      </c>
      <c r="B20169" s="43" t="n">
        <v>-23.463877</v>
      </c>
      <c r="C20169" s="43" t="n">
        <v>-46.66625</v>
      </c>
      <c r="D20169" s="43" t="n">
        <v>506</v>
      </c>
      <c r="E20169" s="44" t="n">
        <v>16003.755</v>
      </c>
    </row>
    <row r="20170">
      <c r="A20170" s="39">
        <f>_xlfn.XLOOKUP(83500,Trip[shape_id],Trip[shape_id],"Não encontrado")</f>
        <v/>
      </c>
      <c r="B20170" s="40" t="n">
        <v>-23.463769</v>
      </c>
      <c r="C20170" s="40" t="n">
        <v>-46.665978</v>
      </c>
      <c r="D20170" s="40" t="n">
        <v>507</v>
      </c>
      <c r="E20170" s="41" t="n">
        <v>16034.01</v>
      </c>
    </row>
    <row r="20171">
      <c r="A20171" s="42">
        <f>_xlfn.XLOOKUP(83500,Trip[shape_id],Trip[shape_id],"Não encontrado")</f>
        <v/>
      </c>
      <c r="B20171" s="43" t="n">
        <v>-23.463706</v>
      </c>
      <c r="C20171" s="43" t="n">
        <v>-46.665852</v>
      </c>
      <c r="D20171" s="43" t="n">
        <v>508</v>
      </c>
      <c r="E20171" s="44" t="n">
        <v>16048.652</v>
      </c>
    </row>
    <row r="20172">
      <c r="A20172" s="39">
        <f>_xlfn.XLOOKUP(83500,Trip[shape_id],Trip[shape_id],"Não encontrado")</f>
        <v/>
      </c>
      <c r="B20172" s="40" t="n">
        <v>-23.463652</v>
      </c>
      <c r="C20172" s="40" t="n">
        <v>-46.665785</v>
      </c>
      <c r="D20172" s="40" t="n">
        <v>509</v>
      </c>
      <c r="E20172" s="41" t="n">
        <v>16057.742</v>
      </c>
    </row>
    <row r="20173">
      <c r="A20173" s="42">
        <f>_xlfn.XLOOKUP(83500,Trip[shape_id],Trip[shape_id],"Não encontrado")</f>
        <v/>
      </c>
      <c r="B20173" s="43" t="n">
        <v>-23.463567</v>
      </c>
      <c r="C20173" s="43" t="n">
        <v>-46.665737</v>
      </c>
      <c r="D20173" s="43" t="n">
        <v>510</v>
      </c>
      <c r="E20173" s="44" t="n">
        <v>16068.356</v>
      </c>
    </row>
    <row r="20174">
      <c r="A20174" s="39">
        <f>_xlfn.XLOOKUP(83500,Trip[shape_id],Trip[shape_id],"Não encontrado")</f>
        <v/>
      </c>
      <c r="B20174" s="40" t="n">
        <v>-23.463502</v>
      </c>
      <c r="C20174" s="40" t="n">
        <v>-46.665703</v>
      </c>
      <c r="D20174" s="40" t="n">
        <v>511</v>
      </c>
      <c r="E20174" s="41" t="n">
        <v>16087.132</v>
      </c>
    </row>
    <row r="20175">
      <c r="A20175" s="42">
        <f>_xlfn.XLOOKUP(83500,Trip[shape_id],Trip[shape_id],"Não encontrado")</f>
        <v/>
      </c>
      <c r="B20175" s="43" t="n">
        <v>-23.463405</v>
      </c>
      <c r="C20175" s="43" t="n">
        <v>-46.665694</v>
      </c>
      <c r="D20175" s="43" t="n">
        <v>512</v>
      </c>
      <c r="E20175" s="44" t="n">
        <v>16104.947</v>
      </c>
    </row>
    <row r="20176">
      <c r="A20176" s="39">
        <f>_xlfn.XLOOKUP(83500,Trip[shape_id],Trip[shape_id],"Não encontrado")</f>
        <v/>
      </c>
      <c r="B20176" s="40" t="n">
        <v>-23.463255</v>
      </c>
      <c r="C20176" s="40" t="n">
        <v>-46.665757</v>
      </c>
      <c r="D20176" s="40" t="n">
        <v>513</v>
      </c>
      <c r="E20176" s="41" t="n">
        <v>16130.185</v>
      </c>
    </row>
    <row r="20177">
      <c r="A20177" s="42">
        <f>_xlfn.XLOOKUP(83500,Trip[shape_id],Trip[shape_id],"Não encontrado")</f>
        <v/>
      </c>
      <c r="B20177" s="43" t="n">
        <v>-23.463066</v>
      </c>
      <c r="C20177" s="43" t="n">
        <v>-46.665895</v>
      </c>
      <c r="D20177" s="43" t="n">
        <v>514</v>
      </c>
      <c r="E20177" s="44" t="n">
        <v>16139.883</v>
      </c>
    </row>
    <row r="20178">
      <c r="A20178" s="39">
        <f>_xlfn.XLOOKUP(83500,Trip[shape_id],Trip[shape_id],"Não encontrado")</f>
        <v/>
      </c>
      <c r="B20178" s="40" t="n">
        <v>-23.462991</v>
      </c>
      <c r="C20178" s="40" t="n">
        <v>-46.665944</v>
      </c>
      <c r="D20178" s="40" t="n">
        <v>515</v>
      </c>
      <c r="E20178" s="41" t="n">
        <v>16178.153</v>
      </c>
    </row>
    <row r="20179">
      <c r="A20179" s="42">
        <f>_xlfn.XLOOKUP(83500,Trip[shape_id],Trip[shape_id],"Não encontrado")</f>
        <v/>
      </c>
      <c r="B20179" s="43" t="n">
        <v>-23.46271</v>
      </c>
      <c r="C20179" s="43" t="n">
        <v>-46.666162</v>
      </c>
      <c r="D20179" s="43" t="n">
        <v>516</v>
      </c>
      <c r="E20179" s="44" t="n">
        <v>16178.153</v>
      </c>
    </row>
    <row r="20180">
      <c r="A20180" s="39">
        <f>_xlfn.XLOOKUP(83500,Trip[shape_id],Trip[shape_id],"Não encontrado")</f>
        <v/>
      </c>
      <c r="B20180" s="40" t="n">
        <v>-23.462571</v>
      </c>
      <c r="C20180" s="40" t="n">
        <v>-46.666229</v>
      </c>
      <c r="D20180" s="40" t="n">
        <v>517</v>
      </c>
      <c r="E20180" s="41" t="n">
        <v>16198.176</v>
      </c>
    </row>
    <row r="20181">
      <c r="A20181" s="42">
        <f>_xlfn.XLOOKUP(83500,Trip[shape_id],Trip[shape_id],"Não encontrado")</f>
        <v/>
      </c>
      <c r="B20181" s="43" t="n">
        <v>-23.462547</v>
      </c>
      <c r="C20181" s="43" t="n">
        <v>-46.666246</v>
      </c>
      <c r="D20181" s="43" t="n">
        <v>518</v>
      </c>
      <c r="E20181" s="44" t="n">
        <v>16211.592</v>
      </c>
    </row>
    <row r="20182">
      <c r="A20182" s="39">
        <f>_xlfn.XLOOKUP(83500,Trip[shape_id],Trip[shape_id],"Não encontrado")</f>
        <v/>
      </c>
      <c r="B20182" s="40" t="n">
        <v>-23.46243</v>
      </c>
      <c r="C20182" s="40" t="n">
        <v>-46.66628</v>
      </c>
      <c r="D20182" s="40" t="n">
        <v>519</v>
      </c>
      <c r="E20182" s="41" t="n">
        <v>16231.121</v>
      </c>
    </row>
    <row r="20183">
      <c r="A20183" s="42">
        <f>_xlfn.XLOOKUP(83500,Trip[shape_id],Trip[shape_id],"Não encontrado")</f>
        <v/>
      </c>
      <c r="B20183" s="43" t="n">
        <v>-23.462257</v>
      </c>
      <c r="C20183" s="43" t="n">
        <v>-46.666243</v>
      </c>
      <c r="D20183" s="43" t="n">
        <v>520</v>
      </c>
      <c r="E20183" s="44" t="n">
        <v>16231.121</v>
      </c>
    </row>
    <row r="20184">
      <c r="A20184" s="39">
        <f>_xlfn.XLOOKUP(83500,Trip[shape_id],Trip[shape_id],"Não encontrado")</f>
        <v/>
      </c>
      <c r="B20184" s="40" t="n">
        <v>-23.462155</v>
      </c>
      <c r="C20184" s="40" t="n">
        <v>-46.666208</v>
      </c>
      <c r="D20184" s="40" t="n">
        <v>521</v>
      </c>
      <c r="E20184" s="41" t="n">
        <v>16242.971</v>
      </c>
    </row>
    <row r="20185">
      <c r="A20185" s="42">
        <f>_xlfn.XLOOKUP(83500,Trip[shape_id],Trip[shape_id],"Não encontrado")</f>
        <v/>
      </c>
      <c r="B20185" s="43" t="n">
        <v>-23.462059</v>
      </c>
      <c r="C20185" s="43" t="n">
        <v>-46.66617</v>
      </c>
      <c r="D20185" s="43" t="n">
        <v>522</v>
      </c>
      <c r="E20185" s="44" t="n">
        <v>16288.836</v>
      </c>
    </row>
    <row r="20186">
      <c r="A20186" s="39">
        <f>_xlfn.XLOOKUP(83500,Trip[shape_id],Trip[shape_id],"Não encontrado")</f>
        <v/>
      </c>
      <c r="B20186" s="40" t="n">
        <v>-23.461765</v>
      </c>
      <c r="C20186" s="40" t="n">
        <v>-46.666057</v>
      </c>
      <c r="D20186" s="40" t="n">
        <v>523</v>
      </c>
      <c r="E20186" s="41" t="n">
        <v>16288.836</v>
      </c>
    </row>
    <row r="20187">
      <c r="A20187" s="42">
        <f>_xlfn.XLOOKUP(83500,Trip[shape_id],Trip[shape_id],"Não encontrado")</f>
        <v/>
      </c>
      <c r="B20187" s="43" t="n">
        <v>-23.461663</v>
      </c>
      <c r="C20187" s="43" t="n">
        <v>-46.666016</v>
      </c>
      <c r="D20187" s="43" t="n">
        <v>524</v>
      </c>
      <c r="E20187" s="44" t="n">
        <v>16300.884</v>
      </c>
    </row>
    <row r="20188">
      <c r="A20188" s="39">
        <f>_xlfn.XLOOKUP(83500,Trip[shape_id],Trip[shape_id],"Não encontrado")</f>
        <v/>
      </c>
      <c r="B20188" s="40" t="n">
        <v>-23.461415</v>
      </c>
      <c r="C20188" s="40" t="n">
        <v>-46.665908</v>
      </c>
      <c r="D20188" s="40" t="n">
        <v>525</v>
      </c>
      <c r="E20188" s="41" t="n">
        <v>16330.483</v>
      </c>
    </row>
    <row r="20189">
      <c r="A20189" s="42">
        <f>_xlfn.XLOOKUP(83500,Trip[shape_id],Trip[shape_id],"Não encontrado")</f>
        <v/>
      </c>
      <c r="B20189" s="43" t="n">
        <v>-23.461255</v>
      </c>
      <c r="C20189" s="43" t="n">
        <v>-46.665835</v>
      </c>
      <c r="D20189" s="43" t="n">
        <v>526</v>
      </c>
      <c r="E20189" s="44" t="n">
        <v>16365.097</v>
      </c>
    </row>
    <row r="20190">
      <c r="A20190" s="39">
        <f>_xlfn.XLOOKUP(83500,Trip[shape_id],Trip[shape_id],"Não encontrado")</f>
        <v/>
      </c>
      <c r="B20190" s="40" t="n">
        <v>-23.461123</v>
      </c>
      <c r="C20190" s="40" t="n">
        <v>-46.665788</v>
      </c>
      <c r="D20190" s="40" t="n">
        <v>527</v>
      </c>
      <c r="E20190" s="41" t="n">
        <v>16365.097</v>
      </c>
    </row>
    <row r="20191">
      <c r="A20191" s="42">
        <f>_xlfn.XLOOKUP(83500,Trip[shape_id],Trip[shape_id],"Não encontrado")</f>
        <v/>
      </c>
      <c r="B20191" s="43" t="n">
        <v>-23.460634</v>
      </c>
      <c r="C20191" s="43" t="n">
        <v>-46.665615</v>
      </c>
      <c r="D20191" s="43" t="n">
        <v>528</v>
      </c>
      <c r="E20191" s="44" t="n">
        <v>16422.064</v>
      </c>
    </row>
    <row r="20192">
      <c r="A20192" s="39">
        <f>_xlfn.XLOOKUP(83500,Trip[shape_id],Trip[shape_id],"Não encontrado")</f>
        <v/>
      </c>
      <c r="B20192" s="40" t="n">
        <v>-23.460553</v>
      </c>
      <c r="C20192" s="40" t="n">
        <v>-46.665579</v>
      </c>
      <c r="D20192" s="40" t="n">
        <v>529</v>
      </c>
      <c r="E20192" s="41" t="n">
        <v>16439.297</v>
      </c>
    </row>
    <row r="20193">
      <c r="A20193" s="42">
        <f>_xlfn.XLOOKUP(83500,Trip[shape_id],Trip[shape_id],"Não encontrado")</f>
        <v/>
      </c>
      <c r="B20193" s="43" t="n">
        <v>-23.460487</v>
      </c>
      <c r="C20193" s="43" t="n">
        <v>-46.665561</v>
      </c>
      <c r="D20193" s="43" t="n">
        <v>530</v>
      </c>
      <c r="E20193" s="44" t="n">
        <v>16449.295</v>
      </c>
    </row>
    <row r="20194">
      <c r="A20194" s="39">
        <f>_xlfn.XLOOKUP(83500,Trip[shape_id],Trip[shape_id],"Não encontrado")</f>
        <v/>
      </c>
      <c r="B20194" s="40" t="n">
        <v>-23.460402</v>
      </c>
      <c r="C20194" s="40" t="n">
        <v>-46.665528</v>
      </c>
      <c r="D20194" s="40" t="n">
        <v>531</v>
      </c>
      <c r="E20194" s="41" t="n">
        <v>16461.031</v>
      </c>
    </row>
    <row r="20195">
      <c r="A20195" s="42">
        <f>_xlfn.XLOOKUP(83500,Trip[shape_id],Trip[shape_id],"Não encontrado")</f>
        <v/>
      </c>
      <c r="B20195" s="43" t="n">
        <v>-23.460303</v>
      </c>
      <c r="C20195" s="43" t="n">
        <v>-46.665487</v>
      </c>
      <c r="D20195" s="43" t="n">
        <v>532</v>
      </c>
      <c r="E20195" s="44" t="n">
        <v>16468.98</v>
      </c>
    </row>
    <row r="20196">
      <c r="A20196" s="39">
        <f>_xlfn.XLOOKUP(83500,Trip[shape_id],Trip[shape_id],"Não encontrado")</f>
        <v/>
      </c>
      <c r="B20196" s="40" t="n">
        <v>-23.460242</v>
      </c>
      <c r="C20196" s="40" t="n">
        <v>-46.665446</v>
      </c>
      <c r="D20196" s="40" t="n">
        <v>533</v>
      </c>
      <c r="E20196" s="41" t="n">
        <v>16474.998</v>
      </c>
    </row>
    <row r="20197">
      <c r="A20197" s="42">
        <f>_xlfn.XLOOKUP(83500,Trip[shape_id],Trip[shape_id],"Não encontrado")</f>
        <v/>
      </c>
      <c r="B20197" s="43" t="n">
        <v>-23.460199</v>
      </c>
      <c r="C20197" s="43" t="n">
        <v>-46.66541</v>
      </c>
      <c r="D20197" s="43" t="n">
        <v>534</v>
      </c>
      <c r="E20197" s="44" t="n">
        <v>16484.25</v>
      </c>
    </row>
    <row r="20198">
      <c r="A20198" s="39">
        <f>_xlfn.XLOOKUP(83500,Trip[shape_id],Trip[shape_id],"Não encontrado")</f>
        <v/>
      </c>
      <c r="B20198" s="40" t="n">
        <v>-23.460146</v>
      </c>
      <c r="C20198" s="40" t="n">
        <v>-46.66534</v>
      </c>
      <c r="D20198" s="40" t="n">
        <v>535</v>
      </c>
      <c r="E20198" s="41" t="n">
        <v>16484.25</v>
      </c>
    </row>
    <row r="20199">
      <c r="A20199" s="42">
        <f>_xlfn.XLOOKUP(83500,Trip[shape_id],Trip[shape_id],"Não encontrado")</f>
        <v/>
      </c>
      <c r="B20199" s="43" t="n">
        <v>-23.460095</v>
      </c>
      <c r="C20199" s="43" t="n">
        <v>-46.665425</v>
      </c>
      <c r="D20199" s="43" t="n">
        <v>536</v>
      </c>
      <c r="E20199" s="44" t="n">
        <v>16538.861</v>
      </c>
    </row>
    <row r="20200">
      <c r="A20200" s="39">
        <f>_xlfn.XLOOKUP(83500,Trip[shape_id],Trip[shape_id],"Não encontrado")</f>
        <v/>
      </c>
      <c r="B20200" s="40" t="n">
        <v>-23.459844</v>
      </c>
      <c r="C20200" s="40" t="n">
        <v>-46.665762</v>
      </c>
      <c r="D20200" s="40" t="n">
        <v>537</v>
      </c>
      <c r="E20200" s="41" t="n">
        <v>16552.072</v>
      </c>
    </row>
    <row r="20201">
      <c r="A20201" s="42">
        <f>_xlfn.XLOOKUP(83500,Trip[shape_id],Trip[shape_id],"Não encontrado")</f>
        <v/>
      </c>
      <c r="B20201" s="43" t="n">
        <v>-23.459786</v>
      </c>
      <c r="C20201" s="43" t="n">
        <v>-46.665875</v>
      </c>
      <c r="D20201" s="43" t="n">
        <v>538</v>
      </c>
      <c r="E20201" s="44" t="n">
        <v>16563.977</v>
      </c>
    </row>
    <row r="20202">
      <c r="A20202" s="39">
        <f>_xlfn.XLOOKUP(83500,Trip[shape_id],Trip[shape_id],"Não encontrado")</f>
        <v/>
      </c>
      <c r="B20202" s="40" t="n">
        <v>-23.459748</v>
      </c>
      <c r="C20202" s="40" t="n">
        <v>-46.665984</v>
      </c>
      <c r="D20202" s="40" t="n">
        <v>539</v>
      </c>
      <c r="E20202" s="41" t="n">
        <v>16563.977</v>
      </c>
    </row>
    <row r="20203">
      <c r="A20203" s="42">
        <f>_xlfn.XLOOKUP(83500,Trip[shape_id],Trip[shape_id],"Não encontrado")</f>
        <v/>
      </c>
      <c r="B20203" s="43" t="n">
        <v>-23.459712</v>
      </c>
      <c r="C20203" s="43" t="n">
        <v>-46.666045</v>
      </c>
      <c r="D20203" s="43" t="n">
        <v>540</v>
      </c>
      <c r="E20203" s="44" t="n">
        <v>16571.375</v>
      </c>
    </row>
    <row r="20204">
      <c r="A20204" s="39">
        <f>_xlfn.XLOOKUP(83500,Trip[shape_id],Trip[shape_id],"Não encontrado")</f>
        <v/>
      </c>
      <c r="B20204" s="40" t="n">
        <v>-23.459554</v>
      </c>
      <c r="C20204" s="40" t="n">
        <v>-46.666415</v>
      </c>
      <c r="D20204" s="40" t="n">
        <v>541</v>
      </c>
      <c r="E20204" s="41" t="n">
        <v>16613.031</v>
      </c>
    </row>
    <row r="20205">
      <c r="A20205" s="42">
        <f>_xlfn.XLOOKUP(83500,Trip[shape_id],Trip[shape_id],"Não encontrado")</f>
        <v/>
      </c>
      <c r="B20205" s="43" t="n">
        <v>-23.459383</v>
      </c>
      <c r="C20205" s="43" t="n">
        <v>-46.666654</v>
      </c>
      <c r="D20205" s="43" t="n">
        <v>542</v>
      </c>
      <c r="E20205" s="44" t="n">
        <v>16682.432</v>
      </c>
    </row>
    <row r="20206">
      <c r="A20206" s="39">
        <f>_xlfn.XLOOKUP(83500,Trip[shape_id],Trip[shape_id],"Não encontrado")</f>
        <v/>
      </c>
      <c r="B20206" s="40" t="n">
        <v>-23.459204</v>
      </c>
      <c r="C20206" s="40" t="n">
        <v>-46.666977</v>
      </c>
      <c r="D20206" s="40" t="n">
        <v>543</v>
      </c>
      <c r="E20206" s="41" t="n">
        <v>16682.432</v>
      </c>
    </row>
    <row r="20207">
      <c r="A20207" s="42">
        <f>_xlfn.XLOOKUP(83500,Trip[shape_id],Trip[shape_id],"Não encontrado")</f>
        <v/>
      </c>
      <c r="B20207" s="43" t="n">
        <v>-23.458808</v>
      </c>
      <c r="C20207" s="43" t="n">
        <v>-46.66753</v>
      </c>
      <c r="D20207" s="43" t="n">
        <v>544</v>
      </c>
      <c r="E20207" s="44" t="n">
        <v>16753.957</v>
      </c>
    </row>
    <row r="20208">
      <c r="A20208" s="39">
        <f>_xlfn.XLOOKUP(83500,Trip[shape_id],Trip[shape_id],"Não encontrado")</f>
        <v/>
      </c>
      <c r="B20208" s="40" t="n">
        <v>-23.458775</v>
      </c>
      <c r="C20208" s="40" t="n">
        <v>-46.667555</v>
      </c>
      <c r="D20208" s="40" t="n">
        <v>545</v>
      </c>
      <c r="E20208" s="41" t="n">
        <v>16758.416</v>
      </c>
    </row>
    <row r="20209">
      <c r="A20209" s="42">
        <f>_xlfn.XLOOKUP(83500,Trip[shape_id],Trip[shape_id],"Não encontrado")</f>
        <v/>
      </c>
      <c r="B20209" s="43" t="n">
        <v>-23.458602</v>
      </c>
      <c r="C20209" s="43" t="n">
        <v>-46.667595</v>
      </c>
      <c r="D20209" s="43" t="n">
        <v>546</v>
      </c>
      <c r="E20209" s="44" t="n">
        <v>16796.48</v>
      </c>
    </row>
    <row r="20210">
      <c r="A20210" s="39">
        <f>_xlfn.XLOOKUP(83500,Trip[shape_id],Trip[shape_id],"Não encontrado")</f>
        <v/>
      </c>
      <c r="B20210" s="40" t="n">
        <v>-23.45844</v>
      </c>
      <c r="C20210" s="40" t="n">
        <v>-46.667638</v>
      </c>
      <c r="D20210" s="40" t="n">
        <v>547</v>
      </c>
      <c r="E20210" s="41" t="n">
        <v>16813.908</v>
      </c>
    </row>
    <row r="20211">
      <c r="A20211" s="42">
        <f>_xlfn.XLOOKUP(83500,Trip[shape_id],Trip[shape_id],"Não encontrado")</f>
        <v/>
      </c>
      <c r="B20211" s="43" t="n">
        <v>-23.458289</v>
      </c>
      <c r="C20211" s="43" t="n">
        <v>-46.667686</v>
      </c>
      <c r="D20211" s="43" t="n">
        <v>548</v>
      </c>
      <c r="E20211" s="44" t="n">
        <v>16823.635</v>
      </c>
    </row>
    <row r="20212">
      <c r="A20212" s="39">
        <f>_xlfn.XLOOKUP(83500,Trip[shape_id],Trip[shape_id],"Não encontrado")</f>
        <v/>
      </c>
      <c r="B20212" s="40" t="n">
        <v>-23.458202</v>
      </c>
      <c r="C20212" s="40" t="n">
        <v>-46.667699</v>
      </c>
      <c r="D20212" s="40" t="n">
        <v>549</v>
      </c>
      <c r="E20212" s="41" t="n">
        <v>16823.635</v>
      </c>
    </row>
    <row r="20213">
      <c r="A20213" s="42">
        <f>_xlfn.XLOOKUP(83500,Trip[shape_id],Trip[shape_id],"Não encontrado")</f>
        <v/>
      </c>
      <c r="B20213" s="43" t="n">
        <v>-23.458154</v>
      </c>
      <c r="C20213" s="43" t="n">
        <v>-46.667694</v>
      </c>
      <c r="D20213" s="43" t="n">
        <v>550</v>
      </c>
      <c r="E20213" s="44" t="n">
        <v>16847.125</v>
      </c>
    </row>
    <row r="20214">
      <c r="A20214" s="39">
        <f>_xlfn.XLOOKUP(83500,Trip[shape_id],Trip[shape_id],"Não encontrado")</f>
        <v/>
      </c>
      <c r="B20214" s="40" t="n">
        <v>-23.458003</v>
      </c>
      <c r="C20214" s="40" t="n">
        <v>-46.667625</v>
      </c>
      <c r="D20214" s="40" t="n">
        <v>551</v>
      </c>
      <c r="E20214" s="41" t="n">
        <v>16859.902</v>
      </c>
    </row>
    <row r="20215">
      <c r="A20215" s="42">
        <f>_xlfn.XLOOKUP(83500,Trip[shape_id],Trip[shape_id],"Não encontrado")</f>
        <v/>
      </c>
      <c r="B20215" s="43" t="n">
        <v>-23.457895</v>
      </c>
      <c r="C20215" s="43" t="n">
        <v>-46.667581</v>
      </c>
      <c r="D20215" s="43" t="n">
        <v>552</v>
      </c>
      <c r="E20215" s="44" t="n">
        <v>16859.902</v>
      </c>
    </row>
    <row r="20216">
      <c r="A20216" s="39">
        <f>_xlfn.XLOOKUP(83500,Trip[shape_id],Trip[shape_id],"Não encontrado")</f>
        <v/>
      </c>
      <c r="B20216" s="40" t="n">
        <v>-23.457765</v>
      </c>
      <c r="C20216" s="40" t="n">
        <v>-46.66754</v>
      </c>
      <c r="D20216" s="40" t="n">
        <v>553</v>
      </c>
      <c r="E20216" s="41" t="n">
        <v>16897.336</v>
      </c>
    </row>
    <row r="20217">
      <c r="A20217" s="42">
        <f>_xlfn.XLOOKUP(83500,Trip[shape_id],Trip[shape_id],"Não encontrado")</f>
        <v/>
      </c>
      <c r="B20217" s="43" t="n">
        <v>-23.457563</v>
      </c>
      <c r="C20217" s="43" t="n">
        <v>-46.667523</v>
      </c>
      <c r="D20217" s="43" t="n">
        <v>554</v>
      </c>
      <c r="E20217" s="44" t="n">
        <v>16927.109</v>
      </c>
    </row>
    <row r="20218">
      <c r="A20218" s="39">
        <f>_xlfn.XLOOKUP(83500,Trip[shape_id],Trip[shape_id],"Não encontrado")</f>
        <v/>
      </c>
      <c r="B20218" s="40" t="n">
        <v>-23.457295</v>
      </c>
      <c r="C20218" s="40" t="n">
        <v>-46.667546</v>
      </c>
      <c r="D20218" s="40" t="n">
        <v>555</v>
      </c>
      <c r="E20218" s="41" t="n">
        <v>16951.459</v>
      </c>
    </row>
    <row r="20219">
      <c r="A20219" s="42">
        <f>_xlfn.XLOOKUP(83500,Trip[shape_id],Trip[shape_id],"Não encontrado")</f>
        <v/>
      </c>
      <c r="B20219" s="43" t="n">
        <v>-23.457077</v>
      </c>
      <c r="C20219" s="43" t="n">
        <v>-46.667577</v>
      </c>
      <c r="D20219" s="43" t="n">
        <v>556</v>
      </c>
      <c r="E20219" s="44" t="n">
        <v>17002.658</v>
      </c>
    </row>
    <row r="20220">
      <c r="A20220" s="39">
        <f>_xlfn.XLOOKUP(83500,Trip[shape_id],Trip[shape_id],"Não encontrado")</f>
        <v/>
      </c>
      <c r="B20220" s="40" t="n">
        <v>-23.456624</v>
      </c>
      <c r="C20220" s="40" t="n">
        <v>-46.667677</v>
      </c>
      <c r="D20220" s="40" t="n">
        <v>557</v>
      </c>
      <c r="E20220" s="41" t="n">
        <v>17002.658</v>
      </c>
    </row>
    <row r="20221">
      <c r="A20221" s="42">
        <f>_xlfn.XLOOKUP(83500,Trip[shape_id],Trip[shape_id],"Não encontrado")</f>
        <v/>
      </c>
      <c r="B20221" s="43" t="n">
        <v>-23.456206</v>
      </c>
      <c r="C20221" s="43" t="n">
        <v>-46.667792</v>
      </c>
      <c r="D20221" s="43" t="n">
        <v>558</v>
      </c>
      <c r="E20221" s="44" t="n">
        <v>17056.139</v>
      </c>
    </row>
    <row r="20222">
      <c r="A20222" s="39">
        <f>_xlfn.XLOOKUP(83500,Trip[shape_id],Trip[shape_id],"Não encontrado")</f>
        <v/>
      </c>
      <c r="B20222" s="40" t="n">
        <v>-23.456156</v>
      </c>
      <c r="C20222" s="40" t="n">
        <v>-46.667806</v>
      </c>
      <c r="D20222" s="40" t="n">
        <v>559</v>
      </c>
      <c r="E20222" s="41" t="n">
        <v>17059.02</v>
      </c>
    </row>
    <row r="20223">
      <c r="A20223" s="42">
        <f>_xlfn.XLOOKUP(83500,Trip[shape_id],Trip[shape_id],"Não encontrado")</f>
        <v/>
      </c>
      <c r="B20223" s="43" t="n">
        <v>-23.45613</v>
      </c>
      <c r="C20223" s="43" t="n">
        <v>-46.667805</v>
      </c>
      <c r="D20223" s="43" t="n">
        <v>560</v>
      </c>
      <c r="E20223" s="44" t="n">
        <v>17062.238</v>
      </c>
    </row>
    <row r="20224">
      <c r="A20224" s="39">
        <f>_xlfn.XLOOKUP(83500,Trip[shape_id],Trip[shape_id],"Não encontrado")</f>
        <v/>
      </c>
      <c r="B20224" s="40" t="n">
        <v>-23.456101</v>
      </c>
      <c r="C20224" s="40" t="n">
        <v>-46.667807</v>
      </c>
      <c r="D20224" s="40" t="n">
        <v>561</v>
      </c>
      <c r="E20224" s="41" t="n">
        <v>17068.668</v>
      </c>
    </row>
    <row r="20225">
      <c r="A20225" s="42">
        <f>_xlfn.XLOOKUP(83500,Trip[shape_id],Trip[shape_id],"Não encontrado")</f>
        <v/>
      </c>
      <c r="B20225" s="43" t="n">
        <v>-23.456049</v>
      </c>
      <c r="C20225" s="43" t="n">
        <v>-46.667835</v>
      </c>
      <c r="D20225" s="43" t="n">
        <v>562</v>
      </c>
      <c r="E20225" s="44" t="n">
        <v>17078.195</v>
      </c>
    </row>
    <row r="20226">
      <c r="A20226" s="39">
        <f>_xlfn.XLOOKUP(83500,Trip[shape_id],Trip[shape_id],"Não encontrado")</f>
        <v/>
      </c>
      <c r="B20226" s="40" t="n">
        <v>-23.455963</v>
      </c>
      <c r="C20226" s="40" t="n">
        <v>-46.667833</v>
      </c>
      <c r="D20226" s="40" t="n">
        <v>563</v>
      </c>
      <c r="E20226" s="41" t="n">
        <v>17078.195</v>
      </c>
    </row>
    <row r="20227">
      <c r="A20227" s="42">
        <f>_xlfn.XLOOKUP(83500,Trip[shape_id],Trip[shape_id],"Não encontrado")</f>
        <v/>
      </c>
      <c r="B20227" s="43" t="n">
        <v>-23.455805</v>
      </c>
      <c r="C20227" s="43" t="n">
        <v>-46.667787</v>
      </c>
      <c r="D20227" s="43" t="n">
        <v>564</v>
      </c>
      <c r="E20227" s="44" t="n">
        <v>17101.4</v>
      </c>
    </row>
    <row r="20228">
      <c r="A20228" s="39">
        <f>_xlfn.XLOOKUP(83500,Trip[shape_id],Trip[shape_id],"Não encontrado")</f>
        <v/>
      </c>
      <c r="B20228" s="40" t="n">
        <v>-23.45576</v>
      </c>
      <c r="C20228" s="40" t="n">
        <v>-46.667777</v>
      </c>
      <c r="D20228" s="40" t="n">
        <v>565</v>
      </c>
      <c r="E20228" s="41" t="n">
        <v>17101.4</v>
      </c>
    </row>
    <row r="20229">
      <c r="A20229" s="42">
        <f>_xlfn.XLOOKUP(83500,Trip[shape_id],Trip[shape_id],"Não encontrado")</f>
        <v/>
      </c>
      <c r="B20229" s="43" t="n">
        <v>-23.455723</v>
      </c>
      <c r="C20229" s="43" t="n">
        <v>-46.6678</v>
      </c>
      <c r="D20229" s="43" t="n">
        <v>566</v>
      </c>
      <c r="E20229" s="44" t="n">
        <v>17106.123</v>
      </c>
    </row>
    <row r="20230">
      <c r="A20230" s="39">
        <f>_xlfn.XLOOKUP(83500,Trip[shape_id],Trip[shape_id],"Não encontrado")</f>
        <v/>
      </c>
      <c r="B20230" s="40" t="n">
        <v>-23.455685</v>
      </c>
      <c r="C20230" s="40" t="n">
        <v>-46.667792</v>
      </c>
      <c r="D20230" s="40" t="n">
        <v>567</v>
      </c>
      <c r="E20230" s="41" t="n">
        <v>17114.648</v>
      </c>
    </row>
    <row r="20231">
      <c r="A20231" s="42">
        <f>_xlfn.XLOOKUP(83500,Trip[shape_id],Trip[shape_id],"Não encontrado")</f>
        <v/>
      </c>
      <c r="B20231" s="43" t="n">
        <v>-23.455647</v>
      </c>
      <c r="C20231" s="43" t="n">
        <v>-46.667787</v>
      </c>
      <c r="D20231" s="43" t="n">
        <v>568</v>
      </c>
      <c r="E20231" s="44" t="n">
        <v>17114.648</v>
      </c>
    </row>
    <row r="20232">
      <c r="A20232" s="39">
        <f>_xlfn.XLOOKUP(83500,Trip[shape_id],Trip[shape_id],"Não encontrado")</f>
        <v/>
      </c>
      <c r="B20232" s="40" t="n">
        <v>-23.455584</v>
      </c>
      <c r="C20232" s="40" t="n">
        <v>-46.667747</v>
      </c>
      <c r="D20232" s="40" t="n">
        <v>569</v>
      </c>
      <c r="E20232" s="41" t="n">
        <v>17161.02</v>
      </c>
    </row>
    <row r="20233">
      <c r="A20233" s="42">
        <f>_xlfn.XLOOKUP(83500,Trip[shape_id],Trip[shape_id],"Não encontrado")</f>
        <v/>
      </c>
      <c r="B20233" s="43" t="n">
        <v>-23.45524</v>
      </c>
      <c r="C20233" s="43" t="n">
        <v>-46.66771</v>
      </c>
      <c r="D20233" s="43" t="n">
        <v>570</v>
      </c>
      <c r="E20233" s="44" t="n">
        <v>17195.045</v>
      </c>
    </row>
    <row r="20234">
      <c r="A20234" s="39">
        <f>_xlfn.XLOOKUP(83500,Trip[shape_id],Trip[shape_id],"Não encontrado")</f>
        <v/>
      </c>
      <c r="B20234" s="40" t="n">
        <v>-23.454935</v>
      </c>
      <c r="C20234" s="40" t="n">
        <v>-46.66767</v>
      </c>
      <c r="D20234" s="40" t="n">
        <v>571</v>
      </c>
      <c r="E20234" s="41" t="n">
        <v>17195.045</v>
      </c>
    </row>
    <row r="20235">
      <c r="A20235" s="42">
        <f>_xlfn.XLOOKUP(83500,Trip[shape_id],Trip[shape_id],"Não encontrado")</f>
        <v/>
      </c>
      <c r="B20235" s="43" t="n">
        <v>-23.454868</v>
      </c>
      <c r="C20235" s="43" t="n">
        <v>-46.667768</v>
      </c>
      <c r="D20235" s="43" t="n">
        <v>572</v>
      </c>
      <c r="E20235" s="44" t="n">
        <v>17207.508</v>
      </c>
    </row>
    <row r="20236">
      <c r="A20236" s="39">
        <f>_xlfn.XLOOKUP(83500,Trip[shape_id],Trip[shape_id],"Não encontrado")</f>
        <v/>
      </c>
      <c r="B20236" s="40" t="n">
        <v>-23.454818</v>
      </c>
      <c r="C20236" s="40" t="n">
        <v>-46.667937</v>
      </c>
      <c r="D20236" s="40" t="n">
        <v>573</v>
      </c>
      <c r="E20236" s="41" t="n">
        <v>17225.643</v>
      </c>
    </row>
    <row r="20237">
      <c r="A20237" s="42">
        <f>_xlfn.XLOOKUP(83500,Trip[shape_id],Trip[shape_id],"Não encontrado")</f>
        <v/>
      </c>
      <c r="B20237" s="43" t="n">
        <v>-23.454769</v>
      </c>
      <c r="C20237" s="43" t="n">
        <v>-46.668071</v>
      </c>
      <c r="D20237" s="43" t="n">
        <v>574</v>
      </c>
      <c r="E20237" s="44" t="n">
        <v>17240.371</v>
      </c>
    </row>
    <row r="20238">
      <c r="A20238" s="39">
        <f>_xlfn.XLOOKUP(83500,Trip[shape_id],Trip[shape_id],"Não encontrado")</f>
        <v/>
      </c>
      <c r="B20238" s="40" t="n">
        <v>-23.454737</v>
      </c>
      <c r="C20238" s="40" t="n">
        <v>-46.668141</v>
      </c>
      <c r="D20238" s="40" t="n">
        <v>575</v>
      </c>
      <c r="E20238" s="41" t="n">
        <v>17248.354</v>
      </c>
    </row>
    <row r="20239">
      <c r="A20239" s="42">
        <f>_xlfn.XLOOKUP(83500,Trip[shape_id],Trip[shape_id],"Não encontrado")</f>
        <v/>
      </c>
      <c r="B20239" s="43" t="n">
        <v>-23.454644</v>
      </c>
      <c r="C20239" s="43" t="n">
        <v>-46.668279</v>
      </c>
      <c r="D20239" s="43" t="n">
        <v>576</v>
      </c>
      <c r="E20239" s="44" t="n">
        <v>17265.814</v>
      </c>
    </row>
    <row r="20240">
      <c r="A20240" s="39">
        <f>_xlfn.XLOOKUP(83500,Trip[shape_id],Trip[shape_id],"Não encontrado")</f>
        <v/>
      </c>
      <c r="B20240" s="40" t="n">
        <v>-23.454285</v>
      </c>
      <c r="C20240" s="40" t="n">
        <v>-46.668793</v>
      </c>
      <c r="D20240" s="40" t="n">
        <v>577</v>
      </c>
      <c r="E20240" s="41" t="n">
        <v>17331.686</v>
      </c>
    </row>
    <row r="20241">
      <c r="A20241" s="42">
        <f>_xlfn.XLOOKUP(83500,Trip[shape_id],Trip[shape_id],"Não encontrado")</f>
        <v/>
      </c>
      <c r="B20241" s="43" t="n">
        <v>-23.454186</v>
      </c>
      <c r="C20241" s="43" t="n">
        <v>-46.668921</v>
      </c>
      <c r="D20241" s="43" t="n">
        <v>578</v>
      </c>
      <c r="E20241" s="44" t="n">
        <v>17348.752</v>
      </c>
    </row>
    <row r="20242">
      <c r="A20242" s="39">
        <f>_xlfn.XLOOKUP(83500,Trip[shape_id],Trip[shape_id],"Não encontrado")</f>
        <v/>
      </c>
      <c r="B20242" s="40" t="n">
        <v>-23.454035</v>
      </c>
      <c r="C20242" s="40" t="n">
        <v>-46.669146</v>
      </c>
      <c r="D20242" s="40" t="n">
        <v>579</v>
      </c>
      <c r="E20242" s="41" t="n">
        <v>17377.182</v>
      </c>
    </row>
    <row r="20243">
      <c r="A20243" s="42">
        <f>_xlfn.XLOOKUP(83500,Trip[shape_id],Trip[shape_id],"Não encontrado")</f>
        <v/>
      </c>
      <c r="B20243" s="43" t="n">
        <v>-23.45386</v>
      </c>
      <c r="C20243" s="43" t="n">
        <v>-46.669424</v>
      </c>
      <c r="D20243" s="43" t="n">
        <v>580</v>
      </c>
      <c r="E20243" s="44" t="n">
        <v>17411.568</v>
      </c>
    </row>
    <row r="20244">
      <c r="A20244" s="39">
        <f>_xlfn.XLOOKUP(83500,Trip[shape_id],Trip[shape_id],"Não encontrado")</f>
        <v/>
      </c>
      <c r="B20244" s="40" t="n">
        <v>-23.453596</v>
      </c>
      <c r="C20244" s="40" t="n">
        <v>-46.670009</v>
      </c>
      <c r="D20244" s="40" t="n">
        <v>581</v>
      </c>
      <c r="E20244" s="41" t="n">
        <v>17478.109</v>
      </c>
    </row>
    <row r="20245">
      <c r="A20245" s="42">
        <f>_xlfn.XLOOKUP(83500,Trip[shape_id],Trip[shape_id],"Não encontrado")</f>
        <v/>
      </c>
      <c r="B20245" s="43" t="n">
        <v>-23.453534</v>
      </c>
      <c r="C20245" s="43" t="n">
        <v>-46.670157</v>
      </c>
      <c r="D20245" s="43" t="n">
        <v>582</v>
      </c>
      <c r="E20245" s="44" t="n">
        <v>17494.717</v>
      </c>
    </row>
    <row r="20246">
      <c r="A20246" s="39">
        <f>_xlfn.XLOOKUP(83500,Trip[shape_id],Trip[shape_id],"Não encontrado")</f>
        <v/>
      </c>
      <c r="B20246" s="40" t="n">
        <v>-23.453518</v>
      </c>
      <c r="C20246" s="40" t="n">
        <v>-46.670279</v>
      </c>
      <c r="D20246" s="40" t="n">
        <v>583</v>
      </c>
      <c r="E20246" s="41" t="n">
        <v>17507.307</v>
      </c>
    </row>
    <row r="20247">
      <c r="A20247" s="42">
        <f>_xlfn.XLOOKUP(83500,Trip[shape_id],Trip[shape_id],"Não encontrado")</f>
        <v/>
      </c>
      <c r="B20247" s="43" t="n">
        <v>-23.453491</v>
      </c>
      <c r="C20247" s="43" t="n">
        <v>-46.670409</v>
      </c>
      <c r="D20247" s="43" t="n">
        <v>584</v>
      </c>
      <c r="E20247" s="44" t="n">
        <v>17520.922</v>
      </c>
    </row>
    <row r="20248">
      <c r="A20248" s="39">
        <f>_xlfn.XLOOKUP(83500,Trip[shape_id],Trip[shape_id],"Não encontrado")</f>
        <v/>
      </c>
      <c r="B20248" s="40" t="n">
        <v>-23.453465</v>
      </c>
      <c r="C20248" s="40" t="n">
        <v>-46.670695</v>
      </c>
      <c r="D20248" s="40" t="n">
        <v>585</v>
      </c>
      <c r="E20248" s="41" t="n">
        <v>17550.285</v>
      </c>
    </row>
    <row r="20249">
      <c r="A20249" s="42">
        <f>_xlfn.XLOOKUP(83500,Trip[shape_id],Trip[shape_id],"Não encontrado")</f>
        <v/>
      </c>
      <c r="B20249" s="43" t="n">
        <v>-23.45341</v>
      </c>
      <c r="C20249" s="43" t="n">
        <v>-46.67139</v>
      </c>
      <c r="D20249" s="43" t="n">
        <v>586</v>
      </c>
      <c r="E20249" s="44" t="n">
        <v>17621.559</v>
      </c>
    </row>
    <row r="20250">
      <c r="A20250" s="39">
        <f>_xlfn.XLOOKUP(83500,Trip[shape_id],Trip[shape_id],"Não encontrado")</f>
        <v/>
      </c>
      <c r="B20250" s="40" t="n">
        <v>-23.453445</v>
      </c>
      <c r="C20250" s="40" t="n">
        <v>-46.671425</v>
      </c>
      <c r="D20250" s="40" t="n">
        <v>587</v>
      </c>
      <c r="E20250" s="41" t="n">
        <v>17626.832</v>
      </c>
    </row>
    <row r="20251">
      <c r="A20251" s="42">
        <f>_xlfn.XLOOKUP(83500,Trip[shape_id],Trip[shape_id],"Não encontrado")</f>
        <v/>
      </c>
      <c r="B20251" s="43" t="n">
        <v>-23.453491</v>
      </c>
      <c r="C20251" s="43" t="n">
        <v>-46.671666</v>
      </c>
      <c r="D20251" s="43" t="n">
        <v>588</v>
      </c>
      <c r="E20251" s="44" t="n">
        <v>17651.979</v>
      </c>
    </row>
    <row r="20252">
      <c r="A20252" s="39">
        <f>_xlfn.XLOOKUP(83500,Trip[shape_id],Trip[shape_id],"Não encontrado")</f>
        <v/>
      </c>
      <c r="B20252" s="40" t="n">
        <v>-23.453535</v>
      </c>
      <c r="C20252" s="40" t="n">
        <v>-46.671893</v>
      </c>
      <c r="D20252" s="40" t="n">
        <v>589</v>
      </c>
      <c r="E20252" s="41" t="n">
        <v>17675.68</v>
      </c>
    </row>
    <row r="20253">
      <c r="A20253" s="42">
        <f>_xlfn.XLOOKUP(83500,Trip[shape_id],Trip[shape_id],"Não encontrado")</f>
        <v/>
      </c>
      <c r="B20253" s="43" t="n">
        <v>-23.453547</v>
      </c>
      <c r="C20253" s="43" t="n">
        <v>-46.67197</v>
      </c>
      <c r="D20253" s="43" t="n">
        <v>590</v>
      </c>
      <c r="E20253" s="44" t="n">
        <v>17683.658</v>
      </c>
    </row>
    <row r="20254">
      <c r="A20254" s="39">
        <f>_xlfn.XLOOKUP(83500,Trip[shape_id],Trip[shape_id],"Não encontrado")</f>
        <v/>
      </c>
      <c r="B20254" s="40" t="n">
        <v>-23.45357</v>
      </c>
      <c r="C20254" s="40" t="n">
        <v>-46.672073</v>
      </c>
      <c r="D20254" s="40" t="n">
        <v>591</v>
      </c>
      <c r="E20254" s="41" t="n">
        <v>17694.486</v>
      </c>
    </row>
    <row r="20255">
      <c r="A20255" s="42">
        <f>_xlfn.XLOOKUP(83500,Trip[shape_id],Trip[shape_id],"Não encontrado")</f>
        <v/>
      </c>
      <c r="B20255" s="43" t="n">
        <v>-23.453612</v>
      </c>
      <c r="C20255" s="43" t="n">
        <v>-46.672292</v>
      </c>
      <c r="D20255" s="43" t="n">
        <v>592</v>
      </c>
      <c r="E20255" s="44" t="n">
        <v>17717.342</v>
      </c>
    </row>
    <row r="20256">
      <c r="A20256" s="39">
        <f>_xlfn.XLOOKUP(83500,Trip[shape_id],Trip[shape_id],"Não encontrado")</f>
        <v/>
      </c>
      <c r="B20256" s="40" t="n">
        <v>-23.453647</v>
      </c>
      <c r="C20256" s="40" t="n">
        <v>-46.672461</v>
      </c>
      <c r="D20256" s="40" t="n">
        <v>593</v>
      </c>
      <c r="E20256" s="41" t="n">
        <v>17735.039</v>
      </c>
    </row>
    <row r="20257">
      <c r="A20257" s="42">
        <f>_xlfn.XLOOKUP(83500,Trip[shape_id],Trip[shape_id],"Não encontrado")</f>
        <v/>
      </c>
      <c r="B20257" s="43" t="n">
        <v>-23.453704</v>
      </c>
      <c r="C20257" s="43" t="n">
        <v>-46.672722</v>
      </c>
      <c r="D20257" s="43" t="n">
        <v>594</v>
      </c>
      <c r="E20257" s="44" t="n">
        <v>17762.443</v>
      </c>
    </row>
    <row r="20258">
      <c r="A20258" s="39">
        <f>_xlfn.XLOOKUP(83500,Trip[shape_id],Trip[shape_id],"Não encontrado")</f>
        <v/>
      </c>
      <c r="B20258" s="40" t="n">
        <v>-23.453718</v>
      </c>
      <c r="C20258" s="40" t="n">
        <v>-46.672789</v>
      </c>
      <c r="D20258" s="40" t="n">
        <v>595</v>
      </c>
      <c r="E20258" s="41" t="n">
        <v>17769.463</v>
      </c>
    </row>
    <row r="20259">
      <c r="A20259" s="42">
        <f>_xlfn.XLOOKUP(83500,Trip[shape_id],Trip[shape_id],"Não encontrado")</f>
        <v/>
      </c>
      <c r="B20259" s="43" t="n">
        <v>-23.453755</v>
      </c>
      <c r="C20259" s="43" t="n">
        <v>-46.672868</v>
      </c>
      <c r="D20259" s="43" t="n">
        <v>596</v>
      </c>
      <c r="E20259" s="44" t="n">
        <v>17778.516</v>
      </c>
    </row>
    <row r="20260">
      <c r="A20260" s="39">
        <f>_xlfn.XLOOKUP(83500,Trip[shape_id],Trip[shape_id],"Não encontrado")</f>
        <v/>
      </c>
      <c r="B20260" s="40" t="n">
        <v>-23.453851</v>
      </c>
      <c r="C20260" s="40" t="n">
        <v>-46.673012</v>
      </c>
      <c r="D20260" s="40" t="n">
        <v>597</v>
      </c>
      <c r="E20260" s="41" t="n">
        <v>17796.668</v>
      </c>
    </row>
    <row r="20261">
      <c r="A20261" s="42">
        <f>_xlfn.XLOOKUP(83500,Trip[shape_id],Trip[shape_id],"Não encontrado")</f>
        <v/>
      </c>
      <c r="B20261" s="43" t="n">
        <v>-23.454117</v>
      </c>
      <c r="C20261" s="43" t="n">
        <v>-46.673281</v>
      </c>
      <c r="D20261" s="43" t="n">
        <v>598</v>
      </c>
      <c r="E20261" s="44" t="n">
        <v>17836.959</v>
      </c>
    </row>
    <row r="20262">
      <c r="A20262" s="39">
        <f>_xlfn.XLOOKUP(83500,Trip[shape_id],Trip[shape_id],"Não encontrado")</f>
        <v/>
      </c>
      <c r="B20262" s="40" t="n">
        <v>-23.454418</v>
      </c>
      <c r="C20262" s="40" t="n">
        <v>-46.673538</v>
      </c>
      <c r="D20262" s="40" t="n">
        <v>599</v>
      </c>
      <c r="E20262" s="41" t="n">
        <v>17879.395</v>
      </c>
    </row>
    <row r="20263">
      <c r="A20263" s="42">
        <f>_xlfn.XLOOKUP(83500,Trip[shape_id],Trip[shape_id],"Não encontrado")</f>
        <v/>
      </c>
      <c r="B20263" s="43" t="n">
        <v>-23.454481</v>
      </c>
      <c r="C20263" s="43" t="n">
        <v>-46.673575</v>
      </c>
      <c r="D20263" s="43" t="n">
        <v>600</v>
      </c>
      <c r="E20263" s="44" t="n">
        <v>17887.33</v>
      </c>
    </row>
    <row r="20264">
      <c r="A20264" s="39">
        <f>_xlfn.XLOOKUP(83500,Trip[shape_id],Trip[shape_id],"Não encontrado")</f>
        <v/>
      </c>
      <c r="B20264" s="40" t="n">
        <v>-23.454633</v>
      </c>
      <c r="C20264" s="40" t="n">
        <v>-46.673665</v>
      </c>
      <c r="D20264" s="40" t="n">
        <v>601</v>
      </c>
      <c r="E20264" s="41" t="n">
        <v>17906.512</v>
      </c>
    </row>
    <row r="20265">
      <c r="A20265" s="42">
        <f>_xlfn.XLOOKUP(83500,Trip[shape_id],Trip[shape_id],"Não encontrado")</f>
        <v/>
      </c>
      <c r="B20265" s="43" t="n">
        <v>-23.454874</v>
      </c>
      <c r="C20265" s="43" t="n">
        <v>-46.673786</v>
      </c>
      <c r="D20265" s="43" t="n">
        <v>602</v>
      </c>
      <c r="E20265" s="44" t="n">
        <v>17935.928</v>
      </c>
    </row>
    <row r="20266">
      <c r="A20266" s="39">
        <f>_xlfn.XLOOKUP(83500,Trip[shape_id],Trip[shape_id],"Não encontrado")</f>
        <v/>
      </c>
      <c r="B20266" s="40" t="n">
        <v>-23.455077</v>
      </c>
      <c r="C20266" s="40" t="n">
        <v>-46.67385</v>
      </c>
      <c r="D20266" s="40" t="n">
        <v>603</v>
      </c>
      <c r="E20266" s="41" t="n">
        <v>17959.342</v>
      </c>
    </row>
    <row r="20267">
      <c r="A20267" s="42">
        <f>_xlfn.XLOOKUP(83500,Trip[shape_id],Trip[shape_id],"Não encontrado")</f>
        <v/>
      </c>
      <c r="B20267" s="43" t="n">
        <v>-23.455265</v>
      </c>
      <c r="C20267" s="43" t="n">
        <v>-46.673895</v>
      </c>
      <c r="D20267" s="43" t="n">
        <v>604</v>
      </c>
      <c r="E20267" s="44" t="n">
        <v>17980.664</v>
      </c>
    </row>
    <row r="20268">
      <c r="A20268" s="39">
        <f>_xlfn.XLOOKUP(83500,Trip[shape_id],Trip[shape_id],"Não encontrado")</f>
        <v/>
      </c>
      <c r="B20268" s="40" t="n">
        <v>-23.45546</v>
      </c>
      <c r="C20268" s="40" t="n">
        <v>-46.673907</v>
      </c>
      <c r="D20268" s="40" t="n">
        <v>605</v>
      </c>
      <c r="E20268" s="41" t="n">
        <v>18002.295</v>
      </c>
    </row>
    <row r="20269">
      <c r="A20269" s="42">
        <f>_xlfn.XLOOKUP(83500,Trip[shape_id],Trip[shape_id],"Não encontrado")</f>
        <v/>
      </c>
      <c r="B20269" s="43" t="n">
        <v>-23.455579</v>
      </c>
      <c r="C20269" s="43" t="n">
        <v>-46.673905</v>
      </c>
      <c r="D20269" s="43" t="n">
        <v>606</v>
      </c>
      <c r="E20269" s="44" t="n">
        <v>18015.475</v>
      </c>
    </row>
    <row r="20270">
      <c r="A20270" s="39">
        <f>_xlfn.XLOOKUP(83500,Trip[shape_id],Trip[shape_id],"Não encontrado")</f>
        <v/>
      </c>
      <c r="B20270" s="40" t="n">
        <v>-23.455761</v>
      </c>
      <c r="C20270" s="40" t="n">
        <v>-46.67389</v>
      </c>
      <c r="D20270" s="40" t="n">
        <v>607</v>
      </c>
      <c r="E20270" s="41" t="n">
        <v>18035.689</v>
      </c>
    </row>
    <row r="20271">
      <c r="A20271" s="42">
        <f>_xlfn.XLOOKUP(83500,Trip[shape_id],Trip[shape_id],"Não encontrado")</f>
        <v/>
      </c>
      <c r="B20271" s="43" t="n">
        <v>-23.456329</v>
      </c>
      <c r="C20271" s="43" t="n">
        <v>-46.673803</v>
      </c>
      <c r="D20271" s="43" t="n">
        <v>608</v>
      </c>
      <c r="E20271" s="44" t="n">
        <v>18099.221</v>
      </c>
    </row>
    <row r="20272">
      <c r="A20272" s="39">
        <f>_xlfn.XLOOKUP(83500,Trip[shape_id],Trip[shape_id],"Não encontrado")</f>
        <v/>
      </c>
      <c r="B20272" s="40" t="n">
        <v>-23.456448</v>
      </c>
      <c r="C20272" s="40" t="n">
        <v>-46.673775</v>
      </c>
      <c r="D20272" s="40" t="n">
        <v>609</v>
      </c>
      <c r="E20272" s="41" t="n">
        <v>18112.707</v>
      </c>
    </row>
    <row r="20273">
      <c r="A20273" s="42">
        <f>_xlfn.XLOOKUP(83500,Trip[shape_id],Trip[shape_id],"Não encontrado")</f>
        <v/>
      </c>
      <c r="B20273" s="43" t="n">
        <v>-23.456561</v>
      </c>
      <c r="C20273" s="43" t="n">
        <v>-46.673742</v>
      </c>
      <c r="D20273" s="43" t="n">
        <v>610</v>
      </c>
      <c r="E20273" s="44" t="n">
        <v>18125.668</v>
      </c>
    </row>
    <row r="20274">
      <c r="A20274" s="39">
        <f>_xlfn.XLOOKUP(83500,Trip[shape_id],Trip[shape_id],"Não encontrado")</f>
        <v/>
      </c>
      <c r="B20274" s="40" t="n">
        <v>-23.456676</v>
      </c>
      <c r="C20274" s="40" t="n">
        <v>-46.673693</v>
      </c>
      <c r="D20274" s="40" t="n">
        <v>611</v>
      </c>
      <c r="E20274" s="41" t="n">
        <v>18139.354</v>
      </c>
    </row>
    <row r="20275">
      <c r="A20275" s="42">
        <f>_xlfn.XLOOKUP(83500,Trip[shape_id],Trip[shape_id],"Não encontrado")</f>
        <v/>
      </c>
      <c r="B20275" s="43" t="n">
        <v>-23.456793</v>
      </c>
      <c r="C20275" s="43" t="n">
        <v>-46.673614</v>
      </c>
      <c r="D20275" s="43" t="n">
        <v>612</v>
      </c>
      <c r="E20275" s="44" t="n">
        <v>18154.619</v>
      </c>
    </row>
    <row r="20276">
      <c r="A20276" s="39">
        <f>_xlfn.XLOOKUP(83500,Trip[shape_id],Trip[shape_id],"Não encontrado")</f>
        <v/>
      </c>
      <c r="B20276" s="40" t="n">
        <v>-23.456988</v>
      </c>
      <c r="C20276" s="40" t="n">
        <v>-46.673479</v>
      </c>
      <c r="D20276" s="40" t="n">
        <v>613</v>
      </c>
      <c r="E20276" s="41" t="n">
        <v>18180.244</v>
      </c>
    </row>
    <row r="20277">
      <c r="A20277" s="42">
        <f>_xlfn.XLOOKUP(83500,Trip[shape_id],Trip[shape_id],"Não encontrado")</f>
        <v/>
      </c>
      <c r="B20277" s="43" t="n">
        <v>-23.457128</v>
      </c>
      <c r="C20277" s="43" t="n">
        <v>-46.673374</v>
      </c>
      <c r="D20277" s="43" t="n">
        <v>614</v>
      </c>
      <c r="E20277" s="44" t="n">
        <v>18199.1</v>
      </c>
    </row>
    <row r="20278">
      <c r="A20278" s="39">
        <f>_xlfn.XLOOKUP(83500,Trip[shape_id],Trip[shape_id],"Não encontrado")</f>
        <v/>
      </c>
      <c r="B20278" s="40" t="n">
        <v>-23.457552</v>
      </c>
      <c r="C20278" s="40" t="n">
        <v>-46.673034</v>
      </c>
      <c r="D20278" s="40" t="n">
        <v>615</v>
      </c>
      <c r="E20278" s="41" t="n">
        <v>18257.512</v>
      </c>
    </row>
    <row r="20279">
      <c r="A20279" s="42">
        <f>_xlfn.XLOOKUP(83500,Trip[shape_id],Trip[shape_id],"Não encontrado")</f>
        <v/>
      </c>
      <c r="B20279" s="43" t="n">
        <v>-23.45761</v>
      </c>
      <c r="C20279" s="43" t="n">
        <v>-46.672991</v>
      </c>
      <c r="D20279" s="43" t="n">
        <v>616</v>
      </c>
      <c r="E20279" s="44" t="n">
        <v>18265.293</v>
      </c>
    </row>
    <row r="20280">
      <c r="A20280" s="39">
        <f>_xlfn.XLOOKUP(83500,Trip[shape_id],Trip[shape_id],"Não encontrado")</f>
        <v/>
      </c>
      <c r="B20280" s="40" t="n">
        <v>-23.457612</v>
      </c>
      <c r="C20280" s="40" t="n">
        <v>-46.672934</v>
      </c>
      <c r="D20280" s="40" t="n">
        <v>617</v>
      </c>
      <c r="E20280" s="41" t="n">
        <v>18271.121</v>
      </c>
    </row>
    <row r="20281">
      <c r="A20281" s="42">
        <f>_xlfn.XLOOKUP(83500,Trip[shape_id],Trip[shape_id],"Não encontrado")</f>
        <v/>
      </c>
      <c r="B20281" s="43" t="n">
        <v>-23.457685</v>
      </c>
      <c r="C20281" s="43" t="n">
        <v>-46.672937</v>
      </c>
      <c r="D20281" s="43" t="n">
        <v>618</v>
      </c>
      <c r="E20281" s="44" t="n">
        <v>18279.211</v>
      </c>
    </row>
    <row r="20282">
      <c r="A20282" s="39">
        <f>_xlfn.XLOOKUP(83500,Trip[shape_id],Trip[shape_id],"Não encontrado")</f>
        <v/>
      </c>
      <c r="B20282" s="40" t="n">
        <v>-23.457718</v>
      </c>
      <c r="C20282" s="40" t="n">
        <v>-46.672916</v>
      </c>
      <c r="D20282" s="40" t="n">
        <v>619</v>
      </c>
      <c r="E20282" s="41" t="n">
        <v>18283.447</v>
      </c>
    </row>
    <row r="20283">
      <c r="A20283" s="42">
        <f>_xlfn.XLOOKUP(83500,Trip[shape_id],Trip[shape_id],"Não encontrado")</f>
        <v/>
      </c>
      <c r="B20283" s="43" t="n">
        <v>-23.457836</v>
      </c>
      <c r="C20283" s="43" t="n">
        <v>-46.672816</v>
      </c>
      <c r="D20283" s="43" t="n">
        <v>620</v>
      </c>
      <c r="E20283" s="44" t="n">
        <v>18300.035</v>
      </c>
    </row>
    <row r="20284">
      <c r="A20284" s="39">
        <f>_xlfn.XLOOKUP(83500,Trip[shape_id],Trip[shape_id],"Não encontrado")</f>
        <v/>
      </c>
      <c r="B20284" s="40" t="n">
        <v>-23.45784</v>
      </c>
      <c r="C20284" s="40" t="n">
        <v>-46.672751</v>
      </c>
      <c r="D20284" s="40" t="n">
        <v>621</v>
      </c>
      <c r="E20284" s="41" t="n">
        <v>18306.691</v>
      </c>
    </row>
    <row r="20285">
      <c r="A20285" s="42">
        <f>_xlfn.XLOOKUP(83500,Trip[shape_id],Trip[shape_id],"Não encontrado")</f>
        <v/>
      </c>
      <c r="B20285" s="43" t="n">
        <v>-23.457857</v>
      </c>
      <c r="C20285" s="43" t="n">
        <v>-46.672698</v>
      </c>
      <c r="D20285" s="43" t="n">
        <v>622</v>
      </c>
      <c r="E20285" s="44" t="n">
        <v>18312.426</v>
      </c>
    </row>
    <row r="20286">
      <c r="A20286" s="39">
        <f>_xlfn.XLOOKUP(83500,Trip[shape_id],Trip[shape_id],"Não encontrado")</f>
        <v/>
      </c>
      <c r="B20286" s="40" t="n">
        <v>-23.4579</v>
      </c>
      <c r="C20286" s="40" t="n">
        <v>-46.672613</v>
      </c>
      <c r="D20286" s="40" t="n">
        <v>623</v>
      </c>
      <c r="E20286" s="41" t="n">
        <v>18322.33</v>
      </c>
    </row>
    <row r="20287">
      <c r="A20287" s="42">
        <f>_xlfn.XLOOKUP(83500,Trip[shape_id],Trip[shape_id],"Não encontrado")</f>
        <v/>
      </c>
      <c r="B20287" s="43" t="n">
        <v>-23.458025</v>
      </c>
      <c r="C20287" s="43" t="n">
        <v>-46.672347</v>
      </c>
      <c r="D20287" s="43" t="n">
        <v>624</v>
      </c>
      <c r="E20287" s="44" t="n">
        <v>18352.83</v>
      </c>
    </row>
    <row r="20288">
      <c r="A20288" s="39">
        <f>_xlfn.XLOOKUP(83500,Trip[shape_id],Trip[shape_id],"Não encontrado")</f>
        <v/>
      </c>
      <c r="B20288" s="40" t="n">
        <v>-23.458037</v>
      </c>
      <c r="C20288" s="40" t="n">
        <v>-46.672323</v>
      </c>
      <c r="D20288" s="40" t="n">
        <v>625</v>
      </c>
      <c r="E20288" s="41" t="n">
        <v>18355.619</v>
      </c>
    </row>
    <row r="20289">
      <c r="A20289" s="42">
        <f>_xlfn.XLOOKUP(83500,Trip[shape_id],Trip[shape_id],"Não encontrado")</f>
        <v/>
      </c>
      <c r="B20289" s="43" t="n">
        <v>-23.458047</v>
      </c>
      <c r="C20289" s="43" t="n">
        <v>-46.672286</v>
      </c>
      <c r="D20289" s="43" t="n">
        <v>626</v>
      </c>
      <c r="E20289" s="44" t="n">
        <v>18359.557</v>
      </c>
    </row>
    <row r="20290">
      <c r="A20290" s="39">
        <f>_xlfn.XLOOKUP(83500,Trip[shape_id],Trip[shape_id],"Não encontrado")</f>
        <v/>
      </c>
      <c r="B20290" s="40" t="n">
        <v>-23.458072</v>
      </c>
      <c r="C20290" s="40" t="n">
        <v>-46.672192</v>
      </c>
      <c r="D20290" s="40" t="n">
        <v>627</v>
      </c>
      <c r="E20290" s="41" t="n">
        <v>18369.553</v>
      </c>
    </row>
    <row r="20291">
      <c r="A20291" s="42">
        <f>_xlfn.XLOOKUP(83500,Trip[shape_id],Trip[shape_id],"Não encontrado")</f>
        <v/>
      </c>
      <c r="B20291" s="43" t="n">
        <v>-23.458075</v>
      </c>
      <c r="C20291" s="43" t="n">
        <v>-46.672182</v>
      </c>
      <c r="D20291" s="43" t="n">
        <v>628</v>
      </c>
      <c r="E20291" s="44" t="n">
        <v>18370.627</v>
      </c>
    </row>
    <row r="20292">
      <c r="A20292" s="39">
        <f>_xlfn.XLOOKUP(83500,Trip[shape_id],Trip[shape_id],"Não encontrado")</f>
        <v/>
      </c>
      <c r="B20292" s="40" t="n">
        <v>-23.45809</v>
      </c>
      <c r="C20292" s="40" t="n">
        <v>-46.672063</v>
      </c>
      <c r="D20292" s="40" t="n">
        <v>629</v>
      </c>
      <c r="E20292" s="41" t="n">
        <v>18382.898</v>
      </c>
    </row>
    <row r="20293">
      <c r="A20293" s="42">
        <f>_xlfn.XLOOKUP(83500,Trip[shape_id],Trip[shape_id],"Não encontrado")</f>
        <v/>
      </c>
      <c r="B20293" s="43" t="n">
        <v>-23.458096</v>
      </c>
      <c r="C20293" s="43" t="n">
        <v>-46.67194</v>
      </c>
      <c r="D20293" s="43" t="n">
        <v>630</v>
      </c>
      <c r="E20293" s="44" t="n">
        <v>18395.482</v>
      </c>
    </row>
    <row r="20294">
      <c r="A20294" s="39">
        <f>_xlfn.XLOOKUP(83500,Trip[shape_id],Trip[shape_id],"Não encontrado")</f>
        <v/>
      </c>
      <c r="B20294" s="40" t="n">
        <v>-23.458081</v>
      </c>
      <c r="C20294" s="40" t="n">
        <v>-46.671565</v>
      </c>
      <c r="D20294" s="40" t="n">
        <v>631</v>
      </c>
      <c r="E20294" s="41" t="n">
        <v>18433.834</v>
      </c>
    </row>
    <row r="20295">
      <c r="A20295" s="42">
        <f>_xlfn.XLOOKUP(83500,Trip[shape_id],Trip[shape_id],"Não encontrado")</f>
        <v/>
      </c>
      <c r="B20295" s="43" t="n">
        <v>-23.458074</v>
      </c>
      <c r="C20295" s="43" t="n">
        <v>-46.67149</v>
      </c>
      <c r="D20295" s="43" t="n">
        <v>632</v>
      </c>
      <c r="E20295" s="44" t="n">
        <v>18441.537</v>
      </c>
    </row>
    <row r="20296">
      <c r="A20296" s="39">
        <f>_xlfn.XLOOKUP(83500,Trip[shape_id],Trip[shape_id],"Não encontrado")</f>
        <v/>
      </c>
      <c r="B20296" s="40" t="n">
        <v>-23.458081</v>
      </c>
      <c r="C20296" s="40" t="n">
        <v>-46.671565</v>
      </c>
      <c r="D20296" s="40" t="n">
        <v>633</v>
      </c>
      <c r="E20296" s="41" t="n">
        <v>18449.24</v>
      </c>
    </row>
    <row r="20297">
      <c r="A20297" s="42">
        <f>_xlfn.XLOOKUP(83710,Trip[shape_id],Trip[shape_id],"Não encontrado")</f>
        <v/>
      </c>
      <c r="B20297" s="43" t="n">
        <v>-23.503144</v>
      </c>
      <c r="C20297" s="43" t="n">
        <v>-46.623714</v>
      </c>
      <c r="D20297" s="43" t="n">
        <v>1</v>
      </c>
      <c r="E20297" s="44" t="n">
        <v>10.32151</v>
      </c>
    </row>
    <row r="20298">
      <c r="A20298" s="39">
        <f>_xlfn.XLOOKUP(83710,Trip[shape_id],Trip[shape_id],"Não encontrado")</f>
        <v/>
      </c>
      <c r="B20298" s="40" t="n">
        <v>-23.503147</v>
      </c>
      <c r="C20298" s="40" t="n">
        <v>-46.623613</v>
      </c>
      <c r="D20298" s="40" t="n">
        <v>2</v>
      </c>
      <c r="E20298" s="41" t="n">
        <v>10.32151</v>
      </c>
    </row>
    <row r="20299">
      <c r="A20299" s="42">
        <f>_xlfn.XLOOKUP(83710,Trip[shape_id],Trip[shape_id],"Não encontrado")</f>
        <v/>
      </c>
      <c r="B20299" s="43" t="n">
        <v>-23.503344</v>
      </c>
      <c r="C20299" s="43" t="n">
        <v>-46.623621</v>
      </c>
      <c r="D20299" s="43" t="n">
        <v>3</v>
      </c>
      <c r="E20299" s="44" t="n">
        <v>32.1549</v>
      </c>
    </row>
    <row r="20300">
      <c r="A20300" s="39">
        <f>_xlfn.XLOOKUP(83710,Trip[shape_id],Trip[shape_id],"Não encontrado")</f>
        <v/>
      </c>
      <c r="B20300" s="40" t="n">
        <v>-23.503359</v>
      </c>
      <c r="C20300" s="40" t="n">
        <v>-46.623621</v>
      </c>
      <c r="D20300" s="40" t="n">
        <v>4</v>
      </c>
      <c r="E20300" s="41" t="n">
        <v>33.818165</v>
      </c>
    </row>
    <row r="20301">
      <c r="A20301" s="42">
        <f>_xlfn.XLOOKUP(83710,Trip[shape_id],Trip[shape_id],"Não encontrado")</f>
        <v/>
      </c>
      <c r="B20301" s="43" t="n">
        <v>-23.50341</v>
      </c>
      <c r="C20301" s="43" t="n">
        <v>-46.623625</v>
      </c>
      <c r="D20301" s="43" t="n">
        <v>5</v>
      </c>
      <c r="E20301" s="44" t="n">
        <v>39.480911</v>
      </c>
    </row>
    <row r="20302">
      <c r="A20302" s="39">
        <f>_xlfn.XLOOKUP(83710,Trip[shape_id],Trip[shape_id],"Não encontrado")</f>
        <v/>
      </c>
      <c r="B20302" s="40" t="n">
        <v>-23.503479</v>
      </c>
      <c r="C20302" s="40" t="n">
        <v>-46.623626</v>
      </c>
      <c r="D20302" s="40" t="n">
        <v>6</v>
      </c>
      <c r="E20302" s="41" t="n">
        <v>47.122971</v>
      </c>
    </row>
    <row r="20303">
      <c r="A20303" s="42">
        <f>_xlfn.XLOOKUP(83710,Trip[shape_id],Trip[shape_id],"Não encontrado")</f>
        <v/>
      </c>
      <c r="B20303" s="43" t="n">
        <v>-23.503604</v>
      </c>
      <c r="C20303" s="43" t="n">
        <v>-46.623631</v>
      </c>
      <c r="D20303" s="43" t="n">
        <v>7</v>
      </c>
      <c r="E20303" s="44" t="n">
        <v>60.976166</v>
      </c>
    </row>
    <row r="20304">
      <c r="A20304" s="39">
        <f>_xlfn.XLOOKUP(83710,Trip[shape_id],Trip[shape_id],"Não encontrado")</f>
        <v/>
      </c>
      <c r="B20304" s="40" t="n">
        <v>-23.504208</v>
      </c>
      <c r="C20304" s="40" t="n">
        <v>-46.623653</v>
      </c>
      <c r="D20304" s="40" t="n">
        <v>8</v>
      </c>
      <c r="E20304" s="41" t="n">
        <v>127.90752</v>
      </c>
    </row>
    <row r="20305">
      <c r="A20305" s="42">
        <f>_xlfn.XLOOKUP(83710,Trip[shape_id],Trip[shape_id],"Não encontrado")</f>
        <v/>
      </c>
      <c r="B20305" s="43" t="n">
        <v>-23.505288</v>
      </c>
      <c r="C20305" s="43" t="n">
        <v>-46.623678</v>
      </c>
      <c r="D20305" s="43" t="n">
        <v>9</v>
      </c>
      <c r="E20305" s="44" t="n">
        <v>247.54594</v>
      </c>
    </row>
    <row r="20306">
      <c r="A20306" s="39">
        <f>_xlfn.XLOOKUP(83710,Trip[shape_id],Trip[shape_id],"Não encontrado")</f>
        <v/>
      </c>
      <c r="B20306" s="40" t="n">
        <v>-23.505521</v>
      </c>
      <c r="C20306" s="40" t="n">
        <v>-46.62369</v>
      </c>
      <c r="D20306" s="40" t="n">
        <v>10</v>
      </c>
      <c r="E20306" s="41" t="n">
        <v>273.38019</v>
      </c>
    </row>
    <row r="20307">
      <c r="A20307" s="42">
        <f>_xlfn.XLOOKUP(83710,Trip[shape_id],Trip[shape_id],"Não encontrado")</f>
        <v/>
      </c>
      <c r="B20307" s="43" t="n">
        <v>-23.505876</v>
      </c>
      <c r="C20307" s="43" t="n">
        <v>-46.623698</v>
      </c>
      <c r="D20307" s="43" t="n">
        <v>11</v>
      </c>
      <c r="E20307" s="44" t="n">
        <v>312.70538</v>
      </c>
    </row>
    <row r="20308">
      <c r="A20308" s="39">
        <f>_xlfn.XLOOKUP(83710,Trip[shape_id],Trip[shape_id],"Não encontrado")</f>
        <v/>
      </c>
      <c r="B20308" s="40" t="n">
        <v>-23.506045</v>
      </c>
      <c r="C20308" s="40" t="n">
        <v>-46.623736</v>
      </c>
      <c r="D20308" s="40" t="n">
        <v>12</v>
      </c>
      <c r="E20308" s="41" t="n">
        <v>331.82037</v>
      </c>
    </row>
    <row r="20309">
      <c r="A20309" s="42">
        <f>_xlfn.XLOOKUP(83710,Trip[shape_id],Trip[shape_id],"Não encontrado")</f>
        <v/>
      </c>
      <c r="B20309" s="43" t="n">
        <v>-23.506151</v>
      </c>
      <c r="C20309" s="43" t="n">
        <v>-46.623732</v>
      </c>
      <c r="D20309" s="43" t="n">
        <v>13</v>
      </c>
      <c r="E20309" s="44" t="n">
        <v>343.56699</v>
      </c>
    </row>
    <row r="20310">
      <c r="A20310" s="39">
        <f>_xlfn.XLOOKUP(83710,Trip[shape_id],Trip[shape_id],"Não encontrado")</f>
        <v/>
      </c>
      <c r="B20310" s="40" t="n">
        <v>-23.50621</v>
      </c>
      <c r="C20310" s="40" t="n">
        <v>-46.623708</v>
      </c>
      <c r="D20310" s="40" t="n">
        <v>14</v>
      </c>
      <c r="E20310" s="41" t="n">
        <v>350.54541</v>
      </c>
    </row>
    <row r="20311">
      <c r="A20311" s="42">
        <f>_xlfn.XLOOKUP(83710,Trip[shape_id],Trip[shape_id],"Não encontrado")</f>
        <v/>
      </c>
      <c r="B20311" s="43" t="n">
        <v>-23.506292</v>
      </c>
      <c r="C20311" s="43" t="n">
        <v>-46.623657</v>
      </c>
      <c r="D20311" s="43" t="n">
        <v>15</v>
      </c>
      <c r="E20311" s="44" t="n">
        <v>361.01477</v>
      </c>
    </row>
    <row r="20312">
      <c r="A20312" s="39">
        <f>_xlfn.XLOOKUP(83710,Trip[shape_id],Trip[shape_id],"Não encontrado")</f>
        <v/>
      </c>
      <c r="B20312" s="40" t="n">
        <v>-23.506365</v>
      </c>
      <c r="C20312" s="40" t="n">
        <v>-46.623664</v>
      </c>
      <c r="D20312" s="40" t="n">
        <v>16</v>
      </c>
      <c r="E20312" s="41" t="n">
        <v>369.13123</v>
      </c>
    </row>
    <row r="20313">
      <c r="A20313" s="42">
        <f>_xlfn.XLOOKUP(83710,Trip[shape_id],Trip[shape_id],"Não encontrado")</f>
        <v/>
      </c>
      <c r="B20313" s="43" t="n">
        <v>-23.50632</v>
      </c>
      <c r="C20313" s="43" t="n">
        <v>-46.623722</v>
      </c>
      <c r="D20313" s="43" t="n">
        <v>17</v>
      </c>
      <c r="E20313" s="44" t="n">
        <v>376.87256</v>
      </c>
    </row>
    <row r="20314">
      <c r="A20314" s="39">
        <f>_xlfn.XLOOKUP(83710,Trip[shape_id],Trip[shape_id],"Não encontrado")</f>
        <v/>
      </c>
      <c r="B20314" s="40" t="n">
        <v>-23.506303</v>
      </c>
      <c r="C20314" s="40" t="n">
        <v>-46.623773</v>
      </c>
      <c r="D20314" s="40" t="n">
        <v>18</v>
      </c>
      <c r="E20314" s="41" t="n">
        <v>382.41095</v>
      </c>
    </row>
    <row r="20315">
      <c r="A20315" s="42">
        <f>_xlfn.XLOOKUP(83710,Trip[shape_id],Trip[shape_id],"Não encontrado")</f>
        <v/>
      </c>
      <c r="B20315" s="43" t="n">
        <v>-23.506299</v>
      </c>
      <c r="C20315" s="43" t="n">
        <v>-46.623864</v>
      </c>
      <c r="D20315" s="43" t="n">
        <v>19</v>
      </c>
      <c r="E20315" s="44" t="n">
        <v>391.71625</v>
      </c>
    </row>
    <row r="20316">
      <c r="A20316" s="39">
        <f>_xlfn.XLOOKUP(83710,Trip[shape_id],Trip[shape_id],"Não encontrado")</f>
        <v/>
      </c>
      <c r="B20316" s="40" t="n">
        <v>-23.506312</v>
      </c>
      <c r="C20316" s="40" t="n">
        <v>-46.624749</v>
      </c>
      <c r="D20316" s="40" t="n">
        <v>20</v>
      </c>
      <c r="E20316" s="41" t="n">
        <v>482.11823</v>
      </c>
    </row>
    <row r="20317">
      <c r="A20317" s="42">
        <f>_xlfn.XLOOKUP(83710,Trip[shape_id],Trip[shape_id],"Não encontrado")</f>
        <v/>
      </c>
      <c r="B20317" s="43" t="n">
        <v>-23.506322</v>
      </c>
      <c r="C20317" s="43" t="n">
        <v>-46.624993</v>
      </c>
      <c r="D20317" s="43" t="n">
        <v>21</v>
      </c>
      <c r="E20317" s="44" t="n">
        <v>507.06393</v>
      </c>
    </row>
    <row r="20318">
      <c r="A20318" s="39">
        <f>_xlfn.XLOOKUP(83710,Trip[shape_id],Trip[shape_id],"Não encontrado")</f>
        <v/>
      </c>
      <c r="B20318" s="40" t="n">
        <v>-23.507301</v>
      </c>
      <c r="C20318" s="40" t="n">
        <v>-46.625008</v>
      </c>
      <c r="D20318" s="40" t="n">
        <v>22</v>
      </c>
      <c r="E20318" s="41" t="n">
        <v>615.50018</v>
      </c>
    </row>
    <row r="20319">
      <c r="A20319" s="42">
        <f>_xlfn.XLOOKUP(83710,Trip[shape_id],Trip[shape_id],"Não encontrado")</f>
        <v/>
      </c>
      <c r="B20319" s="43" t="n">
        <v>-23.50738</v>
      </c>
      <c r="C20319" s="43" t="n">
        <v>-46.625012</v>
      </c>
      <c r="D20319" s="43" t="n">
        <v>23</v>
      </c>
      <c r="E20319" s="44" t="n">
        <v>624.25946</v>
      </c>
    </row>
    <row r="20320">
      <c r="A20320" s="39">
        <f>_xlfn.XLOOKUP(83710,Trip[shape_id],Trip[shape_id],"Não encontrado")</f>
        <v/>
      </c>
      <c r="B20320" s="40" t="n">
        <v>-23.509944</v>
      </c>
      <c r="C20320" s="40" t="n">
        <v>-46.625086</v>
      </c>
      <c r="D20320" s="40" t="n">
        <v>24</v>
      </c>
      <c r="E20320" s="41" t="n">
        <v>908.32605</v>
      </c>
    </row>
    <row r="20321">
      <c r="A20321" s="42">
        <f>_xlfn.XLOOKUP(83710,Trip[shape_id],Trip[shape_id],"Não encontrado")</f>
        <v/>
      </c>
      <c r="B20321" s="43" t="n">
        <v>-23.51067</v>
      </c>
      <c r="C20321" s="43" t="n">
        <v>-46.625111</v>
      </c>
      <c r="D20321" s="43" t="n">
        <v>25</v>
      </c>
      <c r="E20321" s="44" t="n">
        <v>988.77197</v>
      </c>
    </row>
    <row r="20322">
      <c r="A20322" s="39">
        <f>_xlfn.XLOOKUP(83710,Trip[shape_id],Trip[shape_id],"Não encontrado")</f>
        <v/>
      </c>
      <c r="B20322" s="40" t="n">
        <v>-23.511414</v>
      </c>
      <c r="C20322" s="40" t="n">
        <v>-46.625126</v>
      </c>
      <c r="D20322" s="40" t="n">
        <v>26</v>
      </c>
      <c r="E20322" s="41" t="n">
        <v>1071.1851</v>
      </c>
    </row>
    <row r="20323">
      <c r="A20323" s="42">
        <f>_xlfn.XLOOKUP(83710,Trip[shape_id],Trip[shape_id],"Não encontrado")</f>
        <v/>
      </c>
      <c r="B20323" s="43" t="n">
        <v>-23.511568</v>
      </c>
      <c r="C20323" s="43" t="n">
        <v>-46.625126</v>
      </c>
      <c r="D20323" s="43" t="n">
        <v>27</v>
      </c>
      <c r="E20323" s="44" t="n">
        <v>1088.2406</v>
      </c>
    </row>
    <row r="20324">
      <c r="A20324" s="39">
        <f>_xlfn.XLOOKUP(83710,Trip[shape_id],Trip[shape_id],"Não encontrado")</f>
        <v/>
      </c>
      <c r="B20324" s="40" t="n">
        <v>-23.511795</v>
      </c>
      <c r="C20324" s="40" t="n">
        <v>-46.625133</v>
      </c>
      <c r="D20324" s="40" t="n">
        <v>28</v>
      </c>
      <c r="E20324" s="41" t="n">
        <v>1113.3912</v>
      </c>
    </row>
    <row r="20325">
      <c r="A20325" s="42">
        <f>_xlfn.XLOOKUP(83710,Trip[shape_id],Trip[shape_id],"Não encontrado")</f>
        <v/>
      </c>
      <c r="B20325" s="43" t="n">
        <v>-23.512395</v>
      </c>
      <c r="C20325" s="43" t="n">
        <v>-46.625154</v>
      </c>
      <c r="D20325" s="43" t="n">
        <v>29</v>
      </c>
      <c r="E20325" s="44" t="n">
        <v>1179.8766</v>
      </c>
    </row>
    <row r="20326">
      <c r="A20326" s="39">
        <f>_xlfn.XLOOKUP(83710,Trip[shape_id],Trip[shape_id],"Não encontrado")</f>
        <v/>
      </c>
      <c r="B20326" s="40" t="n">
        <v>-23.512635</v>
      </c>
      <c r="C20326" s="40" t="n">
        <v>-46.625161</v>
      </c>
      <c r="D20326" s="40" t="n">
        <v>30</v>
      </c>
      <c r="E20326" s="41" t="n">
        <v>1206.4667</v>
      </c>
    </row>
    <row r="20327">
      <c r="A20327" s="42">
        <f>_xlfn.XLOOKUP(83710,Trip[shape_id],Trip[shape_id],"Não encontrado")</f>
        <v/>
      </c>
      <c r="B20327" s="43" t="n">
        <v>-23.513098</v>
      </c>
      <c r="C20327" s="43" t="n">
        <v>-46.625179</v>
      </c>
      <c r="D20327" s="43" t="n">
        <v>31</v>
      </c>
      <c r="E20327" s="44" t="n">
        <v>1257.7775</v>
      </c>
    </row>
    <row r="20328">
      <c r="A20328" s="39">
        <f>_xlfn.XLOOKUP(83710,Trip[shape_id],Trip[shape_id],"Não encontrado")</f>
        <v/>
      </c>
      <c r="B20328" s="40" t="n">
        <v>-23.513494</v>
      </c>
      <c r="C20328" s="40" t="n">
        <v>-46.62519</v>
      </c>
      <c r="D20328" s="40" t="n">
        <v>32</v>
      </c>
      <c r="E20328" s="41" t="n">
        <v>1301.6494</v>
      </c>
    </row>
    <row r="20329">
      <c r="A20329" s="42">
        <f>_xlfn.XLOOKUP(83710,Trip[shape_id],Trip[shape_id],"Não encontrado")</f>
        <v/>
      </c>
      <c r="B20329" s="43" t="n">
        <v>-23.514433</v>
      </c>
      <c r="C20329" s="43" t="n">
        <v>-46.625217</v>
      </c>
      <c r="D20329" s="43" t="n">
        <v>33</v>
      </c>
      <c r="E20329" s="44" t="n">
        <v>1405.6814</v>
      </c>
    </row>
    <row r="20330">
      <c r="A20330" s="39">
        <f>_xlfn.XLOOKUP(83710,Trip[shape_id],Trip[shape_id],"Não encontrado")</f>
        <v/>
      </c>
      <c r="B20330" s="40" t="n">
        <v>-23.515344</v>
      </c>
      <c r="C20330" s="40" t="n">
        <v>-46.625245</v>
      </c>
      <c r="D20330" s="40" t="n">
        <v>34</v>
      </c>
      <c r="E20330" s="41" t="n">
        <v>1506.6163</v>
      </c>
    </row>
    <row r="20331">
      <c r="A20331" s="42">
        <f>_xlfn.XLOOKUP(83710,Trip[shape_id],Trip[shape_id],"Não encontrado")</f>
        <v/>
      </c>
      <c r="B20331" s="43" t="n">
        <v>-23.515573</v>
      </c>
      <c r="C20331" s="43" t="n">
        <v>-46.625254</v>
      </c>
      <c r="D20331" s="43" t="n">
        <v>35</v>
      </c>
      <c r="E20331" s="44" t="n">
        <v>1531.9949</v>
      </c>
    </row>
    <row r="20332">
      <c r="A20332" s="39">
        <f>_xlfn.XLOOKUP(83710,Trip[shape_id],Trip[shape_id],"Não encontrado")</f>
        <v/>
      </c>
      <c r="B20332" s="40" t="n">
        <v>-23.516066</v>
      </c>
      <c r="C20332" s="40" t="n">
        <v>-46.625252</v>
      </c>
      <c r="D20332" s="40" t="n">
        <v>36</v>
      </c>
      <c r="E20332" s="41" t="n">
        <v>1586.5956</v>
      </c>
    </row>
    <row r="20333">
      <c r="A20333" s="42">
        <f>_xlfn.XLOOKUP(83710,Trip[shape_id],Trip[shape_id],"Não encontrado")</f>
        <v/>
      </c>
      <c r="B20333" s="43" t="n">
        <v>-23.516102</v>
      </c>
      <c r="C20333" s="43" t="n">
        <v>-46.625252</v>
      </c>
      <c r="D20333" s="43" t="n">
        <v>37</v>
      </c>
      <c r="E20333" s="44" t="n">
        <v>1590.5829</v>
      </c>
    </row>
    <row r="20334">
      <c r="A20334" s="39">
        <f>_xlfn.XLOOKUP(83710,Trip[shape_id],Trip[shape_id],"Não encontrado")</f>
        <v/>
      </c>
      <c r="B20334" s="40" t="n">
        <v>-23.516556</v>
      </c>
      <c r="C20334" s="40" t="n">
        <v>-46.625265</v>
      </c>
      <c r="D20334" s="40" t="n">
        <v>38</v>
      </c>
      <c r="E20334" s="41" t="n">
        <v>1640.8816</v>
      </c>
    </row>
    <row r="20335">
      <c r="A20335" s="42">
        <f>_xlfn.XLOOKUP(83710,Trip[shape_id],Trip[shape_id],"Não encontrado")</f>
        <v/>
      </c>
      <c r="B20335" s="43" t="n">
        <v>-23.516817</v>
      </c>
      <c r="C20335" s="43" t="n">
        <v>-46.625273</v>
      </c>
      <c r="D20335" s="43" t="n">
        <v>39</v>
      </c>
      <c r="E20335" s="44" t="n">
        <v>1669.7992</v>
      </c>
    </row>
    <row r="20336">
      <c r="A20336" s="39">
        <f>_xlfn.XLOOKUP(83710,Trip[shape_id],Trip[shape_id],"Não encontrado")</f>
        <v/>
      </c>
      <c r="B20336" s="40" t="n">
        <v>-23.516944</v>
      </c>
      <c r="C20336" s="40" t="n">
        <v>-46.625366</v>
      </c>
      <c r="D20336" s="40" t="n">
        <v>40</v>
      </c>
      <c r="E20336" s="41" t="n">
        <v>1701.9626</v>
      </c>
    </row>
    <row r="20337">
      <c r="A20337" s="42">
        <f>_xlfn.XLOOKUP(83710,Trip[shape_id],Trip[shape_id],"Não encontrado")</f>
        <v/>
      </c>
      <c r="B20337" s="43" t="n">
        <v>-23.517066</v>
      </c>
      <c r="C20337" s="43" t="n">
        <v>-46.625434</v>
      </c>
      <c r="D20337" s="43" t="n">
        <v>41</v>
      </c>
      <c r="E20337" s="44" t="n">
        <v>1726.246</v>
      </c>
    </row>
    <row r="20338">
      <c r="A20338" s="39">
        <f>_xlfn.XLOOKUP(83710,Trip[shape_id],Trip[shape_id],"Não encontrado")</f>
        <v/>
      </c>
      <c r="B20338" s="40" t="n">
        <v>-23.517267</v>
      </c>
      <c r="C20338" s="40" t="n">
        <v>-46.625529</v>
      </c>
      <c r="D20338" s="40" t="n">
        <v>42</v>
      </c>
      <c r="E20338" s="41" t="n">
        <v>1751.1882</v>
      </c>
    </row>
    <row r="20339">
      <c r="A20339" s="42">
        <f>_xlfn.XLOOKUP(83710,Trip[shape_id],Trip[shape_id],"Não encontrado")</f>
        <v/>
      </c>
      <c r="B20339" s="43" t="n">
        <v>-23.517488</v>
      </c>
      <c r="C20339" s="43" t="n">
        <v>-46.625576</v>
      </c>
      <c r="D20339" s="43" t="n">
        <v>43</v>
      </c>
      <c r="E20339" s="44" t="n">
        <v>1790.9067</v>
      </c>
    </row>
    <row r="20340">
      <c r="A20340" s="39">
        <f>_xlfn.XLOOKUP(83710,Trip[shape_id],Trip[shape_id],"Não encontrado")</f>
        <v/>
      </c>
      <c r="B20340" s="40" t="n">
        <v>-23.517845</v>
      </c>
      <c r="C20340" s="40" t="n">
        <v>-46.625613</v>
      </c>
      <c r="D20340" s="40" t="n">
        <v>44</v>
      </c>
      <c r="E20340" s="41" t="n">
        <v>1803.0292</v>
      </c>
    </row>
    <row r="20341">
      <c r="A20341" s="42">
        <f>_xlfn.XLOOKUP(83710,Trip[shape_id],Trip[shape_id],"Não encontrado")</f>
        <v/>
      </c>
      <c r="B20341" s="43" t="n">
        <v>-23.517949</v>
      </c>
      <c r="C20341" s="43" t="n">
        <v>-46.62565</v>
      </c>
      <c r="D20341" s="43" t="n">
        <v>45</v>
      </c>
      <c r="E20341" s="44" t="n">
        <v>1815.5718</v>
      </c>
    </row>
    <row r="20342">
      <c r="A20342" s="39">
        <f>_xlfn.XLOOKUP(83710,Trip[shape_id],Trip[shape_id],"Não encontrado")</f>
        <v/>
      </c>
      <c r="B20342" s="40" t="n">
        <v>-23.518028</v>
      </c>
      <c r="C20342" s="40" t="n">
        <v>-46.625738</v>
      </c>
      <c r="D20342" s="40" t="n">
        <v>46</v>
      </c>
      <c r="E20342" s="41" t="n">
        <v>1825.1942</v>
      </c>
    </row>
    <row r="20343">
      <c r="A20343" s="42">
        <f>_xlfn.XLOOKUP(83710,Trip[shape_id],Trip[shape_id],"Não encontrado")</f>
        <v/>
      </c>
      <c r="B20343" s="43" t="n">
        <v>-23.51809</v>
      </c>
      <c r="C20343" s="43" t="n">
        <v>-46.625804</v>
      </c>
      <c r="D20343" s="43" t="n">
        <v>47</v>
      </c>
      <c r="E20343" s="44" t="n">
        <v>1836.3834</v>
      </c>
    </row>
    <row r="20344">
      <c r="A20344" s="39">
        <f>_xlfn.XLOOKUP(83710,Trip[shape_id],Trip[shape_id],"Não encontrado")</f>
        <v/>
      </c>
      <c r="B20344" s="40" t="n">
        <v>-23.51816</v>
      </c>
      <c r="C20344" s="40" t="n">
        <v>-46.625883</v>
      </c>
      <c r="D20344" s="40" t="n">
        <v>48</v>
      </c>
      <c r="E20344" s="41" t="n">
        <v>1857.8126</v>
      </c>
    </row>
    <row r="20345">
      <c r="A20345" s="42">
        <f>_xlfn.XLOOKUP(83710,Trip[shape_id],Trip[shape_id],"Não encontrado")</f>
        <v/>
      </c>
      <c r="B20345" s="43" t="n">
        <v>-23.518253</v>
      </c>
      <c r="C20345" s="43" t="n">
        <v>-46.626067</v>
      </c>
      <c r="D20345" s="43" t="n">
        <v>49</v>
      </c>
      <c r="E20345" s="44" t="n">
        <v>1903.3015</v>
      </c>
    </row>
    <row r="20346">
      <c r="A20346" s="39">
        <f>_xlfn.XLOOKUP(83710,Trip[shape_id],Trip[shape_id],"Não encontrado")</f>
        <v/>
      </c>
      <c r="B20346" s="40" t="n">
        <v>-23.518337</v>
      </c>
      <c r="C20346" s="40" t="n">
        <v>-46.626503</v>
      </c>
      <c r="D20346" s="40" t="n">
        <v>50</v>
      </c>
      <c r="E20346" s="41" t="n">
        <v>1903.3015</v>
      </c>
    </row>
    <row r="20347">
      <c r="A20347" s="42">
        <f>_xlfn.XLOOKUP(83710,Trip[shape_id],Trip[shape_id],"Não encontrado")</f>
        <v/>
      </c>
      <c r="B20347" s="43" t="n">
        <v>-23.518342</v>
      </c>
      <c r="C20347" s="43" t="n">
        <v>-46.626786</v>
      </c>
      <c r="D20347" s="43" t="n">
        <v>51</v>
      </c>
      <c r="E20347" s="44" t="n">
        <v>1932.2089</v>
      </c>
    </row>
    <row r="20348">
      <c r="A20348" s="39">
        <f>_xlfn.XLOOKUP(83710,Trip[shape_id],Trip[shape_id],"Não encontrado")</f>
        <v/>
      </c>
      <c r="B20348" s="40" t="n">
        <v>-23.51835</v>
      </c>
      <c r="C20348" s="40" t="n">
        <v>-46.626915</v>
      </c>
      <c r="D20348" s="40" t="n">
        <v>52</v>
      </c>
      <c r="E20348" s="41" t="n">
        <v>1945.413</v>
      </c>
    </row>
    <row r="20349">
      <c r="A20349" s="42">
        <f>_xlfn.XLOOKUP(83710,Trip[shape_id],Trip[shape_id],"Não encontrado")</f>
        <v/>
      </c>
      <c r="B20349" s="43" t="n">
        <v>-23.518347</v>
      </c>
      <c r="C20349" s="43" t="n">
        <v>-46.627089</v>
      </c>
      <c r="D20349" s="43" t="n">
        <v>53</v>
      </c>
      <c r="E20349" s="44" t="n">
        <v>1963.186</v>
      </c>
    </row>
    <row r="20350">
      <c r="A20350" s="39">
        <f>_xlfn.XLOOKUP(83710,Trip[shape_id],Trip[shape_id],"Não encontrado")</f>
        <v/>
      </c>
      <c r="B20350" s="40" t="n">
        <v>-23.518324</v>
      </c>
      <c r="C20350" s="40" t="n">
        <v>-46.627943</v>
      </c>
      <c r="D20350" s="40" t="n">
        <v>54</v>
      </c>
      <c r="E20350" s="41" t="n">
        <v>2050.4397</v>
      </c>
    </row>
    <row r="20351">
      <c r="A20351" s="42">
        <f>_xlfn.XLOOKUP(83710,Trip[shape_id],Trip[shape_id],"Não encontrado")</f>
        <v/>
      </c>
      <c r="B20351" s="43" t="n">
        <v>-23.518308</v>
      </c>
      <c r="C20351" s="43" t="n">
        <v>-46.628409</v>
      </c>
      <c r="D20351" s="43" t="n">
        <v>55</v>
      </c>
      <c r="E20351" s="44" t="n">
        <v>2098.0637</v>
      </c>
    </row>
    <row r="20352">
      <c r="A20352" s="39">
        <f>_xlfn.XLOOKUP(83710,Trip[shape_id],Trip[shape_id],"Não encontrado")</f>
        <v/>
      </c>
      <c r="B20352" s="40" t="n">
        <v>-23.518246</v>
      </c>
      <c r="C20352" s="40" t="n">
        <v>-46.628885</v>
      </c>
      <c r="D20352" s="40" t="n">
        <v>56</v>
      </c>
      <c r="E20352" s="41" t="n">
        <v>2147.1587</v>
      </c>
    </row>
    <row r="20353">
      <c r="A20353" s="42">
        <f>_xlfn.XLOOKUP(83710,Trip[shape_id],Trip[shape_id],"Não encontrado")</f>
        <v/>
      </c>
      <c r="B20353" s="43" t="n">
        <v>-23.51821</v>
      </c>
      <c r="C20353" s="43" t="n">
        <v>-46.629134</v>
      </c>
      <c r="D20353" s="43" t="n">
        <v>57</v>
      </c>
      <c r="E20353" s="44" t="n">
        <v>2172.8989</v>
      </c>
    </row>
    <row r="20354">
      <c r="A20354" s="39">
        <f>_xlfn.XLOOKUP(83710,Trip[shape_id],Trip[shape_id],"Não encontrado")</f>
        <v/>
      </c>
      <c r="B20354" s="40" t="n">
        <v>-23.518164</v>
      </c>
      <c r="C20354" s="40" t="n">
        <v>-46.629527</v>
      </c>
      <c r="D20354" s="40" t="n">
        <v>58</v>
      </c>
      <c r="E20354" s="41" t="n">
        <v>2213.3569</v>
      </c>
    </row>
    <row r="20355">
      <c r="A20355" s="42">
        <f>_xlfn.XLOOKUP(83710,Trip[shape_id],Trip[shape_id],"Não encontrado")</f>
        <v/>
      </c>
      <c r="B20355" s="43" t="n">
        <v>-23.518141</v>
      </c>
      <c r="C20355" s="43" t="n">
        <v>-46.629806</v>
      </c>
      <c r="D20355" s="43" t="n">
        <v>59</v>
      </c>
      <c r="E20355" s="44" t="n">
        <v>2241.9639</v>
      </c>
    </row>
    <row r="20356">
      <c r="A20356" s="39">
        <f>_xlfn.XLOOKUP(83710,Trip[shape_id],Trip[shape_id],"Não encontrado")</f>
        <v/>
      </c>
      <c r="B20356" s="40" t="n">
        <v>-23.518128</v>
      </c>
      <c r="C20356" s="40" t="n">
        <v>-46.629999</v>
      </c>
      <c r="D20356" s="40" t="n">
        <v>60</v>
      </c>
      <c r="E20356" s="41" t="n">
        <v>2282.9414</v>
      </c>
    </row>
    <row r="20357">
      <c r="A20357" s="42">
        <f>_xlfn.XLOOKUP(83710,Trip[shape_id],Trip[shape_id],"Não encontrado")</f>
        <v/>
      </c>
      <c r="B20357" s="43" t="n">
        <v>-23.518112</v>
      </c>
      <c r="C20357" s="43" t="n">
        <v>-46.630206</v>
      </c>
      <c r="D20357" s="43" t="n">
        <v>61</v>
      </c>
      <c r="E20357" s="44" t="n">
        <v>2282.9414</v>
      </c>
    </row>
    <row r="20358">
      <c r="A20358" s="39">
        <f>_xlfn.XLOOKUP(83710,Trip[shape_id],Trip[shape_id],"Não encontrado")</f>
        <v/>
      </c>
      <c r="B20358" s="40" t="n">
        <v>-23.518065</v>
      </c>
      <c r="C20358" s="40" t="n">
        <v>-46.630514</v>
      </c>
      <c r="D20358" s="40" t="n">
        <v>62</v>
      </c>
      <c r="E20358" s="41" t="n">
        <v>2328.0371</v>
      </c>
    </row>
    <row r="20359">
      <c r="A20359" s="42">
        <f>_xlfn.XLOOKUP(83710,Trip[shape_id],Trip[shape_id],"Não encontrado")</f>
        <v/>
      </c>
      <c r="B20359" s="43" t="n">
        <v>-23.518028</v>
      </c>
      <c r="C20359" s="43" t="n">
        <v>-46.630637</v>
      </c>
      <c r="D20359" s="43" t="n">
        <v>63</v>
      </c>
      <c r="E20359" s="44" t="n">
        <v>2333.8601</v>
      </c>
    </row>
    <row r="20360">
      <c r="A20360" s="39">
        <f>_xlfn.XLOOKUP(83710,Trip[shape_id],Trip[shape_id],"Não encontrado")</f>
        <v/>
      </c>
      <c r="B20360" s="40" t="n">
        <v>-23.517988</v>
      </c>
      <c r="C20360" s="40" t="n">
        <v>-46.630674</v>
      </c>
      <c r="D20360" s="40" t="n">
        <v>64</v>
      </c>
      <c r="E20360" s="41" t="n">
        <v>2343.3535</v>
      </c>
    </row>
    <row r="20361">
      <c r="A20361" s="42">
        <f>_xlfn.XLOOKUP(83710,Trip[shape_id],Trip[shape_id],"Não encontrado")</f>
        <v/>
      </c>
      <c r="B20361" s="43" t="n">
        <v>-23.517912</v>
      </c>
      <c r="C20361" s="43" t="n">
        <v>-46.630717</v>
      </c>
      <c r="D20361" s="43" t="n">
        <v>65</v>
      </c>
      <c r="E20361" s="44" t="n">
        <v>2351.5603</v>
      </c>
    </row>
    <row r="20362">
      <c r="A20362" s="39">
        <f>_xlfn.XLOOKUP(83710,Trip[shape_id],Trip[shape_id],"Não encontrado")</f>
        <v/>
      </c>
      <c r="B20362" s="40" t="n">
        <v>-23.51784</v>
      </c>
      <c r="C20362" s="40" t="n">
        <v>-46.630736</v>
      </c>
      <c r="D20362" s="40" t="n">
        <v>66</v>
      </c>
      <c r="E20362" s="41" t="n">
        <v>2360.6016</v>
      </c>
    </row>
    <row r="20363">
      <c r="A20363" s="42">
        <f>_xlfn.XLOOKUP(83710,Trip[shape_id],Trip[shape_id],"Não encontrado")</f>
        <v/>
      </c>
      <c r="B20363" s="43" t="n">
        <v>-23.517759</v>
      </c>
      <c r="C20363" s="43" t="n">
        <v>-46.630747</v>
      </c>
      <c r="D20363" s="43" t="n">
        <v>67</v>
      </c>
      <c r="E20363" s="44" t="n">
        <v>2369.7205</v>
      </c>
    </row>
    <row r="20364">
      <c r="A20364" s="39">
        <f>_xlfn.XLOOKUP(83710,Trip[shape_id],Trip[shape_id],"Não encontrado")</f>
        <v/>
      </c>
      <c r="B20364" s="40" t="n">
        <v>-23.517678</v>
      </c>
      <c r="C20364" s="40" t="n">
        <v>-46.630731</v>
      </c>
      <c r="D20364" s="40" t="n">
        <v>68</v>
      </c>
      <c r="E20364" s="41" t="n">
        <v>2383.4656</v>
      </c>
    </row>
    <row r="20365">
      <c r="A20365" s="42">
        <f>_xlfn.XLOOKUP(83710,Trip[shape_id],Trip[shape_id],"Não encontrado")</f>
        <v/>
      </c>
      <c r="B20365" s="43" t="n">
        <v>-23.517572</v>
      </c>
      <c r="C20365" s="43" t="n">
        <v>-46.630661</v>
      </c>
      <c r="D20365" s="43" t="n">
        <v>69</v>
      </c>
      <c r="E20365" s="44" t="n">
        <v>2392.6455</v>
      </c>
    </row>
    <row r="20366">
      <c r="A20366" s="39">
        <f>_xlfn.XLOOKUP(83710,Trip[shape_id],Trip[shape_id],"Não encontrado")</f>
        <v/>
      </c>
      <c r="B20366" s="40" t="n">
        <v>-23.51752</v>
      </c>
      <c r="C20366" s="40" t="n">
        <v>-46.630591</v>
      </c>
      <c r="D20366" s="40" t="n">
        <v>70</v>
      </c>
      <c r="E20366" s="41" t="n">
        <v>2407.6929</v>
      </c>
    </row>
    <row r="20367">
      <c r="A20367" s="42">
        <f>_xlfn.XLOOKUP(83710,Trip[shape_id],Trip[shape_id],"Não encontrado")</f>
        <v/>
      </c>
      <c r="B20367" s="43" t="n">
        <v>-23.51747</v>
      </c>
      <c r="C20367" s="43" t="n">
        <v>-46.630454</v>
      </c>
      <c r="D20367" s="43" t="n">
        <v>71</v>
      </c>
      <c r="E20367" s="44" t="n">
        <v>2418.2129</v>
      </c>
    </row>
    <row r="20368">
      <c r="A20368" s="39">
        <f>_xlfn.XLOOKUP(83710,Trip[shape_id],Trip[shape_id],"Não encontrado")</f>
        <v/>
      </c>
      <c r="B20368" s="40" t="n">
        <v>-23.517471</v>
      </c>
      <c r="C20368" s="40" t="n">
        <v>-46.630351</v>
      </c>
      <c r="D20368" s="40" t="n">
        <v>72</v>
      </c>
      <c r="E20368" s="41" t="n">
        <v>2426.1533</v>
      </c>
    </row>
    <row r="20369">
      <c r="A20369" s="42">
        <f>_xlfn.XLOOKUP(83710,Trip[shape_id],Trip[shape_id],"Não encontrado")</f>
        <v/>
      </c>
      <c r="B20369" s="43" t="n">
        <v>-23.517493</v>
      </c>
      <c r="C20369" s="43" t="n">
        <v>-46.630277</v>
      </c>
      <c r="D20369" s="43" t="n">
        <v>73</v>
      </c>
      <c r="E20369" s="44" t="n">
        <v>2435.697</v>
      </c>
    </row>
    <row r="20370">
      <c r="A20370" s="39">
        <f>_xlfn.XLOOKUP(83710,Trip[shape_id],Trip[shape_id],"Não encontrado")</f>
        <v/>
      </c>
      <c r="B20370" s="40" t="n">
        <v>-23.517554</v>
      </c>
      <c r="C20370" s="40" t="n">
        <v>-46.630211</v>
      </c>
      <c r="D20370" s="40" t="n">
        <v>74</v>
      </c>
      <c r="E20370" s="41" t="n">
        <v>2447.6675</v>
      </c>
    </row>
    <row r="20371">
      <c r="A20371" s="42">
        <f>_xlfn.XLOOKUP(83710,Trip[shape_id],Trip[shape_id],"Não encontrado")</f>
        <v/>
      </c>
      <c r="B20371" s="43" t="n">
        <v>-23.51764</v>
      </c>
      <c r="C20371" s="43" t="n">
        <v>-46.63014</v>
      </c>
      <c r="D20371" s="43" t="n">
        <v>75</v>
      </c>
      <c r="E20371" s="44" t="n">
        <v>2454.272</v>
      </c>
    </row>
    <row r="20372">
      <c r="A20372" s="39">
        <f>_xlfn.XLOOKUP(83710,Trip[shape_id],Trip[shape_id],"Não encontrado")</f>
        <v/>
      </c>
      <c r="B20372" s="40" t="n">
        <v>-23.517697</v>
      </c>
      <c r="C20372" s="40" t="n">
        <v>-46.630121</v>
      </c>
      <c r="D20372" s="40" t="n">
        <v>76</v>
      </c>
      <c r="E20372" s="41" t="n">
        <v>2465.6296</v>
      </c>
    </row>
    <row r="20373">
      <c r="A20373" s="42">
        <f>_xlfn.XLOOKUP(83710,Trip[shape_id],Trip[shape_id],"Não encontrado")</f>
        <v/>
      </c>
      <c r="B20373" s="43" t="n">
        <v>-23.517796</v>
      </c>
      <c r="C20373" s="43" t="n">
        <v>-46.630092</v>
      </c>
      <c r="D20373" s="43" t="n">
        <v>77</v>
      </c>
      <c r="E20373" s="44" t="n">
        <v>2484.7239</v>
      </c>
    </row>
    <row r="20374">
      <c r="A20374" s="39">
        <f>_xlfn.XLOOKUP(83710,Trip[shape_id],Trip[shape_id],"Não encontrado")</f>
        <v/>
      </c>
      <c r="B20374" s="40" t="n">
        <v>-23.517964</v>
      </c>
      <c r="C20374" s="40" t="n">
        <v>-46.63005</v>
      </c>
      <c r="D20374" s="40" t="n">
        <v>78</v>
      </c>
      <c r="E20374" s="41" t="n">
        <v>2484.7239</v>
      </c>
    </row>
    <row r="20375">
      <c r="A20375" s="42">
        <f>_xlfn.XLOOKUP(83710,Trip[shape_id],Trip[shape_id],"Não encontrado")</f>
        <v/>
      </c>
      <c r="B20375" s="43" t="n">
        <v>-23.518409</v>
      </c>
      <c r="C20375" s="43" t="n">
        <v>-46.630123</v>
      </c>
      <c r="D20375" s="43" t="n">
        <v>79</v>
      </c>
      <c r="E20375" s="44" t="n">
        <v>2534.5688</v>
      </c>
    </row>
    <row r="20376">
      <c r="A20376" s="39">
        <f>_xlfn.XLOOKUP(83710,Trip[shape_id],Trip[shape_id],"Não encontrado")</f>
        <v/>
      </c>
      <c r="B20376" s="40" t="n">
        <v>-23.518501</v>
      </c>
      <c r="C20376" s="40" t="n">
        <v>-46.630112</v>
      </c>
      <c r="D20376" s="40" t="n">
        <v>80</v>
      </c>
      <c r="E20376" s="41" t="n">
        <v>2544.8196</v>
      </c>
    </row>
    <row r="20377">
      <c r="A20377" s="42">
        <f>_xlfn.XLOOKUP(83710,Trip[shape_id],Trip[shape_id],"Não encontrado")</f>
        <v/>
      </c>
      <c r="B20377" s="43" t="n">
        <v>-23.518766</v>
      </c>
      <c r="C20377" s="43" t="n">
        <v>-46.630135</v>
      </c>
      <c r="D20377" s="43" t="n">
        <v>81</v>
      </c>
      <c r="E20377" s="44" t="n">
        <v>2574.2625</v>
      </c>
    </row>
    <row r="20378">
      <c r="A20378" s="39">
        <f>_xlfn.XLOOKUP(83710,Trip[shape_id],Trip[shape_id],"Não encontrado")</f>
        <v/>
      </c>
      <c r="B20378" s="40" t="n">
        <v>-23.519567</v>
      </c>
      <c r="C20378" s="40" t="n">
        <v>-46.630271</v>
      </c>
      <c r="D20378" s="40" t="n">
        <v>82</v>
      </c>
      <c r="E20378" s="41" t="n">
        <v>2664.0549</v>
      </c>
    </row>
    <row r="20379">
      <c r="A20379" s="42">
        <f>_xlfn.XLOOKUP(83710,Trip[shape_id],Trip[shape_id],"Não encontrado")</f>
        <v/>
      </c>
      <c r="B20379" s="43" t="n">
        <v>-23.519697</v>
      </c>
      <c r="C20379" s="43" t="n">
        <v>-46.630282</v>
      </c>
      <c r="D20379" s="43" t="n">
        <v>83</v>
      </c>
      <c r="E20379" s="44" t="n">
        <v>2678.4963</v>
      </c>
    </row>
    <row r="20380">
      <c r="A20380" s="39">
        <f>_xlfn.XLOOKUP(83710,Trip[shape_id],Trip[shape_id],"Não encontrado")</f>
        <v/>
      </c>
      <c r="B20380" s="40" t="n">
        <v>-23.51984</v>
      </c>
      <c r="C20380" s="40" t="n">
        <v>-46.630286</v>
      </c>
      <c r="D20380" s="40" t="n">
        <v>84</v>
      </c>
      <c r="E20380" s="41" t="n">
        <v>2694.3391</v>
      </c>
    </row>
    <row r="20381">
      <c r="A20381" s="42">
        <f>_xlfn.XLOOKUP(83710,Trip[shape_id],Trip[shape_id],"Não encontrado")</f>
        <v/>
      </c>
      <c r="B20381" s="43" t="n">
        <v>-23.519936</v>
      </c>
      <c r="C20381" s="43" t="n">
        <v>-46.630286</v>
      </c>
      <c r="D20381" s="43" t="n">
        <v>85</v>
      </c>
      <c r="E20381" s="44" t="n">
        <v>2704.9714</v>
      </c>
    </row>
    <row r="20382">
      <c r="A20382" s="39">
        <f>_xlfn.XLOOKUP(83710,Trip[shape_id],Trip[shape_id],"Não encontrado")</f>
        <v/>
      </c>
      <c r="B20382" s="40" t="n">
        <v>-23.520009</v>
      </c>
      <c r="C20382" s="40" t="n">
        <v>-46.630286</v>
      </c>
      <c r="D20382" s="40" t="n">
        <v>86</v>
      </c>
      <c r="E20382" s="41" t="n">
        <v>2713.0566</v>
      </c>
    </row>
    <row r="20383">
      <c r="A20383" s="42">
        <f>_xlfn.XLOOKUP(83710,Trip[shape_id],Trip[shape_id],"Não encontrado")</f>
        <v/>
      </c>
      <c r="B20383" s="43" t="n">
        <v>-23.520055</v>
      </c>
      <c r="C20383" s="43" t="n">
        <v>-46.63033</v>
      </c>
      <c r="D20383" s="43" t="n">
        <v>87</v>
      </c>
      <c r="E20383" s="44" t="n">
        <v>2719.8491</v>
      </c>
    </row>
    <row r="20384">
      <c r="A20384" s="39">
        <f>_xlfn.XLOOKUP(83710,Trip[shape_id],Trip[shape_id],"Não encontrado")</f>
        <v/>
      </c>
      <c r="B20384" s="40" t="n">
        <v>-23.520142</v>
      </c>
      <c r="C20384" s="40" t="n">
        <v>-46.630355</v>
      </c>
      <c r="D20384" s="40" t="n">
        <v>88</v>
      </c>
      <c r="E20384" s="41" t="n">
        <v>2729.8171</v>
      </c>
    </row>
    <row r="20385">
      <c r="A20385" s="42">
        <f>_xlfn.XLOOKUP(83710,Trip[shape_id],Trip[shape_id],"Não encontrado")</f>
        <v/>
      </c>
      <c r="B20385" s="43" t="n">
        <v>-23.520232</v>
      </c>
      <c r="C20385" s="43" t="n">
        <v>-46.630378</v>
      </c>
      <c r="D20385" s="43" t="n">
        <v>89</v>
      </c>
      <c r="E20385" s="44" t="n">
        <v>2740.0576</v>
      </c>
    </row>
    <row r="20386">
      <c r="A20386" s="39">
        <f>_xlfn.XLOOKUP(83710,Trip[shape_id],Trip[shape_id],"Não encontrado")</f>
        <v/>
      </c>
      <c r="B20386" s="40" t="n">
        <v>-23.520338</v>
      </c>
      <c r="C20386" s="40" t="n">
        <v>-46.630408</v>
      </c>
      <c r="D20386" s="40" t="n">
        <v>90</v>
      </c>
      <c r="E20386" s="41" t="n">
        <v>2752.1909</v>
      </c>
    </row>
    <row r="20387">
      <c r="A20387" s="42">
        <f>_xlfn.XLOOKUP(83710,Trip[shape_id],Trip[shape_id],"Não encontrado")</f>
        <v/>
      </c>
      <c r="B20387" s="43" t="n">
        <v>-23.52038</v>
      </c>
      <c r="C20387" s="43" t="n">
        <v>-46.630425</v>
      </c>
      <c r="D20387" s="43" t="n">
        <v>91</v>
      </c>
      <c r="E20387" s="44" t="n">
        <v>2757.1553</v>
      </c>
    </row>
    <row r="20388">
      <c r="A20388" s="39">
        <f>_xlfn.XLOOKUP(83710,Trip[shape_id],Trip[shape_id],"Não encontrado")</f>
        <v/>
      </c>
      <c r="B20388" s="40" t="n">
        <v>-23.520419</v>
      </c>
      <c r="C20388" s="40" t="n">
        <v>-46.630448</v>
      </c>
      <c r="D20388" s="40" t="n">
        <v>92</v>
      </c>
      <c r="E20388" s="41" t="n">
        <v>2762.072</v>
      </c>
    </row>
    <row r="20389">
      <c r="A20389" s="42">
        <f>_xlfn.XLOOKUP(83710,Trip[shape_id],Trip[shape_id],"Não encontrado")</f>
        <v/>
      </c>
      <c r="B20389" s="43" t="n">
        <v>-23.520455</v>
      </c>
      <c r="C20389" s="43" t="n">
        <v>-46.63049</v>
      </c>
      <c r="D20389" s="43" t="n">
        <v>93</v>
      </c>
      <c r="E20389" s="44" t="n">
        <v>2767.9277</v>
      </c>
    </row>
    <row r="20390">
      <c r="A20390" s="39">
        <f>_xlfn.XLOOKUP(83710,Trip[shape_id],Trip[shape_id],"Não encontrado")</f>
        <v/>
      </c>
      <c r="B20390" s="40" t="n">
        <v>-23.520486</v>
      </c>
      <c r="C20390" s="40" t="n">
        <v>-46.630542</v>
      </c>
      <c r="D20390" s="40" t="n">
        <v>94</v>
      </c>
      <c r="E20390" s="41" t="n">
        <v>2774.2512</v>
      </c>
    </row>
    <row r="20391">
      <c r="A20391" s="42">
        <f>_xlfn.XLOOKUP(83710,Trip[shape_id],Trip[shape_id],"Não encontrado")</f>
        <v/>
      </c>
      <c r="B20391" s="43" t="n">
        <v>-23.520507</v>
      </c>
      <c r="C20391" s="43" t="n">
        <v>-46.630605</v>
      </c>
      <c r="D20391" s="43" t="n">
        <v>95</v>
      </c>
      <c r="E20391" s="44" t="n">
        <v>2781.092</v>
      </c>
    </row>
    <row r="20392">
      <c r="A20392" s="39">
        <f>_xlfn.XLOOKUP(83710,Trip[shape_id],Trip[shape_id],"Não encontrado")</f>
        <v/>
      </c>
      <c r="B20392" s="40" t="n">
        <v>-23.520523</v>
      </c>
      <c r="C20392" s="40" t="n">
        <v>-46.630672</v>
      </c>
      <c r="D20392" s="40" t="n">
        <v>96</v>
      </c>
      <c r="E20392" s="41" t="n">
        <v>2788.1597</v>
      </c>
    </row>
    <row r="20393">
      <c r="A20393" s="42">
        <f>_xlfn.XLOOKUP(83710,Trip[shape_id],Trip[shape_id],"Não encontrado")</f>
        <v/>
      </c>
      <c r="B20393" s="43" t="n">
        <v>-23.520515</v>
      </c>
      <c r="C20393" s="43" t="n">
        <v>-46.630748</v>
      </c>
      <c r="D20393" s="43" t="n">
        <v>97</v>
      </c>
      <c r="E20393" s="44" t="n">
        <v>2802.0415</v>
      </c>
    </row>
    <row r="20394">
      <c r="A20394" s="39">
        <f>_xlfn.XLOOKUP(83710,Trip[shape_id],Trip[shape_id],"Não encontrado")</f>
        <v/>
      </c>
      <c r="B20394" s="40" t="n">
        <v>-23.520503</v>
      </c>
      <c r="C20394" s="40" t="n">
        <v>-46.630806</v>
      </c>
      <c r="D20394" s="40" t="n">
        <v>98</v>
      </c>
      <c r="E20394" s="41" t="n">
        <v>2808.3958</v>
      </c>
    </row>
    <row r="20395">
      <c r="A20395" s="42">
        <f>_xlfn.XLOOKUP(83710,Trip[shape_id],Trip[shape_id],"Não encontrado")</f>
        <v/>
      </c>
      <c r="B20395" s="43" t="n">
        <v>-23.52048</v>
      </c>
      <c r="C20395" s="43" t="n">
        <v>-46.630863</v>
      </c>
      <c r="D20395" s="43" t="n">
        <v>99</v>
      </c>
      <c r="E20395" s="44" t="n">
        <v>2816.3145</v>
      </c>
    </row>
    <row r="20396">
      <c r="A20396" s="39">
        <f>_xlfn.XLOOKUP(83710,Trip[shape_id],Trip[shape_id],"Não encontrado")</f>
        <v/>
      </c>
      <c r="B20396" s="40" t="n">
        <v>-23.520444</v>
      </c>
      <c r="C20396" s="40" t="n">
        <v>-46.63093</v>
      </c>
      <c r="D20396" s="40" t="n">
        <v>100</v>
      </c>
      <c r="E20396" s="41" t="n">
        <v>2824.3621</v>
      </c>
    </row>
    <row r="20397">
      <c r="A20397" s="42">
        <f>_xlfn.XLOOKUP(83710,Trip[shape_id],Trip[shape_id],"Não encontrado")</f>
        <v/>
      </c>
      <c r="B20397" s="43" t="n">
        <v>-23.520398</v>
      </c>
      <c r="C20397" s="43" t="n">
        <v>-46.630991</v>
      </c>
      <c r="D20397" s="43" t="n">
        <v>101</v>
      </c>
      <c r="E20397" s="44" t="n">
        <v>2831.9458</v>
      </c>
    </row>
    <row r="20398">
      <c r="A20398" s="39">
        <f>_xlfn.XLOOKUP(83710,Trip[shape_id],Trip[shape_id],"Não encontrado")</f>
        <v/>
      </c>
      <c r="B20398" s="40" t="n">
        <v>-23.520351</v>
      </c>
      <c r="C20398" s="40" t="n">
        <v>-46.631045</v>
      </c>
      <c r="D20398" s="40" t="n">
        <v>102</v>
      </c>
      <c r="E20398" s="41" t="n">
        <v>2839.4094</v>
      </c>
    </row>
    <row r="20399">
      <c r="A20399" s="42">
        <f>_xlfn.XLOOKUP(83710,Trip[shape_id],Trip[shape_id],"Não encontrado")</f>
        <v/>
      </c>
      <c r="B20399" s="43" t="n">
        <v>-23.520301</v>
      </c>
      <c r="C20399" s="43" t="n">
        <v>-46.631094</v>
      </c>
      <c r="D20399" s="43" t="n">
        <v>103</v>
      </c>
      <c r="E20399" s="44" t="n">
        <v>2847.2522</v>
      </c>
    </row>
    <row r="20400">
      <c r="A20400" s="39">
        <f>_xlfn.XLOOKUP(83710,Trip[shape_id],Trip[shape_id],"Não encontrado")</f>
        <v/>
      </c>
      <c r="B20400" s="40" t="n">
        <v>-23.52024</v>
      </c>
      <c r="C20400" s="40" t="n">
        <v>-46.631133</v>
      </c>
      <c r="D20400" s="40" t="n">
        <v>104</v>
      </c>
      <c r="E20400" s="41" t="n">
        <v>2855.345</v>
      </c>
    </row>
    <row r="20401">
      <c r="A20401" s="42">
        <f>_xlfn.XLOOKUP(83710,Trip[shape_id],Trip[shape_id],"Não encontrado")</f>
        <v/>
      </c>
      <c r="B20401" s="43" t="n">
        <v>-23.520174</v>
      </c>
      <c r="C20401" s="43" t="n">
        <v>-46.631167</v>
      </c>
      <c r="D20401" s="43" t="n">
        <v>105</v>
      </c>
      <c r="E20401" s="44" t="n">
        <v>2855.345</v>
      </c>
    </row>
    <row r="20402">
      <c r="A20402" s="39">
        <f>_xlfn.XLOOKUP(83710,Trip[shape_id],Trip[shape_id],"Não encontrado")</f>
        <v/>
      </c>
      <c r="B20402" s="40" t="n">
        <v>-23.520111</v>
      </c>
      <c r="C20402" s="40" t="n">
        <v>-46.631138</v>
      </c>
      <c r="D20402" s="40" t="n">
        <v>106</v>
      </c>
      <c r="E20402" s="41" t="n">
        <v>2867.6829</v>
      </c>
    </row>
    <row r="20403">
      <c r="A20403" s="42">
        <f>_xlfn.XLOOKUP(83710,Trip[shape_id],Trip[shape_id],"Não encontrado")</f>
        <v/>
      </c>
      <c r="B20403" s="43" t="n">
        <v>-23.520071</v>
      </c>
      <c r="C20403" s="43" t="n">
        <v>-46.631121</v>
      </c>
      <c r="D20403" s="43" t="n">
        <v>107</v>
      </c>
      <c r="E20403" s="44" t="n">
        <v>2873.6418</v>
      </c>
    </row>
    <row r="20404">
      <c r="A20404" s="39">
        <f>_xlfn.XLOOKUP(83710,Trip[shape_id],Trip[shape_id],"Não encontrado")</f>
        <v/>
      </c>
      <c r="B20404" s="40" t="n">
        <v>-23.520019</v>
      </c>
      <c r="C20404" s="40" t="n">
        <v>-46.631106</v>
      </c>
      <c r="D20404" s="40" t="n">
        <v>108</v>
      </c>
      <c r="E20404" s="41" t="n">
        <v>2878.8518</v>
      </c>
    </row>
    <row r="20405">
      <c r="A20405" s="42">
        <f>_xlfn.XLOOKUP(83710,Trip[shape_id],Trip[shape_id],"Não encontrado")</f>
        <v/>
      </c>
      <c r="B20405" s="43" t="n">
        <v>-23.519978</v>
      </c>
      <c r="C20405" s="43" t="n">
        <v>-46.631081</v>
      </c>
      <c r="D20405" s="43" t="n">
        <v>109</v>
      </c>
      <c r="E20405" s="44" t="n">
        <v>2883.8816</v>
      </c>
    </row>
    <row r="20406">
      <c r="A20406" s="39">
        <f>_xlfn.XLOOKUP(83710,Trip[shape_id],Trip[shape_id],"Não encontrado")</f>
        <v/>
      </c>
      <c r="B20406" s="40" t="n">
        <v>-23.519947</v>
      </c>
      <c r="C20406" s="40" t="n">
        <v>-46.631045</v>
      </c>
      <c r="D20406" s="40" t="n">
        <v>110</v>
      </c>
      <c r="E20406" s="41" t="n">
        <v>2891.4063</v>
      </c>
    </row>
    <row r="20407">
      <c r="A20407" s="42">
        <f>_xlfn.XLOOKUP(83710,Trip[shape_id],Trip[shape_id],"Não encontrado")</f>
        <v/>
      </c>
      <c r="B20407" s="43" t="n">
        <v>-23.519915</v>
      </c>
      <c r="C20407" s="43" t="n">
        <v>-46.63098</v>
      </c>
      <c r="D20407" s="43" t="n">
        <v>111</v>
      </c>
      <c r="E20407" s="44" t="n">
        <v>2914.5095</v>
      </c>
    </row>
    <row r="20408">
      <c r="A20408" s="39">
        <f>_xlfn.XLOOKUP(83710,Trip[shape_id],Trip[shape_id],"Não encontrado")</f>
        <v/>
      </c>
      <c r="B20408" s="40" t="n">
        <v>-23.519853</v>
      </c>
      <c r="C20408" s="40" t="n">
        <v>-46.630764</v>
      </c>
      <c r="D20408" s="40" t="n">
        <v>112</v>
      </c>
      <c r="E20408" s="41" t="n">
        <v>2914.5095</v>
      </c>
    </row>
    <row r="20409">
      <c r="A20409" s="42">
        <f>_xlfn.XLOOKUP(83710,Trip[shape_id],Trip[shape_id],"Não encontrado")</f>
        <v/>
      </c>
      <c r="B20409" s="43" t="n">
        <v>-23.51989</v>
      </c>
      <c r="C20409" s="43" t="n">
        <v>-46.630424</v>
      </c>
      <c r="D20409" s="43" t="n">
        <v>113</v>
      </c>
      <c r="E20409" s="44" t="n">
        <v>2949.4731</v>
      </c>
    </row>
    <row r="20410">
      <c r="A20410" s="39">
        <f>_xlfn.XLOOKUP(83710,Trip[shape_id],Trip[shape_id],"Não encontrado")</f>
        <v/>
      </c>
      <c r="B20410" s="40" t="n">
        <v>-23.519909</v>
      </c>
      <c r="C20410" s="40" t="n">
        <v>-46.63011</v>
      </c>
      <c r="D20410" s="40" t="n">
        <v>114</v>
      </c>
      <c r="E20410" s="41" t="n">
        <v>2996.4329</v>
      </c>
    </row>
    <row r="20411">
      <c r="A20411" s="42">
        <f>_xlfn.XLOOKUP(83710,Trip[shape_id],Trip[shape_id],"Não encontrado")</f>
        <v/>
      </c>
      <c r="B20411" s="43" t="n">
        <v>-23.519915</v>
      </c>
      <c r="C20411" s="43" t="n">
        <v>-46.629965</v>
      </c>
      <c r="D20411" s="43" t="n">
        <v>115</v>
      </c>
      <c r="E20411" s="44" t="n">
        <v>3030.033</v>
      </c>
    </row>
    <row r="20412">
      <c r="A20412" s="39">
        <f>_xlfn.XLOOKUP(83710,Trip[shape_id],Trip[shape_id],"Não encontrado")</f>
        <v/>
      </c>
      <c r="B20412" s="40" t="n">
        <v>-23.519913</v>
      </c>
      <c r="C20412" s="40" t="n">
        <v>-46.629636</v>
      </c>
      <c r="D20412" s="40" t="n">
        <v>116</v>
      </c>
      <c r="E20412" s="41" t="n">
        <v>3030.033</v>
      </c>
    </row>
    <row r="20413">
      <c r="A20413" s="42">
        <f>_xlfn.XLOOKUP(83710,Trip[shape_id],Trip[shape_id],"Não encontrado")</f>
        <v/>
      </c>
      <c r="B20413" s="43" t="n">
        <v>-23.519903</v>
      </c>
      <c r="C20413" s="43" t="n">
        <v>-46.629355</v>
      </c>
      <c r="D20413" s="43" t="n">
        <v>117</v>
      </c>
      <c r="E20413" s="44" t="n">
        <v>3119.6719</v>
      </c>
    </row>
    <row r="20414">
      <c r="A20414" s="39">
        <f>_xlfn.XLOOKUP(83710,Trip[shape_id],Trip[shape_id],"Não encontrado")</f>
        <v/>
      </c>
      <c r="B20414" s="40" t="n">
        <v>-23.51988</v>
      </c>
      <c r="C20414" s="40" t="n">
        <v>-46.628759</v>
      </c>
      <c r="D20414" s="40" t="n">
        <v>118</v>
      </c>
      <c r="E20414" s="41" t="n">
        <v>3119.6719</v>
      </c>
    </row>
    <row r="20415">
      <c r="A20415" s="42">
        <f>_xlfn.XLOOKUP(83710,Trip[shape_id],Trip[shape_id],"Não encontrado")</f>
        <v/>
      </c>
      <c r="B20415" s="43" t="n">
        <v>-23.519955</v>
      </c>
      <c r="C20415" s="43" t="n">
        <v>-46.628929</v>
      </c>
      <c r="D20415" s="43" t="n">
        <v>119</v>
      </c>
      <c r="E20415" s="44" t="n">
        <v>3138.918</v>
      </c>
    </row>
    <row r="20416">
      <c r="A20416" s="39">
        <f>_xlfn.XLOOKUP(83710,Trip[shape_id],Trip[shape_id],"Não encontrado")</f>
        <v/>
      </c>
      <c r="B20416" s="40" t="n">
        <v>-23.520004</v>
      </c>
      <c r="C20416" s="40" t="n">
        <v>-46.629014</v>
      </c>
      <c r="D20416" s="40" t="n">
        <v>120</v>
      </c>
      <c r="E20416" s="41" t="n">
        <v>3149.155</v>
      </c>
    </row>
    <row r="20417">
      <c r="A20417" s="42">
        <f>_xlfn.XLOOKUP(83710,Trip[shape_id],Trip[shape_id],"Não encontrado")</f>
        <v/>
      </c>
      <c r="B20417" s="43" t="n">
        <v>-23.520039</v>
      </c>
      <c r="C20417" s="43" t="n">
        <v>-46.629065</v>
      </c>
      <c r="D20417" s="43" t="n">
        <v>121</v>
      </c>
      <c r="E20417" s="44" t="n">
        <v>3155.6475</v>
      </c>
    </row>
    <row r="20418">
      <c r="A20418" s="39">
        <f>_xlfn.XLOOKUP(83710,Trip[shape_id],Trip[shape_id],"Não encontrado")</f>
        <v/>
      </c>
      <c r="B20418" s="40" t="n">
        <v>-23.520116</v>
      </c>
      <c r="C20418" s="40" t="n">
        <v>-46.629118</v>
      </c>
      <c r="D20418" s="40" t="n">
        <v>122</v>
      </c>
      <c r="E20418" s="41" t="n">
        <v>3165.748</v>
      </c>
    </row>
    <row r="20419">
      <c r="A20419" s="42">
        <f>_xlfn.XLOOKUP(83710,Trip[shape_id],Trip[shape_id],"Não encontrado")</f>
        <v/>
      </c>
      <c r="B20419" s="43" t="n">
        <v>-23.52017</v>
      </c>
      <c r="C20419" s="43" t="n">
        <v>-46.62914</v>
      </c>
      <c r="D20419" s="43" t="n">
        <v>123</v>
      </c>
      <c r="E20419" s="44" t="n">
        <v>3172.136</v>
      </c>
    </row>
    <row r="20420">
      <c r="A20420" s="39">
        <f>_xlfn.XLOOKUP(83710,Trip[shape_id],Trip[shape_id],"Não encontrado")</f>
        <v/>
      </c>
      <c r="B20420" s="40" t="n">
        <v>-23.520264</v>
      </c>
      <c r="C20420" s="40" t="n">
        <v>-46.629187</v>
      </c>
      <c r="D20420" s="40" t="n">
        <v>124</v>
      </c>
      <c r="E20420" s="41" t="n">
        <v>3183.6003</v>
      </c>
    </row>
    <row r="20421">
      <c r="A20421" s="42">
        <f>_xlfn.XLOOKUP(83710,Trip[shape_id],Trip[shape_id],"Não encontrado")</f>
        <v/>
      </c>
      <c r="B20421" s="43" t="n">
        <v>-23.52039</v>
      </c>
      <c r="C20421" s="43" t="n">
        <v>-46.629252</v>
      </c>
      <c r="D20421" s="43" t="n">
        <v>125</v>
      </c>
      <c r="E20421" s="44" t="n">
        <v>3199.0532</v>
      </c>
    </row>
    <row r="20422">
      <c r="A20422" s="39">
        <f>_xlfn.XLOOKUP(83710,Trip[shape_id],Trip[shape_id],"Não encontrado")</f>
        <v/>
      </c>
      <c r="B20422" s="40" t="n">
        <v>-23.520488</v>
      </c>
      <c r="C20422" s="40" t="n">
        <v>-46.62931</v>
      </c>
      <c r="D20422" s="40" t="n">
        <v>126</v>
      </c>
      <c r="E20422" s="41" t="n">
        <v>3211.4182</v>
      </c>
    </row>
    <row r="20423">
      <c r="A20423" s="42">
        <f>_xlfn.XLOOKUP(83710,Trip[shape_id],Trip[shape_id],"Não encontrado")</f>
        <v/>
      </c>
      <c r="B20423" s="43" t="n">
        <v>-23.520588</v>
      </c>
      <c r="C20423" s="43" t="n">
        <v>-46.629382</v>
      </c>
      <c r="D20423" s="43" t="n">
        <v>127</v>
      </c>
      <c r="E20423" s="44" t="n">
        <v>3224.7122</v>
      </c>
    </row>
    <row r="20424">
      <c r="A20424" s="39">
        <f>_xlfn.XLOOKUP(83710,Trip[shape_id],Trip[shape_id],"Não encontrado")</f>
        <v/>
      </c>
      <c r="B20424" s="40" t="n">
        <v>-23.520691</v>
      </c>
      <c r="C20424" s="40" t="n">
        <v>-46.629476</v>
      </c>
      <c r="D20424" s="40" t="n">
        <v>128</v>
      </c>
      <c r="E20424" s="41" t="n">
        <v>3239.6213</v>
      </c>
    </row>
    <row r="20425">
      <c r="A20425" s="42">
        <f>_xlfn.XLOOKUP(83710,Trip[shape_id],Trip[shape_id],"Não encontrado")</f>
        <v/>
      </c>
      <c r="B20425" s="43" t="n">
        <v>-23.520802</v>
      </c>
      <c r="C20425" s="43" t="n">
        <v>-46.629584</v>
      </c>
      <c r="D20425" s="43" t="n">
        <v>129</v>
      </c>
      <c r="E20425" s="44" t="n">
        <v>3256.137</v>
      </c>
    </row>
    <row r="20426">
      <c r="A20426" s="39">
        <f>_xlfn.XLOOKUP(83710,Trip[shape_id],Trip[shape_id],"Não encontrado")</f>
        <v/>
      </c>
      <c r="B20426" s="40" t="n">
        <v>-23.520923</v>
      </c>
      <c r="C20426" s="40" t="n">
        <v>-46.62975</v>
      </c>
      <c r="D20426" s="40" t="n">
        <v>130</v>
      </c>
      <c r="E20426" s="41" t="n">
        <v>3277.7466</v>
      </c>
    </row>
    <row r="20427">
      <c r="A20427" s="42">
        <f>_xlfn.XLOOKUP(83710,Trip[shape_id],Trip[shape_id],"Não encontrado")</f>
        <v/>
      </c>
      <c r="B20427" s="43" t="n">
        <v>-23.520977</v>
      </c>
      <c r="C20427" s="43" t="n">
        <v>-46.629823</v>
      </c>
      <c r="D20427" s="43" t="n">
        <v>131</v>
      </c>
      <c r="E20427" s="44" t="n">
        <v>3287.3044</v>
      </c>
    </row>
    <row r="20428">
      <c r="A20428" s="39">
        <f>_xlfn.XLOOKUP(83710,Trip[shape_id],Trip[shape_id],"Não encontrado")</f>
        <v/>
      </c>
      <c r="B20428" s="40" t="n">
        <v>-23.52104</v>
      </c>
      <c r="C20428" s="40" t="n">
        <v>-46.629893</v>
      </c>
      <c r="D20428" s="40" t="n">
        <v>132</v>
      </c>
      <c r="E20428" s="41" t="n">
        <v>3297.2939</v>
      </c>
    </row>
    <row r="20429">
      <c r="A20429" s="42">
        <f>_xlfn.XLOOKUP(83710,Trip[shape_id],Trip[shape_id],"Não encontrado")</f>
        <v/>
      </c>
      <c r="B20429" s="43" t="n">
        <v>-23.52107</v>
      </c>
      <c r="C20429" s="43" t="n">
        <v>-46.629926</v>
      </c>
      <c r="D20429" s="43" t="n">
        <v>133</v>
      </c>
      <c r="E20429" s="44" t="n">
        <v>3302.0261</v>
      </c>
    </row>
    <row r="20430">
      <c r="A20430" s="39">
        <f>_xlfn.XLOOKUP(83710,Trip[shape_id],Trip[shape_id],"Não encontrado")</f>
        <v/>
      </c>
      <c r="B20430" s="40" t="n">
        <v>-23.521282</v>
      </c>
      <c r="C20430" s="40" t="n">
        <v>-46.630075</v>
      </c>
      <c r="D20430" s="40" t="n">
        <v>134</v>
      </c>
      <c r="E20430" s="41" t="n">
        <v>3330.0049</v>
      </c>
    </row>
    <row r="20431">
      <c r="A20431" s="42">
        <f>_xlfn.XLOOKUP(83710,Trip[shape_id],Trip[shape_id],"Não encontrado")</f>
        <v/>
      </c>
      <c r="B20431" s="43" t="n">
        <v>-23.521852</v>
      </c>
      <c r="C20431" s="43" t="n">
        <v>-46.630142</v>
      </c>
      <c r="D20431" s="43" t="n">
        <v>135</v>
      </c>
      <c r="E20431" s="44" t="n">
        <v>3393.5029</v>
      </c>
    </row>
    <row r="20432">
      <c r="A20432" s="39">
        <f>_xlfn.XLOOKUP(83710,Trip[shape_id],Trip[shape_id],"Não encontrado")</f>
        <v/>
      </c>
      <c r="B20432" s="40" t="n">
        <v>-23.522009</v>
      </c>
      <c r="C20432" s="40" t="n">
        <v>-46.629363</v>
      </c>
      <c r="D20432" s="40" t="n">
        <v>136</v>
      </c>
      <c r="E20432" s="41" t="n">
        <v>3474.9355</v>
      </c>
    </row>
    <row r="20433">
      <c r="A20433" s="42">
        <f>_xlfn.XLOOKUP(83710,Trip[shape_id],Trip[shape_id],"Não encontrado")</f>
        <v/>
      </c>
      <c r="B20433" s="43" t="n">
        <v>-23.522088</v>
      </c>
      <c r="C20433" s="43" t="n">
        <v>-46.628976</v>
      </c>
      <c r="D20433" s="43" t="n">
        <v>137</v>
      </c>
      <c r="E20433" s="44" t="n">
        <v>3515.4143</v>
      </c>
    </row>
    <row r="20434">
      <c r="A20434" s="39">
        <f>_xlfn.XLOOKUP(83710,Trip[shape_id],Trip[shape_id],"Não encontrado")</f>
        <v/>
      </c>
      <c r="B20434" s="40" t="n">
        <v>-23.522299</v>
      </c>
      <c r="C20434" s="40" t="n">
        <v>-46.627904</v>
      </c>
      <c r="D20434" s="40" t="n">
        <v>138</v>
      </c>
      <c r="E20434" s="41" t="n">
        <v>3627.3574</v>
      </c>
    </row>
    <row r="20435">
      <c r="A20435" s="42">
        <f>_xlfn.XLOOKUP(83710,Trip[shape_id],Trip[shape_id],"Não encontrado")</f>
        <v/>
      </c>
      <c r="B20435" s="43" t="n">
        <v>-23.522881</v>
      </c>
      <c r="C20435" s="43" t="n">
        <v>-46.628075</v>
      </c>
      <c r="D20435" s="43" t="n">
        <v>139</v>
      </c>
      <c r="E20435" s="44" t="n">
        <v>3694.1384</v>
      </c>
    </row>
    <row r="20436">
      <c r="A20436" s="39">
        <f>_xlfn.XLOOKUP(83710,Trip[shape_id],Trip[shape_id],"Não encontrado")</f>
        <v/>
      </c>
      <c r="B20436" s="40" t="n">
        <v>-23.523242</v>
      </c>
      <c r="C20436" s="40" t="n">
        <v>-46.628179</v>
      </c>
      <c r="D20436" s="40" t="n">
        <v>140</v>
      </c>
      <c r="E20436" s="41" t="n">
        <v>3735.5063</v>
      </c>
    </row>
    <row r="20437">
      <c r="A20437" s="42">
        <f>_xlfn.XLOOKUP(83710,Trip[shape_id],Trip[shape_id],"Não encontrado")</f>
        <v/>
      </c>
      <c r="B20437" s="43" t="n">
        <v>-23.523173</v>
      </c>
      <c r="C20437" s="43" t="n">
        <v>-46.628576</v>
      </c>
      <c r="D20437" s="43" t="n">
        <v>141</v>
      </c>
      <c r="E20437" s="44" t="n">
        <v>3776.7632</v>
      </c>
    </row>
    <row r="20438">
      <c r="A20438" s="39">
        <f>_xlfn.XLOOKUP(83710,Trip[shape_id],Trip[shape_id],"Não encontrado")</f>
        <v/>
      </c>
      <c r="B20438" s="40" t="n">
        <v>-23.524044</v>
      </c>
      <c r="C20438" s="40" t="n">
        <v>-46.62877</v>
      </c>
      <c r="D20438" s="40" t="n">
        <v>142</v>
      </c>
      <c r="E20438" s="41" t="n">
        <v>3875.241</v>
      </c>
    </row>
    <row r="20439">
      <c r="A20439" s="42">
        <f>_xlfn.XLOOKUP(83710,Trip[shape_id],Trip[shape_id],"Não encontrado")</f>
        <v/>
      </c>
      <c r="B20439" s="43" t="n">
        <v>-23.524499</v>
      </c>
      <c r="C20439" s="43" t="n">
        <v>-46.628862</v>
      </c>
      <c r="D20439" s="43" t="n">
        <v>143</v>
      </c>
      <c r="E20439" s="44" t="n">
        <v>3926.5012</v>
      </c>
    </row>
    <row r="20440">
      <c r="A20440" s="39">
        <f>_xlfn.XLOOKUP(83710,Trip[shape_id],Trip[shape_id],"Não encontrado")</f>
        <v/>
      </c>
      <c r="B20440" s="40" t="n">
        <v>-23.524902</v>
      </c>
      <c r="C20440" s="40" t="n">
        <v>-46.628943</v>
      </c>
      <c r="D20440" s="40" t="n">
        <v>144</v>
      </c>
      <c r="E20440" s="41" t="n">
        <v>3971.8943</v>
      </c>
    </row>
    <row r="20441">
      <c r="A20441" s="42">
        <f>_xlfn.XLOOKUP(83710,Trip[shape_id],Trip[shape_id],"Não encontrado")</f>
        <v/>
      </c>
      <c r="B20441" s="43" t="n">
        <v>-23.524979</v>
      </c>
      <c r="C20441" s="43" t="n">
        <v>-46.628993</v>
      </c>
      <c r="D20441" s="43" t="n">
        <v>145</v>
      </c>
      <c r="E20441" s="44" t="n">
        <v>3981.8345</v>
      </c>
    </row>
    <row r="20442">
      <c r="A20442" s="39">
        <f>_xlfn.XLOOKUP(83710,Trip[shape_id],Trip[shape_id],"Não encontrado")</f>
        <v/>
      </c>
      <c r="B20442" s="40" t="n">
        <v>-23.525042</v>
      </c>
      <c r="C20442" s="40" t="n">
        <v>-46.629079</v>
      </c>
      <c r="D20442" s="40" t="n">
        <v>146</v>
      </c>
      <c r="E20442" s="41" t="n">
        <v>3993.0515</v>
      </c>
    </row>
    <row r="20443">
      <c r="A20443" s="42">
        <f>_xlfn.XLOOKUP(83710,Trip[shape_id],Trip[shape_id],"Não encontrado")</f>
        <v/>
      </c>
      <c r="B20443" s="43" t="n">
        <v>-23.525051</v>
      </c>
      <c r="C20443" s="43" t="n">
        <v>-46.629177</v>
      </c>
      <c r="D20443" s="43" t="n">
        <v>147</v>
      </c>
      <c r="E20443" s="44" t="n">
        <v>4003.1086</v>
      </c>
    </row>
    <row r="20444">
      <c r="A20444" s="39">
        <f>_xlfn.XLOOKUP(83710,Trip[shape_id],Trip[shape_id],"Não encontrado")</f>
        <v/>
      </c>
      <c r="B20444" s="40" t="n">
        <v>-23.525023</v>
      </c>
      <c r="C20444" s="40" t="n">
        <v>-46.629397</v>
      </c>
      <c r="D20444" s="40" t="n">
        <v>148</v>
      </c>
      <c r="E20444" s="41" t="n">
        <v>4025.7883</v>
      </c>
    </row>
    <row r="20445">
      <c r="A20445" s="42">
        <f>_xlfn.XLOOKUP(83710,Trip[shape_id],Trip[shape_id],"Não encontrado")</f>
        <v/>
      </c>
      <c r="B20445" s="43" t="n">
        <v>-23.524846</v>
      </c>
      <c r="C20445" s="43" t="n">
        <v>-46.62983</v>
      </c>
      <c r="D20445" s="43" t="n">
        <v>149</v>
      </c>
      <c r="E20445" s="44" t="n">
        <v>4074.1575</v>
      </c>
    </row>
    <row r="20446">
      <c r="A20446" s="39">
        <f>_xlfn.XLOOKUP(83710,Trip[shape_id],Trip[shape_id],"Não encontrado")</f>
        <v/>
      </c>
      <c r="B20446" s="40" t="n">
        <v>-23.524385</v>
      </c>
      <c r="C20446" s="40" t="n">
        <v>-46.630564</v>
      </c>
      <c r="D20446" s="40" t="n">
        <v>150</v>
      </c>
      <c r="E20446" s="41" t="n">
        <v>4164.8516</v>
      </c>
    </row>
    <row r="20447">
      <c r="A20447" s="42">
        <f>_xlfn.XLOOKUP(83710,Trip[shape_id],Trip[shape_id],"Não encontrado")</f>
        <v/>
      </c>
      <c r="B20447" s="43" t="n">
        <v>-23.524293</v>
      </c>
      <c r="C20447" s="43" t="n">
        <v>-46.630716</v>
      </c>
      <c r="D20447" s="43" t="n">
        <v>151</v>
      </c>
      <c r="E20447" s="44" t="n">
        <v>4183.4199</v>
      </c>
    </row>
    <row r="20448">
      <c r="A20448" s="39">
        <f>_xlfn.XLOOKUP(83710,Trip[shape_id],Trip[shape_id],"Não encontrado")</f>
        <v/>
      </c>
      <c r="B20448" s="40" t="n">
        <v>-23.524188</v>
      </c>
      <c r="C20448" s="40" t="n">
        <v>-46.630911</v>
      </c>
      <c r="D20448" s="40" t="n">
        <v>152</v>
      </c>
      <c r="E20448" s="41" t="n">
        <v>4206.4805</v>
      </c>
    </row>
    <row r="20449">
      <c r="A20449" s="42">
        <f>_xlfn.XLOOKUP(83710,Trip[shape_id],Trip[shape_id],"Não encontrado")</f>
        <v/>
      </c>
      <c r="B20449" s="43" t="n">
        <v>-23.524125</v>
      </c>
      <c r="C20449" s="43" t="n">
        <v>-46.631026</v>
      </c>
      <c r="D20449" s="43" t="n">
        <v>153</v>
      </c>
      <c r="E20449" s="44" t="n">
        <v>4220.1411</v>
      </c>
    </row>
    <row r="20450">
      <c r="A20450" s="39">
        <f>_xlfn.XLOOKUP(83710,Trip[shape_id],Trip[shape_id],"Não encontrado")</f>
        <v/>
      </c>
      <c r="B20450" s="40" t="n">
        <v>-23.524581</v>
      </c>
      <c r="C20450" s="40" t="n">
        <v>-46.63111</v>
      </c>
      <c r="D20450" s="40" t="n">
        <v>154</v>
      </c>
      <c r="E20450" s="41" t="n">
        <v>4271.3672</v>
      </c>
    </row>
    <row r="20451">
      <c r="A20451" s="42">
        <f>_xlfn.XLOOKUP(83710,Trip[shape_id],Trip[shape_id],"Não encontrado")</f>
        <v/>
      </c>
      <c r="B20451" s="43" t="n">
        <v>-23.524931</v>
      </c>
      <c r="C20451" s="43" t="n">
        <v>-46.631164</v>
      </c>
      <c r="D20451" s="43" t="n">
        <v>155</v>
      </c>
      <c r="E20451" s="44" t="n">
        <v>4310.5205</v>
      </c>
    </row>
    <row r="20452">
      <c r="A20452" s="39">
        <f>_xlfn.XLOOKUP(83710,Trip[shape_id],Trip[shape_id],"Não encontrado")</f>
        <v/>
      </c>
      <c r="B20452" s="40" t="n">
        <v>-23.525404</v>
      </c>
      <c r="C20452" s="40" t="n">
        <v>-46.631227</v>
      </c>
      <c r="D20452" s="40" t="n">
        <v>156</v>
      </c>
      <c r="E20452" s="41" t="n">
        <v>4363.2998</v>
      </c>
    </row>
    <row r="20453">
      <c r="A20453" s="42">
        <f>_xlfn.XLOOKUP(83710,Trip[shape_id],Trip[shape_id],"Não encontrado")</f>
        <v/>
      </c>
      <c r="B20453" s="43" t="n">
        <v>-23.526009</v>
      </c>
      <c r="C20453" s="43" t="n">
        <v>-46.631305</v>
      </c>
      <c r="D20453" s="43" t="n">
        <v>157</v>
      </c>
      <c r="E20453" s="44" t="n">
        <v>4430.7764</v>
      </c>
    </row>
    <row r="20454">
      <c r="A20454" s="39">
        <f>_xlfn.XLOOKUP(83710,Trip[shape_id],Trip[shape_id],"Não encontrado")</f>
        <v/>
      </c>
      <c r="B20454" s="40" t="n">
        <v>-23.526107</v>
      </c>
      <c r="C20454" s="40" t="n">
        <v>-46.631322</v>
      </c>
      <c r="D20454" s="40" t="n">
        <v>158</v>
      </c>
      <c r="E20454" s="41" t="n">
        <v>4441.7676</v>
      </c>
    </row>
    <row r="20455">
      <c r="A20455" s="42">
        <f>_xlfn.XLOOKUP(83710,Trip[shape_id],Trip[shape_id],"Não encontrado")</f>
        <v/>
      </c>
      <c r="B20455" s="43" t="n">
        <v>-23.526305</v>
      </c>
      <c r="C20455" s="43" t="n">
        <v>-46.631235</v>
      </c>
      <c r="D20455" s="43" t="n">
        <v>159</v>
      </c>
      <c r="E20455" s="44" t="n">
        <v>4465.4277</v>
      </c>
    </row>
    <row r="20456">
      <c r="A20456" s="39">
        <f>_xlfn.XLOOKUP(83710,Trip[shape_id],Trip[shape_id],"Não encontrado")</f>
        <v/>
      </c>
      <c r="B20456" s="40" t="n">
        <v>-23.526541</v>
      </c>
      <c r="C20456" s="40" t="n">
        <v>-46.631332</v>
      </c>
      <c r="D20456" s="40" t="n">
        <v>160</v>
      </c>
      <c r="E20456" s="41" t="n">
        <v>4493.3794</v>
      </c>
    </row>
    <row r="20457">
      <c r="A20457" s="42">
        <f>_xlfn.XLOOKUP(83710,Trip[shape_id],Trip[shape_id],"Não encontrado")</f>
        <v/>
      </c>
      <c r="B20457" s="43" t="n">
        <v>-23.526771</v>
      </c>
      <c r="C20457" s="43" t="n">
        <v>-46.631377</v>
      </c>
      <c r="D20457" s="43" t="n">
        <v>161</v>
      </c>
      <c r="E20457" s="44" t="n">
        <v>4519.2632</v>
      </c>
    </row>
    <row r="20458">
      <c r="A20458" s="39">
        <f>_xlfn.XLOOKUP(83710,Trip[shape_id],Trip[shape_id],"Não encontrado")</f>
        <v/>
      </c>
      <c r="B20458" s="40" t="n">
        <v>-23.527513</v>
      </c>
      <c r="C20458" s="40" t="n">
        <v>-46.631494</v>
      </c>
      <c r="D20458" s="40" t="n">
        <v>162</v>
      </c>
      <c r="E20458" s="41" t="n">
        <v>4602.3047</v>
      </c>
    </row>
    <row r="20459">
      <c r="A20459" s="42">
        <f>_xlfn.XLOOKUP(83710,Trip[shape_id],Trip[shape_id],"Não encontrado")</f>
        <v/>
      </c>
      <c r="B20459" s="43" t="n">
        <v>-23.527829</v>
      </c>
      <c r="C20459" s="43" t="n">
        <v>-46.631554</v>
      </c>
      <c r="D20459" s="43" t="n">
        <v>163</v>
      </c>
      <c r="E20459" s="44" t="n">
        <v>4637.8345</v>
      </c>
    </row>
    <row r="20460">
      <c r="A20460" s="39">
        <f>_xlfn.XLOOKUP(83710,Trip[shape_id],Trip[shape_id],"Não encontrado")</f>
        <v/>
      </c>
      <c r="B20460" s="40" t="n">
        <v>-23.528167</v>
      </c>
      <c r="C20460" s="40" t="n">
        <v>-46.631619</v>
      </c>
      <c r="D20460" s="40" t="n">
        <v>164</v>
      </c>
      <c r="E20460" s="41" t="n">
        <v>4675.8525</v>
      </c>
    </row>
    <row r="20461">
      <c r="A20461" s="42">
        <f>_xlfn.XLOOKUP(83710,Trip[shape_id],Trip[shape_id],"Não encontrado")</f>
        <v/>
      </c>
      <c r="B20461" s="43" t="n">
        <v>-23.528758</v>
      </c>
      <c r="C20461" s="43" t="n">
        <v>-46.631732</v>
      </c>
      <c r="D20461" s="43" t="n">
        <v>165</v>
      </c>
      <c r="E20461" s="44" t="n">
        <v>4742.3159</v>
      </c>
    </row>
    <row r="20462">
      <c r="A20462" s="39">
        <f>_xlfn.XLOOKUP(83710,Trip[shape_id],Trip[shape_id],"Não encontrado")</f>
        <v/>
      </c>
      <c r="B20462" s="40" t="n">
        <v>-23.529553</v>
      </c>
      <c r="C20462" s="40" t="n">
        <v>-46.63198</v>
      </c>
      <c r="D20462" s="40" t="n">
        <v>166</v>
      </c>
      <c r="E20462" s="41" t="n">
        <v>4833.9331</v>
      </c>
    </row>
    <row r="20463">
      <c r="A20463" s="42">
        <f>_xlfn.XLOOKUP(83710,Trip[shape_id],Trip[shape_id],"Não encontrado")</f>
        <v/>
      </c>
      <c r="B20463" s="43" t="n">
        <v>-23.530335</v>
      </c>
      <c r="C20463" s="43" t="n">
        <v>-46.63222</v>
      </c>
      <c r="D20463" s="43" t="n">
        <v>167</v>
      </c>
      <c r="E20463" s="44" t="n">
        <v>4923.9419</v>
      </c>
    </row>
    <row r="20464">
      <c r="A20464" s="39">
        <f>_xlfn.XLOOKUP(83710,Trip[shape_id],Trip[shape_id],"Não encontrado")</f>
        <v/>
      </c>
      <c r="B20464" s="40" t="n">
        <v>-23.530607</v>
      </c>
      <c r="C20464" s="40" t="n">
        <v>-46.632311</v>
      </c>
      <c r="D20464" s="40" t="n">
        <v>168</v>
      </c>
      <c r="E20464" s="41" t="n">
        <v>4955.4668</v>
      </c>
    </row>
    <row r="20465">
      <c r="A20465" s="42">
        <f>_xlfn.XLOOKUP(83710,Trip[shape_id],Trip[shape_id],"Não encontrado")</f>
        <v/>
      </c>
      <c r="B20465" s="43" t="n">
        <v>-23.530735</v>
      </c>
      <c r="C20465" s="43" t="n">
        <v>-46.63235</v>
      </c>
      <c r="D20465" s="43" t="n">
        <v>169</v>
      </c>
      <c r="E20465" s="44" t="n">
        <v>4970.1919</v>
      </c>
    </row>
    <row r="20466">
      <c r="A20466" s="39">
        <f>_xlfn.XLOOKUP(83710,Trip[shape_id],Trip[shape_id],"Não encontrado")</f>
        <v/>
      </c>
      <c r="B20466" s="40" t="n">
        <v>-23.530993</v>
      </c>
      <c r="C20466" s="40" t="n">
        <v>-46.632425</v>
      </c>
      <c r="D20466" s="40" t="n">
        <v>170</v>
      </c>
      <c r="E20466" s="41" t="n">
        <v>4999.7744</v>
      </c>
    </row>
    <row r="20467">
      <c r="A20467" s="42">
        <f>_xlfn.XLOOKUP(83710,Trip[shape_id],Trip[shape_id],"Não encontrado")</f>
        <v/>
      </c>
      <c r="B20467" s="43" t="n">
        <v>-23.53227</v>
      </c>
      <c r="C20467" s="43" t="n">
        <v>-46.632806</v>
      </c>
      <c r="D20467" s="43" t="n">
        <v>171</v>
      </c>
      <c r="E20467" s="44" t="n">
        <v>5146.458</v>
      </c>
    </row>
    <row r="20468">
      <c r="A20468" s="39">
        <f>_xlfn.XLOOKUP(83710,Trip[shape_id],Trip[shape_id],"Não encontrado")</f>
        <v/>
      </c>
      <c r="B20468" s="40" t="n">
        <v>-23.532401</v>
      </c>
      <c r="C20468" s="40" t="n">
        <v>-46.63285</v>
      </c>
      <c r="D20468" s="40" t="n">
        <v>172</v>
      </c>
      <c r="E20468" s="41" t="n">
        <v>5161.6465</v>
      </c>
    </row>
    <row r="20469">
      <c r="A20469" s="42">
        <f>_xlfn.XLOOKUP(83710,Trip[shape_id],Trip[shape_id],"Não encontrado")</f>
        <v/>
      </c>
      <c r="B20469" s="43" t="n">
        <v>-23.532957</v>
      </c>
      <c r="C20469" s="43" t="n">
        <v>-46.633029</v>
      </c>
      <c r="D20469" s="43" t="n">
        <v>173</v>
      </c>
      <c r="E20469" s="44" t="n">
        <v>5225.8799</v>
      </c>
    </row>
    <row r="20470">
      <c r="A20470" s="39">
        <f>_xlfn.XLOOKUP(83710,Trip[shape_id],Trip[shape_id],"Não encontrado")</f>
        <v/>
      </c>
      <c r="B20470" s="40" t="n">
        <v>-23.533407</v>
      </c>
      <c r="C20470" s="40" t="n">
        <v>-46.633168</v>
      </c>
      <c r="D20470" s="40" t="n">
        <v>174</v>
      </c>
      <c r="E20470" s="41" t="n">
        <v>5277.6997</v>
      </c>
    </row>
    <row r="20471">
      <c r="A20471" s="42">
        <f>_xlfn.XLOOKUP(83710,Trip[shape_id],Trip[shape_id],"Não encontrado")</f>
        <v/>
      </c>
      <c r="B20471" s="43" t="n">
        <v>-23.533634</v>
      </c>
      <c r="C20471" s="43" t="n">
        <v>-46.633247</v>
      </c>
      <c r="D20471" s="43" t="n">
        <v>175</v>
      </c>
      <c r="E20471" s="44" t="n">
        <v>5304.1025</v>
      </c>
    </row>
    <row r="20472">
      <c r="A20472" s="39">
        <f>_xlfn.XLOOKUP(83710,Trip[shape_id],Trip[shape_id],"Não encontrado")</f>
        <v/>
      </c>
      <c r="B20472" s="40" t="n">
        <v>-23.534949</v>
      </c>
      <c r="C20472" s="40" t="n">
        <v>-46.6337</v>
      </c>
      <c r="D20472" s="40" t="n">
        <v>176</v>
      </c>
      <c r="E20472" s="41" t="n">
        <v>5456.9106</v>
      </c>
    </row>
    <row r="20473">
      <c r="A20473" s="42">
        <f>_xlfn.XLOOKUP(83710,Trip[shape_id],Trip[shape_id],"Não encontrado")</f>
        <v/>
      </c>
      <c r="B20473" s="43" t="n">
        <v>-23.535202</v>
      </c>
      <c r="C20473" s="43" t="n">
        <v>-46.633771</v>
      </c>
      <c r="D20473" s="43" t="n">
        <v>177</v>
      </c>
      <c r="E20473" s="44" t="n">
        <v>5485.8535</v>
      </c>
    </row>
    <row r="20474">
      <c r="A20474" s="39">
        <f>_xlfn.XLOOKUP(83710,Trip[shape_id],Trip[shape_id],"Não encontrado")</f>
        <v/>
      </c>
      <c r="B20474" s="40" t="n">
        <v>-23.535765</v>
      </c>
      <c r="C20474" s="40" t="n">
        <v>-46.63395</v>
      </c>
      <c r="D20474" s="40" t="n">
        <v>178</v>
      </c>
      <c r="E20474" s="41" t="n">
        <v>5550.8306</v>
      </c>
    </row>
    <row r="20475">
      <c r="A20475" s="42">
        <f>_xlfn.XLOOKUP(83710,Trip[shape_id],Trip[shape_id],"Não encontrado")</f>
        <v/>
      </c>
      <c r="B20475" s="43" t="n">
        <v>-23.53786</v>
      </c>
      <c r="C20475" s="43" t="n">
        <v>-46.634587</v>
      </c>
      <c r="D20475" s="43" t="n">
        <v>179</v>
      </c>
      <c r="E20475" s="44" t="n">
        <v>5791.8003</v>
      </c>
    </row>
    <row r="20476">
      <c r="A20476" s="39">
        <f>_xlfn.XLOOKUP(83710,Trip[shape_id],Trip[shape_id],"Não encontrado")</f>
        <v/>
      </c>
      <c r="B20476" s="40" t="n">
        <v>-23.538509</v>
      </c>
      <c r="C20476" s="40" t="n">
        <v>-46.634784</v>
      </c>
      <c r="D20476" s="40" t="n">
        <v>180</v>
      </c>
      <c r="E20476" s="41" t="n">
        <v>5866.4399</v>
      </c>
    </row>
    <row r="20477">
      <c r="A20477" s="42">
        <f>_xlfn.XLOOKUP(83710,Trip[shape_id],Trip[shape_id],"Não encontrado")</f>
        <v/>
      </c>
      <c r="B20477" s="43" t="n">
        <v>-23.539073</v>
      </c>
      <c r="C20477" s="43" t="n">
        <v>-46.634955</v>
      </c>
      <c r="D20477" s="43" t="n">
        <v>181</v>
      </c>
      <c r="E20477" s="44" t="n">
        <v>5931.2983</v>
      </c>
    </row>
    <row r="20478">
      <c r="A20478" s="39">
        <f>_xlfn.XLOOKUP(83710,Trip[shape_id],Trip[shape_id],"Não encontrado")</f>
        <v/>
      </c>
      <c r="B20478" s="40" t="n">
        <v>-23.539182</v>
      </c>
      <c r="C20478" s="40" t="n">
        <v>-46.634991</v>
      </c>
      <c r="D20478" s="40" t="n">
        <v>182</v>
      </c>
      <c r="E20478" s="41" t="n">
        <v>5943.9175</v>
      </c>
    </row>
    <row r="20479">
      <c r="A20479" s="42">
        <f>_xlfn.XLOOKUP(83710,Trip[shape_id],Trip[shape_id],"Não encontrado")</f>
        <v/>
      </c>
      <c r="B20479" s="43" t="n">
        <v>-23.540251</v>
      </c>
      <c r="C20479" s="43" t="n">
        <v>-46.635343</v>
      </c>
      <c r="D20479" s="43" t="n">
        <v>183</v>
      </c>
      <c r="E20479" s="44" t="n">
        <v>6067.6465</v>
      </c>
    </row>
    <row r="20480">
      <c r="A20480" s="39">
        <f>_xlfn.XLOOKUP(83710,Trip[shape_id],Trip[shape_id],"Não encontrado")</f>
        <v/>
      </c>
      <c r="B20480" s="40" t="n">
        <v>-23.540406</v>
      </c>
      <c r="C20480" s="40" t="n">
        <v>-46.635404</v>
      </c>
      <c r="D20480" s="40" t="n">
        <v>184</v>
      </c>
      <c r="E20480" s="41" t="n">
        <v>6085.9082</v>
      </c>
    </row>
    <row r="20481">
      <c r="A20481" s="42">
        <f>_xlfn.XLOOKUP(83710,Trip[shape_id],Trip[shape_id],"Não encontrado")</f>
        <v/>
      </c>
      <c r="B20481" s="43" t="n">
        <v>-23.540827</v>
      </c>
      <c r="C20481" s="43" t="n">
        <v>-46.635568</v>
      </c>
      <c r="D20481" s="43" t="n">
        <v>185</v>
      </c>
      <c r="E20481" s="44" t="n">
        <v>6135.4507</v>
      </c>
    </row>
    <row r="20482">
      <c r="A20482" s="39">
        <f>_xlfn.XLOOKUP(83710,Trip[shape_id],Trip[shape_id],"Não encontrado")</f>
        <v/>
      </c>
      <c r="B20482" s="40" t="n">
        <v>-23.540968</v>
      </c>
      <c r="C20482" s="40" t="n">
        <v>-46.63561</v>
      </c>
      <c r="D20482" s="40" t="n">
        <v>186</v>
      </c>
      <c r="E20482" s="41" t="n">
        <v>6151.645</v>
      </c>
    </row>
    <row r="20483">
      <c r="A20483" s="42">
        <f>_xlfn.XLOOKUP(83710,Trip[shape_id],Trip[shape_id],"Não encontrado")</f>
        <v/>
      </c>
      <c r="B20483" s="43" t="n">
        <v>-23.541014</v>
      </c>
      <c r="C20483" s="43" t="n">
        <v>-46.635621</v>
      </c>
      <c r="D20483" s="43" t="n">
        <v>187</v>
      </c>
      <c r="E20483" s="44" t="n">
        <v>6156.8628</v>
      </c>
    </row>
    <row r="20484">
      <c r="A20484" s="39">
        <f>_xlfn.XLOOKUP(83710,Trip[shape_id],Trip[shape_id],"Não encontrado")</f>
        <v/>
      </c>
      <c r="B20484" s="40" t="n">
        <v>-23.541046</v>
      </c>
      <c r="C20484" s="40" t="n">
        <v>-46.635618</v>
      </c>
      <c r="D20484" s="40" t="n">
        <v>188</v>
      </c>
      <c r="E20484" s="41" t="n">
        <v>6160.4189</v>
      </c>
    </row>
    <row r="20485">
      <c r="A20485" s="42">
        <f>_xlfn.XLOOKUP(83710,Trip[shape_id],Trip[shape_id],"Não encontrado")</f>
        <v/>
      </c>
      <c r="B20485" s="43" t="n">
        <v>-23.541113</v>
      </c>
      <c r="C20485" s="43" t="n">
        <v>-46.63561</v>
      </c>
      <c r="D20485" s="43" t="n">
        <v>189</v>
      </c>
      <c r="E20485" s="44" t="n">
        <v>6167.8843</v>
      </c>
    </row>
    <row r="20486">
      <c r="A20486" s="39">
        <f>_xlfn.XLOOKUP(83710,Trip[shape_id],Trip[shape_id],"Não encontrado")</f>
        <v/>
      </c>
      <c r="B20486" s="40" t="n">
        <v>-23.541093</v>
      </c>
      <c r="C20486" s="40" t="n">
        <v>-46.635499</v>
      </c>
      <c r="D20486" s="40" t="n">
        <v>190</v>
      </c>
      <c r="E20486" s="41" t="n">
        <v>6179.4331</v>
      </c>
    </row>
    <row r="20487">
      <c r="A20487" s="42">
        <f>_xlfn.XLOOKUP(83710,Trip[shape_id],Trip[shape_id],"Não encontrado")</f>
        <v/>
      </c>
      <c r="B20487" s="43" t="n">
        <v>-23.541085</v>
      </c>
      <c r="C20487" s="43" t="n">
        <v>-46.635435</v>
      </c>
      <c r="D20487" s="43" t="n">
        <v>191</v>
      </c>
      <c r="E20487" s="44" t="n">
        <v>6186.0283</v>
      </c>
    </row>
    <row r="20488">
      <c r="A20488" s="39">
        <f>_xlfn.XLOOKUP(83710,Trip[shape_id],Trip[shape_id],"Não encontrado")</f>
        <v/>
      </c>
      <c r="B20488" s="40" t="n">
        <v>-23.541095</v>
      </c>
      <c r="C20488" s="40" t="n">
        <v>-46.635357</v>
      </c>
      <c r="D20488" s="40" t="n">
        <v>192</v>
      </c>
      <c r="E20488" s="41" t="n">
        <v>6194.0698</v>
      </c>
    </row>
    <row r="20489">
      <c r="A20489" s="42">
        <f>_xlfn.XLOOKUP(83710,Trip[shape_id],Trip[shape_id],"Não encontrado")</f>
        <v/>
      </c>
      <c r="B20489" s="43" t="n">
        <v>-23.54133</v>
      </c>
      <c r="C20489" s="43" t="n">
        <v>-46.634624</v>
      </c>
      <c r="D20489" s="43" t="n">
        <v>193</v>
      </c>
      <c r="E20489" s="44" t="n">
        <v>6273.312</v>
      </c>
    </row>
    <row r="20490">
      <c r="A20490" s="39">
        <f>_xlfn.XLOOKUP(83710,Trip[shape_id],Trip[shape_id],"Não encontrado")</f>
        <v/>
      </c>
      <c r="B20490" s="40" t="n">
        <v>-23.541347</v>
      </c>
      <c r="C20490" s="40" t="n">
        <v>-46.634569</v>
      </c>
      <c r="D20490" s="40" t="n">
        <v>194</v>
      </c>
      <c r="E20490" s="41" t="n">
        <v>6279.2349</v>
      </c>
    </row>
    <row r="20491">
      <c r="A20491" s="42">
        <f>_xlfn.XLOOKUP(83710,Trip[shape_id],Trip[shape_id],"Não encontrado")</f>
        <v/>
      </c>
      <c r="B20491" s="43" t="n">
        <v>-23.541399</v>
      </c>
      <c r="C20491" s="43" t="n">
        <v>-46.634413</v>
      </c>
      <c r="D20491" s="43" t="n">
        <v>195</v>
      </c>
      <c r="E20491" s="44" t="n">
        <v>6296.1729</v>
      </c>
    </row>
    <row r="20492">
      <c r="A20492" s="39">
        <f>_xlfn.XLOOKUP(83710,Trip[shape_id],Trip[shape_id],"Não encontrado")</f>
        <v/>
      </c>
      <c r="B20492" s="40" t="n">
        <v>-23.541411</v>
      </c>
      <c r="C20492" s="40" t="n">
        <v>-46.634382</v>
      </c>
      <c r="D20492" s="40" t="n">
        <v>196</v>
      </c>
      <c r="E20492" s="41" t="n">
        <v>6299.606</v>
      </c>
    </row>
    <row r="20493">
      <c r="A20493" s="42">
        <f>_xlfn.XLOOKUP(83710,Trip[shape_id],Trip[shape_id],"Não encontrado")</f>
        <v/>
      </c>
      <c r="B20493" s="43" t="n">
        <v>-23.541419</v>
      </c>
      <c r="C20493" s="43" t="n">
        <v>-46.634363</v>
      </c>
      <c r="D20493" s="43" t="n">
        <v>197</v>
      </c>
      <c r="E20493" s="44" t="n">
        <v>6301.7388</v>
      </c>
    </row>
    <row r="20494">
      <c r="A20494" s="39">
        <f>_xlfn.XLOOKUP(83710,Trip[shape_id],Trip[shape_id],"Não encontrado")</f>
        <v/>
      </c>
      <c r="B20494" s="40" t="n">
        <v>-23.541457</v>
      </c>
      <c r="C20494" s="40" t="n">
        <v>-46.634386</v>
      </c>
      <c r="D20494" s="40" t="n">
        <v>198</v>
      </c>
      <c r="E20494" s="41" t="n">
        <v>6326.7739</v>
      </c>
    </row>
    <row r="20495">
      <c r="A20495" s="42">
        <f>_xlfn.XLOOKUP(83710,Trip[shape_id],Trip[shape_id],"Não encontrado")</f>
        <v/>
      </c>
      <c r="B20495" s="43" t="n">
        <v>-23.541614</v>
      </c>
      <c r="C20495" s="43" t="n">
        <v>-46.634487</v>
      </c>
      <c r="D20495" s="43" t="n">
        <v>199</v>
      </c>
      <c r="E20495" s="44" t="n">
        <v>6363.3511</v>
      </c>
    </row>
    <row r="20496">
      <c r="A20496" s="39">
        <f>_xlfn.XLOOKUP(83710,Trip[shape_id],Trip[shape_id],"Não encontrado")</f>
        <v/>
      </c>
      <c r="B20496" s="40" t="n">
        <v>-23.541899</v>
      </c>
      <c r="C20496" s="40" t="n">
        <v>-46.634668</v>
      </c>
      <c r="D20496" s="40" t="n">
        <v>200</v>
      </c>
      <c r="E20496" s="41" t="n">
        <v>6395.5762</v>
      </c>
    </row>
    <row r="20497">
      <c r="A20497" s="42">
        <f>_xlfn.XLOOKUP(83710,Trip[shape_id],Trip[shape_id],"Não encontrado")</f>
        <v/>
      </c>
      <c r="B20497" s="43" t="n">
        <v>-23.542138</v>
      </c>
      <c r="C20497" s="43" t="n">
        <v>-46.634848</v>
      </c>
      <c r="D20497" s="43" t="n">
        <v>201</v>
      </c>
      <c r="E20497" s="44" t="n">
        <v>6395.5762</v>
      </c>
    </row>
    <row r="20498">
      <c r="A20498" s="39">
        <f>_xlfn.XLOOKUP(83710,Trip[shape_id],Trip[shape_id],"Não encontrado")</f>
        <v/>
      </c>
      <c r="B20498" s="40" t="n">
        <v>-23.542259</v>
      </c>
      <c r="C20498" s="40" t="n">
        <v>-46.634939</v>
      </c>
      <c r="D20498" s="40" t="n">
        <v>202</v>
      </c>
      <c r="E20498" s="41" t="n">
        <v>6411.8833</v>
      </c>
    </row>
    <row r="20499">
      <c r="A20499" s="42">
        <f>_xlfn.XLOOKUP(83710,Trip[shape_id],Trip[shape_id],"Não encontrado")</f>
        <v/>
      </c>
      <c r="B20499" s="43" t="n">
        <v>-23.54274</v>
      </c>
      <c r="C20499" s="43" t="n">
        <v>-46.635302</v>
      </c>
      <c r="D20499" s="43" t="n">
        <v>203</v>
      </c>
      <c r="E20499" s="44" t="n">
        <v>6490.7148</v>
      </c>
    </row>
    <row r="20500">
      <c r="A20500" s="39">
        <f>_xlfn.XLOOKUP(83710,Trip[shape_id],Trip[shape_id],"Não encontrado")</f>
        <v/>
      </c>
      <c r="B20500" s="40" t="n">
        <v>-23.542848</v>
      </c>
      <c r="C20500" s="40" t="n">
        <v>-46.635372</v>
      </c>
      <c r="D20500" s="40" t="n">
        <v>204</v>
      </c>
      <c r="E20500" s="41" t="n">
        <v>6515.8965</v>
      </c>
    </row>
    <row r="20501">
      <c r="A20501" s="42">
        <f>_xlfn.XLOOKUP(83710,Trip[shape_id],Trip[shape_id],"Não encontrado")</f>
        <v/>
      </c>
      <c r="B20501" s="43" t="n">
        <v>-23.543044</v>
      </c>
      <c r="C20501" s="43" t="n">
        <v>-46.635497</v>
      </c>
      <c r="D20501" s="43" t="n">
        <v>205</v>
      </c>
      <c r="E20501" s="44" t="n">
        <v>6535.9526</v>
      </c>
    </row>
    <row r="20502">
      <c r="A20502" s="39">
        <f>_xlfn.XLOOKUP(83710,Trip[shape_id],Trip[shape_id],"Não encontrado")</f>
        <v/>
      </c>
      <c r="B20502" s="40" t="n">
        <v>-23.543204</v>
      </c>
      <c r="C20502" s="40" t="n">
        <v>-46.635589</v>
      </c>
      <c r="D20502" s="40" t="n">
        <v>206</v>
      </c>
      <c r="E20502" s="41" t="n">
        <v>6556.2026</v>
      </c>
    </row>
    <row r="20503">
      <c r="A20503" s="42">
        <f>_xlfn.XLOOKUP(83710,Trip[shape_id],Trip[shape_id],"Não encontrado")</f>
        <v/>
      </c>
      <c r="B20503" s="43" t="n">
        <v>-23.543365</v>
      </c>
      <c r="C20503" s="43" t="n">
        <v>-46.635683</v>
      </c>
      <c r="D20503" s="43" t="n">
        <v>207</v>
      </c>
      <c r="E20503" s="44" t="n">
        <v>6574.9443</v>
      </c>
    </row>
    <row r="20504">
      <c r="A20504" s="39">
        <f>_xlfn.XLOOKUP(83710,Trip[shape_id],Trip[shape_id],"Não encontrado")</f>
        <v/>
      </c>
      <c r="B20504" s="40" t="n">
        <v>-23.543513</v>
      </c>
      <c r="C20504" s="40" t="n">
        <v>-46.635772</v>
      </c>
      <c r="D20504" s="40" t="n">
        <v>208</v>
      </c>
      <c r="E20504" s="41" t="n">
        <v>6596.6133</v>
      </c>
    </row>
    <row r="20505">
      <c r="A20505" s="42">
        <f>_xlfn.XLOOKUP(83710,Trip[shape_id],Trip[shape_id],"Não encontrado")</f>
        <v/>
      </c>
      <c r="B20505" s="43" t="n">
        <v>-23.543675</v>
      </c>
      <c r="C20505" s="43" t="n">
        <v>-46.635891</v>
      </c>
      <c r="D20505" s="43" t="n">
        <v>209</v>
      </c>
      <c r="E20505" s="44" t="n">
        <v>6633.7109</v>
      </c>
    </row>
    <row r="20506">
      <c r="A20506" s="39">
        <f>_xlfn.XLOOKUP(83710,Trip[shape_id],Trip[shape_id],"Não encontrado")</f>
        <v/>
      </c>
      <c r="B20506" s="40" t="n">
        <v>-23.543972</v>
      </c>
      <c r="C20506" s="40" t="n">
        <v>-46.636059</v>
      </c>
      <c r="D20506" s="40" t="n">
        <v>210</v>
      </c>
      <c r="E20506" s="41" t="n">
        <v>6688.2163</v>
      </c>
    </row>
    <row r="20507">
      <c r="A20507" s="42">
        <f>_xlfn.XLOOKUP(83710,Trip[shape_id],Trip[shape_id],"Não encontrado")</f>
        <v/>
      </c>
      <c r="B20507" s="43" t="n">
        <v>-23.544396</v>
      </c>
      <c r="C20507" s="43" t="n">
        <v>-46.63633</v>
      </c>
      <c r="D20507" s="43" t="n">
        <v>211</v>
      </c>
      <c r="E20507" s="44" t="n">
        <v>6818.1323</v>
      </c>
    </row>
    <row r="20508">
      <c r="A20508" s="39">
        <f>_xlfn.XLOOKUP(83710,Trip[shape_id],Trip[shape_id],"Não encontrado")</f>
        <v/>
      </c>
      <c r="B20508" s="40" t="n">
        <v>-23.5454</v>
      </c>
      <c r="C20508" s="40" t="n">
        <v>-46.636988</v>
      </c>
      <c r="D20508" s="40" t="n">
        <v>212</v>
      </c>
      <c r="E20508" s="41" t="n">
        <v>6882.5854</v>
      </c>
    </row>
    <row r="20509">
      <c r="A20509" s="42">
        <f>_xlfn.XLOOKUP(83710,Trip[shape_id],Trip[shape_id],"Não encontrado")</f>
        <v/>
      </c>
      <c r="B20509" s="43" t="n">
        <v>-23.5459</v>
      </c>
      <c r="C20509" s="43" t="n">
        <v>-46.637311</v>
      </c>
      <c r="D20509" s="43" t="n">
        <v>213</v>
      </c>
      <c r="E20509" s="44" t="n">
        <v>7037.291</v>
      </c>
    </row>
    <row r="20510">
      <c r="A20510" s="39">
        <f>_xlfn.XLOOKUP(83710,Trip[shape_id],Trip[shape_id],"Não encontrado")</f>
        <v/>
      </c>
      <c r="B20510" s="40" t="n">
        <v>-23.547097</v>
      </c>
      <c r="C20510" s="40" t="n">
        <v>-46.638092</v>
      </c>
      <c r="D20510" s="40" t="n">
        <v>214</v>
      </c>
      <c r="E20510" s="41" t="n">
        <v>7037.291</v>
      </c>
    </row>
    <row r="20511">
      <c r="A20511" s="42">
        <f>_xlfn.XLOOKUP(83710,Trip[shape_id],Trip[shape_id],"Não encontrado")</f>
        <v/>
      </c>
      <c r="B20511" s="43" t="n">
        <v>-23.547697</v>
      </c>
      <c r="C20511" s="43" t="n">
        <v>-46.638473</v>
      </c>
      <c r="D20511" s="43" t="n">
        <v>215</v>
      </c>
      <c r="E20511" s="44" t="n">
        <v>7136.5811</v>
      </c>
    </row>
    <row r="20512">
      <c r="A20512" s="39">
        <f>_xlfn.XLOOKUP(83710,Trip[shape_id],Trip[shape_id],"Não encontrado")</f>
        <v/>
      </c>
      <c r="B20512" s="40" t="n">
        <v>-23.547862</v>
      </c>
      <c r="C20512" s="40" t="n">
        <v>-46.638598</v>
      </c>
      <c r="D20512" s="40" t="n">
        <v>216</v>
      </c>
      <c r="E20512" s="41" t="n">
        <v>7136.5811</v>
      </c>
    </row>
    <row r="20513">
      <c r="A20513" s="42">
        <f>_xlfn.XLOOKUP(83710,Trip[shape_id],Trip[shape_id],"Não encontrado")</f>
        <v/>
      </c>
      <c r="B20513" s="43" t="n">
        <v>-23.548167</v>
      </c>
      <c r="C20513" s="43" t="n">
        <v>-46.6388</v>
      </c>
      <c r="D20513" s="43" t="n">
        <v>217</v>
      </c>
      <c r="E20513" s="44" t="n">
        <v>7194.9756</v>
      </c>
    </row>
    <row r="20514">
      <c r="A20514" s="39">
        <f>_xlfn.XLOOKUP(83710,Trip[shape_id],Trip[shape_id],"Não encontrado")</f>
        <v/>
      </c>
      <c r="B20514" s="40" t="n">
        <v>-23.548323</v>
      </c>
      <c r="C20514" s="40" t="n">
        <v>-46.638873</v>
      </c>
      <c r="D20514" s="40" t="n">
        <v>218</v>
      </c>
      <c r="E20514" s="41" t="n">
        <v>7194.9756</v>
      </c>
    </row>
    <row r="20515">
      <c r="A20515" s="42">
        <f>_xlfn.XLOOKUP(83710,Trip[shape_id],Trip[shape_id],"Não encontrado")</f>
        <v/>
      </c>
      <c r="B20515" s="43" t="n">
        <v>-23.548539</v>
      </c>
      <c r="C20515" s="43" t="n">
        <v>-46.638964</v>
      </c>
      <c r="D20515" s="43" t="n">
        <v>219</v>
      </c>
      <c r="E20515" s="44" t="n">
        <v>7234.3315</v>
      </c>
    </row>
    <row r="20516">
      <c r="A20516" s="39">
        <f>_xlfn.XLOOKUP(83710,Trip[shape_id],Trip[shape_id],"Não encontrado")</f>
        <v/>
      </c>
      <c r="B20516" s="40" t="n">
        <v>-23.548657</v>
      </c>
      <c r="C20516" s="40" t="n">
        <v>-46.639004</v>
      </c>
      <c r="D20516" s="40" t="n">
        <v>220</v>
      </c>
      <c r="E20516" s="41" t="n">
        <v>7247.1885</v>
      </c>
    </row>
    <row r="20517">
      <c r="A20517" s="42">
        <f>_xlfn.XLOOKUP(83710,Trip[shape_id],Trip[shape_id],"Não encontrado")</f>
        <v/>
      </c>
      <c r="B20517" s="43" t="n">
        <v>-23.548773</v>
      </c>
      <c r="C20517" s="43" t="n">
        <v>-46.639009</v>
      </c>
      <c r="D20517" s="43" t="n">
        <v>221</v>
      </c>
      <c r="E20517" s="44" t="n">
        <v>7261.7148</v>
      </c>
    </row>
    <row r="20518">
      <c r="A20518" s="39">
        <f>_xlfn.XLOOKUP(83710,Trip[shape_id],Trip[shape_id],"Não encontrado")</f>
        <v/>
      </c>
      <c r="B20518" s="40" t="n">
        <v>-23.548904</v>
      </c>
      <c r="C20518" s="40" t="n">
        <v>-46.639002</v>
      </c>
      <c r="D20518" s="40" t="n">
        <v>222</v>
      </c>
      <c r="E20518" s="41" t="n">
        <v>7261.7148</v>
      </c>
    </row>
    <row r="20519">
      <c r="A20519" s="42">
        <f>_xlfn.XLOOKUP(83710,Trip[shape_id],Trip[shape_id],"Não encontrado")</f>
        <v/>
      </c>
      <c r="B20519" s="43" t="n">
        <v>-23.54912</v>
      </c>
      <c r="C20519" s="43" t="n">
        <v>-46.638916</v>
      </c>
      <c r="D20519" s="43" t="n">
        <v>223</v>
      </c>
      <c r="E20519" s="44" t="n">
        <v>7316.3066</v>
      </c>
    </row>
    <row r="20520">
      <c r="A20520" s="39">
        <f>_xlfn.XLOOKUP(83710,Trip[shape_id],Trip[shape_id],"Não encontrado")</f>
        <v/>
      </c>
      <c r="B20520" s="40" t="n">
        <v>-23.549351</v>
      </c>
      <c r="C20520" s="40" t="n">
        <v>-46.63878</v>
      </c>
      <c r="D20520" s="40" t="n">
        <v>224</v>
      </c>
      <c r="E20520" s="41" t="n">
        <v>7316.3066</v>
      </c>
    </row>
    <row r="20521">
      <c r="A20521" s="42">
        <f>_xlfn.XLOOKUP(83710,Trip[shape_id],Trip[shape_id],"Não encontrado")</f>
        <v/>
      </c>
      <c r="B20521" s="43" t="n">
        <v>-23.549947</v>
      </c>
      <c r="C20521" s="43" t="n">
        <v>-46.638425</v>
      </c>
      <c r="D20521" s="43" t="n">
        <v>225</v>
      </c>
      <c r="E20521" s="44" t="n">
        <v>7391.6118</v>
      </c>
    </row>
    <row r="20522">
      <c r="A20522" s="39">
        <f>_xlfn.XLOOKUP(83710,Trip[shape_id],Trip[shape_id],"Não encontrado")</f>
        <v/>
      </c>
      <c r="B20522" s="40" t="n">
        <v>-23.550019</v>
      </c>
      <c r="C20522" s="40" t="n">
        <v>-46.63838</v>
      </c>
      <c r="D20522" s="40" t="n">
        <v>226</v>
      </c>
      <c r="E20522" s="41" t="n">
        <v>7400.8149</v>
      </c>
    </row>
    <row r="20523">
      <c r="A20523" s="42">
        <f>_xlfn.XLOOKUP(83710,Trip[shape_id],Trip[shape_id],"Não encontrado")</f>
        <v/>
      </c>
      <c r="B20523" s="43" t="n">
        <v>-23.550238</v>
      </c>
      <c r="C20523" s="43" t="n">
        <v>-46.638268</v>
      </c>
      <c r="D20523" s="43" t="n">
        <v>227</v>
      </c>
      <c r="E20523" s="44" t="n">
        <v>7448.2461</v>
      </c>
    </row>
    <row r="20524">
      <c r="A20524" s="39">
        <f>_xlfn.XLOOKUP(83710,Trip[shape_id],Trip[shape_id],"Não encontrado")</f>
        <v/>
      </c>
      <c r="B20524" s="40" t="n">
        <v>-23.550397</v>
      </c>
      <c r="C20524" s="40" t="n">
        <v>-46.638163</v>
      </c>
      <c r="D20524" s="40" t="n">
        <v>228</v>
      </c>
      <c r="E20524" s="41" t="n">
        <v>7464.5063</v>
      </c>
    </row>
    <row r="20525">
      <c r="A20525" s="42">
        <f>_xlfn.XLOOKUP(83710,Trip[shape_id],Trip[shape_id],"Não encontrado")</f>
        <v/>
      </c>
      <c r="B20525" s="43" t="n">
        <v>-23.550525</v>
      </c>
      <c r="C20525" s="43" t="n">
        <v>-46.638085</v>
      </c>
      <c r="D20525" s="43" t="n">
        <v>229</v>
      </c>
      <c r="E20525" s="44" t="n">
        <v>7464.5063</v>
      </c>
    </row>
    <row r="20526">
      <c r="A20526" s="39">
        <f>_xlfn.XLOOKUP(83710,Trip[shape_id],Trip[shape_id],"Não encontrado")</f>
        <v/>
      </c>
      <c r="B20526" s="40" t="n">
        <v>-23.550828</v>
      </c>
      <c r="C20526" s="40" t="n">
        <v>-46.637861</v>
      </c>
      <c r="D20526" s="40" t="n">
        <v>230</v>
      </c>
      <c r="E20526" s="41" t="n">
        <v>7505.1167</v>
      </c>
    </row>
    <row r="20527">
      <c r="A20527" s="42">
        <f>_xlfn.XLOOKUP(83710,Trip[shape_id],Trip[shape_id],"Não encontrado")</f>
        <v/>
      </c>
      <c r="B20527" s="43" t="n">
        <v>-23.551237</v>
      </c>
      <c r="C20527" s="43" t="n">
        <v>-46.63756</v>
      </c>
      <c r="D20527" s="43" t="n">
        <v>231</v>
      </c>
      <c r="E20527" s="44" t="n">
        <v>7559.8555</v>
      </c>
    </row>
    <row r="20528">
      <c r="A20528" s="39">
        <f>_xlfn.XLOOKUP(83710,Trip[shape_id],Trip[shape_id],"Não encontrado")</f>
        <v/>
      </c>
      <c r="B20528" s="40" t="n">
        <v>-23.551557</v>
      </c>
      <c r="C20528" s="40" t="n">
        <v>-46.637329</v>
      </c>
      <c r="D20528" s="40" t="n">
        <v>232</v>
      </c>
      <c r="E20528" s="41" t="n">
        <v>7602.4268</v>
      </c>
    </row>
    <row r="20529">
      <c r="A20529" s="42">
        <f>_xlfn.XLOOKUP(83710,Trip[shape_id],Trip[shape_id],"Não encontrado")</f>
        <v/>
      </c>
      <c r="B20529" s="43" t="n">
        <v>-23.551693</v>
      </c>
      <c r="C20529" s="43" t="n">
        <v>-46.637208</v>
      </c>
      <c r="D20529" s="43" t="n">
        <v>233</v>
      </c>
      <c r="E20529" s="44" t="n">
        <v>7655.9341</v>
      </c>
    </row>
    <row r="20530">
      <c r="A20530" s="39">
        <f>_xlfn.XLOOKUP(83710,Trip[shape_id],Trip[shape_id],"Não encontrado")</f>
        <v/>
      </c>
      <c r="B20530" s="40" t="n">
        <v>-23.551964</v>
      </c>
      <c r="C20530" s="40" t="n">
        <v>-46.637051</v>
      </c>
      <c r="D20530" s="40" t="n">
        <v>234</v>
      </c>
      <c r="E20530" s="41" t="n">
        <v>7678.2725</v>
      </c>
    </row>
    <row r="20531">
      <c r="A20531" s="42">
        <f>_xlfn.XLOOKUP(83710,Trip[shape_id],Trip[shape_id],"Não encontrado")</f>
        <v/>
      </c>
      <c r="B20531" s="43" t="n">
        <v>-23.552147</v>
      </c>
      <c r="C20531" s="43" t="n">
        <v>-46.636959</v>
      </c>
      <c r="D20531" s="43" t="n">
        <v>235</v>
      </c>
      <c r="E20531" s="44" t="n">
        <v>7678.2725</v>
      </c>
    </row>
    <row r="20532">
      <c r="A20532" s="39">
        <f>_xlfn.XLOOKUP(83710,Trip[shape_id],Trip[shape_id],"Não encontrado")</f>
        <v/>
      </c>
      <c r="B20532" s="40" t="n">
        <v>-23.552222</v>
      </c>
      <c r="C20532" s="40" t="n">
        <v>-46.636892</v>
      </c>
      <c r="D20532" s="40" t="n">
        <v>236</v>
      </c>
      <c r="E20532" s="41" t="n">
        <v>7696.4644</v>
      </c>
    </row>
    <row r="20533">
      <c r="A20533" s="42">
        <f>_xlfn.XLOOKUP(83710,Trip[shape_id],Trip[shape_id],"Não encontrado")</f>
        <v/>
      </c>
      <c r="B20533" s="43" t="n">
        <v>-23.552289</v>
      </c>
      <c r="C20533" s="43" t="n">
        <v>-46.636896</v>
      </c>
      <c r="D20533" s="43" t="n">
        <v>237</v>
      </c>
      <c r="E20533" s="44" t="n">
        <v>7696.4644</v>
      </c>
    </row>
    <row r="20534">
      <c r="A20534" s="39">
        <f>_xlfn.XLOOKUP(83710,Trip[shape_id],Trip[shape_id],"Não encontrado")</f>
        <v/>
      </c>
      <c r="B20534" s="40" t="n">
        <v>-23.552406</v>
      </c>
      <c r="C20534" s="40" t="n">
        <v>-46.636868</v>
      </c>
      <c r="D20534" s="40" t="n">
        <v>238</v>
      </c>
      <c r="E20534" s="41" t="n">
        <v>7709.7339</v>
      </c>
    </row>
    <row r="20535">
      <c r="A20535" s="42">
        <f>_xlfn.XLOOKUP(83710,Trip[shape_id],Trip[shape_id],"Não encontrado")</f>
        <v/>
      </c>
      <c r="B20535" s="43" t="n">
        <v>-23.552743</v>
      </c>
      <c r="C20535" s="43" t="n">
        <v>-46.636785</v>
      </c>
      <c r="D20535" s="43" t="n">
        <v>239</v>
      </c>
      <c r="E20535" s="44" t="n">
        <v>7748.0073</v>
      </c>
    </row>
    <row r="20536">
      <c r="A20536" s="39">
        <f>_xlfn.XLOOKUP(83710,Trip[shape_id],Trip[shape_id],"Não encontrado")</f>
        <v/>
      </c>
      <c r="B20536" s="40" t="n">
        <v>-23.553101</v>
      </c>
      <c r="C20536" s="40" t="n">
        <v>-46.636757</v>
      </c>
      <c r="D20536" s="40" t="n">
        <v>240</v>
      </c>
      <c r="E20536" s="41" t="n">
        <v>7814.7876</v>
      </c>
    </row>
    <row r="20537">
      <c r="A20537" s="42">
        <f>_xlfn.XLOOKUP(83710,Trip[shape_id],Trip[shape_id],"Não encontrado")</f>
        <v/>
      </c>
      <c r="B20537" s="43" t="n">
        <v>-23.553345</v>
      </c>
      <c r="C20537" s="43" t="n">
        <v>-46.636752</v>
      </c>
      <c r="D20537" s="43" t="n">
        <v>241</v>
      </c>
      <c r="E20537" s="44" t="n">
        <v>7820.2188</v>
      </c>
    </row>
    <row r="20538">
      <c r="A20538" s="39">
        <f>_xlfn.XLOOKUP(83710,Trip[shape_id],Trip[shape_id],"Não encontrado")</f>
        <v/>
      </c>
      <c r="B20538" s="40" t="n">
        <v>-23.553394</v>
      </c>
      <c r="C20538" s="40" t="n">
        <v>-46.636754</v>
      </c>
      <c r="D20538" s="40" t="n">
        <v>242</v>
      </c>
      <c r="E20538" s="41" t="n">
        <v>7844.3916</v>
      </c>
    </row>
    <row r="20539">
      <c r="A20539" s="42">
        <f>_xlfn.XLOOKUP(83710,Trip[shape_id],Trip[shape_id],"Não encontrado")</f>
        <v/>
      </c>
      <c r="B20539" s="43" t="n">
        <v>-23.55361</v>
      </c>
      <c r="C20539" s="43" t="n">
        <v>-46.636788</v>
      </c>
      <c r="D20539" s="43" t="n">
        <v>243</v>
      </c>
      <c r="E20539" s="44" t="n">
        <v>7844.3916</v>
      </c>
    </row>
    <row r="20540">
      <c r="A20540" s="39">
        <f>_xlfn.XLOOKUP(83710,Trip[shape_id],Trip[shape_id],"Não encontrado")</f>
        <v/>
      </c>
      <c r="B20540" s="40" t="n">
        <v>-23.553913</v>
      </c>
      <c r="C20540" s="40" t="n">
        <v>-46.636848</v>
      </c>
      <c r="D20540" s="40" t="n">
        <v>244</v>
      </c>
      <c r="E20540" s="41" t="n">
        <v>7903.7837</v>
      </c>
    </row>
    <row r="20541">
      <c r="A20541" s="42">
        <f>_xlfn.XLOOKUP(83710,Trip[shape_id],Trip[shape_id],"Não encontrado")</f>
        <v/>
      </c>
      <c r="B20541" s="43" t="n">
        <v>-23.554133</v>
      </c>
      <c r="C20541" s="43" t="n">
        <v>-46.636914</v>
      </c>
      <c r="D20541" s="43" t="n">
        <v>245</v>
      </c>
      <c r="E20541" s="44" t="n">
        <v>7922.2246</v>
      </c>
    </row>
    <row r="20542">
      <c r="A20542" s="39">
        <f>_xlfn.XLOOKUP(83710,Trip[shape_id],Trip[shape_id],"Não encontrado")</f>
        <v/>
      </c>
      <c r="B20542" s="40" t="n">
        <v>-23.554293</v>
      </c>
      <c r="C20542" s="40" t="n">
        <v>-46.636964</v>
      </c>
      <c r="D20542" s="40" t="n">
        <v>246</v>
      </c>
      <c r="E20542" s="41" t="n">
        <v>7949.2075</v>
      </c>
    </row>
    <row r="20543">
      <c r="A20543" s="42">
        <f>_xlfn.XLOOKUP(83710,Trip[shape_id],Trip[shape_id],"Não encontrado")</f>
        <v/>
      </c>
      <c r="B20543" s="43" t="n">
        <v>-23.554524</v>
      </c>
      <c r="C20543" s="43" t="n">
        <v>-46.637048</v>
      </c>
      <c r="D20543" s="43" t="n">
        <v>247</v>
      </c>
      <c r="E20543" s="44" t="n">
        <v>7978.7544</v>
      </c>
    </row>
    <row r="20544">
      <c r="A20544" s="39">
        <f>_xlfn.XLOOKUP(83710,Trip[shape_id],Trip[shape_id],"Não encontrado")</f>
        <v/>
      </c>
      <c r="B20544" s="40" t="n">
        <v>-23.554776</v>
      </c>
      <c r="C20544" s="40" t="n">
        <v>-46.637143</v>
      </c>
      <c r="D20544" s="40" t="n">
        <v>248</v>
      </c>
      <c r="E20544" s="41" t="n">
        <v>7978.7544</v>
      </c>
    </row>
    <row r="20545">
      <c r="A20545" s="42">
        <f>_xlfn.XLOOKUP(83710,Trip[shape_id],Trip[shape_id],"Não encontrado")</f>
        <v/>
      </c>
      <c r="B20545" s="43" t="n">
        <v>-23.555247</v>
      </c>
      <c r="C20545" s="43" t="n">
        <v>-46.637338</v>
      </c>
      <c r="D20545" s="43" t="n">
        <v>249</v>
      </c>
      <c r="E20545" s="44" t="n">
        <v>8048.2153</v>
      </c>
    </row>
    <row r="20546">
      <c r="A20546" s="39">
        <f>_xlfn.XLOOKUP(83710,Trip[shape_id],Trip[shape_id],"Não encontrado")</f>
        <v/>
      </c>
      <c r="B20546" s="40" t="n">
        <v>-23.55535</v>
      </c>
      <c r="C20546" s="40" t="n">
        <v>-46.637411</v>
      </c>
      <c r="D20546" s="40" t="n">
        <v>250</v>
      </c>
      <c r="E20546" s="41" t="n">
        <v>8048.2153</v>
      </c>
    </row>
    <row r="20547">
      <c r="A20547" s="42">
        <f>_xlfn.XLOOKUP(83710,Trip[shape_id],Trip[shape_id],"Não encontrado")</f>
        <v/>
      </c>
      <c r="B20547" s="43" t="n">
        <v>-23.555797</v>
      </c>
      <c r="C20547" s="43" t="n">
        <v>-46.637589</v>
      </c>
      <c r="D20547" s="43" t="n">
        <v>251</v>
      </c>
      <c r="E20547" s="44" t="n">
        <v>8100.9517</v>
      </c>
    </row>
    <row r="20548">
      <c r="A20548" s="39">
        <f>_xlfn.XLOOKUP(83710,Trip[shape_id],Trip[shape_id],"Não encontrado")</f>
        <v/>
      </c>
      <c r="B20548" s="40" t="n">
        <v>-23.556114</v>
      </c>
      <c r="C20548" s="40" t="n">
        <v>-46.637711</v>
      </c>
      <c r="D20548" s="40" t="n">
        <v>252</v>
      </c>
      <c r="E20548" s="41" t="n">
        <v>8138.2041</v>
      </c>
    </row>
    <row r="20549">
      <c r="A20549" s="42">
        <f>_xlfn.XLOOKUP(83710,Trip[shape_id],Trip[shape_id],"Não encontrado")</f>
        <v/>
      </c>
      <c r="B20549" s="43" t="n">
        <v>-23.556579</v>
      </c>
      <c r="C20549" s="43" t="n">
        <v>-46.637892</v>
      </c>
      <c r="D20549" s="43" t="n">
        <v>253</v>
      </c>
      <c r="E20549" s="44" t="n">
        <v>8235.799800000001</v>
      </c>
    </row>
    <row r="20550">
      <c r="A20550" s="39">
        <f>_xlfn.XLOOKUP(83710,Trip[shape_id],Trip[shape_id],"Não encontrado")</f>
        <v/>
      </c>
      <c r="B20550" s="40" t="n">
        <v>-23.556941</v>
      </c>
      <c r="C20550" s="40" t="n">
        <v>-46.638041</v>
      </c>
      <c r="D20550" s="40" t="n">
        <v>254</v>
      </c>
      <c r="E20550" s="41" t="n">
        <v>8310.231400000001</v>
      </c>
    </row>
    <row r="20551">
      <c r="A20551" s="42">
        <f>_xlfn.XLOOKUP(83710,Trip[shape_id],Trip[shape_id],"Não encontrado")</f>
        <v/>
      </c>
      <c r="B20551" s="43" t="n">
        <v>-23.557566</v>
      </c>
      <c r="C20551" s="43" t="n">
        <v>-46.638309</v>
      </c>
      <c r="D20551" s="43" t="n">
        <v>255</v>
      </c>
      <c r="E20551" s="44" t="n">
        <v>8325.473599999999</v>
      </c>
    </row>
    <row r="20552">
      <c r="A20552" s="39">
        <f>_xlfn.XLOOKUP(83710,Trip[shape_id],Trip[shape_id],"Não encontrado")</f>
        <v/>
      </c>
      <c r="B20552" s="40" t="n">
        <v>-23.557696</v>
      </c>
      <c r="C20552" s="40" t="n">
        <v>-46.638358</v>
      </c>
      <c r="D20552" s="40" t="n">
        <v>256</v>
      </c>
      <c r="E20552" s="41" t="n">
        <v>8347.786099999999</v>
      </c>
    </row>
    <row r="20553">
      <c r="A20553" s="42">
        <f>_xlfn.XLOOKUP(83710,Trip[shape_id],Trip[shape_id],"Não encontrado")</f>
        <v/>
      </c>
      <c r="B20553" s="43" t="n">
        <v>-23.557869</v>
      </c>
      <c r="C20553" s="43" t="n">
        <v>-46.63847</v>
      </c>
      <c r="D20553" s="43" t="n">
        <v>257</v>
      </c>
      <c r="E20553" s="44" t="n">
        <v>8347.786099999999</v>
      </c>
    </row>
    <row r="20554">
      <c r="A20554" s="39">
        <f>_xlfn.XLOOKUP(83710,Trip[shape_id],Trip[shape_id],"Não encontrado")</f>
        <v/>
      </c>
      <c r="B20554" s="40" t="n">
        <v>-23.55842</v>
      </c>
      <c r="C20554" s="40" t="n">
        <v>-46.63866</v>
      </c>
      <c r="D20554" s="40" t="n">
        <v>258</v>
      </c>
      <c r="E20554" s="41" t="n">
        <v>8411.819299999999</v>
      </c>
    </row>
    <row r="20555">
      <c r="A20555" s="42">
        <f>_xlfn.XLOOKUP(83710,Trip[shape_id],Trip[shape_id],"Não encontrado")</f>
        <v/>
      </c>
      <c r="B20555" s="43" t="n">
        <v>-23.558868</v>
      </c>
      <c r="C20555" s="43" t="n">
        <v>-46.63883</v>
      </c>
      <c r="D20555" s="43" t="n">
        <v>259</v>
      </c>
      <c r="E20555" s="44" t="n">
        <v>8464.3838</v>
      </c>
    </row>
    <row r="20556">
      <c r="A20556" s="39">
        <f>_xlfn.XLOOKUP(83710,Trip[shape_id],Trip[shape_id],"Não encontrado")</f>
        <v/>
      </c>
      <c r="B20556" s="40" t="n">
        <v>-23.559214</v>
      </c>
      <c r="C20556" s="40" t="n">
        <v>-46.638995</v>
      </c>
      <c r="D20556" s="40" t="n">
        <v>260</v>
      </c>
      <c r="E20556" s="41" t="n">
        <v>8534.881799999999</v>
      </c>
    </row>
    <row r="20557">
      <c r="A20557" s="42">
        <f>_xlfn.XLOOKUP(83710,Trip[shape_id],Trip[shape_id],"Não encontrado")</f>
        <v/>
      </c>
      <c r="B20557" s="43" t="n">
        <v>-23.559437</v>
      </c>
      <c r="C20557" s="43" t="n">
        <v>-46.639137</v>
      </c>
      <c r="D20557" s="43" t="n">
        <v>261</v>
      </c>
      <c r="E20557" s="44" t="n">
        <v>8578.267599999999</v>
      </c>
    </row>
    <row r="20558">
      <c r="A20558" s="39">
        <f>_xlfn.XLOOKUP(83710,Trip[shape_id],Trip[shape_id],"Não encontrado")</f>
        <v/>
      </c>
      <c r="B20558" s="40" t="n">
        <v>-23.559764</v>
      </c>
      <c r="C20558" s="40" t="n">
        <v>-46.639371</v>
      </c>
      <c r="D20558" s="40" t="n">
        <v>262</v>
      </c>
      <c r="E20558" s="41" t="n">
        <v>8618.3447</v>
      </c>
    </row>
    <row r="20559">
      <c r="A20559" s="42">
        <f>_xlfn.XLOOKUP(83710,Trip[shape_id],Trip[shape_id],"Não encontrado")</f>
        <v/>
      </c>
      <c r="B20559" s="43" t="n">
        <v>-23.560077</v>
      </c>
      <c r="C20559" s="43" t="n">
        <v>-46.639568</v>
      </c>
      <c r="D20559" s="43" t="n">
        <v>263</v>
      </c>
      <c r="E20559" s="44" t="n">
        <v>8660.5996</v>
      </c>
    </row>
    <row r="20560">
      <c r="A20560" s="39">
        <f>_xlfn.XLOOKUP(83710,Trip[shape_id],Trip[shape_id],"Não encontrado")</f>
        <v/>
      </c>
      <c r="B20560" s="40" t="n">
        <v>-23.560399</v>
      </c>
      <c r="C20560" s="40" t="n">
        <v>-46.63979</v>
      </c>
      <c r="D20560" s="40" t="n">
        <v>264</v>
      </c>
      <c r="E20560" s="41" t="n">
        <v>8660.5996</v>
      </c>
    </row>
    <row r="20561">
      <c r="A20561" s="42">
        <f>_xlfn.XLOOKUP(83710,Trip[shape_id],Trip[shape_id],"Não encontrado")</f>
        <v/>
      </c>
      <c r="B20561" s="43" t="n">
        <v>-23.560568</v>
      </c>
      <c r="C20561" s="43" t="n">
        <v>-46.639864</v>
      </c>
      <c r="D20561" s="43" t="n">
        <v>265</v>
      </c>
      <c r="E20561" s="44" t="n">
        <v>8726.454100000001</v>
      </c>
    </row>
    <row r="20562">
      <c r="A20562" s="39">
        <f>_xlfn.XLOOKUP(83710,Trip[shape_id],Trip[shape_id],"Não encontrado")</f>
        <v/>
      </c>
      <c r="B20562" s="40" t="n">
        <v>-23.560962</v>
      </c>
      <c r="C20562" s="40" t="n">
        <v>-46.639996</v>
      </c>
      <c r="D20562" s="40" t="n">
        <v>266</v>
      </c>
      <c r="E20562" s="41" t="n">
        <v>8781.877</v>
      </c>
    </row>
    <row r="20563">
      <c r="A20563" s="42">
        <f>_xlfn.XLOOKUP(83710,Trip[shape_id],Trip[shape_id],"Não encontrado")</f>
        <v/>
      </c>
      <c r="B20563" s="43" t="n">
        <v>-23.561445</v>
      </c>
      <c r="C20563" s="43" t="n">
        <v>-46.640138</v>
      </c>
      <c r="D20563" s="43" t="n">
        <v>267</v>
      </c>
      <c r="E20563" s="44" t="n">
        <v>8811.8174</v>
      </c>
    </row>
    <row r="20564">
      <c r="A20564" s="39">
        <f>_xlfn.XLOOKUP(83710,Trip[shape_id],Trip[shape_id],"Não encontrado")</f>
        <v/>
      </c>
      <c r="B20564" s="40" t="n">
        <v>-23.56171</v>
      </c>
      <c r="C20564" s="40" t="n">
        <v>-46.640196</v>
      </c>
      <c r="D20564" s="40" t="n">
        <v>268</v>
      </c>
      <c r="E20564" s="41" t="n">
        <v>8879.4277</v>
      </c>
    </row>
    <row r="20565">
      <c r="A20565" s="42">
        <f>_xlfn.XLOOKUP(83710,Trip[shape_id],Trip[shape_id],"Não encontrado")</f>
        <v/>
      </c>
      <c r="B20565" s="43" t="n">
        <v>-23.562316</v>
      </c>
      <c r="C20565" s="43" t="n">
        <v>-46.640276</v>
      </c>
      <c r="D20565" s="43" t="n">
        <v>269</v>
      </c>
      <c r="E20565" s="44" t="n">
        <v>8879.4277</v>
      </c>
    </row>
    <row r="20566">
      <c r="A20566" s="39">
        <f>_xlfn.XLOOKUP(83710,Trip[shape_id],Trip[shape_id],"Não encontrado")</f>
        <v/>
      </c>
      <c r="B20566" s="40" t="n">
        <v>-23.563847</v>
      </c>
      <c r="C20566" s="40" t="n">
        <v>-46.640449</v>
      </c>
      <c r="D20566" s="40" t="n">
        <v>270</v>
      </c>
      <c r="E20566" s="41" t="n">
        <v>9063.392599999999</v>
      </c>
    </row>
    <row r="20567">
      <c r="A20567" s="42">
        <f>_xlfn.XLOOKUP(83710,Trip[shape_id],Trip[shape_id],"Não encontrado")</f>
        <v/>
      </c>
      <c r="B20567" s="43" t="n">
        <v>-23.563966</v>
      </c>
      <c r="C20567" s="43" t="n">
        <v>-46.640477</v>
      </c>
      <c r="D20567" s="43" t="n">
        <v>271</v>
      </c>
      <c r="E20567" s="44" t="n">
        <v>9078.6543</v>
      </c>
    </row>
    <row r="20568">
      <c r="A20568" s="39">
        <f>_xlfn.XLOOKUP(83710,Trip[shape_id],Trip[shape_id],"Não encontrado")</f>
        <v/>
      </c>
      <c r="B20568" s="40" t="n">
        <v>-23.564101</v>
      </c>
      <c r="C20568" s="40" t="n">
        <v>-46.640507</v>
      </c>
      <c r="D20568" s="40" t="n">
        <v>272</v>
      </c>
      <c r="E20568" s="41" t="n">
        <v>9099.877</v>
      </c>
    </row>
    <row r="20569">
      <c r="A20569" s="42">
        <f>_xlfn.XLOOKUP(83710,Trip[shape_id],Trip[shape_id],"Não encontrado")</f>
        <v/>
      </c>
      <c r="B20569" s="43" t="n">
        <v>-23.564287</v>
      </c>
      <c r="C20569" s="43" t="n">
        <v>-46.640557</v>
      </c>
      <c r="D20569" s="43" t="n">
        <v>273</v>
      </c>
      <c r="E20569" s="44" t="n">
        <v>9121.228499999999</v>
      </c>
    </row>
    <row r="20570">
      <c r="A20570" s="39">
        <f>_xlfn.XLOOKUP(83710,Trip[shape_id],Trip[shape_id],"Não encontrado")</f>
        <v/>
      </c>
      <c r="B20570" s="40" t="n">
        <v>-23.564473</v>
      </c>
      <c r="C20570" s="40" t="n">
        <v>-46.640612</v>
      </c>
      <c r="D20570" s="40" t="n">
        <v>274</v>
      </c>
      <c r="E20570" s="41" t="n">
        <v>9141.9395</v>
      </c>
    </row>
    <row r="20571">
      <c r="A20571" s="42">
        <f>_xlfn.XLOOKUP(83710,Trip[shape_id],Trip[shape_id],"Não encontrado")</f>
        <v/>
      </c>
      <c r="B20571" s="43" t="n">
        <v>-23.564653</v>
      </c>
      <c r="C20571" s="43" t="n">
        <v>-46.640667</v>
      </c>
      <c r="D20571" s="43" t="n">
        <v>275</v>
      </c>
      <c r="E20571" s="44" t="n">
        <v>9163.055700000001</v>
      </c>
    </row>
    <row r="20572">
      <c r="A20572" s="39">
        <f>_xlfn.XLOOKUP(83710,Trip[shape_id],Trip[shape_id],"Não encontrado")</f>
        <v/>
      </c>
      <c r="B20572" s="40" t="n">
        <v>-23.564834</v>
      </c>
      <c r="C20572" s="40" t="n">
        <v>-46.640732</v>
      </c>
      <c r="D20572" s="40" t="n">
        <v>276</v>
      </c>
      <c r="E20572" s="41" t="n">
        <v>9190.166999999999</v>
      </c>
    </row>
    <row r="20573">
      <c r="A20573" s="42">
        <f>_xlfn.XLOOKUP(83710,Trip[shape_id],Trip[shape_id],"Não encontrado")</f>
        <v/>
      </c>
      <c r="B20573" s="43" t="n">
        <v>-23.565076</v>
      </c>
      <c r="C20573" s="43" t="n">
        <v>-46.640772</v>
      </c>
      <c r="D20573" s="43" t="n">
        <v>277</v>
      </c>
      <c r="E20573" s="44" t="n">
        <v>9216.2637</v>
      </c>
    </row>
    <row r="20574">
      <c r="A20574" s="39">
        <f>_xlfn.XLOOKUP(83710,Trip[shape_id],Trip[shape_id],"Não encontrado")</f>
        <v/>
      </c>
      <c r="B20574" s="40" t="n">
        <v>-23.56531</v>
      </c>
      <c r="C20574" s="40" t="n">
        <v>-46.640802</v>
      </c>
      <c r="D20574" s="40" t="n">
        <v>278</v>
      </c>
      <c r="E20574" s="41" t="n">
        <v>9241.6553</v>
      </c>
    </row>
    <row r="20575">
      <c r="A20575" s="42">
        <f>_xlfn.XLOOKUP(83710,Trip[shape_id],Trip[shape_id],"Não encontrado")</f>
        <v/>
      </c>
      <c r="B20575" s="43" t="n">
        <v>-23.565539</v>
      </c>
      <c r="C20575" s="43" t="n">
        <v>-46.640814</v>
      </c>
      <c r="D20575" s="43" t="n">
        <v>279</v>
      </c>
      <c r="E20575" s="44" t="n">
        <v>9241.6553</v>
      </c>
    </row>
    <row r="20576">
      <c r="A20576" s="39">
        <f>_xlfn.XLOOKUP(83710,Trip[shape_id],Trip[shape_id],"Não encontrado")</f>
        <v/>
      </c>
      <c r="B20576" s="40" t="n">
        <v>-23.565966</v>
      </c>
      <c r="C20576" s="40" t="n">
        <v>-46.640845</v>
      </c>
      <c r="D20576" s="40" t="n">
        <v>280</v>
      </c>
      <c r="E20576" s="41" t="n">
        <v>9289.051799999999</v>
      </c>
    </row>
    <row r="20577">
      <c r="A20577" s="42">
        <f>_xlfn.XLOOKUP(83710,Trip[shape_id],Trip[shape_id],"Não encontrado")</f>
        <v/>
      </c>
      <c r="B20577" s="43" t="n">
        <v>-23.567026</v>
      </c>
      <c r="C20577" s="43" t="n">
        <v>-46.640797</v>
      </c>
      <c r="D20577" s="43" t="n">
        <v>281</v>
      </c>
      <c r="E20577" s="44" t="n">
        <v>9431.137699999999</v>
      </c>
    </row>
    <row r="20578">
      <c r="A20578" s="39">
        <f>_xlfn.XLOOKUP(83710,Trip[shape_id],Trip[shape_id],"Não encontrado")</f>
        <v/>
      </c>
      <c r="B20578" s="40" t="n">
        <v>-23.567248</v>
      </c>
      <c r="C20578" s="40" t="n">
        <v>-46.640797</v>
      </c>
      <c r="D20578" s="40" t="n">
        <v>282</v>
      </c>
      <c r="E20578" s="41" t="n">
        <v>9481.9424</v>
      </c>
    </row>
    <row r="20579">
      <c r="A20579" s="42">
        <f>_xlfn.XLOOKUP(83710,Trip[shape_id],Trip[shape_id],"Não encontrado")</f>
        <v/>
      </c>
      <c r="B20579" s="43" t="n">
        <v>-23.567706</v>
      </c>
      <c r="C20579" s="43" t="n">
        <v>-46.640825</v>
      </c>
      <c r="D20579" s="43" t="n">
        <v>283</v>
      </c>
      <c r="E20579" s="44" t="n">
        <v>9537.276400000001</v>
      </c>
    </row>
    <row r="20580">
      <c r="A20580" s="39">
        <f>_xlfn.XLOOKUP(83710,Trip[shape_id],Trip[shape_id],"Não encontrado")</f>
        <v/>
      </c>
      <c r="B20580" s="40" t="n">
        <v>-23.568205</v>
      </c>
      <c r="C20580" s="40" t="n">
        <v>-46.640852</v>
      </c>
      <c r="D20580" s="40" t="n">
        <v>284</v>
      </c>
      <c r="E20580" s="41" t="n">
        <v>9537.276400000001</v>
      </c>
    </row>
    <row r="20581">
      <c r="A20581" s="42">
        <f>_xlfn.XLOOKUP(83710,Trip[shape_id],Trip[shape_id],"Não encontrado")</f>
        <v/>
      </c>
      <c r="B20581" s="43" t="n">
        <v>-23.570226</v>
      </c>
      <c r="C20581" s="43" t="n">
        <v>-46.640982</v>
      </c>
      <c r="D20581" s="43" t="n">
        <v>285</v>
      </c>
      <c r="E20581" s="44" t="n">
        <v>9761.499</v>
      </c>
    </row>
    <row r="20582">
      <c r="A20582" s="39">
        <f>_xlfn.XLOOKUP(83710,Trip[shape_id],Trip[shape_id],"Não encontrado")</f>
        <v/>
      </c>
      <c r="B20582" s="40" t="n">
        <v>-23.571099</v>
      </c>
      <c r="C20582" s="40" t="n">
        <v>-46.64104</v>
      </c>
      <c r="D20582" s="40" t="n">
        <v>286</v>
      </c>
      <c r="E20582" s="41" t="n">
        <v>9926.640600000001</v>
      </c>
    </row>
    <row r="20583">
      <c r="A20583" s="42">
        <f>_xlfn.XLOOKUP(83710,Trip[shape_id],Trip[shape_id],"Não encontrado")</f>
        <v/>
      </c>
      <c r="B20583" s="43" t="n">
        <v>-23.571714</v>
      </c>
      <c r="C20583" s="43" t="n">
        <v>-46.641086</v>
      </c>
      <c r="D20583" s="43" t="n">
        <v>287</v>
      </c>
      <c r="E20583" s="44" t="n">
        <v>10024.396</v>
      </c>
    </row>
    <row r="20584">
      <c r="A20584" s="39">
        <f>_xlfn.XLOOKUP(83710,Trip[shape_id],Trip[shape_id],"Não encontrado")</f>
        <v/>
      </c>
      <c r="B20584" s="40" t="n">
        <v>-23.572596</v>
      </c>
      <c r="C20584" s="40" t="n">
        <v>-46.641123</v>
      </c>
      <c r="D20584" s="40" t="n">
        <v>288</v>
      </c>
      <c r="E20584" s="41" t="n">
        <v>10091.604</v>
      </c>
    </row>
    <row r="20585">
      <c r="A20585" s="42">
        <f>_xlfn.XLOOKUP(83710,Trip[shape_id],Trip[shape_id],"Não encontrado")</f>
        <v/>
      </c>
      <c r="B20585" s="43" t="n">
        <v>-23.573201</v>
      </c>
      <c r="C20585" s="43" t="n">
        <v>-46.641174</v>
      </c>
      <c r="D20585" s="43" t="n">
        <v>289</v>
      </c>
      <c r="E20585" s="44" t="n">
        <v>10208.187</v>
      </c>
    </row>
    <row r="20586">
      <c r="A20586" s="39">
        <f>_xlfn.XLOOKUP(83710,Trip[shape_id],Trip[shape_id],"Não encontrado")</f>
        <v/>
      </c>
      <c r="B20586" s="40" t="n">
        <v>-23.574251</v>
      </c>
      <c r="C20586" s="40" t="n">
        <v>-46.641255</v>
      </c>
      <c r="D20586" s="40" t="n">
        <v>290</v>
      </c>
      <c r="E20586" s="41" t="n">
        <v>10233.979</v>
      </c>
    </row>
    <row r="20587">
      <c r="A20587" s="42">
        <f>_xlfn.XLOOKUP(83710,Trip[shape_id],Trip[shape_id],"Não encontrado")</f>
        <v/>
      </c>
      <c r="B20587" s="43" t="n">
        <v>-23.574483</v>
      </c>
      <c r="C20587" s="43" t="n">
        <v>-46.641277</v>
      </c>
      <c r="D20587" s="43" t="n">
        <v>291</v>
      </c>
      <c r="E20587" s="44" t="n">
        <v>10253.591</v>
      </c>
    </row>
    <row r="20588">
      <c r="A20588" s="39">
        <f>_xlfn.XLOOKUP(83710,Trip[shape_id],Trip[shape_id],"Não encontrado")</f>
        <v/>
      </c>
      <c r="B20588" s="40" t="n">
        <v>-23.574656</v>
      </c>
      <c r="C20588" s="40" t="n">
        <v>-46.641318</v>
      </c>
      <c r="D20588" s="40" t="n">
        <v>292</v>
      </c>
      <c r="E20588" s="41" t="n">
        <v>10267.728</v>
      </c>
    </row>
    <row r="20589">
      <c r="A20589" s="42">
        <f>_xlfn.XLOOKUP(83710,Trip[shape_id],Trip[shape_id],"Não encontrado")</f>
        <v/>
      </c>
      <c r="B20589" s="43" t="n">
        <v>-23.574779</v>
      </c>
      <c r="C20589" s="43" t="n">
        <v>-46.641355</v>
      </c>
      <c r="D20589" s="43" t="n">
        <v>293</v>
      </c>
      <c r="E20589" s="44" t="n">
        <v>10289.67</v>
      </c>
    </row>
    <row r="20590">
      <c r="A20590" s="39">
        <f>_xlfn.XLOOKUP(83710,Trip[shape_id],Trip[shape_id],"Não encontrado")</f>
        <v/>
      </c>
      <c r="B20590" s="40" t="n">
        <v>-23.574966</v>
      </c>
      <c r="C20590" s="40" t="n">
        <v>-46.641426</v>
      </c>
      <c r="D20590" s="40" t="n">
        <v>294</v>
      </c>
      <c r="E20590" s="41" t="n">
        <v>10289.67</v>
      </c>
    </row>
    <row r="20591">
      <c r="A20591" s="42">
        <f>_xlfn.XLOOKUP(83710,Trip[shape_id],Trip[shape_id],"Não encontrado")</f>
        <v/>
      </c>
      <c r="B20591" s="43" t="n">
        <v>-23.575078</v>
      </c>
      <c r="C20591" s="43" t="n">
        <v>-46.641487</v>
      </c>
      <c r="D20591" s="43" t="n">
        <v>295</v>
      </c>
      <c r="E20591" s="44" t="n">
        <v>10325.766</v>
      </c>
    </row>
    <row r="20592">
      <c r="A20592" s="39">
        <f>_xlfn.XLOOKUP(83710,Trip[shape_id],Trip[shape_id],"Não encontrado")</f>
        <v/>
      </c>
      <c r="B20592" s="40" t="n">
        <v>-23.57523</v>
      </c>
      <c r="C20592" s="40" t="n">
        <v>-46.641629</v>
      </c>
      <c r="D20592" s="40" t="n">
        <v>296</v>
      </c>
      <c r="E20592" s="41" t="n">
        <v>10343.399</v>
      </c>
    </row>
    <row r="20593">
      <c r="A20593" s="42">
        <f>_xlfn.XLOOKUP(83710,Trip[shape_id],Trip[shape_id],"Não encontrado")</f>
        <v/>
      </c>
      <c r="B20593" s="43" t="n">
        <v>-23.575355</v>
      </c>
      <c r="C20593" s="43" t="n">
        <v>-46.641736</v>
      </c>
      <c r="D20593" s="43" t="n">
        <v>297</v>
      </c>
      <c r="E20593" s="44" t="n">
        <v>10343.399</v>
      </c>
    </row>
    <row r="20594">
      <c r="A20594" s="39">
        <f>_xlfn.XLOOKUP(83710,Trip[shape_id],Trip[shape_id],"Não encontrado")</f>
        <v/>
      </c>
      <c r="B20594" s="40" t="n">
        <v>-23.575451</v>
      </c>
      <c r="C20594" s="40" t="n">
        <v>-46.641847</v>
      </c>
      <c r="D20594" s="40" t="n">
        <v>298</v>
      </c>
      <c r="E20594" s="41" t="n">
        <v>10400.314</v>
      </c>
    </row>
    <row r="20595">
      <c r="A20595" s="42">
        <f>_xlfn.XLOOKUP(83710,Trip[shape_id],Trip[shape_id],"Não encontrado")</f>
        <v/>
      </c>
      <c r="B20595" s="43" t="n">
        <v>-23.575696</v>
      </c>
      <c r="C20595" s="43" t="n">
        <v>-46.642153</v>
      </c>
      <c r="D20595" s="43" t="n">
        <v>299</v>
      </c>
      <c r="E20595" s="44" t="n">
        <v>10471.797</v>
      </c>
    </row>
    <row r="20596">
      <c r="A20596" s="39">
        <f>_xlfn.XLOOKUP(83710,Trip[shape_id],Trip[shape_id],"Não encontrado")</f>
        <v/>
      </c>
      <c r="B20596" s="40" t="n">
        <v>-23.576067</v>
      </c>
      <c r="C20596" s="40" t="n">
        <v>-46.642726</v>
      </c>
      <c r="D20596" s="40" t="n">
        <v>300</v>
      </c>
      <c r="E20596" s="41" t="n">
        <v>10486.938</v>
      </c>
    </row>
    <row r="20597">
      <c r="A20597" s="42">
        <f>_xlfn.XLOOKUP(83710,Trip[shape_id],Trip[shape_id],"Não encontrado")</f>
        <v/>
      </c>
      <c r="B20597" s="43" t="n">
        <v>-23.576142</v>
      </c>
      <c r="C20597" s="43" t="n">
        <v>-46.64285</v>
      </c>
      <c r="D20597" s="43" t="n">
        <v>301</v>
      </c>
      <c r="E20597" s="44" t="n">
        <v>10514.86</v>
      </c>
    </row>
    <row r="20598">
      <c r="A20598" s="39">
        <f>_xlfn.XLOOKUP(83710,Trip[shape_id],Trip[shape_id],"Não encontrado")</f>
        <v/>
      </c>
      <c r="B20598" s="40" t="n">
        <v>-23.576288</v>
      </c>
      <c r="C20598" s="40" t="n">
        <v>-46.643073</v>
      </c>
      <c r="D20598" s="40" t="n">
        <v>302</v>
      </c>
      <c r="E20598" s="41" t="n">
        <v>10582.676</v>
      </c>
    </row>
    <row r="20599">
      <c r="A20599" s="42">
        <f>_xlfn.XLOOKUP(83710,Trip[shape_id],Trip[shape_id],"Não encontrado")</f>
        <v/>
      </c>
      <c r="B20599" s="43" t="n">
        <v>-23.576651</v>
      </c>
      <c r="C20599" s="43" t="n">
        <v>-46.643608</v>
      </c>
      <c r="D20599" s="43" t="n">
        <v>303</v>
      </c>
      <c r="E20599" s="44" t="n">
        <v>10582.676</v>
      </c>
    </row>
    <row r="20600">
      <c r="A20600" s="39">
        <f>_xlfn.XLOOKUP(83710,Trip[shape_id],Trip[shape_id],"Não encontrado")</f>
        <v/>
      </c>
      <c r="B20600" s="40" t="n">
        <v>-23.576783</v>
      </c>
      <c r="C20600" s="40" t="n">
        <v>-46.643808</v>
      </c>
      <c r="D20600" s="40" t="n">
        <v>304</v>
      </c>
      <c r="E20600" s="41" t="n">
        <v>10622.634</v>
      </c>
    </row>
    <row r="20601">
      <c r="A20601" s="42">
        <f>_xlfn.XLOOKUP(83710,Trip[shape_id],Trip[shape_id],"Não encontrado")</f>
        <v/>
      </c>
      <c r="B20601" s="43" t="n">
        <v>-23.576856</v>
      </c>
      <c r="C20601" s="43" t="n">
        <v>-46.64393</v>
      </c>
      <c r="D20601" s="43" t="n">
        <v>305</v>
      </c>
      <c r="E20601" s="44" t="n">
        <v>10622.634</v>
      </c>
    </row>
    <row r="20602">
      <c r="A20602" s="39">
        <f>_xlfn.XLOOKUP(83710,Trip[shape_id],Trip[shape_id],"Não encontrado")</f>
        <v/>
      </c>
      <c r="B20602" s="40" t="n">
        <v>-23.577288</v>
      </c>
      <c r="C20602" s="40" t="n">
        <v>-46.644554</v>
      </c>
      <c r="D20602" s="40" t="n">
        <v>306</v>
      </c>
      <c r="E20602" s="41" t="n">
        <v>10760.876</v>
      </c>
    </row>
    <row r="20603">
      <c r="A20603" s="42">
        <f>_xlfn.XLOOKUP(83710,Trip[shape_id],Trip[shape_id],"Não encontrado")</f>
        <v/>
      </c>
      <c r="B20603" s="43" t="n">
        <v>-23.577615</v>
      </c>
      <c r="C20603" s="43" t="n">
        <v>-46.645005</v>
      </c>
      <c r="D20603" s="43" t="n">
        <v>307</v>
      </c>
      <c r="E20603" s="44" t="n">
        <v>10802.746</v>
      </c>
    </row>
    <row r="20604">
      <c r="A20604" s="39">
        <f>_xlfn.XLOOKUP(83710,Trip[shape_id],Trip[shape_id],"Não encontrado")</f>
        <v/>
      </c>
      <c r="B20604" s="40" t="n">
        <v>-23.577848</v>
      </c>
      <c r="C20604" s="40" t="n">
        <v>-46.645328</v>
      </c>
      <c r="D20604" s="40" t="n">
        <v>308</v>
      </c>
      <c r="E20604" s="41" t="n">
        <v>11080.417</v>
      </c>
    </row>
    <row r="20605">
      <c r="A20605" s="42">
        <f>_xlfn.XLOOKUP(83710,Trip[shape_id],Trip[shape_id],"Não encontrado")</f>
        <v/>
      </c>
      <c r="B20605" s="43" t="n">
        <v>-23.579405</v>
      </c>
      <c r="C20605" s="43" t="n">
        <v>-46.64746</v>
      </c>
      <c r="D20605" s="43" t="n">
        <v>309</v>
      </c>
      <c r="E20605" s="44" t="n">
        <v>11080.417</v>
      </c>
    </row>
    <row r="20606">
      <c r="A20606" s="39">
        <f>_xlfn.XLOOKUP(83710,Trip[shape_id],Trip[shape_id],"Não encontrado")</f>
        <v/>
      </c>
      <c r="B20606" s="40" t="n">
        <v>-23.579781</v>
      </c>
      <c r="C20606" s="40" t="n">
        <v>-46.647978</v>
      </c>
      <c r="D20606" s="40" t="n">
        <v>310</v>
      </c>
      <c r="E20606" s="41" t="n">
        <v>11211.163</v>
      </c>
    </row>
    <row r="20607">
      <c r="A20607" s="42">
        <f>_xlfn.XLOOKUP(83710,Trip[shape_id],Trip[shape_id],"Não encontrado")</f>
        <v/>
      </c>
      <c r="B20607" s="43" t="n">
        <v>-23.580138</v>
      </c>
      <c r="C20607" s="43" t="n">
        <v>-46.648464</v>
      </c>
      <c r="D20607" s="43" t="n">
        <v>311</v>
      </c>
      <c r="E20607" s="44" t="n">
        <v>11265.242</v>
      </c>
    </row>
    <row r="20608">
      <c r="A20608" s="39">
        <f>_xlfn.XLOOKUP(83710,Trip[shape_id],Trip[shape_id],"Não encontrado")</f>
        <v/>
      </c>
      <c r="B20608" s="40" t="n">
        <v>-23.580438</v>
      </c>
      <c r="C20608" s="40" t="n">
        <v>-46.648882</v>
      </c>
      <c r="D20608" s="40" t="n">
        <v>312</v>
      </c>
      <c r="E20608" s="41" t="n">
        <v>11304.605</v>
      </c>
    </row>
    <row r="20609">
      <c r="A20609" s="42">
        <f>_xlfn.XLOOKUP(83710,Trip[shape_id],Trip[shape_id],"Não encontrado")</f>
        <v/>
      </c>
      <c r="B20609" s="43" t="n">
        <v>-23.580659</v>
      </c>
      <c r="C20609" s="43" t="n">
        <v>-46.649184</v>
      </c>
      <c r="D20609" s="43" t="n">
        <v>313</v>
      </c>
      <c r="E20609" s="44" t="n">
        <v>11362.357</v>
      </c>
    </row>
    <row r="20610">
      <c r="A20610" s="39">
        <f>_xlfn.XLOOKUP(83710,Trip[shape_id],Trip[shape_id],"Não encontrado")</f>
        <v/>
      </c>
      <c r="B20610" s="40" t="n">
        <v>-23.580981</v>
      </c>
      <c r="C20610" s="40" t="n">
        <v>-46.649629</v>
      </c>
      <c r="D20610" s="40" t="n">
        <v>314</v>
      </c>
      <c r="E20610" s="41" t="n">
        <v>11362.357</v>
      </c>
    </row>
    <row r="20611">
      <c r="A20611" s="42">
        <f>_xlfn.XLOOKUP(83710,Trip[shape_id],Trip[shape_id],"Não encontrado")</f>
        <v/>
      </c>
      <c r="B20611" s="43" t="n">
        <v>-23.581173</v>
      </c>
      <c r="C20611" s="43" t="n">
        <v>-46.649885</v>
      </c>
      <c r="D20611" s="43" t="n">
        <v>315</v>
      </c>
      <c r="E20611" s="44" t="n">
        <v>11435.392</v>
      </c>
    </row>
    <row r="20612">
      <c r="A20612" s="39">
        <f>_xlfn.XLOOKUP(83710,Trip[shape_id],Trip[shape_id],"Não encontrado")</f>
        <v/>
      </c>
      <c r="B20612" s="40" t="n">
        <v>-23.581389</v>
      </c>
      <c r="C20612" s="40" t="n">
        <v>-46.650191</v>
      </c>
      <c r="D20612" s="40" t="n">
        <v>316</v>
      </c>
      <c r="E20612" s="41" t="n">
        <v>11479.499</v>
      </c>
    </row>
    <row r="20613">
      <c r="A20613" s="42">
        <f>_xlfn.XLOOKUP(83710,Trip[shape_id],Trip[shape_id],"Não encontrado")</f>
        <v/>
      </c>
      <c r="B20613" s="43" t="n">
        <v>-23.58163</v>
      </c>
      <c r="C20613" s="43" t="n">
        <v>-46.650535</v>
      </c>
      <c r="D20613" s="43" t="n">
        <v>317</v>
      </c>
      <c r="E20613" s="44" t="n">
        <v>11479.499</v>
      </c>
    </row>
    <row r="20614">
      <c r="A20614" s="39">
        <f>_xlfn.XLOOKUP(83710,Trip[shape_id],Trip[shape_id],"Não encontrado")</f>
        <v/>
      </c>
      <c r="B20614" s="40" t="n">
        <v>-23.581948</v>
      </c>
      <c r="C20614" s="40" t="n">
        <v>-46.651222</v>
      </c>
      <c r="D20614" s="40" t="n">
        <v>318</v>
      </c>
      <c r="E20614" s="41" t="n">
        <v>11574.661</v>
      </c>
    </row>
    <row r="20615">
      <c r="A20615" s="42">
        <f>_xlfn.XLOOKUP(83710,Trip[shape_id],Trip[shape_id],"Não encontrado")</f>
        <v/>
      </c>
      <c r="B20615" s="43" t="n">
        <v>-23.58201</v>
      </c>
      <c r="C20615" s="43" t="n">
        <v>-46.651371</v>
      </c>
      <c r="D20615" s="43" t="n">
        <v>319</v>
      </c>
      <c r="E20615" s="44" t="n">
        <v>11605.786</v>
      </c>
    </row>
    <row r="20616">
      <c r="A20616" s="39">
        <f>_xlfn.XLOOKUP(83710,Trip[shape_id],Trip[shape_id],"Não encontrado")</f>
        <v/>
      </c>
      <c r="B20616" s="40" t="n">
        <v>-23.582137</v>
      </c>
      <c r="C20616" s="40" t="n">
        <v>-46.651643</v>
      </c>
      <c r="D20616" s="40" t="n">
        <v>320</v>
      </c>
      <c r="E20616" s="41" t="n">
        <v>11605.786</v>
      </c>
    </row>
    <row r="20617">
      <c r="A20617" s="42">
        <f>_xlfn.XLOOKUP(83710,Trip[shape_id],Trip[shape_id],"Não encontrado")</f>
        <v/>
      </c>
      <c r="B20617" s="43" t="n">
        <v>-23.582236</v>
      </c>
      <c r="C20617" s="43" t="n">
        <v>-46.651802</v>
      </c>
      <c r="D20617" s="43" t="n">
        <v>321</v>
      </c>
      <c r="E20617" s="44" t="n">
        <v>11625.373</v>
      </c>
    </row>
    <row r="20618">
      <c r="A20618" s="39">
        <f>_xlfn.XLOOKUP(83710,Trip[shape_id],Trip[shape_id],"Não encontrado")</f>
        <v/>
      </c>
      <c r="B20618" s="40" t="n">
        <v>-23.582438</v>
      </c>
      <c r="C20618" s="40" t="n">
        <v>-46.652102</v>
      </c>
      <c r="D20618" s="40" t="n">
        <v>322</v>
      </c>
      <c r="E20618" s="41" t="n">
        <v>11669.115</v>
      </c>
    </row>
    <row r="20619">
      <c r="A20619" s="42">
        <f>_xlfn.XLOOKUP(83710,Trip[shape_id],Trip[shape_id],"Não encontrado")</f>
        <v/>
      </c>
      <c r="B20619" s="43" t="n">
        <v>-23.582469</v>
      </c>
      <c r="C20619" s="43" t="n">
        <v>-46.652148</v>
      </c>
      <c r="D20619" s="43" t="n">
        <v>323</v>
      </c>
      <c r="E20619" s="44" t="n">
        <v>11669.115</v>
      </c>
    </row>
    <row r="20620">
      <c r="A20620" s="39">
        <f>_xlfn.XLOOKUP(83710,Trip[shape_id],Trip[shape_id],"Não encontrado")</f>
        <v/>
      </c>
      <c r="B20620" s="40" t="n">
        <v>-23.582879</v>
      </c>
      <c r="C20620" s="40" t="n">
        <v>-46.652665</v>
      </c>
      <c r="D20620" s="40" t="n">
        <v>324</v>
      </c>
      <c r="E20620" s="41" t="n">
        <v>11738.735</v>
      </c>
    </row>
    <row r="20621">
      <c r="A20621" s="42">
        <f>_xlfn.XLOOKUP(83710,Trip[shape_id],Trip[shape_id],"Não encontrado")</f>
        <v/>
      </c>
      <c r="B20621" s="43" t="n">
        <v>-23.583239</v>
      </c>
      <c r="C20621" s="43" t="n">
        <v>-46.653094</v>
      </c>
      <c r="D20621" s="43" t="n">
        <v>325</v>
      </c>
      <c r="E20621" s="44" t="n">
        <v>11797.958</v>
      </c>
    </row>
    <row r="20622">
      <c r="A20622" s="39">
        <f>_xlfn.XLOOKUP(83710,Trip[shape_id],Trip[shape_id],"Não encontrado")</f>
        <v/>
      </c>
      <c r="B20622" s="40" t="n">
        <v>-23.583355</v>
      </c>
      <c r="C20622" s="40" t="n">
        <v>-46.65325</v>
      </c>
      <c r="D20622" s="40" t="n">
        <v>326</v>
      </c>
      <c r="E20622" s="41" t="n">
        <v>11818.418</v>
      </c>
    </row>
    <row r="20623">
      <c r="A20623" s="42">
        <f>_xlfn.XLOOKUP(83710,Trip[shape_id],Trip[shape_id],"Não encontrado")</f>
        <v/>
      </c>
      <c r="B20623" s="43" t="n">
        <v>-23.583503</v>
      </c>
      <c r="C20623" s="43" t="n">
        <v>-46.653441</v>
      </c>
      <c r="D20623" s="43" t="n">
        <v>327</v>
      </c>
      <c r="E20623" s="44" t="n">
        <v>11866.747</v>
      </c>
    </row>
    <row r="20624">
      <c r="A20624" s="39">
        <f>_xlfn.XLOOKUP(83710,Trip[shape_id],Trip[shape_id],"Não encontrado")</f>
        <v/>
      </c>
      <c r="B20624" s="40" t="n">
        <v>-23.583627</v>
      </c>
      <c r="C20624" s="40" t="n">
        <v>-46.65362</v>
      </c>
      <c r="D20624" s="40" t="n">
        <v>328</v>
      </c>
      <c r="E20624" s="41" t="n">
        <v>11885.545</v>
      </c>
    </row>
    <row r="20625">
      <c r="A20625" s="42">
        <f>_xlfn.XLOOKUP(83710,Trip[shape_id],Trip[shape_id],"Não encontrado")</f>
        <v/>
      </c>
      <c r="B20625" s="43" t="n">
        <v>-23.58369</v>
      </c>
      <c r="C20625" s="43" t="n">
        <v>-46.653791</v>
      </c>
      <c r="D20625" s="43" t="n">
        <v>329</v>
      </c>
      <c r="E20625" s="44" t="n">
        <v>11899.412</v>
      </c>
    </row>
    <row r="20626">
      <c r="A20626" s="39">
        <f>_xlfn.XLOOKUP(83710,Trip[shape_id],Trip[shape_id],"Não encontrado")</f>
        <v/>
      </c>
      <c r="B20626" s="40" t="n">
        <v>-23.583704</v>
      </c>
      <c r="C20626" s="40" t="n">
        <v>-46.653926</v>
      </c>
      <c r="D20626" s="40" t="n">
        <v>330</v>
      </c>
      <c r="E20626" s="41" t="n">
        <v>11915.979</v>
      </c>
    </row>
    <row r="20627">
      <c r="A20627" s="42">
        <f>_xlfn.XLOOKUP(83710,Trip[shape_id],Trip[shape_id],"Não encontrado")</f>
        <v/>
      </c>
      <c r="B20627" s="43" t="n">
        <v>-23.583674</v>
      </c>
      <c r="C20627" s="43" t="n">
        <v>-46.654085</v>
      </c>
      <c r="D20627" s="43" t="n">
        <v>331</v>
      </c>
      <c r="E20627" s="44" t="n">
        <v>11952.219</v>
      </c>
    </row>
    <row r="20628">
      <c r="A20628" s="39">
        <f>_xlfn.XLOOKUP(83710,Trip[shape_id],Trip[shape_id],"Não encontrado")</f>
        <v/>
      </c>
      <c r="B20628" s="40" t="n">
        <v>-23.583505</v>
      </c>
      <c r="C20628" s="40" t="n">
        <v>-46.654389</v>
      </c>
      <c r="D20628" s="40" t="n">
        <v>332</v>
      </c>
      <c r="E20628" s="41" t="n">
        <v>11980.587</v>
      </c>
    </row>
    <row r="20629">
      <c r="A20629" s="42">
        <f>_xlfn.XLOOKUP(83710,Trip[shape_id],Trip[shape_id],"Não encontrado")</f>
        <v/>
      </c>
      <c r="B20629" s="43" t="n">
        <v>-23.583397</v>
      </c>
      <c r="C20629" s="43" t="n">
        <v>-46.654641</v>
      </c>
      <c r="D20629" s="43" t="n">
        <v>333</v>
      </c>
      <c r="E20629" s="44" t="n">
        <v>11980.587</v>
      </c>
    </row>
    <row r="20630">
      <c r="A20630" s="39">
        <f>_xlfn.XLOOKUP(83710,Trip[shape_id],Trip[shape_id],"Não encontrado")</f>
        <v/>
      </c>
      <c r="B20630" s="40" t="n">
        <v>-23.583298</v>
      </c>
      <c r="C20630" s="40" t="n">
        <v>-46.654805</v>
      </c>
      <c r="D20630" s="40" t="n">
        <v>334</v>
      </c>
      <c r="E20630" s="41" t="n">
        <v>12000.599</v>
      </c>
    </row>
    <row r="20631">
      <c r="A20631" s="42">
        <f>_xlfn.XLOOKUP(83710,Trip[shape_id],Trip[shape_id],"Não encontrado")</f>
        <v/>
      </c>
      <c r="B20631" s="43" t="n">
        <v>-23.583186</v>
      </c>
      <c r="C20631" s="43" t="n">
        <v>-46.655008</v>
      </c>
      <c r="D20631" s="43" t="n">
        <v>335</v>
      </c>
      <c r="E20631" s="44" t="n">
        <v>12024.749</v>
      </c>
    </row>
    <row r="20632">
      <c r="A20632" s="39">
        <f>_xlfn.XLOOKUP(83710,Trip[shape_id],Trip[shape_id],"Não encontrado")</f>
        <v/>
      </c>
      <c r="B20632" s="40" t="n">
        <v>-23.582929</v>
      </c>
      <c r="C20632" s="40" t="n">
        <v>-46.655475</v>
      </c>
      <c r="D20632" s="40" t="n">
        <v>336</v>
      </c>
      <c r="E20632" s="41" t="n">
        <v>12080.27</v>
      </c>
    </row>
    <row r="20633">
      <c r="A20633" s="42">
        <f>_xlfn.XLOOKUP(83710,Trip[shape_id],Trip[shape_id],"Não encontrado")</f>
        <v/>
      </c>
      <c r="B20633" s="43" t="n">
        <v>-23.58273</v>
      </c>
      <c r="C20633" s="43" t="n">
        <v>-46.655554</v>
      </c>
      <c r="D20633" s="43" t="n">
        <v>337</v>
      </c>
      <c r="E20633" s="44" t="n">
        <v>12103.738</v>
      </c>
    </row>
    <row r="20634">
      <c r="A20634" s="39">
        <f>_xlfn.XLOOKUP(83710,Trip[shape_id],Trip[shape_id],"Não encontrado")</f>
        <v/>
      </c>
      <c r="B20634" s="40" t="n">
        <v>-23.582506</v>
      </c>
      <c r="C20634" s="40" t="n">
        <v>-46.655697</v>
      </c>
      <c r="D20634" s="40" t="n">
        <v>338</v>
      </c>
      <c r="E20634" s="41" t="n">
        <v>12132.522</v>
      </c>
    </row>
    <row r="20635">
      <c r="A20635" s="42">
        <f>_xlfn.XLOOKUP(83710,Trip[shape_id],Trip[shape_id],"Não encontrado")</f>
        <v/>
      </c>
      <c r="B20635" s="43" t="n">
        <v>-23.582452</v>
      </c>
      <c r="C20635" s="43" t="n">
        <v>-46.655697</v>
      </c>
      <c r="D20635" s="43" t="n">
        <v>339</v>
      </c>
      <c r="E20635" s="44" t="n">
        <v>12138.503</v>
      </c>
    </row>
    <row r="20636">
      <c r="A20636" s="39">
        <f>_xlfn.XLOOKUP(83710,Trip[shape_id],Trip[shape_id],"Não encontrado")</f>
        <v/>
      </c>
      <c r="B20636" s="40" t="n">
        <v>-23.582429</v>
      </c>
      <c r="C20636" s="40" t="n">
        <v>-46.655747</v>
      </c>
      <c r="D20636" s="40" t="n">
        <v>340</v>
      </c>
      <c r="E20636" s="41" t="n">
        <v>12144.207</v>
      </c>
    </row>
    <row r="20637">
      <c r="A20637" s="42">
        <f>_xlfn.XLOOKUP(83710,Trip[shape_id],Trip[shape_id],"Não encontrado")</f>
        <v/>
      </c>
      <c r="B20637" s="43" t="n">
        <v>-23.582271</v>
      </c>
      <c r="C20637" s="43" t="n">
        <v>-46.655849</v>
      </c>
      <c r="D20637" s="43" t="n">
        <v>341</v>
      </c>
      <c r="E20637" s="44" t="n">
        <v>12164.569</v>
      </c>
    </row>
    <row r="20638">
      <c r="A20638" s="39">
        <f>_xlfn.XLOOKUP(83710,Trip[shape_id],Trip[shape_id],"Não encontrado")</f>
        <v/>
      </c>
      <c r="B20638" s="40" t="n">
        <v>-23.582216</v>
      </c>
      <c r="C20638" s="40" t="n">
        <v>-46.655839</v>
      </c>
      <c r="D20638" s="40" t="n">
        <v>342</v>
      </c>
      <c r="E20638" s="41" t="n">
        <v>12170.745</v>
      </c>
    </row>
    <row r="20639">
      <c r="A20639" s="42">
        <f>_xlfn.XLOOKUP(83710,Trip[shape_id],Trip[shape_id],"Não encontrado")</f>
        <v/>
      </c>
      <c r="B20639" s="43" t="n">
        <v>-23.582183</v>
      </c>
      <c r="C20639" s="43" t="n">
        <v>-46.655903</v>
      </c>
      <c r="D20639" s="43" t="n">
        <v>343</v>
      </c>
      <c r="E20639" s="44" t="n">
        <v>12178.23</v>
      </c>
    </row>
    <row r="20640">
      <c r="A20640" s="39">
        <f>_xlfn.XLOOKUP(83710,Trip[shape_id],Trip[shape_id],"Não encontrado")</f>
        <v/>
      </c>
      <c r="B20640" s="40" t="n">
        <v>-23.581739</v>
      </c>
      <c r="C20640" s="40" t="n">
        <v>-46.65619</v>
      </c>
      <c r="D20640" s="40" t="n">
        <v>344</v>
      </c>
      <c r="E20640" s="41" t="n">
        <v>12235.47</v>
      </c>
    </row>
    <row r="20641">
      <c r="A20641" s="42">
        <f>_xlfn.XLOOKUP(83710,Trip[shape_id],Trip[shape_id],"Não encontrado")</f>
        <v/>
      </c>
      <c r="B20641" s="43" t="n">
        <v>-23.581208</v>
      </c>
      <c r="C20641" s="43" t="n">
        <v>-46.656529</v>
      </c>
      <c r="D20641" s="43" t="n">
        <v>345</v>
      </c>
      <c r="E20641" s="44" t="n">
        <v>12303.705</v>
      </c>
    </row>
    <row r="20642">
      <c r="A20642" s="39">
        <f>_xlfn.XLOOKUP(83710,Trip[shape_id],Trip[shape_id],"Não encontrado")</f>
        <v/>
      </c>
      <c r="B20642" s="40" t="n">
        <v>-23.581159</v>
      </c>
      <c r="C20642" s="40" t="n">
        <v>-46.656562</v>
      </c>
      <c r="D20642" s="40" t="n">
        <v>346</v>
      </c>
      <c r="E20642" s="41" t="n">
        <v>12310.093</v>
      </c>
    </row>
    <row r="20643">
      <c r="A20643" s="42">
        <f>_xlfn.XLOOKUP(83710,Trip[shape_id],Trip[shape_id],"Não encontrado")</f>
        <v/>
      </c>
      <c r="B20643" s="43" t="n">
        <v>-23.581049</v>
      </c>
      <c r="C20643" s="43" t="n">
        <v>-46.65663</v>
      </c>
      <c r="D20643" s="43" t="n">
        <v>347</v>
      </c>
      <c r="E20643" s="44" t="n">
        <v>12324.114</v>
      </c>
    </row>
    <row r="20644">
      <c r="A20644" s="39">
        <f>_xlfn.XLOOKUP(83710,Trip[shape_id],Trip[shape_id],"Não encontrado")</f>
        <v/>
      </c>
      <c r="B20644" s="40" t="n">
        <v>-23.5809</v>
      </c>
      <c r="C20644" s="40" t="n">
        <v>-46.656727</v>
      </c>
      <c r="D20644" s="40" t="n">
        <v>348</v>
      </c>
      <c r="E20644" s="41" t="n">
        <v>12343.359</v>
      </c>
    </row>
    <row r="20645">
      <c r="A20645" s="42">
        <f>_xlfn.XLOOKUP(83710,Trip[shape_id],Trip[shape_id],"Não encontrado")</f>
        <v/>
      </c>
      <c r="B20645" s="43" t="n">
        <v>-23.5808</v>
      </c>
      <c r="C20645" s="43" t="n">
        <v>-46.656791</v>
      </c>
      <c r="D20645" s="43" t="n">
        <v>349</v>
      </c>
      <c r="E20645" s="44" t="n">
        <v>12356.218</v>
      </c>
    </row>
    <row r="20646">
      <c r="A20646" s="39">
        <f>_xlfn.XLOOKUP(83710,Trip[shape_id],Trip[shape_id],"Não encontrado")</f>
        <v/>
      </c>
      <c r="B20646" s="40" t="n">
        <v>-23.580682</v>
      </c>
      <c r="C20646" s="40" t="n">
        <v>-46.656866</v>
      </c>
      <c r="D20646" s="40" t="n">
        <v>350</v>
      </c>
      <c r="E20646" s="41" t="n">
        <v>12371.364</v>
      </c>
    </row>
    <row r="20647">
      <c r="A20647" s="42">
        <f>_xlfn.XLOOKUP(83710,Trip[shape_id],Trip[shape_id],"Não encontrado")</f>
        <v/>
      </c>
      <c r="B20647" s="43" t="n">
        <v>-23.580729</v>
      </c>
      <c r="C20647" s="43" t="n">
        <v>-46.656947</v>
      </c>
      <c r="D20647" s="43" t="n">
        <v>351</v>
      </c>
      <c r="E20647" s="44" t="n">
        <v>12419.604</v>
      </c>
    </row>
    <row r="20648">
      <c r="A20648" s="39">
        <f>_xlfn.XLOOKUP(83710,Trip[shape_id],Trip[shape_id],"Não encontrado")</f>
        <v/>
      </c>
      <c r="B20648" s="40" t="n">
        <v>-23.580938</v>
      </c>
      <c r="C20648" s="40" t="n">
        <v>-46.657248</v>
      </c>
      <c r="D20648" s="40" t="n">
        <v>352</v>
      </c>
      <c r="E20648" s="41" t="n">
        <v>12431.166</v>
      </c>
    </row>
    <row r="20649">
      <c r="A20649" s="42">
        <f>_xlfn.XLOOKUP(83710,Trip[shape_id],Trip[shape_id],"Não encontrado")</f>
        <v/>
      </c>
      <c r="B20649" s="43" t="n">
        <v>-23.581007</v>
      </c>
      <c r="C20649" s="43" t="n">
        <v>-46.657333</v>
      </c>
      <c r="D20649" s="43" t="n">
        <v>353</v>
      </c>
      <c r="E20649" s="44" t="n">
        <v>12523.265</v>
      </c>
    </row>
    <row r="20650">
      <c r="A20650" s="39">
        <f>_xlfn.XLOOKUP(83710,Trip[shape_id],Trip[shape_id],"Não encontrado")</f>
        <v/>
      </c>
      <c r="B20650" s="40" t="n">
        <v>-23.581568</v>
      </c>
      <c r="C20650" s="40" t="n">
        <v>-46.657999</v>
      </c>
      <c r="D20650" s="40" t="n">
        <v>354</v>
      </c>
      <c r="E20650" s="41" t="n">
        <v>12523.265</v>
      </c>
    </row>
    <row r="20651">
      <c r="A20651" s="42">
        <f>_xlfn.XLOOKUP(83710,Trip[shape_id],Trip[shape_id],"Não encontrado")</f>
        <v/>
      </c>
      <c r="B20651" s="43" t="n">
        <v>-23.581721</v>
      </c>
      <c r="C20651" s="43" t="n">
        <v>-46.658087</v>
      </c>
      <c r="D20651" s="43" t="n">
        <v>355</v>
      </c>
      <c r="E20651" s="44" t="n">
        <v>12542.443</v>
      </c>
    </row>
    <row r="20652">
      <c r="A20652" s="39">
        <f>_xlfn.XLOOKUP(83710,Trip[shape_id],Trip[shape_id],"Não encontrado")</f>
        <v/>
      </c>
      <c r="B20652" s="40" t="n">
        <v>-23.581768</v>
      </c>
      <c r="C20652" s="40" t="n">
        <v>-46.65798</v>
      </c>
      <c r="D20652" s="40" t="n">
        <v>356</v>
      </c>
      <c r="E20652" s="41" t="n">
        <v>12554.543</v>
      </c>
    </row>
    <row r="20653">
      <c r="A20653" s="42">
        <f>_xlfn.XLOOKUP(83710,Trip[shape_id],Trip[shape_id],"Não encontrado")</f>
        <v/>
      </c>
      <c r="B20653" s="43" t="n">
        <v>-23.581871</v>
      </c>
      <c r="C20653" s="43" t="n">
        <v>-46.657791</v>
      </c>
      <c r="D20653" s="43" t="n">
        <v>357</v>
      </c>
      <c r="E20653" s="44" t="n">
        <v>12592.683</v>
      </c>
    </row>
    <row r="20654">
      <c r="A20654" s="39">
        <f>_xlfn.XLOOKUP(83710,Trip[shape_id],Trip[shape_id],"Não encontrado")</f>
        <v/>
      </c>
      <c r="B20654" s="40" t="n">
        <v>-23.581954</v>
      </c>
      <c r="C20654" s="40" t="n">
        <v>-46.657666</v>
      </c>
      <c r="D20654" s="40" t="n">
        <v>358</v>
      </c>
      <c r="E20654" s="41" t="n">
        <v>12595.854</v>
      </c>
    </row>
    <row r="20655">
      <c r="A20655" s="42">
        <f>_xlfn.XLOOKUP(83710,Trip[shape_id],Trip[shape_id],"Não encontrado")</f>
        <v/>
      </c>
      <c r="B20655" s="43" t="n">
        <v>-23.581971</v>
      </c>
      <c r="C20655" s="43" t="n">
        <v>-46.657641</v>
      </c>
      <c r="D20655" s="43" t="n">
        <v>359</v>
      </c>
      <c r="E20655" s="44" t="n">
        <v>12604.562</v>
      </c>
    </row>
    <row r="20656">
      <c r="A20656" s="39">
        <f>_xlfn.XLOOKUP(83710,Trip[shape_id],Trip[shape_id],"Não encontrado")</f>
        <v/>
      </c>
      <c r="B20656" s="40" t="n">
        <v>-23.582025</v>
      </c>
      <c r="C20656" s="40" t="n">
        <v>-46.657579</v>
      </c>
      <c r="D20656" s="40" t="n">
        <v>360</v>
      </c>
      <c r="E20656" s="41" t="n">
        <v>12612.745</v>
      </c>
    </row>
    <row r="20657">
      <c r="A20657" s="42">
        <f>_xlfn.XLOOKUP(83710,Trip[shape_id],Trip[shape_id],"Não encontrado")</f>
        <v/>
      </c>
      <c r="B20657" s="43" t="n">
        <v>-23.582074</v>
      </c>
      <c r="C20657" s="43" t="n">
        <v>-46.657519</v>
      </c>
      <c r="D20657" s="43" t="n">
        <v>361</v>
      </c>
      <c r="E20657" s="44" t="n">
        <v>12631.202</v>
      </c>
    </row>
    <row r="20658">
      <c r="A20658" s="39">
        <f>_xlfn.XLOOKUP(83710,Trip[shape_id],Trip[shape_id],"Não encontrado")</f>
        <v/>
      </c>
      <c r="B20658" s="40" t="n">
        <v>-23.582197</v>
      </c>
      <c r="C20658" s="40" t="n">
        <v>-46.657397</v>
      </c>
      <c r="D20658" s="40" t="n">
        <v>362</v>
      </c>
      <c r="E20658" s="41" t="n">
        <v>12642.413</v>
      </c>
    </row>
    <row r="20659">
      <c r="A20659" s="42">
        <f>_xlfn.XLOOKUP(83710,Trip[shape_id],Trip[shape_id],"Não encontrado")</f>
        <v/>
      </c>
      <c r="B20659" s="43" t="n">
        <v>-23.582275</v>
      </c>
      <c r="C20659" s="43" t="n">
        <v>-46.657327</v>
      </c>
      <c r="D20659" s="43" t="n">
        <v>363</v>
      </c>
      <c r="E20659" s="44" t="n">
        <v>12642.413</v>
      </c>
    </row>
    <row r="20660">
      <c r="A20660" s="39">
        <f>_xlfn.XLOOKUP(83710,Trip[shape_id],Trip[shape_id],"Não encontrado")</f>
        <v/>
      </c>
      <c r="B20660" s="40" t="n">
        <v>-23.582346</v>
      </c>
      <c r="C20660" s="40" t="n">
        <v>-46.657269</v>
      </c>
      <c r="D20660" s="40" t="n">
        <v>364</v>
      </c>
      <c r="E20660" s="41" t="n">
        <v>12666.274</v>
      </c>
    </row>
    <row r="20661">
      <c r="A20661" s="42">
        <f>_xlfn.XLOOKUP(83710,Trip[shape_id],Trip[shape_id],"Não encontrado")</f>
        <v/>
      </c>
      <c r="B20661" s="43" t="n">
        <v>-23.582457</v>
      </c>
      <c r="C20661" s="43" t="n">
        <v>-46.657203</v>
      </c>
      <c r="D20661" s="43" t="n">
        <v>365</v>
      </c>
      <c r="E20661" s="44" t="n">
        <v>12669.344</v>
      </c>
    </row>
    <row r="20662">
      <c r="A20662" s="39">
        <f>_xlfn.XLOOKUP(83710,Trip[shape_id],Trip[shape_id],"Não encontrado")</f>
        <v/>
      </c>
      <c r="B20662" s="40" t="n">
        <v>-23.582482</v>
      </c>
      <c r="C20662" s="40" t="n">
        <v>-46.65719</v>
      </c>
      <c r="D20662" s="40" t="n">
        <v>366</v>
      </c>
      <c r="E20662" s="41" t="n">
        <v>12669.344</v>
      </c>
    </row>
    <row r="20663">
      <c r="A20663" s="42">
        <f>_xlfn.XLOOKUP(83710,Trip[shape_id],Trip[shape_id],"Não encontrado")</f>
        <v/>
      </c>
      <c r="B20663" s="43" t="n">
        <v>-23.582618</v>
      </c>
      <c r="C20663" s="43" t="n">
        <v>-46.657105</v>
      </c>
      <c r="D20663" s="43" t="n">
        <v>367</v>
      </c>
      <c r="E20663" s="44" t="n">
        <v>12736.066</v>
      </c>
    </row>
    <row r="20664">
      <c r="A20664" s="39">
        <f>_xlfn.XLOOKUP(83710,Trip[shape_id],Trip[shape_id],"Não encontrado")</f>
        <v/>
      </c>
      <c r="B20664" s="40" t="n">
        <v>-23.583017</v>
      </c>
      <c r="C20664" s="40" t="n">
        <v>-46.65689</v>
      </c>
      <c r="D20664" s="40" t="n">
        <v>368</v>
      </c>
      <c r="E20664" s="41" t="n">
        <v>12789.12</v>
      </c>
    </row>
    <row r="20665">
      <c r="A20665" s="42">
        <f>_xlfn.XLOOKUP(83710,Trip[shape_id],Trip[shape_id],"Não encontrado")</f>
        <v/>
      </c>
      <c r="B20665" s="43" t="n">
        <v>-23.583451</v>
      </c>
      <c r="C20665" s="43" t="n">
        <v>-46.65667</v>
      </c>
      <c r="D20665" s="43" t="n">
        <v>369</v>
      </c>
      <c r="E20665" s="44" t="n">
        <v>12789.12</v>
      </c>
    </row>
    <row r="20666">
      <c r="A20666" s="39">
        <f>_xlfn.XLOOKUP(83710,Trip[shape_id],Trip[shape_id],"Não encontrado")</f>
        <v/>
      </c>
      <c r="B20666" s="40" t="n">
        <v>-23.583667</v>
      </c>
      <c r="C20666" s="40" t="n">
        <v>-46.65656</v>
      </c>
      <c r="D20666" s="40" t="n">
        <v>370</v>
      </c>
      <c r="E20666" s="41" t="n">
        <v>12844.513</v>
      </c>
    </row>
    <row r="20667">
      <c r="A20667" s="42">
        <f>_xlfn.XLOOKUP(83710,Trip[shape_id],Trip[shape_id],"Não encontrado")</f>
        <v/>
      </c>
      <c r="B20667" s="43" t="n">
        <v>-23.583904</v>
      </c>
      <c r="C20667" s="43" t="n">
        <v>-46.65644</v>
      </c>
      <c r="D20667" s="43" t="n">
        <v>371</v>
      </c>
      <c r="E20667" s="44" t="n">
        <v>12917.696</v>
      </c>
    </row>
    <row r="20668">
      <c r="A20668" s="39">
        <f>_xlfn.XLOOKUP(83710,Trip[shape_id],Trip[shape_id],"Não encontrado")</f>
        <v/>
      </c>
      <c r="B20668" s="40" t="n">
        <v>-23.584505</v>
      </c>
      <c r="C20668" s="40" t="n">
        <v>-46.656142</v>
      </c>
      <c r="D20668" s="40" t="n">
        <v>372</v>
      </c>
      <c r="E20668" s="41" t="n">
        <v>12945.785</v>
      </c>
    </row>
    <row r="20669">
      <c r="A20669" s="42">
        <f>_xlfn.XLOOKUP(83710,Trip[shape_id],Trip[shape_id],"Não encontrado")</f>
        <v/>
      </c>
      <c r="B20669" s="43" t="n">
        <v>-23.584726</v>
      </c>
      <c r="C20669" s="43" t="n">
        <v>-46.656007</v>
      </c>
      <c r="D20669" s="43" t="n">
        <v>373</v>
      </c>
      <c r="E20669" s="44" t="n">
        <v>12951.971</v>
      </c>
    </row>
    <row r="20670">
      <c r="A20670" s="39">
        <f>_xlfn.XLOOKUP(83710,Trip[shape_id],Trip[shape_id],"Não encontrado")</f>
        <v/>
      </c>
      <c r="B20670" s="40" t="n">
        <v>-23.584774</v>
      </c>
      <c r="C20670" s="40" t="n">
        <v>-46.655976</v>
      </c>
      <c r="D20670" s="40" t="n">
        <v>374</v>
      </c>
      <c r="E20670" s="41" t="n">
        <v>12951.971</v>
      </c>
    </row>
    <row r="20671">
      <c r="A20671" s="42">
        <f>_xlfn.XLOOKUP(83710,Trip[shape_id],Trip[shape_id],"Não encontrado")</f>
        <v/>
      </c>
      <c r="B20671" s="43" t="n">
        <v>-23.584969</v>
      </c>
      <c r="C20671" s="43" t="n">
        <v>-46.655923</v>
      </c>
      <c r="D20671" s="43" t="n">
        <v>375</v>
      </c>
      <c r="E20671" s="44" t="n">
        <v>12994.405</v>
      </c>
    </row>
    <row r="20672">
      <c r="A20672" s="39">
        <f>_xlfn.XLOOKUP(83710,Trip[shape_id],Trip[shape_id],"Não encontrado")</f>
        <v/>
      </c>
      <c r="B20672" s="40" t="n">
        <v>-23.58514</v>
      </c>
      <c r="C20672" s="40" t="n">
        <v>-46.655855</v>
      </c>
      <c r="D20672" s="40" t="n">
        <v>376</v>
      </c>
      <c r="E20672" s="41" t="n">
        <v>13025.033</v>
      </c>
    </row>
    <row r="20673">
      <c r="A20673" s="42">
        <f>_xlfn.XLOOKUP(83710,Trip[shape_id],Trip[shape_id],"Não encontrado")</f>
        <v/>
      </c>
      <c r="B20673" s="43" t="n">
        <v>-23.585357</v>
      </c>
      <c r="C20673" s="43" t="n">
        <v>-46.655669</v>
      </c>
      <c r="D20673" s="43" t="n">
        <v>377</v>
      </c>
      <c r="E20673" s="44" t="n">
        <v>13025.033</v>
      </c>
    </row>
    <row r="20674">
      <c r="A20674" s="39">
        <f>_xlfn.XLOOKUP(83710,Trip[shape_id],Trip[shape_id],"Não encontrado")</f>
        <v/>
      </c>
      <c r="B20674" s="40" t="n">
        <v>-23.585564</v>
      </c>
      <c r="C20674" s="40" t="n">
        <v>-46.655491</v>
      </c>
      <c r="D20674" s="40" t="n">
        <v>378</v>
      </c>
      <c r="E20674" s="41" t="n">
        <v>13058.204</v>
      </c>
    </row>
    <row r="20675">
      <c r="A20675" s="42">
        <f>_xlfn.XLOOKUP(83710,Trip[shape_id],Trip[shape_id],"Não encontrado")</f>
        <v/>
      </c>
      <c r="B20675" s="43" t="n">
        <v>-23.585593</v>
      </c>
      <c r="C20675" s="43" t="n">
        <v>-46.655469</v>
      </c>
      <c r="D20675" s="43" t="n">
        <v>379</v>
      </c>
      <c r="E20675" s="44" t="n">
        <v>13058.204</v>
      </c>
    </row>
    <row r="20676">
      <c r="A20676" s="39">
        <f>_xlfn.XLOOKUP(83710,Trip[shape_id],Trip[shape_id],"Não encontrado")</f>
        <v/>
      </c>
      <c r="B20676" s="40" t="n">
        <v>-23.585626</v>
      </c>
      <c r="C20676" s="40" t="n">
        <v>-46.655424</v>
      </c>
      <c r="D20676" s="40" t="n">
        <v>380</v>
      </c>
      <c r="E20676" s="41" t="n">
        <v>13093.875</v>
      </c>
    </row>
    <row r="20677">
      <c r="A20677" s="42">
        <f>_xlfn.XLOOKUP(83710,Trip[shape_id],Trip[shape_id],"Não encontrado")</f>
        <v/>
      </c>
      <c r="B20677" s="43" t="n">
        <v>-23.585768</v>
      </c>
      <c r="C20677" s="43" t="n">
        <v>-46.655176</v>
      </c>
      <c r="D20677" s="43" t="n">
        <v>381</v>
      </c>
      <c r="E20677" s="44" t="n">
        <v>13093.875</v>
      </c>
    </row>
    <row r="20678">
      <c r="A20678" s="39">
        <f>_xlfn.XLOOKUP(83710,Trip[shape_id],Trip[shape_id],"Não encontrado")</f>
        <v/>
      </c>
      <c r="B20678" s="40" t="n">
        <v>-23.586066</v>
      </c>
      <c r="C20678" s="40" t="n">
        <v>-46.654821</v>
      </c>
      <c r="D20678" s="40" t="n">
        <v>382</v>
      </c>
      <c r="E20678" s="41" t="n">
        <v>13235.571</v>
      </c>
    </row>
    <row r="20679">
      <c r="A20679" s="42">
        <f>_xlfn.XLOOKUP(83710,Trip[shape_id],Trip[shape_id],"Não encontrado")</f>
        <v/>
      </c>
      <c r="B20679" s="43" t="n">
        <v>-23.586599</v>
      </c>
      <c r="C20679" s="43" t="n">
        <v>-46.654121</v>
      </c>
      <c r="D20679" s="43" t="n">
        <v>383</v>
      </c>
      <c r="E20679" s="44" t="n">
        <v>13274.429</v>
      </c>
    </row>
    <row r="20680">
      <c r="A20680" s="39">
        <f>_xlfn.XLOOKUP(83710,Trip[shape_id],Trip[shape_id],"Não encontrado")</f>
        <v/>
      </c>
      <c r="B20680" s="40" t="n">
        <v>-23.586823</v>
      </c>
      <c r="C20680" s="40" t="n">
        <v>-46.653828</v>
      </c>
      <c r="D20680" s="40" t="n">
        <v>384</v>
      </c>
      <c r="E20680" s="41" t="n">
        <v>13282.014</v>
      </c>
    </row>
    <row r="20681">
      <c r="A20681" s="42">
        <f>_xlfn.XLOOKUP(83710,Trip[shape_id],Trip[shape_id],"Não encontrado")</f>
        <v/>
      </c>
      <c r="B20681" s="43" t="n">
        <v>-23.586871</v>
      </c>
      <c r="C20681" s="43" t="n">
        <v>-46.653775</v>
      </c>
      <c r="D20681" s="43" t="n">
        <v>385</v>
      </c>
      <c r="E20681" s="44" t="n">
        <v>13282.014</v>
      </c>
    </row>
    <row r="20682">
      <c r="A20682" s="39">
        <f>_xlfn.XLOOKUP(83710,Trip[shape_id],Trip[shape_id],"Não encontrado")</f>
        <v/>
      </c>
      <c r="B20682" s="40" t="n">
        <v>-23.587068</v>
      </c>
      <c r="C20682" s="40" t="n">
        <v>-46.653544</v>
      </c>
      <c r="D20682" s="40" t="n">
        <v>386</v>
      </c>
      <c r="E20682" s="41" t="n">
        <v>13340.136</v>
      </c>
    </row>
    <row r="20683">
      <c r="A20683" s="42">
        <f>_xlfn.XLOOKUP(83710,Trip[shape_id],Trip[shape_id],"Não encontrado")</f>
        <v/>
      </c>
      <c r="B20683" s="43" t="n">
        <v>-23.587219</v>
      </c>
      <c r="C20683" s="43" t="n">
        <v>-46.653349</v>
      </c>
      <c r="D20683" s="43" t="n">
        <v>387</v>
      </c>
      <c r="E20683" s="44" t="n">
        <v>13340.136</v>
      </c>
    </row>
    <row r="20684">
      <c r="A20684" s="39">
        <f>_xlfn.XLOOKUP(83710,Trip[shape_id],Trip[shape_id],"Não encontrado")</f>
        <v/>
      </c>
      <c r="B20684" s="40" t="n">
        <v>-23.587364</v>
      </c>
      <c r="C20684" s="40" t="n">
        <v>-46.653203</v>
      </c>
      <c r="D20684" s="40" t="n">
        <v>388</v>
      </c>
      <c r="E20684" s="41" t="n">
        <v>13377.215</v>
      </c>
    </row>
    <row r="20685">
      <c r="A20685" s="42">
        <f>_xlfn.XLOOKUP(83710,Trip[shape_id],Trip[shape_id],"Não encontrado")</f>
        <v/>
      </c>
      <c r="B20685" s="43" t="n">
        <v>-23.587473</v>
      </c>
      <c r="C20685" s="43" t="n">
        <v>-46.653113</v>
      </c>
      <c r="D20685" s="43" t="n">
        <v>389</v>
      </c>
      <c r="E20685" s="44" t="n">
        <v>13405.671</v>
      </c>
    </row>
    <row r="20686">
      <c r="A20686" s="39">
        <f>_xlfn.XLOOKUP(83710,Trip[shape_id],Trip[shape_id],"Não encontrado")</f>
        <v/>
      </c>
      <c r="B20686" s="40" t="n">
        <v>-23.587693</v>
      </c>
      <c r="C20686" s="40" t="n">
        <v>-46.652969</v>
      </c>
      <c r="D20686" s="40" t="n">
        <v>390</v>
      </c>
      <c r="E20686" s="41" t="n">
        <v>13412.302</v>
      </c>
    </row>
    <row r="20687">
      <c r="A20687" s="42">
        <f>_xlfn.XLOOKUP(83710,Trip[shape_id],Trip[shape_id],"Não encontrado")</f>
        <v/>
      </c>
      <c r="B20687" s="43" t="n">
        <v>-23.587749</v>
      </c>
      <c r="C20687" s="43" t="n">
        <v>-46.652946</v>
      </c>
      <c r="D20687" s="43" t="n">
        <v>391</v>
      </c>
      <c r="E20687" s="44" t="n">
        <v>13412.302</v>
      </c>
    </row>
    <row r="20688">
      <c r="A20688" s="39">
        <f>_xlfn.XLOOKUP(83710,Trip[shape_id],Trip[shape_id],"Não encontrado")</f>
        <v/>
      </c>
      <c r="B20688" s="40" t="n">
        <v>-23.588464</v>
      </c>
      <c r="C20688" s="40" t="n">
        <v>-46.652626</v>
      </c>
      <c r="D20688" s="40" t="n">
        <v>392</v>
      </c>
      <c r="E20688" s="41" t="n">
        <v>13520.864</v>
      </c>
    </row>
    <row r="20689">
      <c r="A20689" s="42">
        <f>_xlfn.XLOOKUP(83710,Trip[shape_id],Trip[shape_id],"Não encontrado")</f>
        <v/>
      </c>
      <c r="B20689" s="43" t="n">
        <v>-23.588655</v>
      </c>
      <c r="C20689" s="43" t="n">
        <v>-46.65254</v>
      </c>
      <c r="D20689" s="43" t="n">
        <v>393</v>
      </c>
      <c r="E20689" s="44" t="n">
        <v>13532.997</v>
      </c>
    </row>
    <row r="20690">
      <c r="A20690" s="39">
        <f>_xlfn.XLOOKUP(83710,Trip[shape_id],Trip[shape_id],"Não encontrado")</f>
        <v/>
      </c>
      <c r="B20690" s="40" t="n">
        <v>-23.588761</v>
      </c>
      <c r="C20690" s="40" t="n">
        <v>-46.65251</v>
      </c>
      <c r="D20690" s="40" t="n">
        <v>394</v>
      </c>
      <c r="E20690" s="41" t="n">
        <v>13532.997</v>
      </c>
    </row>
    <row r="20691">
      <c r="A20691" s="42">
        <f>_xlfn.XLOOKUP(83710,Trip[shape_id],Trip[shape_id],"Não encontrado")</f>
        <v/>
      </c>
      <c r="B20691" s="43" t="n">
        <v>-23.588974</v>
      </c>
      <c r="C20691" s="43" t="n">
        <v>-46.652447</v>
      </c>
      <c r="D20691" s="43" t="n">
        <v>395</v>
      </c>
      <c r="E20691" s="44" t="n">
        <v>13557.448</v>
      </c>
    </row>
    <row r="20692">
      <c r="A20692" s="39">
        <f>_xlfn.XLOOKUP(83710,Trip[shape_id],Trip[shape_id],"Não encontrado")</f>
        <v/>
      </c>
      <c r="B20692" s="40" t="n">
        <v>-23.589146</v>
      </c>
      <c r="C20692" s="40" t="n">
        <v>-46.652394</v>
      </c>
      <c r="D20692" s="40" t="n">
        <v>396</v>
      </c>
      <c r="E20692" s="41" t="n">
        <v>13597.411</v>
      </c>
    </row>
    <row r="20693">
      <c r="A20693" s="42">
        <f>_xlfn.XLOOKUP(83710,Trip[shape_id],Trip[shape_id],"Não encontrado")</f>
        <v/>
      </c>
      <c r="B20693" s="43" t="n">
        <v>-23.58932</v>
      </c>
      <c r="C20693" s="43" t="n">
        <v>-46.652336</v>
      </c>
      <c r="D20693" s="43" t="n">
        <v>397</v>
      </c>
      <c r="E20693" s="44" t="n">
        <v>13624.097</v>
      </c>
    </row>
    <row r="20694">
      <c r="A20694" s="39">
        <f>_xlfn.XLOOKUP(83710,Trip[shape_id],Trip[shape_id],"Não encontrado")</f>
        <v/>
      </c>
      <c r="B20694" s="40" t="n">
        <v>-23.589543</v>
      </c>
      <c r="C20694" s="40" t="n">
        <v>-46.652237</v>
      </c>
      <c r="D20694" s="40" t="n">
        <v>398</v>
      </c>
      <c r="E20694" s="41" t="n">
        <v>13649.067</v>
      </c>
    </row>
    <row r="20695">
      <c r="A20695" s="42">
        <f>_xlfn.XLOOKUP(83710,Trip[shape_id],Trip[shape_id],"Não encontrado")</f>
        <v/>
      </c>
      <c r="B20695" s="43" t="n">
        <v>-23.589742</v>
      </c>
      <c r="C20695" s="43" t="n">
        <v>-46.652122</v>
      </c>
      <c r="D20695" s="43" t="n">
        <v>399</v>
      </c>
      <c r="E20695" s="44" t="n">
        <v>13671.348</v>
      </c>
    </row>
    <row r="20696">
      <c r="A20696" s="39">
        <f>_xlfn.XLOOKUP(83710,Trip[shape_id],Trip[shape_id],"Não encontrado")</f>
        <v/>
      </c>
      <c r="B20696" s="40" t="n">
        <v>-23.589924</v>
      </c>
      <c r="C20696" s="40" t="n">
        <v>-46.652029</v>
      </c>
      <c r="D20696" s="40" t="n">
        <v>400</v>
      </c>
      <c r="E20696" s="41" t="n">
        <v>13713.901</v>
      </c>
    </row>
    <row r="20697">
      <c r="A20697" s="42">
        <f>_xlfn.XLOOKUP(83710,Trip[shape_id],Trip[shape_id],"Não encontrado")</f>
        <v/>
      </c>
      <c r="B20697" s="43" t="n">
        <v>-23.590274</v>
      </c>
      <c r="C20697" s="43" t="n">
        <v>-46.651857</v>
      </c>
      <c r="D20697" s="43" t="n">
        <v>401</v>
      </c>
      <c r="E20697" s="44" t="n">
        <v>13713.901</v>
      </c>
    </row>
    <row r="20698">
      <c r="A20698" s="39">
        <f>_xlfn.XLOOKUP(83710,Trip[shape_id],Trip[shape_id],"Não encontrado")</f>
        <v/>
      </c>
      <c r="B20698" s="40" t="n">
        <v>-23.590426</v>
      </c>
      <c r="C20698" s="40" t="n">
        <v>-46.651786</v>
      </c>
      <c r="D20698" s="40" t="n">
        <v>402</v>
      </c>
      <c r="E20698" s="41" t="n">
        <v>13732.229</v>
      </c>
    </row>
    <row r="20699">
      <c r="A20699" s="42">
        <f>_xlfn.XLOOKUP(83710,Trip[shape_id],Trip[shape_id],"Não encontrado")</f>
        <v/>
      </c>
      <c r="B20699" s="43" t="n">
        <v>-23.590742</v>
      </c>
      <c r="C20699" s="43" t="n">
        <v>-46.651622</v>
      </c>
      <c r="D20699" s="43" t="n">
        <v>403</v>
      </c>
      <c r="E20699" s="44" t="n">
        <v>13814.489</v>
      </c>
    </row>
    <row r="20700">
      <c r="A20700" s="39">
        <f>_xlfn.XLOOKUP(83710,Trip[shape_id],Trip[shape_id],"Não encontrado")</f>
        <v/>
      </c>
      <c r="B20700" s="40" t="n">
        <v>-23.591111</v>
      </c>
      <c r="C20700" s="40" t="n">
        <v>-46.651477</v>
      </c>
      <c r="D20700" s="40" t="n">
        <v>404</v>
      </c>
      <c r="E20700" s="41" t="n">
        <v>13877.319</v>
      </c>
    </row>
    <row r="20701">
      <c r="A20701" s="42">
        <f>_xlfn.XLOOKUP(83710,Trip[shape_id],Trip[shape_id],"Não encontrado")</f>
        <v/>
      </c>
      <c r="B20701" s="43" t="n">
        <v>-23.591619</v>
      </c>
      <c r="C20701" s="43" t="n">
        <v>-46.651203</v>
      </c>
      <c r="D20701" s="43" t="n">
        <v>405</v>
      </c>
      <c r="E20701" s="44" t="n">
        <v>13894.028</v>
      </c>
    </row>
    <row r="20702">
      <c r="A20702" s="39">
        <f>_xlfn.XLOOKUP(83710,Trip[shape_id],Trip[shape_id],"Não encontrado")</f>
        <v/>
      </c>
      <c r="B20702" s="40" t="n">
        <v>-23.591759</v>
      </c>
      <c r="C20702" s="40" t="n">
        <v>-46.651142</v>
      </c>
      <c r="D20702" s="40" t="n">
        <v>406</v>
      </c>
      <c r="E20702" s="41" t="n">
        <v>13922.672</v>
      </c>
    </row>
    <row r="20703">
      <c r="A20703" s="42">
        <f>_xlfn.XLOOKUP(83710,Trip[shape_id],Trip[shape_id],"Não encontrado")</f>
        <v/>
      </c>
      <c r="B20703" s="43" t="n">
        <v>-23.592001</v>
      </c>
      <c r="C20703" s="43" t="n">
        <v>-46.651043</v>
      </c>
      <c r="D20703" s="43" t="n">
        <v>407</v>
      </c>
      <c r="E20703" s="44" t="n">
        <v>13966.822</v>
      </c>
    </row>
    <row r="20704">
      <c r="A20704" s="39">
        <f>_xlfn.XLOOKUP(83710,Trip[shape_id],Trip[shape_id],"Não encontrado")</f>
        <v/>
      </c>
      <c r="B20704" s="40" t="n">
        <v>-23.592371</v>
      </c>
      <c r="C20704" s="40" t="n">
        <v>-46.650882</v>
      </c>
      <c r="D20704" s="40" t="n">
        <v>408</v>
      </c>
      <c r="E20704" s="41" t="n">
        <v>13966.822</v>
      </c>
    </row>
    <row r="20705">
      <c r="A20705" s="42">
        <f>_xlfn.XLOOKUP(83710,Trip[shape_id],Trip[shape_id],"Não encontrado")</f>
        <v/>
      </c>
      <c r="B20705" s="43" t="n">
        <v>-23.59259</v>
      </c>
      <c r="C20705" s="43" t="n">
        <v>-46.650865</v>
      </c>
      <c r="D20705" s="43" t="n">
        <v>409</v>
      </c>
      <c r="E20705" s="44" t="n">
        <v>14023.381</v>
      </c>
    </row>
    <row r="20706">
      <c r="A20706" s="39">
        <f>_xlfn.XLOOKUP(83710,Trip[shape_id],Trip[shape_id],"Não encontrado")</f>
        <v/>
      </c>
      <c r="B20706" s="40" t="n">
        <v>-23.592876</v>
      </c>
      <c r="C20706" s="40" t="n">
        <v>-46.650806</v>
      </c>
      <c r="D20706" s="40" t="n">
        <v>410</v>
      </c>
      <c r="E20706" s="41" t="n">
        <v>14064.472</v>
      </c>
    </row>
    <row r="20707">
      <c r="A20707" s="42">
        <f>_xlfn.XLOOKUP(83710,Trip[shape_id],Trip[shape_id],"Não encontrado")</f>
        <v/>
      </c>
      <c r="B20707" s="43" t="n">
        <v>-23.593242</v>
      </c>
      <c r="C20707" s="43" t="n">
        <v>-46.65074</v>
      </c>
      <c r="D20707" s="43" t="n">
        <v>411</v>
      </c>
      <c r="E20707" s="44" t="n">
        <v>14075.604</v>
      </c>
    </row>
    <row r="20708">
      <c r="A20708" s="39">
        <f>_xlfn.XLOOKUP(83710,Trip[shape_id],Trip[shape_id],"Não encontrado")</f>
        <v/>
      </c>
      <c r="B20708" s="40" t="n">
        <v>-23.593342</v>
      </c>
      <c r="C20708" s="40" t="n">
        <v>-46.650729</v>
      </c>
      <c r="D20708" s="40" t="n">
        <v>412</v>
      </c>
      <c r="E20708" s="41" t="n">
        <v>14090.334</v>
      </c>
    </row>
    <row r="20709">
      <c r="A20709" s="42">
        <f>_xlfn.XLOOKUP(83710,Trip[shape_id],Trip[shape_id],"Não encontrado")</f>
        <v/>
      </c>
      <c r="B20709" s="43" t="n">
        <v>-23.593475</v>
      </c>
      <c r="C20709" s="43" t="n">
        <v>-46.650728</v>
      </c>
      <c r="D20709" s="43" t="n">
        <v>413</v>
      </c>
      <c r="E20709" s="44" t="n">
        <v>14090.334</v>
      </c>
    </row>
    <row r="20710">
      <c r="A20710" s="39">
        <f>_xlfn.XLOOKUP(83710,Trip[shape_id],Trip[shape_id],"Não encontrado")</f>
        <v/>
      </c>
      <c r="B20710" s="40" t="n">
        <v>-23.593977</v>
      </c>
      <c r="C20710" s="40" t="n">
        <v>-46.650769</v>
      </c>
      <c r="D20710" s="40" t="n">
        <v>414</v>
      </c>
      <c r="E20710" s="41" t="n">
        <v>14146.089</v>
      </c>
    </row>
    <row r="20711">
      <c r="A20711" s="42">
        <f>_xlfn.XLOOKUP(83710,Trip[shape_id],Trip[shape_id],"Não encontrado")</f>
        <v/>
      </c>
      <c r="B20711" s="43" t="n">
        <v>-23.594708</v>
      </c>
      <c r="C20711" s="43" t="n">
        <v>-46.650833</v>
      </c>
      <c r="D20711" s="43" t="n">
        <v>415</v>
      </c>
      <c r="E20711" s="44" t="n">
        <v>14314.088</v>
      </c>
    </row>
    <row r="20712">
      <c r="A20712" s="39">
        <f>_xlfn.XLOOKUP(83710,Trip[shape_id],Trip[shape_id],"Não encontrado")</f>
        <v/>
      </c>
      <c r="B20712" s="40" t="n">
        <v>-23.595489</v>
      </c>
      <c r="C20712" s="40" t="n">
        <v>-46.650901</v>
      </c>
      <c r="D20712" s="40" t="n">
        <v>416</v>
      </c>
      <c r="E20712" s="41" t="n">
        <v>14328.301</v>
      </c>
    </row>
    <row r="20713">
      <c r="A20713" s="42">
        <f>_xlfn.XLOOKUP(83710,Trip[shape_id],Trip[shape_id],"Não encontrado")</f>
        <v/>
      </c>
      <c r="B20713" s="43" t="n">
        <v>-23.595617</v>
      </c>
      <c r="C20713" s="43" t="n">
        <v>-46.650911</v>
      </c>
      <c r="D20713" s="43" t="n">
        <v>417</v>
      </c>
      <c r="E20713" s="44" t="n">
        <v>14415.604</v>
      </c>
    </row>
    <row r="20714">
      <c r="A20714" s="39">
        <f>_xlfn.XLOOKUP(83710,Trip[shape_id],Trip[shape_id],"Não encontrado")</f>
        <v/>
      </c>
      <c r="B20714" s="40" t="n">
        <v>-23.596403</v>
      </c>
      <c r="C20714" s="40" t="n">
        <v>-46.650976</v>
      </c>
      <c r="D20714" s="40" t="n">
        <v>418</v>
      </c>
      <c r="E20714" s="41" t="n">
        <v>14415.604</v>
      </c>
    </row>
    <row r="20715">
      <c r="A20715" s="42">
        <f>_xlfn.XLOOKUP(83710,Trip[shape_id],Trip[shape_id],"Não encontrado")</f>
        <v/>
      </c>
      <c r="B20715" s="43" t="n">
        <v>-23.597227</v>
      </c>
      <c r="C20715" s="43" t="n">
        <v>-46.651045</v>
      </c>
      <c r="D20715" s="43" t="n">
        <v>419</v>
      </c>
      <c r="E20715" s="44" t="n">
        <v>14533.82</v>
      </c>
    </row>
    <row r="20716">
      <c r="A20716" s="39">
        <f>_xlfn.XLOOKUP(83710,Trip[shape_id],Trip[shape_id],"Não encontrado")</f>
        <v/>
      </c>
      <c r="B20716" s="40" t="n">
        <v>-23.597467</v>
      </c>
      <c r="C20716" s="40" t="n">
        <v>-46.651068</v>
      </c>
      <c r="D20716" s="40" t="n">
        <v>420</v>
      </c>
      <c r="E20716" s="41" t="n">
        <v>14551.552</v>
      </c>
    </row>
    <row r="20717">
      <c r="A20717" s="42">
        <f>_xlfn.XLOOKUP(83710,Trip[shape_id],Trip[shape_id],"Não encontrado")</f>
        <v/>
      </c>
      <c r="B20717" s="43" t="n">
        <v>-23.597627</v>
      </c>
      <c r="C20717" s="43" t="n">
        <v>-46.651074</v>
      </c>
      <c r="D20717" s="43" t="n">
        <v>421</v>
      </c>
      <c r="E20717" s="44" t="n">
        <v>14560.825</v>
      </c>
    </row>
    <row r="20718">
      <c r="A20718" s="39">
        <f>_xlfn.XLOOKUP(83710,Trip[shape_id],Trip[shape_id],"Não encontrado")</f>
        <v/>
      </c>
      <c r="B20718" s="40" t="n">
        <v>-23.59771</v>
      </c>
      <c r="C20718" s="40" t="n">
        <v>-46.651086</v>
      </c>
      <c r="D20718" s="40" t="n">
        <v>422</v>
      </c>
      <c r="E20718" s="41" t="n">
        <v>14560.825</v>
      </c>
    </row>
    <row r="20719">
      <c r="A20719" s="42">
        <f>_xlfn.XLOOKUP(83710,Trip[shape_id],Trip[shape_id],"Não encontrado")</f>
        <v/>
      </c>
      <c r="B20719" s="43" t="n">
        <v>-23.597849</v>
      </c>
      <c r="C20719" s="43" t="n">
        <v>-46.651115</v>
      </c>
      <c r="D20719" s="43" t="n">
        <v>423</v>
      </c>
      <c r="E20719" s="44" t="n">
        <v>14591.359</v>
      </c>
    </row>
    <row r="20720">
      <c r="A20720" s="39">
        <f>_xlfn.XLOOKUP(83710,Trip[shape_id],Trip[shape_id],"Não encontrado")</f>
        <v/>
      </c>
      <c r="B20720" s="40" t="n">
        <v>-23.597982</v>
      </c>
      <c r="C20720" s="40" t="n">
        <v>-46.651134</v>
      </c>
      <c r="D20720" s="40" t="n">
        <v>424</v>
      </c>
      <c r="E20720" s="41" t="n">
        <v>14629.305</v>
      </c>
    </row>
    <row r="20721">
      <c r="A20721" s="42">
        <f>_xlfn.XLOOKUP(83710,Trip[shape_id],Trip[shape_id],"Não encontrado")</f>
        <v/>
      </c>
      <c r="B20721" s="43" t="n">
        <v>-23.598323</v>
      </c>
      <c r="C20721" s="43" t="n">
        <v>-46.65117</v>
      </c>
      <c r="D20721" s="43" t="n">
        <v>425</v>
      </c>
      <c r="E20721" s="44" t="n">
        <v>14665.046</v>
      </c>
    </row>
    <row r="20722">
      <c r="A20722" s="39">
        <f>_xlfn.XLOOKUP(83710,Trip[shape_id],Trip[shape_id],"Não encontrado")</f>
        <v/>
      </c>
      <c r="B20722" s="40" t="n">
        <v>-23.598644</v>
      </c>
      <c r="C20722" s="40" t="n">
        <v>-46.651206</v>
      </c>
      <c r="D20722" s="40" t="n">
        <v>426</v>
      </c>
      <c r="E20722" s="41" t="n">
        <v>14672.207</v>
      </c>
    </row>
    <row r="20723">
      <c r="A20723" s="42">
        <f>_xlfn.XLOOKUP(83710,Trip[shape_id],Trip[shape_id],"Não encontrado")</f>
        <v/>
      </c>
      <c r="B20723" s="43" t="n">
        <v>-23.598708</v>
      </c>
      <c r="C20723" s="43" t="n">
        <v>-46.651216</v>
      </c>
      <c r="D20723" s="43" t="n">
        <v>427</v>
      </c>
      <c r="E20723" s="44" t="n">
        <v>14672.207</v>
      </c>
    </row>
    <row r="20724">
      <c r="A20724" s="39">
        <f>_xlfn.XLOOKUP(83710,Trip[shape_id],Trip[shape_id],"Não encontrado")</f>
        <v/>
      </c>
      <c r="B20724" s="40" t="n">
        <v>-23.598908</v>
      </c>
      <c r="C20724" s="40" t="n">
        <v>-46.651205</v>
      </c>
      <c r="D20724" s="40" t="n">
        <v>428</v>
      </c>
      <c r="E20724" s="41" t="n">
        <v>14694.386</v>
      </c>
    </row>
    <row r="20725">
      <c r="A20725" s="42">
        <f>_xlfn.XLOOKUP(83710,Trip[shape_id],Trip[shape_id],"Não encontrado")</f>
        <v/>
      </c>
      <c r="B20725" s="43" t="n">
        <v>-23.599444</v>
      </c>
      <c r="C20725" s="43" t="n">
        <v>-46.651283</v>
      </c>
      <c r="D20725" s="43" t="n">
        <v>429</v>
      </c>
      <c r="E20725" s="44" t="n">
        <v>14754.28</v>
      </c>
    </row>
    <row r="20726">
      <c r="A20726" s="39">
        <f>_xlfn.XLOOKUP(83710,Trip[shape_id],Trip[shape_id],"Não encontrado")</f>
        <v/>
      </c>
      <c r="B20726" s="40" t="n">
        <v>-23.600124</v>
      </c>
      <c r="C20726" s="40" t="n">
        <v>-46.651342</v>
      </c>
      <c r="D20726" s="40" t="n">
        <v>430</v>
      </c>
      <c r="E20726" s="41" t="n">
        <v>14829.832</v>
      </c>
    </row>
    <row r="20727">
      <c r="A20727" s="42">
        <f>_xlfn.XLOOKUP(83710,Trip[shape_id],Trip[shape_id],"Não encontrado")</f>
        <v/>
      </c>
      <c r="B20727" s="43" t="n">
        <v>-23.600782</v>
      </c>
      <c r="C20727" s="43" t="n">
        <v>-46.651412</v>
      </c>
      <c r="D20727" s="43" t="n">
        <v>431</v>
      </c>
      <c r="E20727" s="44" t="n">
        <v>14908.93</v>
      </c>
    </row>
    <row r="20728">
      <c r="A20728" s="39">
        <f>_xlfn.XLOOKUP(83710,Trip[shape_id],Trip[shape_id],"Não encontrado")</f>
        <v/>
      </c>
      <c r="B20728" s="40" t="n">
        <v>-23.600835</v>
      </c>
      <c r="C20728" s="40" t="n">
        <v>-46.65141</v>
      </c>
      <c r="D20728" s="40" t="n">
        <v>432</v>
      </c>
      <c r="E20728" s="41" t="n">
        <v>14919.119</v>
      </c>
    </row>
    <row r="20729">
      <c r="A20729" s="42">
        <f>_xlfn.XLOOKUP(83710,Trip[shape_id],Trip[shape_id],"Não encontrado")</f>
        <v/>
      </c>
      <c r="B20729" s="43" t="n">
        <v>-23.600927</v>
      </c>
      <c r="C20729" s="43" t="n">
        <v>-46.651411</v>
      </c>
      <c r="D20729" s="43" t="n">
        <v>433</v>
      </c>
      <c r="E20729" s="44" t="n">
        <v>14946.53</v>
      </c>
    </row>
    <row r="20730">
      <c r="A20730" s="39">
        <f>_xlfn.XLOOKUP(83710,Trip[shape_id],Trip[shape_id],"Não encontrado")</f>
        <v/>
      </c>
      <c r="B20730" s="40" t="n">
        <v>-23.601174</v>
      </c>
      <c r="C20730" s="40" t="n">
        <v>-46.651428</v>
      </c>
      <c r="D20730" s="40" t="n">
        <v>434</v>
      </c>
      <c r="E20730" s="41" t="n">
        <v>14952.102</v>
      </c>
    </row>
    <row r="20731">
      <c r="A20731" s="42">
        <f>_xlfn.XLOOKUP(83710,Trip[shape_id],Trip[shape_id],"Não encontrado")</f>
        <v/>
      </c>
      <c r="B20731" s="43" t="n">
        <v>-23.601224</v>
      </c>
      <c r="C20731" s="43" t="n">
        <v>-46.651434</v>
      </c>
      <c r="D20731" s="43" t="n">
        <v>435</v>
      </c>
      <c r="E20731" s="44" t="n">
        <v>14963.188</v>
      </c>
    </row>
    <row r="20732">
      <c r="A20732" s="39">
        <f>_xlfn.XLOOKUP(83710,Trip[shape_id],Trip[shape_id],"Não encontrado")</f>
        <v/>
      </c>
      <c r="B20732" s="40" t="n">
        <v>-23.601323</v>
      </c>
      <c r="C20732" s="40" t="n">
        <v>-46.65145</v>
      </c>
      <c r="D20732" s="40" t="n">
        <v>436</v>
      </c>
      <c r="E20732" s="41" t="n">
        <v>14978.03</v>
      </c>
    </row>
    <row r="20733">
      <c r="A20733" s="42">
        <f>_xlfn.XLOOKUP(83710,Trip[shape_id],Trip[shape_id],"Não encontrado")</f>
        <v/>
      </c>
      <c r="B20733" s="43" t="n">
        <v>-23.601457</v>
      </c>
      <c r="C20733" s="43" t="n">
        <v>-46.651452</v>
      </c>
      <c r="D20733" s="43" t="n">
        <v>437</v>
      </c>
      <c r="E20733" s="44" t="n">
        <v>14978.03</v>
      </c>
    </row>
    <row r="20734">
      <c r="A20734" s="39">
        <f>_xlfn.XLOOKUP(83710,Trip[shape_id],Trip[shape_id],"Não encontrado")</f>
        <v/>
      </c>
      <c r="B20734" s="40" t="n">
        <v>-23.601714</v>
      </c>
      <c r="C20734" s="40" t="n">
        <v>-46.651471</v>
      </c>
      <c r="D20734" s="40" t="n">
        <v>438</v>
      </c>
      <c r="E20734" s="41" t="n">
        <v>15006.56</v>
      </c>
    </row>
    <row r="20735">
      <c r="A20735" s="42">
        <f>_xlfn.XLOOKUP(83710,Trip[shape_id],Trip[shape_id],"Não encontrado")</f>
        <v/>
      </c>
      <c r="B20735" s="43" t="n">
        <v>-23.601848</v>
      </c>
      <c r="C20735" s="43" t="n">
        <v>-46.65149</v>
      </c>
      <c r="D20735" s="43" t="n">
        <v>439</v>
      </c>
      <c r="E20735" s="44" t="n">
        <v>15021.526</v>
      </c>
    </row>
    <row r="20736">
      <c r="A20736" s="39">
        <f>_xlfn.XLOOKUP(83710,Trip[shape_id],Trip[shape_id],"Não encontrado")</f>
        <v/>
      </c>
      <c r="B20736" s="40" t="n">
        <v>-23.601973</v>
      </c>
      <c r="C20736" s="40" t="n">
        <v>-46.651512</v>
      </c>
      <c r="D20736" s="40" t="n">
        <v>440</v>
      </c>
      <c r="E20736" s="41" t="n">
        <v>15035.552</v>
      </c>
    </row>
    <row r="20737">
      <c r="A20737" s="42">
        <f>_xlfn.XLOOKUP(83710,Trip[shape_id],Trip[shape_id],"Não encontrado")</f>
        <v/>
      </c>
      <c r="B20737" s="43" t="n">
        <v>-23.602344</v>
      </c>
      <c r="C20737" s="43" t="n">
        <v>-46.651538</v>
      </c>
      <c r="D20737" s="43" t="n">
        <v>441</v>
      </c>
      <c r="E20737" s="44" t="n">
        <v>15076.727</v>
      </c>
    </row>
    <row r="20738">
      <c r="A20738" s="39">
        <f>_xlfn.XLOOKUP(83710,Trip[shape_id],Trip[shape_id],"Não encontrado")</f>
        <v/>
      </c>
      <c r="B20738" s="40" t="n">
        <v>-23.602641</v>
      </c>
      <c r="C20738" s="40" t="n">
        <v>-46.651575</v>
      </c>
      <c r="D20738" s="40" t="n">
        <v>442</v>
      </c>
      <c r="E20738" s="41" t="n">
        <v>15109.836</v>
      </c>
    </row>
    <row r="20739">
      <c r="A20739" s="42">
        <f>_xlfn.XLOOKUP(83710,Trip[shape_id],Trip[shape_id],"Não encontrado")</f>
        <v/>
      </c>
      <c r="B20739" s="43" t="n">
        <v>-23.603381</v>
      </c>
      <c r="C20739" s="43" t="n">
        <v>-46.651648</v>
      </c>
      <c r="D20739" s="43" t="n">
        <v>443</v>
      </c>
      <c r="E20739" s="44" t="n">
        <v>15192.131</v>
      </c>
    </row>
    <row r="20740">
      <c r="A20740" s="39">
        <f>_xlfn.XLOOKUP(83710,Trip[shape_id],Trip[shape_id],"Não encontrado")</f>
        <v/>
      </c>
      <c r="B20740" s="40" t="n">
        <v>-23.603943</v>
      </c>
      <c r="C20740" s="40" t="n">
        <v>-46.651674</v>
      </c>
      <c r="D20740" s="40" t="n">
        <v>444</v>
      </c>
      <c r="E20740" s="41" t="n">
        <v>15254.431</v>
      </c>
    </row>
    <row r="20741">
      <c r="A20741" s="42">
        <f>_xlfn.XLOOKUP(83710,Trip[shape_id],Trip[shape_id],"Não encontrado")</f>
        <v/>
      </c>
      <c r="B20741" s="43" t="n">
        <v>-23.60417</v>
      </c>
      <c r="C20741" s="43" t="n">
        <v>-46.651703</v>
      </c>
      <c r="D20741" s="43" t="n">
        <v>445</v>
      </c>
      <c r="E20741" s="44" t="n">
        <v>15279.745</v>
      </c>
    </row>
    <row r="20742">
      <c r="A20742" s="39">
        <f>_xlfn.XLOOKUP(83710,Trip[shape_id],Trip[shape_id],"Não encontrado")</f>
        <v/>
      </c>
      <c r="B20742" s="40" t="n">
        <v>-23.604785</v>
      </c>
      <c r="C20742" s="40" t="n">
        <v>-46.651748</v>
      </c>
      <c r="D20742" s="40" t="n">
        <v>446</v>
      </c>
      <c r="E20742" s="41" t="n">
        <v>15348.013</v>
      </c>
    </row>
    <row r="20743">
      <c r="A20743" s="42">
        <f>_xlfn.XLOOKUP(83710,Trip[shape_id],Trip[shape_id],"Não encontrado")</f>
        <v/>
      </c>
      <c r="B20743" s="43" t="n">
        <v>-23.605061</v>
      </c>
      <c r="C20743" s="43" t="n">
        <v>-46.651767</v>
      </c>
      <c r="D20743" s="43" t="n">
        <v>447</v>
      </c>
      <c r="E20743" s="44" t="n">
        <v>15378.642</v>
      </c>
    </row>
    <row r="20744">
      <c r="A20744" s="39">
        <f>_xlfn.XLOOKUP(83710,Trip[shape_id],Trip[shape_id],"Não encontrado")</f>
        <v/>
      </c>
      <c r="B20744" s="40" t="n">
        <v>-23.605394</v>
      </c>
      <c r="C20744" s="40" t="n">
        <v>-46.651803</v>
      </c>
      <c r="D20744" s="40" t="n">
        <v>448</v>
      </c>
      <c r="E20744" s="41" t="n">
        <v>15441.244</v>
      </c>
    </row>
    <row r="20745">
      <c r="A20745" s="42">
        <f>_xlfn.XLOOKUP(83710,Trip[shape_id],Trip[shape_id],"Não encontrado")</f>
        <v/>
      </c>
      <c r="B20745" s="43" t="n">
        <v>-23.605624</v>
      </c>
      <c r="C20745" s="43" t="n">
        <v>-46.651821</v>
      </c>
      <c r="D20745" s="43" t="n">
        <v>449</v>
      </c>
      <c r="E20745" s="44" t="n">
        <v>15498.589</v>
      </c>
    </row>
    <row r="20746">
      <c r="A20746" s="39">
        <f>_xlfn.XLOOKUP(83710,Trip[shape_id],Trip[shape_id],"Não encontrado")</f>
        <v/>
      </c>
      <c r="B20746" s="40" t="n">
        <v>-23.606134</v>
      </c>
      <c r="C20746" s="40" t="n">
        <v>-46.651918</v>
      </c>
      <c r="D20746" s="40" t="n">
        <v>450</v>
      </c>
      <c r="E20746" s="41" t="n">
        <v>15531.715</v>
      </c>
    </row>
    <row r="20747">
      <c r="A20747" s="42">
        <f>_xlfn.XLOOKUP(83710,Trip[shape_id],Trip[shape_id],"Não encontrado")</f>
        <v/>
      </c>
      <c r="B20747" s="43" t="n">
        <v>-23.60642</v>
      </c>
      <c r="C20747" s="43" t="n">
        <v>-46.652013</v>
      </c>
      <c r="D20747" s="43" t="n">
        <v>451</v>
      </c>
      <c r="E20747" s="44" t="n">
        <v>15531.715</v>
      </c>
    </row>
    <row r="20748">
      <c r="A20748" s="39">
        <f>_xlfn.XLOOKUP(83710,Trip[shape_id],Trip[shape_id],"Não encontrado")</f>
        <v/>
      </c>
      <c r="B20748" s="40" t="n">
        <v>-23.606705</v>
      </c>
      <c r="C20748" s="40" t="n">
        <v>-46.652155</v>
      </c>
      <c r="D20748" s="40" t="n">
        <v>452</v>
      </c>
      <c r="E20748" s="41" t="n">
        <v>15566.447</v>
      </c>
    </row>
    <row r="20749">
      <c r="A20749" s="42">
        <f>_xlfn.XLOOKUP(83710,Trip[shape_id],Trip[shape_id],"Não encontrado")</f>
        <v/>
      </c>
      <c r="B20749" s="43" t="n">
        <v>-23.606851</v>
      </c>
      <c r="C20749" s="43" t="n">
        <v>-46.652233</v>
      </c>
      <c r="D20749" s="43" t="n">
        <v>453</v>
      </c>
      <c r="E20749" s="44" t="n">
        <v>15584.471</v>
      </c>
    </row>
    <row r="20750">
      <c r="A20750" s="39">
        <f>_xlfn.XLOOKUP(83710,Trip[shape_id],Trip[shape_id],"Não encontrado")</f>
        <v/>
      </c>
      <c r="B20750" s="40" t="n">
        <v>-23.606947</v>
      </c>
      <c r="C20750" s="40" t="n">
        <v>-46.652289</v>
      </c>
      <c r="D20750" s="40" t="n">
        <v>454</v>
      </c>
      <c r="E20750" s="41" t="n">
        <v>15596.542</v>
      </c>
    </row>
    <row r="20751">
      <c r="A20751" s="42">
        <f>_xlfn.XLOOKUP(83710,Trip[shape_id],Trip[shape_id],"Não encontrado")</f>
        <v/>
      </c>
      <c r="B20751" s="43" t="n">
        <v>-23.607078</v>
      </c>
      <c r="C20751" s="43" t="n">
        <v>-46.652388</v>
      </c>
      <c r="D20751" s="43" t="n">
        <v>455</v>
      </c>
      <c r="E20751" s="44" t="n">
        <v>15614.223</v>
      </c>
    </row>
    <row r="20752">
      <c r="A20752" s="39">
        <f>_xlfn.XLOOKUP(83710,Trip[shape_id],Trip[shape_id],"Não encontrado")</f>
        <v/>
      </c>
      <c r="B20752" s="40" t="n">
        <v>-23.607163</v>
      </c>
      <c r="C20752" s="40" t="n">
        <v>-46.652442</v>
      </c>
      <c r="D20752" s="40" t="n">
        <v>456</v>
      </c>
      <c r="E20752" s="41" t="n">
        <v>15625.132</v>
      </c>
    </row>
    <row r="20753">
      <c r="A20753" s="42">
        <f>_xlfn.XLOOKUP(83710,Trip[shape_id],Trip[shape_id],"Não encontrado")</f>
        <v/>
      </c>
      <c r="B20753" s="43" t="n">
        <v>-23.607512</v>
      </c>
      <c r="C20753" s="43" t="n">
        <v>-46.652765</v>
      </c>
      <c r="D20753" s="43" t="n">
        <v>457</v>
      </c>
      <c r="E20753" s="44" t="n">
        <v>15675.933</v>
      </c>
    </row>
    <row r="20754">
      <c r="A20754" s="39">
        <f>_xlfn.XLOOKUP(83710,Trip[shape_id],Trip[shape_id],"Não encontrado")</f>
        <v/>
      </c>
      <c r="B20754" s="40" t="n">
        <v>-23.607603</v>
      </c>
      <c r="C20754" s="40" t="n">
        <v>-46.65285</v>
      </c>
      <c r="D20754" s="40" t="n">
        <v>458</v>
      </c>
      <c r="E20754" s="41" t="n">
        <v>15689.23</v>
      </c>
    </row>
    <row r="20755">
      <c r="A20755" s="42">
        <f>_xlfn.XLOOKUP(83710,Trip[shape_id],Trip[shape_id],"Não encontrado")</f>
        <v/>
      </c>
      <c r="B20755" s="43" t="n">
        <v>-23.60764</v>
      </c>
      <c r="C20755" s="43" t="n">
        <v>-46.652884</v>
      </c>
      <c r="D20755" s="43" t="n">
        <v>459</v>
      </c>
      <c r="E20755" s="44" t="n">
        <v>15710.375</v>
      </c>
    </row>
    <row r="20756">
      <c r="A20756" s="39">
        <f>_xlfn.XLOOKUP(83710,Trip[shape_id],Trip[shape_id],"Não encontrado")</f>
        <v/>
      </c>
      <c r="B20756" s="40" t="n">
        <v>-23.607741</v>
      </c>
      <c r="C20756" s="40" t="n">
        <v>-46.652993</v>
      </c>
      <c r="D20756" s="40" t="n">
        <v>460</v>
      </c>
      <c r="E20756" s="41" t="n">
        <v>15710.375</v>
      </c>
    </row>
    <row r="20757">
      <c r="A20757" s="42">
        <f>_xlfn.XLOOKUP(83710,Trip[shape_id],Trip[shape_id],"Não encontrado")</f>
        <v/>
      </c>
      <c r="B20757" s="43" t="n">
        <v>-23.607956</v>
      </c>
      <c r="C20757" s="43" t="n">
        <v>-46.653191</v>
      </c>
      <c r="D20757" s="43" t="n">
        <v>461</v>
      </c>
      <c r="E20757" s="44" t="n">
        <v>15741.605</v>
      </c>
    </row>
    <row r="20758">
      <c r="A20758" s="39">
        <f>_xlfn.XLOOKUP(83710,Trip[shape_id],Trip[shape_id],"Não encontrado")</f>
        <v/>
      </c>
      <c r="B20758" s="40" t="n">
        <v>-23.608496</v>
      </c>
      <c r="C20758" s="40" t="n">
        <v>-46.653676</v>
      </c>
      <c r="D20758" s="40" t="n">
        <v>462</v>
      </c>
      <c r="E20758" s="41" t="n">
        <v>15819.238</v>
      </c>
    </row>
    <row r="20759">
      <c r="A20759" s="42">
        <f>_xlfn.XLOOKUP(83710,Trip[shape_id],Trip[shape_id],"Não encontrado")</f>
        <v/>
      </c>
      <c r="B20759" s="43" t="n">
        <v>-23.609294</v>
      </c>
      <c r="C20759" s="43" t="n">
        <v>-46.654428</v>
      </c>
      <c r="D20759" s="43" t="n">
        <v>463</v>
      </c>
      <c r="E20759" s="44" t="n">
        <v>15936.29</v>
      </c>
    </row>
    <row r="20760">
      <c r="A20760" s="39">
        <f>_xlfn.XLOOKUP(83710,Trip[shape_id],Trip[shape_id],"Não encontrado")</f>
        <v/>
      </c>
      <c r="B20760" s="40" t="n">
        <v>-23.610079</v>
      </c>
      <c r="C20760" s="40" t="n">
        <v>-46.655175</v>
      </c>
      <c r="D20760" s="40" t="n">
        <v>464</v>
      </c>
      <c r="E20760" s="41" t="n">
        <v>16051.922</v>
      </c>
    </row>
    <row r="20761">
      <c r="A20761" s="42">
        <f>_xlfn.XLOOKUP(83710,Trip[shape_id],Trip[shape_id],"Não encontrado")</f>
        <v/>
      </c>
      <c r="B20761" s="43" t="n">
        <v>-23.610356</v>
      </c>
      <c r="C20761" s="43" t="n">
        <v>-46.655397</v>
      </c>
      <c r="D20761" s="43" t="n">
        <v>465</v>
      </c>
      <c r="E20761" s="44" t="n">
        <v>16090.06</v>
      </c>
    </row>
    <row r="20762">
      <c r="A20762" s="39">
        <f>_xlfn.XLOOKUP(83710,Trip[shape_id],Trip[shape_id],"Não encontrado")</f>
        <v/>
      </c>
      <c r="B20762" s="40" t="n">
        <v>-23.610683</v>
      </c>
      <c r="C20762" s="40" t="n">
        <v>-46.655621</v>
      </c>
      <c r="D20762" s="40" t="n">
        <v>466</v>
      </c>
      <c r="E20762" s="41" t="n">
        <v>16132.888</v>
      </c>
    </row>
    <row r="20763">
      <c r="A20763" s="42">
        <f>_xlfn.XLOOKUP(83710,Trip[shape_id],Trip[shape_id],"Não encontrado")</f>
        <v/>
      </c>
      <c r="B20763" s="43" t="n">
        <v>-23.610864</v>
      </c>
      <c r="C20763" s="43" t="n">
        <v>-46.655761</v>
      </c>
      <c r="D20763" s="43" t="n">
        <v>467</v>
      </c>
      <c r="E20763" s="44" t="n">
        <v>16157.505</v>
      </c>
    </row>
    <row r="20764">
      <c r="A20764" s="39">
        <f>_xlfn.XLOOKUP(83710,Trip[shape_id],Trip[shape_id],"Não encontrado")</f>
        <v/>
      </c>
      <c r="B20764" s="40" t="n">
        <v>-23.611074</v>
      </c>
      <c r="C20764" s="40" t="n">
        <v>-46.655926</v>
      </c>
      <c r="D20764" s="40" t="n">
        <v>468</v>
      </c>
      <c r="E20764" s="41" t="n">
        <v>16186.219</v>
      </c>
    </row>
    <row r="20765">
      <c r="A20765" s="42">
        <f>_xlfn.XLOOKUP(83710,Trip[shape_id],Trip[shape_id],"Não encontrado")</f>
        <v/>
      </c>
      <c r="B20765" s="43" t="n">
        <v>-23.61124</v>
      </c>
      <c r="C20765" s="43" t="n">
        <v>-46.656007</v>
      </c>
      <c r="D20765" s="43" t="n">
        <v>469</v>
      </c>
      <c r="E20765" s="44" t="n">
        <v>16206.377</v>
      </c>
    </row>
    <row r="20766">
      <c r="A20766" s="39">
        <f>_xlfn.XLOOKUP(83710,Trip[shape_id],Trip[shape_id],"Não encontrado")</f>
        <v/>
      </c>
      <c r="B20766" s="40" t="n">
        <v>-23.611759</v>
      </c>
      <c r="C20766" s="40" t="n">
        <v>-46.656525</v>
      </c>
      <c r="D20766" s="40" t="n">
        <v>470</v>
      </c>
      <c r="E20766" s="41" t="n">
        <v>16284.471</v>
      </c>
    </row>
    <row r="20767">
      <c r="A20767" s="42">
        <f>_xlfn.XLOOKUP(83710,Trip[shape_id],Trip[shape_id],"Não encontrado")</f>
        <v/>
      </c>
      <c r="B20767" s="43" t="n">
        <v>-23.611905</v>
      </c>
      <c r="C20767" s="43" t="n">
        <v>-46.656663</v>
      </c>
      <c r="D20767" s="43" t="n">
        <v>471</v>
      </c>
      <c r="E20767" s="44" t="n">
        <v>16400.436</v>
      </c>
    </row>
    <row r="20768">
      <c r="A20768" s="39">
        <f>_xlfn.XLOOKUP(83710,Trip[shape_id],Trip[shape_id],"Não encontrado")</f>
        <v/>
      </c>
      <c r="B20768" s="40" t="n">
        <v>-23.612552</v>
      </c>
      <c r="C20768" s="40" t="n">
        <v>-46.657267</v>
      </c>
      <c r="D20768" s="40" t="n">
        <v>472</v>
      </c>
      <c r="E20768" s="41" t="n">
        <v>16400.436</v>
      </c>
    </row>
    <row r="20769">
      <c r="A20769" s="42">
        <f>_xlfn.XLOOKUP(83710,Trip[shape_id],Trip[shape_id],"Não encontrado")</f>
        <v/>
      </c>
      <c r="B20769" s="43" t="n">
        <v>-23.612642</v>
      </c>
      <c r="C20769" s="43" t="n">
        <v>-46.657354</v>
      </c>
      <c r="D20769" s="43" t="n">
        <v>473</v>
      </c>
      <c r="E20769" s="44" t="n">
        <v>16490.824</v>
      </c>
    </row>
    <row r="20770">
      <c r="A20770" s="39">
        <f>_xlfn.XLOOKUP(83710,Trip[shape_id],Trip[shape_id],"Não encontrado")</f>
        <v/>
      </c>
      <c r="B20770" s="40" t="n">
        <v>-23.613168</v>
      </c>
      <c r="C20770" s="40" t="n">
        <v>-46.657848</v>
      </c>
      <c r="D20770" s="40" t="n">
        <v>474</v>
      </c>
      <c r="E20770" s="41" t="n">
        <v>16517.771</v>
      </c>
    </row>
    <row r="20771">
      <c r="A20771" s="42">
        <f>_xlfn.XLOOKUP(83710,Trip[shape_id],Trip[shape_id],"Não encontrado")</f>
        <v/>
      </c>
      <c r="B20771" s="43" t="n">
        <v>-23.613351</v>
      </c>
      <c r="C20771" s="43" t="n">
        <v>-46.658022</v>
      </c>
      <c r="D20771" s="43" t="n">
        <v>475</v>
      </c>
      <c r="E20771" s="44" t="n">
        <v>16517.771</v>
      </c>
    </row>
    <row r="20772">
      <c r="A20772" s="39">
        <f>_xlfn.XLOOKUP(83710,Trip[shape_id],Trip[shape_id],"Não encontrado")</f>
        <v/>
      </c>
      <c r="B20772" s="40" t="n">
        <v>-23.614141</v>
      </c>
      <c r="C20772" s="40" t="n">
        <v>-46.658756</v>
      </c>
      <c r="D20772" s="40" t="n">
        <v>476</v>
      </c>
      <c r="E20772" s="41" t="n">
        <v>16632.951</v>
      </c>
    </row>
    <row r="20773">
      <c r="A20773" s="42">
        <f>_xlfn.XLOOKUP(83710,Trip[shape_id],Trip[shape_id],"Não encontrado")</f>
        <v/>
      </c>
      <c r="B20773" s="43" t="n">
        <v>-23.614985</v>
      </c>
      <c r="C20773" s="43" t="n">
        <v>-46.659547</v>
      </c>
      <c r="D20773" s="43" t="n">
        <v>477</v>
      </c>
      <c r="E20773" s="44" t="n">
        <v>16756.457</v>
      </c>
    </row>
    <row r="20774">
      <c r="A20774" s="39">
        <f>_xlfn.XLOOKUP(83710,Trip[shape_id],Trip[shape_id],"Não encontrado")</f>
        <v/>
      </c>
      <c r="B20774" s="40" t="n">
        <v>-23.615713</v>
      </c>
      <c r="C20774" s="40" t="n">
        <v>-46.660251</v>
      </c>
      <c r="D20774" s="40" t="n">
        <v>478</v>
      </c>
      <c r="E20774" s="41" t="n">
        <v>16864.449</v>
      </c>
    </row>
    <row r="20775">
      <c r="A20775" s="42">
        <f>_xlfn.XLOOKUP(83710,Trip[shape_id],Trip[shape_id],"Não encontrado")</f>
        <v/>
      </c>
      <c r="B20775" s="43" t="n">
        <v>-23.616046</v>
      </c>
      <c r="C20775" s="43" t="n">
        <v>-46.660569</v>
      </c>
      <c r="D20775" s="43" t="n">
        <v>479</v>
      </c>
      <c r="E20775" s="44" t="n">
        <v>16913.574</v>
      </c>
    </row>
    <row r="20776">
      <c r="A20776" s="39">
        <f>_xlfn.XLOOKUP(83710,Trip[shape_id],Trip[shape_id],"Não encontrado")</f>
        <v/>
      </c>
      <c r="B20776" s="40" t="n">
        <v>-23.616516</v>
      </c>
      <c r="C20776" s="40" t="n">
        <v>-46.661008</v>
      </c>
      <c r="D20776" s="40" t="n">
        <v>480</v>
      </c>
      <c r="E20776" s="41" t="n">
        <v>16982.252</v>
      </c>
    </row>
    <row r="20777">
      <c r="A20777" s="42">
        <f>_xlfn.XLOOKUP(83710,Trip[shape_id],Trip[shape_id],"Não encontrado")</f>
        <v/>
      </c>
      <c r="B20777" s="43" t="n">
        <v>-23.617105</v>
      </c>
      <c r="C20777" s="43" t="n">
        <v>-46.661565</v>
      </c>
      <c r="D20777" s="43" t="n">
        <v>481</v>
      </c>
      <c r="E20777" s="44" t="n">
        <v>17106.104</v>
      </c>
    </row>
    <row r="20778">
      <c r="A20778" s="39">
        <f>_xlfn.XLOOKUP(83710,Trip[shape_id],Trip[shape_id],"Não encontrado")</f>
        <v/>
      </c>
      <c r="B20778" s="40" t="n">
        <v>-23.617379</v>
      </c>
      <c r="C20778" s="40" t="n">
        <v>-46.661778</v>
      </c>
      <c r="D20778" s="40" t="n">
        <v>482</v>
      </c>
      <c r="E20778" s="41" t="n">
        <v>17106.104</v>
      </c>
    </row>
    <row r="20779">
      <c r="A20779" s="42">
        <f>_xlfn.XLOOKUP(83710,Trip[shape_id],Trip[shape_id],"Não encontrado")</f>
        <v/>
      </c>
      <c r="B20779" s="43" t="n">
        <v>-23.617687</v>
      </c>
      <c r="C20779" s="43" t="n">
        <v>-46.661969</v>
      </c>
      <c r="D20779" s="43" t="n">
        <v>483</v>
      </c>
      <c r="E20779" s="44" t="n">
        <v>17145.391</v>
      </c>
    </row>
    <row r="20780">
      <c r="A20780" s="39">
        <f>_xlfn.XLOOKUP(83710,Trip[shape_id],Trip[shape_id],"Não encontrado")</f>
        <v/>
      </c>
      <c r="B20780" s="40" t="n">
        <v>-23.617902</v>
      </c>
      <c r="C20780" s="40" t="n">
        <v>-46.662061</v>
      </c>
      <c r="D20780" s="40" t="n">
        <v>484</v>
      </c>
      <c r="E20780" s="41" t="n">
        <v>17201.164</v>
      </c>
    </row>
    <row r="20781">
      <c r="A20781" s="42">
        <f>_xlfn.XLOOKUP(83710,Trip[shape_id],Trip[shape_id],"Não encontrado")</f>
        <v/>
      </c>
      <c r="B20781" s="43" t="n">
        <v>-23.618169</v>
      </c>
      <c r="C20781" s="43" t="n">
        <v>-46.66212</v>
      </c>
      <c r="D20781" s="43" t="n">
        <v>485</v>
      </c>
      <c r="E20781" s="44" t="n">
        <v>17227.598</v>
      </c>
    </row>
    <row r="20782">
      <c r="A20782" s="39">
        <f>_xlfn.XLOOKUP(83710,Trip[shape_id],Trip[shape_id],"Não encontrado")</f>
        <v/>
      </c>
      <c r="B20782" s="40" t="n">
        <v>-23.618403</v>
      </c>
      <c r="C20782" s="40" t="n">
        <v>-46.662171</v>
      </c>
      <c r="D20782" s="40" t="n">
        <v>486</v>
      </c>
      <c r="E20782" s="41" t="n">
        <v>17271.033</v>
      </c>
    </row>
    <row r="20783">
      <c r="A20783" s="42">
        <f>_xlfn.XLOOKUP(83710,Trip[shape_id],Trip[shape_id],"Não encontrado")</f>
        <v/>
      </c>
      <c r="B20783" s="43" t="n">
        <v>-23.618795</v>
      </c>
      <c r="C20783" s="43" t="n">
        <v>-46.662184</v>
      </c>
      <c r="D20783" s="43" t="n">
        <v>487</v>
      </c>
      <c r="E20783" s="44" t="n">
        <v>17343.273</v>
      </c>
    </row>
    <row r="20784">
      <c r="A20784" s="39">
        <f>_xlfn.XLOOKUP(83710,Trip[shape_id],Trip[shape_id],"Não encontrado")</f>
        <v/>
      </c>
      <c r="B20784" s="40" t="n">
        <v>-23.619445</v>
      </c>
      <c r="C20784" s="40" t="n">
        <v>-46.662125</v>
      </c>
      <c r="D20784" s="40" t="n">
        <v>488</v>
      </c>
      <c r="E20784" s="41" t="n">
        <v>17343.273</v>
      </c>
    </row>
    <row r="20785">
      <c r="A20785" s="42">
        <f>_xlfn.XLOOKUP(83710,Trip[shape_id],Trip[shape_id],"Não encontrado")</f>
        <v/>
      </c>
      <c r="B20785" s="43" t="n">
        <v>-23.619727</v>
      </c>
      <c r="C20785" s="43" t="n">
        <v>-46.662095</v>
      </c>
      <c r="D20785" s="43" t="n">
        <v>489</v>
      </c>
      <c r="E20785" s="44" t="n">
        <v>17412.191</v>
      </c>
    </row>
    <row r="20786">
      <c r="A20786" s="39">
        <f>_xlfn.XLOOKUP(83710,Trip[shape_id],Trip[shape_id],"Não encontrado")</f>
        <v/>
      </c>
      <c r="B20786" s="40" t="n">
        <v>-23.620064</v>
      </c>
      <c r="C20786" s="40" t="n">
        <v>-46.662056</v>
      </c>
      <c r="D20786" s="40" t="n">
        <v>490</v>
      </c>
      <c r="E20786" s="41" t="n">
        <v>17458.359</v>
      </c>
    </row>
    <row r="20787">
      <c r="A20787" s="42">
        <f>_xlfn.XLOOKUP(83710,Trip[shape_id],Trip[shape_id],"Não encontrado")</f>
        <v/>
      </c>
      <c r="B20787" s="43" t="n">
        <v>-23.62048</v>
      </c>
      <c r="C20787" s="43" t="n">
        <v>-46.662027</v>
      </c>
      <c r="D20787" s="43" t="n">
        <v>491</v>
      </c>
      <c r="E20787" s="44" t="n">
        <v>17458.359</v>
      </c>
    </row>
    <row r="20788">
      <c r="A20788" s="39">
        <f>_xlfn.XLOOKUP(83710,Trip[shape_id],Trip[shape_id],"Não encontrado")</f>
        <v/>
      </c>
      <c r="B20788" s="40" t="n">
        <v>-23.621545</v>
      </c>
      <c r="C20788" s="40" t="n">
        <v>-46.66194</v>
      </c>
      <c r="D20788" s="40" t="n">
        <v>492</v>
      </c>
      <c r="E20788" s="41" t="n">
        <v>17576.645</v>
      </c>
    </row>
    <row r="20789">
      <c r="A20789" s="42">
        <f>_xlfn.XLOOKUP(83710,Trip[shape_id],Trip[shape_id],"Não encontrado")</f>
        <v/>
      </c>
      <c r="B20789" s="43" t="n">
        <v>-23.622983</v>
      </c>
      <c r="C20789" s="43" t="n">
        <v>-46.661812</v>
      </c>
      <c r="D20789" s="43" t="n">
        <v>493</v>
      </c>
      <c r="E20789" s="44" t="n">
        <v>17736.441</v>
      </c>
    </row>
    <row r="20790">
      <c r="A20790" s="39">
        <f>_xlfn.XLOOKUP(83710,Trip[shape_id],Trip[shape_id],"Não encontrado")</f>
        <v/>
      </c>
      <c r="B20790" s="40" t="n">
        <v>-23.623886</v>
      </c>
      <c r="C20790" s="40" t="n">
        <v>-46.661735</v>
      </c>
      <c r="D20790" s="40" t="n">
        <v>494</v>
      </c>
      <c r="E20790" s="41" t="n">
        <v>17836.76</v>
      </c>
    </row>
    <row r="20791">
      <c r="A20791" s="42">
        <f>_xlfn.XLOOKUP(83710,Trip[shape_id],Trip[shape_id],"Não encontrado")</f>
        <v/>
      </c>
      <c r="B20791" s="43" t="n">
        <v>-23.624439</v>
      </c>
      <c r="C20791" s="43" t="n">
        <v>-46.661795</v>
      </c>
      <c r="D20791" s="43" t="n">
        <v>495</v>
      </c>
      <c r="E20791" s="44" t="n">
        <v>17898.311</v>
      </c>
    </row>
    <row r="20792">
      <c r="A20792" s="39">
        <f>_xlfn.XLOOKUP(83710,Trip[shape_id],Trip[shape_id],"Não encontrado")</f>
        <v/>
      </c>
      <c r="B20792" s="40" t="n">
        <v>-23.62466</v>
      </c>
      <c r="C20792" s="40" t="n">
        <v>-46.661811</v>
      </c>
      <c r="D20792" s="40" t="n">
        <v>496</v>
      </c>
      <c r="E20792" s="41" t="n">
        <v>17987.682</v>
      </c>
    </row>
    <row r="20793">
      <c r="A20793" s="42">
        <f>_xlfn.XLOOKUP(83710,Trip[shape_id],Trip[shape_id],"Não encontrado")</f>
        <v/>
      </c>
      <c r="B20793" s="43" t="n">
        <v>-23.625243</v>
      </c>
      <c r="C20793" s="43" t="n">
        <v>-46.661869</v>
      </c>
      <c r="D20793" s="43" t="n">
        <v>497</v>
      </c>
      <c r="E20793" s="44" t="n">
        <v>17987.682</v>
      </c>
    </row>
    <row r="20794">
      <c r="A20794" s="39">
        <f>_xlfn.XLOOKUP(83710,Trip[shape_id],Trip[shape_id],"Não encontrado")</f>
        <v/>
      </c>
      <c r="B20794" s="40" t="n">
        <v>-23.625437</v>
      </c>
      <c r="C20794" s="40" t="n">
        <v>-46.661892</v>
      </c>
      <c r="D20794" s="40" t="n">
        <v>498</v>
      </c>
      <c r="E20794" s="41" t="n">
        <v>18023.6</v>
      </c>
    </row>
    <row r="20795">
      <c r="A20795" s="42">
        <f>_xlfn.XLOOKUP(83710,Trip[shape_id],Trip[shape_id],"Não encontrado")</f>
        <v/>
      </c>
      <c r="B20795" s="43" t="n">
        <v>-23.625566</v>
      </c>
      <c r="C20795" s="43" t="n">
        <v>-46.661899</v>
      </c>
      <c r="D20795" s="43" t="n">
        <v>499</v>
      </c>
      <c r="E20795" s="44" t="n">
        <v>18037.445</v>
      </c>
    </row>
    <row r="20796">
      <c r="A20796" s="39">
        <f>_xlfn.XLOOKUP(83710,Trip[shape_id],Trip[shape_id],"Não encontrado")</f>
        <v/>
      </c>
      <c r="B20796" s="40" t="n">
        <v>-23.625691</v>
      </c>
      <c r="C20796" s="40" t="n">
        <v>-46.661898</v>
      </c>
      <c r="D20796" s="40" t="n">
        <v>500</v>
      </c>
      <c r="E20796" s="41" t="n">
        <v>18049.104</v>
      </c>
    </row>
    <row r="20797">
      <c r="A20797" s="42">
        <f>_xlfn.XLOOKUP(83710,Trip[shape_id],Trip[shape_id],"Não encontrado")</f>
        <v/>
      </c>
      <c r="B20797" s="43" t="n">
        <v>-23.625796</v>
      </c>
      <c r="C20797" s="43" t="n">
        <v>-46.66189</v>
      </c>
      <c r="D20797" s="43" t="n">
        <v>501</v>
      </c>
      <c r="E20797" s="44" t="n">
        <v>18061.318</v>
      </c>
    </row>
    <row r="20798">
      <c r="A20798" s="39">
        <f>_xlfn.XLOOKUP(83710,Trip[shape_id],Trip[shape_id],"Não encontrado")</f>
        <v/>
      </c>
      <c r="B20798" s="40" t="n">
        <v>-23.625903</v>
      </c>
      <c r="C20798" s="40" t="n">
        <v>-46.661861</v>
      </c>
      <c r="D20798" s="40" t="n">
        <v>502</v>
      </c>
      <c r="E20798" s="41" t="n">
        <v>18077.352</v>
      </c>
    </row>
    <row r="20799">
      <c r="A20799" s="42">
        <f>_xlfn.XLOOKUP(83710,Trip[shape_id],Trip[shape_id],"Não encontrado")</f>
        <v/>
      </c>
      <c r="B20799" s="43" t="n">
        <v>-23.626043</v>
      </c>
      <c r="C20799" s="43" t="n">
        <v>-46.661821</v>
      </c>
      <c r="D20799" s="43" t="n">
        <v>503</v>
      </c>
      <c r="E20799" s="44" t="n">
        <v>18107.49</v>
      </c>
    </row>
    <row r="20800">
      <c r="A20800" s="39">
        <f>_xlfn.XLOOKUP(83710,Trip[shape_id],Trip[shape_id],"Não encontrado")</f>
        <v/>
      </c>
      <c r="B20800" s="40" t="n">
        <v>-23.626297</v>
      </c>
      <c r="C20800" s="40" t="n">
        <v>-46.661715</v>
      </c>
      <c r="D20800" s="40" t="n">
        <v>504</v>
      </c>
      <c r="E20800" s="41" t="n">
        <v>18130.053</v>
      </c>
    </row>
    <row r="20801">
      <c r="A20801" s="42">
        <f>_xlfn.XLOOKUP(83710,Trip[shape_id],Trip[shape_id],"Não encontrado")</f>
        <v/>
      </c>
      <c r="B20801" s="43" t="n">
        <v>-23.626492</v>
      </c>
      <c r="C20801" s="43" t="n">
        <v>-46.661651</v>
      </c>
      <c r="D20801" s="43" t="n">
        <v>505</v>
      </c>
      <c r="E20801" s="44" t="n">
        <v>18163.637</v>
      </c>
    </row>
    <row r="20802">
      <c r="A20802" s="39">
        <f>_xlfn.XLOOKUP(83710,Trip[shape_id],Trip[shape_id],"Não encontrado")</f>
        <v/>
      </c>
      <c r="B20802" s="40" t="n">
        <v>-23.626792</v>
      </c>
      <c r="C20802" s="40" t="n">
        <v>-46.661603</v>
      </c>
      <c r="D20802" s="40" t="n">
        <v>506</v>
      </c>
      <c r="E20802" s="41" t="n">
        <v>18184.791</v>
      </c>
    </row>
    <row r="20803">
      <c r="A20803" s="42">
        <f>_xlfn.XLOOKUP(83710,Trip[shape_id],Trip[shape_id],"Não encontrado")</f>
        <v/>
      </c>
      <c r="B20803" s="43" t="n">
        <v>-23.626983</v>
      </c>
      <c r="C20803" s="43" t="n">
        <v>-46.661601</v>
      </c>
      <c r="D20803" s="43" t="n">
        <v>507</v>
      </c>
      <c r="E20803" s="44" t="n">
        <v>18213.609</v>
      </c>
    </row>
    <row r="20804">
      <c r="A20804" s="39">
        <f>_xlfn.XLOOKUP(83710,Trip[shape_id],Trip[shape_id],"Não encontrado")</f>
        <v/>
      </c>
      <c r="B20804" s="40" t="n">
        <v>-23.627236</v>
      </c>
      <c r="C20804" s="40" t="n">
        <v>-46.661667</v>
      </c>
      <c r="D20804" s="40" t="n">
        <v>508</v>
      </c>
      <c r="E20804" s="41" t="n">
        <v>18218.264</v>
      </c>
    </row>
    <row r="20805">
      <c r="A20805" s="42">
        <f>_xlfn.XLOOKUP(83710,Trip[shape_id],Trip[shape_id],"Não encontrado")</f>
        <v/>
      </c>
      <c r="B20805" s="43" t="n">
        <v>-23.627275</v>
      </c>
      <c r="C20805" s="43" t="n">
        <v>-46.661684</v>
      </c>
      <c r="D20805" s="43" t="n">
        <v>509</v>
      </c>
      <c r="E20805" s="44" t="n">
        <v>18218.264</v>
      </c>
    </row>
    <row r="20806">
      <c r="A20806" s="39">
        <f>_xlfn.XLOOKUP(83710,Trip[shape_id],Trip[shape_id],"Não encontrado")</f>
        <v/>
      </c>
      <c r="B20806" s="40" t="n">
        <v>-23.627482</v>
      </c>
      <c r="C20806" s="40" t="n">
        <v>-46.661773</v>
      </c>
      <c r="D20806" s="40" t="n">
        <v>510</v>
      </c>
      <c r="E20806" s="41" t="n">
        <v>18274</v>
      </c>
    </row>
    <row r="20807">
      <c r="A20807" s="42">
        <f>_xlfn.XLOOKUP(83710,Trip[shape_id],Trip[shape_id],"Não encontrado")</f>
        <v/>
      </c>
      <c r="B20807" s="43" t="n">
        <v>-23.627723</v>
      </c>
      <c r="C20807" s="43" t="n">
        <v>-46.661929</v>
      </c>
      <c r="D20807" s="43" t="n">
        <v>511</v>
      </c>
      <c r="E20807" s="44" t="n">
        <v>18274</v>
      </c>
    </row>
    <row r="20808">
      <c r="A20808" s="39">
        <f>_xlfn.XLOOKUP(83710,Trip[shape_id],Trip[shape_id],"Não encontrado")</f>
        <v/>
      </c>
      <c r="B20808" s="40" t="n">
        <v>-23.627767</v>
      </c>
      <c r="C20808" s="40" t="n">
        <v>-46.661966</v>
      </c>
      <c r="D20808" s="40" t="n">
        <v>512</v>
      </c>
      <c r="E20808" s="41" t="n">
        <v>18292.211</v>
      </c>
    </row>
    <row r="20809">
      <c r="A20809" s="42">
        <f>_xlfn.XLOOKUP(83710,Trip[shape_id],Trip[shape_id],"Não encontrado")</f>
        <v/>
      </c>
      <c r="B20809" s="43" t="n">
        <v>-23.627851</v>
      </c>
      <c r="C20809" s="43" t="n">
        <v>-46.662041</v>
      </c>
      <c r="D20809" s="43" t="n">
        <v>513</v>
      </c>
      <c r="E20809" s="44" t="n">
        <v>18292.211</v>
      </c>
    </row>
    <row r="20810">
      <c r="A20810" s="39">
        <f>_xlfn.XLOOKUP(83710,Trip[shape_id],Trip[shape_id],"Não encontrado")</f>
        <v/>
      </c>
      <c r="B20810" s="40" t="n">
        <v>-23.627919</v>
      </c>
      <c r="C20810" s="40" t="n">
        <v>-46.662118</v>
      </c>
      <c r="D20810" s="40" t="n">
        <v>514</v>
      </c>
      <c r="E20810" s="41" t="n">
        <v>18317.662</v>
      </c>
    </row>
    <row r="20811">
      <c r="A20811" s="42">
        <f>_xlfn.XLOOKUP(83710,Trip[shape_id],Trip[shape_id],"Não encontrado")</f>
        <v/>
      </c>
      <c r="B20811" s="43" t="n">
        <v>-23.628011</v>
      </c>
      <c r="C20811" s="43" t="n">
        <v>-46.66222</v>
      </c>
      <c r="D20811" s="43" t="n">
        <v>515</v>
      </c>
      <c r="E20811" s="44" t="n">
        <v>18317.662</v>
      </c>
    </row>
    <row r="20812">
      <c r="A20812" s="39">
        <f>_xlfn.XLOOKUP(83710,Trip[shape_id],Trip[shape_id],"Não encontrado")</f>
        <v/>
      </c>
      <c r="B20812" s="40" t="n">
        <v>-23.628138</v>
      </c>
      <c r="C20812" s="40" t="n">
        <v>-46.662383</v>
      </c>
      <c r="D20812" s="40" t="n">
        <v>516</v>
      </c>
      <c r="E20812" s="41" t="n">
        <v>18362.018</v>
      </c>
    </row>
    <row r="20813">
      <c r="A20813" s="42">
        <f>_xlfn.XLOOKUP(83710,Trip[shape_id],Trip[shape_id],"Não encontrado")</f>
        <v/>
      </c>
      <c r="B20813" s="43" t="n">
        <v>-23.628227</v>
      </c>
      <c r="C20813" s="43" t="n">
        <v>-46.662582</v>
      </c>
      <c r="D20813" s="43" t="n">
        <v>517</v>
      </c>
      <c r="E20813" s="44" t="n">
        <v>18391.592</v>
      </c>
    </row>
    <row r="20814">
      <c r="A20814" s="39">
        <f>_xlfn.XLOOKUP(83710,Trip[shape_id],Trip[shape_id],"Não encontrado")</f>
        <v/>
      </c>
      <c r="B20814" s="40" t="n">
        <v>-23.628314</v>
      </c>
      <c r="C20814" s="40" t="n">
        <v>-46.662856</v>
      </c>
      <c r="D20814" s="40" t="n">
        <v>518</v>
      </c>
      <c r="E20814" s="41" t="n">
        <v>18410.061</v>
      </c>
    </row>
    <row r="20815">
      <c r="A20815" s="42">
        <f>_xlfn.XLOOKUP(83710,Trip[shape_id],Trip[shape_id],"Não encontrado")</f>
        <v/>
      </c>
      <c r="B20815" s="43" t="n">
        <v>-23.628363</v>
      </c>
      <c r="C20815" s="43" t="n">
        <v>-46.663029</v>
      </c>
      <c r="D20815" s="43" t="n">
        <v>519</v>
      </c>
      <c r="E20815" s="44" t="n">
        <v>18487.348</v>
      </c>
    </row>
    <row r="20816">
      <c r="A20816" s="39">
        <f>_xlfn.XLOOKUP(83710,Trip[shape_id],Trip[shape_id],"Não encontrado")</f>
        <v/>
      </c>
      <c r="B20816" s="40" t="n">
        <v>-23.628549</v>
      </c>
      <c r="C20816" s="40" t="n">
        <v>-46.663759</v>
      </c>
      <c r="D20816" s="40" t="n">
        <v>520</v>
      </c>
      <c r="E20816" s="41" t="n">
        <v>18564.223</v>
      </c>
    </row>
    <row r="20817">
      <c r="A20817" s="42">
        <f>_xlfn.XLOOKUP(83710,Trip[shape_id],Trip[shape_id],"Não encontrado")</f>
        <v/>
      </c>
      <c r="B20817" s="43" t="n">
        <v>-23.628731</v>
      </c>
      <c r="C20817" s="43" t="n">
        <v>-46.664486</v>
      </c>
      <c r="D20817" s="43" t="n">
        <v>521</v>
      </c>
      <c r="E20817" s="44" t="n">
        <v>18599.215</v>
      </c>
    </row>
    <row r="20818">
      <c r="A20818" s="39">
        <f>_xlfn.XLOOKUP(83710,Trip[shape_id],Trip[shape_id],"Não encontrado")</f>
        <v/>
      </c>
      <c r="B20818" s="40" t="n">
        <v>-23.628829</v>
      </c>
      <c r="C20818" s="40" t="n">
        <v>-46.664812</v>
      </c>
      <c r="D20818" s="40" t="n">
        <v>522</v>
      </c>
      <c r="E20818" s="41" t="n">
        <v>18606.563</v>
      </c>
    </row>
    <row r="20819">
      <c r="A20819" s="42">
        <f>_xlfn.XLOOKUP(83710,Trip[shape_id],Trip[shape_id],"Não encontrado")</f>
        <v/>
      </c>
      <c r="B20819" s="43" t="n">
        <v>-23.628828</v>
      </c>
      <c r="C20819" s="43" t="n">
        <v>-46.664884</v>
      </c>
      <c r="D20819" s="43" t="n">
        <v>523</v>
      </c>
      <c r="E20819" s="44" t="n">
        <v>18606.563</v>
      </c>
    </row>
    <row r="20820">
      <c r="A20820" s="39">
        <f>_xlfn.XLOOKUP(83710,Trip[shape_id],Trip[shape_id],"Não encontrado")</f>
        <v/>
      </c>
      <c r="B20820" s="40" t="n">
        <v>-23.628844</v>
      </c>
      <c r="C20820" s="40" t="n">
        <v>-46.664991</v>
      </c>
      <c r="D20820" s="40" t="n">
        <v>524</v>
      </c>
      <c r="E20820" s="41" t="n">
        <v>18617.625</v>
      </c>
    </row>
    <row r="20821">
      <c r="A20821" s="42">
        <f>_xlfn.XLOOKUP(83710,Trip[shape_id],Trip[shape_id],"Não encontrado")</f>
        <v/>
      </c>
      <c r="B20821" s="43" t="n">
        <v>-23.628967</v>
      </c>
      <c r="C20821" s="43" t="n">
        <v>-46.665443</v>
      </c>
      <c r="D20821" s="43" t="n">
        <v>525</v>
      </c>
      <c r="E20821" s="44" t="n">
        <v>18665.717</v>
      </c>
    </row>
    <row r="20822">
      <c r="A20822" s="39">
        <f>_xlfn.XLOOKUP(83710,Trip[shape_id],Trip[shape_id],"Não encontrado")</f>
        <v/>
      </c>
      <c r="B20822" s="40" t="n">
        <v>-23.629069</v>
      </c>
      <c r="C20822" s="40" t="n">
        <v>-46.66588</v>
      </c>
      <c r="D20822" s="40" t="n">
        <v>526</v>
      </c>
      <c r="E20822" s="41" t="n">
        <v>18748.885</v>
      </c>
    </row>
    <row r="20823">
      <c r="A20823" s="42">
        <f>_xlfn.XLOOKUP(83710,Trip[shape_id],Trip[shape_id],"Não encontrado")</f>
        <v/>
      </c>
      <c r="B20823" s="43" t="n">
        <v>-23.62914</v>
      </c>
      <c r="C20823" s="43" t="n">
        <v>-46.666236</v>
      </c>
      <c r="D20823" s="43" t="n">
        <v>527</v>
      </c>
      <c r="E20823" s="44" t="n">
        <v>18770.988</v>
      </c>
    </row>
    <row r="20824">
      <c r="A20824" s="39">
        <f>_xlfn.XLOOKUP(83710,Trip[shape_id],Trip[shape_id],"Não encontrado")</f>
        <v/>
      </c>
      <c r="B20824" s="40" t="n">
        <v>-23.629181</v>
      </c>
      <c r="C20824" s="40" t="n">
        <v>-46.666448</v>
      </c>
      <c r="D20824" s="40" t="n">
        <v>528</v>
      </c>
      <c r="E20824" s="41" t="n">
        <v>18770.988</v>
      </c>
    </row>
    <row r="20825">
      <c r="A20825" s="42">
        <f>_xlfn.XLOOKUP(83710,Trip[shape_id],Trip[shape_id],"Não encontrado")</f>
        <v/>
      </c>
      <c r="B20825" s="43" t="n">
        <v>-23.629269</v>
      </c>
      <c r="C20825" s="43" t="n">
        <v>-46.666892</v>
      </c>
      <c r="D20825" s="43" t="n">
        <v>529</v>
      </c>
      <c r="E20825" s="44" t="n">
        <v>18841.254</v>
      </c>
    </row>
    <row r="20826">
      <c r="A20826" s="39">
        <f>_xlfn.XLOOKUP(83710,Trip[shape_id],Trip[shape_id],"Não encontrado")</f>
        <v/>
      </c>
      <c r="B20826" s="40" t="n">
        <v>-23.629323</v>
      </c>
      <c r="C20826" s="40" t="n">
        <v>-46.667119</v>
      </c>
      <c r="D20826" s="40" t="n">
        <v>530</v>
      </c>
      <c r="E20826" s="41" t="n">
        <v>18841.254</v>
      </c>
    </row>
    <row r="20827">
      <c r="A20827" s="42">
        <f>_xlfn.XLOOKUP(83710,Trip[shape_id],Trip[shape_id],"Não encontrado")</f>
        <v/>
      </c>
      <c r="B20827" s="43" t="n">
        <v>-23.629361</v>
      </c>
      <c r="C20827" s="43" t="n">
        <v>-46.667272</v>
      </c>
      <c r="D20827" s="43" t="n">
        <v>531</v>
      </c>
      <c r="E20827" s="44" t="n">
        <v>18880.973</v>
      </c>
    </row>
    <row r="20828">
      <c r="A20828" s="39">
        <f>_xlfn.XLOOKUP(83710,Trip[shape_id],Trip[shape_id],"Não encontrado")</f>
        <v/>
      </c>
      <c r="B20828" s="40" t="n">
        <v>-23.629445</v>
      </c>
      <c r="C20828" s="40" t="n">
        <v>-46.667484</v>
      </c>
      <c r="D20828" s="40" t="n">
        <v>532</v>
      </c>
      <c r="E20828" s="41" t="n">
        <v>18892.561</v>
      </c>
    </row>
    <row r="20829">
      <c r="A20829" s="42">
        <f>_xlfn.XLOOKUP(83710,Trip[shape_id],Trip[shape_id],"Não encontrado")</f>
        <v/>
      </c>
      <c r="B20829" s="43" t="n">
        <v>-23.629491</v>
      </c>
      <c r="C20829" s="43" t="n">
        <v>-46.667586</v>
      </c>
      <c r="D20829" s="43" t="n">
        <v>533</v>
      </c>
      <c r="E20829" s="44" t="n">
        <v>18910.014</v>
      </c>
    </row>
    <row r="20830">
      <c r="A20830" s="39">
        <f>_xlfn.XLOOKUP(83710,Trip[shape_id],Trip[shape_id],"Não encontrado")</f>
        <v/>
      </c>
      <c r="B20830" s="40" t="n">
        <v>-23.62957</v>
      </c>
      <c r="C20830" s="40" t="n">
        <v>-46.667734</v>
      </c>
      <c r="D20830" s="40" t="n">
        <v>534</v>
      </c>
      <c r="E20830" s="41" t="n">
        <v>18922.748</v>
      </c>
    </row>
    <row r="20831">
      <c r="A20831" s="42">
        <f>_xlfn.XLOOKUP(83710,Trip[shape_id],Trip[shape_id],"Não encontrado")</f>
        <v/>
      </c>
      <c r="B20831" s="43" t="n">
        <v>-23.629626</v>
      </c>
      <c r="C20831" s="43" t="n">
        <v>-46.667843</v>
      </c>
      <c r="D20831" s="43" t="n">
        <v>535</v>
      </c>
      <c r="E20831" s="44" t="n">
        <v>18944.646</v>
      </c>
    </row>
    <row r="20832">
      <c r="A20832" s="39">
        <f>_xlfn.XLOOKUP(83710,Trip[shape_id],Trip[shape_id],"Não encontrado")</f>
        <v/>
      </c>
      <c r="B20832" s="40" t="n">
        <v>-23.629743</v>
      </c>
      <c r="C20832" s="40" t="n">
        <v>-46.668016</v>
      </c>
      <c r="D20832" s="40" t="n">
        <v>536</v>
      </c>
      <c r="E20832" s="41" t="n">
        <v>18944.646</v>
      </c>
    </row>
    <row r="20833">
      <c r="A20833" s="42">
        <f>_xlfn.XLOOKUP(83710,Trip[shape_id],Trip[shape_id],"Não encontrado")</f>
        <v/>
      </c>
      <c r="B20833" s="43" t="n">
        <v>-23.62984</v>
      </c>
      <c r="C20833" s="43" t="n">
        <v>-46.668138</v>
      </c>
      <c r="D20833" s="43" t="n">
        <v>537</v>
      </c>
      <c r="E20833" s="44" t="n">
        <v>18978.814</v>
      </c>
    </row>
    <row r="20834">
      <c r="A20834" s="39">
        <f>_xlfn.XLOOKUP(83710,Trip[shape_id],Trip[shape_id],"Não encontrado")</f>
        <v/>
      </c>
      <c r="B20834" s="40" t="n">
        <v>-23.629953</v>
      </c>
      <c r="C20834" s="40" t="n">
        <v>-46.668261</v>
      </c>
      <c r="D20834" s="40" t="n">
        <v>538</v>
      </c>
      <c r="E20834" s="41" t="n">
        <v>18978.814</v>
      </c>
    </row>
    <row r="20835">
      <c r="A20835" s="42">
        <f>_xlfn.XLOOKUP(83710,Trip[shape_id],Trip[shape_id],"Não encontrado")</f>
        <v/>
      </c>
      <c r="B20835" s="43" t="n">
        <v>-23.630066</v>
      </c>
      <c r="C20835" s="43" t="n">
        <v>-46.668376</v>
      </c>
      <c r="D20835" s="43" t="n">
        <v>539</v>
      </c>
      <c r="E20835" s="44" t="n">
        <v>19022.619</v>
      </c>
    </row>
    <row r="20836">
      <c r="A20836" s="39">
        <f>_xlfn.XLOOKUP(83710,Trip[shape_id],Trip[shape_id],"Não encontrado")</f>
        <v/>
      </c>
      <c r="B20836" s="40" t="n">
        <v>-23.630254</v>
      </c>
      <c r="C20836" s="40" t="n">
        <v>-46.668539</v>
      </c>
      <c r="D20836" s="40" t="n">
        <v>540</v>
      </c>
      <c r="E20836" s="41" t="n">
        <v>19059.609</v>
      </c>
    </row>
    <row r="20837">
      <c r="A20837" s="42">
        <f>_xlfn.XLOOKUP(83710,Trip[shape_id],Trip[shape_id],"Não encontrado")</f>
        <v/>
      </c>
      <c r="B20837" s="43" t="n">
        <v>-23.630539</v>
      </c>
      <c r="C20837" s="43" t="n">
        <v>-46.668728</v>
      </c>
      <c r="D20837" s="43" t="n">
        <v>541</v>
      </c>
      <c r="E20837" s="44" t="n">
        <v>19088.531</v>
      </c>
    </row>
    <row r="20838">
      <c r="A20838" s="39">
        <f>_xlfn.XLOOKUP(83710,Trip[shape_id],Trip[shape_id],"Não encontrado")</f>
        <v/>
      </c>
      <c r="B20838" s="40" t="n">
        <v>-23.630776</v>
      </c>
      <c r="C20838" s="40" t="n">
        <v>-46.668847</v>
      </c>
      <c r="D20838" s="40" t="n">
        <v>542</v>
      </c>
      <c r="E20838" s="41" t="n">
        <v>19103.982</v>
      </c>
    </row>
    <row r="20839">
      <c r="A20839" s="42">
        <f>_xlfn.XLOOKUP(83710,Trip[shape_id],Trip[shape_id],"Não encontrado")</f>
        <v/>
      </c>
      <c r="B20839" s="43" t="n">
        <v>-23.630902</v>
      </c>
      <c r="C20839" s="43" t="n">
        <v>-46.668912</v>
      </c>
      <c r="D20839" s="43" t="n">
        <v>543</v>
      </c>
      <c r="E20839" s="44" t="n">
        <v>19121.48</v>
      </c>
    </row>
    <row r="20840">
      <c r="A20840" s="39">
        <f>_xlfn.XLOOKUP(83710,Trip[shape_id],Trip[shape_id],"Não encontrado")</f>
        <v/>
      </c>
      <c r="B20840" s="40" t="n">
        <v>-23.63105</v>
      </c>
      <c r="C20840" s="40" t="n">
        <v>-46.668972</v>
      </c>
      <c r="D20840" s="40" t="n">
        <v>544</v>
      </c>
      <c r="E20840" s="41" t="n">
        <v>19121.48</v>
      </c>
    </row>
    <row r="20841">
      <c r="A20841" s="42">
        <f>_xlfn.XLOOKUP(83710,Trip[shape_id],Trip[shape_id],"Não encontrado")</f>
        <v/>
      </c>
      <c r="B20841" s="43" t="n">
        <v>-23.631212</v>
      </c>
      <c r="C20841" s="43" t="n">
        <v>-46.669044</v>
      </c>
      <c r="D20841" s="43" t="n">
        <v>545</v>
      </c>
      <c r="E20841" s="44" t="n">
        <v>19140.869</v>
      </c>
    </row>
    <row r="20842">
      <c r="A20842" s="39">
        <f>_xlfn.XLOOKUP(83710,Trip[shape_id],Trip[shape_id],"Não encontrado")</f>
        <v/>
      </c>
      <c r="B20842" s="40" t="n">
        <v>-23.631265</v>
      </c>
      <c r="C20842" s="40" t="n">
        <v>-46.669099</v>
      </c>
      <c r="D20842" s="40" t="n">
        <v>546</v>
      </c>
      <c r="E20842" s="41" t="n">
        <v>19153.523</v>
      </c>
    </row>
    <row r="20843">
      <c r="A20843" s="42">
        <f>_xlfn.XLOOKUP(83710,Trip[shape_id],Trip[shape_id],"Não encontrado")</f>
        <v/>
      </c>
      <c r="B20843" s="43" t="n">
        <v>-23.631296</v>
      </c>
      <c r="C20843" s="43" t="n">
        <v>-46.669128</v>
      </c>
      <c r="D20843" s="43" t="n">
        <v>547</v>
      </c>
      <c r="E20843" s="44" t="n">
        <v>19176.156</v>
      </c>
    </row>
    <row r="20844">
      <c r="A20844" s="39">
        <f>_xlfn.XLOOKUP(83710,Trip[shape_id],Trip[shape_id],"Não encontrado")</f>
        <v/>
      </c>
      <c r="B20844" s="40" t="n">
        <v>-23.631476</v>
      </c>
      <c r="C20844" s="40" t="n">
        <v>-46.669233</v>
      </c>
      <c r="D20844" s="40" t="n">
        <v>548</v>
      </c>
      <c r="E20844" s="41" t="n">
        <v>19200.242</v>
      </c>
    </row>
    <row r="20845">
      <c r="A20845" s="42">
        <f>_xlfn.XLOOKUP(83710,Trip[shape_id],Trip[shape_id],"Não encontrado")</f>
        <v/>
      </c>
      <c r="B20845" s="43" t="n">
        <v>-23.63169</v>
      </c>
      <c r="C20845" s="43" t="n">
        <v>-46.669275</v>
      </c>
      <c r="D20845" s="43" t="n">
        <v>549</v>
      </c>
      <c r="E20845" s="44" t="n">
        <v>19214.99</v>
      </c>
    </row>
    <row r="20846">
      <c r="A20846" s="39">
        <f>_xlfn.XLOOKUP(83710,Trip[shape_id],Trip[shape_id],"Não encontrado")</f>
        <v/>
      </c>
      <c r="B20846" s="40" t="n">
        <v>-23.631822</v>
      </c>
      <c r="C20846" s="40" t="n">
        <v>-46.669294</v>
      </c>
      <c r="D20846" s="40" t="n">
        <v>550</v>
      </c>
      <c r="E20846" s="41" t="n">
        <v>19214.99</v>
      </c>
    </row>
    <row r="20847">
      <c r="A20847" s="42">
        <f>_xlfn.XLOOKUP(83710,Trip[shape_id],Trip[shape_id],"Não encontrado")</f>
        <v/>
      </c>
      <c r="B20847" s="43" t="n">
        <v>-23.631958</v>
      </c>
      <c r="C20847" s="43" t="n">
        <v>-46.66932</v>
      </c>
      <c r="D20847" s="43" t="n">
        <v>551</v>
      </c>
      <c r="E20847" s="44" t="n">
        <v>19240.857</v>
      </c>
    </row>
    <row r="20848">
      <c r="A20848" s="39">
        <f>_xlfn.XLOOKUP(83710,Trip[shape_id],Trip[shape_id],"Não encontrado")</f>
        <v/>
      </c>
      <c r="B20848" s="40" t="n">
        <v>-23.632052</v>
      </c>
      <c r="C20848" s="40" t="n">
        <v>-46.669338</v>
      </c>
      <c r="D20848" s="40" t="n">
        <v>552</v>
      </c>
      <c r="E20848" s="41" t="n">
        <v>19263.531</v>
      </c>
    </row>
    <row r="20849">
      <c r="A20849" s="42">
        <f>_xlfn.XLOOKUP(83710,Trip[shape_id],Trip[shape_id],"Não encontrado")</f>
        <v/>
      </c>
      <c r="B20849" s="43" t="n">
        <v>-23.632243</v>
      </c>
      <c r="C20849" s="43" t="n">
        <v>-46.669418</v>
      </c>
      <c r="D20849" s="43" t="n">
        <v>553</v>
      </c>
      <c r="E20849" s="44" t="n">
        <v>19284.508</v>
      </c>
    </row>
    <row r="20850">
      <c r="A20850" s="39">
        <f>_xlfn.XLOOKUP(83710,Trip[shape_id],Trip[shape_id],"Não encontrado")</f>
        <v/>
      </c>
      <c r="B20850" s="40" t="n">
        <v>-23.632409</v>
      </c>
      <c r="C20850" s="40" t="n">
        <v>-46.669517</v>
      </c>
      <c r="D20850" s="40" t="n">
        <v>554</v>
      </c>
      <c r="E20850" s="41" t="n">
        <v>19284.508</v>
      </c>
    </row>
    <row r="20851">
      <c r="A20851" s="42">
        <f>_xlfn.XLOOKUP(83710,Trip[shape_id],Trip[shape_id],"Não encontrado")</f>
        <v/>
      </c>
      <c r="B20851" s="43" t="n">
        <v>-23.632676</v>
      </c>
      <c r="C20851" s="43" t="n">
        <v>-46.669668</v>
      </c>
      <c r="D20851" s="43" t="n">
        <v>555</v>
      </c>
      <c r="E20851" s="44" t="n">
        <v>19353.33</v>
      </c>
    </row>
    <row r="20852">
      <c r="A20852" s="39">
        <f>_xlfn.XLOOKUP(83710,Trip[shape_id],Trip[shape_id],"Não encontrado")</f>
        <v/>
      </c>
      <c r="B20852" s="40" t="n">
        <v>-23.632968</v>
      </c>
      <c r="C20852" s="40" t="n">
        <v>-46.669811</v>
      </c>
      <c r="D20852" s="40" t="n">
        <v>556</v>
      </c>
      <c r="E20852" s="41" t="n">
        <v>19353.33</v>
      </c>
    </row>
    <row r="20853">
      <c r="A20853" s="42">
        <f>_xlfn.XLOOKUP(83710,Trip[shape_id],Trip[shape_id],"Não encontrado")</f>
        <v/>
      </c>
      <c r="B20853" s="43" t="n">
        <v>-23.63315</v>
      </c>
      <c r="C20853" s="43" t="n">
        <v>-46.669845</v>
      </c>
      <c r="D20853" s="43" t="n">
        <v>557</v>
      </c>
      <c r="E20853" s="44" t="n">
        <v>19380.248</v>
      </c>
    </row>
    <row r="20854">
      <c r="A20854" s="39">
        <f>_xlfn.XLOOKUP(83710,Trip[shape_id],Trip[shape_id],"Não encontrado")</f>
        <v/>
      </c>
      <c r="B20854" s="40" t="n">
        <v>-23.633196</v>
      </c>
      <c r="C20854" s="40" t="n">
        <v>-46.669884</v>
      </c>
      <c r="D20854" s="40" t="n">
        <v>558</v>
      </c>
      <c r="E20854" s="41" t="n">
        <v>19380.248</v>
      </c>
    </row>
    <row r="20855">
      <c r="A20855" s="42">
        <f>_xlfn.XLOOKUP(83710,Trip[shape_id],Trip[shape_id],"Não encontrado")</f>
        <v/>
      </c>
      <c r="B20855" s="43" t="n">
        <v>-23.633494</v>
      </c>
      <c r="C20855" s="43" t="n">
        <v>-46.669881</v>
      </c>
      <c r="D20855" s="43" t="n">
        <v>559</v>
      </c>
      <c r="E20855" s="44" t="n">
        <v>19413.254</v>
      </c>
    </row>
    <row r="20856">
      <c r="A20856" s="39">
        <f>_xlfn.XLOOKUP(83710,Trip[shape_id],Trip[shape_id],"Não encontrado")</f>
        <v/>
      </c>
      <c r="B20856" s="40" t="n">
        <v>-23.633598</v>
      </c>
      <c r="C20856" s="40" t="n">
        <v>-46.669845</v>
      </c>
      <c r="D20856" s="40" t="n">
        <v>560</v>
      </c>
      <c r="E20856" s="41" t="n">
        <v>19441.064</v>
      </c>
    </row>
    <row r="20857">
      <c r="A20857" s="42">
        <f>_xlfn.XLOOKUP(83710,Trip[shape_id],Trip[shape_id],"Não encontrado")</f>
        <v/>
      </c>
      <c r="B20857" s="43" t="n">
        <v>-23.633723</v>
      </c>
      <c r="C20857" s="43" t="n">
        <v>-46.669772</v>
      </c>
      <c r="D20857" s="43" t="n">
        <v>561</v>
      </c>
      <c r="E20857" s="44" t="n">
        <v>19441.064</v>
      </c>
    </row>
    <row r="20858">
      <c r="A20858" s="39">
        <f>_xlfn.XLOOKUP(83710,Trip[shape_id],Trip[shape_id],"Não encontrado")</f>
        <v/>
      </c>
      <c r="B20858" s="40" t="n">
        <v>-23.633793</v>
      </c>
      <c r="C20858" s="40" t="n">
        <v>-46.669673</v>
      </c>
      <c r="D20858" s="40" t="n">
        <v>562</v>
      </c>
      <c r="E20858" s="41" t="n">
        <v>19453.799</v>
      </c>
    </row>
    <row r="20859">
      <c r="A20859" s="42">
        <f>_xlfn.XLOOKUP(83710,Trip[shape_id],Trip[shape_id],"Não encontrado")</f>
        <v/>
      </c>
      <c r="B20859" s="43" t="n">
        <v>-23.633825</v>
      </c>
      <c r="C20859" s="43" t="n">
        <v>-46.669587</v>
      </c>
      <c r="D20859" s="43" t="n">
        <v>563</v>
      </c>
      <c r="E20859" s="44" t="n">
        <v>19463.264</v>
      </c>
    </row>
    <row r="20860">
      <c r="A20860" s="39">
        <f>_xlfn.XLOOKUP(83710,Trip[shape_id],Trip[shape_id],"Não encontrado")</f>
        <v/>
      </c>
      <c r="B20860" s="40" t="n">
        <v>-23.633837</v>
      </c>
      <c r="C20860" s="40" t="n">
        <v>-46.669522</v>
      </c>
      <c r="D20860" s="40" t="n">
        <v>564</v>
      </c>
      <c r="E20860" s="41" t="n">
        <v>19470.027</v>
      </c>
    </row>
    <row r="20861">
      <c r="A20861" s="42">
        <f>_xlfn.XLOOKUP(83710,Trip[shape_id],Trip[shape_id],"Não encontrado")</f>
        <v/>
      </c>
      <c r="B20861" s="43" t="n">
        <v>-23.63384</v>
      </c>
      <c r="C20861" s="43" t="n">
        <v>-46.66945</v>
      </c>
      <c r="D20861" s="43" t="n">
        <v>565</v>
      </c>
      <c r="E20861" s="44" t="n">
        <v>19477.381</v>
      </c>
    </row>
    <row r="20862">
      <c r="A20862" s="39">
        <f>_xlfn.XLOOKUP(83710,Trip[shape_id],Trip[shape_id],"Não encontrado")</f>
        <v/>
      </c>
      <c r="B20862" s="40" t="n">
        <v>-23.633833</v>
      </c>
      <c r="C20862" s="40" t="n">
        <v>-46.669378</v>
      </c>
      <c r="D20862" s="40" t="n">
        <v>566</v>
      </c>
      <c r="E20862" s="41" t="n">
        <v>19484.768</v>
      </c>
    </row>
    <row r="20863">
      <c r="A20863" s="42">
        <f>_xlfn.XLOOKUP(83710,Trip[shape_id],Trip[shape_id],"Não encontrado")</f>
        <v/>
      </c>
      <c r="B20863" s="43" t="n">
        <v>-23.633793</v>
      </c>
      <c r="C20863" s="43" t="n">
        <v>-46.669295</v>
      </c>
      <c r="D20863" s="43" t="n">
        <v>567</v>
      </c>
      <c r="E20863" s="44" t="n">
        <v>19494.326</v>
      </c>
    </row>
    <row r="20864">
      <c r="A20864" s="39">
        <f>_xlfn.XLOOKUP(83710,Trip[shape_id],Trip[shape_id],"Não encontrado")</f>
        <v/>
      </c>
      <c r="B20864" s="40" t="n">
        <v>-23.633706</v>
      </c>
      <c r="C20864" s="40" t="n">
        <v>-46.669214</v>
      </c>
      <c r="D20864" s="40" t="n">
        <v>568</v>
      </c>
      <c r="E20864" s="41" t="n">
        <v>19507.02</v>
      </c>
    </row>
    <row r="20865">
      <c r="A20865" s="42">
        <f>_xlfn.XLOOKUP(83710,Trip[shape_id],Trip[shape_id],"Não encontrado")</f>
        <v/>
      </c>
      <c r="B20865" s="43" t="n">
        <v>-23.633542</v>
      </c>
      <c r="C20865" s="43" t="n">
        <v>-46.669071</v>
      </c>
      <c r="D20865" s="43" t="n">
        <v>569</v>
      </c>
      <c r="E20865" s="44" t="n">
        <v>19530.318</v>
      </c>
    </row>
    <row r="20866">
      <c r="A20866" s="39">
        <f>_xlfn.XLOOKUP(83710,Trip[shape_id],Trip[shape_id],"Não encontrado")</f>
        <v/>
      </c>
      <c r="B20866" s="40" t="n">
        <v>-23.63339</v>
      </c>
      <c r="C20866" s="40" t="n">
        <v>-46.668981</v>
      </c>
      <c r="D20866" s="40" t="n">
        <v>570</v>
      </c>
      <c r="E20866" s="41" t="n">
        <v>19557.971</v>
      </c>
    </row>
    <row r="20867">
      <c r="A20867" s="42">
        <f>_xlfn.XLOOKUP(83710,Trip[shape_id],Trip[shape_id],"Não encontrado")</f>
        <v/>
      </c>
      <c r="B20867" s="43" t="n">
        <v>-23.633319</v>
      </c>
      <c r="C20867" s="43" t="n">
        <v>-46.66895</v>
      </c>
      <c r="D20867" s="43" t="n">
        <v>571</v>
      </c>
      <c r="E20867" s="44" t="n">
        <v>19566.758</v>
      </c>
    </row>
    <row r="20868">
      <c r="A20868" s="39">
        <f>_xlfn.XLOOKUP(83710,Trip[shape_id],Trip[shape_id],"Não encontrado")</f>
        <v/>
      </c>
      <c r="B20868" s="40" t="n">
        <v>-23.63324</v>
      </c>
      <c r="C20868" s="40" t="n">
        <v>-46.668942</v>
      </c>
      <c r="D20868" s="40" t="n">
        <v>572</v>
      </c>
      <c r="E20868" s="41" t="n">
        <v>19566.758</v>
      </c>
    </row>
    <row r="20869">
      <c r="A20869" s="42">
        <f>_xlfn.XLOOKUP(83710,Trip[shape_id],Trip[shape_id],"Não encontrado")</f>
        <v/>
      </c>
      <c r="B20869" s="43" t="n">
        <v>-23.633105</v>
      </c>
      <c r="C20869" s="43" t="n">
        <v>-46.668942</v>
      </c>
      <c r="D20869" s="43" t="n">
        <v>573</v>
      </c>
      <c r="E20869" s="44" t="n">
        <v>19581.709</v>
      </c>
    </row>
    <row r="20870">
      <c r="A20870" s="39">
        <f>_xlfn.XLOOKUP(83710,Trip[shape_id],Trip[shape_id],"Não encontrado")</f>
        <v/>
      </c>
      <c r="B20870" s="40" t="n">
        <v>-23.632902</v>
      </c>
      <c r="C20870" s="40" t="n">
        <v>-46.668948</v>
      </c>
      <c r="D20870" s="40" t="n">
        <v>574</v>
      </c>
      <c r="E20870" s="41" t="n">
        <v>19604.201</v>
      </c>
    </row>
    <row r="20871">
      <c r="A20871" s="42">
        <f>_xlfn.XLOOKUP(83710,Trip[shape_id],Trip[shape_id],"Não encontrado")</f>
        <v/>
      </c>
      <c r="B20871" s="43" t="n">
        <v>-23.632014</v>
      </c>
      <c r="C20871" s="43" t="n">
        <v>-46.668908</v>
      </c>
      <c r="D20871" s="43" t="n">
        <v>575</v>
      </c>
      <c r="E20871" s="44" t="n">
        <v>19702.635</v>
      </c>
    </row>
    <row r="20872">
      <c r="A20872" s="39">
        <f>_xlfn.XLOOKUP(83710,Trip[shape_id],Trip[shape_id],"Não encontrado")</f>
        <v/>
      </c>
      <c r="B20872" s="40" t="n">
        <v>-23.631299</v>
      </c>
      <c r="C20872" s="40" t="n">
        <v>-46.66889</v>
      </c>
      <c r="D20872" s="40" t="n">
        <v>576</v>
      </c>
      <c r="E20872" s="41" t="n">
        <v>19781.844</v>
      </c>
    </row>
    <row r="20873">
      <c r="A20873" s="42">
        <f>_xlfn.XLOOKUP(83710,Trip[shape_id],Trip[shape_id],"Não encontrado")</f>
        <v/>
      </c>
      <c r="B20873" s="43" t="n">
        <v>-23.631125</v>
      </c>
      <c r="C20873" s="43" t="n">
        <v>-46.66884</v>
      </c>
      <c r="D20873" s="43" t="n">
        <v>577</v>
      </c>
      <c r="E20873" s="44" t="n">
        <v>19801.779</v>
      </c>
    </row>
    <row r="20874">
      <c r="A20874" s="39">
        <f>_xlfn.XLOOKUP(83710,Trip[shape_id],Trip[shape_id],"Não encontrado")</f>
        <v/>
      </c>
      <c r="B20874" s="40" t="n">
        <v>-23.631025</v>
      </c>
      <c r="C20874" s="40" t="n">
        <v>-46.668813</v>
      </c>
      <c r="D20874" s="40" t="n">
        <v>578</v>
      </c>
      <c r="E20874" s="41" t="n">
        <v>19813.191</v>
      </c>
    </row>
    <row r="20875">
      <c r="A20875" s="42">
        <f>_xlfn.XLOOKUP(83710,Trip[shape_id],Trip[shape_id],"Não encontrado")</f>
        <v/>
      </c>
      <c r="B20875" s="43" t="n">
        <v>-23.630894</v>
      </c>
      <c r="C20875" s="43" t="n">
        <v>-46.668762</v>
      </c>
      <c r="D20875" s="43" t="n">
        <v>579</v>
      </c>
      <c r="E20875" s="44" t="n">
        <v>19828.605</v>
      </c>
    </row>
    <row r="20876">
      <c r="A20876" s="39">
        <f>_xlfn.XLOOKUP(83710,Trip[shape_id],Trip[shape_id],"Não encontrado")</f>
        <v/>
      </c>
      <c r="B20876" s="40" t="n">
        <v>-23.630719</v>
      </c>
      <c r="C20876" s="40" t="n">
        <v>-46.66869</v>
      </c>
      <c r="D20876" s="40" t="n">
        <v>580</v>
      </c>
      <c r="E20876" s="41" t="n">
        <v>19849.332</v>
      </c>
    </row>
    <row r="20877">
      <c r="A20877" s="42">
        <f>_xlfn.XLOOKUP(83710,Trip[shape_id],Trip[shape_id],"Não encontrado")</f>
        <v/>
      </c>
      <c r="B20877" s="43" t="n">
        <v>-23.630507</v>
      </c>
      <c r="C20877" s="43" t="n">
        <v>-46.668571</v>
      </c>
      <c r="D20877" s="43" t="n">
        <v>581</v>
      </c>
      <c r="E20877" s="44" t="n">
        <v>19875.766</v>
      </c>
    </row>
    <row r="20878">
      <c r="A20878" s="39">
        <f>_xlfn.XLOOKUP(83710,Trip[shape_id],Trip[shape_id],"Não encontrado")</f>
        <v/>
      </c>
      <c r="B20878" s="40" t="n">
        <v>-23.63039</v>
      </c>
      <c r="C20878" s="40" t="n">
        <v>-46.668511</v>
      </c>
      <c r="D20878" s="40" t="n">
        <v>582</v>
      </c>
      <c r="E20878" s="41" t="n">
        <v>19890.098</v>
      </c>
    </row>
    <row r="20879">
      <c r="A20879" s="42">
        <f>_xlfn.XLOOKUP(83710,Trip[shape_id],Trip[shape_id],"Não encontrado")</f>
        <v/>
      </c>
      <c r="B20879" s="43" t="n">
        <v>-23.630189</v>
      </c>
      <c r="C20879" s="43" t="n">
        <v>-46.668344</v>
      </c>
      <c r="D20879" s="43" t="n">
        <v>583</v>
      </c>
      <c r="E20879" s="44" t="n">
        <v>19918.133</v>
      </c>
    </row>
    <row r="20880">
      <c r="A20880" s="39">
        <f>_xlfn.XLOOKUP(83710,Trip[shape_id],Trip[shape_id],"Não encontrado")</f>
        <v/>
      </c>
      <c r="B20880" s="40" t="n">
        <v>-23.630089</v>
      </c>
      <c r="C20880" s="40" t="n">
        <v>-46.668254</v>
      </c>
      <c r="D20880" s="40" t="n">
        <v>584</v>
      </c>
      <c r="E20880" s="41" t="n">
        <v>19932.521</v>
      </c>
    </row>
    <row r="20881">
      <c r="A20881" s="42">
        <f>_xlfn.XLOOKUP(83710,Trip[shape_id],Trip[shape_id],"Não encontrado")</f>
        <v/>
      </c>
      <c r="B20881" s="43" t="n">
        <v>-23.63</v>
      </c>
      <c r="C20881" s="43" t="n">
        <v>-46.668157</v>
      </c>
      <c r="D20881" s="43" t="n">
        <v>585</v>
      </c>
      <c r="E20881" s="44" t="n">
        <v>19946.49</v>
      </c>
    </row>
    <row r="20882">
      <c r="A20882" s="39">
        <f>_xlfn.XLOOKUP(83710,Trip[shape_id],Trip[shape_id],"Não encontrado")</f>
        <v/>
      </c>
      <c r="B20882" s="40" t="n">
        <v>-23.629819</v>
      </c>
      <c r="C20882" s="40" t="n">
        <v>-46.667895</v>
      </c>
      <c r="D20882" s="40" t="n">
        <v>586</v>
      </c>
      <c r="E20882" s="41" t="n">
        <v>19979.906</v>
      </c>
    </row>
    <row r="20883">
      <c r="A20883" s="42">
        <f>_xlfn.XLOOKUP(83710,Trip[shape_id],Trip[shape_id],"Não encontrado")</f>
        <v/>
      </c>
      <c r="B20883" s="43" t="n">
        <v>-23.629688</v>
      </c>
      <c r="C20883" s="43" t="n">
        <v>-46.667696</v>
      </c>
      <c r="D20883" s="43" t="n">
        <v>587</v>
      </c>
      <c r="E20883" s="44" t="n">
        <v>20004.863</v>
      </c>
    </row>
    <row r="20884">
      <c r="A20884" s="39">
        <f>_xlfn.XLOOKUP(83710,Trip[shape_id],Trip[shape_id],"Não encontrado")</f>
        <v/>
      </c>
      <c r="B20884" s="40" t="n">
        <v>-23.62957</v>
      </c>
      <c r="C20884" s="40" t="n">
        <v>-46.667488</v>
      </c>
      <c r="D20884" s="40" t="n">
        <v>588</v>
      </c>
      <c r="E20884" s="41" t="n">
        <v>20029.789</v>
      </c>
    </row>
    <row r="20885">
      <c r="A20885" s="42">
        <f>_xlfn.XLOOKUP(83710,Trip[shape_id],Trip[shape_id],"Não encontrado")</f>
        <v/>
      </c>
      <c r="B20885" s="43" t="n">
        <v>-23.629519</v>
      </c>
      <c r="C20885" s="43" t="n">
        <v>-46.667369</v>
      </c>
      <c r="D20885" s="43" t="n">
        <v>589</v>
      </c>
      <c r="E20885" s="44" t="n">
        <v>20043.182</v>
      </c>
    </row>
    <row r="20886">
      <c r="A20886" s="39">
        <f>_xlfn.XLOOKUP(83710,Trip[shape_id],Trip[shape_id],"Não encontrado")</f>
        <v/>
      </c>
      <c r="B20886" s="40" t="n">
        <v>-23.629483</v>
      </c>
      <c r="C20886" s="40" t="n">
        <v>-46.667286</v>
      </c>
      <c r="D20886" s="40" t="n">
        <v>590</v>
      </c>
      <c r="E20886" s="41" t="n">
        <v>20052.543</v>
      </c>
    </row>
    <row r="20887">
      <c r="A20887" s="42">
        <f>_xlfn.XLOOKUP(83710,Trip[shape_id],Trip[shape_id],"Não encontrado")</f>
        <v/>
      </c>
      <c r="B20887" s="43" t="n">
        <v>-23.629407</v>
      </c>
      <c r="C20887" s="43" t="n">
        <v>-46.666953</v>
      </c>
      <c r="D20887" s="43" t="n">
        <v>591</v>
      </c>
      <c r="E20887" s="44" t="n">
        <v>20087.549</v>
      </c>
    </row>
    <row r="20888">
      <c r="A20888" s="39">
        <f>_xlfn.XLOOKUP(83710,Trip[shape_id],Trip[shape_id],"Não encontrado")</f>
        <v/>
      </c>
      <c r="B20888" s="40" t="n">
        <v>-23.629579</v>
      </c>
      <c r="C20888" s="40" t="n">
        <v>-46.666631</v>
      </c>
      <c r="D20888" s="40" t="n">
        <v>592</v>
      </c>
      <c r="E20888" s="41" t="n">
        <v>20125.529</v>
      </c>
    </row>
    <row r="20889">
      <c r="A20889" s="42">
        <f>_xlfn.XLOOKUP(83710,Trip[shape_id],Trip[shape_id],"Não encontrado")</f>
        <v/>
      </c>
      <c r="B20889" s="43" t="n">
        <v>-23.629642</v>
      </c>
      <c r="C20889" s="43" t="n">
        <v>-46.66649</v>
      </c>
      <c r="D20889" s="43" t="n">
        <v>593</v>
      </c>
      <c r="E20889" s="44" t="n">
        <v>20151.039</v>
      </c>
    </row>
    <row r="20890">
      <c r="A20890" s="39">
        <f>_xlfn.XLOOKUP(83710,Trip[shape_id],Trip[shape_id],"Não encontrado")</f>
        <v/>
      </c>
      <c r="B20890" s="40" t="n">
        <v>-23.629673</v>
      </c>
      <c r="C20890" s="40" t="n">
        <v>-46.666403</v>
      </c>
      <c r="D20890" s="40" t="n">
        <v>594</v>
      </c>
      <c r="E20890" s="41" t="n">
        <v>20151.039</v>
      </c>
    </row>
    <row r="20891">
      <c r="A20891" s="42">
        <f>_xlfn.XLOOKUP(83710,Trip[shape_id],Trip[shape_id],"Não encontrado")</f>
        <v/>
      </c>
      <c r="B20891" s="43" t="n">
        <v>-23.630051</v>
      </c>
      <c r="C20891" s="43" t="n">
        <v>-46.665614</v>
      </c>
      <c r="D20891" s="43" t="n">
        <v>595</v>
      </c>
      <c r="E20891" s="44" t="n">
        <v>20241.783</v>
      </c>
    </row>
    <row r="20892">
      <c r="A20892" s="39">
        <f>_xlfn.XLOOKUP(83710,Trip[shape_id],Trip[shape_id],"Não encontrado")</f>
        <v/>
      </c>
      <c r="B20892" s="40" t="n">
        <v>-23.630537</v>
      </c>
      <c r="C20892" s="40" t="n">
        <v>-46.664607</v>
      </c>
      <c r="D20892" s="40" t="n">
        <v>596</v>
      </c>
      <c r="E20892" s="41" t="n">
        <v>20357.781</v>
      </c>
    </row>
    <row r="20893">
      <c r="A20893" s="42">
        <f>_xlfn.XLOOKUP(83710,Trip[shape_id],Trip[shape_id],"Não encontrado")</f>
        <v/>
      </c>
      <c r="B20893" s="43" t="n">
        <v>-23.63102</v>
      </c>
      <c r="C20893" s="43" t="n">
        <v>-46.66361</v>
      </c>
      <c r="D20893" s="43" t="n">
        <v>597</v>
      </c>
      <c r="E20893" s="44" t="n">
        <v>20472.723</v>
      </c>
    </row>
    <row r="20894">
      <c r="A20894" s="39">
        <f>_xlfn.XLOOKUP(83710,Trip[shape_id],Trip[shape_id],"Não encontrado")</f>
        <v/>
      </c>
      <c r="B20894" s="40" t="n">
        <v>-23.63134</v>
      </c>
      <c r="C20894" s="40" t="n">
        <v>-46.662948</v>
      </c>
      <c r="D20894" s="40" t="n">
        <v>598</v>
      </c>
      <c r="E20894" s="41" t="n">
        <v>20589.551</v>
      </c>
    </row>
    <row r="20895">
      <c r="A20895" s="42">
        <f>_xlfn.XLOOKUP(83710,Trip[shape_id],Trip[shape_id],"Não encontrado")</f>
        <v/>
      </c>
      <c r="B20895" s="43" t="n">
        <v>-23.631515</v>
      </c>
      <c r="C20895" s="43" t="n">
        <v>-46.662599</v>
      </c>
      <c r="D20895" s="43" t="n">
        <v>599</v>
      </c>
      <c r="E20895" s="44" t="n">
        <v>20589.551</v>
      </c>
    </row>
    <row r="20896">
      <c r="A20896" s="39">
        <f>_xlfn.XLOOKUP(83710,Trip[shape_id],Trip[shape_id],"Não encontrado")</f>
        <v/>
      </c>
      <c r="B20896" s="40" t="n">
        <v>-23.631651</v>
      </c>
      <c r="C20896" s="40" t="n">
        <v>-46.662314</v>
      </c>
      <c r="D20896" s="40" t="n">
        <v>600</v>
      </c>
      <c r="E20896" s="41" t="n">
        <v>20705.123</v>
      </c>
    </row>
    <row r="20897">
      <c r="A20897" s="42">
        <f>_xlfn.XLOOKUP(83710,Trip[shape_id],Trip[shape_id],"Não encontrado")</f>
        <v/>
      </c>
      <c r="B20897" s="43" t="n">
        <v>-23.631998</v>
      </c>
      <c r="C20897" s="43" t="n">
        <v>-46.661595</v>
      </c>
      <c r="D20897" s="43" t="n">
        <v>601</v>
      </c>
      <c r="E20897" s="44" t="n">
        <v>20705.123</v>
      </c>
    </row>
    <row r="20898">
      <c r="A20898" s="39">
        <f>_xlfn.XLOOKUP(83710,Trip[shape_id],Trip[shape_id],"Não encontrado")</f>
        <v/>
      </c>
      <c r="B20898" s="40" t="n">
        <v>-23.632488</v>
      </c>
      <c r="C20898" s="40" t="n">
        <v>-46.660593</v>
      </c>
      <c r="D20898" s="40" t="n">
        <v>602</v>
      </c>
      <c r="E20898" s="41" t="n">
        <v>20820.875</v>
      </c>
    </row>
    <row r="20899">
      <c r="A20899" s="42">
        <f>_xlfn.XLOOKUP(83710,Trip[shape_id],Trip[shape_id],"Não encontrado")</f>
        <v/>
      </c>
      <c r="B20899" s="43" t="n">
        <v>-23.632659</v>
      </c>
      <c r="C20899" s="43" t="n">
        <v>-46.660232</v>
      </c>
      <c r="D20899" s="43" t="n">
        <v>603</v>
      </c>
      <c r="E20899" s="44" t="n">
        <v>20873.582</v>
      </c>
    </row>
    <row r="20900">
      <c r="A20900" s="39">
        <f>_xlfn.XLOOKUP(83710,Trip[shape_id],Trip[shape_id],"Não encontrado")</f>
        <v/>
      </c>
      <c r="B20900" s="40" t="n">
        <v>-23.632708</v>
      </c>
      <c r="C20900" s="40" t="n">
        <v>-46.660135</v>
      </c>
      <c r="D20900" s="40" t="n">
        <v>604</v>
      </c>
      <c r="E20900" s="41" t="n">
        <v>20877.348</v>
      </c>
    </row>
    <row r="20901">
      <c r="A20901" s="42">
        <f>_xlfn.XLOOKUP(83710,Trip[shape_id],Trip[shape_id],"Não encontrado")</f>
        <v/>
      </c>
      <c r="B20901" s="43" t="n">
        <v>-23.632733</v>
      </c>
      <c r="C20901" s="43" t="n">
        <v>-46.66011</v>
      </c>
      <c r="D20901" s="43" t="n">
        <v>605</v>
      </c>
      <c r="E20901" s="44" t="n">
        <v>20879.932</v>
      </c>
    </row>
    <row r="20902">
      <c r="A20902" s="39">
        <f>_xlfn.XLOOKUP(83710,Trip[shape_id],Trip[shape_id],"Não encontrado")</f>
        <v/>
      </c>
      <c r="B20902" s="40" t="n">
        <v>-23.632753</v>
      </c>
      <c r="C20902" s="40" t="n">
        <v>-46.660097</v>
      </c>
      <c r="D20902" s="40" t="n">
        <v>606</v>
      </c>
      <c r="E20902" s="41" t="n">
        <v>20879.932</v>
      </c>
    </row>
    <row r="20903">
      <c r="A20903" s="42">
        <f>_xlfn.XLOOKUP(83710,Trip[shape_id],Trip[shape_id],"Não encontrado")</f>
        <v/>
      </c>
      <c r="B20903" s="43" t="n">
        <v>-23.632793</v>
      </c>
      <c r="C20903" s="43" t="n">
        <v>-46.660085</v>
      </c>
      <c r="D20903" s="43" t="n">
        <v>607</v>
      </c>
      <c r="E20903" s="44" t="n">
        <v>20888.877</v>
      </c>
    </row>
    <row r="20904">
      <c r="A20904" s="39">
        <f>_xlfn.XLOOKUP(83710,Trip[shape_id],Trip[shape_id],"Não encontrado")</f>
        <v/>
      </c>
      <c r="B20904" s="40" t="n">
        <v>-23.632832</v>
      </c>
      <c r="C20904" s="40" t="n">
        <v>-46.66008</v>
      </c>
      <c r="D20904" s="40" t="n">
        <v>608</v>
      </c>
      <c r="E20904" s="41" t="n">
        <v>20892.311</v>
      </c>
    </row>
    <row r="20905">
      <c r="A20905" s="42">
        <f>_xlfn.XLOOKUP(83710,Trip[shape_id],Trip[shape_id],"Não encontrado")</f>
        <v/>
      </c>
      <c r="B20905" s="43" t="n">
        <v>-23.632863</v>
      </c>
      <c r="C20905" s="43" t="n">
        <v>-46.66008</v>
      </c>
      <c r="D20905" s="43" t="n">
        <v>609</v>
      </c>
      <c r="E20905" s="44" t="n">
        <v>20900.129</v>
      </c>
    </row>
    <row r="20906">
      <c r="A20906" s="39">
        <f>_xlfn.XLOOKUP(83710,Trip[shape_id],Trip[shape_id],"Não encontrado")</f>
        <v/>
      </c>
      <c r="B20906" s="40" t="n">
        <v>-23.632933</v>
      </c>
      <c r="C20906" s="40" t="n">
        <v>-46.66009</v>
      </c>
      <c r="D20906" s="40" t="n">
        <v>610</v>
      </c>
      <c r="E20906" s="41" t="n">
        <v>20900.129</v>
      </c>
    </row>
    <row r="20907">
      <c r="A20907" s="42">
        <f>_xlfn.XLOOKUP(83710,Trip[shape_id],Trip[shape_id],"Não encontrado")</f>
        <v/>
      </c>
      <c r="B20907" s="43" t="n">
        <v>-23.633112</v>
      </c>
      <c r="C20907" s="43" t="n">
        <v>-46.660144</v>
      </c>
      <c r="D20907" s="43" t="n">
        <v>611</v>
      </c>
      <c r="E20907" s="44" t="n">
        <v>20945.104</v>
      </c>
    </row>
    <row r="20908">
      <c r="A20908" s="39">
        <f>_xlfn.XLOOKUP(83710,Trip[shape_id],Trip[shape_id],"Não encontrado")</f>
        <v/>
      </c>
      <c r="B20908" s="40" t="n">
        <v>-23.633324</v>
      </c>
      <c r="C20908" s="40" t="n">
        <v>-46.660209</v>
      </c>
      <c r="D20908" s="40" t="n">
        <v>612</v>
      </c>
      <c r="E20908" s="41" t="n">
        <v>20998.531</v>
      </c>
    </row>
    <row r="20909">
      <c r="A20909" s="42">
        <f>_xlfn.XLOOKUP(83710,Trip[shape_id],Trip[shape_id],"Não encontrado")</f>
        <v/>
      </c>
      <c r="B20909" s="43" t="n">
        <v>-23.633787</v>
      </c>
      <c r="C20909" s="43" t="n">
        <v>-46.660356</v>
      </c>
      <c r="D20909" s="43" t="n">
        <v>613</v>
      </c>
      <c r="E20909" s="44" t="n">
        <v>20998.531</v>
      </c>
    </row>
    <row r="20910">
      <c r="A20910" s="39">
        <f>_xlfn.XLOOKUP(83710,Trip[shape_id],Trip[shape_id],"Não encontrado")</f>
        <v/>
      </c>
      <c r="B20910" s="40" t="n">
        <v>-23.634286</v>
      </c>
      <c r="C20910" s="40" t="n">
        <v>-46.660508</v>
      </c>
      <c r="D20910" s="40" t="n">
        <v>614</v>
      </c>
      <c r="E20910" s="41" t="n">
        <v>21055.932</v>
      </c>
    </row>
    <row r="20911">
      <c r="A20911" s="42">
        <f>_xlfn.XLOOKUP(83710,Trip[shape_id],Trip[shape_id],"Não encontrado")</f>
        <v/>
      </c>
      <c r="B20911" s="43" t="n">
        <v>-23.634498</v>
      </c>
      <c r="C20911" s="43" t="n">
        <v>-46.660566</v>
      </c>
      <c r="D20911" s="43" t="n">
        <v>615</v>
      </c>
      <c r="E20911" s="44" t="n">
        <v>21080.146</v>
      </c>
    </row>
    <row r="20912">
      <c r="A20912" s="39">
        <f>_xlfn.XLOOKUP(83710,Trip[shape_id],Trip[shape_id],"Não encontrado")</f>
        <v/>
      </c>
      <c r="B20912" s="40" t="n">
        <v>-23.634566</v>
      </c>
      <c r="C20912" s="40" t="n">
        <v>-46.660587</v>
      </c>
      <c r="D20912" s="40" t="n">
        <v>616</v>
      </c>
      <c r="E20912" s="41" t="n">
        <v>21087.977</v>
      </c>
    </row>
    <row r="20913">
      <c r="A20913" s="42">
        <f>_xlfn.XLOOKUP(83710,Trip[shape_id],Trip[shape_id],"Não encontrado")</f>
        <v/>
      </c>
      <c r="B20913" s="43" t="n">
        <v>-23.634645</v>
      </c>
      <c r="C20913" s="43" t="n">
        <v>-46.660526</v>
      </c>
      <c r="D20913" s="43" t="n">
        <v>617</v>
      </c>
      <c r="E20913" s="44" t="n">
        <v>21106.426</v>
      </c>
    </row>
    <row r="20914">
      <c r="A20914" s="39">
        <f>_xlfn.XLOOKUP(83710,Trip[shape_id],Trip[shape_id],"Não encontrado")</f>
        <v/>
      </c>
      <c r="B20914" s="40" t="n">
        <v>-23.634698</v>
      </c>
      <c r="C20914" s="40" t="n">
        <v>-46.660477</v>
      </c>
      <c r="D20914" s="40" t="n">
        <v>618</v>
      </c>
      <c r="E20914" s="41" t="n">
        <v>21114.27</v>
      </c>
    </row>
    <row r="20915">
      <c r="A20915" s="42">
        <f>_xlfn.XLOOKUP(83710,Trip[shape_id],Trip[shape_id],"Não encontrado")</f>
        <v/>
      </c>
      <c r="B20915" s="43" t="n">
        <v>-23.634751</v>
      </c>
      <c r="C20915" s="43" t="n">
        <v>-46.660426</v>
      </c>
      <c r="D20915" s="43" t="n">
        <v>619</v>
      </c>
      <c r="E20915" s="44" t="n">
        <v>21119.006</v>
      </c>
    </row>
    <row r="20916">
      <c r="A20916" s="39">
        <f>_xlfn.XLOOKUP(83710,Trip[shape_id],Trip[shape_id],"Não encontrado")</f>
        <v/>
      </c>
      <c r="B20916" s="40" t="n">
        <v>-23.634778</v>
      </c>
      <c r="C20916" s="40" t="n">
        <v>-46.66039</v>
      </c>
      <c r="D20916" s="40" t="n">
        <v>620</v>
      </c>
      <c r="E20916" s="41" t="n">
        <v>21125.617</v>
      </c>
    </row>
    <row r="20917">
      <c r="A20917" s="42">
        <f>_xlfn.XLOOKUP(83710,Trip[shape_id],Trip[shape_id],"Não encontrado")</f>
        <v/>
      </c>
      <c r="B20917" s="43" t="n">
        <v>-23.634811</v>
      </c>
      <c r="C20917" s="43" t="n">
        <v>-46.660336</v>
      </c>
      <c r="D20917" s="43" t="n">
        <v>621</v>
      </c>
      <c r="E20917" s="44" t="n">
        <v>21133.959</v>
      </c>
    </row>
    <row r="20918">
      <c r="A20918" s="39">
        <f>_xlfn.XLOOKUP(83710,Trip[shape_id],Trip[shape_id],"Não encontrado")</f>
        <v/>
      </c>
      <c r="B20918" s="40" t="n">
        <v>-23.634841</v>
      </c>
      <c r="C20918" s="40" t="n">
        <v>-46.660261</v>
      </c>
      <c r="D20918" s="40" t="n">
        <v>622</v>
      </c>
      <c r="E20918" s="41" t="n">
        <v>21142.771</v>
      </c>
    </row>
    <row r="20919">
      <c r="A20919" s="42">
        <f>_xlfn.XLOOKUP(83710,Trip[shape_id],Trip[shape_id],"Não encontrado")</f>
        <v/>
      </c>
      <c r="B20919" s="43" t="n">
        <v>-23.634866</v>
      </c>
      <c r="C20919" s="43" t="n">
        <v>-46.660179</v>
      </c>
      <c r="D20919" s="43" t="n">
        <v>623</v>
      </c>
      <c r="E20919" s="44" t="n">
        <v>21151.102</v>
      </c>
    </row>
    <row r="20920">
      <c r="A20920" s="39">
        <f>_xlfn.XLOOKUP(83710,Trip[shape_id],Trip[shape_id],"Não encontrado")</f>
        <v/>
      </c>
      <c r="B20920" s="40" t="n">
        <v>-23.634881</v>
      </c>
      <c r="C20920" s="40" t="n">
        <v>-46.660099</v>
      </c>
      <c r="D20920" s="40" t="n">
        <v>624</v>
      </c>
      <c r="E20920" s="41" t="n">
        <v>21213.787</v>
      </c>
    </row>
    <row r="20921">
      <c r="A20921" s="42">
        <f>_xlfn.XLOOKUP(83710,Trip[shape_id],Trip[shape_id],"Não encontrado")</f>
        <v/>
      </c>
      <c r="B20921" s="43" t="n">
        <v>-23.63494</v>
      </c>
      <c r="C20921" s="43" t="n">
        <v>-46.659488</v>
      </c>
      <c r="D20921" s="43" t="n">
        <v>625</v>
      </c>
      <c r="E20921" s="44" t="n">
        <v>21213.787</v>
      </c>
    </row>
    <row r="20922">
      <c r="A20922" s="39">
        <f>_xlfn.XLOOKUP(83710,Trip[shape_id],Trip[shape_id],"Não encontrado")</f>
        <v/>
      </c>
      <c r="B20922" s="40" t="n">
        <v>-23.634975</v>
      </c>
      <c r="C20922" s="40" t="n">
        <v>-46.659124</v>
      </c>
      <c r="D20922" s="40" t="n">
        <v>626</v>
      </c>
      <c r="E20922" s="41" t="n">
        <v>21290.297</v>
      </c>
    </row>
    <row r="20923">
      <c r="A20923" s="42">
        <f>_xlfn.XLOOKUP(83710,Trip[shape_id],Trip[shape_id],"Não encontrado")</f>
        <v/>
      </c>
      <c r="B20923" s="43" t="n">
        <v>-23.635018</v>
      </c>
      <c r="C20923" s="43" t="n">
        <v>-46.658743</v>
      </c>
      <c r="D20923" s="43" t="n">
        <v>627</v>
      </c>
      <c r="E20923" s="44" t="n">
        <v>21290.297</v>
      </c>
    </row>
    <row r="20924">
      <c r="A20924" s="39">
        <f>_xlfn.XLOOKUP(83710,Trip[shape_id],Trip[shape_id],"Não encontrado")</f>
        <v/>
      </c>
      <c r="B20924" s="40" t="n">
        <v>-23.635084</v>
      </c>
      <c r="C20924" s="40" t="n">
        <v>-46.658131</v>
      </c>
      <c r="D20924" s="40" t="n">
        <v>628</v>
      </c>
      <c r="E20924" s="41" t="n">
        <v>21360.631</v>
      </c>
    </row>
    <row r="20925">
      <c r="A20925" s="42">
        <f>_xlfn.XLOOKUP(83710,Trip[shape_id],Trip[shape_id],"Não encontrado")</f>
        <v/>
      </c>
      <c r="B20925" s="43" t="n">
        <v>-23.635113</v>
      </c>
      <c r="C20925" s="43" t="n">
        <v>-46.658065</v>
      </c>
      <c r="D20925" s="43" t="n">
        <v>629</v>
      </c>
      <c r="E20925" s="44" t="n">
        <v>21368.291</v>
      </c>
    </row>
    <row r="20926">
      <c r="A20926" s="39">
        <f>_xlfn.XLOOKUP(83710,Trip[shape_id],Trip[shape_id],"Não encontrado")</f>
        <v/>
      </c>
      <c r="B20926" s="40" t="n">
        <v>-23.635152</v>
      </c>
      <c r="C20926" s="40" t="n">
        <v>-46.658003</v>
      </c>
      <c r="D20926" s="40" t="n">
        <v>630</v>
      </c>
      <c r="E20926" s="41" t="n">
        <v>21376.219</v>
      </c>
    </row>
    <row r="20927">
      <c r="A20927" s="42">
        <f>_xlfn.XLOOKUP(83710,Trip[shape_id],Trip[shape_id],"Não encontrado")</f>
        <v/>
      </c>
      <c r="B20927" s="43" t="n">
        <v>-23.635206</v>
      </c>
      <c r="C20927" s="43" t="n">
        <v>-46.657952</v>
      </c>
      <c r="D20927" s="43" t="n">
        <v>631</v>
      </c>
      <c r="E20927" s="44" t="n">
        <v>21387.219</v>
      </c>
    </row>
    <row r="20928">
      <c r="A20928" s="39">
        <f>_xlfn.XLOOKUP(83710,Trip[shape_id],Trip[shape_id],"Não encontrado")</f>
        <v/>
      </c>
      <c r="B20928" s="40" t="n">
        <v>-23.635293</v>
      </c>
      <c r="C20928" s="40" t="n">
        <v>-46.6579</v>
      </c>
      <c r="D20928" s="40" t="n">
        <v>632</v>
      </c>
      <c r="E20928" s="41" t="n">
        <v>21387.219</v>
      </c>
    </row>
    <row r="20929">
      <c r="A20929" s="42">
        <f>_xlfn.XLOOKUP(83710,Trip[shape_id],Trip[shape_id],"Não encontrado")</f>
        <v/>
      </c>
      <c r="B20929" s="43" t="n">
        <v>-23.635368</v>
      </c>
      <c r="C20929" s="43" t="n">
        <v>-46.657888</v>
      </c>
      <c r="D20929" s="43" t="n">
        <v>633</v>
      </c>
      <c r="E20929" s="44" t="n">
        <v>21423.756</v>
      </c>
    </row>
    <row r="20930">
      <c r="A20930" s="39">
        <f>_xlfn.XLOOKUP(83710,Trip[shape_id],Trip[shape_id],"Não encontrado")</f>
        <v/>
      </c>
      <c r="B20930" s="40" t="n">
        <v>-23.635622</v>
      </c>
      <c r="C20930" s="40" t="n">
        <v>-46.657895</v>
      </c>
      <c r="D20930" s="40" t="n">
        <v>634</v>
      </c>
      <c r="E20930" s="41" t="n">
        <v>21438.73</v>
      </c>
    </row>
    <row r="20931">
      <c r="A20931" s="42">
        <f>_xlfn.XLOOKUP(83710,Trip[shape_id],Trip[shape_id],"Não encontrado")</f>
        <v/>
      </c>
      <c r="B20931" s="43" t="n">
        <v>-23.635757</v>
      </c>
      <c r="C20931" s="43" t="n">
        <v>-46.657903</v>
      </c>
      <c r="D20931" s="43" t="n">
        <v>635</v>
      </c>
      <c r="E20931" s="44" t="n">
        <v>21457.24</v>
      </c>
    </row>
    <row r="20932">
      <c r="A20932" s="39">
        <f>_xlfn.XLOOKUP(83710,Trip[shape_id],Trip[shape_id],"Não encontrado")</f>
        <v/>
      </c>
      <c r="B20932" s="40" t="n">
        <v>-23.635924</v>
      </c>
      <c r="C20932" s="40" t="n">
        <v>-46.65791</v>
      </c>
      <c r="D20932" s="40" t="n">
        <v>636</v>
      </c>
      <c r="E20932" s="41" t="n">
        <v>21470.533</v>
      </c>
    </row>
    <row r="20933">
      <c r="A20933" s="42">
        <f>_xlfn.XLOOKUP(83710,Trip[shape_id],Trip[shape_id],"Não encontrado")</f>
        <v/>
      </c>
      <c r="B20933" s="43" t="n">
        <v>-23.636044</v>
      </c>
      <c r="C20933" s="43" t="n">
        <v>-46.657908</v>
      </c>
      <c r="D20933" s="43" t="n">
        <v>637</v>
      </c>
      <c r="E20933" s="44" t="n">
        <v>21470.533</v>
      </c>
    </row>
    <row r="20934">
      <c r="A20934" s="39">
        <f>_xlfn.XLOOKUP(83710,Trip[shape_id],Trip[shape_id],"Não encontrado")</f>
        <v/>
      </c>
      <c r="B20934" s="40" t="n">
        <v>-23.636937</v>
      </c>
      <c r="C20934" s="40" t="n">
        <v>-46.657949</v>
      </c>
      <c r="D20934" s="40" t="n">
        <v>638</v>
      </c>
      <c r="E20934" s="41" t="n">
        <v>21569.523</v>
      </c>
    </row>
    <row r="20935">
      <c r="A20935" s="42">
        <f>_xlfn.XLOOKUP(83710,Trip[shape_id],Trip[shape_id],"Não encontrado")</f>
        <v/>
      </c>
      <c r="B20935" s="43" t="n">
        <v>-23.637836</v>
      </c>
      <c r="C20935" s="43" t="n">
        <v>-46.657994</v>
      </c>
      <c r="D20935" s="43" t="n">
        <v>639</v>
      </c>
      <c r="E20935" s="44" t="n">
        <v>21724.064</v>
      </c>
    </row>
    <row r="20936">
      <c r="A20936" s="39">
        <f>_xlfn.XLOOKUP(83710,Trip[shape_id],Trip[shape_id],"Não encontrado")</f>
        <v/>
      </c>
      <c r="B20936" s="40" t="n">
        <v>-23.638331</v>
      </c>
      <c r="C20936" s="40" t="n">
        <v>-46.658016</v>
      </c>
      <c r="D20936" s="40" t="n">
        <v>640</v>
      </c>
      <c r="E20936" s="41" t="n">
        <v>21731.828</v>
      </c>
    </row>
    <row r="20937">
      <c r="A20937" s="42">
        <f>_xlfn.XLOOKUP(83710,Trip[shape_id],Trip[shape_id],"Não encontrado")</f>
        <v/>
      </c>
      <c r="B20937" s="43" t="n">
        <v>-23.638401</v>
      </c>
      <c r="C20937" s="43" t="n">
        <v>-46.65802</v>
      </c>
      <c r="D20937" s="43" t="n">
        <v>641</v>
      </c>
      <c r="E20937" s="44" t="n">
        <v>21731.828</v>
      </c>
    </row>
    <row r="20938">
      <c r="A20938" s="39">
        <f>_xlfn.XLOOKUP(83710,Trip[shape_id],Trip[shape_id],"Não encontrado")</f>
        <v/>
      </c>
      <c r="B20938" s="40" t="n">
        <v>-23.638406</v>
      </c>
      <c r="C20938" s="40" t="n">
        <v>-46.658043</v>
      </c>
      <c r="D20938" s="40" t="n">
        <v>642</v>
      </c>
      <c r="E20938" s="41" t="n">
        <v>21734.24</v>
      </c>
    </row>
    <row r="20939">
      <c r="A20939" s="42">
        <f>_xlfn.XLOOKUP(83710,Trip[shape_id],Trip[shape_id],"Não encontrado")</f>
        <v/>
      </c>
      <c r="B20939" s="43" t="n">
        <v>-23.638423</v>
      </c>
      <c r="C20939" s="43" t="n">
        <v>-46.658083</v>
      </c>
      <c r="D20939" s="43" t="n">
        <v>643</v>
      </c>
      <c r="E20939" s="44" t="n">
        <v>21738.734</v>
      </c>
    </row>
    <row r="20940">
      <c r="A20940" s="39">
        <f>_xlfn.XLOOKUP(83710,Trip[shape_id],Trip[shape_id],"Não encontrado")</f>
        <v/>
      </c>
      <c r="B20940" s="40" t="n">
        <v>-23.638449</v>
      </c>
      <c r="C20940" s="40" t="n">
        <v>-46.658119</v>
      </c>
      <c r="D20940" s="40" t="n">
        <v>644</v>
      </c>
      <c r="E20940" s="41" t="n">
        <v>21743.4</v>
      </c>
    </row>
    <row r="20941">
      <c r="A20941" s="42">
        <f>_xlfn.XLOOKUP(83710,Trip[shape_id],Trip[shape_id],"Não encontrado")</f>
        <v/>
      </c>
      <c r="B20941" s="43" t="n">
        <v>-23.638481</v>
      </c>
      <c r="C20941" s="43" t="n">
        <v>-46.658146</v>
      </c>
      <c r="D20941" s="43" t="n">
        <v>645</v>
      </c>
      <c r="E20941" s="44" t="n">
        <v>21747.889</v>
      </c>
    </row>
    <row r="20942">
      <c r="A20942" s="39">
        <f>_xlfn.XLOOKUP(83710,Trip[shape_id],Trip[shape_id],"Não encontrado")</f>
        <v/>
      </c>
      <c r="B20942" s="40" t="n">
        <v>-23.638525</v>
      </c>
      <c r="C20942" s="40" t="n">
        <v>-46.658167</v>
      </c>
      <c r="D20942" s="40" t="n">
        <v>646</v>
      </c>
      <c r="E20942" s="41" t="n">
        <v>21753.213</v>
      </c>
    </row>
    <row r="20943">
      <c r="A20943" s="42">
        <f>_xlfn.XLOOKUP(83710,Trip[shape_id],Trip[shape_id],"Não encontrado")</f>
        <v/>
      </c>
      <c r="B20943" s="43" t="n">
        <v>-23.63858</v>
      </c>
      <c r="C20943" s="43" t="n">
        <v>-46.658177</v>
      </c>
      <c r="D20943" s="43" t="n">
        <v>647</v>
      </c>
      <c r="E20943" s="44" t="n">
        <v>21759.389</v>
      </c>
    </row>
    <row r="20944">
      <c r="A20944" s="39">
        <f>_xlfn.XLOOKUP(83710,Trip[shape_id],Trip[shape_id],"Não encontrado")</f>
        <v/>
      </c>
      <c r="B20944" s="40" t="n">
        <v>-23.638568</v>
      </c>
      <c r="C20944" s="40" t="n">
        <v>-46.658064</v>
      </c>
      <c r="D20944" s="40" t="n">
        <v>648</v>
      </c>
      <c r="E20944" s="41" t="n">
        <v>21770.994</v>
      </c>
    </row>
    <row r="20945">
      <c r="A20945" s="42">
        <f>_xlfn.XLOOKUP(83710,Trip[shape_id],Trip[shape_id],"Não encontrado")</f>
        <v/>
      </c>
      <c r="B20945" s="43" t="n">
        <v>-23.638595</v>
      </c>
      <c r="C20945" s="43" t="n">
        <v>-46.658064</v>
      </c>
      <c r="D20945" s="43" t="n">
        <v>649</v>
      </c>
      <c r="E20945" s="44" t="n">
        <v>21773.984</v>
      </c>
    </row>
    <row r="20946">
      <c r="A20946" s="39">
        <f>_xlfn.XLOOKUP(83710,Trip[shape_id],Trip[shape_id],"Não encontrado")</f>
        <v/>
      </c>
      <c r="B20946" s="40" t="n">
        <v>-23.638616</v>
      </c>
      <c r="C20946" s="40" t="n">
        <v>-46.658053</v>
      </c>
      <c r="D20946" s="40" t="n">
        <v>650</v>
      </c>
      <c r="E20946" s="41" t="n">
        <v>21776.566</v>
      </c>
    </row>
    <row r="20947">
      <c r="A20947" s="42">
        <f>_xlfn.XLOOKUP(83710,Trip[shape_id],Trip[shape_id],"Não encontrado")</f>
        <v/>
      </c>
      <c r="B20947" s="43" t="n">
        <v>-23.638629</v>
      </c>
      <c r="C20947" s="43" t="n">
        <v>-46.658045</v>
      </c>
      <c r="D20947" s="43" t="n">
        <v>651</v>
      </c>
      <c r="E20947" s="44" t="n">
        <v>21778.221</v>
      </c>
    </row>
    <row r="20948">
      <c r="A20948" s="39">
        <f>_xlfn.XLOOKUP(83710,Trip[shape_id],Trip[shape_id],"Não encontrado")</f>
        <v/>
      </c>
      <c r="B20948" s="40" t="n">
        <v>-23.638648</v>
      </c>
      <c r="C20948" s="40" t="n">
        <v>-46.658022</v>
      </c>
      <c r="D20948" s="40" t="n">
        <v>652</v>
      </c>
      <c r="E20948" s="41" t="n">
        <v>21781.371</v>
      </c>
    </row>
    <row r="20949">
      <c r="A20949" s="42">
        <f>_xlfn.XLOOKUP(83710,Trip[shape_id],Trip[shape_id],"Não encontrado")</f>
        <v/>
      </c>
      <c r="B20949" s="43" t="n">
        <v>-23.638653</v>
      </c>
      <c r="C20949" s="43" t="n">
        <v>-46.657979</v>
      </c>
      <c r="D20949" s="43" t="n">
        <v>653</v>
      </c>
      <c r="E20949" s="44" t="n">
        <v>21785.795</v>
      </c>
    </row>
    <row r="20950">
      <c r="A20950" s="39">
        <f>_xlfn.XLOOKUP(83710,Trip[shape_id],Trip[shape_id],"Não encontrado")</f>
        <v/>
      </c>
      <c r="B20950" s="40" t="n">
        <v>-23.638647</v>
      </c>
      <c r="C20950" s="40" t="n">
        <v>-46.657943</v>
      </c>
      <c r="D20950" s="40" t="n">
        <v>654</v>
      </c>
      <c r="E20950" s="41" t="n">
        <v>21789.527</v>
      </c>
    </row>
    <row r="20951">
      <c r="A20951" s="42">
        <f>_xlfn.XLOOKUP(83710,Trip[shape_id],Trip[shape_id],"Não encontrado")</f>
        <v/>
      </c>
      <c r="B20951" s="43" t="n">
        <v>-23.638733</v>
      </c>
      <c r="C20951" s="43" t="n">
        <v>-46.657881</v>
      </c>
      <c r="D20951" s="43" t="n">
        <v>655</v>
      </c>
      <c r="E20951" s="44" t="n">
        <v>21800.961</v>
      </c>
    </row>
    <row r="20952">
      <c r="A20952" s="39">
        <f>_xlfn.XLOOKUP(83710,Trip[shape_id],Trip[shape_id],"Não encontrado")</f>
        <v/>
      </c>
      <c r="B20952" s="40" t="n">
        <v>-23.638704</v>
      </c>
      <c r="C20952" s="40" t="n">
        <v>-46.657839</v>
      </c>
      <c r="D20952" s="40" t="n">
        <v>656</v>
      </c>
      <c r="E20952" s="41" t="n">
        <v>21806.316</v>
      </c>
    </row>
    <row r="20953">
      <c r="A20953" s="42">
        <f>_xlfn.XLOOKUP(83710,Trip[shape_id],Trip[shape_id],"Não encontrado")</f>
        <v/>
      </c>
      <c r="B20953" s="43" t="n">
        <v>-23.638661</v>
      </c>
      <c r="C20953" s="43" t="n">
        <v>-46.657806</v>
      </c>
      <c r="D20953" s="43" t="n">
        <v>657</v>
      </c>
      <c r="E20953" s="44" t="n">
        <v>21812.148</v>
      </c>
    </row>
    <row r="20954">
      <c r="A20954" s="39">
        <f>_xlfn.XLOOKUP(83710,Trip[shape_id],Trip[shape_id],"Não encontrado")</f>
        <v/>
      </c>
      <c r="B20954" s="40" t="n">
        <v>-23.638618</v>
      </c>
      <c r="C20954" s="40" t="n">
        <v>-46.657788</v>
      </c>
      <c r="D20954" s="40" t="n">
        <v>658</v>
      </c>
      <c r="E20954" s="41" t="n">
        <v>21817.252</v>
      </c>
    </row>
    <row r="20955">
      <c r="A20955" s="42">
        <f>_xlfn.XLOOKUP(83710,Trip[shape_id],Trip[shape_id],"Não encontrado")</f>
        <v/>
      </c>
      <c r="B20955" s="43" t="n">
        <v>-23.638575</v>
      </c>
      <c r="C20955" s="43" t="n">
        <v>-46.657787</v>
      </c>
      <c r="D20955" s="43" t="n">
        <v>659</v>
      </c>
      <c r="E20955" s="44" t="n">
        <v>21822.016</v>
      </c>
    </row>
    <row r="20956">
      <c r="A20956" s="39">
        <f>_xlfn.XLOOKUP(83710,Trip[shape_id],Trip[shape_id],"Não encontrado")</f>
        <v/>
      </c>
      <c r="B20956" s="40" t="n">
        <v>-23.638469</v>
      </c>
      <c r="C20956" s="40" t="n">
        <v>-46.657456</v>
      </c>
      <c r="D20956" s="40" t="n">
        <v>660</v>
      </c>
      <c r="E20956" s="41" t="n">
        <v>21857.771</v>
      </c>
    </row>
    <row r="20957">
      <c r="A20957" s="42">
        <f>_xlfn.XLOOKUP(83710,Trip[shape_id],Trip[shape_id],"Não encontrado")</f>
        <v/>
      </c>
      <c r="B20957" s="43" t="n">
        <v>-23.638304</v>
      </c>
      <c r="C20957" s="43" t="n">
        <v>-46.656886</v>
      </c>
      <c r="D20957" s="43" t="n">
        <v>661</v>
      </c>
      <c r="E20957" s="44" t="n">
        <v>21918.734</v>
      </c>
    </row>
    <row r="20958">
      <c r="A20958" s="39">
        <f>_xlfn.XLOOKUP(83710,Trip[shape_id],Trip[shape_id],"Não encontrado")</f>
        <v/>
      </c>
      <c r="B20958" s="40" t="n">
        <v>-23.638115</v>
      </c>
      <c r="C20958" s="40" t="n">
        <v>-46.656221</v>
      </c>
      <c r="D20958" s="40" t="n">
        <v>662</v>
      </c>
      <c r="E20958" s="41" t="n">
        <v>21989.742</v>
      </c>
    </row>
    <row r="20959">
      <c r="A20959" s="42">
        <f>_xlfn.XLOOKUP(83710,Trip[shape_id],Trip[shape_id],"Não encontrado")</f>
        <v/>
      </c>
      <c r="B20959" s="43" t="n">
        <v>-23.638052</v>
      </c>
      <c r="C20959" s="43" t="n">
        <v>-46.655934</v>
      </c>
      <c r="D20959" s="43" t="n">
        <v>663</v>
      </c>
      <c r="E20959" s="44" t="n">
        <v>22019.846</v>
      </c>
    </row>
    <row r="20960">
      <c r="A20960" s="39">
        <f>_xlfn.XLOOKUP(83710,Trip[shape_id],Trip[shape_id],"Não encontrado")</f>
        <v/>
      </c>
      <c r="B20960" s="40" t="n">
        <v>-23.637989</v>
      </c>
      <c r="C20960" s="40" t="n">
        <v>-46.655754</v>
      </c>
      <c r="D20960" s="40" t="n">
        <v>664</v>
      </c>
      <c r="E20960" s="41" t="n">
        <v>22039.492</v>
      </c>
    </row>
    <row r="20961">
      <c r="A20961" s="42">
        <f>_xlfn.XLOOKUP(83710,Trip[shape_id],Trip[shape_id],"Não encontrado")</f>
        <v/>
      </c>
      <c r="B20961" s="43" t="n">
        <v>-23.637956</v>
      </c>
      <c r="C20961" s="43" t="n">
        <v>-46.655581</v>
      </c>
      <c r="D20961" s="43" t="n">
        <v>665</v>
      </c>
      <c r="E20961" s="44" t="n">
        <v>22057.518</v>
      </c>
    </row>
    <row r="20962">
      <c r="A20962" s="39">
        <f>_xlfn.XLOOKUP(83710,Trip[shape_id],Trip[shape_id],"Não encontrado")</f>
        <v/>
      </c>
      <c r="B20962" s="40" t="n">
        <v>-23.637932</v>
      </c>
      <c r="C20962" s="40" t="n">
        <v>-46.655403</v>
      </c>
      <c r="D20962" s="40" t="n">
        <v>666</v>
      </c>
      <c r="E20962" s="41" t="n">
        <v>22075.873</v>
      </c>
    </row>
    <row r="20963">
      <c r="A20963" s="42">
        <f>_xlfn.XLOOKUP(83710,Trip[shape_id],Trip[shape_id],"Não encontrado")</f>
        <v/>
      </c>
      <c r="B20963" s="43" t="n">
        <v>-23.637935</v>
      </c>
      <c r="C20963" s="43" t="n">
        <v>-46.655335</v>
      </c>
      <c r="D20963" s="43" t="n">
        <v>667</v>
      </c>
      <c r="E20963" s="44" t="n">
        <v>22082.82</v>
      </c>
    </row>
    <row r="20964">
      <c r="A20964" s="39">
        <f>_xlfn.XLOOKUP(83710,Trip[shape_id],Trip[shape_id],"Não encontrado")</f>
        <v/>
      </c>
      <c r="B20964" s="40" t="n">
        <v>-23.63798</v>
      </c>
      <c r="C20964" s="40" t="n">
        <v>-46.654151</v>
      </c>
      <c r="D20964" s="40" t="n">
        <v>668</v>
      </c>
      <c r="E20964" s="41" t="n">
        <v>22203.732</v>
      </c>
    </row>
    <row r="20965">
      <c r="A20965" s="42">
        <f>_xlfn.XLOOKUP(83710,Trip[shape_id],Trip[shape_id],"Não encontrado")</f>
        <v/>
      </c>
      <c r="B20965" s="43" t="n">
        <v>-23.638014</v>
      </c>
      <c r="C20965" s="43" t="n">
        <v>-46.65349</v>
      </c>
      <c r="D20965" s="43" t="n">
        <v>669</v>
      </c>
      <c r="E20965" s="44" t="n">
        <v>22271.281</v>
      </c>
    </row>
    <row r="20966">
      <c r="A20966" s="39">
        <f>_xlfn.XLOOKUP(83710,Trip[shape_id],Trip[shape_id],"Não encontrado")</f>
        <v/>
      </c>
      <c r="B20966" s="40" t="n">
        <v>-23.638014</v>
      </c>
      <c r="C20966" s="40" t="n">
        <v>-46.653263</v>
      </c>
      <c r="D20966" s="40" t="n">
        <v>670</v>
      </c>
      <c r="E20966" s="41" t="n">
        <v>22294.443</v>
      </c>
    </row>
    <row r="20967">
      <c r="A20967" s="42">
        <f>_xlfn.XLOOKUP(83710,Trip[shape_id],Trip[shape_id],"Não encontrado")</f>
        <v/>
      </c>
      <c r="B20967" s="43" t="n">
        <v>-23.637998</v>
      </c>
      <c r="C20967" s="43" t="n">
        <v>-46.653093</v>
      </c>
      <c r="D20967" s="43" t="n">
        <v>671</v>
      </c>
      <c r="E20967" s="44" t="n">
        <v>22311.879</v>
      </c>
    </row>
    <row r="20968">
      <c r="A20968" s="39">
        <f>_xlfn.XLOOKUP(83710,Trip[shape_id],Trip[shape_id],"Não encontrado")</f>
        <v/>
      </c>
      <c r="B20968" s="40" t="n">
        <v>-23.637993</v>
      </c>
      <c r="C20968" s="40" t="n">
        <v>-46.653055</v>
      </c>
      <c r="D20968" s="40" t="n">
        <v>672</v>
      </c>
      <c r="E20968" s="41" t="n">
        <v>22315.795</v>
      </c>
    </row>
    <row r="20969">
      <c r="A20969" s="42">
        <f>_xlfn.XLOOKUP(83710,Trip[shape_id],Trip[shape_id],"Não encontrado")</f>
        <v/>
      </c>
      <c r="B20969" s="43" t="n">
        <v>-23.637888</v>
      </c>
      <c r="C20969" s="43" t="n">
        <v>-46.652809</v>
      </c>
      <c r="D20969" s="43" t="n">
        <v>673</v>
      </c>
      <c r="E20969" s="44" t="n">
        <v>22343.459</v>
      </c>
    </row>
    <row r="20970">
      <c r="A20970" s="39">
        <f>_xlfn.XLOOKUP(83710,Trip[shape_id],Trip[shape_id],"Não encontrado")</f>
        <v/>
      </c>
      <c r="B20970" s="40" t="n">
        <v>-23.637817</v>
      </c>
      <c r="C20970" s="40" t="n">
        <v>-46.652702</v>
      </c>
      <c r="D20970" s="40" t="n">
        <v>674</v>
      </c>
      <c r="E20970" s="41" t="n">
        <v>22356.914</v>
      </c>
    </row>
    <row r="20971">
      <c r="A20971" s="42">
        <f>_xlfn.XLOOKUP(83710,Trip[shape_id],Trip[shape_id],"Não encontrado")</f>
        <v/>
      </c>
      <c r="B20971" s="43" t="n">
        <v>-23.637728</v>
      </c>
      <c r="C20971" s="43" t="n">
        <v>-46.652572</v>
      </c>
      <c r="D20971" s="43" t="n">
        <v>675</v>
      </c>
      <c r="E20971" s="44" t="n">
        <v>22373.439</v>
      </c>
    </row>
    <row r="20972">
      <c r="A20972" s="39">
        <f>_xlfn.XLOOKUP(83710,Trip[shape_id],Trip[shape_id],"Não encontrado")</f>
        <v/>
      </c>
      <c r="B20972" s="40" t="n">
        <v>-23.637627</v>
      </c>
      <c r="C20972" s="40" t="n">
        <v>-46.652456</v>
      </c>
      <c r="D20972" s="40" t="n">
        <v>676</v>
      </c>
      <c r="E20972" s="41" t="n">
        <v>22389.725</v>
      </c>
    </row>
    <row r="20973">
      <c r="A20973" s="42">
        <f>_xlfn.XLOOKUP(83710,Trip[shape_id],Trip[shape_id],"Não encontrado")</f>
        <v/>
      </c>
      <c r="B20973" s="43" t="n">
        <v>-23.636676</v>
      </c>
      <c r="C20973" s="43" t="n">
        <v>-46.651336</v>
      </c>
      <c r="D20973" s="43" t="n">
        <v>677</v>
      </c>
      <c r="E20973" s="44" t="n">
        <v>22545.139</v>
      </c>
    </row>
    <row r="20974">
      <c r="A20974" s="39">
        <f>_xlfn.XLOOKUP(83710,Trip[shape_id],Trip[shape_id],"Não encontrado")</f>
        <v/>
      </c>
      <c r="B20974" s="40" t="n">
        <v>-23.636445</v>
      </c>
      <c r="C20974" s="40" t="n">
        <v>-46.651069</v>
      </c>
      <c r="D20974" s="40" t="n">
        <v>678</v>
      </c>
      <c r="E20974" s="41" t="n">
        <v>22582.512</v>
      </c>
    </row>
    <row r="20975">
      <c r="A20975" s="42">
        <f>_xlfn.XLOOKUP(83710,Trip[shape_id],Trip[shape_id],"Não encontrado")</f>
        <v/>
      </c>
      <c r="B20975" s="43" t="n">
        <v>-23.636149</v>
      </c>
      <c r="C20975" s="43" t="n">
        <v>-46.650721</v>
      </c>
      <c r="D20975" s="43" t="n">
        <v>679</v>
      </c>
      <c r="E20975" s="44" t="n">
        <v>22630.84</v>
      </c>
    </row>
    <row r="20976">
      <c r="A20976" s="39">
        <f>_xlfn.XLOOKUP(83710,Trip[shape_id],Trip[shape_id],"Não encontrado")</f>
        <v/>
      </c>
      <c r="B20976" s="40" t="n">
        <v>-23.635969</v>
      </c>
      <c r="C20976" s="40" t="n">
        <v>-46.65046</v>
      </c>
      <c r="D20976" s="40" t="n">
        <v>680</v>
      </c>
      <c r="E20976" s="41" t="n">
        <v>22664.105</v>
      </c>
    </row>
    <row r="20977">
      <c r="A20977" s="42">
        <f>_xlfn.XLOOKUP(83710,Trip[shape_id],Trip[shape_id],"Não encontrado")</f>
        <v/>
      </c>
      <c r="B20977" s="43" t="n">
        <v>-23.635906</v>
      </c>
      <c r="C20977" s="43" t="n">
        <v>-46.650327</v>
      </c>
      <c r="D20977" s="43" t="n">
        <v>681</v>
      </c>
      <c r="E20977" s="44" t="n">
        <v>22679.365</v>
      </c>
    </row>
    <row r="20978">
      <c r="A20978" s="39">
        <f>_xlfn.XLOOKUP(83710,Trip[shape_id],Trip[shape_id],"Não encontrado")</f>
        <v/>
      </c>
      <c r="B20978" s="40" t="n">
        <v>-23.635866</v>
      </c>
      <c r="C20978" s="40" t="n">
        <v>-46.650253</v>
      </c>
      <c r="D20978" s="40" t="n">
        <v>682</v>
      </c>
      <c r="E20978" s="41" t="n">
        <v>22688.119</v>
      </c>
    </row>
    <row r="20979">
      <c r="A20979" s="42">
        <f>_xlfn.XLOOKUP(83710,Trip[shape_id],Trip[shape_id],"Não encontrado")</f>
        <v/>
      </c>
      <c r="B20979" s="43" t="n">
        <v>-23.635768</v>
      </c>
      <c r="C20979" s="43" t="n">
        <v>-46.649928</v>
      </c>
      <c r="D20979" s="43" t="n">
        <v>683</v>
      </c>
      <c r="E20979" s="44" t="n">
        <v>22723.012</v>
      </c>
    </row>
    <row r="20980">
      <c r="A20980" s="39">
        <f>_xlfn.XLOOKUP(83710,Trip[shape_id],Trip[shape_id],"Não encontrado")</f>
        <v/>
      </c>
      <c r="B20980" s="40" t="n">
        <v>-23.635616</v>
      </c>
      <c r="C20980" s="40" t="n">
        <v>-46.649168</v>
      </c>
      <c r="D20980" s="40" t="n">
        <v>684</v>
      </c>
      <c r="E20980" s="41" t="n">
        <v>22802.365</v>
      </c>
    </row>
    <row r="20981">
      <c r="A20981" s="42">
        <f>_xlfn.XLOOKUP(83710,Trip[shape_id],Trip[shape_id],"Não encontrado")</f>
        <v/>
      </c>
      <c r="B20981" s="43" t="n">
        <v>-23.635481</v>
      </c>
      <c r="C20981" s="43" t="n">
        <v>-46.648393</v>
      </c>
      <c r="D20981" s="43" t="n">
        <v>685</v>
      </c>
      <c r="E20981" s="44" t="n">
        <v>22882.844</v>
      </c>
    </row>
    <row r="20982">
      <c r="A20982" s="39">
        <f>_xlfn.XLOOKUP(83710,Trip[shape_id],Trip[shape_id],"Não encontrado")</f>
        <v/>
      </c>
      <c r="B20982" s="40" t="n">
        <v>-23.635439</v>
      </c>
      <c r="C20982" s="40" t="n">
        <v>-46.648184</v>
      </c>
      <c r="D20982" s="40" t="n">
        <v>686</v>
      </c>
      <c r="E20982" s="41" t="n">
        <v>22904.67</v>
      </c>
    </row>
    <row r="20983">
      <c r="A20983" s="42">
        <f>_xlfn.XLOOKUP(83710,Trip[shape_id],Trip[shape_id],"Não encontrado")</f>
        <v/>
      </c>
      <c r="B20983" s="43" t="n">
        <v>-23.63535</v>
      </c>
      <c r="C20983" s="43" t="n">
        <v>-46.64788</v>
      </c>
      <c r="D20983" s="43" t="n">
        <v>687</v>
      </c>
      <c r="E20983" s="44" t="n">
        <v>22937.217</v>
      </c>
    </row>
    <row r="20984">
      <c r="A20984" s="39">
        <f>_xlfn.XLOOKUP(83710,Trip[shape_id],Trip[shape_id],"Não encontrado")</f>
        <v/>
      </c>
      <c r="B20984" s="40" t="n">
        <v>-23.635244</v>
      </c>
      <c r="C20984" s="40" t="n">
        <v>-46.647666</v>
      </c>
      <c r="D20984" s="40" t="n">
        <v>688</v>
      </c>
      <c r="E20984" s="41" t="n">
        <v>22962.008</v>
      </c>
    </row>
    <row r="20985">
      <c r="A20985" s="42">
        <f>_xlfn.XLOOKUP(83710,Trip[shape_id],Trip[shape_id],"Não encontrado")</f>
        <v/>
      </c>
      <c r="B20985" s="43" t="n">
        <v>-23.635142</v>
      </c>
      <c r="C20985" s="43" t="n">
        <v>-46.647558</v>
      </c>
      <c r="D20985" s="43" t="n">
        <v>689</v>
      </c>
      <c r="E20985" s="44" t="n">
        <v>22977.789</v>
      </c>
    </row>
    <row r="20986">
      <c r="A20986" s="39">
        <f>_xlfn.XLOOKUP(83710,Trip[shape_id],Trip[shape_id],"Não encontrado")</f>
        <v/>
      </c>
      <c r="B20986" s="40" t="n">
        <v>-23.635056</v>
      </c>
      <c r="C20986" s="40" t="n">
        <v>-46.647475</v>
      </c>
      <c r="D20986" s="40" t="n">
        <v>690</v>
      </c>
      <c r="E20986" s="41" t="n">
        <v>22990.535</v>
      </c>
    </row>
    <row r="20987">
      <c r="A20987" s="42">
        <f>_xlfn.XLOOKUP(83710,Trip[shape_id],Trip[shape_id],"Não encontrado")</f>
        <v/>
      </c>
      <c r="B20987" s="43" t="n">
        <v>-23.634881</v>
      </c>
      <c r="C20987" s="43" t="n">
        <v>-46.647354</v>
      </c>
      <c r="D20987" s="43" t="n">
        <v>691</v>
      </c>
      <c r="E20987" s="44" t="n">
        <v>23013.516</v>
      </c>
    </row>
    <row r="20988">
      <c r="A20988" s="39">
        <f>_xlfn.XLOOKUP(83710,Trip[shape_id],Trip[shape_id],"Não encontrado")</f>
        <v/>
      </c>
      <c r="B20988" s="40" t="n">
        <v>-23.634844</v>
      </c>
      <c r="C20988" s="40" t="n">
        <v>-46.64734</v>
      </c>
      <c r="D20988" s="40" t="n">
        <v>692</v>
      </c>
      <c r="E20988" s="41" t="n">
        <v>23017.855</v>
      </c>
    </row>
    <row r="20989">
      <c r="A20989" s="42">
        <f>_xlfn.XLOOKUP(83710,Trip[shape_id],Trip[shape_id],"Não encontrado")</f>
        <v/>
      </c>
      <c r="B20989" s="43" t="n">
        <v>-23.634719</v>
      </c>
      <c r="C20989" s="43" t="n">
        <v>-46.647303</v>
      </c>
      <c r="D20989" s="43" t="n">
        <v>693</v>
      </c>
      <c r="E20989" s="44" t="n">
        <v>23032.205</v>
      </c>
    </row>
    <row r="20990">
      <c r="A20990" s="39">
        <f>_xlfn.XLOOKUP(83710,Trip[shape_id],Trip[shape_id],"Não encontrado")</f>
        <v/>
      </c>
      <c r="B20990" s="40" t="n">
        <v>-23.634603</v>
      </c>
      <c r="C20990" s="40" t="n">
        <v>-46.647276</v>
      </c>
      <c r="D20990" s="40" t="n">
        <v>694</v>
      </c>
      <c r="E20990" s="41" t="n">
        <v>23045.344</v>
      </c>
    </row>
    <row r="20991">
      <c r="A20991" s="42">
        <f>_xlfn.XLOOKUP(83710,Trip[shape_id],Trip[shape_id],"Não encontrado")</f>
        <v/>
      </c>
      <c r="B20991" s="43" t="n">
        <v>-23.634488</v>
      </c>
      <c r="C20991" s="43" t="n">
        <v>-46.647271</v>
      </c>
      <c r="D20991" s="43" t="n">
        <v>695</v>
      </c>
      <c r="E20991" s="44" t="n">
        <v>23058.092</v>
      </c>
    </row>
    <row r="20992">
      <c r="A20992" s="39">
        <f>_xlfn.XLOOKUP(83710,Trip[shape_id],Trip[shape_id],"Não encontrado")</f>
        <v/>
      </c>
      <c r="B20992" s="40" t="n">
        <v>-23.63374</v>
      </c>
      <c r="C20992" s="40" t="n">
        <v>-46.647236</v>
      </c>
      <c r="D20992" s="40" t="n">
        <v>696</v>
      </c>
      <c r="E20992" s="41" t="n">
        <v>23141.012</v>
      </c>
    </row>
    <row r="20993">
      <c r="A20993" s="42">
        <f>_xlfn.XLOOKUP(83710,Trip[shape_id],Trip[shape_id],"Não encontrado")</f>
        <v/>
      </c>
      <c r="B20993" s="43" t="n">
        <v>-23.633239</v>
      </c>
      <c r="C20993" s="43" t="n">
        <v>-46.647224</v>
      </c>
      <c r="D20993" s="43" t="n">
        <v>697</v>
      </c>
      <c r="E20993" s="44" t="n">
        <v>23196.512</v>
      </c>
    </row>
    <row r="20994">
      <c r="A20994" s="39">
        <f>_xlfn.XLOOKUP(83710,Trip[shape_id],Trip[shape_id],"Não encontrado")</f>
        <v/>
      </c>
      <c r="B20994" s="40" t="n">
        <v>-23.633023</v>
      </c>
      <c r="C20994" s="40" t="n">
        <v>-46.647215</v>
      </c>
      <c r="D20994" s="40" t="n">
        <v>698</v>
      </c>
      <c r="E20994" s="41" t="n">
        <v>23220.451</v>
      </c>
    </row>
    <row r="20995">
      <c r="A20995" s="42">
        <f>_xlfn.XLOOKUP(83710,Trip[shape_id],Trip[shape_id],"Não encontrado")</f>
        <v/>
      </c>
      <c r="B20995" s="43" t="n">
        <v>-23.632952</v>
      </c>
      <c r="C20995" s="43" t="n">
        <v>-46.647196</v>
      </c>
      <c r="D20995" s="43" t="n">
        <v>699</v>
      </c>
      <c r="E20995" s="44" t="n">
        <v>23228.551</v>
      </c>
    </row>
    <row r="20996">
      <c r="A20996" s="39">
        <f>_xlfn.XLOOKUP(83710,Trip[shape_id],Trip[shape_id],"Não encontrado")</f>
        <v/>
      </c>
      <c r="B20996" s="40" t="n">
        <v>-23.63286</v>
      </c>
      <c r="C20996" s="40" t="n">
        <v>-46.647164</v>
      </c>
      <c r="D20996" s="40" t="n">
        <v>700</v>
      </c>
      <c r="E20996" s="41" t="n">
        <v>23239.25</v>
      </c>
    </row>
    <row r="20997">
      <c r="A20997" s="42">
        <f>_xlfn.XLOOKUP(83710,Trip[shape_id],Trip[shape_id],"Não encontrado")</f>
        <v/>
      </c>
      <c r="B20997" s="43" t="n">
        <v>-23.632721</v>
      </c>
      <c r="C20997" s="43" t="n">
        <v>-46.647114</v>
      </c>
      <c r="D20997" s="43" t="n">
        <v>701</v>
      </c>
      <c r="E20997" s="44" t="n">
        <v>23255.469</v>
      </c>
    </row>
    <row r="20998">
      <c r="A20998" s="39">
        <f>_xlfn.XLOOKUP(83710,Trip[shape_id],Trip[shape_id],"Não encontrado")</f>
        <v/>
      </c>
      <c r="B20998" s="40" t="n">
        <v>-23.632538</v>
      </c>
      <c r="C20998" s="40" t="n">
        <v>-46.647019</v>
      </c>
      <c r="D20998" s="40" t="n">
        <v>702</v>
      </c>
      <c r="E20998" s="41" t="n">
        <v>23277.936</v>
      </c>
    </row>
    <row r="20999">
      <c r="A20999" s="42">
        <f>_xlfn.XLOOKUP(83710,Trip[shape_id],Trip[shape_id],"Não encontrado")</f>
        <v/>
      </c>
      <c r="B20999" s="43" t="n">
        <v>-23.632358</v>
      </c>
      <c r="C20999" s="43" t="n">
        <v>-46.646891</v>
      </c>
      <c r="D20999" s="43" t="n">
        <v>703</v>
      </c>
      <c r="E20999" s="44" t="n">
        <v>23301.77</v>
      </c>
    </row>
    <row r="21000">
      <c r="A21000" s="39">
        <f>_xlfn.XLOOKUP(83710,Trip[shape_id],Trip[shape_id],"Não encontrado")</f>
        <v/>
      </c>
      <c r="B21000" s="40" t="n">
        <v>-23.632163</v>
      </c>
      <c r="C21000" s="40" t="n">
        <v>-46.646739</v>
      </c>
      <c r="D21000" s="40" t="n">
        <v>704</v>
      </c>
      <c r="E21000" s="41" t="n">
        <v>23328.359</v>
      </c>
    </row>
    <row r="21001">
      <c r="A21001" s="42">
        <f>_xlfn.XLOOKUP(83710,Trip[shape_id],Trip[shape_id],"Não encontrado")</f>
        <v/>
      </c>
      <c r="B21001" s="43" t="n">
        <v>-23.631945</v>
      </c>
      <c r="C21001" s="43" t="n">
        <v>-46.646542</v>
      </c>
      <c r="D21001" s="43" t="n">
        <v>705</v>
      </c>
      <c r="E21001" s="44" t="n">
        <v>23359.775</v>
      </c>
    </row>
    <row r="21002">
      <c r="A21002" s="39">
        <f>_xlfn.XLOOKUP(83710,Trip[shape_id],Trip[shape_id],"Não encontrado")</f>
        <v/>
      </c>
      <c r="B21002" s="40" t="n">
        <v>-23.632065</v>
      </c>
      <c r="C21002" s="40" t="n">
        <v>-46.646321</v>
      </c>
      <c r="D21002" s="40" t="n">
        <v>706</v>
      </c>
      <c r="E21002" s="41" t="n">
        <v>23385.951</v>
      </c>
    </row>
    <row r="21003">
      <c r="A21003" s="42">
        <f>_xlfn.XLOOKUP(83710,Trip[shape_id],Trip[shape_id],"Não encontrado")</f>
        <v/>
      </c>
      <c r="B21003" s="43" t="n">
        <v>-23.632154</v>
      </c>
      <c r="C21003" s="43" t="n">
        <v>-46.646213</v>
      </c>
      <c r="D21003" s="43" t="n">
        <v>707</v>
      </c>
      <c r="E21003" s="44" t="n">
        <v>23440.141</v>
      </c>
    </row>
    <row r="21004">
      <c r="A21004" s="39">
        <f>_xlfn.XLOOKUP(83710,Trip[shape_id],Trip[shape_id],"Não encontrado")</f>
        <v/>
      </c>
      <c r="B21004" s="40" t="n">
        <v>-23.632349</v>
      </c>
      <c r="C21004" s="40" t="n">
        <v>-46.64589</v>
      </c>
      <c r="D21004" s="40" t="n">
        <v>708</v>
      </c>
      <c r="E21004" s="41" t="n">
        <v>23440.141</v>
      </c>
    </row>
    <row r="21005">
      <c r="A21005" s="42">
        <f>_xlfn.XLOOKUP(83710,Trip[shape_id],Trip[shape_id],"Não encontrado")</f>
        <v/>
      </c>
      <c r="B21005" s="43" t="n">
        <v>-23.632826</v>
      </c>
      <c r="C21005" s="43" t="n">
        <v>-46.64511</v>
      </c>
      <c r="D21005" s="43" t="n">
        <v>709</v>
      </c>
      <c r="E21005" s="44" t="n">
        <v>23535.668</v>
      </c>
    </row>
    <row r="21006">
      <c r="A21006" s="39">
        <f>_xlfn.XLOOKUP(83710,Trip[shape_id],Trip[shape_id],"Não encontrado")</f>
        <v/>
      </c>
      <c r="B21006" s="40" t="n">
        <v>-23.633043</v>
      </c>
      <c r="C21006" s="40" t="n">
        <v>-46.644757</v>
      </c>
      <c r="D21006" s="40" t="n">
        <v>710</v>
      </c>
      <c r="E21006" s="41" t="n">
        <v>23578.969</v>
      </c>
    </row>
    <row r="21007">
      <c r="A21007" s="42">
        <f>_xlfn.XLOOKUP(83710,Trip[shape_id],Trip[shape_id],"Não encontrado")</f>
        <v/>
      </c>
      <c r="B21007" s="43" t="n">
        <v>-23.633593</v>
      </c>
      <c r="C21007" s="43" t="n">
        <v>-46.643862</v>
      </c>
      <c r="D21007" s="43" t="n">
        <v>711</v>
      </c>
      <c r="E21007" s="44" t="n">
        <v>23688.744</v>
      </c>
    </row>
    <row r="21008">
      <c r="A21008" s="39">
        <f>_xlfn.XLOOKUP(83710,Trip[shape_id],Trip[shape_id],"Não encontrado")</f>
        <v/>
      </c>
      <c r="B21008" s="40" t="n">
        <v>-23.633695</v>
      </c>
      <c r="C21008" s="40" t="n">
        <v>-46.643698</v>
      </c>
      <c r="D21008" s="40" t="n">
        <v>712</v>
      </c>
      <c r="E21008" s="41" t="n">
        <v>23708.936</v>
      </c>
    </row>
    <row r="21009">
      <c r="A21009" s="42">
        <f>_xlfn.XLOOKUP(83710,Trip[shape_id],Trip[shape_id],"Não encontrado")</f>
        <v/>
      </c>
      <c r="B21009" s="43" t="n">
        <v>-23.633934</v>
      </c>
      <c r="C21009" s="43" t="n">
        <v>-46.643319</v>
      </c>
      <c r="D21009" s="43" t="n">
        <v>713</v>
      </c>
      <c r="E21009" s="44" t="n">
        <v>23787.252</v>
      </c>
    </row>
    <row r="21010">
      <c r="A21010" s="39">
        <f>_xlfn.XLOOKUP(83710,Trip[shape_id],Trip[shape_id],"Não encontrado")</f>
        <v/>
      </c>
      <c r="B21010" s="40" t="n">
        <v>-23.634088</v>
      </c>
      <c r="C21010" s="40" t="n">
        <v>-46.64306</v>
      </c>
      <c r="D21010" s="40" t="n">
        <v>714</v>
      </c>
      <c r="E21010" s="41" t="n">
        <v>23787.252</v>
      </c>
    </row>
    <row r="21011">
      <c r="A21011" s="42">
        <f>_xlfn.XLOOKUP(83710,Trip[shape_id],Trip[shape_id],"Não encontrado")</f>
        <v/>
      </c>
      <c r="B21011" s="43" t="n">
        <v>-23.634141</v>
      </c>
      <c r="C21011" s="43" t="n">
        <v>-46.642972</v>
      </c>
      <c r="D21011" s="43" t="n">
        <v>715</v>
      </c>
      <c r="E21011" s="44" t="n">
        <v>23797.98</v>
      </c>
    </row>
    <row r="21012">
      <c r="A21012" s="39">
        <f>_xlfn.XLOOKUP(83710,Trip[shape_id],Trip[shape_id],"Não encontrado")</f>
        <v/>
      </c>
      <c r="B21012" s="40" t="n">
        <v>-23.634214</v>
      </c>
      <c r="C21012" s="40" t="n">
        <v>-46.642888</v>
      </c>
      <c r="D21012" s="40" t="n">
        <v>716</v>
      </c>
      <c r="E21012" s="41" t="n">
        <v>23809.764</v>
      </c>
    </row>
    <row r="21013">
      <c r="A21013" s="42">
        <f>_xlfn.XLOOKUP(83710,Trip[shape_id],Trip[shape_id],"Não encontrado")</f>
        <v/>
      </c>
      <c r="B21013" s="43" t="n">
        <v>-23.634301</v>
      </c>
      <c r="C21013" s="43" t="n">
        <v>-46.64272</v>
      </c>
      <c r="D21013" s="43" t="n">
        <v>717</v>
      </c>
      <c r="E21013" s="44" t="n">
        <v>23829.428</v>
      </c>
    </row>
    <row r="21014">
      <c r="A21014" s="39">
        <f>_xlfn.XLOOKUP(83710,Trip[shape_id],Trip[shape_id],"Não encontrado")</f>
        <v/>
      </c>
      <c r="B21014" s="40" t="n">
        <v>-23.634297</v>
      </c>
      <c r="C21014" s="40" t="n">
        <v>-46.642255</v>
      </c>
      <c r="D21014" s="40" t="n">
        <v>718</v>
      </c>
      <c r="E21014" s="41" t="n">
        <v>23876.877</v>
      </c>
    </row>
    <row r="21015">
      <c r="A21015" s="42">
        <f>_xlfn.XLOOKUP(83710,Trip[shape_id],Trip[shape_id],"Não encontrado")</f>
        <v/>
      </c>
      <c r="B21015" s="43" t="n">
        <v>-23.634327</v>
      </c>
      <c r="C21015" s="43" t="n">
        <v>-46.641829</v>
      </c>
      <c r="D21015" s="43" t="n">
        <v>719</v>
      </c>
      <c r="E21015" s="44" t="n">
        <v>23920.471</v>
      </c>
    </row>
    <row r="21016">
      <c r="A21016" s="39">
        <f>_xlfn.XLOOKUP(83710,Trip[shape_id],Trip[shape_id],"Não encontrado")</f>
        <v/>
      </c>
      <c r="B21016" s="40" t="n">
        <v>-23.634388</v>
      </c>
      <c r="C21016" s="40" t="n">
        <v>-46.641736</v>
      </c>
      <c r="D21016" s="40" t="n">
        <v>720</v>
      </c>
      <c r="E21016" s="41" t="n">
        <v>23948.322</v>
      </c>
    </row>
    <row r="21017">
      <c r="A21017" s="42">
        <f>_xlfn.XLOOKUP(83710,Trip[shape_id],Trip[shape_id],"Não encontrado")</f>
        <v/>
      </c>
      <c r="B21017" s="43" t="n">
        <v>-23.634441</v>
      </c>
      <c r="C21017" s="43" t="n">
        <v>-46.641588</v>
      </c>
      <c r="D21017" s="43" t="n">
        <v>721</v>
      </c>
      <c r="E21017" s="44" t="n">
        <v>23959.365</v>
      </c>
    </row>
    <row r="21018">
      <c r="A21018" s="39">
        <f>_xlfn.XLOOKUP(83710,Trip[shape_id],Trip[shape_id],"Não encontrado")</f>
        <v/>
      </c>
      <c r="B21018" s="40" t="n">
        <v>-23.634492</v>
      </c>
      <c r="C21018" s="40" t="n">
        <v>-46.641495</v>
      </c>
      <c r="D21018" s="40" t="n">
        <v>722</v>
      </c>
      <c r="E21018" s="41" t="n">
        <v>23966.828</v>
      </c>
    </row>
    <row r="21019">
      <c r="A21019" s="42">
        <f>_xlfn.XLOOKUP(83710,Trip[shape_id],Trip[shape_id],"Não encontrado")</f>
        <v/>
      </c>
      <c r="B21019" s="43" t="n">
        <v>-23.634519</v>
      </c>
      <c r="C21019" s="43" t="n">
        <v>-46.641428</v>
      </c>
      <c r="D21019" s="43" t="n">
        <v>723</v>
      </c>
      <c r="E21019" s="44" t="n">
        <v>23966.828</v>
      </c>
    </row>
    <row r="21020">
      <c r="A21020" s="39">
        <f>_xlfn.XLOOKUP(83710,Trip[shape_id],Trip[shape_id],"Não encontrado")</f>
        <v/>
      </c>
      <c r="B21020" s="40" t="n">
        <v>-23.634977</v>
      </c>
      <c r="C21020" s="40" t="n">
        <v>-46.641364</v>
      </c>
      <c r="D21020" s="40" t="n">
        <v>724</v>
      </c>
      <c r="E21020" s="41" t="n">
        <v>24017.971</v>
      </c>
    </row>
    <row r="21021">
      <c r="A21021" s="42">
        <f>_xlfn.XLOOKUP(83710,Trip[shape_id],Trip[shape_id],"Não encontrado")</f>
        <v/>
      </c>
      <c r="B21021" s="43" t="n">
        <v>-23.634996</v>
      </c>
      <c r="C21021" s="43" t="n">
        <v>-46.641426</v>
      </c>
      <c r="D21021" s="43" t="n">
        <v>725</v>
      </c>
      <c r="E21021" s="44" t="n">
        <v>24024.639</v>
      </c>
    </row>
    <row r="21022">
      <c r="A21022" s="39">
        <f>_xlfn.XLOOKUP(83710,Trip[shape_id],Trip[shape_id],"Não encontrado")</f>
        <v/>
      </c>
      <c r="B21022" s="40" t="n">
        <v>-23.635051</v>
      </c>
      <c r="C21022" s="40" t="n">
        <v>-46.641486</v>
      </c>
      <c r="D21022" s="40" t="n">
        <v>726</v>
      </c>
      <c r="E21022" s="41" t="n">
        <v>24033.275</v>
      </c>
    </row>
    <row r="21023">
      <c r="A21023" s="42">
        <f>_xlfn.XLOOKUP(83710,Trip[shape_id],Trip[shape_id],"Não encontrado")</f>
        <v/>
      </c>
      <c r="B21023" s="43" t="n">
        <v>-23.635133</v>
      </c>
      <c r="C21023" s="43" t="n">
        <v>-46.641523</v>
      </c>
      <c r="D21023" s="43" t="n">
        <v>727</v>
      </c>
      <c r="E21023" s="44" t="n">
        <v>24043.111</v>
      </c>
    </row>
    <row r="21024">
      <c r="A21024" s="39">
        <f>_xlfn.XLOOKUP(83710,Trip[shape_id],Trip[shape_id],"Não encontrado")</f>
        <v/>
      </c>
      <c r="B21024" s="40" t="n">
        <v>-23.635169</v>
      </c>
      <c r="C21024" s="40" t="n">
        <v>-46.641528</v>
      </c>
      <c r="D21024" s="40" t="n">
        <v>728</v>
      </c>
      <c r="E21024" s="41" t="n">
        <v>24047.131</v>
      </c>
    </row>
    <row r="21025">
      <c r="A21025" s="42">
        <f>_xlfn.XLOOKUP(83710,Trip[shape_id],Trip[shape_id],"Não encontrado")</f>
        <v/>
      </c>
      <c r="B21025" s="43" t="n">
        <v>-23.635286</v>
      </c>
      <c r="C21025" s="43" t="n">
        <v>-46.641511</v>
      </c>
      <c r="D21025" s="43" t="n">
        <v>729</v>
      </c>
      <c r="E21025" s="44" t="n">
        <v>24060.205</v>
      </c>
    </row>
    <row r="21026">
      <c r="A21026" s="39">
        <f>_xlfn.XLOOKUP(83710,Trip[shape_id],Trip[shape_id],"Não encontrado")</f>
        <v/>
      </c>
      <c r="B21026" s="40" t="n">
        <v>-23.63545</v>
      </c>
      <c r="C21026" s="40" t="n">
        <v>-46.641485</v>
      </c>
      <c r="D21026" s="40" t="n">
        <v>730</v>
      </c>
      <c r="E21026" s="41" t="n">
        <v>24078.561</v>
      </c>
    </row>
    <row r="21027">
      <c r="A21027" s="42">
        <f>_xlfn.XLOOKUP(83710,Trip[shape_id],Trip[shape_id],"Não encontrado")</f>
        <v/>
      </c>
      <c r="B21027" s="43" t="n">
        <v>-23.635539</v>
      </c>
      <c r="C21027" s="43" t="n">
        <v>-46.641472</v>
      </c>
      <c r="D21027" s="43" t="n">
        <v>731</v>
      </c>
      <c r="E21027" s="44" t="n">
        <v>24088.506</v>
      </c>
    </row>
    <row r="21028">
      <c r="A21028" s="39">
        <f>_xlfn.XLOOKUP(83710,Trip[shape_id],Trip[shape_id],"Não encontrado")</f>
        <v/>
      </c>
      <c r="B21028" s="40" t="n">
        <v>-23.635591</v>
      </c>
      <c r="C21028" s="40" t="n">
        <v>-46.641472</v>
      </c>
      <c r="D21028" s="40" t="n">
        <v>732</v>
      </c>
      <c r="E21028" s="41" t="n">
        <v>24094.264</v>
      </c>
    </row>
    <row r="21029">
      <c r="A21029" s="42">
        <f>_xlfn.XLOOKUP(83710,Trip[shape_id],Trip[shape_id],"Não encontrado")</f>
        <v/>
      </c>
      <c r="B21029" s="43" t="n">
        <v>-23.635659</v>
      </c>
      <c r="C21029" s="43" t="n">
        <v>-46.641473</v>
      </c>
      <c r="D21029" s="43" t="n">
        <v>733</v>
      </c>
      <c r="E21029" s="44" t="n">
        <v>24101.795</v>
      </c>
    </row>
    <row r="21030">
      <c r="A21030" s="39">
        <f>_xlfn.XLOOKUP(83710,Trip[shape_id],Trip[shape_id],"Não encontrado")</f>
        <v/>
      </c>
      <c r="B21030" s="40" t="n">
        <v>-23.635824</v>
      </c>
      <c r="C21030" s="40" t="n">
        <v>-46.641468</v>
      </c>
      <c r="D21030" s="40" t="n">
        <v>734</v>
      </c>
      <c r="E21030" s="41" t="n">
        <v>24120.076</v>
      </c>
    </row>
    <row r="21031">
      <c r="A21031" s="42">
        <f>_xlfn.XLOOKUP(83710,Trip[shape_id],Trip[shape_id],"Não encontrado")</f>
        <v/>
      </c>
      <c r="B21031" s="43" t="n">
        <v>-23.635954</v>
      </c>
      <c r="C21031" s="43" t="n">
        <v>-46.641465</v>
      </c>
      <c r="D21031" s="43" t="n">
        <v>735</v>
      </c>
      <c r="E21031" s="44" t="n">
        <v>24134.477</v>
      </c>
    </row>
    <row r="21032">
      <c r="A21032" s="39">
        <f>_xlfn.XLOOKUP(83710,Trip[shape_id],Trip[shape_id],"Não encontrado")</f>
        <v/>
      </c>
      <c r="B21032" s="40" t="n">
        <v>-23.63614</v>
      </c>
      <c r="C21032" s="40" t="n">
        <v>-46.641307</v>
      </c>
      <c r="D21032" s="40" t="n">
        <v>736</v>
      </c>
      <c r="E21032" s="41" t="n">
        <v>24160.635</v>
      </c>
    </row>
    <row r="21033">
      <c r="A21033" s="42">
        <f>_xlfn.XLOOKUP(83710,Trip[shape_id],Trip[shape_id],"Não encontrado")</f>
        <v/>
      </c>
      <c r="B21033" s="43" t="n">
        <v>-23.636382</v>
      </c>
      <c r="C21033" s="43" t="n">
        <v>-46.641314</v>
      </c>
      <c r="D21033" s="43" t="n">
        <v>737</v>
      </c>
      <c r="E21033" s="44" t="n">
        <v>24219.787</v>
      </c>
    </row>
    <row r="21034">
      <c r="A21034" s="39">
        <f>_xlfn.XLOOKUP(83710,Trip[shape_id],Trip[shape_id],"Não encontrado")</f>
        <v/>
      </c>
      <c r="B21034" s="40" t="n">
        <v>-23.636674</v>
      </c>
      <c r="C21034" s="40" t="n">
        <v>-46.641316</v>
      </c>
      <c r="D21034" s="40" t="n">
        <v>738</v>
      </c>
      <c r="E21034" s="41" t="n">
        <v>24219.787</v>
      </c>
    </row>
    <row r="21035">
      <c r="A21035" s="42">
        <f>_xlfn.XLOOKUP(83710,Trip[shape_id],Trip[shape_id],"Não encontrado")</f>
        <v/>
      </c>
      <c r="B21035" s="43" t="n">
        <v>-23.636918</v>
      </c>
      <c r="C21035" s="43" t="n">
        <v>-46.641325</v>
      </c>
      <c r="D21035" s="43" t="n">
        <v>739</v>
      </c>
      <c r="E21035" s="44" t="n">
        <v>24246.826</v>
      </c>
    </row>
    <row r="21036">
      <c r="A21036" s="39">
        <f>_xlfn.XLOOKUP(83710,Trip[shape_id],Trip[shape_id],"Não encontrado")</f>
        <v/>
      </c>
      <c r="B21036" s="40" t="n">
        <v>-23.637708</v>
      </c>
      <c r="C21036" s="40" t="n">
        <v>-46.64132</v>
      </c>
      <c r="D21036" s="40" t="n">
        <v>740</v>
      </c>
      <c r="E21036" s="41" t="n">
        <v>24334.322</v>
      </c>
    </row>
    <row r="21037">
      <c r="A21037" s="42">
        <f>_xlfn.XLOOKUP(83710,Trip[shape_id],Trip[shape_id],"Não encontrado")</f>
        <v/>
      </c>
      <c r="B21037" s="43" t="n">
        <v>-23.637818</v>
      </c>
      <c r="C21037" s="43" t="n">
        <v>-46.64132</v>
      </c>
      <c r="D21037" s="43" t="n">
        <v>741</v>
      </c>
      <c r="E21037" s="44" t="n">
        <v>24387.707</v>
      </c>
    </row>
    <row r="21038">
      <c r="A21038" s="39">
        <f>_xlfn.XLOOKUP(83710,Trip[shape_id],Trip[shape_id],"Não encontrado")</f>
        <v/>
      </c>
      <c r="B21038" s="40" t="n">
        <v>-23.63819</v>
      </c>
      <c r="C21038" s="40" t="n">
        <v>-46.641317</v>
      </c>
      <c r="D21038" s="40" t="n">
        <v>742</v>
      </c>
      <c r="E21038" s="41" t="n">
        <v>24387.707</v>
      </c>
    </row>
    <row r="21039">
      <c r="A21039" s="42">
        <f>_xlfn.XLOOKUP(83710,Trip[shape_id],Trip[shape_id],"Não encontrado")</f>
        <v/>
      </c>
      <c r="B21039" s="43" t="n">
        <v>-23.638619</v>
      </c>
      <c r="C21039" s="43" t="n">
        <v>-46.641319</v>
      </c>
      <c r="D21039" s="43" t="n">
        <v>743</v>
      </c>
      <c r="E21039" s="44" t="n">
        <v>24469.346</v>
      </c>
    </row>
    <row r="21040">
      <c r="A21040" s="39">
        <f>_xlfn.XLOOKUP(83710,Trip[shape_id],Trip[shape_id],"Não encontrado")</f>
        <v/>
      </c>
      <c r="B21040" s="40" t="n">
        <v>-23.638927</v>
      </c>
      <c r="C21040" s="40" t="n">
        <v>-46.641328</v>
      </c>
      <c r="D21040" s="40" t="n">
        <v>744</v>
      </c>
      <c r="E21040" s="41" t="n">
        <v>24505.719</v>
      </c>
    </row>
    <row r="21041">
      <c r="A21041" s="42">
        <f>_xlfn.XLOOKUP(83710,Trip[shape_id],Trip[shape_id],"Não encontrado")</f>
        <v/>
      </c>
      <c r="B21041" s="43" t="n">
        <v>-23.639254</v>
      </c>
      <c r="C21041" s="43" t="n">
        <v>-46.641361</v>
      </c>
      <c r="D21041" s="43" t="n">
        <v>745</v>
      </c>
      <c r="E21041" s="44" t="n">
        <v>24603.559</v>
      </c>
    </row>
    <row r="21042">
      <c r="A21042" s="39">
        <f>_xlfn.XLOOKUP(83710,Trip[shape_id],Trip[shape_id],"Não encontrado")</f>
        <v/>
      </c>
      <c r="B21042" s="40" t="n">
        <v>-23.640136</v>
      </c>
      <c r="C21042" s="40" t="n">
        <v>-46.641415</v>
      </c>
      <c r="D21042" s="40" t="n">
        <v>746</v>
      </c>
      <c r="E21042" s="41" t="n">
        <v>24603.559</v>
      </c>
    </row>
    <row r="21043">
      <c r="A21043" s="42">
        <f>_xlfn.XLOOKUP(83710,Trip[shape_id],Trip[shape_id],"Não encontrado")</f>
        <v/>
      </c>
      <c r="B21043" s="43" t="n">
        <v>-23.640582</v>
      </c>
      <c r="C21043" s="43" t="n">
        <v>-46.641443</v>
      </c>
      <c r="D21043" s="43" t="n">
        <v>747</v>
      </c>
      <c r="E21043" s="44" t="n">
        <v>24710.855</v>
      </c>
    </row>
    <row r="21044">
      <c r="A21044" s="39">
        <f>_xlfn.XLOOKUP(83710,Trip[shape_id],Trip[shape_id],"Não encontrado")</f>
        <v/>
      </c>
      <c r="B21044" s="40" t="n">
        <v>-23.641103</v>
      </c>
      <c r="C21044" s="40" t="n">
        <v>-46.641479</v>
      </c>
      <c r="D21044" s="40" t="n">
        <v>748</v>
      </c>
      <c r="E21044" s="41" t="n">
        <v>24746.436</v>
      </c>
    </row>
    <row r="21045">
      <c r="A21045" s="42">
        <f>_xlfn.XLOOKUP(83710,Trip[shape_id],Trip[shape_id],"Não encontrado")</f>
        <v/>
      </c>
      <c r="B21045" s="43" t="n">
        <v>-23.641424</v>
      </c>
      <c r="C21045" s="43" t="n">
        <v>-46.641493</v>
      </c>
      <c r="D21045" s="43" t="n">
        <v>749</v>
      </c>
      <c r="E21045" s="44" t="n">
        <v>24770.934</v>
      </c>
    </row>
    <row r="21046">
      <c r="A21046" s="39">
        <f>_xlfn.XLOOKUP(83710,Trip[shape_id],Trip[shape_id],"Não encontrado")</f>
        <v/>
      </c>
      <c r="B21046" s="40" t="n">
        <v>-23.641645</v>
      </c>
      <c r="C21046" s="40" t="n">
        <v>-46.641483</v>
      </c>
      <c r="D21046" s="40" t="n">
        <v>750</v>
      </c>
      <c r="E21046" s="41" t="n">
        <v>24770.934</v>
      </c>
    </row>
    <row r="21047">
      <c r="A21047" s="42">
        <f>_xlfn.XLOOKUP(83710,Trip[shape_id],Trip[shape_id],"Não encontrado")</f>
        <v/>
      </c>
      <c r="B21047" s="43" t="n">
        <v>-23.641791</v>
      </c>
      <c r="C21047" s="43" t="n">
        <v>-46.641472</v>
      </c>
      <c r="D21047" s="43" t="n">
        <v>751</v>
      </c>
      <c r="E21047" s="44" t="n">
        <v>24787.143</v>
      </c>
    </row>
    <row r="21048">
      <c r="A21048" s="39">
        <f>_xlfn.XLOOKUP(83710,Trip[shape_id],Trip[shape_id],"Não encontrado")</f>
        <v/>
      </c>
      <c r="B21048" s="40" t="n">
        <v>-23.64229</v>
      </c>
      <c r="C21048" s="40" t="n">
        <v>-46.64143</v>
      </c>
      <c r="D21048" s="40" t="n">
        <v>752</v>
      </c>
      <c r="E21048" s="41" t="n">
        <v>24908.76</v>
      </c>
    </row>
    <row r="21049">
      <c r="A21049" s="42">
        <f>_xlfn.XLOOKUP(83710,Trip[shape_id],Trip[shape_id],"Não encontrado")</f>
        <v/>
      </c>
      <c r="B21049" s="43" t="n">
        <v>-23.642887</v>
      </c>
      <c r="C21049" s="43" t="n">
        <v>-46.641401</v>
      </c>
      <c r="D21049" s="43" t="n">
        <v>753</v>
      </c>
      <c r="E21049" s="44" t="n">
        <v>24908.76</v>
      </c>
    </row>
    <row r="21050">
      <c r="A21050" s="39">
        <f>_xlfn.XLOOKUP(83710,Trip[shape_id],Trip[shape_id],"Não encontrado")</f>
        <v/>
      </c>
      <c r="B21050" s="40" t="n">
        <v>-23.643203</v>
      </c>
      <c r="C21050" s="40" t="n">
        <v>-46.641366</v>
      </c>
      <c r="D21050" s="40" t="n">
        <v>754</v>
      </c>
      <c r="E21050" s="41" t="n">
        <v>25032.422</v>
      </c>
    </row>
    <row r="21051">
      <c r="A21051" s="42">
        <f>_xlfn.XLOOKUP(83710,Trip[shape_id],Trip[shape_id],"Não encontrado")</f>
        <v/>
      </c>
      <c r="B21051" s="43" t="n">
        <v>-23.644</v>
      </c>
      <c r="C21051" s="43" t="n">
        <v>-46.641306</v>
      </c>
      <c r="D21051" s="43" t="n">
        <v>755</v>
      </c>
      <c r="E21051" s="44" t="n">
        <v>25088.902</v>
      </c>
    </row>
    <row r="21052">
      <c r="A21052" s="39">
        <f>_xlfn.XLOOKUP(83710,Trip[shape_id],Trip[shape_id],"Não encontrado")</f>
        <v/>
      </c>
      <c r="B21052" s="40" t="n">
        <v>-23.644509</v>
      </c>
      <c r="C21052" s="40" t="n">
        <v>-46.641272</v>
      </c>
      <c r="D21052" s="40" t="n">
        <v>756</v>
      </c>
      <c r="E21052" s="41" t="n">
        <v>25088.902</v>
      </c>
    </row>
    <row r="21053">
      <c r="A21053" s="42">
        <f>_xlfn.XLOOKUP(83710,Trip[shape_id],Trip[shape_id],"Não encontrado")</f>
        <v/>
      </c>
      <c r="B21053" s="43" t="n">
        <v>-23.645291</v>
      </c>
      <c r="C21053" s="43" t="n">
        <v>-46.641211</v>
      </c>
      <c r="D21053" s="43" t="n">
        <v>757</v>
      </c>
      <c r="E21053" s="44" t="n">
        <v>25175.734</v>
      </c>
    </row>
    <row r="21054">
      <c r="A21054" s="39">
        <f>_xlfn.XLOOKUP(83710,Trip[shape_id],Trip[shape_id],"Não encontrado")</f>
        <v/>
      </c>
      <c r="B21054" s="40" t="n">
        <v>-23.645517</v>
      </c>
      <c r="C21054" s="40" t="n">
        <v>-46.641178</v>
      </c>
      <c r="D21054" s="40" t="n">
        <v>758</v>
      </c>
      <c r="E21054" s="41" t="n">
        <v>25276.967</v>
      </c>
    </row>
    <row r="21055">
      <c r="A21055" s="42">
        <f>_xlfn.XLOOKUP(83710,Trip[shape_id],Trip[shape_id],"Não encontrado")</f>
        <v/>
      </c>
      <c r="B21055" s="43" t="n">
        <v>-23.64615</v>
      </c>
      <c r="C21055" s="43" t="n">
        <v>-46.640891</v>
      </c>
      <c r="D21055" s="43" t="n">
        <v>759</v>
      </c>
      <c r="E21055" s="44" t="n">
        <v>25290.457</v>
      </c>
    </row>
    <row r="21056">
      <c r="A21056" s="39">
        <f>_xlfn.XLOOKUP(83710,Trip[shape_id],Trip[shape_id],"Não encontrado")</f>
        <v/>
      </c>
      <c r="B21056" s="40" t="n">
        <v>-23.646259</v>
      </c>
      <c r="C21056" s="40" t="n">
        <v>-46.640832</v>
      </c>
      <c r="D21056" s="40" t="n">
        <v>760</v>
      </c>
      <c r="E21056" s="41" t="n">
        <v>25300.291</v>
      </c>
    </row>
    <row r="21057">
      <c r="A21057" s="42">
        <f>_xlfn.XLOOKUP(83710,Trip[shape_id],Trip[shape_id],"Não encontrado")</f>
        <v/>
      </c>
      <c r="B21057" s="43" t="n">
        <v>-23.646338</v>
      </c>
      <c r="C21057" s="43" t="n">
        <v>-46.640788</v>
      </c>
      <c r="D21057" s="43" t="n">
        <v>761</v>
      </c>
      <c r="E21057" s="44" t="n">
        <v>25350.814</v>
      </c>
    </row>
    <row r="21058">
      <c r="A21058" s="39">
        <f>_xlfn.XLOOKUP(83710,Trip[shape_id],Trip[shape_id],"Não encontrado")</f>
        <v/>
      </c>
      <c r="B21058" s="40" t="n">
        <v>-23.646721</v>
      </c>
      <c r="C21058" s="40" t="n">
        <v>-46.640519</v>
      </c>
      <c r="D21058" s="40" t="n">
        <v>762</v>
      </c>
      <c r="E21058" s="41" t="n">
        <v>25358.719</v>
      </c>
    </row>
    <row r="21059">
      <c r="A21059" s="42">
        <f>_xlfn.XLOOKUP(83710,Trip[shape_id],Trip[shape_id],"Não encontrado")</f>
        <v/>
      </c>
      <c r="B21059" s="43" t="n">
        <v>-23.646786</v>
      </c>
      <c r="C21059" s="43" t="n">
        <v>-46.640487</v>
      </c>
      <c r="D21059" s="43" t="n">
        <v>763</v>
      </c>
      <c r="E21059" s="44" t="n">
        <v>25358.719</v>
      </c>
    </row>
    <row r="21060">
      <c r="A21060" s="39">
        <f>_xlfn.XLOOKUP(83710,Trip[shape_id],Trip[shape_id],"Não encontrado")</f>
        <v/>
      </c>
      <c r="B21060" s="40" t="n">
        <v>-23.647088</v>
      </c>
      <c r="C21060" s="40" t="n">
        <v>-46.640359</v>
      </c>
      <c r="D21060" s="40" t="n">
        <v>764</v>
      </c>
      <c r="E21060" s="41" t="n">
        <v>25394.625</v>
      </c>
    </row>
    <row r="21061">
      <c r="A21061" s="42">
        <f>_xlfn.XLOOKUP(83710,Trip[shape_id],Trip[shape_id],"Não encontrado")</f>
        <v/>
      </c>
      <c r="B21061" s="43" t="n">
        <v>-23.647277</v>
      </c>
      <c r="C21061" s="43" t="n">
        <v>-46.64027</v>
      </c>
      <c r="D21061" s="43" t="n">
        <v>765</v>
      </c>
      <c r="E21061" s="44" t="n">
        <v>25417.441</v>
      </c>
    </row>
    <row r="21062">
      <c r="A21062" s="39">
        <f>_xlfn.XLOOKUP(83710,Trip[shape_id],Trip[shape_id],"Não encontrado")</f>
        <v/>
      </c>
      <c r="B21062" s="40" t="n">
        <v>-23.64749</v>
      </c>
      <c r="C21062" s="40" t="n">
        <v>-46.640218</v>
      </c>
      <c r="D21062" s="40" t="n">
        <v>766</v>
      </c>
      <c r="E21062" s="41" t="n">
        <v>25441.621</v>
      </c>
    </row>
    <row r="21063">
      <c r="A21063" s="42">
        <f>_xlfn.XLOOKUP(83710,Trip[shape_id],Trip[shape_id],"Não encontrado")</f>
        <v/>
      </c>
      <c r="B21063" s="43" t="n">
        <v>-23.647696</v>
      </c>
      <c r="C21063" s="43" t="n">
        <v>-46.640187</v>
      </c>
      <c r="D21063" s="43" t="n">
        <v>767</v>
      </c>
      <c r="E21063" s="44" t="n">
        <v>25489.311</v>
      </c>
    </row>
    <row r="21064">
      <c r="A21064" s="39">
        <f>_xlfn.XLOOKUP(83710,Trip[shape_id],Trip[shape_id],"Não encontrado")</f>
        <v/>
      </c>
      <c r="B21064" s="40" t="n">
        <v>-23.647918</v>
      </c>
      <c r="C21064" s="40" t="n">
        <v>-46.640205</v>
      </c>
      <c r="D21064" s="40" t="n">
        <v>768</v>
      </c>
      <c r="E21064" s="41" t="n">
        <v>25495.252</v>
      </c>
    </row>
    <row r="21065">
      <c r="A21065" s="42">
        <f>_xlfn.XLOOKUP(83710,Trip[shape_id],Trip[shape_id],"Não encontrado")</f>
        <v/>
      </c>
      <c r="B21065" s="43" t="n">
        <v>-23.647971</v>
      </c>
      <c r="C21065" s="43" t="n">
        <v>-46.640214</v>
      </c>
      <c r="D21065" s="43" t="n">
        <v>769</v>
      </c>
      <c r="E21065" s="44" t="n">
        <v>25521.443</v>
      </c>
    </row>
    <row r="21066">
      <c r="A21066" s="39">
        <f>_xlfn.XLOOKUP(83710,Trip[shape_id],Trip[shape_id],"Não encontrado")</f>
        <v/>
      </c>
      <c r="B21066" s="40" t="n">
        <v>-23.648202</v>
      </c>
      <c r="C21066" s="40" t="n">
        <v>-46.640269</v>
      </c>
      <c r="D21066" s="40" t="n">
        <v>770</v>
      </c>
      <c r="E21066" s="41" t="n">
        <v>25538.818</v>
      </c>
    </row>
    <row r="21067">
      <c r="A21067" s="42">
        <f>_xlfn.XLOOKUP(83710,Trip[shape_id],Trip[shape_id],"Não encontrado")</f>
        <v/>
      </c>
      <c r="B21067" s="43" t="n">
        <v>-23.648347</v>
      </c>
      <c r="C21067" s="43" t="n">
        <v>-46.640334</v>
      </c>
      <c r="D21067" s="43" t="n">
        <v>771</v>
      </c>
      <c r="E21067" s="44" t="n">
        <v>25604.174</v>
      </c>
    </row>
    <row r="21068">
      <c r="A21068" s="39">
        <f>_xlfn.XLOOKUP(83710,Trip[shape_id],Trip[shape_id],"Não encontrado")</f>
        <v/>
      </c>
      <c r="B21068" s="40" t="n">
        <v>-23.648893</v>
      </c>
      <c r="C21068" s="40" t="n">
        <v>-46.640577</v>
      </c>
      <c r="D21068" s="40" t="n">
        <v>772</v>
      </c>
      <c r="E21068" s="41" t="n">
        <v>25613.422</v>
      </c>
    </row>
    <row r="21069">
      <c r="A21069" s="42">
        <f>_xlfn.XLOOKUP(83710,Trip[shape_id],Trip[shape_id],"Não encontrado")</f>
        <v/>
      </c>
      <c r="B21069" s="43" t="n">
        <v>-23.648974</v>
      </c>
      <c r="C21069" s="43" t="n">
        <v>-46.640599</v>
      </c>
      <c r="D21069" s="43" t="n">
        <v>773</v>
      </c>
      <c r="E21069" s="44" t="n">
        <v>25628.809</v>
      </c>
    </row>
    <row r="21070">
      <c r="A21070" s="39">
        <f>_xlfn.XLOOKUP(83710,Trip[shape_id],Trip[shape_id],"Não encontrado")</f>
        <v/>
      </c>
      <c r="B21070" s="40" t="n">
        <v>-23.649111</v>
      </c>
      <c r="C21070" s="40" t="n">
        <v>-46.640624</v>
      </c>
      <c r="D21070" s="40" t="n">
        <v>774</v>
      </c>
      <c r="E21070" s="41" t="n">
        <v>25645.391</v>
      </c>
    </row>
    <row r="21071">
      <c r="A21071" s="42">
        <f>_xlfn.XLOOKUP(83710,Trip[shape_id],Trip[shape_id],"Não encontrado")</f>
        <v/>
      </c>
      <c r="B21071" s="43" t="n">
        <v>-23.64926</v>
      </c>
      <c r="C21071" s="43" t="n">
        <v>-46.64064</v>
      </c>
      <c r="D21071" s="43" t="n">
        <v>775</v>
      </c>
      <c r="E21071" s="44" t="n">
        <v>25713.537</v>
      </c>
    </row>
    <row r="21072">
      <c r="A21072" s="39">
        <f>_xlfn.XLOOKUP(83710,Trip[shape_id],Trip[shape_id],"Não encontrado")</f>
        <v/>
      </c>
      <c r="B21072" s="40" t="n">
        <v>-23.649875</v>
      </c>
      <c r="C21072" s="40" t="n">
        <v>-46.640619</v>
      </c>
      <c r="D21072" s="40" t="n">
        <v>776</v>
      </c>
      <c r="E21072" s="41" t="n">
        <v>25734.486</v>
      </c>
    </row>
    <row r="21073">
      <c r="A21073" s="42">
        <f>_xlfn.XLOOKUP(83710,Trip[shape_id],Trip[shape_id],"Não encontrado")</f>
        <v/>
      </c>
      <c r="B21073" s="43" t="n">
        <v>-23.650064</v>
      </c>
      <c r="C21073" s="43" t="n">
        <v>-46.640611</v>
      </c>
      <c r="D21073" s="43" t="n">
        <v>777</v>
      </c>
      <c r="E21073" s="44" t="n">
        <v>25745.678</v>
      </c>
    </row>
    <row r="21074">
      <c r="A21074" s="39">
        <f>_xlfn.XLOOKUP(83710,Trip[shape_id],Trip[shape_id],"Não encontrado")</f>
        <v/>
      </c>
      <c r="B21074" s="40" t="n">
        <v>-23.650163</v>
      </c>
      <c r="C21074" s="40" t="n">
        <v>-46.640589</v>
      </c>
      <c r="D21074" s="40" t="n">
        <v>778</v>
      </c>
      <c r="E21074" s="41" t="n">
        <v>25745.678</v>
      </c>
    </row>
    <row r="21075">
      <c r="A21075" s="42">
        <f>_xlfn.XLOOKUP(83710,Trip[shape_id],Trip[shape_id],"Não encontrado")</f>
        <v/>
      </c>
      <c r="B21075" s="43" t="n">
        <v>-23.650512</v>
      </c>
      <c r="C21075" s="43" t="n">
        <v>-46.640455</v>
      </c>
      <c r="D21075" s="43" t="n">
        <v>779</v>
      </c>
      <c r="E21075" s="44" t="n">
        <v>25809.51</v>
      </c>
    </row>
    <row r="21076">
      <c r="A21076" s="39">
        <f>_xlfn.XLOOKUP(83710,Trip[shape_id],Trip[shape_id],"Não encontrado")</f>
        <v/>
      </c>
      <c r="B21076" s="40" t="n">
        <v>-23.650686</v>
      </c>
      <c r="C21076" s="40" t="n">
        <v>-46.640335</v>
      </c>
      <c r="D21076" s="40" t="n">
        <v>780</v>
      </c>
      <c r="E21076" s="41" t="n">
        <v>25809.51</v>
      </c>
    </row>
    <row r="21077">
      <c r="A21077" s="42">
        <f>_xlfn.XLOOKUP(83710,Trip[shape_id],Trip[shape_id],"Não encontrado")</f>
        <v/>
      </c>
      <c r="B21077" s="43" t="n">
        <v>-23.65086</v>
      </c>
      <c r="C21077" s="43" t="n">
        <v>-46.640198</v>
      </c>
      <c r="D21077" s="43" t="n">
        <v>781</v>
      </c>
      <c r="E21077" s="44" t="n">
        <v>25854.67</v>
      </c>
    </row>
    <row r="21078">
      <c r="A21078" s="39">
        <f>_xlfn.XLOOKUP(83710,Trip[shape_id],Trip[shape_id],"Não encontrado")</f>
        <v/>
      </c>
      <c r="B21078" s="40" t="n">
        <v>-23.650975</v>
      </c>
      <c r="C21078" s="40" t="n">
        <v>-46.64003</v>
      </c>
      <c r="D21078" s="40" t="n">
        <v>782</v>
      </c>
      <c r="E21078" s="41" t="n">
        <v>25876.027</v>
      </c>
    </row>
    <row r="21079">
      <c r="A21079" s="42">
        <f>_xlfn.XLOOKUP(83710,Trip[shape_id],Trip[shape_id],"Não encontrado")</f>
        <v/>
      </c>
      <c r="B21079" s="43" t="n">
        <v>-23.651075</v>
      </c>
      <c r="C21079" s="43" t="n">
        <v>-46.639851</v>
      </c>
      <c r="D21079" s="43" t="n">
        <v>783</v>
      </c>
      <c r="E21079" s="44" t="n">
        <v>25923.66</v>
      </c>
    </row>
    <row r="21080">
      <c r="A21080" s="39">
        <f>_xlfn.XLOOKUP(83710,Trip[shape_id],Trip[shape_id],"Não encontrado")</f>
        <v/>
      </c>
      <c r="B21080" s="40" t="n">
        <v>-23.651259</v>
      </c>
      <c r="C21080" s="40" t="n">
        <v>-46.639429</v>
      </c>
      <c r="D21080" s="40" t="n">
        <v>784</v>
      </c>
      <c r="E21080" s="41" t="n">
        <v>25940.361</v>
      </c>
    </row>
    <row r="21081">
      <c r="A21081" s="42">
        <f>_xlfn.XLOOKUP(83710,Trip[shape_id],Trip[shape_id],"Não encontrado")</f>
        <v/>
      </c>
      <c r="B21081" s="43" t="n">
        <v>-23.651329</v>
      </c>
      <c r="C21081" s="43" t="n">
        <v>-46.639284</v>
      </c>
      <c r="D21081" s="43" t="n">
        <v>785</v>
      </c>
      <c r="E21081" s="44" t="n">
        <v>25940.361</v>
      </c>
    </row>
    <row r="21082">
      <c r="A21082" s="39">
        <f>_xlfn.XLOOKUP(83710,Trip[shape_id],Trip[shape_id],"Não encontrado")</f>
        <v/>
      </c>
      <c r="B21082" s="40" t="n">
        <v>-23.651718</v>
      </c>
      <c r="C21082" s="40" t="n">
        <v>-46.638321</v>
      </c>
      <c r="D21082" s="40" t="n">
        <v>786</v>
      </c>
      <c r="E21082" s="41" t="n">
        <v>26047.641</v>
      </c>
    </row>
    <row r="21083">
      <c r="A21083" s="42">
        <f>_xlfn.XLOOKUP(83710,Trip[shape_id],Trip[shape_id],"Não encontrado")</f>
        <v/>
      </c>
      <c r="B21083" s="43" t="n">
        <v>-23.651787</v>
      </c>
      <c r="C21083" s="43" t="n">
        <v>-46.638171</v>
      </c>
      <c r="D21083" s="43" t="n">
        <v>787</v>
      </c>
      <c r="E21083" s="44" t="n">
        <v>26088.486</v>
      </c>
    </row>
    <row r="21084">
      <c r="A21084" s="39">
        <f>_xlfn.XLOOKUP(83710,Trip[shape_id],Trip[shape_id],"Não encontrado")</f>
        <v/>
      </c>
      <c r="B21084" s="40" t="n">
        <v>-23.651895</v>
      </c>
      <c r="C21084" s="40" t="n">
        <v>-46.63797</v>
      </c>
      <c r="D21084" s="40" t="n">
        <v>788</v>
      </c>
      <c r="E21084" s="41" t="n">
        <v>26114.826</v>
      </c>
    </row>
    <row r="21085">
      <c r="A21085" s="42">
        <f>_xlfn.XLOOKUP(83710,Trip[shape_id],Trip[shape_id],"Não encontrado")</f>
        <v/>
      </c>
      <c r="B21085" s="43" t="n">
        <v>-23.652054</v>
      </c>
      <c r="C21085" s="43" t="n">
        <v>-46.637778</v>
      </c>
      <c r="D21085" s="43" t="n">
        <v>789</v>
      </c>
      <c r="E21085" s="44" t="n">
        <v>26123.605</v>
      </c>
    </row>
    <row r="21086">
      <c r="A21086" s="39">
        <f>_xlfn.XLOOKUP(83710,Trip[shape_id],Trip[shape_id],"Não encontrado")</f>
        <v/>
      </c>
      <c r="B21086" s="40" t="n">
        <v>-23.652107</v>
      </c>
      <c r="C21086" s="40" t="n">
        <v>-46.637714</v>
      </c>
      <c r="D21086" s="40" t="n">
        <v>790</v>
      </c>
      <c r="E21086" s="41" t="n">
        <v>26123.605</v>
      </c>
    </row>
    <row r="21087">
      <c r="A21087" s="42">
        <f>_xlfn.XLOOKUP(83710,Trip[shape_id],Trip[shape_id],"Não encontrado")</f>
        <v/>
      </c>
      <c r="B21087" s="43" t="n">
        <v>-23.652206</v>
      </c>
      <c r="C21087" s="43" t="n">
        <v>-46.637617</v>
      </c>
      <c r="D21087" s="43" t="n">
        <v>791</v>
      </c>
      <c r="E21087" s="44" t="n">
        <v>26153.521</v>
      </c>
    </row>
    <row r="21088">
      <c r="A21088" s="39">
        <f>_xlfn.XLOOKUP(83710,Trip[shape_id],Trip[shape_id],"Não encontrado")</f>
        <v/>
      </c>
      <c r="B21088" s="40" t="n">
        <v>-23.65232</v>
      </c>
      <c r="C21088" s="40" t="n">
        <v>-46.637535</v>
      </c>
      <c r="D21088" s="40" t="n">
        <v>792</v>
      </c>
      <c r="E21088" s="41" t="n">
        <v>26172.264</v>
      </c>
    </row>
    <row r="21089">
      <c r="A21089" s="42">
        <f>_xlfn.XLOOKUP(83710,Trip[shape_id],Trip[shape_id],"Não encontrado")</f>
        <v/>
      </c>
      <c r="B21089" s="43" t="n">
        <v>-23.652467</v>
      </c>
      <c r="C21089" s="43" t="n">
        <v>-46.637444</v>
      </c>
      <c r="D21089" s="43" t="n">
        <v>793</v>
      </c>
      <c r="E21089" s="44" t="n">
        <v>26189.881</v>
      </c>
    </row>
    <row r="21090">
      <c r="A21090" s="39">
        <f>_xlfn.XLOOKUP(83710,Trip[shape_id],Trip[shape_id],"Não encontrado")</f>
        <v/>
      </c>
      <c r="B21090" s="40" t="n">
        <v>-23.652612</v>
      </c>
      <c r="C21090" s="40" t="n">
        <v>-46.637373</v>
      </c>
      <c r="D21090" s="40" t="n">
        <v>794</v>
      </c>
      <c r="E21090" s="41" t="n">
        <v>26202.051</v>
      </c>
    </row>
    <row r="21091">
      <c r="A21091" s="42">
        <f>_xlfn.XLOOKUP(83710,Trip[shape_id],Trip[shape_id],"Não encontrado")</f>
        <v/>
      </c>
      <c r="B21091" s="43" t="n">
        <v>-23.652713</v>
      </c>
      <c r="C21091" s="43" t="n">
        <v>-46.637326</v>
      </c>
      <c r="D21091" s="43" t="n">
        <v>795</v>
      </c>
      <c r="E21091" s="44" t="n">
        <v>26216.908</v>
      </c>
    </row>
    <row r="21092">
      <c r="A21092" s="39">
        <f>_xlfn.XLOOKUP(83710,Trip[shape_id],Trip[shape_id],"Não encontrado")</f>
        <v/>
      </c>
      <c r="B21092" s="40" t="n">
        <v>-23.652839</v>
      </c>
      <c r="C21092" s="40" t="n">
        <v>-46.637276</v>
      </c>
      <c r="D21092" s="40" t="n">
        <v>796</v>
      </c>
      <c r="E21092" s="41" t="n">
        <v>26231.285</v>
      </c>
    </row>
    <row r="21093">
      <c r="A21093" s="42">
        <f>_xlfn.XLOOKUP(83710,Trip[shape_id],Trip[shape_id],"Não encontrado")</f>
        <v/>
      </c>
      <c r="B21093" s="43" t="n">
        <v>-23.652964</v>
      </c>
      <c r="C21093" s="43" t="n">
        <v>-46.637238</v>
      </c>
      <c r="D21093" s="43" t="n">
        <v>797</v>
      </c>
      <c r="E21093" s="44" t="n">
        <v>26249.305</v>
      </c>
    </row>
    <row r="21094">
      <c r="A21094" s="39">
        <f>_xlfn.XLOOKUP(83710,Trip[shape_id],Trip[shape_id],"Não encontrado")</f>
        <v/>
      </c>
      <c r="B21094" s="40" t="n">
        <v>-23.653124</v>
      </c>
      <c r="C21094" s="40" t="n">
        <v>-46.637206</v>
      </c>
      <c r="D21094" s="40" t="n">
        <v>798</v>
      </c>
      <c r="E21094" s="41" t="n">
        <v>26249.305</v>
      </c>
    </row>
    <row r="21095">
      <c r="A21095" s="42">
        <f>_xlfn.XLOOKUP(83710,Trip[shape_id],Trip[shape_id],"Não encontrado")</f>
        <v/>
      </c>
      <c r="B21095" s="43" t="n">
        <v>-23.653148</v>
      </c>
      <c r="C21095" s="43" t="n">
        <v>-46.637467</v>
      </c>
      <c r="D21095" s="43" t="n">
        <v>799</v>
      </c>
      <c r="E21095" s="44" t="n">
        <v>26276.064</v>
      </c>
    </row>
    <row r="21096">
      <c r="A21096" s="39">
        <f>_xlfn.XLOOKUP(83710,Trip[shape_id],Trip[shape_id],"Não encontrado")</f>
        <v/>
      </c>
      <c r="B21096" s="40" t="n">
        <v>-23.653145</v>
      </c>
      <c r="C21096" s="40" t="n">
        <v>-46.637573</v>
      </c>
      <c r="D21096" s="40" t="n">
        <v>800</v>
      </c>
      <c r="E21096" s="41" t="n">
        <v>26286.885</v>
      </c>
    </row>
    <row r="21097">
      <c r="A21097" s="42">
        <f>_xlfn.XLOOKUP(83710,Trip[shape_id],Trip[shape_id],"Não encontrado")</f>
        <v/>
      </c>
      <c r="B21097" s="43" t="n">
        <v>-23.653633</v>
      </c>
      <c r="C21097" s="43" t="n">
        <v>-46.637913</v>
      </c>
      <c r="D21097" s="43" t="n">
        <v>801</v>
      </c>
      <c r="E21097" s="44" t="n">
        <v>26364.922</v>
      </c>
    </row>
    <row r="21098">
      <c r="A21098" s="39">
        <f>_xlfn.XLOOKUP(83710,Trip[shape_id],Trip[shape_id],"Não encontrado")</f>
        <v/>
      </c>
      <c r="B21098" s="40" t="n">
        <v>-23.653747</v>
      </c>
      <c r="C21098" s="40" t="n">
        <v>-46.637968</v>
      </c>
      <c r="D21098" s="40" t="n">
        <v>802</v>
      </c>
      <c r="E21098" s="41" t="n">
        <v>26376.367</v>
      </c>
    </row>
    <row r="21099">
      <c r="A21099" s="42">
        <f>_xlfn.XLOOKUP(83710,Trip[shape_id],Trip[shape_id],"Não encontrado")</f>
        <v/>
      </c>
      <c r="B21099" s="43" t="n">
        <v>-23.65385</v>
      </c>
      <c r="C21099" s="43" t="n">
        <v>-46.637977</v>
      </c>
      <c r="D21099" s="43" t="n">
        <v>803</v>
      </c>
      <c r="E21099" s="44" t="n">
        <v>26383.252</v>
      </c>
    </row>
    <row r="21100">
      <c r="A21100" s="39">
        <f>_xlfn.XLOOKUP(83710,Trip[shape_id],Trip[shape_id],"Não encontrado")</f>
        <v/>
      </c>
      <c r="B21100" s="40" t="n">
        <v>-23.653912</v>
      </c>
      <c r="C21100" s="40" t="n">
        <v>-46.637972</v>
      </c>
      <c r="D21100" s="40" t="n">
        <v>804</v>
      </c>
      <c r="E21100" s="41" t="n">
        <v>26383.252</v>
      </c>
    </row>
    <row r="21101">
      <c r="A21101" s="42">
        <f>_xlfn.XLOOKUP(83710,Trip[shape_id],Trip[shape_id],"Não encontrado")</f>
        <v/>
      </c>
      <c r="B21101" s="43" t="n">
        <v>-23.653951</v>
      </c>
      <c r="C21101" s="43" t="n">
        <v>-46.637944</v>
      </c>
      <c r="D21101" s="43" t="n">
        <v>805</v>
      </c>
      <c r="E21101" s="44" t="n">
        <v>26388.43</v>
      </c>
    </row>
    <row r="21102">
      <c r="A21102" s="39">
        <f>_xlfn.XLOOKUP(83710,Trip[shape_id],Trip[shape_id],"Não encontrado")</f>
        <v/>
      </c>
      <c r="B21102" s="40" t="n">
        <v>-23.653995</v>
      </c>
      <c r="C21102" s="40" t="n">
        <v>-46.637909</v>
      </c>
      <c r="D21102" s="40" t="n">
        <v>806</v>
      </c>
      <c r="E21102" s="41" t="n">
        <v>26394.471</v>
      </c>
    </row>
    <row r="21103">
      <c r="A21103" s="42">
        <f>_xlfn.XLOOKUP(83710,Trip[shape_id],Trip[shape_id],"Não encontrado")</f>
        <v/>
      </c>
      <c r="B21103" s="43" t="n">
        <v>-23.654085</v>
      </c>
      <c r="C21103" s="43" t="n">
        <v>-46.637771</v>
      </c>
      <c r="D21103" s="43" t="n">
        <v>807</v>
      </c>
      <c r="E21103" s="44" t="n">
        <v>26411.721</v>
      </c>
    </row>
    <row r="21104">
      <c r="A21104" s="39">
        <f>_xlfn.XLOOKUP(83710,Trip[shape_id],Trip[shape_id],"Não encontrado")</f>
        <v/>
      </c>
      <c r="B21104" s="40" t="n">
        <v>-23.654228</v>
      </c>
      <c r="C21104" s="40" t="n">
        <v>-46.637495</v>
      </c>
      <c r="D21104" s="40" t="n">
        <v>808</v>
      </c>
      <c r="E21104" s="41" t="n">
        <v>26444.027</v>
      </c>
    </row>
    <row r="21105">
      <c r="A21105" s="42">
        <f>_xlfn.XLOOKUP(83710,Trip[shape_id],Trip[shape_id],"Não encontrado")</f>
        <v/>
      </c>
      <c r="B21105" s="43" t="n">
        <v>-23.654281</v>
      </c>
      <c r="C21105" s="43" t="n">
        <v>-46.637392</v>
      </c>
      <c r="D21105" s="43" t="n">
        <v>809</v>
      </c>
      <c r="E21105" s="44" t="n">
        <v>26456.064</v>
      </c>
    </row>
    <row r="21106">
      <c r="A21106" s="39">
        <f>_xlfn.XLOOKUP(83710,Trip[shape_id],Trip[shape_id],"Não encontrado")</f>
        <v/>
      </c>
      <c r="B21106" s="40" t="n">
        <v>-23.654343</v>
      </c>
      <c r="C21106" s="40" t="n">
        <v>-46.63729</v>
      </c>
      <c r="D21106" s="40" t="n">
        <v>810</v>
      </c>
      <c r="E21106" s="41" t="n">
        <v>26468.531</v>
      </c>
    </row>
    <row r="21107">
      <c r="A21107" s="42">
        <f>_xlfn.XLOOKUP(83710,Trip[shape_id],Trip[shape_id],"Não encontrado")</f>
        <v/>
      </c>
      <c r="B21107" s="43" t="n">
        <v>-23.654422</v>
      </c>
      <c r="C21107" s="43" t="n">
        <v>-46.637193</v>
      </c>
      <c r="D21107" s="43" t="n">
        <v>811</v>
      </c>
      <c r="E21107" s="44" t="n">
        <v>26481.74</v>
      </c>
    </row>
    <row r="21108">
      <c r="A21108" s="39">
        <f>_xlfn.XLOOKUP(83710,Trip[shape_id],Trip[shape_id],"Não encontrado")</f>
        <v/>
      </c>
      <c r="B21108" s="40" t="n">
        <v>-23.654513</v>
      </c>
      <c r="C21108" s="40" t="n">
        <v>-46.637118</v>
      </c>
      <c r="D21108" s="40" t="n">
        <v>812</v>
      </c>
      <c r="E21108" s="41" t="n">
        <v>26494.395</v>
      </c>
    </row>
    <row r="21109">
      <c r="A21109" s="42">
        <f>_xlfn.XLOOKUP(83710,Trip[shape_id],Trip[shape_id],"Não encontrado")</f>
        <v/>
      </c>
      <c r="B21109" s="43" t="n">
        <v>-23.65462</v>
      </c>
      <c r="C21109" s="43" t="n">
        <v>-46.637021</v>
      </c>
      <c r="D21109" s="43" t="n">
        <v>813</v>
      </c>
      <c r="E21109" s="44" t="n">
        <v>26509.834</v>
      </c>
    </row>
    <row r="21110">
      <c r="A21110" s="39">
        <f>_xlfn.XLOOKUP(83710,Trip[shape_id],Trip[shape_id],"Não encontrado")</f>
        <v/>
      </c>
      <c r="B21110" s="40" t="n">
        <v>-23.654677</v>
      </c>
      <c r="C21110" s="40" t="n">
        <v>-46.636994</v>
      </c>
      <c r="D21110" s="40" t="n">
        <v>814</v>
      </c>
      <c r="E21110" s="41" t="n">
        <v>26516.721</v>
      </c>
    </row>
    <row r="21111">
      <c r="A21111" s="42">
        <f>_xlfn.XLOOKUP(83710,Trip[shape_id],Trip[shape_id],"Não encontrado")</f>
        <v/>
      </c>
      <c r="B21111" s="43" t="n">
        <v>-23.654663</v>
      </c>
      <c r="C21111" s="43" t="n">
        <v>-46.636926</v>
      </c>
      <c r="D21111" s="43" t="n">
        <v>815</v>
      </c>
      <c r="E21111" s="44" t="n">
        <v>26523.83</v>
      </c>
    </row>
    <row r="21112">
      <c r="A21112" s="42">
        <f>_xlfn.XLOOKUP(84525,Trip[shape_id],Trip[shape_id],"Não encontrado")</f>
        <v/>
      </c>
      <c r="B21112" s="43" t="n">
        <v>-23.583135</v>
      </c>
      <c r="C21112" s="43" t="n">
        <v>-46.407344</v>
      </c>
      <c r="D21112" s="43" t="n">
        <v>1</v>
      </c>
      <c r="E21112" s="44" t="n">
        <v>4.3585382</v>
      </c>
    </row>
    <row r="21113">
      <c r="A21113" s="39">
        <f>_xlfn.XLOOKUP(84525,Trip[shape_id],Trip[shape_id],"Não encontrado")</f>
        <v/>
      </c>
      <c r="B21113" s="40" t="n">
        <v>-23.583146</v>
      </c>
      <c r="C21113" s="40" t="n">
        <v>-46.407303</v>
      </c>
      <c r="D21113" s="40" t="n">
        <v>2</v>
      </c>
      <c r="E21113" s="41" t="n">
        <v>4.3585382</v>
      </c>
    </row>
    <row r="21114">
      <c r="A21114" s="42">
        <f>_xlfn.XLOOKUP(84525,Trip[shape_id],Trip[shape_id],"Não encontrado")</f>
        <v/>
      </c>
      <c r="B21114" s="43" t="n">
        <v>-23.583159</v>
      </c>
      <c r="C21114" s="43" t="n">
        <v>-46.407251</v>
      </c>
      <c r="D21114" s="43" t="n">
        <v>3</v>
      </c>
      <c r="E21114" s="44" t="n">
        <v>9.858404200000001</v>
      </c>
    </row>
    <row r="21115">
      <c r="A21115" s="39">
        <f>_xlfn.XLOOKUP(84525,Trip[shape_id],Trip[shape_id],"Não encontrado")</f>
        <v/>
      </c>
      <c r="B21115" s="40" t="n">
        <v>-23.583172</v>
      </c>
      <c r="C21115" s="40" t="n">
        <v>-46.407202</v>
      </c>
      <c r="D21115" s="40" t="n">
        <v>4</v>
      </c>
      <c r="E21115" s="41" t="n">
        <v>15.062922</v>
      </c>
    </row>
    <row r="21116">
      <c r="A21116" s="42">
        <f>_xlfn.XLOOKUP(84525,Trip[shape_id],Trip[shape_id],"Não encontrado")</f>
        <v/>
      </c>
      <c r="B21116" s="43" t="n">
        <v>-23.583255</v>
      </c>
      <c r="C21116" s="43" t="n">
        <v>-46.407101</v>
      </c>
      <c r="D21116" s="43" t="n">
        <v>5</v>
      </c>
      <c r="E21116" s="44" t="n">
        <v>39.737312</v>
      </c>
    </row>
    <row r="21117">
      <c r="A21117" s="39">
        <f>_xlfn.XLOOKUP(84525,Trip[shape_id],Trip[shape_id],"Não encontrado")</f>
        <v/>
      </c>
      <c r="B21117" s="40" t="n">
        <v>-23.583314</v>
      </c>
      <c r="C21117" s="40" t="n">
        <v>-46.407016</v>
      </c>
      <c r="D21117" s="40" t="n">
        <v>6</v>
      </c>
      <c r="E21117" s="41" t="n">
        <v>55.339905</v>
      </c>
    </row>
    <row r="21118">
      <c r="A21118" s="42">
        <f>_xlfn.XLOOKUP(84525,Trip[shape_id],Trip[shape_id],"Não encontrado")</f>
        <v/>
      </c>
      <c r="B21118" s="43" t="n">
        <v>-23.583391</v>
      </c>
      <c r="C21118" s="43" t="n">
        <v>-46.406888</v>
      </c>
      <c r="D21118" s="43" t="n">
        <v>7</v>
      </c>
      <c r="E21118" s="44" t="n">
        <v>55.339905</v>
      </c>
    </row>
    <row r="21119">
      <c r="A21119" s="39">
        <f>_xlfn.XLOOKUP(84525,Trip[shape_id],Trip[shape_id],"Não encontrado")</f>
        <v/>
      </c>
      <c r="B21119" s="40" t="n">
        <v>-23.583518</v>
      </c>
      <c r="C21119" s="40" t="n">
        <v>-46.406782</v>
      </c>
      <c r="D21119" s="40" t="n">
        <v>8</v>
      </c>
      <c r="E21119" s="41" t="n">
        <v>73.085487</v>
      </c>
    </row>
    <row r="21120">
      <c r="A21120" s="42">
        <f>_xlfn.XLOOKUP(84525,Trip[shape_id],Trip[shape_id],"Não encontrado")</f>
        <v/>
      </c>
      <c r="B21120" s="43" t="n">
        <v>-23.583385</v>
      </c>
      <c r="C21120" s="43" t="n">
        <v>-46.406582</v>
      </c>
      <c r="D21120" s="43" t="n">
        <v>9</v>
      </c>
      <c r="E21120" s="44" t="n">
        <v>98.260231</v>
      </c>
    </row>
    <row r="21121">
      <c r="A21121" s="39">
        <f>_xlfn.XLOOKUP(84525,Trip[shape_id],Trip[shape_id],"Não encontrado")</f>
        <v/>
      </c>
      <c r="B21121" s="40" t="n">
        <v>-23.583323</v>
      </c>
      <c r="C21121" s="40" t="n">
        <v>-46.406495</v>
      </c>
      <c r="D21121" s="40" t="n">
        <v>10</v>
      </c>
      <c r="E21121" s="41" t="n">
        <v>109.48579</v>
      </c>
    </row>
    <row r="21122">
      <c r="A21122" s="42">
        <f>_xlfn.XLOOKUP(84525,Trip[shape_id],Trip[shape_id],"Não encontrado")</f>
        <v/>
      </c>
      <c r="B21122" s="43" t="n">
        <v>-23.583215</v>
      </c>
      <c r="C21122" s="43" t="n">
        <v>-46.406537</v>
      </c>
      <c r="D21122" s="43" t="n">
        <v>11</v>
      </c>
      <c r="E21122" s="44" t="n">
        <v>122.19238</v>
      </c>
    </row>
    <row r="21123">
      <c r="A21123" s="39">
        <f>_xlfn.XLOOKUP(84525,Trip[shape_id],Trip[shape_id],"Não encontrado")</f>
        <v/>
      </c>
      <c r="B21123" s="40" t="n">
        <v>-23.583133</v>
      </c>
      <c r="C21123" s="40" t="n">
        <v>-46.406563</v>
      </c>
      <c r="D21123" s="40" t="n">
        <v>12</v>
      </c>
      <c r="E21123" s="41" t="n">
        <v>131.65384</v>
      </c>
    </row>
    <row r="21124">
      <c r="A21124" s="42">
        <f>_xlfn.XLOOKUP(84525,Trip[shape_id],Trip[shape_id],"Não encontrado")</f>
        <v/>
      </c>
      <c r="B21124" s="43" t="n">
        <v>-23.58302</v>
      </c>
      <c r="C21124" s="43" t="n">
        <v>-46.406595</v>
      </c>
      <c r="D21124" s="43" t="n">
        <v>13</v>
      </c>
      <c r="E21124" s="44" t="n">
        <v>144.58783</v>
      </c>
    </row>
    <row r="21125">
      <c r="A21125" s="39">
        <f>_xlfn.XLOOKUP(84525,Trip[shape_id],Trip[shape_id],"Não encontrado")</f>
        <v/>
      </c>
      <c r="B21125" s="40" t="n">
        <v>-23.582895</v>
      </c>
      <c r="C21125" s="40" t="n">
        <v>-46.40663</v>
      </c>
      <c r="D21125" s="40" t="n">
        <v>14</v>
      </c>
      <c r="E21125" s="41" t="n">
        <v>158.88516</v>
      </c>
    </row>
    <row r="21126">
      <c r="A21126" s="42">
        <f>_xlfn.XLOOKUP(84525,Trip[shape_id],Trip[shape_id],"Não encontrado")</f>
        <v/>
      </c>
      <c r="B21126" s="43" t="n">
        <v>-23.582807</v>
      </c>
      <c r="C21126" s="43" t="n">
        <v>-46.406675</v>
      </c>
      <c r="D21126" s="43" t="n">
        <v>15</v>
      </c>
      <c r="E21126" s="44" t="n">
        <v>169.65991</v>
      </c>
    </row>
    <row r="21127">
      <c r="A21127" s="39">
        <f>_xlfn.XLOOKUP(84525,Trip[shape_id],Trip[shape_id],"Não encontrado")</f>
        <v/>
      </c>
      <c r="B21127" s="40" t="n">
        <v>-23.582733</v>
      </c>
      <c r="C21127" s="40" t="n">
        <v>-46.40673</v>
      </c>
      <c r="D21127" s="40" t="n">
        <v>16</v>
      </c>
      <c r="E21127" s="41" t="n">
        <v>179.59433</v>
      </c>
    </row>
    <row r="21128">
      <c r="A21128" s="42">
        <f>_xlfn.XLOOKUP(84525,Trip[shape_id],Trip[shape_id],"Não encontrado")</f>
        <v/>
      </c>
      <c r="B21128" s="43" t="n">
        <v>-23.58266</v>
      </c>
      <c r="C21128" s="43" t="n">
        <v>-46.406808</v>
      </c>
      <c r="D21128" s="43" t="n">
        <v>17</v>
      </c>
      <c r="E21128" s="44" t="n">
        <v>190.94177</v>
      </c>
    </row>
    <row r="21129">
      <c r="A21129" s="39">
        <f>_xlfn.XLOOKUP(84525,Trip[shape_id],Trip[shape_id],"Não encontrado")</f>
        <v/>
      </c>
      <c r="B21129" s="40" t="n">
        <v>-23.582589</v>
      </c>
      <c r="C21129" s="40" t="n">
        <v>-46.406923</v>
      </c>
      <c r="D21129" s="40" t="n">
        <v>18</v>
      </c>
      <c r="E21129" s="41" t="n">
        <v>205.07114</v>
      </c>
    </row>
    <row r="21130">
      <c r="A21130" s="42">
        <f>_xlfn.XLOOKUP(84525,Trip[shape_id],Trip[shape_id],"Não encontrado")</f>
        <v/>
      </c>
      <c r="B21130" s="43" t="n">
        <v>-23.582529</v>
      </c>
      <c r="C21130" s="43" t="n">
        <v>-46.407095</v>
      </c>
      <c r="D21130" s="43" t="n">
        <v>19</v>
      </c>
      <c r="E21130" s="44" t="n">
        <v>223.84381</v>
      </c>
    </row>
    <row r="21131">
      <c r="A21131" s="39">
        <f>_xlfn.XLOOKUP(84525,Trip[shape_id],Trip[shape_id],"Não encontrado")</f>
        <v/>
      </c>
      <c r="B21131" s="40" t="n">
        <v>-23.582484</v>
      </c>
      <c r="C21131" s="40" t="n">
        <v>-46.407247</v>
      </c>
      <c r="D21131" s="40" t="n">
        <v>20</v>
      </c>
      <c r="E21131" s="41" t="n">
        <v>240.14018</v>
      </c>
    </row>
    <row r="21132">
      <c r="A21132" s="42">
        <f>_xlfn.XLOOKUP(84525,Trip[shape_id],Trip[shape_id],"Não encontrado")</f>
        <v/>
      </c>
      <c r="B21132" s="43" t="n">
        <v>-23.582466</v>
      </c>
      <c r="C21132" s="43" t="n">
        <v>-46.407386</v>
      </c>
      <c r="D21132" s="43" t="n">
        <v>21</v>
      </c>
      <c r="E21132" s="44" t="n">
        <v>254.46832</v>
      </c>
    </row>
    <row r="21133">
      <c r="A21133" s="39">
        <f>_xlfn.XLOOKUP(84525,Trip[shape_id],Trip[shape_id],"Não encontrado")</f>
        <v/>
      </c>
      <c r="B21133" s="40" t="n">
        <v>-23.582429</v>
      </c>
      <c r="C21133" s="40" t="n">
        <v>-46.40774</v>
      </c>
      <c r="D21133" s="40" t="n">
        <v>22</v>
      </c>
      <c r="E21133" s="41" t="n">
        <v>290.83533</v>
      </c>
    </row>
    <row r="21134">
      <c r="A21134" s="42">
        <f>_xlfn.XLOOKUP(84525,Trip[shape_id],Trip[shape_id],"Não encontrado")</f>
        <v/>
      </c>
      <c r="B21134" s="43" t="n">
        <v>-23.582404</v>
      </c>
      <c r="C21134" s="43" t="n">
        <v>-46.40799</v>
      </c>
      <c r="D21134" s="43" t="n">
        <v>23</v>
      </c>
      <c r="E21134" s="44" t="n">
        <v>316.50452</v>
      </c>
    </row>
    <row r="21135">
      <c r="A21135" s="39">
        <f>_xlfn.XLOOKUP(84525,Trip[shape_id],Trip[shape_id],"Não encontrado")</f>
        <v/>
      </c>
      <c r="B21135" s="40" t="n">
        <v>-23.582396</v>
      </c>
      <c r="C21135" s="40" t="n">
        <v>-46.408148</v>
      </c>
      <c r="D21135" s="40" t="n">
        <v>24</v>
      </c>
      <c r="E21135" s="41" t="n">
        <v>332.65698</v>
      </c>
    </row>
    <row r="21136">
      <c r="A21136" s="42">
        <f>_xlfn.XLOOKUP(84525,Trip[shape_id],Trip[shape_id],"Não encontrado")</f>
        <v/>
      </c>
      <c r="B21136" s="43" t="n">
        <v>-23.582436</v>
      </c>
      <c r="C21136" s="43" t="n">
        <v>-46.408252</v>
      </c>
      <c r="D21136" s="43" t="n">
        <v>25</v>
      </c>
      <c r="E21136" s="44" t="n">
        <v>344.16043</v>
      </c>
    </row>
    <row r="21137">
      <c r="A21137" s="39">
        <f>_xlfn.XLOOKUP(84525,Trip[shape_id],Trip[shape_id],"Não encontrado")</f>
        <v/>
      </c>
      <c r="B21137" s="40" t="n">
        <v>-23.582718</v>
      </c>
      <c r="C21137" s="40" t="n">
        <v>-46.4086</v>
      </c>
      <c r="D21137" s="40" t="n">
        <v>26</v>
      </c>
      <c r="E21137" s="41" t="n">
        <v>391.46069</v>
      </c>
    </row>
    <row r="21138">
      <c r="A21138" s="42">
        <f>_xlfn.XLOOKUP(84525,Trip[shape_id],Trip[shape_id],"Não encontrado")</f>
        <v/>
      </c>
      <c r="B21138" s="43" t="n">
        <v>-23.582809</v>
      </c>
      <c r="C21138" s="43" t="n">
        <v>-46.408725</v>
      </c>
      <c r="D21138" s="43" t="n">
        <v>27</v>
      </c>
      <c r="E21138" s="44" t="n">
        <v>407.7204</v>
      </c>
    </row>
    <row r="21139">
      <c r="A21139" s="39">
        <f>_xlfn.XLOOKUP(84525,Trip[shape_id],Trip[shape_id],"Não encontrado")</f>
        <v/>
      </c>
      <c r="B21139" s="40" t="n">
        <v>-23.582922</v>
      </c>
      <c r="C21139" s="40" t="n">
        <v>-46.40887</v>
      </c>
      <c r="D21139" s="40" t="n">
        <v>28</v>
      </c>
      <c r="E21139" s="41" t="n">
        <v>427.10327</v>
      </c>
    </row>
    <row r="21140">
      <c r="A21140" s="42">
        <f>_xlfn.XLOOKUP(84525,Trip[shape_id],Trip[shape_id],"Não encontrado")</f>
        <v/>
      </c>
      <c r="B21140" s="43" t="n">
        <v>-23.582944</v>
      </c>
      <c r="C21140" s="43" t="n">
        <v>-46.408965</v>
      </c>
      <c r="D21140" s="43" t="n">
        <v>29</v>
      </c>
      <c r="E21140" s="44" t="n">
        <v>437.1022</v>
      </c>
    </row>
    <row r="21141">
      <c r="A21141" s="39">
        <f>_xlfn.XLOOKUP(84525,Trip[shape_id],Trip[shape_id],"Não encontrado")</f>
        <v/>
      </c>
      <c r="B21141" s="40" t="n">
        <v>-23.582924</v>
      </c>
      <c r="C21141" s="40" t="n">
        <v>-46.409072</v>
      </c>
      <c r="D21141" s="40" t="n">
        <v>30</v>
      </c>
      <c r="E21141" s="41" t="n">
        <v>448.2464</v>
      </c>
    </row>
    <row r="21142">
      <c r="A21142" s="42">
        <f>_xlfn.XLOOKUP(84525,Trip[shape_id],Trip[shape_id],"Não encontrado")</f>
        <v/>
      </c>
      <c r="B21142" s="43" t="n">
        <v>-23.582864</v>
      </c>
      <c r="C21142" s="43" t="n">
        <v>-46.409178</v>
      </c>
      <c r="D21142" s="43" t="n">
        <v>31</v>
      </c>
      <c r="E21142" s="44" t="n">
        <v>460.94446</v>
      </c>
    </row>
    <row r="21143">
      <c r="A21143" s="39">
        <f>_xlfn.XLOOKUP(84525,Trip[shape_id],Trip[shape_id],"Não encontrado")</f>
        <v/>
      </c>
      <c r="B21143" s="40" t="n">
        <v>-23.582845</v>
      </c>
      <c r="C21143" s="40" t="n">
        <v>-46.409244</v>
      </c>
      <c r="D21143" s="40" t="n">
        <v>32</v>
      </c>
      <c r="E21143" s="41" t="n">
        <v>468.00269</v>
      </c>
    </row>
    <row r="21144">
      <c r="A21144" s="42">
        <f>_xlfn.XLOOKUP(84525,Trip[shape_id],Trip[shape_id],"Não encontrado")</f>
        <v/>
      </c>
      <c r="B21144" s="43" t="n">
        <v>-23.582839</v>
      </c>
      <c r="C21144" s="43" t="n">
        <v>-46.409303</v>
      </c>
      <c r="D21144" s="43" t="n">
        <v>33</v>
      </c>
      <c r="E21144" s="44" t="n">
        <v>474.06134</v>
      </c>
    </row>
    <row r="21145">
      <c r="A21145" s="39">
        <f>_xlfn.XLOOKUP(84525,Trip[shape_id],Trip[shape_id],"Não encontrado")</f>
        <v/>
      </c>
      <c r="B21145" s="40" t="n">
        <v>-23.582841</v>
      </c>
      <c r="C21145" s="40" t="n">
        <v>-46.409397</v>
      </c>
      <c r="D21145" s="40" t="n">
        <v>34</v>
      </c>
      <c r="E21145" s="41" t="n">
        <v>483.65912</v>
      </c>
    </row>
    <row r="21146">
      <c r="A21146" s="42">
        <f>_xlfn.XLOOKUP(84525,Trip[shape_id],Trip[shape_id],"Não encontrado")</f>
        <v/>
      </c>
      <c r="B21146" s="43" t="n">
        <v>-23.582652</v>
      </c>
      <c r="C21146" s="43" t="n">
        <v>-46.409594</v>
      </c>
      <c r="D21146" s="43" t="n">
        <v>35</v>
      </c>
      <c r="E21146" s="44" t="n">
        <v>512.68549</v>
      </c>
    </row>
    <row r="21147">
      <c r="A21147" s="39">
        <f>_xlfn.XLOOKUP(84525,Trip[shape_id],Trip[shape_id],"Não encontrado")</f>
        <v/>
      </c>
      <c r="B21147" s="40" t="n">
        <v>-23.582515</v>
      </c>
      <c r="C21147" s="40" t="n">
        <v>-46.409746</v>
      </c>
      <c r="D21147" s="40" t="n">
        <v>36</v>
      </c>
      <c r="E21147" s="41" t="n">
        <v>534.38702</v>
      </c>
    </row>
    <row r="21148">
      <c r="A21148" s="42">
        <f>_xlfn.XLOOKUP(84525,Trip[shape_id],Trip[shape_id],"Não encontrado")</f>
        <v/>
      </c>
      <c r="B21148" s="43" t="n">
        <v>-23.58214</v>
      </c>
      <c r="C21148" s="43" t="n">
        <v>-46.410138</v>
      </c>
      <c r="D21148" s="43" t="n">
        <v>37</v>
      </c>
      <c r="E21148" s="44" t="n">
        <v>592.05914</v>
      </c>
    </row>
    <row r="21149">
      <c r="A21149" s="39">
        <f>_xlfn.XLOOKUP(84525,Trip[shape_id],Trip[shape_id],"Não encontrado")</f>
        <v/>
      </c>
      <c r="B21149" s="40" t="n">
        <v>-23.581282</v>
      </c>
      <c r="C21149" s="40" t="n">
        <v>-46.410741</v>
      </c>
      <c r="D21149" s="40" t="n">
        <v>38</v>
      </c>
      <c r="E21149" s="41" t="n">
        <v>705.27838</v>
      </c>
    </row>
    <row r="21150">
      <c r="A21150" s="42">
        <f>_xlfn.XLOOKUP(84525,Trip[shape_id],Trip[shape_id],"Não encontrado")</f>
        <v/>
      </c>
      <c r="B21150" s="43" t="n">
        <v>-23.580803</v>
      </c>
      <c r="C21150" s="43" t="n">
        <v>-46.411101</v>
      </c>
      <c r="D21150" s="43" t="n">
        <v>39</v>
      </c>
      <c r="E21150" s="44" t="n">
        <v>769.81342</v>
      </c>
    </row>
    <row r="21151">
      <c r="A21151" s="39">
        <f>_xlfn.XLOOKUP(84525,Trip[shape_id],Trip[shape_id],"Não encontrado")</f>
        <v/>
      </c>
      <c r="B21151" s="40" t="n">
        <v>-23.580453</v>
      </c>
      <c r="C21151" s="40" t="n">
        <v>-46.411351</v>
      </c>
      <c r="D21151" s="40" t="n">
        <v>40</v>
      </c>
      <c r="E21151" s="41" t="n">
        <v>816.2229599999999</v>
      </c>
    </row>
    <row r="21152">
      <c r="A21152" s="42">
        <f>_xlfn.XLOOKUP(84525,Trip[shape_id],Trip[shape_id],"Não encontrado")</f>
        <v/>
      </c>
      <c r="B21152" s="43" t="n">
        <v>-23.580305</v>
      </c>
      <c r="C21152" s="43" t="n">
        <v>-46.411418</v>
      </c>
      <c r="D21152" s="43" t="n">
        <v>41</v>
      </c>
      <c r="E21152" s="44" t="n">
        <v>833.9837</v>
      </c>
    </row>
    <row r="21153">
      <c r="A21153" s="39">
        <f>_xlfn.XLOOKUP(84525,Trip[shape_id],Trip[shape_id],"Não encontrado")</f>
        <v/>
      </c>
      <c r="B21153" s="40" t="n">
        <v>-23.580081</v>
      </c>
      <c r="C21153" s="40" t="n">
        <v>-46.4115</v>
      </c>
      <c r="D21153" s="40" t="n">
        <v>42</v>
      </c>
      <c r="E21153" s="41" t="n">
        <v>860.16632</v>
      </c>
    </row>
    <row r="21154">
      <c r="A21154" s="42">
        <f>_xlfn.XLOOKUP(84525,Trip[shape_id],Trip[shape_id],"Não encontrado")</f>
        <v/>
      </c>
      <c r="B21154" s="43" t="n">
        <v>-23.579911</v>
      </c>
      <c r="C21154" s="43" t="n">
        <v>-46.41154</v>
      </c>
      <c r="D21154" s="43" t="n">
        <v>43</v>
      </c>
      <c r="E21154" s="44" t="n">
        <v>879.43188</v>
      </c>
    </row>
    <row r="21155">
      <c r="A21155" s="39">
        <f>_xlfn.XLOOKUP(84525,Trip[shape_id],Trip[shape_id],"Não encontrado")</f>
        <v/>
      </c>
      <c r="B21155" s="40" t="n">
        <v>-23.579818</v>
      </c>
      <c r="C21155" s="40" t="n">
        <v>-46.411559</v>
      </c>
      <c r="D21155" s="40" t="n">
        <v>44</v>
      </c>
      <c r="E21155" s="41" t="n">
        <v>889.91302</v>
      </c>
    </row>
    <row r="21156">
      <c r="A21156" s="42">
        <f>_xlfn.XLOOKUP(84525,Trip[shape_id],Trip[shape_id],"Não encontrado")</f>
        <v/>
      </c>
      <c r="B21156" s="43" t="n">
        <v>-23.579721</v>
      </c>
      <c r="C21156" s="43" t="n">
        <v>-46.41158</v>
      </c>
      <c r="D21156" s="43" t="n">
        <v>45</v>
      </c>
      <c r="E21156" s="44" t="n">
        <v>900.86786</v>
      </c>
    </row>
    <row r="21157">
      <c r="A21157" s="39">
        <f>_xlfn.XLOOKUP(84525,Trip[shape_id],Trip[shape_id],"Não encontrado")</f>
        <v/>
      </c>
      <c r="B21157" s="40" t="n">
        <v>-23.579656</v>
      </c>
      <c r="C21157" s="40" t="n">
        <v>-46.411592</v>
      </c>
      <c r="D21157" s="40" t="n">
        <v>46</v>
      </c>
      <c r="E21157" s="41" t="n">
        <v>908.17035</v>
      </c>
    </row>
    <row r="21158">
      <c r="A21158" s="42">
        <f>_xlfn.XLOOKUP(84525,Trip[shape_id],Trip[shape_id],"Não encontrado")</f>
        <v/>
      </c>
      <c r="B21158" s="43" t="n">
        <v>-23.579558</v>
      </c>
      <c r="C21158" s="43" t="n">
        <v>-46.411609</v>
      </c>
      <c r="D21158" s="43" t="n">
        <v>47</v>
      </c>
      <c r="E21158" s="44" t="n">
        <v>919.16162</v>
      </c>
    </row>
    <row r="21159">
      <c r="A21159" s="39">
        <f>_xlfn.XLOOKUP(84525,Trip[shape_id],Trip[shape_id],"Não encontrado")</f>
        <v/>
      </c>
      <c r="B21159" s="40" t="n">
        <v>-23.579346</v>
      </c>
      <c r="C21159" s="40" t="n">
        <v>-46.411682</v>
      </c>
      <c r="D21159" s="40" t="n">
        <v>48</v>
      </c>
      <c r="E21159" s="41" t="n">
        <v>943.79529</v>
      </c>
    </row>
    <row r="21160">
      <c r="A21160" s="42">
        <f>_xlfn.XLOOKUP(84525,Trip[shape_id],Trip[shape_id],"Não encontrado")</f>
        <v/>
      </c>
      <c r="B21160" s="43" t="n">
        <v>-23.579407</v>
      </c>
      <c r="C21160" s="43" t="n">
        <v>-46.411734</v>
      </c>
      <c r="D21160" s="43" t="n">
        <v>49</v>
      </c>
      <c r="E21160" s="44" t="n">
        <v>952.38666</v>
      </c>
    </row>
    <row r="21161">
      <c r="A21161" s="39">
        <f>_xlfn.XLOOKUP(84525,Trip[shape_id],Trip[shape_id],"Não encontrado")</f>
        <v/>
      </c>
      <c r="B21161" s="40" t="n">
        <v>-23.579495</v>
      </c>
      <c r="C21161" s="40" t="n">
        <v>-46.411837</v>
      </c>
      <c r="D21161" s="40" t="n">
        <v>50</v>
      </c>
      <c r="E21161" s="41" t="n">
        <v>966.72327</v>
      </c>
    </row>
    <row r="21162">
      <c r="A21162" s="42">
        <f>_xlfn.XLOOKUP(84525,Trip[shape_id],Trip[shape_id],"Não encontrado")</f>
        <v/>
      </c>
      <c r="B21162" s="43" t="n">
        <v>-23.579559</v>
      </c>
      <c r="C21162" s="43" t="n">
        <v>-46.411951</v>
      </c>
      <c r="D21162" s="43" t="n">
        <v>51</v>
      </c>
      <c r="E21162" s="44" t="n">
        <v>980.34924</v>
      </c>
    </row>
    <row r="21163">
      <c r="A21163" s="39">
        <f>_xlfn.XLOOKUP(84525,Trip[shape_id],Trip[shape_id],"Não encontrado")</f>
        <v/>
      </c>
      <c r="B21163" s="40" t="n">
        <v>-23.579651</v>
      </c>
      <c r="C21163" s="40" t="n">
        <v>-46.412099</v>
      </c>
      <c r="D21163" s="40" t="n">
        <v>52</v>
      </c>
      <c r="E21163" s="41" t="n">
        <v>998.57172</v>
      </c>
    </row>
    <row r="21164">
      <c r="A21164" s="42">
        <f>_xlfn.XLOOKUP(84525,Trip[shape_id],Trip[shape_id],"Não encontrado")</f>
        <v/>
      </c>
      <c r="B21164" s="43" t="n">
        <v>-23.579725</v>
      </c>
      <c r="C21164" s="43" t="n">
        <v>-46.412164</v>
      </c>
      <c r="D21164" s="43" t="n">
        <v>53</v>
      </c>
      <c r="E21164" s="44" t="n">
        <v>1009.1166</v>
      </c>
    </row>
    <row r="21165">
      <c r="A21165" s="39">
        <f>_xlfn.XLOOKUP(84525,Trip[shape_id],Trip[shape_id],"Não encontrado")</f>
        <v/>
      </c>
      <c r="B21165" s="40" t="n">
        <v>-23.580472</v>
      </c>
      <c r="C21165" s="40" t="n">
        <v>-46.413336</v>
      </c>
      <c r="D21165" s="40" t="n">
        <v>54</v>
      </c>
      <c r="E21165" s="41" t="n">
        <v>1154.5729</v>
      </c>
    </row>
    <row r="21166">
      <c r="A21166" s="42">
        <f>_xlfn.XLOOKUP(84525,Trip[shape_id],Trip[shape_id],"Não encontrado")</f>
        <v/>
      </c>
      <c r="B21166" s="43" t="n">
        <v>-23.580817</v>
      </c>
      <c r="C21166" s="43" t="n">
        <v>-46.413939</v>
      </c>
      <c r="D21166" s="43" t="n">
        <v>55</v>
      </c>
      <c r="E21166" s="44" t="n">
        <v>1227.0215</v>
      </c>
    </row>
    <row r="21167">
      <c r="A21167" s="39">
        <f>_xlfn.XLOOKUP(84525,Trip[shape_id],Trip[shape_id],"Não encontrado")</f>
        <v/>
      </c>
      <c r="B21167" s="40" t="n">
        <v>-23.581</v>
      </c>
      <c r="C21167" s="40" t="n">
        <v>-46.414219</v>
      </c>
      <c r="D21167" s="40" t="n">
        <v>56</v>
      </c>
      <c r="E21167" s="41" t="n">
        <v>1262.0601</v>
      </c>
    </row>
    <row r="21168">
      <c r="A21168" s="42">
        <f>_xlfn.XLOOKUP(84525,Trip[shape_id],Trip[shape_id],"Não encontrado")</f>
        <v/>
      </c>
      <c r="B21168" s="43" t="n">
        <v>-23.581388</v>
      </c>
      <c r="C21168" s="43" t="n">
        <v>-46.414813</v>
      </c>
      <c r="D21168" s="43" t="n">
        <v>57</v>
      </c>
      <c r="E21168" s="44" t="n">
        <v>1336.3778</v>
      </c>
    </row>
    <row r="21169">
      <c r="A21169" s="39">
        <f>_xlfn.XLOOKUP(84525,Trip[shape_id],Trip[shape_id],"Não encontrado")</f>
        <v/>
      </c>
      <c r="B21169" s="40" t="n">
        <v>-23.581666</v>
      </c>
      <c r="C21169" s="40" t="n">
        <v>-46.415186</v>
      </c>
      <c r="D21169" s="40" t="n">
        <v>58</v>
      </c>
      <c r="E21169" s="41" t="n">
        <v>1385.3439</v>
      </c>
    </row>
    <row r="21170">
      <c r="A21170" s="42">
        <f>_xlfn.XLOOKUP(84525,Trip[shape_id],Trip[shape_id],"Não encontrado")</f>
        <v/>
      </c>
      <c r="B21170" s="43" t="n">
        <v>-23.581741</v>
      </c>
      <c r="C21170" s="43" t="n">
        <v>-46.415239</v>
      </c>
      <c r="D21170" s="43" t="n">
        <v>59</v>
      </c>
      <c r="E21170" s="44" t="n">
        <v>1395.2568</v>
      </c>
    </row>
    <row r="21171">
      <c r="A21171" s="39">
        <f>_xlfn.XLOOKUP(84525,Trip[shape_id],Trip[shape_id],"Não encontrado")</f>
        <v/>
      </c>
      <c r="B21171" s="40" t="n">
        <v>-23.581864</v>
      </c>
      <c r="C21171" s="40" t="n">
        <v>-46.415253</v>
      </c>
      <c r="D21171" s="40" t="n">
        <v>60</v>
      </c>
      <c r="E21171" s="41" t="n">
        <v>1408.954</v>
      </c>
    </row>
    <row r="21172">
      <c r="A21172" s="42">
        <f>_xlfn.XLOOKUP(84525,Trip[shape_id],Trip[shape_id],"Não encontrado")</f>
        <v/>
      </c>
      <c r="B21172" s="43" t="n">
        <v>-23.582562</v>
      </c>
      <c r="C21172" s="43" t="n">
        <v>-46.415113</v>
      </c>
      <c r="D21172" s="43" t="n">
        <v>61</v>
      </c>
      <c r="E21172" s="44" t="n">
        <v>1487.5688</v>
      </c>
    </row>
    <row r="21173">
      <c r="A21173" s="39">
        <f>_xlfn.XLOOKUP(84525,Trip[shape_id],Trip[shape_id],"Não encontrado")</f>
        <v/>
      </c>
      <c r="B21173" s="40" t="n">
        <v>-23.582894</v>
      </c>
      <c r="C21173" s="40" t="n">
        <v>-46.415086</v>
      </c>
      <c r="D21173" s="40" t="n">
        <v>62</v>
      </c>
      <c r="E21173" s="41" t="n">
        <v>1524.4417</v>
      </c>
    </row>
    <row r="21174">
      <c r="A21174" s="42">
        <f>_xlfn.XLOOKUP(84525,Trip[shape_id],Trip[shape_id],"Não encontrado")</f>
        <v/>
      </c>
      <c r="B21174" s="43" t="n">
        <v>-23.583545</v>
      </c>
      <c r="C21174" s="43" t="n">
        <v>-46.415018</v>
      </c>
      <c r="D21174" s="43" t="n">
        <v>63</v>
      </c>
      <c r="E21174" s="44" t="n">
        <v>1596.8748</v>
      </c>
    </row>
    <row r="21175">
      <c r="A21175" s="39">
        <f>_xlfn.XLOOKUP(84525,Trip[shape_id],Trip[shape_id],"Não encontrado")</f>
        <v/>
      </c>
      <c r="B21175" s="40" t="n">
        <v>-23.584381</v>
      </c>
      <c r="C21175" s="40" t="n">
        <v>-46.414952</v>
      </c>
      <c r="D21175" s="40" t="n">
        <v>64</v>
      </c>
      <c r="E21175" s="41" t="n">
        <v>1689.7084</v>
      </c>
    </row>
    <row r="21176">
      <c r="A21176" s="42">
        <f>_xlfn.XLOOKUP(84525,Trip[shape_id],Trip[shape_id],"Não encontrado")</f>
        <v/>
      </c>
      <c r="B21176" s="43" t="n">
        <v>-23.585254</v>
      </c>
      <c r="C21176" s="43" t="n">
        <v>-46.414861</v>
      </c>
      <c r="D21176" s="43" t="n">
        <v>65</v>
      </c>
      <c r="E21176" s="44" t="n">
        <v>1786.8403</v>
      </c>
    </row>
    <row r="21177">
      <c r="A21177" s="39">
        <f>_xlfn.XLOOKUP(84525,Trip[shape_id],Trip[shape_id],"Não encontrado")</f>
        <v/>
      </c>
      <c r="B21177" s="40" t="n">
        <v>-23.585824</v>
      </c>
      <c r="C21177" s="40" t="n">
        <v>-46.414835</v>
      </c>
      <c r="D21177" s="40" t="n">
        <v>66</v>
      </c>
      <c r="E21177" s="41" t="n">
        <v>1850.0249</v>
      </c>
    </row>
    <row r="21178">
      <c r="A21178" s="42">
        <f>_xlfn.XLOOKUP(84525,Trip[shape_id],Trip[shape_id],"Não encontrado")</f>
        <v/>
      </c>
      <c r="B21178" s="43" t="n">
        <v>-23.585942</v>
      </c>
      <c r="C21178" s="43" t="n">
        <v>-46.414832</v>
      </c>
      <c r="D21178" s="43" t="n">
        <v>67</v>
      </c>
      <c r="E21178" s="44" t="n">
        <v>1863.0975</v>
      </c>
    </row>
    <row r="21179">
      <c r="A21179" s="39">
        <f>_xlfn.XLOOKUP(84525,Trip[shape_id],Trip[shape_id],"Não encontrado")</f>
        <v/>
      </c>
      <c r="B21179" s="40" t="n">
        <v>-23.586282</v>
      </c>
      <c r="C21179" s="40" t="n">
        <v>-46.414823</v>
      </c>
      <c r="D21179" s="40" t="n">
        <v>68</v>
      </c>
      <c r="E21179" s="41" t="n">
        <v>1900.7644</v>
      </c>
    </row>
    <row r="21180">
      <c r="A21180" s="42">
        <f>_xlfn.XLOOKUP(84525,Trip[shape_id],Trip[shape_id],"Não encontrado")</f>
        <v/>
      </c>
      <c r="B21180" s="43" t="n">
        <v>-23.586608</v>
      </c>
      <c r="C21180" s="43" t="n">
        <v>-46.41482</v>
      </c>
      <c r="D21180" s="43" t="n">
        <v>69</v>
      </c>
      <c r="E21180" s="44" t="n">
        <v>1936.8708</v>
      </c>
    </row>
    <row r="21181">
      <c r="A21181" s="39">
        <f>_xlfn.XLOOKUP(84525,Trip[shape_id],Trip[shape_id],"Não encontrado")</f>
        <v/>
      </c>
      <c r="B21181" s="40" t="n">
        <v>-23.586911</v>
      </c>
      <c r="C21181" s="40" t="n">
        <v>-46.414861</v>
      </c>
      <c r="D21181" s="40" t="n">
        <v>70</v>
      </c>
      <c r="E21181" s="41" t="n">
        <v>1970.6886</v>
      </c>
    </row>
    <row r="21182">
      <c r="A21182" s="42">
        <f>_xlfn.XLOOKUP(84525,Trip[shape_id],Trip[shape_id],"Não encontrado")</f>
        <v/>
      </c>
      <c r="B21182" s="43" t="n">
        <v>-23.587463</v>
      </c>
      <c r="C21182" s="43" t="n">
        <v>-46.414972</v>
      </c>
      <c r="D21182" s="43" t="n">
        <v>71</v>
      </c>
      <c r="E21182" s="44" t="n">
        <v>2032.8649</v>
      </c>
    </row>
    <row r="21183">
      <c r="A21183" s="39">
        <f>_xlfn.XLOOKUP(84525,Trip[shape_id],Trip[shape_id],"Não encontrado")</f>
        <v/>
      </c>
      <c r="B21183" s="40" t="n">
        <v>-23.587977</v>
      </c>
      <c r="C21183" s="40" t="n">
        <v>-46.415068</v>
      </c>
      <c r="D21183" s="40" t="n">
        <v>72</v>
      </c>
      <c r="E21183" s="41" t="n">
        <v>2090.6287</v>
      </c>
    </row>
    <row r="21184">
      <c r="A21184" s="42">
        <f>_xlfn.XLOOKUP(84525,Trip[shape_id],Trip[shape_id],"Não encontrado")</f>
        <v/>
      </c>
      <c r="B21184" s="43" t="n">
        <v>-23.588368</v>
      </c>
      <c r="C21184" s="43" t="n">
        <v>-46.41514</v>
      </c>
      <c r="D21184" s="43" t="n">
        <v>73</v>
      </c>
      <c r="E21184" s="44" t="n">
        <v>2134.552</v>
      </c>
    </row>
    <row r="21185">
      <c r="A21185" s="39">
        <f>_xlfn.XLOOKUP(84525,Trip[shape_id],Trip[shape_id],"Não encontrado")</f>
        <v/>
      </c>
      <c r="B21185" s="40" t="n">
        <v>-23.588577</v>
      </c>
      <c r="C21185" s="40" t="n">
        <v>-46.415171</v>
      </c>
      <c r="D21185" s="40" t="n">
        <v>74</v>
      </c>
      <c r="E21185" s="41" t="n">
        <v>2157.9146</v>
      </c>
    </row>
    <row r="21186">
      <c r="A21186" s="42">
        <f>_xlfn.XLOOKUP(84525,Trip[shape_id],Trip[shape_id],"Não encontrado")</f>
        <v/>
      </c>
      <c r="B21186" s="43" t="n">
        <v>-23.588745</v>
      </c>
      <c r="C21186" s="43" t="n">
        <v>-46.415229</v>
      </c>
      <c r="D21186" s="43" t="n">
        <v>75</v>
      </c>
      <c r="E21186" s="44" t="n">
        <v>2177.4402</v>
      </c>
    </row>
    <row r="21187">
      <c r="A21187" s="39">
        <f>_xlfn.XLOOKUP(84525,Trip[shape_id],Trip[shape_id],"Não encontrado")</f>
        <v/>
      </c>
      <c r="B21187" s="40" t="n">
        <v>-23.588849</v>
      </c>
      <c r="C21187" s="40" t="n">
        <v>-46.415293</v>
      </c>
      <c r="D21187" s="40" t="n">
        <v>76</v>
      </c>
      <c r="E21187" s="41" t="n">
        <v>2190.6816</v>
      </c>
    </row>
    <row r="21188">
      <c r="A21188" s="42">
        <f>_xlfn.XLOOKUP(84525,Trip[shape_id],Trip[shape_id],"Não encontrado")</f>
        <v/>
      </c>
      <c r="B21188" s="43" t="n">
        <v>-23.589002</v>
      </c>
      <c r="C21188" s="43" t="n">
        <v>-46.415394</v>
      </c>
      <c r="D21188" s="43" t="n">
        <v>77</v>
      </c>
      <c r="E21188" s="44" t="n">
        <v>2210.5164</v>
      </c>
    </row>
    <row r="21189">
      <c r="A21189" s="39">
        <f>_xlfn.XLOOKUP(84525,Trip[shape_id],Trip[shape_id],"Não encontrado")</f>
        <v/>
      </c>
      <c r="B21189" s="40" t="n">
        <v>-23.589105</v>
      </c>
      <c r="C21189" s="40" t="n">
        <v>-46.415483</v>
      </c>
      <c r="D21189" s="40" t="n">
        <v>78</v>
      </c>
      <c r="E21189" s="41" t="n">
        <v>2225.0991</v>
      </c>
    </row>
    <row r="21190">
      <c r="A21190" s="42">
        <f>_xlfn.XLOOKUP(84525,Trip[shape_id],Trip[shape_id],"Não encontrado")</f>
        <v/>
      </c>
      <c r="B21190" s="43" t="n">
        <v>-23.589224</v>
      </c>
      <c r="C21190" s="43" t="n">
        <v>-46.415607</v>
      </c>
      <c r="D21190" s="43" t="n">
        <v>79</v>
      </c>
      <c r="E21190" s="44" t="n">
        <v>2243.3721</v>
      </c>
    </row>
    <row r="21191">
      <c r="A21191" s="39">
        <f>_xlfn.XLOOKUP(84525,Trip[shape_id],Trip[shape_id],"Não encontrado")</f>
        <v/>
      </c>
      <c r="B21191" s="40" t="n">
        <v>-23.589443</v>
      </c>
      <c r="C21191" s="40" t="n">
        <v>-46.415897</v>
      </c>
      <c r="D21191" s="40" t="n">
        <v>80</v>
      </c>
      <c r="E21191" s="41" t="n">
        <v>2281.6409</v>
      </c>
    </row>
    <row r="21192">
      <c r="A21192" s="42">
        <f>_xlfn.XLOOKUP(84525,Trip[shape_id],Trip[shape_id],"Não encontrado")</f>
        <v/>
      </c>
      <c r="B21192" s="43" t="n">
        <v>-23.58964</v>
      </c>
      <c r="C21192" s="43" t="n">
        <v>-46.416161</v>
      </c>
      <c r="D21192" s="43" t="n">
        <v>81</v>
      </c>
      <c r="E21192" s="44" t="n">
        <v>2316.3132</v>
      </c>
    </row>
    <row r="21193">
      <c r="A21193" s="39">
        <f>_xlfn.XLOOKUP(84525,Trip[shape_id],Trip[shape_id],"Não encontrado")</f>
        <v/>
      </c>
      <c r="B21193" s="40" t="n">
        <v>-23.58971</v>
      </c>
      <c r="C21193" s="40" t="n">
        <v>-46.416262</v>
      </c>
      <c r="D21193" s="40" t="n">
        <v>82</v>
      </c>
      <c r="E21193" s="41" t="n">
        <v>2329.2124</v>
      </c>
    </row>
    <row r="21194">
      <c r="A21194" s="42">
        <f>_xlfn.XLOOKUP(84525,Trip[shape_id],Trip[shape_id],"Não encontrado")</f>
        <v/>
      </c>
      <c r="B21194" s="43" t="n">
        <v>-23.589817</v>
      </c>
      <c r="C21194" s="43" t="n">
        <v>-46.416369</v>
      </c>
      <c r="D21194" s="43" t="n">
        <v>83</v>
      </c>
      <c r="E21194" s="44" t="n">
        <v>2345.3281</v>
      </c>
    </row>
    <row r="21195">
      <c r="A21195" s="39">
        <f>_xlfn.XLOOKUP(84525,Trip[shape_id],Trip[shape_id],"Não encontrado")</f>
        <v/>
      </c>
      <c r="B21195" s="40" t="n">
        <v>-23.589948</v>
      </c>
      <c r="C21195" s="40" t="n">
        <v>-46.416489</v>
      </c>
      <c r="D21195" s="40" t="n">
        <v>84</v>
      </c>
      <c r="E21195" s="41" t="n">
        <v>2364.3157</v>
      </c>
    </row>
    <row r="21196">
      <c r="A21196" s="42">
        <f>_xlfn.XLOOKUP(84525,Trip[shape_id],Trip[shape_id],"Não encontrado")</f>
        <v/>
      </c>
      <c r="B21196" s="43" t="n">
        <v>-23.5901</v>
      </c>
      <c r="C21196" s="43" t="n">
        <v>-46.416568</v>
      </c>
      <c r="D21196" s="43" t="n">
        <v>85</v>
      </c>
      <c r="E21196" s="44" t="n">
        <v>2382.9817</v>
      </c>
    </row>
    <row r="21197">
      <c r="A21197" s="39">
        <f>_xlfn.XLOOKUP(84525,Trip[shape_id],Trip[shape_id],"Não encontrado")</f>
        <v/>
      </c>
      <c r="B21197" s="40" t="n">
        <v>-23.590823</v>
      </c>
      <c r="C21197" s="40" t="n">
        <v>-46.416844</v>
      </c>
      <c r="D21197" s="40" t="n">
        <v>86</v>
      </c>
      <c r="E21197" s="41" t="n">
        <v>2467.8669</v>
      </c>
    </row>
    <row r="21198">
      <c r="A21198" s="42">
        <f>_xlfn.XLOOKUP(84525,Trip[shape_id],Trip[shape_id],"Não encontrado")</f>
        <v/>
      </c>
      <c r="B21198" s="43" t="n">
        <v>-23.591162</v>
      </c>
      <c r="C21198" s="43" t="n">
        <v>-46.416969</v>
      </c>
      <c r="D21198" s="43" t="n">
        <v>87</v>
      </c>
      <c r="E21198" s="44" t="n">
        <v>2507.5208</v>
      </c>
    </row>
    <row r="21199">
      <c r="A21199" s="39">
        <f>_xlfn.XLOOKUP(84525,Trip[shape_id],Trip[shape_id],"Não encontrado")</f>
        <v/>
      </c>
      <c r="B21199" s="40" t="n">
        <v>-23.59137</v>
      </c>
      <c r="C21199" s="40" t="n">
        <v>-46.417064</v>
      </c>
      <c r="D21199" s="40" t="n">
        <v>88</v>
      </c>
      <c r="E21199" s="41" t="n">
        <v>2532.5149</v>
      </c>
    </row>
    <row r="21200">
      <c r="A21200" s="42">
        <f>_xlfn.XLOOKUP(84525,Trip[shape_id],Trip[shape_id],"Não encontrado")</f>
        <v/>
      </c>
      <c r="B21200" s="43" t="n">
        <v>-23.591554</v>
      </c>
      <c r="C21200" s="43" t="n">
        <v>-46.417187</v>
      </c>
      <c r="D21200" s="43" t="n">
        <v>89</v>
      </c>
      <c r="E21200" s="44" t="n">
        <v>2556.4502</v>
      </c>
    </row>
    <row r="21201">
      <c r="A21201" s="39">
        <f>_xlfn.XLOOKUP(84525,Trip[shape_id],Trip[shape_id],"Não encontrado")</f>
        <v/>
      </c>
      <c r="B21201" s="40" t="n">
        <v>-23.59201</v>
      </c>
      <c r="C21201" s="40" t="n">
        <v>-46.417491</v>
      </c>
      <c r="D21201" s="40" t="n">
        <v>90</v>
      </c>
      <c r="E21201" s="41" t="n">
        <v>2615.7241</v>
      </c>
    </row>
    <row r="21202">
      <c r="A21202" s="42">
        <f>_xlfn.XLOOKUP(84525,Trip[shape_id],Trip[shape_id],"Não encontrado")</f>
        <v/>
      </c>
      <c r="B21202" s="43" t="n">
        <v>-23.59319</v>
      </c>
      <c r="C21202" s="43" t="n">
        <v>-46.418378</v>
      </c>
      <c r="D21202" s="43" t="n">
        <v>91</v>
      </c>
      <c r="E21202" s="44" t="n">
        <v>2774.7085</v>
      </c>
    </row>
    <row r="21203">
      <c r="A21203" s="39">
        <f>_xlfn.XLOOKUP(84525,Trip[shape_id],Trip[shape_id],"Não encontrado")</f>
        <v/>
      </c>
      <c r="B21203" s="40" t="n">
        <v>-23.593357</v>
      </c>
      <c r="C21203" s="40" t="n">
        <v>-46.418491</v>
      </c>
      <c r="D21203" s="40" t="n">
        <v>92</v>
      </c>
      <c r="E21203" s="41" t="n">
        <v>2796.5056</v>
      </c>
    </row>
    <row r="21204">
      <c r="A21204" s="42">
        <f>_xlfn.XLOOKUP(84525,Trip[shape_id],Trip[shape_id],"Não encontrado")</f>
        <v/>
      </c>
      <c r="B21204" s="43" t="n">
        <v>-23.593608</v>
      </c>
      <c r="C21204" s="43" t="n">
        <v>-46.41869</v>
      </c>
      <c r="D21204" s="43" t="n">
        <v>93</v>
      </c>
      <c r="E21204" s="44" t="n">
        <v>2830.9343</v>
      </c>
    </row>
    <row r="21205">
      <c r="A21205" s="39">
        <f>_xlfn.XLOOKUP(84525,Trip[shape_id],Trip[shape_id],"Não encontrado")</f>
        <v/>
      </c>
      <c r="B21205" s="40" t="n">
        <v>-23.593718</v>
      </c>
      <c r="C21205" s="40" t="n">
        <v>-46.418787</v>
      </c>
      <c r="D21205" s="40" t="n">
        <v>94</v>
      </c>
      <c r="E21205" s="41" t="n">
        <v>2846.6328</v>
      </c>
    </row>
    <row r="21206">
      <c r="A21206" s="42">
        <f>_xlfn.XLOOKUP(84525,Trip[shape_id],Trip[shape_id],"Não encontrado")</f>
        <v/>
      </c>
      <c r="B21206" s="43" t="n">
        <v>-23.593841</v>
      </c>
      <c r="C21206" s="43" t="n">
        <v>-46.418917</v>
      </c>
      <c r="D21206" s="43" t="n">
        <v>95</v>
      </c>
      <c r="E21206" s="44" t="n">
        <v>2865.6497</v>
      </c>
    </row>
    <row r="21207">
      <c r="A21207" s="39">
        <f>_xlfn.XLOOKUP(84525,Trip[shape_id],Trip[shape_id],"Não encontrado")</f>
        <v/>
      </c>
      <c r="B21207" s="40" t="n">
        <v>-23.593981</v>
      </c>
      <c r="C21207" s="40" t="n">
        <v>-46.4191</v>
      </c>
      <c r="D21207" s="40" t="n">
        <v>96</v>
      </c>
      <c r="E21207" s="41" t="n">
        <v>2889.9253</v>
      </c>
    </row>
    <row r="21208">
      <c r="A21208" s="42">
        <f>_xlfn.XLOOKUP(84525,Trip[shape_id],Trip[shape_id],"Não encontrado")</f>
        <v/>
      </c>
      <c r="B21208" s="43" t="n">
        <v>-23.594067</v>
      </c>
      <c r="C21208" s="43" t="n">
        <v>-46.419259</v>
      </c>
      <c r="D21208" s="43" t="n">
        <v>97</v>
      </c>
      <c r="E21208" s="44" t="n">
        <v>2908.7429</v>
      </c>
    </row>
    <row r="21209">
      <c r="A21209" s="39">
        <f>_xlfn.XLOOKUP(84525,Trip[shape_id],Trip[shape_id],"Não encontrado")</f>
        <v/>
      </c>
      <c r="B21209" s="40" t="n">
        <v>-23.594166</v>
      </c>
      <c r="C21209" s="40" t="n">
        <v>-46.419493</v>
      </c>
      <c r="D21209" s="40" t="n">
        <v>98</v>
      </c>
      <c r="E21209" s="41" t="n">
        <v>2935.0234</v>
      </c>
    </row>
    <row r="21210">
      <c r="A21210" s="42">
        <f>_xlfn.XLOOKUP(84525,Trip[shape_id],Trip[shape_id],"Não encontrado")</f>
        <v/>
      </c>
      <c r="B21210" s="43" t="n">
        <v>-23.594187</v>
      </c>
      <c r="C21210" s="43" t="n">
        <v>-46.419603</v>
      </c>
      <c r="D21210" s="43" t="n">
        <v>99</v>
      </c>
      <c r="E21210" s="44" t="n">
        <v>2946.4895</v>
      </c>
    </row>
    <row r="21211">
      <c r="A21211" s="39">
        <f>_xlfn.XLOOKUP(84525,Trip[shape_id],Trip[shape_id],"Não encontrado")</f>
        <v/>
      </c>
      <c r="B21211" s="40" t="n">
        <v>-23.594351</v>
      </c>
      <c r="C21211" s="40" t="n">
        <v>-46.419585</v>
      </c>
      <c r="D21211" s="40" t="n">
        <v>100</v>
      </c>
      <c r="E21211" s="41" t="n">
        <v>2964.7458</v>
      </c>
    </row>
    <row r="21212">
      <c r="A21212" s="42">
        <f>_xlfn.XLOOKUP(84525,Trip[shape_id],Trip[shape_id],"Não encontrado")</f>
        <v/>
      </c>
      <c r="B21212" s="43" t="n">
        <v>-23.594344</v>
      </c>
      <c r="C21212" s="43" t="n">
        <v>-46.41964</v>
      </c>
      <c r="D21212" s="43" t="n">
        <v>101</v>
      </c>
      <c r="E21212" s="44" t="n">
        <v>2970.4131</v>
      </c>
    </row>
    <row r="21213">
      <c r="A21213" s="39">
        <f>_xlfn.XLOOKUP(84525,Trip[shape_id],Trip[shape_id],"Não encontrado")</f>
        <v/>
      </c>
      <c r="B21213" s="40" t="n">
        <v>-23.59431</v>
      </c>
      <c r="C21213" s="40" t="n">
        <v>-46.419773</v>
      </c>
      <c r="D21213" s="40" t="n">
        <v>102</v>
      </c>
      <c r="E21213" s="41" t="n">
        <v>2984.5007</v>
      </c>
    </row>
    <row r="21214">
      <c r="A21214" s="42">
        <f>_xlfn.XLOOKUP(84525,Trip[shape_id],Trip[shape_id],"Não encontrado")</f>
        <v/>
      </c>
      <c r="B21214" s="43" t="n">
        <v>-23.594301</v>
      </c>
      <c r="C21214" s="43" t="n">
        <v>-46.419796</v>
      </c>
      <c r="D21214" s="43" t="n">
        <v>103</v>
      </c>
      <c r="E21214" s="44" t="n">
        <v>2987.0498</v>
      </c>
    </row>
    <row r="21215">
      <c r="A21215" s="39">
        <f>_xlfn.XLOOKUP(84525,Trip[shape_id],Trip[shape_id],"Não encontrado")</f>
        <v/>
      </c>
      <c r="B21215" s="40" t="n">
        <v>-23.594277</v>
      </c>
      <c r="C21215" s="40" t="n">
        <v>-46.419862</v>
      </c>
      <c r="D21215" s="40" t="n">
        <v>104</v>
      </c>
      <c r="E21215" s="41" t="n">
        <v>2994.2915</v>
      </c>
    </row>
    <row r="21216">
      <c r="A21216" s="42">
        <f>_xlfn.XLOOKUP(84525,Trip[shape_id],Trip[shape_id],"Não encontrado")</f>
        <v/>
      </c>
      <c r="B21216" s="43" t="n">
        <v>-23.594224</v>
      </c>
      <c r="C21216" s="43" t="n">
        <v>-46.419962</v>
      </c>
      <c r="D21216" s="43" t="n">
        <v>105</v>
      </c>
      <c r="E21216" s="44" t="n">
        <v>3006.0662</v>
      </c>
    </row>
    <row r="21217">
      <c r="A21217" s="39">
        <f>_xlfn.XLOOKUP(84525,Trip[shape_id],Trip[shape_id],"Não encontrado")</f>
        <v/>
      </c>
      <c r="B21217" s="40" t="n">
        <v>-23.594218</v>
      </c>
      <c r="C21217" s="40" t="n">
        <v>-46.420073</v>
      </c>
      <c r="D21217" s="40" t="n">
        <v>106</v>
      </c>
      <c r="E21217" s="41" t="n">
        <v>3017.4155</v>
      </c>
    </row>
    <row r="21218">
      <c r="A21218" s="42">
        <f>_xlfn.XLOOKUP(84525,Trip[shape_id],Trip[shape_id],"Não encontrado")</f>
        <v/>
      </c>
      <c r="B21218" s="43" t="n">
        <v>-23.594215</v>
      </c>
      <c r="C21218" s="43" t="n">
        <v>-46.420246</v>
      </c>
      <c r="D21218" s="43" t="n">
        <v>107</v>
      </c>
      <c r="E21218" s="44" t="n">
        <v>3035.0764</v>
      </c>
    </row>
    <row r="21219">
      <c r="A21219" s="39">
        <f>_xlfn.XLOOKUP(84525,Trip[shape_id],Trip[shape_id],"Não encontrado")</f>
        <v/>
      </c>
      <c r="B21219" s="40" t="n">
        <v>-23.594168</v>
      </c>
      <c r="C21219" s="40" t="n">
        <v>-46.42043</v>
      </c>
      <c r="D21219" s="40" t="n">
        <v>108</v>
      </c>
      <c r="E21219" s="41" t="n">
        <v>3054.5649</v>
      </c>
    </row>
    <row r="21220">
      <c r="A21220" s="42">
        <f>_xlfn.XLOOKUP(84525,Trip[shape_id],Trip[shape_id],"Não encontrado")</f>
        <v/>
      </c>
      <c r="B21220" s="43" t="n">
        <v>-23.594127</v>
      </c>
      <c r="C21220" s="43" t="n">
        <v>-46.420561</v>
      </c>
      <c r="D21220" s="43" t="n">
        <v>109</v>
      </c>
      <c r="E21220" s="44" t="n">
        <v>3068.686</v>
      </c>
    </row>
    <row r="21221">
      <c r="A21221" s="39">
        <f>_xlfn.XLOOKUP(84525,Trip[shape_id],Trip[shape_id],"Não encontrado")</f>
        <v/>
      </c>
      <c r="B21221" s="40" t="n">
        <v>-23.594076</v>
      </c>
      <c r="C21221" s="40" t="n">
        <v>-46.420716</v>
      </c>
      <c r="D21221" s="40" t="n">
        <v>110</v>
      </c>
      <c r="E21221" s="41" t="n">
        <v>3085.4846</v>
      </c>
    </row>
    <row r="21222">
      <c r="A21222" s="42">
        <f>_xlfn.XLOOKUP(84525,Trip[shape_id],Trip[shape_id],"Não encontrado")</f>
        <v/>
      </c>
      <c r="B21222" s="43" t="n">
        <v>-23.594024</v>
      </c>
      <c r="C21222" s="43" t="n">
        <v>-46.420879</v>
      </c>
      <c r="D21222" s="43" t="n">
        <v>111</v>
      </c>
      <c r="E21222" s="44" t="n">
        <v>3103.0906</v>
      </c>
    </row>
    <row r="21223">
      <c r="A21223" s="39">
        <f>_xlfn.XLOOKUP(84525,Trip[shape_id],Trip[shape_id],"Não encontrado")</f>
        <v/>
      </c>
      <c r="B21223" s="40" t="n">
        <v>-23.593997</v>
      </c>
      <c r="C21223" s="40" t="n">
        <v>-46.421043</v>
      </c>
      <c r="D21223" s="40" t="n">
        <v>112</v>
      </c>
      <c r="E21223" s="41" t="n">
        <v>3120.095</v>
      </c>
    </row>
    <row r="21224">
      <c r="A21224" s="42">
        <f>_xlfn.XLOOKUP(84525,Trip[shape_id],Trip[shape_id],"Não encontrado")</f>
        <v/>
      </c>
      <c r="B21224" s="43" t="n">
        <v>-23.593997</v>
      </c>
      <c r="C21224" s="43" t="n">
        <v>-46.42116</v>
      </c>
      <c r="D21224" s="43" t="n">
        <v>113</v>
      </c>
      <c r="E21224" s="44" t="n">
        <v>3132.0369</v>
      </c>
    </row>
    <row r="21225">
      <c r="A21225" s="39">
        <f>_xlfn.XLOOKUP(84525,Trip[shape_id],Trip[shape_id],"Não encontrado")</f>
        <v/>
      </c>
      <c r="B21225" s="40" t="n">
        <v>-23.593997</v>
      </c>
      <c r="C21225" s="40" t="n">
        <v>-46.421277</v>
      </c>
      <c r="D21225" s="40" t="n">
        <v>114</v>
      </c>
      <c r="E21225" s="41" t="n">
        <v>3143.9788</v>
      </c>
    </row>
    <row r="21226">
      <c r="A21226" s="42">
        <f>_xlfn.XLOOKUP(84525,Trip[shape_id],Trip[shape_id],"Não encontrado")</f>
        <v/>
      </c>
      <c r="B21226" s="43" t="n">
        <v>-23.594009</v>
      </c>
      <c r="C21226" s="43" t="n">
        <v>-46.421601</v>
      </c>
      <c r="D21226" s="43" t="n">
        <v>115</v>
      </c>
      <c r="E21226" s="44" t="n">
        <v>3177.0757</v>
      </c>
    </row>
    <row r="21227">
      <c r="A21227" s="39">
        <f>_xlfn.XLOOKUP(84525,Trip[shape_id],Trip[shape_id],"Não encontrado")</f>
        <v/>
      </c>
      <c r="B21227" s="40" t="n">
        <v>-23.59404</v>
      </c>
      <c r="C21227" s="40" t="n">
        <v>-46.421949</v>
      </c>
      <c r="D21227" s="40" t="n">
        <v>116</v>
      </c>
      <c r="E21227" s="41" t="n">
        <v>3212.761</v>
      </c>
    </row>
    <row r="21228">
      <c r="A21228" s="42">
        <f>_xlfn.XLOOKUP(84525,Trip[shape_id],Trip[shape_id],"Não encontrado")</f>
        <v/>
      </c>
      <c r="B21228" s="43" t="n">
        <v>-23.594073</v>
      </c>
      <c r="C21228" s="43" t="n">
        <v>-46.422272</v>
      </c>
      <c r="D21228" s="43" t="n">
        <v>117</v>
      </c>
      <c r="E21228" s="44" t="n">
        <v>3245.9312</v>
      </c>
    </row>
    <row r="21229">
      <c r="A21229" s="39">
        <f>_xlfn.XLOOKUP(84525,Trip[shape_id],Trip[shape_id],"Não encontrado")</f>
        <v/>
      </c>
      <c r="B21229" s="40" t="n">
        <v>-23.594108</v>
      </c>
      <c r="C21229" s="40" t="n">
        <v>-46.422639</v>
      </c>
      <c r="D21229" s="40" t="n">
        <v>118</v>
      </c>
      <c r="E21229" s="41" t="n">
        <v>3283.5903</v>
      </c>
    </row>
    <row r="21230">
      <c r="A21230" s="42">
        <f>_xlfn.XLOOKUP(84525,Trip[shape_id],Trip[shape_id],"Não encontrado")</f>
        <v/>
      </c>
      <c r="B21230" s="43" t="n">
        <v>-23.594158</v>
      </c>
      <c r="C21230" s="43" t="n">
        <v>-46.423137</v>
      </c>
      <c r="D21230" s="43" t="n">
        <v>119</v>
      </c>
      <c r="E21230" s="44" t="n">
        <v>3334.7209</v>
      </c>
    </row>
    <row r="21231">
      <c r="A21231" s="39">
        <f>_xlfn.XLOOKUP(84525,Trip[shape_id],Trip[shape_id],"Não encontrado")</f>
        <v/>
      </c>
      <c r="B21231" s="40" t="n">
        <v>-23.594168</v>
      </c>
      <c r="C21231" s="40" t="n">
        <v>-46.423205</v>
      </c>
      <c r="D21231" s="40" t="n">
        <v>120</v>
      </c>
      <c r="E21231" s="41" t="n">
        <v>3341.7498</v>
      </c>
    </row>
    <row r="21232">
      <c r="A21232" s="42">
        <f>_xlfn.XLOOKUP(84525,Trip[shape_id],Trip[shape_id],"Não encontrado")</f>
        <v/>
      </c>
      <c r="B21232" s="43" t="n">
        <v>-23.594281</v>
      </c>
      <c r="C21232" s="43" t="n">
        <v>-46.423904</v>
      </c>
      <c r="D21232" s="43" t="n">
        <v>121</v>
      </c>
      <c r="E21232" s="44" t="n">
        <v>3414.1848</v>
      </c>
    </row>
    <row r="21233">
      <c r="A21233" s="39">
        <f>_xlfn.XLOOKUP(84525,Trip[shape_id],Trip[shape_id],"Não encontrado")</f>
        <v/>
      </c>
      <c r="B21233" s="40" t="n">
        <v>-23.594389</v>
      </c>
      <c r="C21233" s="40" t="n">
        <v>-46.424712</v>
      </c>
      <c r="D21233" s="40" t="n">
        <v>122</v>
      </c>
      <c r="E21233" s="41" t="n">
        <v>3497.5188</v>
      </c>
    </row>
    <row r="21234">
      <c r="A21234" s="42">
        <f>_xlfn.XLOOKUP(84525,Trip[shape_id],Trip[shape_id],"Não encontrado")</f>
        <v/>
      </c>
      <c r="B21234" s="43" t="n">
        <v>-23.594419</v>
      </c>
      <c r="C21234" s="43" t="n">
        <v>-46.425119</v>
      </c>
      <c r="D21234" s="43" t="n">
        <v>123</v>
      </c>
      <c r="E21234" s="44" t="n">
        <v>3539.1931</v>
      </c>
    </row>
    <row r="21235">
      <c r="A21235" s="39">
        <f>_xlfn.XLOOKUP(84525,Trip[shape_id],Trip[shape_id],"Não encontrado")</f>
        <v/>
      </c>
      <c r="B21235" s="40" t="n">
        <v>-23.594471</v>
      </c>
      <c r="C21235" s="40" t="n">
        <v>-46.42547</v>
      </c>
      <c r="D21235" s="40" t="n">
        <v>124</v>
      </c>
      <c r="E21235" s="41" t="n">
        <v>3575.479</v>
      </c>
    </row>
    <row r="21236">
      <c r="A21236" s="42">
        <f>_xlfn.XLOOKUP(84525,Trip[shape_id],Trip[shape_id],"Não encontrado")</f>
        <v/>
      </c>
      <c r="B21236" s="43" t="n">
        <v>-23.594572</v>
      </c>
      <c r="C21236" s="43" t="n">
        <v>-46.426114</v>
      </c>
      <c r="D21236" s="43" t="n">
        <v>125</v>
      </c>
      <c r="E21236" s="44" t="n">
        <v>3642.1558</v>
      </c>
    </row>
    <row r="21237">
      <c r="A21237" s="39">
        <f>_xlfn.XLOOKUP(84525,Trip[shape_id],Trip[shape_id],"Não encontrado")</f>
        <v/>
      </c>
      <c r="B21237" s="40" t="n">
        <v>-23.594638</v>
      </c>
      <c r="C21237" s="40" t="n">
        <v>-46.426497</v>
      </c>
      <c r="D21237" s="40" t="n">
        <v>126</v>
      </c>
      <c r="E21237" s="41" t="n">
        <v>3681.9253</v>
      </c>
    </row>
    <row r="21238">
      <c r="A21238" s="42">
        <f>_xlfn.XLOOKUP(84525,Trip[shape_id],Trip[shape_id],"Não encontrado")</f>
        <v/>
      </c>
      <c r="B21238" s="43" t="n">
        <v>-23.594922</v>
      </c>
      <c r="C21238" s="43" t="n">
        <v>-46.42821</v>
      </c>
      <c r="D21238" s="43" t="n">
        <v>127</v>
      </c>
      <c r="E21238" s="44" t="n">
        <v>3859.5742</v>
      </c>
    </row>
    <row r="21239">
      <c r="A21239" s="39">
        <f>_xlfn.XLOOKUP(84525,Trip[shape_id],Trip[shape_id],"Não encontrado")</f>
        <v/>
      </c>
      <c r="B21239" s="40" t="n">
        <v>-23.595169</v>
      </c>
      <c r="C21239" s="40" t="n">
        <v>-46.429786</v>
      </c>
      <c r="D21239" s="40" t="n">
        <v>128</v>
      </c>
      <c r="E21239" s="41" t="n">
        <v>4022.7422</v>
      </c>
    </row>
    <row r="21240">
      <c r="A21240" s="42">
        <f>_xlfn.XLOOKUP(84525,Trip[shape_id],Trip[shape_id],"Não encontrado")</f>
        <v/>
      </c>
      <c r="B21240" s="43" t="n">
        <v>-23.595221</v>
      </c>
      <c r="C21240" s="43" t="n">
        <v>-46.43006</v>
      </c>
      <c r="D21240" s="43" t="n">
        <v>129</v>
      </c>
      <c r="E21240" s="44" t="n">
        <v>4051.2954</v>
      </c>
    </row>
    <row r="21241">
      <c r="A21241" s="39">
        <f>_xlfn.XLOOKUP(84525,Trip[shape_id],Trip[shape_id],"Não encontrado")</f>
        <v/>
      </c>
      <c r="B21241" s="40" t="n">
        <v>-23.595264</v>
      </c>
      <c r="C21241" s="40" t="n">
        <v>-46.430438</v>
      </c>
      <c r="D21241" s="40" t="n">
        <v>130</v>
      </c>
      <c r="E21241" s="41" t="n">
        <v>4090.1697</v>
      </c>
    </row>
    <row r="21242">
      <c r="A21242" s="42">
        <f>_xlfn.XLOOKUP(84525,Trip[shape_id],Trip[shape_id],"Não encontrado")</f>
        <v/>
      </c>
      <c r="B21242" s="43" t="n">
        <v>-23.595269</v>
      </c>
      <c r="C21242" s="43" t="n">
        <v>-46.430665</v>
      </c>
      <c r="D21242" s="43" t="n">
        <v>131</v>
      </c>
      <c r="E21242" s="44" t="n">
        <v>4113.3457</v>
      </c>
    </row>
    <row r="21243">
      <c r="A21243" s="39">
        <f>_xlfn.XLOOKUP(84525,Trip[shape_id],Trip[shape_id],"Não encontrado")</f>
        <v/>
      </c>
      <c r="B21243" s="40" t="n">
        <v>-23.59525</v>
      </c>
      <c r="C21243" s="40" t="n">
        <v>-46.43082</v>
      </c>
      <c r="D21243" s="40" t="n">
        <v>132</v>
      </c>
      <c r="E21243" s="41" t="n">
        <v>4129.3057</v>
      </c>
    </row>
    <row r="21244">
      <c r="A21244" s="42">
        <f>_xlfn.XLOOKUP(84525,Trip[shape_id],Trip[shape_id],"Não encontrado")</f>
        <v/>
      </c>
      <c r="B21244" s="43" t="n">
        <v>-23.595201</v>
      </c>
      <c r="C21244" s="43" t="n">
        <v>-46.431083</v>
      </c>
      <c r="D21244" s="43" t="n">
        <v>133</v>
      </c>
      <c r="E21244" s="44" t="n">
        <v>4156.6924</v>
      </c>
    </row>
    <row r="21245">
      <c r="A21245" s="39">
        <f>_xlfn.XLOOKUP(84525,Trip[shape_id],Trip[shape_id],"Não encontrado")</f>
        <v/>
      </c>
      <c r="B21245" s="40" t="n">
        <v>-23.595047</v>
      </c>
      <c r="C21245" s="40" t="n">
        <v>-46.431662</v>
      </c>
      <c r="D21245" s="40" t="n">
        <v>134</v>
      </c>
      <c r="E21245" s="41" t="n">
        <v>4218.2017</v>
      </c>
    </row>
    <row r="21246">
      <c r="A21246" s="42">
        <f>_xlfn.XLOOKUP(84525,Trip[shape_id],Trip[shape_id],"Não encontrado")</f>
        <v/>
      </c>
      <c r="B21246" s="43" t="n">
        <v>-23.595024</v>
      </c>
      <c r="C21246" s="43" t="n">
        <v>-46.431783</v>
      </c>
      <c r="D21246" s="43" t="n">
        <v>135</v>
      </c>
      <c r="E21246" s="44" t="n">
        <v>4230.812</v>
      </c>
    </row>
    <row r="21247">
      <c r="A21247" s="39">
        <f>_xlfn.XLOOKUP(84525,Trip[shape_id],Trip[shape_id],"Não encontrado")</f>
        <v/>
      </c>
      <c r="B21247" s="40" t="n">
        <v>-23.594977</v>
      </c>
      <c r="C21247" s="40" t="n">
        <v>-46.43198</v>
      </c>
      <c r="D21247" s="40" t="n">
        <v>136</v>
      </c>
      <c r="E21247" s="41" t="n">
        <v>4270.1123</v>
      </c>
    </row>
    <row r="21248">
      <c r="A21248" s="42">
        <f>_xlfn.XLOOKUP(84525,Trip[shape_id],Trip[shape_id],"Não encontrado")</f>
        <v/>
      </c>
      <c r="B21248" s="43" t="n">
        <v>-23.594964</v>
      </c>
      <c r="C21248" s="43" t="n">
        <v>-46.432161</v>
      </c>
      <c r="D21248" s="43" t="n">
        <v>137</v>
      </c>
      <c r="E21248" s="44" t="n">
        <v>4287.2686</v>
      </c>
    </row>
    <row r="21249">
      <c r="A21249" s="39">
        <f>_xlfn.XLOOKUP(84525,Trip[shape_id],Trip[shape_id],"Não encontrado")</f>
        <v/>
      </c>
      <c r="B21249" s="40" t="n">
        <v>-23.594969</v>
      </c>
      <c r="C21249" s="40" t="n">
        <v>-46.432329</v>
      </c>
      <c r="D21249" s="40" t="n">
        <v>138</v>
      </c>
      <c r="E21249" s="41" t="n">
        <v>4303.5708</v>
      </c>
    </row>
    <row r="21250">
      <c r="A21250" s="42">
        <f>_xlfn.XLOOKUP(84525,Trip[shape_id],Trip[shape_id],"Não encontrado")</f>
        <v/>
      </c>
      <c r="B21250" s="43" t="n">
        <v>-23.594983</v>
      </c>
      <c r="C21250" s="43" t="n">
        <v>-46.432488</v>
      </c>
      <c r="D21250" s="43" t="n">
        <v>139</v>
      </c>
      <c r="E21250" s="44" t="n">
        <v>4337.4214</v>
      </c>
    </row>
    <row r="21251">
      <c r="A21251" s="39">
        <f>_xlfn.XLOOKUP(84525,Trip[shape_id],Trip[shape_id],"Não encontrado")</f>
        <v/>
      </c>
      <c r="B21251" s="40" t="n">
        <v>-23.595034</v>
      </c>
      <c r="C21251" s="40" t="n">
        <v>-46.432815</v>
      </c>
      <c r="D21251" s="40" t="n">
        <v>140</v>
      </c>
      <c r="E21251" s="41" t="n">
        <v>4337.4214</v>
      </c>
    </row>
    <row r="21252">
      <c r="A21252" s="42">
        <f>_xlfn.XLOOKUP(84525,Trip[shape_id],Trip[shape_id],"Não encontrado")</f>
        <v/>
      </c>
      <c r="B21252" s="43" t="n">
        <v>-23.595093</v>
      </c>
      <c r="C21252" s="43" t="n">
        <v>-46.43302</v>
      </c>
      <c r="D21252" s="43" t="n">
        <v>141</v>
      </c>
      <c r="E21252" s="44" t="n">
        <v>4359.3418</v>
      </c>
    </row>
    <row r="21253">
      <c r="A21253" s="39">
        <f>_xlfn.XLOOKUP(84525,Trip[shape_id],Trip[shape_id],"Não encontrado")</f>
        <v/>
      </c>
      <c r="B21253" s="40" t="n">
        <v>-23.595191</v>
      </c>
      <c r="C21253" s="40" t="n">
        <v>-46.433344</v>
      </c>
      <c r="D21253" s="40" t="n">
        <v>142</v>
      </c>
      <c r="E21253" s="41" t="n">
        <v>4394.1475</v>
      </c>
    </row>
    <row r="21254">
      <c r="A21254" s="42">
        <f>_xlfn.XLOOKUP(84525,Trip[shape_id],Trip[shape_id],"Não encontrado")</f>
        <v/>
      </c>
      <c r="B21254" s="43" t="n">
        <v>-23.59526</v>
      </c>
      <c r="C21254" s="43" t="n">
        <v>-46.433564</v>
      </c>
      <c r="D21254" s="43" t="n">
        <v>143</v>
      </c>
      <c r="E21254" s="44" t="n">
        <v>4417.8672</v>
      </c>
    </row>
    <row r="21255">
      <c r="A21255" s="39">
        <f>_xlfn.XLOOKUP(84525,Trip[shape_id],Trip[shape_id],"Não encontrado")</f>
        <v/>
      </c>
      <c r="B21255" s="40" t="n">
        <v>-23.595308</v>
      </c>
      <c r="C21255" s="40" t="n">
        <v>-46.433681</v>
      </c>
      <c r="D21255" s="40" t="n">
        <v>144</v>
      </c>
      <c r="E21255" s="41" t="n">
        <v>4484.249</v>
      </c>
    </row>
    <row r="21256">
      <c r="A21256" s="42">
        <f>_xlfn.XLOOKUP(84525,Trip[shape_id],Trip[shape_id],"Não encontrado")</f>
        <v/>
      </c>
      <c r="B21256" s="43" t="n">
        <v>-23.595502</v>
      </c>
      <c r="C21256" s="43" t="n">
        <v>-46.434159</v>
      </c>
      <c r="D21256" s="43" t="n">
        <v>145</v>
      </c>
      <c r="E21256" s="44" t="n">
        <v>4515.1206</v>
      </c>
    </row>
    <row r="21257">
      <c r="A21257" s="39">
        <f>_xlfn.XLOOKUP(84525,Trip[shape_id],Trip[shape_id],"Não encontrado")</f>
        <v/>
      </c>
      <c r="B21257" s="40" t="n">
        <v>-23.595622</v>
      </c>
      <c r="C21257" s="40" t="n">
        <v>-46.434432</v>
      </c>
      <c r="D21257" s="40" t="n">
        <v>146</v>
      </c>
      <c r="E21257" s="41" t="n">
        <v>4553.2686</v>
      </c>
    </row>
    <row r="21258">
      <c r="A21258" s="42">
        <f>_xlfn.XLOOKUP(84525,Trip[shape_id],Trip[shape_id],"Não encontrado")</f>
        <v/>
      </c>
      <c r="B21258" s="43" t="n">
        <v>-23.595763</v>
      </c>
      <c r="C21258" s="43" t="n">
        <v>-46.434773</v>
      </c>
      <c r="D21258" s="43" t="n">
        <v>147</v>
      </c>
      <c r="E21258" s="44" t="n">
        <v>4553.2686</v>
      </c>
    </row>
    <row r="21259">
      <c r="A21259" s="39">
        <f>_xlfn.XLOOKUP(84525,Trip[shape_id],Trip[shape_id],"Não encontrado")</f>
        <v/>
      </c>
      <c r="B21259" s="40" t="n">
        <v>-23.596089</v>
      </c>
      <c r="C21259" s="40" t="n">
        <v>-46.435467</v>
      </c>
      <c r="D21259" s="40" t="n">
        <v>148</v>
      </c>
      <c r="E21259" s="41" t="n">
        <v>4644.3877</v>
      </c>
    </row>
    <row r="21260">
      <c r="A21260" s="42">
        <f>_xlfn.XLOOKUP(84525,Trip[shape_id],Trip[shape_id],"Não encontrado")</f>
        <v/>
      </c>
      <c r="B21260" s="43" t="n">
        <v>-23.596122</v>
      </c>
      <c r="C21260" s="43" t="n">
        <v>-46.435575</v>
      </c>
      <c r="D21260" s="43" t="n">
        <v>149</v>
      </c>
      <c r="E21260" s="44" t="n">
        <v>4654.6543</v>
      </c>
    </row>
    <row r="21261">
      <c r="A21261" s="39">
        <f>_xlfn.XLOOKUP(84525,Trip[shape_id],Trip[shape_id],"Não encontrado")</f>
        <v/>
      </c>
      <c r="B21261" s="40" t="n">
        <v>-23.596132</v>
      </c>
      <c r="C21261" s="40" t="n">
        <v>-46.435675</v>
      </c>
      <c r="D21261" s="40" t="n">
        <v>150</v>
      </c>
      <c r="E21261" s="41" t="n">
        <v>4662.2275</v>
      </c>
    </row>
    <row r="21262">
      <c r="A21262" s="42">
        <f>_xlfn.XLOOKUP(84525,Trip[shape_id],Trip[shape_id],"Não encontrado")</f>
        <v/>
      </c>
      <c r="B21262" s="43" t="n">
        <v>-23.596137</v>
      </c>
      <c r="C21262" s="43" t="n">
        <v>-46.435749</v>
      </c>
      <c r="D21262" s="43" t="n">
        <v>151</v>
      </c>
      <c r="E21262" s="44" t="n">
        <v>4670.9063</v>
      </c>
    </row>
    <row r="21263">
      <c r="A21263" s="39">
        <f>_xlfn.XLOOKUP(84525,Trip[shape_id],Trip[shape_id],"Não encontrado")</f>
        <v/>
      </c>
      <c r="B21263" s="40" t="n">
        <v>-23.596135</v>
      </c>
      <c r="C21263" s="40" t="n">
        <v>-46.435834</v>
      </c>
      <c r="D21263" s="40" t="n">
        <v>152</v>
      </c>
      <c r="E21263" s="41" t="n">
        <v>4682.7134</v>
      </c>
    </row>
    <row r="21264">
      <c r="A21264" s="42">
        <f>_xlfn.XLOOKUP(84525,Trip[shape_id],Trip[shape_id],"Não encontrado")</f>
        <v/>
      </c>
      <c r="B21264" s="43" t="n">
        <v>-23.596102</v>
      </c>
      <c r="C21264" s="43" t="n">
        <v>-46.435944</v>
      </c>
      <c r="D21264" s="43" t="n">
        <v>153</v>
      </c>
      <c r="E21264" s="44" t="n">
        <v>4682.7134</v>
      </c>
    </row>
    <row r="21265">
      <c r="A21265" s="39">
        <f>_xlfn.XLOOKUP(84525,Trip[shape_id],Trip[shape_id],"Não encontrado")</f>
        <v/>
      </c>
      <c r="B21265" s="40" t="n">
        <v>-23.596086</v>
      </c>
      <c r="C21265" s="40" t="n">
        <v>-46.436012</v>
      </c>
      <c r="D21265" s="40" t="n">
        <v>154</v>
      </c>
      <c r="E21265" s="41" t="n">
        <v>4734.3711</v>
      </c>
    </row>
    <row r="21266">
      <c r="A21266" s="42">
        <f>_xlfn.XLOOKUP(84525,Trip[shape_id],Trip[shape_id],"Não encontrado")</f>
        <v/>
      </c>
      <c r="B21266" s="43" t="n">
        <v>-23.595963</v>
      </c>
      <c r="C21266" s="43" t="n">
        <v>-46.436427</v>
      </c>
      <c r="D21266" s="43" t="n">
        <v>155</v>
      </c>
      <c r="E21266" s="44" t="n">
        <v>4734.3711</v>
      </c>
    </row>
    <row r="21267">
      <c r="A21267" s="39">
        <f>_xlfn.XLOOKUP(84525,Trip[shape_id],Trip[shape_id],"Não encontrado")</f>
        <v/>
      </c>
      <c r="B21267" s="40" t="n">
        <v>-23.595943</v>
      </c>
      <c r="C21267" s="40" t="n">
        <v>-46.436504</v>
      </c>
      <c r="D21267" s="40" t="n">
        <v>156</v>
      </c>
      <c r="E21267" s="41" t="n">
        <v>4764.1963</v>
      </c>
    </row>
    <row r="21268">
      <c r="A21268" s="42">
        <f>_xlfn.XLOOKUP(84525,Trip[shape_id],Trip[shape_id],"Não encontrado")</f>
        <v/>
      </c>
      <c r="B21268" s="43" t="n">
        <v>-23.595886</v>
      </c>
      <c r="C21268" s="43" t="n">
        <v>-46.436707</v>
      </c>
      <c r="D21268" s="43" t="n">
        <v>157</v>
      </c>
      <c r="E21268" s="44" t="n">
        <v>4941.5327</v>
      </c>
    </row>
    <row r="21269">
      <c r="A21269" s="39">
        <f>_xlfn.XLOOKUP(84525,Trip[shape_id],Trip[shape_id],"Não encontrado")</f>
        <v/>
      </c>
      <c r="B21269" s="40" t="n">
        <v>-23.595441</v>
      </c>
      <c r="C21269" s="40" t="n">
        <v>-46.438376</v>
      </c>
      <c r="D21269" s="40" t="n">
        <v>158</v>
      </c>
      <c r="E21269" s="41" t="n">
        <v>4941.5327</v>
      </c>
    </row>
    <row r="21270">
      <c r="A21270" s="42">
        <f>_xlfn.XLOOKUP(84525,Trip[shape_id],Trip[shape_id],"Não encontrado")</f>
        <v/>
      </c>
      <c r="B21270" s="43" t="n">
        <v>-23.59512</v>
      </c>
      <c r="C21270" s="43" t="n">
        <v>-46.439543</v>
      </c>
      <c r="D21270" s="43" t="n">
        <v>159</v>
      </c>
      <c r="E21270" s="44" t="n">
        <v>5065.8379</v>
      </c>
    </row>
    <row r="21271">
      <c r="A21271" s="39">
        <f>_xlfn.XLOOKUP(84525,Trip[shape_id],Trip[shape_id],"Não encontrado")</f>
        <v/>
      </c>
      <c r="B21271" s="40" t="n">
        <v>-23.595028</v>
      </c>
      <c r="C21271" s="40" t="n">
        <v>-46.439838</v>
      </c>
      <c r="D21271" s="40" t="n">
        <v>160</v>
      </c>
      <c r="E21271" s="41" t="n">
        <v>5097.625</v>
      </c>
    </row>
    <row r="21272">
      <c r="A21272" s="42">
        <f>_xlfn.XLOOKUP(84525,Trip[shape_id],Trip[shape_id],"Não encontrado")</f>
        <v/>
      </c>
      <c r="B21272" s="43" t="n">
        <v>-23.594918</v>
      </c>
      <c r="C21272" s="43" t="n">
        <v>-46.440258</v>
      </c>
      <c r="D21272" s="43" t="n">
        <v>161</v>
      </c>
      <c r="E21272" s="44" t="n">
        <v>5142.1909</v>
      </c>
    </row>
    <row r="21273">
      <c r="A21273" s="39">
        <f>_xlfn.XLOOKUP(84525,Trip[shape_id],Trip[shape_id],"Não encontrado")</f>
        <v/>
      </c>
      <c r="B21273" s="40" t="n">
        <v>-23.59485</v>
      </c>
      <c r="C21273" s="40" t="n">
        <v>-46.440478</v>
      </c>
      <c r="D21273" s="40" t="n">
        <v>162</v>
      </c>
      <c r="E21273" s="41" t="n">
        <v>5192.9077</v>
      </c>
    </row>
    <row r="21274">
      <c r="A21274" s="42">
        <f>_xlfn.XLOOKUP(84525,Trip[shape_id],Trip[shape_id],"Não encontrado")</f>
        <v/>
      </c>
      <c r="B21274" s="43" t="n">
        <v>-23.594799</v>
      </c>
      <c r="C21274" s="43" t="n">
        <v>-46.440737</v>
      </c>
      <c r="D21274" s="43" t="n">
        <v>163</v>
      </c>
      <c r="E21274" s="44" t="n">
        <v>5192.9077</v>
      </c>
    </row>
    <row r="21275">
      <c r="A21275" s="39">
        <f>_xlfn.XLOOKUP(84525,Trip[shape_id],Trip[shape_id],"Não encontrado")</f>
        <v/>
      </c>
      <c r="B21275" s="40" t="n">
        <v>-23.594657</v>
      </c>
      <c r="C21275" s="40" t="n">
        <v>-46.441677</v>
      </c>
      <c r="D21275" s="40" t="n">
        <v>164</v>
      </c>
      <c r="E21275" s="41" t="n">
        <v>5296.1182</v>
      </c>
    </row>
    <row r="21276">
      <c r="A21276" s="42">
        <f>_xlfn.XLOOKUP(84525,Trip[shape_id],Trip[shape_id],"Não encontrado")</f>
        <v/>
      </c>
      <c r="B21276" s="43" t="n">
        <v>-23.594649</v>
      </c>
      <c r="C21276" s="43" t="n">
        <v>-46.441735</v>
      </c>
      <c r="D21276" s="43" t="n">
        <v>165</v>
      </c>
      <c r="E21276" s="44" t="n">
        <v>5296.1182</v>
      </c>
    </row>
    <row r="21277">
      <c r="A21277" s="39">
        <f>_xlfn.XLOOKUP(84525,Trip[shape_id],Trip[shape_id],"Não encontrado")</f>
        <v/>
      </c>
      <c r="B21277" s="40" t="n">
        <v>-23.594619</v>
      </c>
      <c r="C21277" s="40" t="n">
        <v>-46.441974</v>
      </c>
      <c r="D21277" s="40" t="n">
        <v>166</v>
      </c>
      <c r="E21277" s="41" t="n">
        <v>5320.7378</v>
      </c>
    </row>
    <row r="21278">
      <c r="A21278" s="42">
        <f>_xlfn.XLOOKUP(84525,Trip[shape_id],Trip[shape_id],"Não encontrado")</f>
        <v/>
      </c>
      <c r="B21278" s="43" t="n">
        <v>-23.594574</v>
      </c>
      <c r="C21278" s="43" t="n">
        <v>-46.442345</v>
      </c>
      <c r="D21278" s="43" t="n">
        <v>167</v>
      </c>
      <c r="E21278" s="44" t="n">
        <v>5358.9316</v>
      </c>
    </row>
    <row r="21279">
      <c r="A21279" s="39">
        <f>_xlfn.XLOOKUP(84525,Trip[shape_id],Trip[shape_id],"Não encontrado")</f>
        <v/>
      </c>
      <c r="B21279" s="40" t="n">
        <v>-23.594559</v>
      </c>
      <c r="C21279" s="40" t="n">
        <v>-46.442589</v>
      </c>
      <c r="D21279" s="40" t="n">
        <v>168</v>
      </c>
      <c r="E21279" s="41" t="n">
        <v>5409.5645</v>
      </c>
    </row>
    <row r="21280">
      <c r="A21280" s="42">
        <f>_xlfn.XLOOKUP(84525,Trip[shape_id],Trip[shape_id],"Não encontrado")</f>
        <v/>
      </c>
      <c r="B21280" s="43" t="n">
        <v>-23.594574</v>
      </c>
      <c r="C21280" s="43" t="n">
        <v>-46.44284</v>
      </c>
      <c r="D21280" s="43" t="n">
        <v>169</v>
      </c>
      <c r="E21280" s="44" t="n">
        <v>5409.5645</v>
      </c>
    </row>
    <row r="21281">
      <c r="A21281" s="39">
        <f>_xlfn.XLOOKUP(84525,Trip[shape_id],Trip[shape_id],"Não encontrado")</f>
        <v/>
      </c>
      <c r="B21281" s="40" t="n">
        <v>-23.594579</v>
      </c>
      <c r="C21281" s="40" t="n">
        <v>-46.44324</v>
      </c>
      <c r="D21281" s="40" t="n">
        <v>170</v>
      </c>
      <c r="E21281" s="41" t="n">
        <v>5450.3955</v>
      </c>
    </row>
    <row r="21282">
      <c r="A21282" s="42">
        <f>_xlfn.XLOOKUP(84525,Trip[shape_id],Trip[shape_id],"Não encontrado")</f>
        <v/>
      </c>
      <c r="B21282" s="43" t="n">
        <v>-23.594631</v>
      </c>
      <c r="C21282" s="43" t="n">
        <v>-46.444108</v>
      </c>
      <c r="D21282" s="43" t="n">
        <v>171</v>
      </c>
      <c r="E21282" s="44" t="n">
        <v>5539.1777</v>
      </c>
    </row>
    <row r="21283">
      <c r="A21283" s="39">
        <f>_xlfn.XLOOKUP(84525,Trip[shape_id],Trip[shape_id],"Não encontrado")</f>
        <v/>
      </c>
      <c r="B21283" s="40" t="n">
        <v>-23.594651</v>
      </c>
      <c r="C21283" s="40" t="n">
        <v>-46.445079</v>
      </c>
      <c r="D21283" s="40" t="n">
        <v>172</v>
      </c>
      <c r="E21283" s="41" t="n">
        <v>5638.3105</v>
      </c>
    </row>
    <row r="21284">
      <c r="A21284" s="42">
        <f>_xlfn.XLOOKUP(84525,Trip[shape_id],Trip[shape_id],"Não encontrado")</f>
        <v/>
      </c>
      <c r="B21284" s="43" t="n">
        <v>-23.594675</v>
      </c>
      <c r="C21284" s="43" t="n">
        <v>-46.445558</v>
      </c>
      <c r="D21284" s="43" t="n">
        <v>173</v>
      </c>
      <c r="E21284" s="44" t="n">
        <v>5709.436</v>
      </c>
    </row>
    <row r="21285">
      <c r="A21285" s="39">
        <f>_xlfn.XLOOKUP(84525,Trip[shape_id],Trip[shape_id],"Não encontrado")</f>
        <v/>
      </c>
      <c r="B21285" s="40" t="n">
        <v>-23.594682</v>
      </c>
      <c r="C21285" s="40" t="n">
        <v>-46.445775</v>
      </c>
      <c r="D21285" s="40" t="n">
        <v>174</v>
      </c>
      <c r="E21285" s="41" t="n">
        <v>5739.4458</v>
      </c>
    </row>
    <row r="21286">
      <c r="A21286" s="42">
        <f>_xlfn.XLOOKUP(84525,Trip[shape_id],Trip[shape_id],"Não encontrado")</f>
        <v/>
      </c>
      <c r="B21286" s="43" t="n">
        <v>-23.594679</v>
      </c>
      <c r="C21286" s="43" t="n">
        <v>-46.446069</v>
      </c>
      <c r="D21286" s="43" t="n">
        <v>175</v>
      </c>
      <c r="E21286" s="44" t="n">
        <v>5761.1792</v>
      </c>
    </row>
    <row r="21287">
      <c r="A21287" s="39">
        <f>_xlfn.XLOOKUP(84525,Trip[shape_id],Trip[shape_id],"Não encontrado")</f>
        <v/>
      </c>
      <c r="B21287" s="40" t="n">
        <v>-23.594633</v>
      </c>
      <c r="C21287" s="40" t="n">
        <v>-46.446276</v>
      </c>
      <c r="D21287" s="40" t="n">
        <v>176</v>
      </c>
      <c r="E21287" s="41" t="n">
        <v>5761.1792</v>
      </c>
    </row>
    <row r="21288">
      <c r="A21288" s="42">
        <f>_xlfn.XLOOKUP(84525,Trip[shape_id],Trip[shape_id],"Não encontrado")</f>
        <v/>
      </c>
      <c r="B21288" s="43" t="n">
        <v>-23.594541</v>
      </c>
      <c r="C21288" s="43" t="n">
        <v>-46.447133</v>
      </c>
      <c r="D21288" s="43" t="n">
        <v>177</v>
      </c>
      <c r="E21288" s="44" t="n">
        <v>5849.2427</v>
      </c>
    </row>
    <row r="21289">
      <c r="A21289" s="39">
        <f>_xlfn.XLOOKUP(84525,Trip[shape_id],Trip[shape_id],"Não encontrado")</f>
        <v/>
      </c>
      <c r="B21289" s="40" t="n">
        <v>-23.594519</v>
      </c>
      <c r="C21289" s="40" t="n">
        <v>-46.447507</v>
      </c>
      <c r="D21289" s="40" t="n">
        <v>178</v>
      </c>
      <c r="E21289" s="41" t="n">
        <v>5887.4937</v>
      </c>
    </row>
    <row r="21290">
      <c r="A21290" s="42">
        <f>_xlfn.XLOOKUP(84525,Trip[shape_id],Trip[shape_id],"Não encontrado")</f>
        <v/>
      </c>
      <c r="B21290" s="43" t="n">
        <v>-23.594511</v>
      </c>
      <c r="C21290" s="43" t="n">
        <v>-46.447668</v>
      </c>
      <c r="D21290" s="43" t="n">
        <v>179</v>
      </c>
      <c r="E21290" s="44" t="n">
        <v>5903.9502</v>
      </c>
    </row>
    <row r="21291">
      <c r="A21291" s="39">
        <f>_xlfn.XLOOKUP(84525,Trip[shape_id],Trip[shape_id],"Não encontrado")</f>
        <v/>
      </c>
      <c r="B21291" s="40" t="n">
        <v>-23.594508</v>
      </c>
      <c r="C21291" s="40" t="n">
        <v>-46.44779</v>
      </c>
      <c r="D21291" s="40" t="n">
        <v>180</v>
      </c>
      <c r="E21291" s="41" t="n">
        <v>5916.4067</v>
      </c>
    </row>
    <row r="21292">
      <c r="A21292" s="42">
        <f>_xlfn.XLOOKUP(84525,Trip[shape_id],Trip[shape_id],"Não encontrado")</f>
        <v/>
      </c>
      <c r="B21292" s="43" t="n">
        <v>-23.594508</v>
      </c>
      <c r="C21292" s="43" t="n">
        <v>-46.447894</v>
      </c>
      <c r="D21292" s="43" t="n">
        <v>181</v>
      </c>
      <c r="E21292" s="44" t="n">
        <v>5927.0215</v>
      </c>
    </row>
    <row r="21293">
      <c r="A21293" s="39">
        <f>_xlfn.XLOOKUP(84525,Trip[shape_id],Trip[shape_id],"Não encontrado")</f>
        <v/>
      </c>
      <c r="B21293" s="40" t="n">
        <v>-23.594502</v>
      </c>
      <c r="C21293" s="40" t="n">
        <v>-46.448009</v>
      </c>
      <c r="D21293" s="40" t="n">
        <v>182</v>
      </c>
      <c r="E21293" s="41" t="n">
        <v>5938.7783</v>
      </c>
    </row>
    <row r="21294">
      <c r="A21294" s="42">
        <f>_xlfn.XLOOKUP(84525,Trip[shape_id],Trip[shape_id],"Não encontrado")</f>
        <v/>
      </c>
      <c r="B21294" s="43" t="n">
        <v>-23.594519</v>
      </c>
      <c r="C21294" s="43" t="n">
        <v>-46.448325</v>
      </c>
      <c r="D21294" s="43" t="n">
        <v>183</v>
      </c>
      <c r="E21294" s="44" t="n">
        <v>5971.0869</v>
      </c>
    </row>
    <row r="21295">
      <c r="A21295" s="39">
        <f>_xlfn.XLOOKUP(84525,Trip[shape_id],Trip[shape_id],"Não encontrado")</f>
        <v/>
      </c>
      <c r="B21295" s="40" t="n">
        <v>-23.594548</v>
      </c>
      <c r="C21295" s="40" t="n">
        <v>-46.448489</v>
      </c>
      <c r="D21295" s="40" t="n">
        <v>184</v>
      </c>
      <c r="E21295" s="41" t="n">
        <v>5988.1313</v>
      </c>
    </row>
    <row r="21296">
      <c r="A21296" s="42">
        <f>_xlfn.XLOOKUP(84525,Trip[shape_id],Trip[shape_id],"Não encontrado")</f>
        <v/>
      </c>
      <c r="B21296" s="43" t="n">
        <v>-23.594759</v>
      </c>
      <c r="C21296" s="43" t="n">
        <v>-46.449408</v>
      </c>
      <c r="D21296" s="43" t="n">
        <v>185</v>
      </c>
      <c r="E21296" s="44" t="n">
        <v>6084.7988</v>
      </c>
    </row>
    <row r="21297">
      <c r="A21297" s="39">
        <f>_xlfn.XLOOKUP(84525,Trip[shape_id],Trip[shape_id],"Não encontrado")</f>
        <v/>
      </c>
      <c r="B21297" s="40" t="n">
        <v>-23.594881</v>
      </c>
      <c r="C21297" s="40" t="n">
        <v>-46.450017</v>
      </c>
      <c r="D21297" s="40" t="n">
        <v>186</v>
      </c>
      <c r="E21297" s="41" t="n">
        <v>6148.4097</v>
      </c>
    </row>
    <row r="21298">
      <c r="A21298" s="42">
        <f>_xlfn.XLOOKUP(84525,Trip[shape_id],Trip[shape_id],"Não encontrado")</f>
        <v/>
      </c>
      <c r="B21298" s="43" t="n">
        <v>-23.594951</v>
      </c>
      <c r="C21298" s="43" t="n">
        <v>-46.450357</v>
      </c>
      <c r="D21298" s="43" t="n">
        <v>187</v>
      </c>
      <c r="E21298" s="44" t="n">
        <v>6183.9683</v>
      </c>
    </row>
    <row r="21299">
      <c r="A21299" s="39">
        <f>_xlfn.XLOOKUP(84525,Trip[shape_id],Trip[shape_id],"Não encontrado")</f>
        <v/>
      </c>
      <c r="B21299" s="40" t="n">
        <v>-23.594988</v>
      </c>
      <c r="C21299" s="40" t="n">
        <v>-46.450598</v>
      </c>
      <c r="D21299" s="40" t="n">
        <v>188</v>
      </c>
      <c r="E21299" s="41" t="n">
        <v>6208.9058</v>
      </c>
    </row>
    <row r="21300">
      <c r="A21300" s="42">
        <f>_xlfn.XLOOKUP(84525,Trip[shape_id],Trip[shape_id],"Não encontrado")</f>
        <v/>
      </c>
      <c r="B21300" s="43" t="n">
        <v>-23.595021</v>
      </c>
      <c r="C21300" s="43" t="n">
        <v>-46.450738</v>
      </c>
      <c r="D21300" s="43" t="n">
        <v>189</v>
      </c>
      <c r="E21300" s="44" t="n">
        <v>6223.6553</v>
      </c>
    </row>
    <row r="21301">
      <c r="A21301" s="39">
        <f>_xlfn.XLOOKUP(84525,Trip[shape_id],Trip[shape_id],"Não encontrado")</f>
        <v/>
      </c>
      <c r="B21301" s="40" t="n">
        <v>-23.595083</v>
      </c>
      <c r="C21301" s="40" t="n">
        <v>-46.450908</v>
      </c>
      <c r="D21301" s="40" t="n">
        <v>190</v>
      </c>
      <c r="E21301" s="41" t="n">
        <v>6242.3159</v>
      </c>
    </row>
    <row r="21302">
      <c r="A21302" s="42">
        <f>_xlfn.XLOOKUP(84525,Trip[shape_id],Trip[shape_id],"Não encontrado")</f>
        <v/>
      </c>
      <c r="B21302" s="43" t="n">
        <v>-23.595238</v>
      </c>
      <c r="C21302" s="43" t="n">
        <v>-46.451213</v>
      </c>
      <c r="D21302" s="43" t="n">
        <v>191</v>
      </c>
      <c r="E21302" s="44" t="n">
        <v>6277.8662</v>
      </c>
    </row>
    <row r="21303">
      <c r="A21303" s="39">
        <f>_xlfn.XLOOKUP(84525,Trip[shape_id],Trip[shape_id],"Não encontrado")</f>
        <v/>
      </c>
      <c r="B21303" s="40" t="n">
        <v>-23.595331</v>
      </c>
      <c r="C21303" s="40" t="n">
        <v>-46.451379</v>
      </c>
      <c r="D21303" s="40" t="n">
        <v>192</v>
      </c>
      <c r="E21303" s="41" t="n">
        <v>6297.6943</v>
      </c>
    </row>
    <row r="21304">
      <c r="A21304" s="42">
        <f>_xlfn.XLOOKUP(84525,Trip[shape_id],Trip[shape_id],"Não encontrado")</f>
        <v/>
      </c>
      <c r="B21304" s="43" t="n">
        <v>-23.59557</v>
      </c>
      <c r="C21304" s="43" t="n">
        <v>-46.451761</v>
      </c>
      <c r="D21304" s="43" t="n">
        <v>193</v>
      </c>
      <c r="E21304" s="44" t="n">
        <v>6344.8203</v>
      </c>
    </row>
    <row r="21305">
      <c r="A21305" s="39">
        <f>_xlfn.XLOOKUP(84525,Trip[shape_id],Trip[shape_id],"Não encontrado")</f>
        <v/>
      </c>
      <c r="B21305" s="40" t="n">
        <v>-23.595693</v>
      </c>
      <c r="C21305" s="40" t="n">
        <v>-46.451982</v>
      </c>
      <c r="D21305" s="40" t="n">
        <v>194</v>
      </c>
      <c r="E21305" s="41" t="n">
        <v>6371.1719</v>
      </c>
    </row>
    <row r="21306">
      <c r="A21306" s="42">
        <f>_xlfn.XLOOKUP(84525,Trip[shape_id],Trip[shape_id],"Não encontrado")</f>
        <v/>
      </c>
      <c r="B21306" s="43" t="n">
        <v>-23.595754</v>
      </c>
      <c r="C21306" s="43" t="n">
        <v>-46.452091</v>
      </c>
      <c r="D21306" s="43" t="n">
        <v>195</v>
      </c>
      <c r="E21306" s="44" t="n">
        <v>6384.188</v>
      </c>
    </row>
    <row r="21307">
      <c r="A21307" s="39">
        <f>_xlfn.XLOOKUP(84525,Trip[shape_id],Trip[shape_id],"Não encontrado")</f>
        <v/>
      </c>
      <c r="B21307" s="40" t="n">
        <v>-23.595813</v>
      </c>
      <c r="C21307" s="40" t="n">
        <v>-46.452265</v>
      </c>
      <c r="D21307" s="40" t="n">
        <v>196</v>
      </c>
      <c r="E21307" s="41" t="n">
        <v>6403.1118</v>
      </c>
    </row>
    <row r="21308">
      <c r="A21308" s="42">
        <f>_xlfn.XLOOKUP(84525,Trip[shape_id],Trip[shape_id],"Não encontrado")</f>
        <v/>
      </c>
      <c r="B21308" s="43" t="n">
        <v>-23.595878</v>
      </c>
      <c r="C21308" s="43" t="n">
        <v>-46.452567</v>
      </c>
      <c r="D21308" s="43" t="n">
        <v>197</v>
      </c>
      <c r="E21308" s="44" t="n">
        <v>6434.7656</v>
      </c>
    </row>
    <row r="21309">
      <c r="A21309" s="39">
        <f>_xlfn.XLOOKUP(84525,Trip[shape_id],Trip[shape_id],"Não encontrado")</f>
        <v/>
      </c>
      <c r="B21309" s="40" t="n">
        <v>-23.595966</v>
      </c>
      <c r="C21309" s="40" t="n">
        <v>-46.45314</v>
      </c>
      <c r="D21309" s="40" t="n">
        <v>198</v>
      </c>
      <c r="E21309" s="41" t="n">
        <v>6494.0566</v>
      </c>
    </row>
    <row r="21310">
      <c r="A21310" s="42">
        <f>_xlfn.XLOOKUP(84525,Trip[shape_id],Trip[shape_id],"Não encontrado")</f>
        <v/>
      </c>
      <c r="B21310" s="43" t="n">
        <v>-23.596</v>
      </c>
      <c r="C21310" s="43" t="n">
        <v>-46.453421</v>
      </c>
      <c r="D21310" s="43" t="n">
        <v>199</v>
      </c>
      <c r="E21310" s="44" t="n">
        <v>6522.9834</v>
      </c>
    </row>
    <row r="21311">
      <c r="A21311" s="39">
        <f>_xlfn.XLOOKUP(84525,Trip[shape_id],Trip[shape_id],"Não encontrado")</f>
        <v/>
      </c>
      <c r="B21311" s="40" t="n">
        <v>-23.596017</v>
      </c>
      <c r="C21311" s="40" t="n">
        <v>-46.453541</v>
      </c>
      <c r="D21311" s="40" t="n">
        <v>200</v>
      </c>
      <c r="E21311" s="41" t="n">
        <v>6535.375</v>
      </c>
    </row>
    <row r="21312">
      <c r="A21312" s="42">
        <f>_xlfn.XLOOKUP(84525,Trip[shape_id],Trip[shape_id],"Não encontrado")</f>
        <v/>
      </c>
      <c r="B21312" s="43" t="n">
        <v>-23.59604</v>
      </c>
      <c r="C21312" s="43" t="n">
        <v>-46.453762</v>
      </c>
      <c r="D21312" s="43" t="n">
        <v>201</v>
      </c>
      <c r="E21312" s="44" t="n">
        <v>6558.0752</v>
      </c>
    </row>
    <row r="21313">
      <c r="A21313" s="39">
        <f>_xlfn.XLOOKUP(84525,Trip[shape_id],Trip[shape_id],"Não encontrado")</f>
        <v/>
      </c>
      <c r="B21313" s="40" t="n">
        <v>-23.596082</v>
      </c>
      <c r="C21313" s="40" t="n">
        <v>-46.454048</v>
      </c>
      <c r="D21313" s="40" t="n">
        <v>202</v>
      </c>
      <c r="E21313" s="41" t="n">
        <v>6587.6348</v>
      </c>
    </row>
    <row r="21314">
      <c r="A21314" s="42">
        <f>_xlfn.XLOOKUP(84525,Trip[shape_id],Trip[shape_id],"Não encontrado")</f>
        <v/>
      </c>
      <c r="B21314" s="43" t="n">
        <v>-23.596296</v>
      </c>
      <c r="C21314" s="43" t="n">
        <v>-46.455556</v>
      </c>
      <c r="D21314" s="43" t="n">
        <v>203</v>
      </c>
      <c r="E21314" s="44" t="n">
        <v>6743.3657</v>
      </c>
    </row>
    <row r="21315">
      <c r="A21315" s="39">
        <f>_xlfn.XLOOKUP(84525,Trip[shape_id],Trip[shape_id],"Não encontrado")</f>
        <v/>
      </c>
      <c r="B21315" s="40" t="n">
        <v>-23.596323</v>
      </c>
      <c r="C21315" s="40" t="n">
        <v>-46.455697</v>
      </c>
      <c r="D21315" s="40" t="n">
        <v>204</v>
      </c>
      <c r="E21315" s="41" t="n">
        <v>6758.0645</v>
      </c>
    </row>
    <row r="21316">
      <c r="A21316" s="42">
        <f>_xlfn.XLOOKUP(84525,Trip[shape_id],Trip[shape_id],"Não encontrado")</f>
        <v/>
      </c>
      <c r="B21316" s="43" t="n">
        <v>-23.596395</v>
      </c>
      <c r="C21316" s="43" t="n">
        <v>-46.455924</v>
      </c>
      <c r="D21316" s="43" t="n">
        <v>205</v>
      </c>
      <c r="E21316" s="44" t="n">
        <v>6782.5674</v>
      </c>
    </row>
    <row r="21317">
      <c r="A21317" s="39">
        <f>_xlfn.XLOOKUP(84525,Trip[shape_id],Trip[shape_id],"Não encontrado")</f>
        <v/>
      </c>
      <c r="B21317" s="40" t="n">
        <v>-23.596476</v>
      </c>
      <c r="C21317" s="40" t="n">
        <v>-46.45614</v>
      </c>
      <c r="D21317" s="40" t="n">
        <v>206</v>
      </c>
      <c r="E21317" s="41" t="n">
        <v>6806.3691</v>
      </c>
    </row>
    <row r="21318">
      <c r="A21318" s="42">
        <f>_xlfn.XLOOKUP(84525,Trip[shape_id],Trip[shape_id],"Não encontrado")</f>
        <v/>
      </c>
      <c r="B21318" s="43" t="n">
        <v>-23.596539</v>
      </c>
      <c r="C21318" s="43" t="n">
        <v>-46.456256</v>
      </c>
      <c r="D21318" s="43" t="n">
        <v>207</v>
      </c>
      <c r="E21318" s="44" t="n">
        <v>6820.1118</v>
      </c>
    </row>
    <row r="21319">
      <c r="A21319" s="39">
        <f>_xlfn.XLOOKUP(84525,Trip[shape_id],Trip[shape_id],"Não encontrado")</f>
        <v/>
      </c>
      <c r="B21319" s="40" t="n">
        <v>-23.59663</v>
      </c>
      <c r="C21319" s="40" t="n">
        <v>-46.456397</v>
      </c>
      <c r="D21319" s="40" t="n">
        <v>208</v>
      </c>
      <c r="E21319" s="41" t="n">
        <v>6837.6816</v>
      </c>
    </row>
    <row r="21320">
      <c r="A21320" s="42">
        <f>_xlfn.XLOOKUP(84525,Trip[shape_id],Trip[shape_id],"Não encontrado")</f>
        <v/>
      </c>
      <c r="B21320" s="43" t="n">
        <v>-23.596902</v>
      </c>
      <c r="C21320" s="43" t="n">
        <v>-46.456749</v>
      </c>
      <c r="D21320" s="43" t="n">
        <v>209</v>
      </c>
      <c r="E21320" s="44" t="n">
        <v>6884.5674</v>
      </c>
    </row>
    <row r="21321">
      <c r="A21321" s="39">
        <f>_xlfn.XLOOKUP(84525,Trip[shape_id],Trip[shape_id],"Não encontrado")</f>
        <v/>
      </c>
      <c r="B21321" s="40" t="n">
        <v>-23.597287</v>
      </c>
      <c r="C21321" s="40" t="n">
        <v>-46.457261</v>
      </c>
      <c r="D21321" s="40" t="n">
        <v>210</v>
      </c>
      <c r="E21321" s="41" t="n">
        <v>6952.0137</v>
      </c>
    </row>
    <row r="21322">
      <c r="A21322" s="42">
        <f>_xlfn.XLOOKUP(84525,Trip[shape_id],Trip[shape_id],"Não encontrado")</f>
        <v/>
      </c>
      <c r="B21322" s="43" t="n">
        <v>-23.597399</v>
      </c>
      <c r="C21322" s="43" t="n">
        <v>-46.457387</v>
      </c>
      <c r="D21322" s="43" t="n">
        <v>211</v>
      </c>
      <c r="E21322" s="44" t="n">
        <v>6969.8813</v>
      </c>
    </row>
    <row r="21323">
      <c r="A21323" s="39">
        <f>_xlfn.XLOOKUP(84525,Trip[shape_id],Trip[shape_id],"Não encontrado")</f>
        <v/>
      </c>
      <c r="B21323" s="40" t="n">
        <v>-23.597459</v>
      </c>
      <c r="C21323" s="40" t="n">
        <v>-46.457474</v>
      </c>
      <c r="D21323" s="40" t="n">
        <v>212</v>
      </c>
      <c r="E21323" s="41" t="n">
        <v>6980.9727</v>
      </c>
    </row>
    <row r="21324">
      <c r="A21324" s="42">
        <f>_xlfn.XLOOKUP(84525,Trip[shape_id],Trip[shape_id],"Não encontrado")</f>
        <v/>
      </c>
      <c r="B21324" s="43" t="n">
        <v>-23.597532</v>
      </c>
      <c r="C21324" s="43" t="n">
        <v>-46.457597</v>
      </c>
      <c r="D21324" s="43" t="n">
        <v>213</v>
      </c>
      <c r="E21324" s="44" t="n">
        <v>6995.9053</v>
      </c>
    </row>
    <row r="21325">
      <c r="A21325" s="39">
        <f>_xlfn.XLOOKUP(84525,Trip[shape_id],Trip[shape_id],"Não encontrado")</f>
        <v/>
      </c>
      <c r="B21325" s="40" t="n">
        <v>-23.597582</v>
      </c>
      <c r="C21325" s="40" t="n">
        <v>-46.4577</v>
      </c>
      <c r="D21325" s="40" t="n">
        <v>214</v>
      </c>
      <c r="E21325" s="41" t="n">
        <v>7007.7876</v>
      </c>
    </row>
    <row r="21326">
      <c r="A21326" s="42">
        <f>_xlfn.XLOOKUP(84525,Trip[shape_id],Trip[shape_id],"Não encontrado")</f>
        <v/>
      </c>
      <c r="B21326" s="43" t="n">
        <v>-23.59764</v>
      </c>
      <c r="C21326" s="43" t="n">
        <v>-46.457841</v>
      </c>
      <c r="D21326" s="43" t="n">
        <v>215</v>
      </c>
      <c r="E21326" s="44" t="n">
        <v>7023.5474</v>
      </c>
    </row>
    <row r="21327">
      <c r="A21327" s="39">
        <f>_xlfn.XLOOKUP(84525,Trip[shape_id],Trip[shape_id],"Não encontrado")</f>
        <v/>
      </c>
      <c r="B21327" s="40" t="n">
        <v>-23.597691</v>
      </c>
      <c r="C21327" s="40" t="n">
        <v>-46.458017</v>
      </c>
      <c r="D21327" s="40" t="n">
        <v>216</v>
      </c>
      <c r="E21327" s="41" t="n">
        <v>7042.3779</v>
      </c>
    </row>
    <row r="21328">
      <c r="A21328" s="42">
        <f>_xlfn.XLOOKUP(84525,Trip[shape_id],Trip[shape_id],"Não encontrado")</f>
        <v/>
      </c>
      <c r="B21328" s="43" t="n">
        <v>-23.597817</v>
      </c>
      <c r="C21328" s="43" t="n">
        <v>-46.458444</v>
      </c>
      <c r="D21328" s="43" t="n">
        <v>217</v>
      </c>
      <c r="E21328" s="44" t="n">
        <v>7088.1396</v>
      </c>
    </row>
    <row r="21329">
      <c r="A21329" s="39">
        <f>_xlfn.XLOOKUP(84525,Trip[shape_id],Trip[shape_id],"Não encontrado")</f>
        <v/>
      </c>
      <c r="B21329" s="40" t="n">
        <v>-23.59794</v>
      </c>
      <c r="C21329" s="40" t="n">
        <v>-46.458835</v>
      </c>
      <c r="D21329" s="40" t="n">
        <v>218</v>
      </c>
      <c r="E21329" s="41" t="n">
        <v>7130.3081</v>
      </c>
    </row>
    <row r="21330">
      <c r="A21330" s="42">
        <f>_xlfn.XLOOKUP(84525,Trip[shape_id],Trip[shape_id],"Não encontrado")</f>
        <v/>
      </c>
      <c r="B21330" s="43" t="n">
        <v>-23.597984</v>
      </c>
      <c r="C21330" s="43" t="n">
        <v>-46.458986</v>
      </c>
      <c r="D21330" s="43" t="n">
        <v>219</v>
      </c>
      <c r="E21330" s="44" t="n">
        <v>7146.4722</v>
      </c>
    </row>
    <row r="21331">
      <c r="A21331" s="39">
        <f>_xlfn.XLOOKUP(84525,Trip[shape_id],Trip[shape_id],"Não encontrado")</f>
        <v/>
      </c>
      <c r="B21331" s="40" t="n">
        <v>-23.59806</v>
      </c>
      <c r="C21331" s="40" t="n">
        <v>-46.459152</v>
      </c>
      <c r="D21331" s="40" t="n">
        <v>220</v>
      </c>
      <c r="E21331" s="41" t="n">
        <v>7165.3906</v>
      </c>
    </row>
    <row r="21332">
      <c r="A21332" s="42">
        <f>_xlfn.XLOOKUP(84525,Trip[shape_id],Trip[shape_id],"Não encontrado")</f>
        <v/>
      </c>
      <c r="B21332" s="43" t="n">
        <v>-23.598134</v>
      </c>
      <c r="C21332" s="43" t="n">
        <v>-46.459355</v>
      </c>
      <c r="D21332" s="43" t="n">
        <v>221</v>
      </c>
      <c r="E21332" s="44" t="n">
        <v>7187.6719</v>
      </c>
    </row>
    <row r="21333">
      <c r="A21333" s="39">
        <f>_xlfn.XLOOKUP(84525,Trip[shape_id],Trip[shape_id],"Não encontrado")</f>
        <v/>
      </c>
      <c r="B21333" s="40" t="n">
        <v>-23.598218</v>
      </c>
      <c r="C21333" s="40" t="n">
        <v>-46.459755</v>
      </c>
      <c r="D21333" s="40" t="n">
        <v>222</v>
      </c>
      <c r="E21333" s="41" t="n">
        <v>7229.5444</v>
      </c>
    </row>
    <row r="21334">
      <c r="A21334" s="42">
        <f>_xlfn.XLOOKUP(84525,Trip[shape_id],Trip[shape_id],"Não encontrado")</f>
        <v/>
      </c>
      <c r="B21334" s="43" t="n">
        <v>-23.598237</v>
      </c>
      <c r="C21334" s="43" t="n">
        <v>-46.459903</v>
      </c>
      <c r="D21334" s="43" t="n">
        <v>223</v>
      </c>
      <c r="E21334" s="44" t="n">
        <v>7244.7959</v>
      </c>
    </row>
    <row r="21335">
      <c r="A21335" s="39">
        <f>_xlfn.XLOOKUP(84525,Trip[shape_id],Trip[shape_id],"Não encontrado")</f>
        <v/>
      </c>
      <c r="B21335" s="40" t="n">
        <v>-23.598233</v>
      </c>
      <c r="C21335" s="40" t="n">
        <v>-46.460027</v>
      </c>
      <c r="D21335" s="40" t="n">
        <v>224</v>
      </c>
      <c r="E21335" s="41" t="n">
        <v>7257.4595</v>
      </c>
    </row>
    <row r="21336">
      <c r="A21336" s="42">
        <f>_xlfn.XLOOKUP(84525,Trip[shape_id],Trip[shape_id],"Não encontrado")</f>
        <v/>
      </c>
      <c r="B21336" s="43" t="n">
        <v>-23.598233</v>
      </c>
      <c r="C21336" s="43" t="n">
        <v>-46.460139</v>
      </c>
      <c r="D21336" s="43" t="n">
        <v>225</v>
      </c>
      <c r="E21336" s="44" t="n">
        <v>7268.8906</v>
      </c>
    </row>
    <row r="21337">
      <c r="A21337" s="39">
        <f>_xlfn.XLOOKUP(84525,Trip[shape_id],Trip[shape_id],"Não encontrado")</f>
        <v/>
      </c>
      <c r="B21337" s="40" t="n">
        <v>-23.598222</v>
      </c>
      <c r="C21337" s="40" t="n">
        <v>-46.460279</v>
      </c>
      <c r="D21337" s="40" t="n">
        <v>226</v>
      </c>
      <c r="E21337" s="41" t="n">
        <v>7283.2319</v>
      </c>
    </row>
    <row r="21338">
      <c r="A21338" s="42">
        <f>_xlfn.XLOOKUP(84525,Trip[shape_id],Trip[shape_id],"Não encontrado")</f>
        <v/>
      </c>
      <c r="B21338" s="43" t="n">
        <v>-23.598211</v>
      </c>
      <c r="C21338" s="43" t="n">
        <v>-46.460435</v>
      </c>
      <c r="D21338" s="43" t="n">
        <v>227</v>
      </c>
      <c r="E21338" s="44" t="n">
        <v>7299.2002</v>
      </c>
    </row>
    <row r="21339">
      <c r="A21339" s="39">
        <f>_xlfn.XLOOKUP(84525,Trip[shape_id],Trip[shape_id],"Não encontrado")</f>
        <v/>
      </c>
      <c r="B21339" s="40" t="n">
        <v>-23.598204</v>
      </c>
      <c r="C21339" s="40" t="n">
        <v>-46.46068</v>
      </c>
      <c r="D21339" s="40" t="n">
        <v>228</v>
      </c>
      <c r="E21339" s="41" t="n">
        <v>7324.2183</v>
      </c>
    </row>
    <row r="21340">
      <c r="A21340" s="42">
        <f>_xlfn.XLOOKUP(84525,Trip[shape_id],Trip[shape_id],"Não encontrado")</f>
        <v/>
      </c>
      <c r="B21340" s="43" t="n">
        <v>-23.598196</v>
      </c>
      <c r="C21340" s="43" t="n">
        <v>-46.460836</v>
      </c>
      <c r="D21340" s="43" t="n">
        <v>229</v>
      </c>
      <c r="E21340" s="44" t="n">
        <v>7340.1655</v>
      </c>
    </row>
    <row r="21341">
      <c r="A21341" s="39">
        <f>_xlfn.XLOOKUP(84525,Trip[shape_id],Trip[shape_id],"Não encontrado")</f>
        <v/>
      </c>
      <c r="B21341" s="40" t="n">
        <v>-23.5982</v>
      </c>
      <c r="C21341" s="40" t="n">
        <v>-46.461016</v>
      </c>
      <c r="D21341" s="40" t="n">
        <v>230</v>
      </c>
      <c r="E21341" s="41" t="n">
        <v>7358.543</v>
      </c>
    </row>
    <row r="21342">
      <c r="A21342" s="42">
        <f>_xlfn.XLOOKUP(84525,Trip[shape_id],Trip[shape_id],"Não encontrado")</f>
        <v/>
      </c>
      <c r="B21342" s="43" t="n">
        <v>-23.598222</v>
      </c>
      <c r="C21342" s="43" t="n">
        <v>-46.461184</v>
      </c>
      <c r="D21342" s="43" t="n">
        <v>231</v>
      </c>
      <c r="E21342" s="44" t="n">
        <v>7375.8618</v>
      </c>
    </row>
    <row r="21343">
      <c r="A21343" s="39">
        <f>_xlfn.XLOOKUP(84525,Trip[shape_id],Trip[shape_id],"Não encontrado")</f>
        <v/>
      </c>
      <c r="B21343" s="40" t="n">
        <v>-23.598255</v>
      </c>
      <c r="C21343" s="40" t="n">
        <v>-46.46134</v>
      </c>
      <c r="D21343" s="40" t="n">
        <v>232</v>
      </c>
      <c r="E21343" s="41" t="n">
        <v>7392.1978</v>
      </c>
    </row>
    <row r="21344">
      <c r="A21344" s="42">
        <f>_xlfn.XLOOKUP(84525,Trip[shape_id],Trip[shape_id],"Não encontrado")</f>
        <v/>
      </c>
      <c r="B21344" s="43" t="n">
        <v>-23.598281</v>
      </c>
      <c r="C21344" s="43" t="n">
        <v>-46.46152</v>
      </c>
      <c r="D21344" s="43" t="n">
        <v>233</v>
      </c>
      <c r="E21344" s="44" t="n">
        <v>7410.7935</v>
      </c>
    </row>
    <row r="21345">
      <c r="A21345" s="39">
        <f>_xlfn.XLOOKUP(84525,Trip[shape_id],Trip[shape_id],"Não encontrado")</f>
        <v/>
      </c>
      <c r="B21345" s="40" t="n">
        <v>-23.598266</v>
      </c>
      <c r="C21345" s="40" t="n">
        <v>-46.461748</v>
      </c>
      <c r="D21345" s="40" t="n">
        <v>234</v>
      </c>
      <c r="E21345" s="41" t="n">
        <v>7434.1235</v>
      </c>
    </row>
    <row r="21346">
      <c r="A21346" s="42">
        <f>_xlfn.XLOOKUP(84525,Trip[shape_id],Trip[shape_id],"Não encontrado")</f>
        <v/>
      </c>
      <c r="B21346" s="43" t="n">
        <v>-23.598237</v>
      </c>
      <c r="C21346" s="43" t="n">
        <v>-46.461945</v>
      </c>
      <c r="D21346" s="43" t="n">
        <v>235</v>
      </c>
      <c r="E21346" s="44" t="n">
        <v>7454.4854</v>
      </c>
    </row>
    <row r="21347">
      <c r="A21347" s="39">
        <f>_xlfn.XLOOKUP(84525,Trip[shape_id],Trip[shape_id],"Não encontrado")</f>
        <v/>
      </c>
      <c r="B21347" s="40" t="n">
        <v>-23.598229</v>
      </c>
      <c r="C21347" s="40" t="n">
        <v>-46.462025</v>
      </c>
      <c r="D21347" s="40" t="n">
        <v>236</v>
      </c>
      <c r="E21347" s="41" t="n">
        <v>7462.6982</v>
      </c>
    </row>
    <row r="21348">
      <c r="A21348" s="42">
        <f>_xlfn.XLOOKUP(84525,Trip[shape_id],Trip[shape_id],"Não encontrado")</f>
        <v/>
      </c>
      <c r="B21348" s="43" t="n">
        <v>-23.598204</v>
      </c>
      <c r="C21348" s="43" t="n">
        <v>-46.462113</v>
      </c>
      <c r="D21348" s="43" t="n">
        <v>237</v>
      </c>
      <c r="E21348" s="44" t="n">
        <v>7483.9492</v>
      </c>
    </row>
    <row r="21349">
      <c r="A21349" s="39">
        <f>_xlfn.XLOOKUP(84525,Trip[shape_id],Trip[shape_id],"Não encontrado")</f>
        <v/>
      </c>
      <c r="B21349" s="40" t="n">
        <v>-23.598199</v>
      </c>
      <c r="C21349" s="40" t="n">
        <v>-46.462229</v>
      </c>
      <c r="D21349" s="40" t="n">
        <v>238</v>
      </c>
      <c r="E21349" s="41" t="n">
        <v>7497.8462</v>
      </c>
    </row>
    <row r="21350">
      <c r="A21350" s="42">
        <f>_xlfn.XLOOKUP(84525,Trip[shape_id],Trip[shape_id],"Não encontrado")</f>
        <v/>
      </c>
      <c r="B21350" s="43" t="n">
        <v>-23.598193</v>
      </c>
      <c r="C21350" s="43" t="n">
        <v>-46.462365</v>
      </c>
      <c r="D21350" s="43" t="n">
        <v>239</v>
      </c>
      <c r="E21350" s="44" t="n">
        <v>7508.1548</v>
      </c>
    </row>
    <row r="21351">
      <c r="A21351" s="39">
        <f>_xlfn.XLOOKUP(84525,Trip[shape_id],Trip[shape_id],"Não encontrado")</f>
        <v/>
      </c>
      <c r="B21351" s="40" t="n">
        <v>-23.598193</v>
      </c>
      <c r="C21351" s="40" t="n">
        <v>-46.462466</v>
      </c>
      <c r="D21351" s="40" t="n">
        <v>240</v>
      </c>
      <c r="E21351" s="41" t="n">
        <v>7519.9941</v>
      </c>
    </row>
    <row r="21352">
      <c r="A21352" s="42">
        <f>_xlfn.XLOOKUP(84525,Trip[shape_id],Trip[shape_id],"Não encontrado")</f>
        <v/>
      </c>
      <c r="B21352" s="43" t="n">
        <v>-23.598193</v>
      </c>
      <c r="C21352" s="43" t="n">
        <v>-46.462582</v>
      </c>
      <c r="D21352" s="43" t="n">
        <v>241</v>
      </c>
      <c r="E21352" s="44" t="n">
        <v>7606.5083</v>
      </c>
    </row>
    <row r="21353">
      <c r="A21353" s="39">
        <f>_xlfn.XLOOKUP(84525,Trip[shape_id],Trip[shape_id],"Não encontrado")</f>
        <v/>
      </c>
      <c r="B21353" s="40" t="n">
        <v>-23.598347</v>
      </c>
      <c r="C21353" s="40" t="n">
        <v>-46.463413</v>
      </c>
      <c r="D21353" s="40" t="n">
        <v>242</v>
      </c>
      <c r="E21353" s="41" t="n">
        <v>7606.5083</v>
      </c>
    </row>
    <row r="21354">
      <c r="A21354" s="42">
        <f>_xlfn.XLOOKUP(84525,Trip[shape_id],Trip[shape_id],"Não encontrado")</f>
        <v/>
      </c>
      <c r="B21354" s="43" t="n">
        <v>-23.598413</v>
      </c>
      <c r="C21354" s="43" t="n">
        <v>-46.463773</v>
      </c>
      <c r="D21354" s="43" t="n">
        <v>243</v>
      </c>
      <c r="E21354" s="44" t="n">
        <v>7659.5581</v>
      </c>
    </row>
    <row r="21355">
      <c r="A21355" s="39">
        <f>_xlfn.XLOOKUP(84525,Trip[shape_id],Trip[shape_id],"Não encontrado")</f>
        <v/>
      </c>
      <c r="B21355" s="40" t="n">
        <v>-23.598434</v>
      </c>
      <c r="C21355" s="40" t="n">
        <v>-46.463924</v>
      </c>
      <c r="D21355" s="40" t="n">
        <v>244</v>
      </c>
      <c r="E21355" s="41" t="n">
        <v>7684.3643</v>
      </c>
    </row>
    <row r="21356">
      <c r="A21356" s="42">
        <f>_xlfn.XLOOKUP(84525,Trip[shape_id],Trip[shape_id],"Não encontrado")</f>
        <v/>
      </c>
      <c r="B21356" s="43" t="n">
        <v>-23.598463</v>
      </c>
      <c r="C21356" s="43" t="n">
        <v>-46.464165</v>
      </c>
      <c r="D21356" s="43" t="n">
        <v>245</v>
      </c>
      <c r="E21356" s="44" t="n">
        <v>7724.3354</v>
      </c>
    </row>
    <row r="21357">
      <c r="A21357" s="39">
        <f>_xlfn.XLOOKUP(84525,Trip[shape_id],Trip[shape_id],"Não encontrado")</f>
        <v/>
      </c>
      <c r="B21357" s="40" t="n">
        <v>-23.598512</v>
      </c>
      <c r="C21357" s="40" t="n">
        <v>-46.464553</v>
      </c>
      <c r="D21357" s="40" t="n">
        <v>246</v>
      </c>
      <c r="E21357" s="41" t="n">
        <v>7759.7104</v>
      </c>
    </row>
    <row r="21358">
      <c r="A21358" s="42">
        <f>_xlfn.XLOOKUP(84525,Trip[shape_id],Trip[shape_id],"Não encontrado")</f>
        <v/>
      </c>
      <c r="B21358" s="43" t="n">
        <v>-23.598551</v>
      </c>
      <c r="C21358" s="43" t="n">
        <v>-46.464897</v>
      </c>
      <c r="D21358" s="43" t="n">
        <v>247</v>
      </c>
      <c r="E21358" s="44" t="n">
        <v>7767.1904</v>
      </c>
    </row>
    <row r="21359">
      <c r="A21359" s="39">
        <f>_xlfn.XLOOKUP(84525,Trip[shape_id],Trip[shape_id],"Não encontrado")</f>
        <v/>
      </c>
      <c r="B21359" s="40" t="n">
        <v>-23.598557</v>
      </c>
      <c r="C21359" s="40" t="n">
        <v>-46.46497</v>
      </c>
      <c r="D21359" s="40" t="n">
        <v>248</v>
      </c>
      <c r="E21359" s="41" t="n">
        <v>7806.811</v>
      </c>
    </row>
    <row r="21360">
      <c r="A21360" s="42">
        <f>_xlfn.XLOOKUP(84525,Trip[shape_id],Trip[shape_id],"Não encontrado")</f>
        <v/>
      </c>
      <c r="B21360" s="43" t="n">
        <v>-23.598585</v>
      </c>
      <c r="C21360" s="43" t="n">
        <v>-46.465357</v>
      </c>
      <c r="D21360" s="43" t="n">
        <v>249</v>
      </c>
      <c r="E21360" s="44" t="n">
        <v>7806.811</v>
      </c>
    </row>
    <row r="21361">
      <c r="A21361" s="39">
        <f>_xlfn.XLOOKUP(84525,Trip[shape_id],Trip[shape_id],"Não encontrado")</f>
        <v/>
      </c>
      <c r="B21361" s="40" t="n">
        <v>-23.598627</v>
      </c>
      <c r="C21361" s="40" t="n">
        <v>-46.465935</v>
      </c>
      <c r="D21361" s="40" t="n">
        <v>250</v>
      </c>
      <c r="E21361" s="41" t="n">
        <v>7878.7847</v>
      </c>
    </row>
    <row r="21362">
      <c r="A21362" s="42">
        <f>_xlfn.XLOOKUP(84525,Trip[shape_id],Trip[shape_id],"Não encontrado")</f>
        <v/>
      </c>
      <c r="B21362" s="43" t="n">
        <v>-23.598636</v>
      </c>
      <c r="C21362" s="43" t="n">
        <v>-46.46606</v>
      </c>
      <c r="D21362" s="43" t="n">
        <v>251</v>
      </c>
      <c r="E21362" s="44" t="n">
        <v>7888.0889</v>
      </c>
    </row>
    <row r="21363">
      <c r="A21363" s="39">
        <f>_xlfn.XLOOKUP(84525,Trip[shape_id],Trip[shape_id],"Não encontrado")</f>
        <v/>
      </c>
      <c r="B21363" s="40" t="n">
        <v>-23.598641</v>
      </c>
      <c r="C21363" s="40" t="n">
        <v>-46.466151</v>
      </c>
      <c r="D21363" s="40" t="n">
        <v>252</v>
      </c>
      <c r="E21363" s="41" t="n">
        <v>7896.0776</v>
      </c>
    </row>
    <row r="21364">
      <c r="A21364" s="42">
        <f>_xlfn.XLOOKUP(84525,Trip[shape_id],Trip[shape_id],"Não encontrado")</f>
        <v/>
      </c>
      <c r="B21364" s="43" t="n">
        <v>-23.598647</v>
      </c>
      <c r="C21364" s="43" t="n">
        <v>-46.466229</v>
      </c>
      <c r="D21364" s="43" t="n">
        <v>253</v>
      </c>
      <c r="E21364" s="44" t="n">
        <v>7896.0776</v>
      </c>
    </row>
    <row r="21365">
      <c r="A21365" s="39">
        <f>_xlfn.XLOOKUP(84525,Trip[shape_id],Trip[shape_id],"Não encontrado")</f>
        <v/>
      </c>
      <c r="B21365" s="40" t="n">
        <v>-23.598637</v>
      </c>
      <c r="C21365" s="40" t="n">
        <v>-46.466386</v>
      </c>
      <c r="D21365" s="40" t="n">
        <v>254</v>
      </c>
      <c r="E21365" s="41" t="n">
        <v>7912.1401</v>
      </c>
    </row>
    <row r="21366">
      <c r="A21366" s="42">
        <f>_xlfn.XLOOKUP(84525,Trip[shape_id],Trip[shape_id],"Não encontrado")</f>
        <v/>
      </c>
      <c r="B21366" s="43" t="n">
        <v>-23.598598</v>
      </c>
      <c r="C21366" s="43" t="n">
        <v>-46.466559</v>
      </c>
      <c r="D21366" s="43" t="n">
        <v>255</v>
      </c>
      <c r="E21366" s="44" t="n">
        <v>7951.4331</v>
      </c>
    </row>
    <row r="21367">
      <c r="A21367" s="39">
        <f>_xlfn.XLOOKUP(84525,Trip[shape_id],Trip[shape_id],"Não encontrado")</f>
        <v/>
      </c>
      <c r="B21367" s="40" t="n">
        <v>-23.598527</v>
      </c>
      <c r="C21367" s="40" t="n">
        <v>-46.466751</v>
      </c>
      <c r="D21367" s="40" t="n">
        <v>256</v>
      </c>
      <c r="E21367" s="41" t="n">
        <v>7963.3506</v>
      </c>
    </row>
    <row r="21368">
      <c r="A21368" s="42">
        <f>_xlfn.XLOOKUP(84525,Trip[shape_id],Trip[shape_id],"Não encontrado")</f>
        <v/>
      </c>
      <c r="B21368" s="43" t="n">
        <v>-23.598473</v>
      </c>
      <c r="C21368" s="43" t="n">
        <v>-46.466852</v>
      </c>
      <c r="D21368" s="43" t="n">
        <v>257</v>
      </c>
      <c r="E21368" s="44" t="n">
        <v>7972.1079</v>
      </c>
    </row>
    <row r="21369">
      <c r="A21369" s="39">
        <f>_xlfn.XLOOKUP(84525,Trip[shape_id],Trip[shape_id],"Não encontrado")</f>
        <v/>
      </c>
      <c r="B21369" s="40" t="n">
        <v>-23.59843</v>
      </c>
      <c r="C21369" s="40" t="n">
        <v>-46.466924</v>
      </c>
      <c r="D21369" s="40" t="n">
        <v>258</v>
      </c>
      <c r="E21369" s="41" t="n">
        <v>7972.1079</v>
      </c>
    </row>
    <row r="21370">
      <c r="A21370" s="42">
        <f>_xlfn.XLOOKUP(84525,Trip[shape_id],Trip[shape_id],"Não encontrado")</f>
        <v/>
      </c>
      <c r="B21370" s="43" t="n">
        <v>-23.598317</v>
      </c>
      <c r="C21370" s="43" t="n">
        <v>-46.467004</v>
      </c>
      <c r="D21370" s="43" t="n">
        <v>259</v>
      </c>
      <c r="E21370" s="44" t="n">
        <v>7997.875</v>
      </c>
    </row>
    <row r="21371">
      <c r="A21371" s="39">
        <f>_xlfn.XLOOKUP(84525,Trip[shape_id],Trip[shape_id],"Não encontrado")</f>
        <v/>
      </c>
      <c r="B21371" s="40" t="n">
        <v>-23.598234</v>
      </c>
      <c r="C21371" s="40" t="n">
        <v>-46.46706</v>
      </c>
      <c r="D21371" s="40" t="n">
        <v>260</v>
      </c>
      <c r="E21371" s="41" t="n">
        <v>8009.48</v>
      </c>
    </row>
    <row r="21372">
      <c r="A21372" s="42">
        <f>_xlfn.XLOOKUP(84525,Trip[shape_id],Trip[shape_id],"Não encontrado")</f>
        <v/>
      </c>
      <c r="B21372" s="43" t="n">
        <v>-23.598137</v>
      </c>
      <c r="C21372" s="43" t="n">
        <v>-46.467103</v>
      </c>
      <c r="D21372" s="43" t="n">
        <v>261</v>
      </c>
      <c r="E21372" s="44" t="n">
        <v>8021.689</v>
      </c>
    </row>
    <row r="21373">
      <c r="A21373" s="39">
        <f>_xlfn.XLOOKUP(84525,Trip[shape_id],Trip[shape_id],"Não encontrado")</f>
        <v/>
      </c>
      <c r="B21373" s="40" t="n">
        <v>-23.598029</v>
      </c>
      <c r="C21373" s="40" t="n">
        <v>-46.467127</v>
      </c>
      <c r="D21373" s="40" t="n">
        <v>262</v>
      </c>
      <c r="E21373" s="41" t="n">
        <v>8033.3467</v>
      </c>
    </row>
    <row r="21374">
      <c r="A21374" s="42">
        <f>_xlfn.XLOOKUP(84525,Trip[shape_id],Trip[shape_id],"Não encontrado")</f>
        <v/>
      </c>
      <c r="B21374" s="43" t="n">
        <v>-23.597924</v>
      </c>
      <c r="C21374" s="43" t="n">
        <v>-46.467135</v>
      </c>
      <c r="D21374" s="43" t="n">
        <v>263</v>
      </c>
      <c r="E21374" s="44" t="n">
        <v>8046.2622</v>
      </c>
    </row>
    <row r="21375">
      <c r="A21375" s="39">
        <f>_xlfn.XLOOKUP(84525,Trip[shape_id],Trip[shape_id],"Não encontrado")</f>
        <v/>
      </c>
      <c r="B21375" s="40" t="n">
        <v>-23.597809</v>
      </c>
      <c r="C21375" s="40" t="n">
        <v>-46.467114</v>
      </c>
      <c r="D21375" s="40" t="n">
        <v>264</v>
      </c>
      <c r="E21375" s="41" t="n">
        <v>8057.1387</v>
      </c>
    </row>
    <row r="21376">
      <c r="A21376" s="42">
        <f>_xlfn.XLOOKUP(84525,Trip[shape_id],Trip[shape_id],"Não encontrado")</f>
        <v/>
      </c>
      <c r="B21376" s="43" t="n">
        <v>-23.597714</v>
      </c>
      <c r="C21376" s="43" t="n">
        <v>-46.467087</v>
      </c>
      <c r="D21376" s="43" t="n">
        <v>265</v>
      </c>
      <c r="E21376" s="44" t="n">
        <v>8070.0879</v>
      </c>
    </row>
    <row r="21377">
      <c r="A21377" s="39">
        <f>_xlfn.XLOOKUP(84525,Trip[shape_id],Trip[shape_id],"Não encontrado")</f>
        <v/>
      </c>
      <c r="B21377" s="40" t="n">
        <v>-23.597604</v>
      </c>
      <c r="C21377" s="40" t="n">
        <v>-46.467044</v>
      </c>
      <c r="D21377" s="40" t="n">
        <v>266</v>
      </c>
      <c r="E21377" s="41" t="n">
        <v>8083.2119</v>
      </c>
    </row>
    <row r="21378">
      <c r="A21378" s="42">
        <f>_xlfn.XLOOKUP(84525,Trip[shape_id],Trip[shape_id],"Não encontrado")</f>
        <v/>
      </c>
      <c r="B21378" s="43" t="n">
        <v>-23.597492</v>
      </c>
      <c r="C21378" s="43" t="n">
        <v>-46.467002</v>
      </c>
      <c r="D21378" s="43" t="n">
        <v>267</v>
      </c>
      <c r="E21378" s="44" t="n">
        <v>8083.2119</v>
      </c>
    </row>
    <row r="21379">
      <c r="A21379" s="39">
        <f>_xlfn.XLOOKUP(84525,Trip[shape_id],Trip[shape_id],"Não encontrado")</f>
        <v/>
      </c>
      <c r="B21379" s="40" t="n">
        <v>-23.596777</v>
      </c>
      <c r="C21379" s="40" t="n">
        <v>-46.466286</v>
      </c>
      <c r="D21379" s="40" t="n">
        <v>268</v>
      </c>
      <c r="E21379" s="41" t="n">
        <v>8190.9678</v>
      </c>
    </row>
    <row r="21380">
      <c r="A21380" s="42">
        <f>_xlfn.XLOOKUP(84525,Trip[shape_id],Trip[shape_id],"Não encontrado")</f>
        <v/>
      </c>
      <c r="B21380" s="43" t="n">
        <v>-23.596634</v>
      </c>
      <c r="C21380" s="43" t="n">
        <v>-46.466128</v>
      </c>
      <c r="D21380" s="43" t="n">
        <v>269</v>
      </c>
      <c r="E21380" s="44" t="n">
        <v>8213.570299999999</v>
      </c>
    </row>
    <row r="21381">
      <c r="A21381" s="39">
        <f>_xlfn.XLOOKUP(84525,Trip[shape_id],Trip[shape_id],"Não encontrado")</f>
        <v/>
      </c>
      <c r="B21381" s="40" t="n">
        <v>-23.596422</v>
      </c>
      <c r="C21381" s="40" t="n">
        <v>-46.465918</v>
      </c>
      <c r="D21381" s="40" t="n">
        <v>270</v>
      </c>
      <c r="E21381" s="41" t="n">
        <v>8245.3613</v>
      </c>
    </row>
    <row r="21382">
      <c r="A21382" s="42">
        <f>_xlfn.XLOOKUP(84525,Trip[shape_id],Trip[shape_id],"Não encontrado")</f>
        <v/>
      </c>
      <c r="B21382" s="43" t="n">
        <v>-23.596279</v>
      </c>
      <c r="C21382" s="43" t="n">
        <v>-46.465786</v>
      </c>
      <c r="D21382" s="43" t="n">
        <v>271</v>
      </c>
      <c r="E21382" s="44" t="n">
        <v>8266.1543</v>
      </c>
    </row>
    <row r="21383">
      <c r="A21383" s="39">
        <f>_xlfn.XLOOKUP(84525,Trip[shape_id],Trip[shape_id],"Não encontrado")</f>
        <v/>
      </c>
      <c r="B21383" s="40" t="n">
        <v>-23.596097</v>
      </c>
      <c r="C21383" s="40" t="n">
        <v>-46.465671</v>
      </c>
      <c r="D21383" s="40" t="n">
        <v>272</v>
      </c>
      <c r="E21383" s="41" t="n">
        <v>8289.479499999999</v>
      </c>
    </row>
    <row r="21384">
      <c r="A21384" s="42">
        <f>_xlfn.XLOOKUP(84525,Trip[shape_id],Trip[shape_id],"Não encontrado")</f>
        <v/>
      </c>
      <c r="B21384" s="43" t="n">
        <v>-23.595958</v>
      </c>
      <c r="C21384" s="43" t="n">
        <v>-46.465581</v>
      </c>
      <c r="D21384" s="43" t="n">
        <v>273</v>
      </c>
      <c r="E21384" s="44" t="n">
        <v>8307.406300000001</v>
      </c>
    </row>
    <row r="21385">
      <c r="A21385" s="39">
        <f>_xlfn.XLOOKUP(84525,Trip[shape_id],Trip[shape_id],"Não encontrado")</f>
        <v/>
      </c>
      <c r="B21385" s="40" t="n">
        <v>-23.595845</v>
      </c>
      <c r="C21385" s="40" t="n">
        <v>-46.465527</v>
      </c>
      <c r="D21385" s="40" t="n">
        <v>274</v>
      </c>
      <c r="E21385" s="41" t="n">
        <v>8321.081099999999</v>
      </c>
    </row>
    <row r="21386">
      <c r="A21386" s="42">
        <f>_xlfn.XLOOKUP(84525,Trip[shape_id],Trip[shape_id],"Não encontrado")</f>
        <v/>
      </c>
      <c r="B21386" s="43" t="n">
        <v>-23.595629</v>
      </c>
      <c r="C21386" s="43" t="n">
        <v>-46.465453</v>
      </c>
      <c r="D21386" s="43" t="n">
        <v>275</v>
      </c>
      <c r="E21386" s="44" t="n">
        <v>8346.168</v>
      </c>
    </row>
    <row r="21387">
      <c r="A21387" s="39">
        <f>_xlfn.XLOOKUP(84525,Trip[shape_id],Trip[shape_id],"Não encontrado")</f>
        <v/>
      </c>
      <c r="B21387" s="40" t="n">
        <v>-23.595466</v>
      </c>
      <c r="C21387" s="40" t="n">
        <v>-46.465401</v>
      </c>
      <c r="D21387" s="40" t="n">
        <v>276</v>
      </c>
      <c r="E21387" s="41" t="n">
        <v>8364.984399999999</v>
      </c>
    </row>
    <row r="21388">
      <c r="A21388" s="42">
        <f>_xlfn.XLOOKUP(84525,Trip[shape_id],Trip[shape_id],"Não encontrado")</f>
        <v/>
      </c>
      <c r="B21388" s="43" t="n">
        <v>-23.595118</v>
      </c>
      <c r="C21388" s="43" t="n">
        <v>-46.465342</v>
      </c>
      <c r="D21388" s="43" t="n">
        <v>277</v>
      </c>
      <c r="E21388" s="44" t="n">
        <v>8403.9941</v>
      </c>
    </row>
    <row r="21389">
      <c r="A21389" s="39">
        <f>_xlfn.XLOOKUP(84525,Trip[shape_id],Trip[shape_id],"Não encontrado")</f>
        <v/>
      </c>
      <c r="B21389" s="40" t="n">
        <v>-23.595065</v>
      </c>
      <c r="C21389" s="40" t="n">
        <v>-46.465335</v>
      </c>
      <c r="D21389" s="40" t="n">
        <v>278</v>
      </c>
      <c r="E21389" s="41" t="n">
        <v>8409.9072</v>
      </c>
    </row>
    <row r="21390">
      <c r="A21390" s="42">
        <f>_xlfn.XLOOKUP(84525,Trip[shape_id],Trip[shape_id],"Não encontrado")</f>
        <v/>
      </c>
      <c r="B21390" s="43" t="n">
        <v>-23.594673</v>
      </c>
      <c r="C21390" s="43" t="n">
        <v>-46.465338</v>
      </c>
      <c r="D21390" s="43" t="n">
        <v>279</v>
      </c>
      <c r="E21390" s="44" t="n">
        <v>8453.323200000001</v>
      </c>
    </row>
    <row r="21391">
      <c r="A21391" s="39">
        <f>_xlfn.XLOOKUP(84525,Trip[shape_id],Trip[shape_id],"Não encontrado")</f>
        <v/>
      </c>
      <c r="B21391" s="40" t="n">
        <v>-23.594382</v>
      </c>
      <c r="C21391" s="40" t="n">
        <v>-46.465404</v>
      </c>
      <c r="D21391" s="40" t="n">
        <v>280</v>
      </c>
      <c r="E21391" s="41" t="n">
        <v>8486.249</v>
      </c>
    </row>
    <row r="21392">
      <c r="A21392" s="42">
        <f>_xlfn.XLOOKUP(84525,Trip[shape_id],Trip[shape_id],"Não encontrado")</f>
        <v/>
      </c>
      <c r="B21392" s="43" t="n">
        <v>-23.594213</v>
      </c>
      <c r="C21392" s="43" t="n">
        <v>-46.465462</v>
      </c>
      <c r="D21392" s="43" t="n">
        <v>281</v>
      </c>
      <c r="E21392" s="44" t="n">
        <v>8505.8799</v>
      </c>
    </row>
    <row r="21393">
      <c r="A21393" s="39">
        <f>_xlfn.XLOOKUP(84525,Trip[shape_id],Trip[shape_id],"Não encontrado")</f>
        <v/>
      </c>
      <c r="B21393" s="40" t="n">
        <v>-23.594122</v>
      </c>
      <c r="C21393" s="40" t="n">
        <v>-46.465502</v>
      </c>
      <c r="D21393" s="40" t="n">
        <v>282</v>
      </c>
      <c r="E21393" s="41" t="n">
        <v>8516.7539</v>
      </c>
    </row>
    <row r="21394">
      <c r="A21394" s="42">
        <f>_xlfn.XLOOKUP(84525,Trip[shape_id],Trip[shape_id],"Não encontrado")</f>
        <v/>
      </c>
      <c r="B21394" s="43" t="n">
        <v>-23.593814</v>
      </c>
      <c r="C21394" s="43" t="n">
        <v>-46.465656</v>
      </c>
      <c r="D21394" s="43" t="n">
        <v>283</v>
      </c>
      <c r="E21394" s="44" t="n">
        <v>8554.3125</v>
      </c>
    </row>
    <row r="21395">
      <c r="A21395" s="39">
        <f>_xlfn.XLOOKUP(84525,Trip[shape_id],Trip[shape_id],"Não encontrado")</f>
        <v/>
      </c>
      <c r="B21395" s="40" t="n">
        <v>-23.593628</v>
      </c>
      <c r="C21395" s="40" t="n">
        <v>-46.465791</v>
      </c>
      <c r="D21395" s="40" t="n">
        <v>284</v>
      </c>
      <c r="E21395" s="41" t="n">
        <v>8579.0957</v>
      </c>
    </row>
    <row r="21396">
      <c r="A21396" s="42">
        <f>_xlfn.XLOOKUP(84525,Trip[shape_id],Trip[shape_id],"Não encontrado")</f>
        <v/>
      </c>
      <c r="B21396" s="43" t="n">
        <v>-23.593445</v>
      </c>
      <c r="C21396" s="43" t="n">
        <v>-46.465947</v>
      </c>
      <c r="D21396" s="43" t="n">
        <v>285</v>
      </c>
      <c r="E21396" s="44" t="n">
        <v>8604.8701</v>
      </c>
    </row>
    <row r="21397">
      <c r="A21397" s="39">
        <f>_xlfn.XLOOKUP(84525,Trip[shape_id],Trip[shape_id],"Não encontrado")</f>
        <v/>
      </c>
      <c r="B21397" s="40" t="n">
        <v>-23.593287</v>
      </c>
      <c r="C21397" s="40" t="n">
        <v>-46.466119</v>
      </c>
      <c r="D21397" s="40" t="n">
        <v>286</v>
      </c>
      <c r="E21397" s="41" t="n">
        <v>8629.6572</v>
      </c>
    </row>
    <row r="21398">
      <c r="A21398" s="42">
        <f>_xlfn.XLOOKUP(84525,Trip[shape_id],Trip[shape_id],"Não encontrado")</f>
        <v/>
      </c>
      <c r="B21398" s="43" t="n">
        <v>-23.593205</v>
      </c>
      <c r="C21398" s="43" t="n">
        <v>-46.466223</v>
      </c>
      <c r="D21398" s="43" t="n">
        <v>287</v>
      </c>
      <c r="E21398" s="44" t="n">
        <v>8643.627899999999</v>
      </c>
    </row>
    <row r="21399">
      <c r="A21399" s="39">
        <f>_xlfn.XLOOKUP(84525,Trip[shape_id],Trip[shape_id],"Não encontrado")</f>
        <v/>
      </c>
      <c r="B21399" s="40" t="n">
        <v>-23.593142</v>
      </c>
      <c r="C21399" s="40" t="n">
        <v>-46.466305</v>
      </c>
      <c r="D21399" s="40" t="n">
        <v>288</v>
      </c>
      <c r="E21399" s="41" t="n">
        <v>8654.5244</v>
      </c>
    </row>
    <row r="21400">
      <c r="A21400" s="42">
        <f>_xlfn.XLOOKUP(84525,Trip[shape_id],Trip[shape_id],"Não encontrado")</f>
        <v/>
      </c>
      <c r="B21400" s="43" t="n">
        <v>-23.593064</v>
      </c>
      <c r="C21400" s="43" t="n">
        <v>-46.466446</v>
      </c>
      <c r="D21400" s="43" t="n">
        <v>289</v>
      </c>
      <c r="E21400" s="44" t="n">
        <v>8671.309600000001</v>
      </c>
    </row>
    <row r="21401">
      <c r="A21401" s="39">
        <f>_xlfn.XLOOKUP(84525,Trip[shape_id],Trip[shape_id],"Não encontrado")</f>
        <v/>
      </c>
      <c r="B21401" s="40" t="n">
        <v>-23.592895</v>
      </c>
      <c r="C21401" s="40" t="n">
        <v>-46.466781</v>
      </c>
      <c r="D21401" s="40" t="n">
        <v>290</v>
      </c>
      <c r="E21401" s="41" t="n">
        <v>8710.290000000001</v>
      </c>
    </row>
    <row r="21402">
      <c r="A21402" s="42">
        <f>_xlfn.XLOOKUP(84525,Trip[shape_id],Trip[shape_id],"Não encontrado")</f>
        <v/>
      </c>
      <c r="B21402" s="43" t="n">
        <v>-23.592781</v>
      </c>
      <c r="C21402" s="43" t="n">
        <v>-46.467124</v>
      </c>
      <c r="D21402" s="43" t="n">
        <v>291</v>
      </c>
      <c r="E21402" s="44" t="n">
        <v>8747.506799999999</v>
      </c>
    </row>
    <row r="21403">
      <c r="A21403" s="39">
        <f>_xlfn.XLOOKUP(84525,Trip[shape_id],Trip[shape_id],"Não encontrado")</f>
        <v/>
      </c>
      <c r="B21403" s="40" t="n">
        <v>-23.592745</v>
      </c>
      <c r="C21403" s="40" t="n">
        <v>-46.467304</v>
      </c>
      <c r="D21403" s="40" t="n">
        <v>292</v>
      </c>
      <c r="E21403" s="41" t="n">
        <v>8766.3066</v>
      </c>
    </row>
    <row r="21404">
      <c r="A21404" s="42">
        <f>_xlfn.XLOOKUP(84525,Trip[shape_id],Trip[shape_id],"Não encontrado")</f>
        <v/>
      </c>
      <c r="B21404" s="43" t="n">
        <v>-23.592716</v>
      </c>
      <c r="C21404" s="43" t="n">
        <v>-46.467502</v>
      </c>
      <c r="D21404" s="43" t="n">
        <v>293</v>
      </c>
      <c r="E21404" s="44" t="n">
        <v>8786.7695</v>
      </c>
    </row>
    <row r="21405">
      <c r="A21405" s="39">
        <f>_xlfn.XLOOKUP(84525,Trip[shape_id],Trip[shape_id],"Não encontrado")</f>
        <v/>
      </c>
      <c r="B21405" s="40" t="n">
        <v>-23.592682</v>
      </c>
      <c r="C21405" s="40" t="n">
        <v>-46.467989</v>
      </c>
      <c r="D21405" s="40" t="n">
        <v>294</v>
      </c>
      <c r="E21405" s="41" t="n">
        <v>8836.6201</v>
      </c>
    </row>
    <row r="21406">
      <c r="A21406" s="42">
        <f>_xlfn.XLOOKUP(84525,Trip[shape_id],Trip[shape_id],"Não encontrado")</f>
        <v/>
      </c>
      <c r="B21406" s="43" t="n">
        <v>-23.592622</v>
      </c>
      <c r="C21406" s="43" t="n">
        <v>-46.469237</v>
      </c>
      <c r="D21406" s="43" t="n">
        <v>295</v>
      </c>
      <c r="E21406" s="44" t="n">
        <v>8964.175800000001</v>
      </c>
    </row>
    <row r="21407">
      <c r="A21407" s="39">
        <f>_xlfn.XLOOKUP(84525,Trip[shape_id],Trip[shape_id],"Não encontrado")</f>
        <v/>
      </c>
      <c r="B21407" s="40" t="n">
        <v>-23.592586</v>
      </c>
      <c r="C21407" s="40" t="n">
        <v>-46.470247</v>
      </c>
      <c r="D21407" s="40" t="n">
        <v>296</v>
      </c>
      <c r="E21407" s="41" t="n">
        <v>9067.3428</v>
      </c>
    </row>
    <row r="21408">
      <c r="A21408" s="42">
        <f>_xlfn.XLOOKUP(84525,Trip[shape_id],Trip[shape_id],"Não encontrado")</f>
        <v/>
      </c>
      <c r="B21408" s="43" t="n">
        <v>-23.592498</v>
      </c>
      <c r="C21408" s="43" t="n">
        <v>-46.472238</v>
      </c>
      <c r="D21408" s="43" t="n">
        <v>297</v>
      </c>
      <c r="E21408" s="44" t="n">
        <v>9270.796899999999</v>
      </c>
    </row>
    <row r="21409">
      <c r="A21409" s="39">
        <f>_xlfn.XLOOKUP(84525,Trip[shape_id],Trip[shape_id],"Não encontrado")</f>
        <v/>
      </c>
      <c r="B21409" s="40" t="n">
        <v>-23.592485</v>
      </c>
      <c r="C21409" s="40" t="n">
        <v>-46.472616</v>
      </c>
      <c r="D21409" s="40" t="n">
        <v>298</v>
      </c>
      <c r="E21409" s="41" t="n">
        <v>9309.406300000001</v>
      </c>
    </row>
    <row r="21410">
      <c r="A21410" s="42">
        <f>_xlfn.XLOOKUP(84525,Trip[shape_id],Trip[shape_id],"Não encontrado")</f>
        <v/>
      </c>
      <c r="B21410" s="43" t="n">
        <v>-23.592465</v>
      </c>
      <c r="C21410" s="43" t="n">
        <v>-46.472965</v>
      </c>
      <c r="D21410" s="43" t="n">
        <v>299</v>
      </c>
      <c r="E21410" s="44" t="n">
        <v>9345.0977</v>
      </c>
    </row>
    <row r="21411">
      <c r="A21411" s="39">
        <f>_xlfn.XLOOKUP(84525,Trip[shape_id],Trip[shape_id],"Não encontrado")</f>
        <v/>
      </c>
      <c r="B21411" s="40" t="n">
        <v>-23.592411</v>
      </c>
      <c r="C21411" s="40" t="n">
        <v>-46.473368</v>
      </c>
      <c r="D21411" s="40" t="n">
        <v>300</v>
      </c>
      <c r="E21411" s="41" t="n">
        <v>9386.6641</v>
      </c>
    </row>
    <row r="21412">
      <c r="A21412" s="42">
        <f>_xlfn.XLOOKUP(84525,Trip[shape_id],Trip[shape_id],"Não encontrado")</f>
        <v/>
      </c>
      <c r="B21412" s="43" t="n">
        <v>-23.592356</v>
      </c>
      <c r="C21412" s="43" t="n">
        <v>-46.473673</v>
      </c>
      <c r="D21412" s="43" t="n">
        <v>301</v>
      </c>
      <c r="E21412" s="44" t="n">
        <v>9418.385700000001</v>
      </c>
    </row>
    <row r="21413">
      <c r="A21413" s="39">
        <f>_xlfn.XLOOKUP(84525,Trip[shape_id],Trip[shape_id],"Não encontrado")</f>
        <v/>
      </c>
      <c r="B21413" s="40" t="n">
        <v>-23.592312</v>
      </c>
      <c r="C21413" s="40" t="n">
        <v>-46.473847</v>
      </c>
      <c r="D21413" s="40" t="n">
        <v>302</v>
      </c>
      <c r="E21413" s="41" t="n">
        <v>9436.8027</v>
      </c>
    </row>
    <row r="21414">
      <c r="A21414" s="42">
        <f>_xlfn.XLOOKUP(84525,Trip[shape_id],Trip[shape_id],"Não encontrado")</f>
        <v/>
      </c>
      <c r="B21414" s="43" t="n">
        <v>-23.592261</v>
      </c>
      <c r="C21414" s="43" t="n">
        <v>-46.474033</v>
      </c>
      <c r="D21414" s="43" t="n">
        <v>303</v>
      </c>
      <c r="E21414" s="44" t="n">
        <v>9456.6104</v>
      </c>
    </row>
    <row r="21415">
      <c r="A21415" s="39">
        <f>_xlfn.XLOOKUP(84525,Trip[shape_id],Trip[shape_id],"Não encontrado")</f>
        <v/>
      </c>
      <c r="B21415" s="40" t="n">
        <v>-23.592194</v>
      </c>
      <c r="C21415" s="40" t="n">
        <v>-46.474232</v>
      </c>
      <c r="D21415" s="40" t="n">
        <v>304</v>
      </c>
      <c r="E21415" s="41" t="n">
        <v>9478.2354</v>
      </c>
    </row>
    <row r="21416">
      <c r="A21416" s="42">
        <f>_xlfn.XLOOKUP(84525,Trip[shape_id],Trip[shape_id],"Não encontrado")</f>
        <v/>
      </c>
      <c r="B21416" s="43" t="n">
        <v>-23.592086</v>
      </c>
      <c r="C21416" s="43" t="n">
        <v>-46.474514</v>
      </c>
      <c r="D21416" s="43" t="n">
        <v>305</v>
      </c>
      <c r="E21416" s="44" t="n">
        <v>9509.4053</v>
      </c>
    </row>
    <row r="21417">
      <c r="A21417" s="39">
        <f>_xlfn.XLOOKUP(84525,Trip[shape_id],Trip[shape_id],"Não encontrado")</f>
        <v/>
      </c>
      <c r="B21417" s="40" t="n">
        <v>-23.59204</v>
      </c>
      <c r="C21417" s="40" t="n">
        <v>-46.474609</v>
      </c>
      <c r="D21417" s="40" t="n">
        <v>306</v>
      </c>
      <c r="E21417" s="41" t="n">
        <v>9520.358399999999</v>
      </c>
    </row>
    <row r="21418">
      <c r="A21418" s="42">
        <f>_xlfn.XLOOKUP(84525,Trip[shape_id],Trip[shape_id],"Não encontrado")</f>
        <v/>
      </c>
      <c r="B21418" s="43" t="n">
        <v>-23.591967</v>
      </c>
      <c r="C21418" s="43" t="n">
        <v>-46.474779</v>
      </c>
      <c r="D21418" s="43" t="n">
        <v>307</v>
      </c>
      <c r="E21418" s="44" t="n">
        <v>9539.501</v>
      </c>
    </row>
    <row r="21419">
      <c r="A21419" s="39">
        <f>_xlfn.XLOOKUP(84525,Trip[shape_id],Trip[shape_id],"Não encontrado")</f>
        <v/>
      </c>
      <c r="B21419" s="40" t="n">
        <v>-23.591912</v>
      </c>
      <c r="C21419" s="40" t="n">
        <v>-46.474875</v>
      </c>
      <c r="D21419" s="40" t="n">
        <v>308</v>
      </c>
      <c r="E21419" s="41" t="n">
        <v>9551.0381</v>
      </c>
    </row>
    <row r="21420">
      <c r="A21420" s="42">
        <f>_xlfn.XLOOKUP(84525,Trip[shape_id],Trip[shape_id],"Não encontrado")</f>
        <v/>
      </c>
      <c r="B21420" s="43" t="n">
        <v>-23.591872</v>
      </c>
      <c r="C21420" s="43" t="n">
        <v>-46.474937</v>
      </c>
      <c r="D21420" s="43" t="n">
        <v>309</v>
      </c>
      <c r="E21420" s="44" t="n">
        <v>9558.762699999999</v>
      </c>
    </row>
    <row r="21421">
      <c r="A21421" s="39">
        <f>_xlfn.XLOOKUP(84525,Trip[shape_id],Trip[shape_id],"Não encontrado")</f>
        <v/>
      </c>
      <c r="B21421" s="40" t="n">
        <v>-23.591662</v>
      </c>
      <c r="C21421" s="40" t="n">
        <v>-46.475291</v>
      </c>
      <c r="D21421" s="40" t="n">
        <v>310</v>
      </c>
      <c r="E21421" s="41" t="n">
        <v>9601.733399999999</v>
      </c>
    </row>
    <row r="21422">
      <c r="A21422" s="42">
        <f>_xlfn.XLOOKUP(84525,Trip[shape_id],Trip[shape_id],"Não encontrado")</f>
        <v/>
      </c>
      <c r="B21422" s="43" t="n">
        <v>-23.591605</v>
      </c>
      <c r="C21422" s="43" t="n">
        <v>-46.475394</v>
      </c>
      <c r="D21422" s="43" t="n">
        <v>311</v>
      </c>
      <c r="E21422" s="44" t="n">
        <v>9613.997100000001</v>
      </c>
    </row>
    <row r="21423">
      <c r="A21423" s="39">
        <f>_xlfn.XLOOKUP(84525,Trip[shape_id],Trip[shape_id],"Não encontrado")</f>
        <v/>
      </c>
      <c r="B21423" s="40" t="n">
        <v>-23.591454</v>
      </c>
      <c r="C21423" s="40" t="n">
        <v>-46.475603</v>
      </c>
      <c r="D21423" s="40" t="n">
        <v>312</v>
      </c>
      <c r="E21423" s="41" t="n">
        <v>9641.103499999999</v>
      </c>
    </row>
    <row r="21424">
      <c r="A21424" s="42">
        <f>_xlfn.XLOOKUP(84525,Trip[shape_id],Trip[shape_id],"Não encontrado")</f>
        <v/>
      </c>
      <c r="B21424" s="43" t="n">
        <v>-23.59099</v>
      </c>
      <c r="C21424" s="43" t="n">
        <v>-46.476206</v>
      </c>
      <c r="D21424" s="43" t="n">
        <v>313</v>
      </c>
      <c r="E21424" s="44" t="n">
        <v>9721.2852</v>
      </c>
    </row>
    <row r="21425">
      <c r="A21425" s="39">
        <f>_xlfn.XLOOKUP(84525,Trip[shape_id],Trip[shape_id],"Não encontrado")</f>
        <v/>
      </c>
      <c r="B21425" s="40" t="n">
        <v>-23.590671</v>
      </c>
      <c r="C21425" s="40" t="n">
        <v>-46.476621</v>
      </c>
      <c r="D21425" s="40" t="n">
        <v>314</v>
      </c>
      <c r="E21425" s="41" t="n">
        <v>9776.444299999999</v>
      </c>
    </row>
    <row r="21426">
      <c r="A21426" s="42">
        <f>_xlfn.XLOOKUP(84525,Trip[shape_id],Trip[shape_id],"Não encontrado")</f>
        <v/>
      </c>
      <c r="B21426" s="43" t="n">
        <v>-23.590355</v>
      </c>
      <c r="C21426" s="43" t="n">
        <v>-46.477066</v>
      </c>
      <c r="D21426" s="43" t="n">
        <v>315</v>
      </c>
      <c r="E21426" s="44" t="n">
        <v>9833.7852</v>
      </c>
    </row>
    <row r="21427">
      <c r="A21427" s="39">
        <f>_xlfn.XLOOKUP(84525,Trip[shape_id],Trip[shape_id],"Não encontrado")</f>
        <v/>
      </c>
      <c r="B21427" s="40" t="n">
        <v>-23.590199</v>
      </c>
      <c r="C21427" s="40" t="n">
        <v>-46.477385</v>
      </c>
      <c r="D21427" s="40" t="n">
        <v>316</v>
      </c>
      <c r="E21427" s="41" t="n">
        <v>9870.645500000001</v>
      </c>
    </row>
    <row r="21428">
      <c r="A21428" s="42">
        <f>_xlfn.XLOOKUP(84525,Trip[shape_id],Trip[shape_id],"Não encontrado")</f>
        <v/>
      </c>
      <c r="B21428" s="43" t="n">
        <v>-23.590133</v>
      </c>
      <c r="C21428" s="43" t="n">
        <v>-46.47752</v>
      </c>
      <c r="D21428" s="43" t="n">
        <v>317</v>
      </c>
      <c r="E21428" s="44" t="n">
        <v>9886.2441</v>
      </c>
    </row>
    <row r="21429">
      <c r="A21429" s="39">
        <f>_xlfn.XLOOKUP(84525,Trip[shape_id],Trip[shape_id],"Não encontrado")</f>
        <v/>
      </c>
      <c r="B21429" s="40" t="n">
        <v>-23.589983</v>
      </c>
      <c r="C21429" s="40" t="n">
        <v>-46.477889</v>
      </c>
      <c r="D21429" s="40" t="n">
        <v>318</v>
      </c>
      <c r="E21429" s="41" t="n">
        <v>9927.4092</v>
      </c>
    </row>
    <row r="21430">
      <c r="A21430" s="42">
        <f>_xlfn.XLOOKUP(84525,Trip[shape_id],Trip[shape_id],"Não encontrado")</f>
        <v/>
      </c>
      <c r="B21430" s="43" t="n">
        <v>-23.589905</v>
      </c>
      <c r="C21430" s="43" t="n">
        <v>-46.478109</v>
      </c>
      <c r="D21430" s="43" t="n">
        <v>319</v>
      </c>
      <c r="E21430" s="44" t="n">
        <v>9951.4697</v>
      </c>
    </row>
    <row r="21431">
      <c r="A21431" s="39">
        <f>_xlfn.XLOOKUP(84525,Trip[shape_id],Trip[shape_id],"Não encontrado")</f>
        <v/>
      </c>
      <c r="B21431" s="40" t="n">
        <v>-23.589712</v>
      </c>
      <c r="C21431" s="40" t="n">
        <v>-46.478857</v>
      </c>
      <c r="D21431" s="40" t="n">
        <v>320</v>
      </c>
      <c r="E21431" s="41" t="n">
        <v>10030.755</v>
      </c>
    </row>
    <row r="21432">
      <c r="A21432" s="42">
        <f>_xlfn.XLOOKUP(84525,Trip[shape_id],Trip[shape_id],"Não encontrado")</f>
        <v/>
      </c>
      <c r="B21432" s="43" t="n">
        <v>-23.589637</v>
      </c>
      <c r="C21432" s="43" t="n">
        <v>-46.47908</v>
      </c>
      <c r="D21432" s="43" t="n">
        <v>321</v>
      </c>
      <c r="E21432" s="44" t="n">
        <v>10054.985</v>
      </c>
    </row>
    <row r="21433">
      <c r="A21433" s="39">
        <f>_xlfn.XLOOKUP(84525,Trip[shape_id],Trip[shape_id],"Não encontrado")</f>
        <v/>
      </c>
      <c r="B21433" s="40" t="n">
        <v>-23.589527</v>
      </c>
      <c r="C21433" s="40" t="n">
        <v>-46.479396</v>
      </c>
      <c r="D21433" s="40" t="n">
        <v>322</v>
      </c>
      <c r="E21433" s="41" t="n">
        <v>10089.464</v>
      </c>
    </row>
    <row r="21434">
      <c r="A21434" s="42">
        <f>_xlfn.XLOOKUP(84525,Trip[shape_id],Trip[shape_id],"Não encontrado")</f>
        <v/>
      </c>
      <c r="B21434" s="43" t="n">
        <v>-23.589352</v>
      </c>
      <c r="C21434" s="43" t="n">
        <v>-46.47975</v>
      </c>
      <c r="D21434" s="43" t="n">
        <v>323</v>
      </c>
      <c r="E21434" s="44" t="n">
        <v>10130.468</v>
      </c>
    </row>
    <row r="21435">
      <c r="A21435" s="39">
        <f>_xlfn.XLOOKUP(84525,Trip[shape_id],Trip[shape_id],"Não encontrado")</f>
        <v/>
      </c>
      <c r="B21435" s="40" t="n">
        <v>-23.589274</v>
      </c>
      <c r="C21435" s="40" t="n">
        <v>-46.479902</v>
      </c>
      <c r="D21435" s="40" t="n">
        <v>324</v>
      </c>
      <c r="E21435" s="41" t="n">
        <v>10148.226</v>
      </c>
    </row>
    <row r="21436">
      <c r="A21436" s="42">
        <f>_xlfn.XLOOKUP(84525,Trip[shape_id],Trip[shape_id],"Não encontrado")</f>
        <v/>
      </c>
      <c r="B21436" s="43" t="n">
        <v>-23.589108</v>
      </c>
      <c r="C21436" s="43" t="n">
        <v>-46.480136</v>
      </c>
      <c r="D21436" s="43" t="n">
        <v>325</v>
      </c>
      <c r="E21436" s="44" t="n">
        <v>10178.367</v>
      </c>
    </row>
    <row r="21437">
      <c r="A21437" s="39">
        <f>_xlfn.XLOOKUP(84525,Trip[shape_id],Trip[shape_id],"Não encontrado")</f>
        <v/>
      </c>
      <c r="B21437" s="40" t="n">
        <v>-23.588913</v>
      </c>
      <c r="C21437" s="40" t="n">
        <v>-46.480349</v>
      </c>
      <c r="D21437" s="40" t="n">
        <v>326</v>
      </c>
      <c r="E21437" s="41" t="n">
        <v>10209.012</v>
      </c>
    </row>
    <row r="21438">
      <c r="A21438" s="42">
        <f>_xlfn.XLOOKUP(84525,Trip[shape_id],Trip[shape_id],"Não encontrado")</f>
        <v/>
      </c>
      <c r="B21438" s="43" t="n">
        <v>-23.588667</v>
      </c>
      <c r="C21438" s="43" t="n">
        <v>-46.480576</v>
      </c>
      <c r="D21438" s="43" t="n">
        <v>327</v>
      </c>
      <c r="E21438" s="44" t="n">
        <v>10244.777</v>
      </c>
    </row>
    <row r="21439">
      <c r="A21439" s="39">
        <f>_xlfn.XLOOKUP(84525,Trip[shape_id],Trip[shape_id],"Não encontrado")</f>
        <v/>
      </c>
      <c r="B21439" s="40" t="n">
        <v>-23.588524</v>
      </c>
      <c r="C21439" s="40" t="n">
        <v>-46.48071</v>
      </c>
      <c r="D21439" s="40" t="n">
        <v>328</v>
      </c>
      <c r="E21439" s="41" t="n">
        <v>10265.703</v>
      </c>
    </row>
    <row r="21440">
      <c r="A21440" s="42">
        <f>_xlfn.XLOOKUP(84525,Trip[shape_id],Trip[shape_id],"Não encontrado")</f>
        <v/>
      </c>
      <c r="B21440" s="43" t="n">
        <v>-23.588076</v>
      </c>
      <c r="C21440" s="43" t="n">
        <v>-46.481089</v>
      </c>
      <c r="D21440" s="43" t="n">
        <v>329</v>
      </c>
      <c r="E21440" s="44" t="n">
        <v>10328.619</v>
      </c>
    </row>
    <row r="21441">
      <c r="A21441" s="39">
        <f>_xlfn.XLOOKUP(84525,Trip[shape_id],Trip[shape_id],"Não encontrado")</f>
        <v/>
      </c>
      <c r="B21441" s="40" t="n">
        <v>-23.587835</v>
      </c>
      <c r="C21441" s="40" t="n">
        <v>-46.481295</v>
      </c>
      <c r="D21441" s="40" t="n">
        <v>330</v>
      </c>
      <c r="E21441" s="41" t="n">
        <v>10362.598</v>
      </c>
    </row>
    <row r="21442">
      <c r="A21442" s="42">
        <f>_xlfn.XLOOKUP(84525,Trip[shape_id],Trip[shape_id],"Não encontrado")</f>
        <v/>
      </c>
      <c r="B21442" s="43" t="n">
        <v>-23.587423</v>
      </c>
      <c r="C21442" s="43" t="n">
        <v>-46.481716</v>
      </c>
      <c r="D21442" s="43" t="n">
        <v>331</v>
      </c>
      <c r="E21442" s="44" t="n">
        <v>10425.277</v>
      </c>
    </row>
    <row r="21443">
      <c r="A21443" s="39">
        <f>_xlfn.XLOOKUP(84525,Trip[shape_id],Trip[shape_id],"Não encontrado")</f>
        <v/>
      </c>
      <c r="B21443" s="40" t="n">
        <v>-23.587187</v>
      </c>
      <c r="C21443" s="40" t="n">
        <v>-46.482024</v>
      </c>
      <c r="D21443" s="40" t="n">
        <v>332</v>
      </c>
      <c r="E21443" s="41" t="n">
        <v>10466.162</v>
      </c>
    </row>
    <row r="21444">
      <c r="A21444" s="42">
        <f>_xlfn.XLOOKUP(84525,Trip[shape_id],Trip[shape_id],"Não encontrado")</f>
        <v/>
      </c>
      <c r="B21444" s="43" t="n">
        <v>-23.587101</v>
      </c>
      <c r="C21444" s="43" t="n">
        <v>-46.482169</v>
      </c>
      <c r="D21444" s="43" t="n">
        <v>333</v>
      </c>
      <c r="E21444" s="44" t="n">
        <v>10483.763</v>
      </c>
    </row>
    <row r="21445">
      <c r="A21445" s="39">
        <f>_xlfn.XLOOKUP(84525,Trip[shape_id],Trip[shape_id],"Não encontrado")</f>
        <v/>
      </c>
      <c r="B21445" s="40" t="n">
        <v>-23.58703</v>
      </c>
      <c r="C21445" s="40" t="n">
        <v>-46.482312</v>
      </c>
      <c r="D21445" s="40" t="n">
        <v>334</v>
      </c>
      <c r="E21445" s="41" t="n">
        <v>10500.343</v>
      </c>
    </row>
    <row r="21446">
      <c r="A21446" s="42">
        <f>_xlfn.XLOOKUP(84525,Trip[shape_id],Trip[shape_id],"Não encontrado")</f>
        <v/>
      </c>
      <c r="B21446" s="43" t="n">
        <v>-23.586868</v>
      </c>
      <c r="C21446" s="43" t="n">
        <v>-46.482645</v>
      </c>
      <c r="D21446" s="43" t="n">
        <v>335</v>
      </c>
      <c r="E21446" s="44" t="n">
        <v>10538.778</v>
      </c>
    </row>
    <row r="21447">
      <c r="A21447" s="39">
        <f>_xlfn.XLOOKUP(84525,Trip[shape_id],Trip[shape_id],"Não encontrado")</f>
        <v/>
      </c>
      <c r="B21447" s="40" t="n">
        <v>-23.586832</v>
      </c>
      <c r="C21447" s="40" t="n">
        <v>-46.482775</v>
      </c>
      <c r="D21447" s="40" t="n">
        <v>336</v>
      </c>
      <c r="E21447" s="41" t="n">
        <v>10552.634</v>
      </c>
    </row>
    <row r="21448">
      <c r="A21448" s="42">
        <f>_xlfn.XLOOKUP(84525,Trip[shape_id],Trip[shape_id],"Não encontrado")</f>
        <v/>
      </c>
      <c r="B21448" s="43" t="n">
        <v>-23.58678</v>
      </c>
      <c r="C21448" s="43" t="n">
        <v>-46.482945</v>
      </c>
      <c r="D21448" s="43" t="n">
        <v>337</v>
      </c>
      <c r="E21448" s="44" t="n">
        <v>10570.917</v>
      </c>
    </row>
    <row r="21449">
      <c r="A21449" s="39">
        <f>_xlfn.XLOOKUP(84525,Trip[shape_id],Trip[shape_id],"Não encontrado")</f>
        <v/>
      </c>
      <c r="B21449" s="40" t="n">
        <v>-23.586695</v>
      </c>
      <c r="C21449" s="40" t="n">
        <v>-46.483334</v>
      </c>
      <c r="D21449" s="40" t="n">
        <v>338</v>
      </c>
      <c r="E21449" s="41" t="n">
        <v>10611.725</v>
      </c>
    </row>
    <row r="21450">
      <c r="A21450" s="42">
        <f>_xlfn.XLOOKUP(84525,Trip[shape_id],Trip[shape_id],"Não encontrado")</f>
        <v/>
      </c>
      <c r="B21450" s="43" t="n">
        <v>-23.586681</v>
      </c>
      <c r="C21450" s="43" t="n">
        <v>-46.483429</v>
      </c>
      <c r="D21450" s="43" t="n">
        <v>339</v>
      </c>
      <c r="E21450" s="44" t="n">
        <v>10621.545</v>
      </c>
    </row>
    <row r="21451">
      <c r="A21451" s="39">
        <f>_xlfn.XLOOKUP(84525,Trip[shape_id],Trip[shape_id],"Não encontrado")</f>
        <v/>
      </c>
      <c r="B21451" s="40" t="n">
        <v>-23.586666</v>
      </c>
      <c r="C21451" s="40" t="n">
        <v>-46.483744</v>
      </c>
      <c r="D21451" s="40" t="n">
        <v>340</v>
      </c>
      <c r="E21451" s="41" t="n">
        <v>10653.741</v>
      </c>
    </row>
    <row r="21452">
      <c r="A21452" s="42">
        <f>_xlfn.XLOOKUP(84525,Trip[shape_id],Trip[shape_id],"Não encontrado")</f>
        <v/>
      </c>
      <c r="B21452" s="43" t="n">
        <v>-23.586685</v>
      </c>
      <c r="C21452" s="43" t="n">
        <v>-46.484096</v>
      </c>
      <c r="D21452" s="43" t="n">
        <v>341</v>
      </c>
      <c r="E21452" s="44" t="n">
        <v>10689.733</v>
      </c>
    </row>
    <row r="21453">
      <c r="A21453" s="39">
        <f>_xlfn.XLOOKUP(84525,Trip[shape_id],Trip[shape_id],"Não encontrado")</f>
        <v/>
      </c>
      <c r="B21453" s="40" t="n">
        <v>-23.586704</v>
      </c>
      <c r="C21453" s="40" t="n">
        <v>-46.484592</v>
      </c>
      <c r="D21453" s="40" t="n">
        <v>342</v>
      </c>
      <c r="E21453" s="41" t="n">
        <v>10740.406</v>
      </c>
    </row>
    <row r="21454">
      <c r="A21454" s="42">
        <f>_xlfn.XLOOKUP(84525,Trip[shape_id],Trip[shape_id],"Não encontrado")</f>
        <v/>
      </c>
      <c r="B21454" s="43" t="n">
        <v>-23.586729</v>
      </c>
      <c r="C21454" s="43" t="n">
        <v>-46.485278</v>
      </c>
      <c r="D21454" s="43" t="n">
        <v>343</v>
      </c>
      <c r="E21454" s="44" t="n">
        <v>10810.483</v>
      </c>
    </row>
    <row r="21455">
      <c r="A21455" s="39">
        <f>_xlfn.XLOOKUP(84525,Trip[shape_id],Trip[shape_id],"Não encontrado")</f>
        <v/>
      </c>
      <c r="B21455" s="40" t="n">
        <v>-23.586729</v>
      </c>
      <c r="C21455" s="40" t="n">
        <v>-46.485585</v>
      </c>
      <c r="D21455" s="40" t="n">
        <v>344</v>
      </c>
      <c r="E21455" s="41" t="n">
        <v>10841.82</v>
      </c>
    </row>
    <row r="21456">
      <c r="A21456" s="42">
        <f>_xlfn.XLOOKUP(84525,Trip[shape_id],Trip[shape_id],"Não encontrado")</f>
        <v/>
      </c>
      <c r="B21456" s="43" t="n">
        <v>-23.58671</v>
      </c>
      <c r="C21456" s="43" t="n">
        <v>-46.48585</v>
      </c>
      <c r="D21456" s="43" t="n">
        <v>345</v>
      </c>
      <c r="E21456" s="44" t="n">
        <v>10868.951</v>
      </c>
    </row>
    <row r="21457">
      <c r="A21457" s="39">
        <f>_xlfn.XLOOKUP(84525,Trip[shape_id],Trip[shape_id],"Não encontrado")</f>
        <v/>
      </c>
      <c r="B21457" s="40" t="n">
        <v>-23.586678</v>
      </c>
      <c r="C21457" s="40" t="n">
        <v>-46.48615</v>
      </c>
      <c r="D21457" s="40" t="n">
        <v>346</v>
      </c>
      <c r="E21457" s="41" t="n">
        <v>10899.777</v>
      </c>
    </row>
    <row r="21458">
      <c r="A21458" s="42">
        <f>_xlfn.XLOOKUP(84525,Trip[shape_id],Trip[shape_id],"Não encontrado")</f>
        <v/>
      </c>
      <c r="B21458" s="43" t="n">
        <v>-23.586611</v>
      </c>
      <c r="C21458" s="43" t="n">
        <v>-46.486421</v>
      </c>
      <c r="D21458" s="43" t="n">
        <v>347</v>
      </c>
      <c r="E21458" s="44" t="n">
        <v>10928.417</v>
      </c>
    </row>
    <row r="21459">
      <c r="A21459" s="39">
        <f>_xlfn.XLOOKUP(84525,Trip[shape_id],Trip[shape_id],"Não encontrado")</f>
        <v/>
      </c>
      <c r="B21459" s="40" t="n">
        <v>-23.586549</v>
      </c>
      <c r="C21459" s="40" t="n">
        <v>-46.486643</v>
      </c>
      <c r="D21459" s="40" t="n">
        <v>348</v>
      </c>
      <c r="E21459" s="41" t="n">
        <v>10952.095</v>
      </c>
    </row>
    <row r="21460">
      <c r="A21460" s="42">
        <f>_xlfn.XLOOKUP(84525,Trip[shape_id],Trip[shape_id],"Não encontrado")</f>
        <v/>
      </c>
      <c r="B21460" s="43" t="n">
        <v>-23.586448</v>
      </c>
      <c r="C21460" s="43" t="n">
        <v>-46.486897</v>
      </c>
      <c r="D21460" s="43" t="n">
        <v>349</v>
      </c>
      <c r="E21460" s="44" t="n">
        <v>10980.332</v>
      </c>
    </row>
    <row r="21461">
      <c r="A21461" s="39">
        <f>_xlfn.XLOOKUP(84525,Trip[shape_id],Trip[shape_id],"Não encontrado")</f>
        <v/>
      </c>
      <c r="B21461" s="40" t="n">
        <v>-23.586233</v>
      </c>
      <c r="C21461" s="40" t="n">
        <v>-46.487326</v>
      </c>
      <c r="D21461" s="40" t="n">
        <v>350</v>
      </c>
      <c r="E21461" s="41" t="n">
        <v>11030.178</v>
      </c>
    </row>
    <row r="21462">
      <c r="A21462" s="42">
        <f>_xlfn.XLOOKUP(84525,Trip[shape_id],Trip[shape_id],"Não encontrado")</f>
        <v/>
      </c>
      <c r="B21462" s="43" t="n">
        <v>-23.586098</v>
      </c>
      <c r="C21462" s="43" t="n">
        <v>-46.487545</v>
      </c>
      <c r="D21462" s="43" t="n">
        <v>351</v>
      </c>
      <c r="E21462" s="44" t="n">
        <v>11057.071</v>
      </c>
    </row>
    <row r="21463">
      <c r="A21463" s="39">
        <f>_xlfn.XLOOKUP(84525,Trip[shape_id],Trip[shape_id],"Não encontrado")</f>
        <v/>
      </c>
      <c r="B21463" s="40" t="n">
        <v>-23.586032</v>
      </c>
      <c r="C21463" s="40" t="n">
        <v>-46.487632</v>
      </c>
      <c r="D21463" s="40" t="n">
        <v>352</v>
      </c>
      <c r="E21463" s="41" t="n">
        <v>11068.573</v>
      </c>
    </row>
    <row r="21464">
      <c r="A21464" s="42">
        <f>_xlfn.XLOOKUP(84525,Trip[shape_id],Trip[shape_id],"Não encontrado")</f>
        <v/>
      </c>
      <c r="B21464" s="43" t="n">
        <v>-23.585955</v>
      </c>
      <c r="C21464" s="43" t="n">
        <v>-46.48773</v>
      </c>
      <c r="D21464" s="43" t="n">
        <v>353</v>
      </c>
      <c r="E21464" s="44" t="n">
        <v>11081.718</v>
      </c>
    </row>
    <row r="21465">
      <c r="A21465" s="39">
        <f>_xlfn.XLOOKUP(84525,Trip[shape_id],Trip[shape_id],"Não encontrado")</f>
        <v/>
      </c>
      <c r="B21465" s="40" t="n">
        <v>-23.585774</v>
      </c>
      <c r="C21465" s="40" t="n">
        <v>-46.487951</v>
      </c>
      <c r="D21465" s="40" t="n">
        <v>354</v>
      </c>
      <c r="E21465" s="41" t="n">
        <v>11111.896</v>
      </c>
    </row>
    <row r="21466">
      <c r="A21466" s="42">
        <f>_xlfn.XLOOKUP(84525,Trip[shape_id],Trip[shape_id],"Não encontrado")</f>
        <v/>
      </c>
      <c r="B21466" s="43" t="n">
        <v>-23.585684</v>
      </c>
      <c r="C21466" s="43" t="n">
        <v>-46.488025</v>
      </c>
      <c r="D21466" s="43" t="n">
        <v>355</v>
      </c>
      <c r="E21466" s="44" t="n">
        <v>11124.403</v>
      </c>
    </row>
    <row r="21467">
      <c r="A21467" s="39">
        <f>_xlfn.XLOOKUP(84525,Trip[shape_id],Trip[shape_id],"Não encontrado")</f>
        <v/>
      </c>
      <c r="B21467" s="40" t="n">
        <v>-23.585275</v>
      </c>
      <c r="C21467" s="40" t="n">
        <v>-46.488365</v>
      </c>
      <c r="D21467" s="40" t="n">
        <v>356</v>
      </c>
      <c r="E21467" s="41" t="n">
        <v>11181.468</v>
      </c>
    </row>
    <row r="21468">
      <c r="A21468" s="42">
        <f>_xlfn.XLOOKUP(84525,Trip[shape_id],Trip[shape_id],"Não encontrado")</f>
        <v/>
      </c>
      <c r="B21468" s="43" t="n">
        <v>-23.584973</v>
      </c>
      <c r="C21468" s="43" t="n">
        <v>-46.488596</v>
      </c>
      <c r="D21468" s="43" t="n">
        <v>357</v>
      </c>
      <c r="E21468" s="44" t="n">
        <v>11222.391</v>
      </c>
    </row>
    <row r="21469">
      <c r="A21469" s="39">
        <f>_xlfn.XLOOKUP(84525,Trip[shape_id],Trip[shape_id],"Não encontrado")</f>
        <v/>
      </c>
      <c r="B21469" s="40" t="n">
        <v>-23.584762</v>
      </c>
      <c r="C21469" s="40" t="n">
        <v>-46.488753</v>
      </c>
      <c r="D21469" s="40" t="n">
        <v>358</v>
      </c>
      <c r="E21469" s="41" t="n">
        <v>11250.727</v>
      </c>
    </row>
    <row r="21470">
      <c r="A21470" s="42">
        <f>_xlfn.XLOOKUP(84525,Trip[shape_id],Trip[shape_id],"Não encontrado")</f>
        <v/>
      </c>
      <c r="B21470" s="43" t="n">
        <v>-23.5845</v>
      </c>
      <c r="C21470" s="43" t="n">
        <v>-46.488958</v>
      </c>
      <c r="D21470" s="43" t="n">
        <v>359</v>
      </c>
      <c r="E21470" s="44" t="n">
        <v>11286.502</v>
      </c>
    </row>
    <row r="21471">
      <c r="A21471" s="39">
        <f>_xlfn.XLOOKUP(84525,Trip[shape_id],Trip[shape_id],"Não encontrado")</f>
        <v/>
      </c>
      <c r="B21471" s="40" t="n">
        <v>-23.584227</v>
      </c>
      <c r="C21471" s="40" t="n">
        <v>-46.489157</v>
      </c>
      <c r="D21471" s="40" t="n">
        <v>360</v>
      </c>
      <c r="E21471" s="41" t="n">
        <v>11322.927</v>
      </c>
    </row>
    <row r="21472">
      <c r="A21472" s="42">
        <f>_xlfn.XLOOKUP(84525,Trip[shape_id],Trip[shape_id],"Não encontrado")</f>
        <v/>
      </c>
      <c r="B21472" s="43" t="n">
        <v>-23.583941</v>
      </c>
      <c r="C21472" s="43" t="n">
        <v>-46.489342</v>
      </c>
      <c r="D21472" s="43" t="n">
        <v>361</v>
      </c>
      <c r="E21472" s="44" t="n">
        <v>11359.804</v>
      </c>
    </row>
    <row r="21473">
      <c r="A21473" s="39">
        <f>_xlfn.XLOOKUP(84525,Trip[shape_id],Trip[shape_id],"Não encontrado")</f>
        <v/>
      </c>
      <c r="B21473" s="40" t="n">
        <v>-23.583813</v>
      </c>
      <c r="C21473" s="40" t="n">
        <v>-46.489414</v>
      </c>
      <c r="D21473" s="40" t="n">
        <v>362</v>
      </c>
      <c r="E21473" s="41" t="n">
        <v>11375.771</v>
      </c>
    </row>
    <row r="21474">
      <c r="A21474" s="42">
        <f>_xlfn.XLOOKUP(84525,Trip[shape_id],Trip[shape_id],"Não encontrado")</f>
        <v/>
      </c>
      <c r="B21474" s="43" t="n">
        <v>-23.583609</v>
      </c>
      <c r="C21474" s="43" t="n">
        <v>-46.489545</v>
      </c>
      <c r="D21474" s="43" t="n">
        <v>363</v>
      </c>
      <c r="E21474" s="44" t="n">
        <v>11402.025</v>
      </c>
    </row>
    <row r="21475">
      <c r="A21475" s="39">
        <f>_xlfn.XLOOKUP(84525,Trip[shape_id],Trip[shape_id],"Não encontrado")</f>
        <v/>
      </c>
      <c r="B21475" s="40" t="n">
        <v>-23.583296</v>
      </c>
      <c r="C21475" s="40" t="n">
        <v>-46.489684</v>
      </c>
      <c r="D21475" s="40" t="n">
        <v>364</v>
      </c>
      <c r="E21475" s="41" t="n">
        <v>11439.482</v>
      </c>
    </row>
    <row r="21476">
      <c r="A21476" s="42">
        <f>_xlfn.XLOOKUP(84525,Trip[shape_id],Trip[shape_id],"Não encontrado")</f>
        <v/>
      </c>
      <c r="B21476" s="43" t="n">
        <v>-23.583099</v>
      </c>
      <c r="C21476" s="43" t="n">
        <v>-46.489803</v>
      </c>
      <c r="D21476" s="43" t="n">
        <v>365</v>
      </c>
      <c r="E21476" s="44" t="n">
        <v>11464.454</v>
      </c>
    </row>
    <row r="21477">
      <c r="A21477" s="39">
        <f>_xlfn.XLOOKUP(84525,Trip[shape_id],Trip[shape_id],"Não encontrado")</f>
        <v/>
      </c>
      <c r="B21477" s="40" t="n">
        <v>-23.582874</v>
      </c>
      <c r="C21477" s="40" t="n">
        <v>-46.489933</v>
      </c>
      <c r="D21477" s="40" t="n">
        <v>366</v>
      </c>
      <c r="E21477" s="41" t="n">
        <v>11492.687</v>
      </c>
    </row>
    <row r="21478">
      <c r="A21478" s="42">
        <f>_xlfn.XLOOKUP(84525,Trip[shape_id],Trip[shape_id],"Não encontrado")</f>
        <v/>
      </c>
      <c r="B21478" s="43" t="n">
        <v>-23.582683</v>
      </c>
      <c r="C21478" s="43" t="n">
        <v>-46.490095</v>
      </c>
      <c r="D21478" s="43" t="n">
        <v>367</v>
      </c>
      <c r="E21478" s="44" t="n">
        <v>11519.537</v>
      </c>
    </row>
    <row r="21479">
      <c r="A21479" s="39">
        <f>_xlfn.XLOOKUP(84525,Trip[shape_id],Trip[shape_id],"Não encontrado")</f>
        <v/>
      </c>
      <c r="B21479" s="40" t="n">
        <v>-23.582461</v>
      </c>
      <c r="C21479" s="40" t="n">
        <v>-46.490277</v>
      </c>
      <c r="D21479" s="40" t="n">
        <v>368</v>
      </c>
      <c r="E21479" s="41" t="n">
        <v>11550.354</v>
      </c>
    </row>
    <row r="21480">
      <c r="A21480" s="42">
        <f>_xlfn.XLOOKUP(84525,Trip[shape_id],Trip[shape_id],"Não encontrado")</f>
        <v/>
      </c>
      <c r="B21480" s="43" t="n">
        <v>-23.582325</v>
      </c>
      <c r="C21480" s="43" t="n">
        <v>-46.490392</v>
      </c>
      <c r="D21480" s="43" t="n">
        <v>369</v>
      </c>
      <c r="E21480" s="44" t="n">
        <v>11569.45</v>
      </c>
    </row>
    <row r="21481">
      <c r="A21481" s="39">
        <f>_xlfn.XLOOKUP(84525,Trip[shape_id],Trip[shape_id],"Não encontrado")</f>
        <v/>
      </c>
      <c r="B21481" s="40" t="n">
        <v>-23.582063</v>
      </c>
      <c r="C21481" s="40" t="n">
        <v>-46.490637</v>
      </c>
      <c r="D21481" s="40" t="n">
        <v>370</v>
      </c>
      <c r="E21481" s="41" t="n">
        <v>11607.758</v>
      </c>
    </row>
    <row r="21482">
      <c r="A21482" s="42">
        <f>_xlfn.XLOOKUP(84525,Trip[shape_id],Trip[shape_id],"Não encontrado")</f>
        <v/>
      </c>
      <c r="B21482" s="43" t="n">
        <v>-23.581963</v>
      </c>
      <c r="C21482" s="43" t="n">
        <v>-46.490735</v>
      </c>
      <c r="D21482" s="43" t="n">
        <v>371</v>
      </c>
      <c r="E21482" s="44" t="n">
        <v>11622.682</v>
      </c>
    </row>
    <row r="21483">
      <c r="A21483" s="39">
        <f>_xlfn.XLOOKUP(84525,Trip[shape_id],Trip[shape_id],"Não encontrado")</f>
        <v/>
      </c>
      <c r="B21483" s="40" t="n">
        <v>-23.581806</v>
      </c>
      <c r="C21483" s="40" t="n">
        <v>-46.490875</v>
      </c>
      <c r="D21483" s="40" t="n">
        <v>372</v>
      </c>
      <c r="E21483" s="41" t="n">
        <v>11645.188</v>
      </c>
    </row>
    <row r="21484">
      <c r="A21484" s="42">
        <f>_xlfn.XLOOKUP(84525,Trip[shape_id],Trip[shape_id],"Não encontrado")</f>
        <v/>
      </c>
      <c r="B21484" s="43" t="n">
        <v>-23.581622</v>
      </c>
      <c r="C21484" s="43" t="n">
        <v>-46.491076</v>
      </c>
      <c r="D21484" s="43" t="n">
        <v>373</v>
      </c>
      <c r="E21484" s="44" t="n">
        <v>11674.106</v>
      </c>
    </row>
    <row r="21485">
      <c r="A21485" s="39">
        <f>_xlfn.XLOOKUP(84525,Trip[shape_id],Trip[shape_id],"Não encontrado")</f>
        <v/>
      </c>
      <c r="B21485" s="40" t="n">
        <v>-23.581276</v>
      </c>
      <c r="C21485" s="40" t="n">
        <v>-46.491458</v>
      </c>
      <c r="D21485" s="40" t="n">
        <v>374</v>
      </c>
      <c r="E21485" s="41" t="n">
        <v>11728.778</v>
      </c>
    </row>
    <row r="21486">
      <c r="A21486" s="42">
        <f>_xlfn.XLOOKUP(84525,Trip[shape_id],Trip[shape_id],"Não encontrado")</f>
        <v/>
      </c>
      <c r="B21486" s="43" t="n">
        <v>-23.581238</v>
      </c>
      <c r="C21486" s="43" t="n">
        <v>-46.491508</v>
      </c>
      <c r="D21486" s="43" t="n">
        <v>375</v>
      </c>
      <c r="E21486" s="44" t="n">
        <v>11735.394</v>
      </c>
    </row>
    <row r="21487">
      <c r="A21487" s="39">
        <f>_xlfn.XLOOKUP(84525,Trip[shape_id],Trip[shape_id],"Não encontrado")</f>
        <v/>
      </c>
      <c r="B21487" s="40" t="n">
        <v>-23.580994</v>
      </c>
      <c r="C21487" s="40" t="n">
        <v>-46.491738</v>
      </c>
      <c r="D21487" s="40" t="n">
        <v>376</v>
      </c>
      <c r="E21487" s="41" t="n">
        <v>11771.191</v>
      </c>
    </row>
    <row r="21488">
      <c r="A21488" s="42">
        <f>_xlfn.XLOOKUP(84525,Trip[shape_id],Trip[shape_id],"Não encontrado")</f>
        <v/>
      </c>
      <c r="B21488" s="43" t="n">
        <v>-23.58046</v>
      </c>
      <c r="C21488" s="43" t="n">
        <v>-46.492173</v>
      </c>
      <c r="D21488" s="43" t="n">
        <v>377</v>
      </c>
      <c r="E21488" s="44" t="n">
        <v>11845.147</v>
      </c>
    </row>
    <row r="21489">
      <c r="A21489" s="39">
        <f>_xlfn.XLOOKUP(84525,Trip[shape_id],Trip[shape_id],"Não encontrado")</f>
        <v/>
      </c>
      <c r="B21489" s="40" t="n">
        <v>-23.580236</v>
      </c>
      <c r="C21489" s="40" t="n">
        <v>-46.49236</v>
      </c>
      <c r="D21489" s="40" t="n">
        <v>378</v>
      </c>
      <c r="E21489" s="41" t="n">
        <v>11876.45</v>
      </c>
    </row>
    <row r="21490">
      <c r="A21490" s="42">
        <f>_xlfn.XLOOKUP(84525,Trip[shape_id],Trip[shape_id],"Não encontrado")</f>
        <v/>
      </c>
      <c r="B21490" s="43" t="n">
        <v>-23.579822</v>
      </c>
      <c r="C21490" s="43" t="n">
        <v>-46.492731</v>
      </c>
      <c r="D21490" s="43" t="n">
        <v>379</v>
      </c>
      <c r="E21490" s="44" t="n">
        <v>11935.919</v>
      </c>
    </row>
    <row r="21491">
      <c r="A21491" s="39">
        <f>_xlfn.XLOOKUP(84525,Trip[shape_id],Trip[shape_id],"Não encontrado")</f>
        <v/>
      </c>
      <c r="B21491" s="40" t="n">
        <v>-23.579691</v>
      </c>
      <c r="C21491" s="40" t="n">
        <v>-46.492851</v>
      </c>
      <c r="D21491" s="40" t="n">
        <v>380</v>
      </c>
      <c r="E21491" s="41" t="n">
        <v>11954.907</v>
      </c>
    </row>
    <row r="21492">
      <c r="A21492" s="42">
        <f>_xlfn.XLOOKUP(84525,Trip[shape_id],Trip[shape_id],"Não encontrado")</f>
        <v/>
      </c>
      <c r="B21492" s="43" t="n">
        <v>-23.57942</v>
      </c>
      <c r="C21492" s="43" t="n">
        <v>-46.493181</v>
      </c>
      <c r="D21492" s="43" t="n">
        <v>381</v>
      </c>
      <c r="E21492" s="44" t="n">
        <v>12000.024</v>
      </c>
    </row>
    <row r="21493">
      <c r="A21493" s="39">
        <f>_xlfn.XLOOKUP(84525,Trip[shape_id],Trip[shape_id],"Não encontrado")</f>
        <v/>
      </c>
      <c r="B21493" s="40" t="n">
        <v>-23.579176</v>
      </c>
      <c r="C21493" s="40" t="n">
        <v>-46.49352</v>
      </c>
      <c r="D21493" s="40" t="n">
        <v>382</v>
      </c>
      <c r="E21493" s="41" t="n">
        <v>12043.931</v>
      </c>
    </row>
    <row r="21494">
      <c r="A21494" s="42">
        <f>_xlfn.XLOOKUP(84525,Trip[shape_id],Trip[shape_id],"Não encontrado")</f>
        <v/>
      </c>
      <c r="B21494" s="43" t="n">
        <v>-23.578991</v>
      </c>
      <c r="C21494" s="43" t="n">
        <v>-46.493857</v>
      </c>
      <c r="D21494" s="43" t="n">
        <v>383</v>
      </c>
      <c r="E21494" s="44" t="n">
        <v>12083.971</v>
      </c>
    </row>
    <row r="21495">
      <c r="A21495" s="39">
        <f>_xlfn.XLOOKUP(84525,Trip[shape_id],Trip[shape_id],"Não encontrado")</f>
        <v/>
      </c>
      <c r="B21495" s="40" t="n">
        <v>-23.578897</v>
      </c>
      <c r="C21495" s="40" t="n">
        <v>-46.494072</v>
      </c>
      <c r="D21495" s="40" t="n">
        <v>384</v>
      </c>
      <c r="E21495" s="41" t="n">
        <v>12108.262</v>
      </c>
    </row>
    <row r="21496">
      <c r="A21496" s="42">
        <f>_xlfn.XLOOKUP(84525,Trip[shape_id],Trip[shape_id],"Não encontrado")</f>
        <v/>
      </c>
      <c r="B21496" s="43" t="n">
        <v>-23.578805</v>
      </c>
      <c r="C21496" s="43" t="n">
        <v>-46.49427</v>
      </c>
      <c r="D21496" s="43" t="n">
        <v>385</v>
      </c>
      <c r="E21496" s="44" t="n">
        <v>12130.896</v>
      </c>
    </row>
    <row r="21497">
      <c r="A21497" s="39">
        <f>_xlfn.XLOOKUP(84525,Trip[shape_id],Trip[shape_id],"Não encontrado")</f>
        <v/>
      </c>
      <c r="B21497" s="40" t="n">
        <v>-23.578717</v>
      </c>
      <c r="C21497" s="40" t="n">
        <v>-46.494542</v>
      </c>
      <c r="D21497" s="40" t="n">
        <v>386</v>
      </c>
      <c r="E21497" s="41" t="n">
        <v>12160.323</v>
      </c>
    </row>
    <row r="21498">
      <c r="A21498" s="42">
        <f>_xlfn.XLOOKUP(84525,Trip[shape_id],Trip[shape_id],"Não encontrado")</f>
        <v/>
      </c>
      <c r="B21498" s="43" t="n">
        <v>-23.578652</v>
      </c>
      <c r="C21498" s="43" t="n">
        <v>-46.494769</v>
      </c>
      <c r="D21498" s="43" t="n">
        <v>387</v>
      </c>
      <c r="E21498" s="44" t="n">
        <v>12184.588</v>
      </c>
    </row>
    <row r="21499">
      <c r="A21499" s="39">
        <f>_xlfn.XLOOKUP(84525,Trip[shape_id],Trip[shape_id],"Não encontrado")</f>
        <v/>
      </c>
      <c r="B21499" s="40" t="n">
        <v>-23.578571</v>
      </c>
      <c r="C21499" s="40" t="n">
        <v>-46.495148</v>
      </c>
      <c r="D21499" s="40" t="n">
        <v>388</v>
      </c>
      <c r="E21499" s="41" t="n">
        <v>12224.303</v>
      </c>
    </row>
    <row r="21500">
      <c r="A21500" s="42">
        <f>_xlfn.XLOOKUP(84525,Trip[shape_id],Trip[shape_id],"Não encontrado")</f>
        <v/>
      </c>
      <c r="B21500" s="43" t="n">
        <v>-23.578559</v>
      </c>
      <c r="C21500" s="43" t="n">
        <v>-46.495276</v>
      </c>
      <c r="D21500" s="43" t="n">
        <v>389</v>
      </c>
      <c r="E21500" s="44" t="n">
        <v>12237.437</v>
      </c>
    </row>
    <row r="21501">
      <c r="A21501" s="39">
        <f>_xlfn.XLOOKUP(84525,Trip[shape_id],Trip[shape_id],"Não encontrado")</f>
        <v/>
      </c>
      <c r="B21501" s="40" t="n">
        <v>-23.578528</v>
      </c>
      <c r="C21501" s="40" t="n">
        <v>-46.495569</v>
      </c>
      <c r="D21501" s="40" t="n">
        <v>390</v>
      </c>
      <c r="E21501" s="41" t="n">
        <v>12267.542</v>
      </c>
    </row>
    <row r="21502">
      <c r="A21502" s="42">
        <f>_xlfn.XLOOKUP(84525,Trip[shape_id],Trip[shape_id],"Não encontrado")</f>
        <v/>
      </c>
      <c r="B21502" s="43" t="n">
        <v>-23.578516</v>
      </c>
      <c r="C21502" s="43" t="n">
        <v>-46.495795</v>
      </c>
      <c r="D21502" s="43" t="n">
        <v>391</v>
      </c>
      <c r="E21502" s="44" t="n">
        <v>12290.65</v>
      </c>
    </row>
    <row r="21503">
      <c r="A21503" s="39">
        <f>_xlfn.XLOOKUP(84525,Trip[shape_id],Trip[shape_id],"Não encontrado")</f>
        <v/>
      </c>
      <c r="B21503" s="40" t="n">
        <v>-23.578513</v>
      </c>
      <c r="C21503" s="40" t="n">
        <v>-46.496182</v>
      </c>
      <c r="D21503" s="40" t="n">
        <v>392</v>
      </c>
      <c r="E21503" s="41" t="n">
        <v>12330.157</v>
      </c>
    </row>
    <row r="21504">
      <c r="A21504" s="42">
        <f>_xlfn.XLOOKUP(84525,Trip[shape_id],Trip[shape_id],"Não encontrado")</f>
        <v/>
      </c>
      <c r="B21504" s="43" t="n">
        <v>-23.578533</v>
      </c>
      <c r="C21504" s="43" t="n">
        <v>-46.497025</v>
      </c>
      <c r="D21504" s="43" t="n">
        <v>393</v>
      </c>
      <c r="E21504" s="44" t="n">
        <v>12416.239</v>
      </c>
    </row>
    <row r="21505">
      <c r="A21505" s="39">
        <f>_xlfn.XLOOKUP(84525,Trip[shape_id],Trip[shape_id],"Não encontrado")</f>
        <v/>
      </c>
      <c r="B21505" s="40" t="n">
        <v>-23.578511</v>
      </c>
      <c r="C21505" s="40" t="n">
        <v>-46.497473</v>
      </c>
      <c r="D21505" s="40" t="n">
        <v>394</v>
      </c>
      <c r="E21505" s="41" t="n">
        <v>12462.036</v>
      </c>
    </row>
    <row r="21506">
      <c r="A21506" s="42">
        <f>_xlfn.XLOOKUP(84525,Trip[shape_id],Trip[shape_id],"Não encontrado")</f>
        <v/>
      </c>
      <c r="B21506" s="43" t="n">
        <v>-23.578472</v>
      </c>
      <c r="C21506" s="43" t="n">
        <v>-46.497749</v>
      </c>
      <c r="D21506" s="43" t="n">
        <v>395</v>
      </c>
      <c r="E21506" s="44" t="n">
        <v>12490.539</v>
      </c>
    </row>
    <row r="21507">
      <c r="A21507" s="39">
        <f>_xlfn.XLOOKUP(84525,Trip[shape_id],Trip[shape_id],"Não encontrado")</f>
        <v/>
      </c>
      <c r="B21507" s="40" t="n">
        <v>-23.57842</v>
      </c>
      <c r="C21507" s="40" t="n">
        <v>-46.498079</v>
      </c>
      <c r="D21507" s="40" t="n">
        <v>396</v>
      </c>
      <c r="E21507" s="41" t="n">
        <v>12524.714</v>
      </c>
    </row>
    <row r="21508">
      <c r="A21508" s="42">
        <f>_xlfn.XLOOKUP(84525,Trip[shape_id],Trip[shape_id],"Não encontrado")</f>
        <v/>
      </c>
      <c r="B21508" s="43" t="n">
        <v>-23.578375</v>
      </c>
      <c r="C21508" s="43" t="n">
        <v>-46.498284</v>
      </c>
      <c r="D21508" s="43" t="n">
        <v>397</v>
      </c>
      <c r="E21508" s="44" t="n">
        <v>12546.226</v>
      </c>
    </row>
    <row r="21509">
      <c r="A21509" s="39">
        <f>_xlfn.XLOOKUP(84525,Trip[shape_id],Trip[shape_id],"Não encontrado")</f>
        <v/>
      </c>
      <c r="B21509" s="40" t="n">
        <v>-23.578314</v>
      </c>
      <c r="C21509" s="40" t="n">
        <v>-46.498533</v>
      </c>
      <c r="D21509" s="40" t="n">
        <v>398</v>
      </c>
      <c r="E21509" s="41" t="n">
        <v>12572.526</v>
      </c>
    </row>
    <row r="21510">
      <c r="A21510" s="42">
        <f>_xlfn.XLOOKUP(84525,Trip[shape_id],Trip[shape_id],"Não encontrado")</f>
        <v/>
      </c>
      <c r="B21510" s="43" t="n">
        <v>-23.578246</v>
      </c>
      <c r="C21510" s="43" t="n">
        <v>-46.498751</v>
      </c>
      <c r="D21510" s="43" t="n">
        <v>399</v>
      </c>
      <c r="E21510" s="44" t="n">
        <v>12596.02</v>
      </c>
    </row>
    <row r="21511">
      <c r="A21511" s="39">
        <f>_xlfn.XLOOKUP(84525,Trip[shape_id],Trip[shape_id],"Não encontrado")</f>
        <v/>
      </c>
      <c r="B21511" s="40" t="n">
        <v>-23.578195</v>
      </c>
      <c r="C21511" s="40" t="n">
        <v>-46.498922</v>
      </c>
      <c r="D21511" s="40" t="n">
        <v>400</v>
      </c>
      <c r="E21511" s="41" t="n">
        <v>12614.366</v>
      </c>
    </row>
    <row r="21512">
      <c r="A21512" s="42">
        <f>_xlfn.XLOOKUP(84525,Trip[shape_id],Trip[shape_id],"Não encontrado")</f>
        <v/>
      </c>
      <c r="B21512" s="43" t="n">
        <v>-23.578131</v>
      </c>
      <c r="C21512" s="43" t="n">
        <v>-46.499096</v>
      </c>
      <c r="D21512" s="43" t="n">
        <v>401</v>
      </c>
      <c r="E21512" s="44" t="n">
        <v>12633.49</v>
      </c>
    </row>
    <row r="21513">
      <c r="A21513" s="39">
        <f>_xlfn.XLOOKUP(84525,Trip[shape_id],Trip[shape_id],"Não encontrado")</f>
        <v/>
      </c>
      <c r="B21513" s="40" t="n">
        <v>-23.578031</v>
      </c>
      <c r="C21513" s="40" t="n">
        <v>-46.499324</v>
      </c>
      <c r="D21513" s="40" t="n">
        <v>402</v>
      </c>
      <c r="E21513" s="41" t="n">
        <v>12659.266</v>
      </c>
    </row>
    <row r="21514">
      <c r="A21514" s="42">
        <f>_xlfn.XLOOKUP(84525,Trip[shape_id],Trip[shape_id],"Não encontrado")</f>
        <v/>
      </c>
      <c r="B21514" s="43" t="n">
        <v>-23.577946</v>
      </c>
      <c r="C21514" s="43" t="n">
        <v>-46.499525</v>
      </c>
      <c r="D21514" s="43" t="n">
        <v>403</v>
      </c>
      <c r="E21514" s="44" t="n">
        <v>12681.841</v>
      </c>
    </row>
    <row r="21515">
      <c r="A21515" s="39">
        <f>_xlfn.XLOOKUP(84525,Trip[shape_id],Trip[shape_id],"Não encontrado")</f>
        <v/>
      </c>
      <c r="B21515" s="40" t="n">
        <v>-23.577844</v>
      </c>
      <c r="C21515" s="40" t="n">
        <v>-46.499729</v>
      </c>
      <c r="D21515" s="40" t="n">
        <v>404</v>
      </c>
      <c r="E21515" s="41" t="n">
        <v>12705.532</v>
      </c>
    </row>
    <row r="21516">
      <c r="A21516" s="42">
        <f>_xlfn.XLOOKUP(84525,Trip[shape_id],Trip[shape_id],"Não encontrado")</f>
        <v/>
      </c>
      <c r="B21516" s="43" t="n">
        <v>-23.577735</v>
      </c>
      <c r="C21516" s="43" t="n">
        <v>-46.499922</v>
      </c>
      <c r="D21516" s="43" t="n">
        <v>405</v>
      </c>
      <c r="E21516" s="44" t="n">
        <v>12728.639</v>
      </c>
    </row>
    <row r="21517">
      <c r="A21517" s="39">
        <f>_xlfn.XLOOKUP(84525,Trip[shape_id],Trip[shape_id],"Não encontrado")</f>
        <v/>
      </c>
      <c r="B21517" s="40" t="n">
        <v>-23.577511</v>
      </c>
      <c r="C21517" s="40" t="n">
        <v>-46.500275</v>
      </c>
      <c r="D21517" s="40" t="n">
        <v>406</v>
      </c>
      <c r="E21517" s="41" t="n">
        <v>12772.388</v>
      </c>
    </row>
    <row r="21518">
      <c r="A21518" s="42">
        <f>_xlfn.XLOOKUP(84525,Trip[shape_id],Trip[shape_id],"Não encontrado")</f>
        <v/>
      </c>
      <c r="B21518" s="43" t="n">
        <v>-23.577324</v>
      </c>
      <c r="C21518" s="43" t="n">
        <v>-46.500548</v>
      </c>
      <c r="D21518" s="43" t="n">
        <v>407</v>
      </c>
      <c r="E21518" s="44" t="n">
        <v>12807.109</v>
      </c>
    </row>
    <row r="21519">
      <c r="A21519" s="39">
        <f>_xlfn.XLOOKUP(84525,Trip[shape_id],Trip[shape_id],"Não encontrado")</f>
        <v/>
      </c>
      <c r="B21519" s="40" t="n">
        <v>-23.577195</v>
      </c>
      <c r="C21519" s="40" t="n">
        <v>-46.500702</v>
      </c>
      <c r="D21519" s="40" t="n">
        <v>408</v>
      </c>
      <c r="E21519" s="41" t="n">
        <v>12828.352</v>
      </c>
    </row>
    <row r="21520">
      <c r="A21520" s="42">
        <f>_xlfn.XLOOKUP(84525,Trip[shape_id],Trip[shape_id],"Não encontrado")</f>
        <v/>
      </c>
      <c r="B21520" s="43" t="n">
        <v>-23.576973</v>
      </c>
      <c r="C21520" s="43" t="n">
        <v>-46.500972</v>
      </c>
      <c r="D21520" s="43" t="n">
        <v>409</v>
      </c>
      <c r="E21520" s="44" t="n">
        <v>12865.286</v>
      </c>
    </row>
    <row r="21521">
      <c r="A21521" s="39">
        <f>_xlfn.XLOOKUP(84525,Trip[shape_id],Trip[shape_id],"Não encontrado")</f>
        <v/>
      </c>
      <c r="B21521" s="40" t="n">
        <v>-23.576767</v>
      </c>
      <c r="C21521" s="40" t="n">
        <v>-46.501217</v>
      </c>
      <c r="D21521" s="40" t="n">
        <v>410</v>
      </c>
      <c r="E21521" s="41" t="n">
        <v>12899.139</v>
      </c>
    </row>
    <row r="21522">
      <c r="A21522" s="42">
        <f>_xlfn.XLOOKUP(84525,Trip[shape_id],Trip[shape_id],"Não encontrado")</f>
        <v/>
      </c>
      <c r="B21522" s="43" t="n">
        <v>-23.576535</v>
      </c>
      <c r="C21522" s="43" t="n">
        <v>-46.501476</v>
      </c>
      <c r="D21522" s="43" t="n">
        <v>411</v>
      </c>
      <c r="E21522" s="44" t="n">
        <v>12936.007</v>
      </c>
    </row>
    <row r="21523">
      <c r="A21523" s="39">
        <f>_xlfn.XLOOKUP(84525,Trip[shape_id],Trip[shape_id],"Não encontrado")</f>
        <v/>
      </c>
      <c r="B21523" s="40" t="n">
        <v>-23.576373</v>
      </c>
      <c r="C21523" s="40" t="n">
        <v>-46.501636</v>
      </c>
      <c r="D21523" s="40" t="n">
        <v>412</v>
      </c>
      <c r="E21523" s="41" t="n">
        <v>12960.27</v>
      </c>
    </row>
    <row r="21524">
      <c r="A21524" s="42">
        <f>_xlfn.XLOOKUP(84525,Trip[shape_id],Trip[shape_id],"Não encontrado")</f>
        <v/>
      </c>
      <c r="B21524" s="43" t="n">
        <v>-23.576133</v>
      </c>
      <c r="C21524" s="43" t="n">
        <v>-46.501891</v>
      </c>
      <c r="D21524" s="43" t="n">
        <v>413</v>
      </c>
      <c r="E21524" s="44" t="n">
        <v>12997.474</v>
      </c>
    </row>
    <row r="21525">
      <c r="A21525" s="39">
        <f>_xlfn.XLOOKUP(84525,Trip[shape_id],Trip[shape_id],"Não encontrado")</f>
        <v/>
      </c>
      <c r="B21525" s="40" t="n">
        <v>-23.575948</v>
      </c>
      <c r="C21525" s="40" t="n">
        <v>-46.502031</v>
      </c>
      <c r="D21525" s="40" t="n">
        <v>414</v>
      </c>
      <c r="E21525" s="41" t="n">
        <v>13022.455</v>
      </c>
    </row>
    <row r="21526">
      <c r="A21526" s="42">
        <f>_xlfn.XLOOKUP(84525,Trip[shape_id],Trip[shape_id],"Não encontrado")</f>
        <v/>
      </c>
      <c r="B21526" s="43" t="n">
        <v>-23.575449</v>
      </c>
      <c r="C21526" s="43" t="n">
        <v>-46.502464</v>
      </c>
      <c r="D21526" s="43" t="n">
        <v>415</v>
      </c>
      <c r="E21526" s="44" t="n">
        <v>13093.223</v>
      </c>
    </row>
    <row r="21527">
      <c r="A21527" s="39">
        <f>_xlfn.XLOOKUP(84525,Trip[shape_id],Trip[shape_id],"Não encontrado")</f>
        <v/>
      </c>
      <c r="B21527" s="40" t="n">
        <v>-23.575094</v>
      </c>
      <c r="C21527" s="40" t="n">
        <v>-46.502738</v>
      </c>
      <c r="D21527" s="40" t="n">
        <v>416</v>
      </c>
      <c r="E21527" s="41" t="n">
        <v>13141.474</v>
      </c>
    </row>
    <row r="21528">
      <c r="A21528" s="42">
        <f>_xlfn.XLOOKUP(84525,Trip[shape_id],Trip[shape_id],"Não encontrado")</f>
        <v/>
      </c>
      <c r="B21528" s="43" t="n">
        <v>-23.574766</v>
      </c>
      <c r="C21528" s="43" t="n">
        <v>-46.502953</v>
      </c>
      <c r="D21528" s="43" t="n">
        <v>417</v>
      </c>
      <c r="E21528" s="44" t="n">
        <v>13183.916</v>
      </c>
    </row>
    <row r="21529">
      <c r="A21529" s="39">
        <f>_xlfn.XLOOKUP(84525,Trip[shape_id],Trip[shape_id],"Não encontrado")</f>
        <v/>
      </c>
      <c r="B21529" s="40" t="n">
        <v>-23.574422</v>
      </c>
      <c r="C21529" s="40" t="n">
        <v>-46.503176</v>
      </c>
      <c r="D21529" s="40" t="n">
        <v>418</v>
      </c>
      <c r="E21529" s="41" t="n">
        <v>13228.298</v>
      </c>
    </row>
    <row r="21530">
      <c r="A21530" s="42">
        <f>_xlfn.XLOOKUP(84525,Trip[shape_id],Trip[shape_id],"Não encontrado")</f>
        <v/>
      </c>
      <c r="B21530" s="43" t="n">
        <v>-23.574248</v>
      </c>
      <c r="C21530" s="43" t="n">
        <v>-46.503296</v>
      </c>
      <c r="D21530" s="43" t="n">
        <v>419</v>
      </c>
      <c r="E21530" s="44" t="n">
        <v>13251.133</v>
      </c>
    </row>
    <row r="21531">
      <c r="A21531" s="39">
        <f>_xlfn.XLOOKUP(84525,Trip[shape_id],Trip[shape_id],"Não encontrado")</f>
        <v/>
      </c>
      <c r="B21531" s="40" t="n">
        <v>-23.573888</v>
      </c>
      <c r="C21531" s="40" t="n">
        <v>-46.503504</v>
      </c>
      <c r="D21531" s="40" t="n">
        <v>420</v>
      </c>
      <c r="E21531" s="41" t="n">
        <v>13296.305</v>
      </c>
    </row>
    <row r="21532">
      <c r="A21532" s="42">
        <f>_xlfn.XLOOKUP(84525,Trip[shape_id],Trip[shape_id],"Não encontrado")</f>
        <v/>
      </c>
      <c r="B21532" s="43" t="n">
        <v>-23.573683</v>
      </c>
      <c r="C21532" s="43" t="n">
        <v>-46.503608</v>
      </c>
      <c r="D21532" s="43" t="n">
        <v>421</v>
      </c>
      <c r="E21532" s="44" t="n">
        <v>13321.368</v>
      </c>
    </row>
    <row r="21533">
      <c r="A21533" s="39">
        <f>_xlfn.XLOOKUP(84525,Trip[shape_id],Trip[shape_id],"Não encontrado")</f>
        <v/>
      </c>
      <c r="B21533" s="40" t="n">
        <v>-23.573397</v>
      </c>
      <c r="C21533" s="40" t="n">
        <v>-46.503739</v>
      </c>
      <c r="D21533" s="40" t="n">
        <v>422</v>
      </c>
      <c r="E21533" s="41" t="n">
        <v>13355.751</v>
      </c>
    </row>
    <row r="21534">
      <c r="A21534" s="42">
        <f>_xlfn.XLOOKUP(84525,Trip[shape_id],Trip[shape_id],"Não encontrado")</f>
        <v/>
      </c>
      <c r="B21534" s="43" t="n">
        <v>-23.573188</v>
      </c>
      <c r="C21534" s="43" t="n">
        <v>-46.503834</v>
      </c>
      <c r="D21534" s="43" t="n">
        <v>423</v>
      </c>
      <c r="E21534" s="44" t="n">
        <v>13380.848</v>
      </c>
    </row>
    <row r="21535">
      <c r="A21535" s="39">
        <f>_xlfn.XLOOKUP(84525,Trip[shape_id],Trip[shape_id],"Não encontrado")</f>
        <v/>
      </c>
      <c r="B21535" s="40" t="n">
        <v>-23.573015</v>
      </c>
      <c r="C21535" s="40" t="n">
        <v>-46.503891</v>
      </c>
      <c r="D21535" s="40" t="n">
        <v>424</v>
      </c>
      <c r="E21535" s="41" t="n">
        <v>13400.872</v>
      </c>
    </row>
    <row r="21536">
      <c r="A21536" s="42">
        <f>_xlfn.XLOOKUP(84525,Trip[shape_id],Trip[shape_id],"Não encontrado")</f>
        <v/>
      </c>
      <c r="B21536" s="43" t="n">
        <v>-23.572678</v>
      </c>
      <c r="C21536" s="43" t="n">
        <v>-46.503952</v>
      </c>
      <c r="D21536" s="43" t="n">
        <v>425</v>
      </c>
      <c r="E21536" s="44" t="n">
        <v>13438.711</v>
      </c>
    </row>
    <row r="21537">
      <c r="A21537" s="39">
        <f>_xlfn.XLOOKUP(84525,Trip[shape_id],Trip[shape_id],"Não encontrado")</f>
        <v/>
      </c>
      <c r="B21537" s="40" t="n">
        <v>-23.572548</v>
      </c>
      <c r="C21537" s="40" t="n">
        <v>-46.503962</v>
      </c>
      <c r="D21537" s="40" t="n">
        <v>426</v>
      </c>
      <c r="E21537" s="41" t="n">
        <v>13453.145</v>
      </c>
    </row>
    <row r="21538">
      <c r="A21538" s="42">
        <f>_xlfn.XLOOKUP(84525,Trip[shape_id],Trip[shape_id],"Não encontrado")</f>
        <v/>
      </c>
      <c r="B21538" s="43" t="n">
        <v>-23.572268</v>
      </c>
      <c r="C21538" s="43" t="n">
        <v>-46.503982</v>
      </c>
      <c r="D21538" s="43" t="n">
        <v>427</v>
      </c>
      <c r="E21538" s="44" t="n">
        <v>13484.223</v>
      </c>
    </row>
    <row r="21539">
      <c r="A21539" s="39">
        <f>_xlfn.XLOOKUP(84525,Trip[shape_id],Trip[shape_id],"Não encontrado")</f>
        <v/>
      </c>
      <c r="B21539" s="40" t="n">
        <v>-23.572044</v>
      </c>
      <c r="C21539" s="40" t="n">
        <v>-46.503988</v>
      </c>
      <c r="D21539" s="40" t="n">
        <v>428</v>
      </c>
      <c r="E21539" s="41" t="n">
        <v>13509.039</v>
      </c>
    </row>
    <row r="21540">
      <c r="A21540" s="42">
        <f>_xlfn.XLOOKUP(84525,Trip[shape_id],Trip[shape_id],"Não encontrado")</f>
        <v/>
      </c>
      <c r="B21540" s="43" t="n">
        <v>-23.571852</v>
      </c>
      <c r="C21540" s="43" t="n">
        <v>-46.503979</v>
      </c>
      <c r="D21540" s="43" t="n">
        <v>429</v>
      </c>
      <c r="E21540" s="44" t="n">
        <v>13530.323</v>
      </c>
    </row>
    <row r="21541">
      <c r="A21541" s="39">
        <f>_xlfn.XLOOKUP(84525,Trip[shape_id],Trip[shape_id],"Não encontrado")</f>
        <v/>
      </c>
      <c r="B21541" s="40" t="n">
        <v>-23.571525</v>
      </c>
      <c r="C21541" s="40" t="n">
        <v>-46.503976</v>
      </c>
      <c r="D21541" s="40" t="n">
        <v>430</v>
      </c>
      <c r="E21541" s="41" t="n">
        <v>13566.54</v>
      </c>
    </row>
    <row r="21542">
      <c r="A21542" s="42">
        <f>_xlfn.XLOOKUP(84525,Trip[shape_id],Trip[shape_id],"Não encontrado")</f>
        <v/>
      </c>
      <c r="B21542" s="43" t="n">
        <v>-23.570837</v>
      </c>
      <c r="C21542" s="43" t="n">
        <v>-46.503935</v>
      </c>
      <c r="D21542" s="43" t="n">
        <v>431</v>
      </c>
      <c r="E21542" s="44" t="n">
        <v>13642.853</v>
      </c>
    </row>
    <row r="21543">
      <c r="A21543" s="39">
        <f>_xlfn.XLOOKUP(84525,Trip[shape_id],Trip[shape_id],"Não encontrado")</f>
        <v/>
      </c>
      <c r="B21543" s="40" t="n">
        <v>-23.570581</v>
      </c>
      <c r="C21543" s="40" t="n">
        <v>-46.503928</v>
      </c>
      <c r="D21543" s="40" t="n">
        <v>432</v>
      </c>
      <c r="E21543" s="41" t="n">
        <v>13671.214</v>
      </c>
    </row>
    <row r="21544">
      <c r="A21544" s="42">
        <f>_xlfn.XLOOKUP(84525,Trip[shape_id],Trip[shape_id],"Não encontrado")</f>
        <v/>
      </c>
      <c r="B21544" s="43" t="n">
        <v>-23.570424</v>
      </c>
      <c r="C21544" s="43" t="n">
        <v>-46.503935</v>
      </c>
      <c r="D21544" s="43" t="n">
        <v>433</v>
      </c>
      <c r="E21544" s="44" t="n">
        <v>13688.617</v>
      </c>
    </row>
    <row r="21545">
      <c r="A21545" s="39">
        <f>_xlfn.XLOOKUP(84525,Trip[shape_id],Trip[shape_id],"Não encontrado")</f>
        <v/>
      </c>
      <c r="B21545" s="40" t="n">
        <v>-23.57018</v>
      </c>
      <c r="C21545" s="40" t="n">
        <v>-46.503956</v>
      </c>
      <c r="D21545" s="40" t="n">
        <v>434</v>
      </c>
      <c r="E21545" s="41" t="n">
        <v>13715.726</v>
      </c>
    </row>
    <row r="21546">
      <c r="A21546" s="42">
        <f>_xlfn.XLOOKUP(84525,Trip[shape_id],Trip[shape_id],"Não encontrado")</f>
        <v/>
      </c>
      <c r="B21546" s="43" t="n">
        <v>-23.569896</v>
      </c>
      <c r="C21546" s="43" t="n">
        <v>-46.503999</v>
      </c>
      <c r="D21546" s="43" t="n">
        <v>435</v>
      </c>
      <c r="E21546" s="44" t="n">
        <v>13747.484</v>
      </c>
    </row>
    <row r="21547">
      <c r="A21547" s="39">
        <f>_xlfn.XLOOKUP(84525,Trip[shape_id],Trip[shape_id],"Não encontrado")</f>
        <v/>
      </c>
      <c r="B21547" s="40" t="n">
        <v>-23.569728</v>
      </c>
      <c r="C21547" s="40" t="n">
        <v>-46.504043</v>
      </c>
      <c r="D21547" s="40" t="n">
        <v>436</v>
      </c>
      <c r="E21547" s="41" t="n">
        <v>13766.625</v>
      </c>
    </row>
    <row r="21548">
      <c r="A21548" s="42">
        <f>_xlfn.XLOOKUP(84525,Trip[shape_id],Trip[shape_id],"Não encontrado")</f>
        <v/>
      </c>
      <c r="B21548" s="43" t="n">
        <v>-23.569533</v>
      </c>
      <c r="C21548" s="43" t="n">
        <v>-46.5041</v>
      </c>
      <c r="D21548" s="43" t="n">
        <v>437</v>
      </c>
      <c r="E21548" s="44" t="n">
        <v>13788.992</v>
      </c>
    </row>
    <row r="21549">
      <c r="A21549" s="39">
        <f>_xlfn.XLOOKUP(84525,Trip[shape_id],Trip[shape_id],"Não encontrado")</f>
        <v/>
      </c>
      <c r="B21549" s="40" t="n">
        <v>-23.569455</v>
      </c>
      <c r="C21549" s="40" t="n">
        <v>-46.504112</v>
      </c>
      <c r="D21549" s="40" t="n">
        <v>438</v>
      </c>
      <c r="E21549" s="41" t="n">
        <v>13797.717</v>
      </c>
    </row>
    <row r="21550">
      <c r="A21550" s="42">
        <f>_xlfn.XLOOKUP(84525,Trip[shape_id],Trip[shape_id],"Não encontrado")</f>
        <v/>
      </c>
      <c r="B21550" s="43" t="n">
        <v>-23.56918</v>
      </c>
      <c r="C21550" s="43" t="n">
        <v>-46.504203</v>
      </c>
      <c r="D21550" s="43" t="n">
        <v>439</v>
      </c>
      <c r="E21550" s="44" t="n">
        <v>13829.559</v>
      </c>
    </row>
    <row r="21551">
      <c r="A21551" s="39">
        <f>_xlfn.XLOOKUP(84525,Trip[shape_id],Trip[shape_id],"Não encontrado")</f>
        <v/>
      </c>
      <c r="B21551" s="40" t="n">
        <v>-23.568958</v>
      </c>
      <c r="C21551" s="40" t="n">
        <v>-46.504316</v>
      </c>
      <c r="D21551" s="40" t="n">
        <v>440</v>
      </c>
      <c r="E21551" s="41" t="n">
        <v>13856.718</v>
      </c>
    </row>
    <row r="21552">
      <c r="A21552" s="42">
        <f>_xlfn.XLOOKUP(84525,Trip[shape_id],Trip[shape_id],"Não encontrado")</f>
        <v/>
      </c>
      <c r="B21552" s="43" t="n">
        <v>-23.56854</v>
      </c>
      <c r="C21552" s="43" t="n">
        <v>-46.504548</v>
      </c>
      <c r="D21552" s="43" t="n">
        <v>441</v>
      </c>
      <c r="E21552" s="44" t="n">
        <v>13908.719</v>
      </c>
    </row>
    <row r="21553">
      <c r="A21553" s="39">
        <f>_xlfn.XLOOKUP(84525,Trip[shape_id],Trip[shape_id],"Não encontrado")</f>
        <v/>
      </c>
      <c r="B21553" s="40" t="n">
        <v>-23.568454</v>
      </c>
      <c r="C21553" s="40" t="n">
        <v>-46.504624</v>
      </c>
      <c r="D21553" s="40" t="n">
        <v>442</v>
      </c>
      <c r="E21553" s="41" t="n">
        <v>13921.004</v>
      </c>
    </row>
    <row r="21554">
      <c r="A21554" s="42">
        <f>_xlfn.XLOOKUP(84525,Trip[shape_id],Trip[shape_id],"Não encontrado")</f>
        <v/>
      </c>
      <c r="B21554" s="43" t="n">
        <v>-23.568297</v>
      </c>
      <c r="C21554" s="43" t="n">
        <v>-46.504753</v>
      </c>
      <c r="D21554" s="43" t="n">
        <v>443</v>
      </c>
      <c r="E21554" s="44" t="n">
        <v>13942.816</v>
      </c>
    </row>
    <row r="21555">
      <c r="A21555" s="39">
        <f>_xlfn.XLOOKUP(84525,Trip[shape_id],Trip[shape_id],"Não encontrado")</f>
        <v/>
      </c>
      <c r="B21555" s="40" t="n">
        <v>-23.568086</v>
      </c>
      <c r="C21555" s="40" t="n">
        <v>-46.504938</v>
      </c>
      <c r="D21555" s="40" t="n">
        <v>444</v>
      </c>
      <c r="E21555" s="41" t="n">
        <v>13972.862</v>
      </c>
    </row>
    <row r="21556">
      <c r="A21556" s="42">
        <f>_xlfn.XLOOKUP(84525,Trip[shape_id],Trip[shape_id],"Não encontrado")</f>
        <v/>
      </c>
      <c r="B21556" s="43" t="n">
        <v>-23.567972</v>
      </c>
      <c r="C21556" s="43" t="n">
        <v>-46.505044</v>
      </c>
      <c r="D21556" s="43" t="n">
        <v>445</v>
      </c>
      <c r="E21556" s="44" t="n">
        <v>13989.491</v>
      </c>
    </row>
    <row r="21557">
      <c r="A21557" s="39">
        <f>_xlfn.XLOOKUP(84525,Trip[shape_id],Trip[shape_id],"Não encontrado")</f>
        <v/>
      </c>
      <c r="B21557" s="40" t="n">
        <v>-23.567872</v>
      </c>
      <c r="C21557" s="40" t="n">
        <v>-46.505142</v>
      </c>
      <c r="D21557" s="40" t="n">
        <v>446</v>
      </c>
      <c r="E21557" s="41" t="n">
        <v>14004.416</v>
      </c>
    </row>
    <row r="21558">
      <c r="A21558" s="42">
        <f>_xlfn.XLOOKUP(84525,Trip[shape_id],Trip[shape_id],"Não encontrado")</f>
        <v/>
      </c>
      <c r="B21558" s="43" t="n">
        <v>-23.567776</v>
      </c>
      <c r="C21558" s="43" t="n">
        <v>-46.505256</v>
      </c>
      <c r="D21558" s="43" t="n">
        <v>447</v>
      </c>
      <c r="E21558" s="44" t="n">
        <v>14020.18</v>
      </c>
    </row>
    <row r="21559">
      <c r="A21559" s="39">
        <f>_xlfn.XLOOKUP(84525,Trip[shape_id],Trip[shape_id],"Não encontrado")</f>
        <v/>
      </c>
      <c r="B21559" s="40" t="n">
        <v>-23.567629</v>
      </c>
      <c r="C21559" s="40" t="n">
        <v>-46.505409</v>
      </c>
      <c r="D21559" s="40" t="n">
        <v>448</v>
      </c>
      <c r="E21559" s="41" t="n">
        <v>14042.741</v>
      </c>
    </row>
    <row r="21560">
      <c r="A21560" s="42">
        <f>_xlfn.XLOOKUP(84525,Trip[shape_id],Trip[shape_id],"Não encontrado")</f>
        <v/>
      </c>
      <c r="B21560" s="43" t="n">
        <v>-23.567455</v>
      </c>
      <c r="C21560" s="43" t="n">
        <v>-46.505597</v>
      </c>
      <c r="D21560" s="43" t="n">
        <v>449</v>
      </c>
      <c r="E21560" s="44" t="n">
        <v>14069.939</v>
      </c>
    </row>
    <row r="21561">
      <c r="A21561" s="39">
        <f>_xlfn.XLOOKUP(84525,Trip[shape_id],Trip[shape_id],"Não encontrado")</f>
        <v/>
      </c>
      <c r="B21561" s="40" t="n">
        <v>-23.567172</v>
      </c>
      <c r="C21561" s="40" t="n">
        <v>-46.505918</v>
      </c>
      <c r="D21561" s="40" t="n">
        <v>450</v>
      </c>
      <c r="E21561" s="41" t="n">
        <v>14115.286</v>
      </c>
    </row>
    <row r="21562">
      <c r="A21562" s="42">
        <f>_xlfn.XLOOKUP(84525,Trip[shape_id],Trip[shape_id],"Não encontrado")</f>
        <v/>
      </c>
      <c r="B21562" s="43" t="n">
        <v>-23.567043</v>
      </c>
      <c r="C21562" s="43" t="n">
        <v>-46.506054</v>
      </c>
      <c r="D21562" s="43" t="n">
        <v>451</v>
      </c>
      <c r="E21562" s="44" t="n">
        <v>14135.208</v>
      </c>
    </row>
    <row r="21563">
      <c r="A21563" s="39">
        <f>_xlfn.XLOOKUP(84525,Trip[shape_id],Trip[shape_id],"Não encontrado")</f>
        <v/>
      </c>
      <c r="B21563" s="40" t="n">
        <v>-23.566996</v>
      </c>
      <c r="C21563" s="40" t="n">
        <v>-46.506188</v>
      </c>
      <c r="D21563" s="40" t="n">
        <v>452</v>
      </c>
      <c r="E21563" s="41" t="n">
        <v>14149.845</v>
      </c>
    </row>
    <row r="21564">
      <c r="A21564" s="42">
        <f>_xlfn.XLOOKUP(84525,Trip[shape_id],Trip[shape_id],"Não encontrado")</f>
        <v/>
      </c>
      <c r="B21564" s="43" t="n">
        <v>-23.566912</v>
      </c>
      <c r="C21564" s="43" t="n">
        <v>-46.506285</v>
      </c>
      <c r="D21564" s="43" t="n">
        <v>453</v>
      </c>
      <c r="E21564" s="44" t="n">
        <v>14163.432</v>
      </c>
    </row>
    <row r="21565">
      <c r="A21565" s="39">
        <f>_xlfn.XLOOKUP(84525,Trip[shape_id],Trip[shape_id],"Não encontrado")</f>
        <v/>
      </c>
      <c r="B21565" s="40" t="n">
        <v>-23.56674</v>
      </c>
      <c r="C21565" s="40" t="n">
        <v>-46.506456</v>
      </c>
      <c r="D21565" s="40" t="n">
        <v>454</v>
      </c>
      <c r="E21565" s="41" t="n">
        <v>14189.271</v>
      </c>
    </row>
    <row r="21566">
      <c r="A21566" s="42">
        <f>_xlfn.XLOOKUP(84525,Trip[shape_id],Trip[shape_id],"Não encontrado")</f>
        <v/>
      </c>
      <c r="B21566" s="43" t="n">
        <v>-23.566424</v>
      </c>
      <c r="C21566" s="43" t="n">
        <v>-46.506733</v>
      </c>
      <c r="D21566" s="43" t="n">
        <v>455</v>
      </c>
      <c r="E21566" s="44" t="n">
        <v>14234.266</v>
      </c>
    </row>
    <row r="21567">
      <c r="A21567" s="39">
        <f>_xlfn.XLOOKUP(84525,Trip[shape_id],Trip[shape_id],"Não encontrado")</f>
        <v/>
      </c>
      <c r="B21567" s="40" t="n">
        <v>-23.566407</v>
      </c>
      <c r="C21567" s="40" t="n">
        <v>-46.506755</v>
      </c>
      <c r="D21567" s="40" t="n">
        <v>456</v>
      </c>
      <c r="E21567" s="41" t="n">
        <v>14237.197</v>
      </c>
    </row>
    <row r="21568">
      <c r="A21568" s="42">
        <f>_xlfn.XLOOKUP(84525,Trip[shape_id],Trip[shape_id],"Não encontrado")</f>
        <v/>
      </c>
      <c r="B21568" s="43" t="n">
        <v>-23.566028</v>
      </c>
      <c r="C21568" s="43" t="n">
        <v>-46.507017</v>
      </c>
      <c r="D21568" s="43" t="n">
        <v>457</v>
      </c>
      <c r="E21568" s="44" t="n">
        <v>14286.97</v>
      </c>
    </row>
    <row r="21569">
      <c r="A21569" s="39">
        <f>_xlfn.XLOOKUP(84525,Trip[shape_id],Trip[shape_id],"Não encontrado")</f>
        <v/>
      </c>
      <c r="B21569" s="40" t="n">
        <v>-23.565802</v>
      </c>
      <c r="C21569" s="40" t="n">
        <v>-46.50714</v>
      </c>
      <c r="D21569" s="40" t="n">
        <v>458</v>
      </c>
      <c r="E21569" s="41" t="n">
        <v>14314.973</v>
      </c>
    </row>
    <row r="21570">
      <c r="A21570" s="42">
        <f>_xlfn.XLOOKUP(84525,Trip[shape_id],Trip[shape_id],"Não encontrado")</f>
        <v/>
      </c>
      <c r="B21570" s="43" t="n">
        <v>-23.565613</v>
      </c>
      <c r="C21570" s="43" t="n">
        <v>-46.507228</v>
      </c>
      <c r="D21570" s="43" t="n">
        <v>459</v>
      </c>
      <c r="E21570" s="44" t="n">
        <v>14337.751</v>
      </c>
    </row>
    <row r="21571">
      <c r="A21571" s="39">
        <f>_xlfn.XLOOKUP(84525,Trip[shape_id],Trip[shape_id],"Não encontrado")</f>
        <v/>
      </c>
      <c r="B21571" s="40" t="n">
        <v>-23.565168</v>
      </c>
      <c r="C21571" s="40" t="n">
        <v>-46.507434</v>
      </c>
      <c r="D21571" s="40" t="n">
        <v>460</v>
      </c>
      <c r="E21571" s="41" t="n">
        <v>14391.335</v>
      </c>
    </row>
    <row r="21572">
      <c r="A21572" s="42">
        <f>_xlfn.XLOOKUP(84525,Trip[shape_id],Trip[shape_id],"Não encontrado")</f>
        <v/>
      </c>
      <c r="B21572" s="43" t="n">
        <v>-23.564715</v>
      </c>
      <c r="C21572" s="43" t="n">
        <v>-46.507631</v>
      </c>
      <c r="D21572" s="43" t="n">
        <v>461</v>
      </c>
      <c r="E21572" s="44" t="n">
        <v>14445.387</v>
      </c>
    </row>
    <row r="21573">
      <c r="A21573" s="39">
        <f>_xlfn.XLOOKUP(84525,Trip[shape_id],Trip[shape_id],"Não encontrado")</f>
        <v/>
      </c>
      <c r="B21573" s="40" t="n">
        <v>-23.564438</v>
      </c>
      <c r="C21573" s="40" t="n">
        <v>-46.507743</v>
      </c>
      <c r="D21573" s="40" t="n">
        <v>462</v>
      </c>
      <c r="E21573" s="41" t="n">
        <v>14478.127</v>
      </c>
    </row>
    <row r="21574">
      <c r="A21574" s="42">
        <f>_xlfn.XLOOKUP(84525,Trip[shape_id],Trip[shape_id],"Não encontrado")</f>
        <v/>
      </c>
      <c r="B21574" s="43" t="n">
        <v>-23.564061</v>
      </c>
      <c r="C21574" s="43" t="n">
        <v>-46.507956</v>
      </c>
      <c r="D21574" s="43" t="n">
        <v>463</v>
      </c>
      <c r="E21574" s="44" t="n">
        <v>14525.204</v>
      </c>
    </row>
    <row r="21575">
      <c r="A21575" s="39">
        <f>_xlfn.XLOOKUP(84525,Trip[shape_id],Trip[shape_id],"Não encontrado")</f>
        <v/>
      </c>
      <c r="B21575" s="40" t="n">
        <v>-23.563772</v>
      </c>
      <c r="C21575" s="40" t="n">
        <v>-46.508135</v>
      </c>
      <c r="D21575" s="40" t="n">
        <v>464</v>
      </c>
      <c r="E21575" s="41" t="n">
        <v>14562.061</v>
      </c>
    </row>
    <row r="21576">
      <c r="A21576" s="42">
        <f>_xlfn.XLOOKUP(84525,Trip[shape_id],Trip[shape_id],"Não encontrado")</f>
        <v/>
      </c>
      <c r="B21576" s="43" t="n">
        <v>-23.56329</v>
      </c>
      <c r="C21576" s="43" t="n">
        <v>-46.508494</v>
      </c>
      <c r="D21576" s="43" t="n">
        <v>465</v>
      </c>
      <c r="E21576" s="44" t="n">
        <v>14626.813</v>
      </c>
    </row>
    <row r="21577">
      <c r="A21577" s="39">
        <f>_xlfn.XLOOKUP(84525,Trip[shape_id],Trip[shape_id],"Não encontrado")</f>
        <v/>
      </c>
      <c r="B21577" s="40" t="n">
        <v>-23.563192</v>
      </c>
      <c r="C21577" s="40" t="n">
        <v>-46.508578</v>
      </c>
      <c r="D21577" s="40" t="n">
        <v>466</v>
      </c>
      <c r="E21577" s="41" t="n">
        <v>14640.646</v>
      </c>
    </row>
    <row r="21578">
      <c r="A21578" s="42">
        <f>_xlfn.XLOOKUP(84525,Trip[shape_id],Trip[shape_id],"Não encontrado")</f>
        <v/>
      </c>
      <c r="B21578" s="43" t="n">
        <v>-23.562945</v>
      </c>
      <c r="C21578" s="43" t="n">
        <v>-46.508811</v>
      </c>
      <c r="D21578" s="43" t="n">
        <v>467</v>
      </c>
      <c r="E21578" s="44" t="n">
        <v>14676.898</v>
      </c>
    </row>
    <row r="21579">
      <c r="A21579" s="39">
        <f>_xlfn.XLOOKUP(84525,Trip[shape_id],Trip[shape_id],"Não encontrado")</f>
        <v/>
      </c>
      <c r="B21579" s="40" t="n">
        <v>-23.562784</v>
      </c>
      <c r="C21579" s="40" t="n">
        <v>-46.50897</v>
      </c>
      <c r="D21579" s="40" t="n">
        <v>468</v>
      </c>
      <c r="E21579" s="41" t="n">
        <v>14701.012</v>
      </c>
    </row>
    <row r="21580">
      <c r="A21580" s="42">
        <f>_xlfn.XLOOKUP(84525,Trip[shape_id],Trip[shape_id],"Não encontrado")</f>
        <v/>
      </c>
      <c r="B21580" s="43" t="n">
        <v>-23.562657</v>
      </c>
      <c r="C21580" s="43" t="n">
        <v>-46.509125</v>
      </c>
      <c r="D21580" s="43" t="n">
        <v>469</v>
      </c>
      <c r="E21580" s="44" t="n">
        <v>14722.184</v>
      </c>
    </row>
    <row r="21581">
      <c r="A21581" s="39">
        <f>_xlfn.XLOOKUP(84525,Trip[shape_id],Trip[shape_id],"Não encontrado")</f>
        <v/>
      </c>
      <c r="B21581" s="40" t="n">
        <v>-23.562414</v>
      </c>
      <c r="C21581" s="40" t="n">
        <v>-46.50942</v>
      </c>
      <c r="D21581" s="40" t="n">
        <v>470</v>
      </c>
      <c r="E21581" s="41" t="n">
        <v>14762.573</v>
      </c>
    </row>
    <row r="21582">
      <c r="A21582" s="42">
        <f>_xlfn.XLOOKUP(84525,Trip[shape_id],Trip[shape_id],"Não encontrado")</f>
        <v/>
      </c>
      <c r="B21582" s="43" t="n">
        <v>-23.56222</v>
      </c>
      <c r="C21582" s="43" t="n">
        <v>-46.509702</v>
      </c>
      <c r="D21582" s="43" t="n">
        <v>471</v>
      </c>
      <c r="E21582" s="44" t="n">
        <v>14798.497</v>
      </c>
    </row>
    <row r="21583">
      <c r="A21583" s="39">
        <f>_xlfn.XLOOKUP(84525,Trip[shape_id],Trip[shape_id],"Não encontrado")</f>
        <v/>
      </c>
      <c r="B21583" s="40" t="n">
        <v>-23.562013</v>
      </c>
      <c r="C21583" s="40" t="n">
        <v>-46.51002</v>
      </c>
      <c r="D21583" s="40" t="n">
        <v>472</v>
      </c>
      <c r="E21583" s="41" t="n">
        <v>14838.241</v>
      </c>
    </row>
    <row r="21584">
      <c r="A21584" s="42">
        <f>_xlfn.XLOOKUP(84525,Trip[shape_id],Trip[shape_id],"Não encontrado")</f>
        <v/>
      </c>
      <c r="B21584" s="43" t="n">
        <v>-23.561871</v>
      </c>
      <c r="C21584" s="43" t="n">
        <v>-46.510222</v>
      </c>
      <c r="D21584" s="43" t="n">
        <v>473</v>
      </c>
      <c r="E21584" s="44" t="n">
        <v>14864.177</v>
      </c>
    </row>
    <row r="21585">
      <c r="A21585" s="39">
        <f>_xlfn.XLOOKUP(84525,Trip[shape_id],Trip[shape_id],"Não encontrado")</f>
        <v/>
      </c>
      <c r="B21585" s="40" t="n">
        <v>-23.561514</v>
      </c>
      <c r="C21585" s="40" t="n">
        <v>-46.510746</v>
      </c>
      <c r="D21585" s="40" t="n">
        <v>474</v>
      </c>
      <c r="E21585" s="41" t="n">
        <v>14930.699</v>
      </c>
    </row>
    <row r="21586">
      <c r="A21586" s="42">
        <f>_xlfn.XLOOKUP(84525,Trip[shape_id],Trip[shape_id],"Não encontrado")</f>
        <v/>
      </c>
      <c r="B21586" s="43" t="n">
        <v>-23.561356</v>
      </c>
      <c r="C21586" s="43" t="n">
        <v>-46.510959</v>
      </c>
      <c r="D21586" s="43" t="n">
        <v>475</v>
      </c>
      <c r="E21586" s="44" t="n">
        <v>14958.611</v>
      </c>
    </row>
    <row r="21587">
      <c r="A21587" s="39">
        <f>_xlfn.XLOOKUP(84525,Trip[shape_id],Trip[shape_id],"Não encontrado")</f>
        <v/>
      </c>
      <c r="B21587" s="40" t="n">
        <v>-23.561181</v>
      </c>
      <c r="C21587" s="40" t="n">
        <v>-46.511189</v>
      </c>
      <c r="D21587" s="40" t="n">
        <v>476</v>
      </c>
      <c r="E21587" s="41" t="n">
        <v>14989.059</v>
      </c>
    </row>
    <row r="21588">
      <c r="A21588" s="42">
        <f>_xlfn.XLOOKUP(84525,Trip[shape_id],Trip[shape_id],"Não encontrado")</f>
        <v/>
      </c>
      <c r="B21588" s="43" t="n">
        <v>-23.56084</v>
      </c>
      <c r="C21588" s="43" t="n">
        <v>-46.511583</v>
      </c>
      <c r="D21588" s="43" t="n">
        <v>477</v>
      </c>
      <c r="E21588" s="44" t="n">
        <v>15044.234</v>
      </c>
    </row>
    <row r="21589">
      <c r="A21589" s="39">
        <f>_xlfn.XLOOKUP(84525,Trip[shape_id],Trip[shape_id],"Não encontrado")</f>
        <v/>
      </c>
      <c r="B21589" s="40" t="n">
        <v>-23.560706</v>
      </c>
      <c r="C21589" s="40" t="n">
        <v>-46.511703</v>
      </c>
      <c r="D21589" s="40" t="n">
        <v>478</v>
      </c>
      <c r="E21589" s="41" t="n">
        <v>15063.479</v>
      </c>
    </row>
    <row r="21590">
      <c r="A21590" s="42">
        <f>_xlfn.XLOOKUP(84525,Trip[shape_id],Trip[shape_id],"Não encontrado")</f>
        <v/>
      </c>
      <c r="B21590" s="43" t="n">
        <v>-23.560511</v>
      </c>
      <c r="C21590" s="43" t="n">
        <v>-46.511907</v>
      </c>
      <c r="D21590" s="43" t="n">
        <v>479</v>
      </c>
      <c r="E21590" s="44" t="n">
        <v>15093.481</v>
      </c>
    </row>
    <row r="21591">
      <c r="A21591" s="39">
        <f>_xlfn.XLOOKUP(84525,Trip[shape_id],Trip[shape_id],"Não encontrado")</f>
        <v/>
      </c>
      <c r="B21591" s="40" t="n">
        <v>-23.560447</v>
      </c>
      <c r="C21591" s="40" t="n">
        <v>-46.511969</v>
      </c>
      <c r="D21591" s="40" t="n">
        <v>480</v>
      </c>
      <c r="E21591" s="41" t="n">
        <v>15102.985</v>
      </c>
    </row>
    <row r="21592">
      <c r="A21592" s="42">
        <f>_xlfn.XLOOKUP(84525,Trip[shape_id],Trip[shape_id],"Não encontrado")</f>
        <v/>
      </c>
      <c r="B21592" s="43" t="n">
        <v>-23.56018</v>
      </c>
      <c r="C21592" s="43" t="n">
        <v>-46.512213</v>
      </c>
      <c r="D21592" s="43" t="n">
        <v>481</v>
      </c>
      <c r="E21592" s="44" t="n">
        <v>15141.65</v>
      </c>
    </row>
    <row r="21593">
      <c r="A21593" s="39">
        <f>_xlfn.XLOOKUP(84525,Trip[shape_id],Trip[shape_id],"Não encontrado")</f>
        <v/>
      </c>
      <c r="B21593" s="40" t="n">
        <v>-23.559737</v>
      </c>
      <c r="C21593" s="40" t="n">
        <v>-46.512601</v>
      </c>
      <c r="D21593" s="40" t="n">
        <v>482</v>
      </c>
      <c r="E21593" s="41" t="n">
        <v>15204.709</v>
      </c>
    </row>
    <row r="21594">
      <c r="A21594" s="42">
        <f>_xlfn.XLOOKUP(84525,Trip[shape_id],Trip[shape_id],"Não encontrado")</f>
        <v/>
      </c>
      <c r="B21594" s="43" t="n">
        <v>-23.559362</v>
      </c>
      <c r="C21594" s="43" t="n">
        <v>-46.512921</v>
      </c>
      <c r="D21594" s="43" t="n">
        <v>483</v>
      </c>
      <c r="E21594" s="44" t="n">
        <v>15257.551</v>
      </c>
    </row>
    <row r="21595">
      <c r="A21595" s="39">
        <f>_xlfn.XLOOKUP(84525,Trip[shape_id],Trip[shape_id],"Não encontrado")</f>
        <v/>
      </c>
      <c r="B21595" s="40" t="n">
        <v>-23.559195</v>
      </c>
      <c r="C21595" s="40" t="n">
        <v>-46.513075</v>
      </c>
      <c r="D21595" s="40" t="n">
        <v>484</v>
      </c>
      <c r="E21595" s="41" t="n">
        <v>15281.826</v>
      </c>
    </row>
    <row r="21596">
      <c r="A21596" s="42">
        <f>_xlfn.XLOOKUP(84525,Trip[shape_id],Trip[shape_id],"Não encontrado")</f>
        <v/>
      </c>
      <c r="B21596" s="43" t="n">
        <v>-23.559025</v>
      </c>
      <c r="C21596" s="43" t="n">
        <v>-46.513267</v>
      </c>
      <c r="D21596" s="43" t="n">
        <v>485</v>
      </c>
      <c r="E21596" s="44" t="n">
        <v>15309.006</v>
      </c>
    </row>
    <row r="21597">
      <c r="A21597" s="39">
        <f>_xlfn.XLOOKUP(84525,Trip[shape_id],Trip[shape_id],"Não encontrado")</f>
        <v/>
      </c>
      <c r="B21597" s="40" t="n">
        <v>-23.558625</v>
      </c>
      <c r="C21597" s="40" t="n">
        <v>-46.513724</v>
      </c>
      <c r="D21597" s="40" t="n">
        <v>486</v>
      </c>
      <c r="E21597" s="41" t="n">
        <v>15373.345</v>
      </c>
    </row>
    <row r="21598">
      <c r="A21598" s="42">
        <f>_xlfn.XLOOKUP(84525,Trip[shape_id],Trip[shape_id],"Não encontrado")</f>
        <v/>
      </c>
      <c r="B21598" s="43" t="n">
        <v>-23.558474</v>
      </c>
      <c r="C21598" s="43" t="n">
        <v>-46.513899</v>
      </c>
      <c r="D21598" s="43" t="n">
        <v>487</v>
      </c>
      <c r="E21598" s="44" t="n">
        <v>15397.817</v>
      </c>
    </row>
    <row r="21599">
      <c r="A21599" s="39">
        <f>_xlfn.XLOOKUP(84525,Trip[shape_id],Trip[shape_id],"Não encontrado")</f>
        <v/>
      </c>
      <c r="B21599" s="40" t="n">
        <v>-23.558236</v>
      </c>
      <c r="C21599" s="40" t="n">
        <v>-46.514166</v>
      </c>
      <c r="D21599" s="40" t="n">
        <v>488</v>
      </c>
      <c r="E21599" s="41" t="n">
        <v>15435.736</v>
      </c>
    </row>
    <row r="21600">
      <c r="A21600" s="42">
        <f>_xlfn.XLOOKUP(84525,Trip[shape_id],Trip[shape_id],"Não encontrado")</f>
        <v/>
      </c>
      <c r="B21600" s="43" t="n">
        <v>-23.557868</v>
      </c>
      <c r="C21600" s="43" t="n">
        <v>-46.514552</v>
      </c>
      <c r="D21600" s="43" t="n">
        <v>489</v>
      </c>
      <c r="E21600" s="44" t="n">
        <v>15492.43</v>
      </c>
    </row>
    <row r="21601">
      <c r="A21601" s="39">
        <f>_xlfn.XLOOKUP(84525,Trip[shape_id],Trip[shape_id],"Não encontrado")</f>
        <v/>
      </c>
      <c r="B21601" s="40" t="n">
        <v>-23.557548</v>
      </c>
      <c r="C21601" s="40" t="n">
        <v>-46.514883</v>
      </c>
      <c r="D21601" s="40" t="n">
        <v>490</v>
      </c>
      <c r="E21601" s="41" t="n">
        <v>15541.399</v>
      </c>
    </row>
    <row r="21602">
      <c r="A21602" s="42">
        <f>_xlfn.XLOOKUP(84525,Trip[shape_id],Trip[shape_id],"Não encontrado")</f>
        <v/>
      </c>
      <c r="B21602" s="43" t="n">
        <v>-23.557367</v>
      </c>
      <c r="C21602" s="43" t="n">
        <v>-46.515076</v>
      </c>
      <c r="D21602" s="43" t="n">
        <v>491</v>
      </c>
      <c r="E21602" s="44" t="n">
        <v>15569.509</v>
      </c>
    </row>
    <row r="21603">
      <c r="A21603" s="39">
        <f>_xlfn.XLOOKUP(84525,Trip[shape_id],Trip[shape_id],"Não encontrado")</f>
        <v/>
      </c>
      <c r="B21603" s="40" t="n">
        <v>-23.557026</v>
      </c>
      <c r="C21603" s="40" t="n">
        <v>-46.515446</v>
      </c>
      <c r="D21603" s="40" t="n">
        <v>492</v>
      </c>
      <c r="E21603" s="41" t="n">
        <v>15622.925</v>
      </c>
    </row>
    <row r="21604">
      <c r="A21604" s="42">
        <f>_xlfn.XLOOKUP(84525,Trip[shape_id],Trip[shape_id],"Não encontrado")</f>
        <v/>
      </c>
      <c r="B21604" s="43" t="n">
        <v>-23.556509</v>
      </c>
      <c r="C21604" s="43" t="n">
        <v>-46.515957</v>
      </c>
      <c r="D21604" s="43" t="n">
        <v>493</v>
      </c>
      <c r="E21604" s="44" t="n">
        <v>15700.388</v>
      </c>
    </row>
    <row r="21605">
      <c r="A21605" s="39">
        <f>_xlfn.XLOOKUP(84525,Trip[shape_id],Trip[shape_id],"Não encontrado")</f>
        <v/>
      </c>
      <c r="B21605" s="40" t="n">
        <v>-23.556398</v>
      </c>
      <c r="C21605" s="40" t="n">
        <v>-46.515991</v>
      </c>
      <c r="D21605" s="40" t="n">
        <v>494</v>
      </c>
      <c r="E21605" s="41" t="n">
        <v>15713.162</v>
      </c>
    </row>
    <row r="21606">
      <c r="A21606" s="42">
        <f>_xlfn.XLOOKUP(84525,Trip[shape_id],Trip[shape_id],"Não encontrado")</f>
        <v/>
      </c>
      <c r="B21606" s="43" t="n">
        <v>-23.556301</v>
      </c>
      <c r="C21606" s="43" t="n">
        <v>-46.516069</v>
      </c>
      <c r="D21606" s="43" t="n">
        <v>495</v>
      </c>
      <c r="E21606" s="44" t="n">
        <v>15726.535</v>
      </c>
    </row>
    <row r="21607">
      <c r="A21607" s="39">
        <f>_xlfn.XLOOKUP(84525,Trip[shape_id],Trip[shape_id],"Não encontrado")</f>
        <v/>
      </c>
      <c r="B21607" s="40" t="n">
        <v>-23.55615</v>
      </c>
      <c r="C21607" s="40" t="n">
        <v>-46.516193</v>
      </c>
      <c r="D21607" s="40" t="n">
        <v>496</v>
      </c>
      <c r="E21607" s="41" t="n">
        <v>15747.511</v>
      </c>
    </row>
    <row r="21608">
      <c r="A21608" s="42">
        <f>_xlfn.XLOOKUP(84525,Trip[shape_id],Trip[shape_id],"Não encontrado")</f>
        <v/>
      </c>
      <c r="B21608" s="43" t="n">
        <v>-23.555937</v>
      </c>
      <c r="C21608" s="43" t="n">
        <v>-46.516347</v>
      </c>
      <c r="D21608" s="43" t="n">
        <v>497</v>
      </c>
      <c r="E21608" s="44" t="n">
        <v>15775.86</v>
      </c>
    </row>
    <row r="21609">
      <c r="A21609" s="39">
        <f>_xlfn.XLOOKUP(84525,Trip[shape_id],Trip[shape_id],"Não encontrado")</f>
        <v/>
      </c>
      <c r="B21609" s="40" t="n">
        <v>-23.555124</v>
      </c>
      <c r="C21609" s="40" t="n">
        <v>-46.516908</v>
      </c>
      <c r="D21609" s="40" t="n">
        <v>498</v>
      </c>
      <c r="E21609" s="41" t="n">
        <v>15882.575</v>
      </c>
    </row>
    <row r="21610">
      <c r="A21610" s="42">
        <f>_xlfn.XLOOKUP(84525,Trip[shape_id],Trip[shape_id],"Não encontrado")</f>
        <v/>
      </c>
      <c r="B21610" s="43" t="n">
        <v>-23.554971</v>
      </c>
      <c r="C21610" s="43" t="n">
        <v>-46.517021</v>
      </c>
      <c r="D21610" s="43" t="n">
        <v>499</v>
      </c>
      <c r="E21610" s="44" t="n">
        <v>15903.075</v>
      </c>
    </row>
    <row r="21611">
      <c r="A21611" s="39">
        <f>_xlfn.XLOOKUP(84525,Trip[shape_id],Trip[shape_id],"Não encontrado")</f>
        <v/>
      </c>
      <c r="B21611" s="40" t="n">
        <v>-23.554693</v>
      </c>
      <c r="C21611" s="40" t="n">
        <v>-46.517201</v>
      </c>
      <c r="D21611" s="40" t="n">
        <v>500</v>
      </c>
      <c r="E21611" s="41" t="n">
        <v>15938.932</v>
      </c>
    </row>
    <row r="21612">
      <c r="A21612" s="42">
        <f>_xlfn.XLOOKUP(84525,Trip[shape_id],Trip[shape_id],"Não encontrado")</f>
        <v/>
      </c>
      <c r="B21612" s="43" t="n">
        <v>-23.554327</v>
      </c>
      <c r="C21612" s="43" t="n">
        <v>-46.517471</v>
      </c>
      <c r="D21612" s="43" t="n">
        <v>501</v>
      </c>
      <c r="E21612" s="44" t="n">
        <v>15987.952</v>
      </c>
    </row>
    <row r="21613">
      <c r="A21613" s="39">
        <f>_xlfn.XLOOKUP(84525,Trip[shape_id],Trip[shape_id],"Não encontrado")</f>
        <v/>
      </c>
      <c r="B21613" s="40" t="n">
        <v>-23.55366</v>
      </c>
      <c r="C21613" s="40" t="n">
        <v>-46.517946</v>
      </c>
      <c r="D21613" s="40" t="n">
        <v>502</v>
      </c>
      <c r="E21613" s="41" t="n">
        <v>16076.32</v>
      </c>
    </row>
    <row r="21614">
      <c r="A21614" s="42">
        <f>_xlfn.XLOOKUP(84525,Trip[shape_id],Trip[shape_id],"Não encontrado")</f>
        <v/>
      </c>
      <c r="B21614" s="43" t="n">
        <v>-23.553532</v>
      </c>
      <c r="C21614" s="43" t="n">
        <v>-46.518047</v>
      </c>
      <c r="D21614" s="43" t="n">
        <v>503</v>
      </c>
      <c r="E21614" s="44" t="n">
        <v>16093.851</v>
      </c>
    </row>
    <row r="21615">
      <c r="A21615" s="39">
        <f>_xlfn.XLOOKUP(84525,Trip[shape_id],Trip[shape_id],"Não encontrado")</f>
        <v/>
      </c>
      <c r="B21615" s="40" t="n">
        <v>-23.553426</v>
      </c>
      <c r="C21615" s="40" t="n">
        <v>-46.518133</v>
      </c>
      <c r="D21615" s="40" t="n">
        <v>504</v>
      </c>
      <c r="E21615" s="41" t="n">
        <v>16108.511</v>
      </c>
    </row>
    <row r="21616">
      <c r="A21616" s="42">
        <f>_xlfn.XLOOKUP(84525,Trip[shape_id],Trip[shape_id],"Não encontrado")</f>
        <v/>
      </c>
      <c r="B21616" s="43" t="n">
        <v>-23.553241</v>
      </c>
      <c r="C21616" s="43" t="n">
        <v>-46.518299</v>
      </c>
      <c r="D21616" s="43" t="n">
        <v>505</v>
      </c>
      <c r="E21616" s="44" t="n">
        <v>16135.102</v>
      </c>
    </row>
    <row r="21617">
      <c r="A21617" s="39">
        <f>_xlfn.XLOOKUP(84525,Trip[shape_id],Trip[shape_id],"Não encontrado")</f>
        <v/>
      </c>
      <c r="B21617" s="40" t="n">
        <v>-23.553027</v>
      </c>
      <c r="C21617" s="40" t="n">
        <v>-46.518504</v>
      </c>
      <c r="D21617" s="40" t="n">
        <v>506</v>
      </c>
      <c r="E21617" s="41" t="n">
        <v>16166.722</v>
      </c>
    </row>
    <row r="21618">
      <c r="A21618" s="42">
        <f>_xlfn.XLOOKUP(84525,Trip[shape_id],Trip[shape_id],"Não encontrado")</f>
        <v/>
      </c>
      <c r="B21618" s="43" t="n">
        <v>-23.552874</v>
      </c>
      <c r="C21618" s="43" t="n">
        <v>-46.518693</v>
      </c>
      <c r="D21618" s="43" t="n">
        <v>507</v>
      </c>
      <c r="E21618" s="44" t="n">
        <v>16192.402</v>
      </c>
    </row>
    <row r="21619">
      <c r="A21619" s="39">
        <f>_xlfn.XLOOKUP(84525,Trip[shape_id],Trip[shape_id],"Não encontrado")</f>
        <v/>
      </c>
      <c r="B21619" s="40" t="n">
        <v>-23.552677</v>
      </c>
      <c r="C21619" s="40" t="n">
        <v>-46.51897</v>
      </c>
      <c r="D21619" s="40" t="n">
        <v>508</v>
      </c>
      <c r="E21619" s="41" t="n">
        <v>16228.122</v>
      </c>
    </row>
    <row r="21620">
      <c r="A21620" s="42">
        <f>_xlfn.XLOOKUP(84525,Trip[shape_id],Trip[shape_id],"Não encontrado")</f>
        <v/>
      </c>
      <c r="B21620" s="43" t="n">
        <v>-23.552526</v>
      </c>
      <c r="C21620" s="43" t="n">
        <v>-46.519203</v>
      </c>
      <c r="D21620" s="43" t="n">
        <v>509</v>
      </c>
      <c r="E21620" s="44" t="n">
        <v>16257.201</v>
      </c>
    </row>
    <row r="21621">
      <c r="A21621" s="39">
        <f>_xlfn.XLOOKUP(84525,Trip[shape_id],Trip[shape_id],"Não encontrado")</f>
        <v/>
      </c>
      <c r="B21621" s="40" t="n">
        <v>-23.551768</v>
      </c>
      <c r="C21621" s="40" t="n">
        <v>-46.520568</v>
      </c>
      <c r="D21621" s="40" t="n">
        <v>510</v>
      </c>
      <c r="E21621" s="41" t="n">
        <v>16419.9</v>
      </c>
    </row>
    <row r="21622">
      <c r="A21622" s="42">
        <f>_xlfn.XLOOKUP(84525,Trip[shape_id],Trip[shape_id],"Não encontrado")</f>
        <v/>
      </c>
      <c r="B21622" s="43" t="n">
        <v>-23.551579</v>
      </c>
      <c r="C21622" s="43" t="n">
        <v>-46.520884</v>
      </c>
      <c r="D21622" s="43" t="n">
        <v>511</v>
      </c>
      <c r="E21622" s="44" t="n">
        <v>16458.359</v>
      </c>
    </row>
    <row r="21623">
      <c r="A21623" s="39">
        <f>_xlfn.XLOOKUP(84525,Trip[shape_id],Trip[shape_id],"Não encontrado")</f>
        <v/>
      </c>
      <c r="B21623" s="40" t="n">
        <v>-23.551488</v>
      </c>
      <c r="C21623" s="40" t="n">
        <v>-46.521055</v>
      </c>
      <c r="D21623" s="40" t="n">
        <v>512</v>
      </c>
      <c r="E21623" s="41" t="n">
        <v>16478.52</v>
      </c>
    </row>
    <row r="21624">
      <c r="A21624" s="42">
        <f>_xlfn.XLOOKUP(84525,Trip[shape_id],Trip[shape_id],"Não encontrado")</f>
        <v/>
      </c>
      <c r="B21624" s="43" t="n">
        <v>-23.551392</v>
      </c>
      <c r="C21624" s="43" t="n">
        <v>-46.521222</v>
      </c>
      <c r="D21624" s="43" t="n">
        <v>513</v>
      </c>
      <c r="E21624" s="44" t="n">
        <v>16498.613</v>
      </c>
    </row>
    <row r="21625">
      <c r="A21625" s="39">
        <f>_xlfn.XLOOKUP(84525,Trip[shape_id],Trip[shape_id],"Não encontrado")</f>
        <v/>
      </c>
      <c r="B21625" s="40" t="n">
        <v>-23.550999</v>
      </c>
      <c r="C21625" s="40" t="n">
        <v>-46.521938</v>
      </c>
      <c r="D21625" s="40" t="n">
        <v>514</v>
      </c>
      <c r="E21625" s="41" t="n">
        <v>16583.693</v>
      </c>
    </row>
    <row r="21626">
      <c r="A21626" s="42">
        <f>_xlfn.XLOOKUP(84525,Trip[shape_id],Trip[shape_id],"Não encontrado")</f>
        <v/>
      </c>
      <c r="B21626" s="43" t="n">
        <v>-23.550771</v>
      </c>
      <c r="C21626" s="43" t="n">
        <v>-46.522337</v>
      </c>
      <c r="D21626" s="43" t="n">
        <v>515</v>
      </c>
      <c r="E21626" s="44" t="n">
        <v>16631.623</v>
      </c>
    </row>
    <row r="21627">
      <c r="A21627" s="39">
        <f>_xlfn.XLOOKUP(84525,Trip[shape_id],Trip[shape_id],"Não encontrado")</f>
        <v/>
      </c>
      <c r="B21627" s="40" t="n">
        <v>-23.550537</v>
      </c>
      <c r="C21627" s="40" t="n">
        <v>-46.522759</v>
      </c>
      <c r="D21627" s="40" t="n">
        <v>516</v>
      </c>
      <c r="E21627" s="41" t="n">
        <v>16681.904</v>
      </c>
    </row>
    <row r="21628">
      <c r="A21628" s="42">
        <f>_xlfn.XLOOKUP(84525,Trip[shape_id],Trip[shape_id],"Não encontrado")</f>
        <v/>
      </c>
      <c r="B21628" s="43" t="n">
        <v>-23.550253</v>
      </c>
      <c r="C21628" s="43" t="n">
        <v>-46.523262</v>
      </c>
      <c r="D21628" s="43" t="n">
        <v>517</v>
      </c>
      <c r="E21628" s="44" t="n">
        <v>16742.129</v>
      </c>
    </row>
    <row r="21629">
      <c r="A21629" s="39">
        <f>_xlfn.XLOOKUP(84525,Trip[shape_id],Trip[shape_id],"Não encontrado")</f>
        <v/>
      </c>
      <c r="B21629" s="40" t="n">
        <v>-23.550125</v>
      </c>
      <c r="C21629" s="40" t="n">
        <v>-46.523486</v>
      </c>
      <c r="D21629" s="40" t="n">
        <v>518</v>
      </c>
      <c r="E21629" s="41" t="n">
        <v>16769.037</v>
      </c>
    </row>
    <row r="21630">
      <c r="A21630" s="42">
        <f>_xlfn.XLOOKUP(84525,Trip[shape_id],Trip[shape_id],"Não encontrado")</f>
        <v/>
      </c>
      <c r="B21630" s="43" t="n">
        <v>-23.549933</v>
      </c>
      <c r="C21630" s="43" t="n">
        <v>-46.523783</v>
      </c>
      <c r="D21630" s="43" t="n">
        <v>519</v>
      </c>
      <c r="E21630" s="44" t="n">
        <v>16806.074</v>
      </c>
    </row>
    <row r="21631">
      <c r="A21631" s="39">
        <f>_xlfn.XLOOKUP(84525,Trip[shape_id],Trip[shape_id],"Não encontrado")</f>
        <v/>
      </c>
      <c r="B21631" s="40" t="n">
        <v>-23.549807</v>
      </c>
      <c r="C21631" s="40" t="n">
        <v>-46.523948</v>
      </c>
      <c r="D21631" s="40" t="n">
        <v>520</v>
      </c>
      <c r="E21631" s="41" t="n">
        <v>16827.949</v>
      </c>
    </row>
    <row r="21632">
      <c r="A21632" s="42">
        <f>_xlfn.XLOOKUP(84525,Trip[shape_id],Trip[shape_id],"Não encontrado")</f>
        <v/>
      </c>
      <c r="B21632" s="43" t="n">
        <v>-23.549582</v>
      </c>
      <c r="C21632" s="43" t="n">
        <v>-46.524175</v>
      </c>
      <c r="D21632" s="43" t="n">
        <v>521</v>
      </c>
      <c r="E21632" s="44" t="n">
        <v>16861.98</v>
      </c>
    </row>
    <row r="21633">
      <c r="A21633" s="39">
        <f>_xlfn.XLOOKUP(84525,Trip[shape_id],Trip[shape_id],"Não encontrado")</f>
        <v/>
      </c>
      <c r="B21633" s="40" t="n">
        <v>-23.549343</v>
      </c>
      <c r="C21633" s="40" t="n">
        <v>-46.524382</v>
      </c>
      <c r="D21633" s="40" t="n">
        <v>522</v>
      </c>
      <c r="E21633" s="41" t="n">
        <v>16895.854</v>
      </c>
    </row>
    <row r="21634">
      <c r="A21634" s="42">
        <f>_xlfn.XLOOKUP(84525,Trip[shape_id],Trip[shape_id],"Não encontrado")</f>
        <v/>
      </c>
      <c r="B21634" s="43" t="n">
        <v>-23.549169</v>
      </c>
      <c r="C21634" s="43" t="n">
        <v>-46.524498</v>
      </c>
      <c r="D21634" s="43" t="n">
        <v>523</v>
      </c>
      <c r="E21634" s="44" t="n">
        <v>16918.473</v>
      </c>
    </row>
    <row r="21635">
      <c r="A21635" s="39">
        <f>_xlfn.XLOOKUP(84525,Trip[shape_id],Trip[shape_id],"Não encontrado")</f>
        <v/>
      </c>
      <c r="B21635" s="40" t="n">
        <v>-23.548941</v>
      </c>
      <c r="C21635" s="40" t="n">
        <v>-46.52465</v>
      </c>
      <c r="D21635" s="40" t="n">
        <v>524</v>
      </c>
      <c r="E21635" s="41" t="n">
        <v>16948.111</v>
      </c>
    </row>
    <row r="21636">
      <c r="A21636" s="42">
        <f>_xlfn.XLOOKUP(84525,Trip[shape_id],Trip[shape_id],"Não encontrado")</f>
        <v/>
      </c>
      <c r="B21636" s="43" t="n">
        <v>-23.548538</v>
      </c>
      <c r="C21636" s="43" t="n">
        <v>-46.524949</v>
      </c>
      <c r="D21636" s="43" t="n">
        <v>525</v>
      </c>
      <c r="E21636" s="44" t="n">
        <v>17002.186</v>
      </c>
    </row>
    <row r="21637">
      <c r="A21637" s="39">
        <f>_xlfn.XLOOKUP(84525,Trip[shape_id],Trip[shape_id],"Não encontrado")</f>
        <v/>
      </c>
      <c r="B21637" s="40" t="n">
        <v>-23.548103</v>
      </c>
      <c r="C21637" s="40" t="n">
        <v>-46.525317</v>
      </c>
      <c r="D21637" s="40" t="n">
        <v>526</v>
      </c>
      <c r="E21637" s="41" t="n">
        <v>17063.283</v>
      </c>
    </row>
    <row r="21638">
      <c r="A21638" s="42">
        <f>_xlfn.XLOOKUP(84525,Trip[shape_id],Trip[shape_id],"Não encontrado")</f>
        <v/>
      </c>
      <c r="B21638" s="43" t="n">
        <v>-23.547903</v>
      </c>
      <c r="C21638" s="43" t="n">
        <v>-46.525529</v>
      </c>
      <c r="D21638" s="43" t="n">
        <v>527</v>
      </c>
      <c r="E21638" s="44" t="n">
        <v>17094.254</v>
      </c>
    </row>
    <row r="21639">
      <c r="A21639" s="39">
        <f>_xlfn.XLOOKUP(84525,Trip[shape_id],Trip[shape_id],"Não encontrado")</f>
        <v/>
      </c>
      <c r="B21639" s="40" t="n">
        <v>-23.54771</v>
      </c>
      <c r="C21639" s="40" t="n">
        <v>-46.52576</v>
      </c>
      <c r="D21639" s="40" t="n">
        <v>528</v>
      </c>
      <c r="E21639" s="41" t="n">
        <v>17126.084</v>
      </c>
    </row>
    <row r="21640">
      <c r="A21640" s="42">
        <f>_xlfn.XLOOKUP(84525,Trip[shape_id],Trip[shape_id],"Não encontrado")</f>
        <v/>
      </c>
      <c r="B21640" s="43" t="n">
        <v>-23.547625</v>
      </c>
      <c r="C21640" s="43" t="n">
        <v>-46.525872</v>
      </c>
      <c r="D21640" s="43" t="n">
        <v>529</v>
      </c>
      <c r="E21640" s="44" t="n">
        <v>17140.896</v>
      </c>
    </row>
    <row r="21641">
      <c r="A21641" s="39">
        <f>_xlfn.XLOOKUP(84525,Trip[shape_id],Trip[shape_id],"Não encontrado")</f>
        <v/>
      </c>
      <c r="B21641" s="40" t="n">
        <v>-23.547179</v>
      </c>
      <c r="C21641" s="40" t="n">
        <v>-46.52654</v>
      </c>
      <c r="D21641" s="40" t="n">
        <v>530</v>
      </c>
      <c r="E21641" s="41" t="n">
        <v>17225.109</v>
      </c>
    </row>
    <row r="21642">
      <c r="A21642" s="42">
        <f>_xlfn.XLOOKUP(84525,Trip[shape_id],Trip[shape_id],"Não encontrado")</f>
        <v/>
      </c>
      <c r="B21642" s="43" t="n">
        <v>-23.546892</v>
      </c>
      <c r="C21642" s="43" t="n">
        <v>-46.526972</v>
      </c>
      <c r="D21642" s="43" t="n">
        <v>531</v>
      </c>
      <c r="E21642" s="44" t="n">
        <v>17279.479</v>
      </c>
    </row>
    <row r="21643">
      <c r="A21643" s="39">
        <f>_xlfn.XLOOKUP(84525,Trip[shape_id],Trip[shape_id],"Não encontrado")</f>
        <v/>
      </c>
      <c r="B21643" s="40" t="n">
        <v>-23.54661</v>
      </c>
      <c r="C21643" s="40" t="n">
        <v>-46.527313</v>
      </c>
      <c r="D21643" s="40" t="n">
        <v>532</v>
      </c>
      <c r="E21643" s="41" t="n">
        <v>17326.252</v>
      </c>
    </row>
    <row r="21644">
      <c r="A21644" s="42">
        <f>_xlfn.XLOOKUP(84525,Trip[shape_id],Trip[shape_id],"Não encontrado")</f>
        <v/>
      </c>
      <c r="B21644" s="43" t="n">
        <v>-23.546523</v>
      </c>
      <c r="C21644" s="43" t="n">
        <v>-46.527411</v>
      </c>
      <c r="D21644" s="43" t="n">
        <v>533</v>
      </c>
      <c r="E21644" s="44" t="n">
        <v>17340.143</v>
      </c>
    </row>
    <row r="21645">
      <c r="A21645" s="39">
        <f>_xlfn.XLOOKUP(84525,Trip[shape_id],Trip[shape_id],"Não encontrado")</f>
        <v/>
      </c>
      <c r="B21645" s="40" t="n">
        <v>-23.546112</v>
      </c>
      <c r="C21645" s="40" t="n">
        <v>-46.527812</v>
      </c>
      <c r="D21645" s="40" t="n">
        <v>534</v>
      </c>
      <c r="E21645" s="41" t="n">
        <v>17401.367</v>
      </c>
    </row>
    <row r="21646">
      <c r="A21646" s="42">
        <f>_xlfn.XLOOKUP(84525,Trip[shape_id],Trip[shape_id],"Não encontrado")</f>
        <v/>
      </c>
      <c r="B21646" s="43" t="n">
        <v>-23.545739</v>
      </c>
      <c r="C21646" s="43" t="n">
        <v>-46.528158</v>
      </c>
      <c r="D21646" s="43" t="n">
        <v>535</v>
      </c>
      <c r="E21646" s="44" t="n">
        <v>17455.725</v>
      </c>
    </row>
    <row r="21647">
      <c r="A21647" s="39">
        <f>_xlfn.XLOOKUP(84525,Trip[shape_id],Trip[shape_id],"Não encontrado")</f>
        <v/>
      </c>
      <c r="B21647" s="40" t="n">
        <v>-23.545454</v>
      </c>
      <c r="C21647" s="40" t="n">
        <v>-46.528426</v>
      </c>
      <c r="D21647" s="40" t="n">
        <v>536</v>
      </c>
      <c r="E21647" s="41" t="n">
        <v>17497.5</v>
      </c>
    </row>
    <row r="21648">
      <c r="A21648" s="42">
        <f>_xlfn.XLOOKUP(84525,Trip[shape_id],Trip[shape_id],"Não encontrado")</f>
        <v/>
      </c>
      <c r="B21648" s="43" t="n">
        <v>-23.544772</v>
      </c>
      <c r="C21648" s="43" t="n">
        <v>-46.529071</v>
      </c>
      <c r="D21648" s="43" t="n">
        <v>537</v>
      </c>
      <c r="E21648" s="44" t="n">
        <v>17597.713</v>
      </c>
    </row>
    <row r="21649">
      <c r="A21649" s="39">
        <f>_xlfn.XLOOKUP(84525,Trip[shape_id],Trip[shape_id],"Não encontrado")</f>
        <v/>
      </c>
      <c r="B21649" s="40" t="n">
        <v>-23.544707</v>
      </c>
      <c r="C21649" s="40" t="n">
        <v>-46.529135</v>
      </c>
      <c r="D21649" s="40" t="n">
        <v>538</v>
      </c>
      <c r="E21649" s="41" t="n">
        <v>17607.436</v>
      </c>
    </row>
    <row r="21650">
      <c r="A21650" s="42">
        <f>_xlfn.XLOOKUP(84525,Trip[shape_id],Trip[shape_id],"Não encontrado")</f>
        <v/>
      </c>
      <c r="B21650" s="43" t="n">
        <v>-23.544629</v>
      </c>
      <c r="C21650" s="43" t="n">
        <v>-46.529222</v>
      </c>
      <c r="D21650" s="43" t="n">
        <v>539</v>
      </c>
      <c r="E21650" s="44" t="n">
        <v>17619.826</v>
      </c>
    </row>
    <row r="21651">
      <c r="A21651" s="39">
        <f>_xlfn.XLOOKUP(84525,Trip[shape_id],Trip[shape_id],"Não encontrado")</f>
        <v/>
      </c>
      <c r="B21651" s="40" t="n">
        <v>-23.544372</v>
      </c>
      <c r="C21651" s="40" t="n">
        <v>-46.529521</v>
      </c>
      <c r="D21651" s="40" t="n">
        <v>540</v>
      </c>
      <c r="E21651" s="41" t="n">
        <v>17661.566</v>
      </c>
    </row>
    <row r="21652">
      <c r="A21652" s="42">
        <f>_xlfn.XLOOKUP(84525,Trip[shape_id],Trip[shape_id],"Não encontrado")</f>
        <v/>
      </c>
      <c r="B21652" s="43" t="n">
        <v>-23.544284</v>
      </c>
      <c r="C21652" s="43" t="n">
        <v>-46.529646</v>
      </c>
      <c r="D21652" s="43" t="n">
        <v>541</v>
      </c>
      <c r="E21652" s="44" t="n">
        <v>17677.625</v>
      </c>
    </row>
    <row r="21653">
      <c r="A21653" s="39">
        <f>_xlfn.XLOOKUP(84525,Trip[shape_id],Trip[shape_id],"Não encontrado")</f>
        <v/>
      </c>
      <c r="B21653" s="40" t="n">
        <v>-23.544159</v>
      </c>
      <c r="C21653" s="40" t="n">
        <v>-46.529849</v>
      </c>
      <c r="D21653" s="40" t="n">
        <v>542</v>
      </c>
      <c r="E21653" s="41" t="n">
        <v>17702.551</v>
      </c>
    </row>
    <row r="21654">
      <c r="A21654" s="42">
        <f>_xlfn.XLOOKUP(84525,Trip[shape_id],Trip[shape_id],"Não encontrado")</f>
        <v/>
      </c>
      <c r="B21654" s="43" t="n">
        <v>-23.543954</v>
      </c>
      <c r="C21654" s="43" t="n">
        <v>-46.530296</v>
      </c>
      <c r="D21654" s="43" t="n">
        <v>543</v>
      </c>
      <c r="E21654" s="44" t="n">
        <v>17753.527</v>
      </c>
    </row>
    <row r="21655">
      <c r="A21655" s="39">
        <f>_xlfn.XLOOKUP(84525,Trip[shape_id],Trip[shape_id],"Não encontrado")</f>
        <v/>
      </c>
      <c r="B21655" s="40" t="n">
        <v>-23.543708</v>
      </c>
      <c r="C21655" s="40" t="n">
        <v>-46.530844</v>
      </c>
      <c r="D21655" s="40" t="n">
        <v>544</v>
      </c>
      <c r="E21655" s="41" t="n">
        <v>17815.762</v>
      </c>
    </row>
    <row r="21656">
      <c r="A21656" s="42">
        <f>_xlfn.XLOOKUP(84525,Trip[shape_id],Trip[shape_id],"Não encontrado")</f>
        <v/>
      </c>
      <c r="B21656" s="43" t="n">
        <v>-23.543454</v>
      </c>
      <c r="C21656" s="43" t="n">
        <v>-46.53139</v>
      </c>
      <c r="D21656" s="43" t="n">
        <v>545</v>
      </c>
      <c r="E21656" s="44" t="n">
        <v>17878.207</v>
      </c>
    </row>
    <row r="21657">
      <c r="A21657" s="39">
        <f>_xlfn.XLOOKUP(84525,Trip[shape_id],Trip[shape_id],"Não encontrado")</f>
        <v/>
      </c>
      <c r="B21657" s="40" t="n">
        <v>-23.54282</v>
      </c>
      <c r="C21657" s="40" t="n">
        <v>-46.532856</v>
      </c>
      <c r="D21657" s="40" t="n">
        <v>546</v>
      </c>
      <c r="E21657" s="41" t="n">
        <v>18043.547</v>
      </c>
    </row>
    <row r="21658">
      <c r="A21658" s="42">
        <f>_xlfn.XLOOKUP(84525,Trip[shape_id],Trip[shape_id],"Não encontrado")</f>
        <v/>
      </c>
      <c r="B21658" s="43" t="n">
        <v>-23.54266</v>
      </c>
      <c r="C21658" s="43" t="n">
        <v>-46.533183</v>
      </c>
      <c r="D21658" s="43" t="n">
        <v>547</v>
      </c>
      <c r="E21658" s="44" t="n">
        <v>18081.348</v>
      </c>
    </row>
    <row r="21659">
      <c r="A21659" s="39">
        <f>_xlfn.XLOOKUP(84525,Trip[shape_id],Trip[shape_id],"Não encontrado")</f>
        <v/>
      </c>
      <c r="B21659" s="40" t="n">
        <v>-23.542444</v>
      </c>
      <c r="C21659" s="40" t="n">
        <v>-46.533564</v>
      </c>
      <c r="D21659" s="40" t="n">
        <v>548</v>
      </c>
      <c r="E21659" s="41" t="n">
        <v>18127.018</v>
      </c>
    </row>
    <row r="21660">
      <c r="A21660" s="42">
        <f>_xlfn.XLOOKUP(84525,Trip[shape_id],Trip[shape_id],"Não encontrado")</f>
        <v/>
      </c>
      <c r="B21660" s="43" t="n">
        <v>-23.542127</v>
      </c>
      <c r="C21660" s="43" t="n">
        <v>-46.534022</v>
      </c>
      <c r="D21660" s="43" t="n">
        <v>549</v>
      </c>
      <c r="E21660" s="44" t="n">
        <v>18185.494</v>
      </c>
    </row>
    <row r="21661">
      <c r="A21661" s="39">
        <f>_xlfn.XLOOKUP(84525,Trip[shape_id],Trip[shape_id],"Não encontrado")</f>
        <v/>
      </c>
      <c r="B21661" s="40" t="n">
        <v>-23.541957</v>
      </c>
      <c r="C21661" s="40" t="n">
        <v>-46.534257</v>
      </c>
      <c r="D21661" s="40" t="n">
        <v>550</v>
      </c>
      <c r="E21661" s="41" t="n">
        <v>18215.994</v>
      </c>
    </row>
    <row r="21662">
      <c r="A21662" s="42">
        <f>_xlfn.XLOOKUP(84525,Trip[shape_id],Trip[shape_id],"Não encontrado")</f>
        <v/>
      </c>
      <c r="B21662" s="43" t="n">
        <v>-23.541756</v>
      </c>
      <c r="C21662" s="43" t="n">
        <v>-46.53451</v>
      </c>
      <c r="D21662" s="43" t="n">
        <v>551</v>
      </c>
      <c r="E21662" s="44" t="n">
        <v>18250.096</v>
      </c>
    </row>
    <row r="21663">
      <c r="A21663" s="39">
        <f>_xlfn.XLOOKUP(84525,Trip[shape_id],Trip[shape_id],"Não encontrado")</f>
        <v/>
      </c>
      <c r="B21663" s="40" t="n">
        <v>-23.541466</v>
      </c>
      <c r="C21663" s="40" t="n">
        <v>-46.534894</v>
      </c>
      <c r="D21663" s="40" t="n">
        <v>552</v>
      </c>
      <c r="E21663" s="41" t="n">
        <v>18300.781</v>
      </c>
    </row>
    <row r="21664">
      <c r="A21664" s="42">
        <f>_xlfn.XLOOKUP(84525,Trip[shape_id],Trip[shape_id],"Não encontrado")</f>
        <v/>
      </c>
      <c r="B21664" s="43" t="n">
        <v>-23.541257</v>
      </c>
      <c r="C21664" s="43" t="n">
        <v>-46.535209</v>
      </c>
      <c r="D21664" s="43" t="n">
        <v>553</v>
      </c>
      <c r="E21664" s="44" t="n">
        <v>18340.408</v>
      </c>
    </row>
    <row r="21665">
      <c r="A21665" s="39">
        <f>_xlfn.XLOOKUP(84525,Trip[shape_id],Trip[shape_id],"Não encontrado")</f>
        <v/>
      </c>
      <c r="B21665" s="40" t="n">
        <v>-23.541202</v>
      </c>
      <c r="C21665" s="40" t="n">
        <v>-46.535317</v>
      </c>
      <c r="D21665" s="40" t="n">
        <v>554</v>
      </c>
      <c r="E21665" s="41" t="n">
        <v>18353.006</v>
      </c>
    </row>
    <row r="21666">
      <c r="A21666" s="42">
        <f>_xlfn.XLOOKUP(84525,Trip[shape_id],Trip[shape_id],"Não encontrado")</f>
        <v/>
      </c>
      <c r="B21666" s="43" t="n">
        <v>-23.541137</v>
      </c>
      <c r="C21666" s="43" t="n">
        <v>-46.535428</v>
      </c>
      <c r="D21666" s="43" t="n">
        <v>555</v>
      </c>
      <c r="E21666" s="44" t="n">
        <v>18366.434</v>
      </c>
    </row>
    <row r="21667">
      <c r="A21667" s="39">
        <f>_xlfn.XLOOKUP(84525,Trip[shape_id],Trip[shape_id],"Não encontrado")</f>
        <v/>
      </c>
      <c r="B21667" s="40" t="n">
        <v>-23.541041</v>
      </c>
      <c r="C21667" s="40" t="n">
        <v>-46.535661</v>
      </c>
      <c r="D21667" s="40" t="n">
        <v>556</v>
      </c>
      <c r="E21667" s="41" t="n">
        <v>18392.492</v>
      </c>
    </row>
    <row r="21668">
      <c r="A21668" s="42">
        <f>_xlfn.XLOOKUP(84525,Trip[shape_id],Trip[shape_id],"Não encontrado")</f>
        <v/>
      </c>
      <c r="B21668" s="43" t="n">
        <v>-23.540973</v>
      </c>
      <c r="C21668" s="43" t="n">
        <v>-46.535908</v>
      </c>
      <c r="D21668" s="43" t="n">
        <v>557</v>
      </c>
      <c r="E21668" s="44" t="n">
        <v>18418.814</v>
      </c>
    </row>
    <row r="21669">
      <c r="A21669" s="39">
        <f>_xlfn.XLOOKUP(84525,Trip[shape_id],Trip[shape_id],"Não encontrado")</f>
        <v/>
      </c>
      <c r="B21669" s="40" t="n">
        <v>-23.540906</v>
      </c>
      <c r="C21669" s="40" t="n">
        <v>-46.536213</v>
      </c>
      <c r="D21669" s="40" t="n">
        <v>558</v>
      </c>
      <c r="E21669" s="41" t="n">
        <v>18450.83</v>
      </c>
    </row>
    <row r="21670">
      <c r="A21670" s="42">
        <f>_xlfn.XLOOKUP(84525,Trip[shape_id],Trip[shape_id],"Não encontrado")</f>
        <v/>
      </c>
      <c r="B21670" s="43" t="n">
        <v>-23.540872</v>
      </c>
      <c r="C21670" s="43" t="n">
        <v>-46.536493</v>
      </c>
      <c r="D21670" s="43" t="n">
        <v>559</v>
      </c>
      <c r="E21670" s="44" t="n">
        <v>18479.668</v>
      </c>
    </row>
    <row r="21671">
      <c r="A21671" s="39">
        <f>_xlfn.XLOOKUP(84525,Trip[shape_id],Trip[shape_id],"Não encontrado")</f>
        <v/>
      </c>
      <c r="B21671" s="40" t="n">
        <v>-23.540859</v>
      </c>
      <c r="C21671" s="40" t="n">
        <v>-46.53675</v>
      </c>
      <c r="D21671" s="40" t="n">
        <v>560</v>
      </c>
      <c r="E21671" s="41" t="n">
        <v>18505.949</v>
      </c>
    </row>
    <row r="21672">
      <c r="A21672" s="42">
        <f>_xlfn.XLOOKUP(84525,Trip[shape_id],Trip[shape_id],"Não encontrado")</f>
        <v/>
      </c>
      <c r="B21672" s="43" t="n">
        <v>-23.540869</v>
      </c>
      <c r="C21672" s="43" t="n">
        <v>-46.537076</v>
      </c>
      <c r="D21672" s="43" t="n">
        <v>561</v>
      </c>
      <c r="E21672" s="44" t="n">
        <v>18539.256</v>
      </c>
    </row>
    <row r="21673">
      <c r="A21673" s="39">
        <f>_xlfn.XLOOKUP(84525,Trip[shape_id],Trip[shape_id],"Não encontrado")</f>
        <v/>
      </c>
      <c r="B21673" s="40" t="n">
        <v>-23.540889</v>
      </c>
      <c r="C21673" s="40" t="n">
        <v>-46.537652</v>
      </c>
      <c r="D21673" s="40" t="n">
        <v>562</v>
      </c>
      <c r="E21673" s="41" t="n">
        <v>18598.113</v>
      </c>
    </row>
    <row r="21674">
      <c r="A21674" s="42">
        <f>_xlfn.XLOOKUP(84525,Trip[shape_id],Trip[shape_id],"Não encontrado")</f>
        <v/>
      </c>
      <c r="B21674" s="43" t="n">
        <v>-23.540924</v>
      </c>
      <c r="C21674" s="43" t="n">
        <v>-46.538224</v>
      </c>
      <c r="D21674" s="43" t="n">
        <v>563</v>
      </c>
      <c r="E21674" s="44" t="n">
        <v>18656.648</v>
      </c>
    </row>
    <row r="21675">
      <c r="A21675" s="39">
        <f>_xlfn.XLOOKUP(84525,Trip[shape_id],Trip[shape_id],"Não encontrado")</f>
        <v/>
      </c>
      <c r="B21675" s="40" t="n">
        <v>-23.54093</v>
      </c>
      <c r="C21675" s="40" t="n">
        <v>-46.53865</v>
      </c>
      <c r="D21675" s="40" t="n">
        <v>564</v>
      </c>
      <c r="E21675" s="41" t="n">
        <v>18700.152</v>
      </c>
    </row>
    <row r="21676">
      <c r="A21676" s="42">
        <f>_xlfn.XLOOKUP(84525,Trip[shape_id],Trip[shape_id],"Não encontrado")</f>
        <v/>
      </c>
      <c r="B21676" s="43" t="n">
        <v>-23.540921</v>
      </c>
      <c r="C21676" s="43" t="n">
        <v>-46.538871</v>
      </c>
      <c r="D21676" s="43" t="n">
        <v>565</v>
      </c>
      <c r="E21676" s="44" t="n">
        <v>18722.74</v>
      </c>
    </row>
    <row r="21677">
      <c r="A21677" s="39">
        <f>_xlfn.XLOOKUP(84525,Trip[shape_id],Trip[shape_id],"Não encontrado")</f>
        <v/>
      </c>
      <c r="B21677" s="40" t="n">
        <v>-23.540894</v>
      </c>
      <c r="C21677" s="40" t="n">
        <v>-46.539068</v>
      </c>
      <c r="D21677" s="40" t="n">
        <v>566</v>
      </c>
      <c r="E21677" s="41" t="n">
        <v>18743.076</v>
      </c>
    </row>
    <row r="21678">
      <c r="A21678" s="42">
        <f>_xlfn.XLOOKUP(84525,Trip[shape_id],Trip[shape_id],"Não encontrado")</f>
        <v/>
      </c>
      <c r="B21678" s="43" t="n">
        <v>-23.540845</v>
      </c>
      <c r="C21678" s="43" t="n">
        <v>-46.539263</v>
      </c>
      <c r="D21678" s="43" t="n">
        <v>567</v>
      </c>
      <c r="E21678" s="44" t="n">
        <v>18763.715</v>
      </c>
    </row>
    <row r="21679">
      <c r="A21679" s="39">
        <f>_xlfn.XLOOKUP(84525,Trip[shape_id],Trip[shape_id],"Não encontrado")</f>
        <v/>
      </c>
      <c r="B21679" s="40" t="n">
        <v>-23.540766</v>
      </c>
      <c r="C21679" s="40" t="n">
        <v>-46.539502</v>
      </c>
      <c r="D21679" s="40" t="n">
        <v>568</v>
      </c>
      <c r="E21679" s="41" t="n">
        <v>18789.641</v>
      </c>
    </row>
    <row r="21680">
      <c r="A21680" s="42">
        <f>_xlfn.XLOOKUP(84525,Trip[shape_id],Trip[shape_id],"Não encontrado")</f>
        <v/>
      </c>
      <c r="B21680" s="43" t="n">
        <v>-23.540645</v>
      </c>
      <c r="C21680" s="43" t="n">
        <v>-46.53984</v>
      </c>
      <c r="D21680" s="43" t="n">
        <v>569</v>
      </c>
      <c r="E21680" s="44" t="n">
        <v>18826.664</v>
      </c>
    </row>
    <row r="21681">
      <c r="A21681" s="39">
        <f>_xlfn.XLOOKUP(84525,Trip[shape_id],Trip[shape_id],"Não encontrado")</f>
        <v/>
      </c>
      <c r="B21681" s="40" t="n">
        <v>-23.540572</v>
      </c>
      <c r="C21681" s="40" t="n">
        <v>-46.540003</v>
      </c>
      <c r="D21681" s="40" t="n">
        <v>570</v>
      </c>
      <c r="E21681" s="41" t="n">
        <v>18845.168</v>
      </c>
    </row>
    <row r="21682">
      <c r="A21682" s="42">
        <f>_xlfn.XLOOKUP(84525,Trip[shape_id],Trip[shape_id],"Não encontrado")</f>
        <v/>
      </c>
      <c r="B21682" s="43" t="n">
        <v>-23.540472</v>
      </c>
      <c r="C21682" s="43" t="n">
        <v>-46.540183</v>
      </c>
      <c r="D21682" s="43" t="n">
        <v>571</v>
      </c>
      <c r="E21682" s="44" t="n">
        <v>18866.627</v>
      </c>
    </row>
    <row r="21683">
      <c r="A21683" s="39">
        <f>_xlfn.XLOOKUP(84525,Trip[shape_id],Trip[shape_id],"Não encontrado")</f>
        <v/>
      </c>
      <c r="B21683" s="40" t="n">
        <v>-23.540386</v>
      </c>
      <c r="C21683" s="40" t="n">
        <v>-46.540401</v>
      </c>
      <c r="D21683" s="40" t="n">
        <v>572</v>
      </c>
      <c r="E21683" s="41" t="n">
        <v>18890.84</v>
      </c>
    </row>
    <row r="21684">
      <c r="A21684" s="42">
        <f>_xlfn.XLOOKUP(84525,Trip[shape_id],Trip[shape_id],"Não encontrado")</f>
        <v/>
      </c>
      <c r="B21684" s="43" t="n">
        <v>-23.540218</v>
      </c>
      <c r="C21684" s="43" t="n">
        <v>-46.540803</v>
      </c>
      <c r="D21684" s="43" t="n">
        <v>573</v>
      </c>
      <c r="E21684" s="44" t="n">
        <v>18935.908</v>
      </c>
    </row>
    <row r="21685">
      <c r="A21685" s="39">
        <f>_xlfn.XLOOKUP(84525,Trip[shape_id],Trip[shape_id],"Não encontrado")</f>
        <v/>
      </c>
      <c r="B21685" s="40" t="n">
        <v>-23.540137</v>
      </c>
      <c r="C21685" s="40" t="n">
        <v>-46.541</v>
      </c>
      <c r="D21685" s="40" t="n">
        <v>574</v>
      </c>
      <c r="E21685" s="41" t="n">
        <v>18957.934</v>
      </c>
    </row>
    <row r="21686">
      <c r="A21686" s="42">
        <f>_xlfn.XLOOKUP(84525,Trip[shape_id],Trip[shape_id],"Não encontrado")</f>
        <v/>
      </c>
      <c r="B21686" s="43" t="n">
        <v>-23.539978</v>
      </c>
      <c r="C21686" s="43" t="n">
        <v>-46.541348</v>
      </c>
      <c r="D21686" s="43" t="n">
        <v>575</v>
      </c>
      <c r="E21686" s="44" t="n">
        <v>18997.592</v>
      </c>
    </row>
    <row r="21687">
      <c r="A21687" s="39">
        <f>_xlfn.XLOOKUP(84525,Trip[shape_id],Trip[shape_id],"Não encontrado")</f>
        <v/>
      </c>
      <c r="B21687" s="40" t="n">
        <v>-23.539827</v>
      </c>
      <c r="C21687" s="40" t="n">
        <v>-46.541725</v>
      </c>
      <c r="D21687" s="40" t="n">
        <v>576</v>
      </c>
      <c r="E21687" s="41" t="n">
        <v>19039.563</v>
      </c>
    </row>
    <row r="21688">
      <c r="A21688" s="42">
        <f>_xlfn.XLOOKUP(84525,Trip[shape_id],Trip[shape_id],"Não encontrado")</f>
        <v/>
      </c>
      <c r="B21688" s="43" t="n">
        <v>-23.53956</v>
      </c>
      <c r="C21688" s="43" t="n">
        <v>-46.542373</v>
      </c>
      <c r="D21688" s="43" t="n">
        <v>577</v>
      </c>
      <c r="E21688" s="44" t="n">
        <v>19112.037</v>
      </c>
    </row>
    <row r="21689">
      <c r="A21689" s="39">
        <f>_xlfn.XLOOKUP(84525,Trip[shape_id],Trip[shape_id],"Não encontrado")</f>
        <v/>
      </c>
      <c r="B21689" s="40" t="n">
        <v>-23.539479</v>
      </c>
      <c r="C21689" s="40" t="n">
        <v>-46.54256</v>
      </c>
      <c r="D21689" s="40" t="n">
        <v>578</v>
      </c>
      <c r="E21689" s="41" t="n">
        <v>19133.135</v>
      </c>
    </row>
    <row r="21690">
      <c r="A21690" s="42">
        <f>_xlfn.XLOOKUP(84525,Trip[shape_id],Trip[shape_id],"Não encontrado")</f>
        <v/>
      </c>
      <c r="B21690" s="43" t="n">
        <v>-23.539416</v>
      </c>
      <c r="C21690" s="43" t="n">
        <v>-46.542777</v>
      </c>
      <c r="D21690" s="43" t="n">
        <v>579</v>
      </c>
      <c r="E21690" s="44" t="n">
        <v>19156.365</v>
      </c>
    </row>
    <row r="21691">
      <c r="A21691" s="39">
        <f>_xlfn.XLOOKUP(84525,Trip[shape_id],Trip[shape_id],"Não encontrado")</f>
        <v/>
      </c>
      <c r="B21691" s="40" t="n">
        <v>-23.539225</v>
      </c>
      <c r="C21691" s="40" t="n">
        <v>-46.543252</v>
      </c>
      <c r="D21691" s="40" t="n">
        <v>580</v>
      </c>
      <c r="E21691" s="41" t="n">
        <v>19209.279</v>
      </c>
    </row>
    <row r="21692">
      <c r="A21692" s="42">
        <f>_xlfn.XLOOKUP(84525,Trip[shape_id],Trip[shape_id],"Não encontrado")</f>
        <v/>
      </c>
      <c r="B21692" s="43" t="n">
        <v>-23.538966</v>
      </c>
      <c r="C21692" s="43" t="n">
        <v>-46.5438</v>
      </c>
      <c r="D21692" s="43" t="n">
        <v>581</v>
      </c>
      <c r="E21692" s="44" t="n">
        <v>19272.16</v>
      </c>
    </row>
    <row r="21693">
      <c r="A21693" s="39">
        <f>_xlfn.XLOOKUP(84525,Trip[shape_id],Trip[shape_id],"Não encontrado")</f>
        <v/>
      </c>
      <c r="B21693" s="40" t="n">
        <v>-23.538719</v>
      </c>
      <c r="C21693" s="40" t="n">
        <v>-46.54444</v>
      </c>
      <c r="D21693" s="40" t="n">
        <v>582</v>
      </c>
      <c r="E21693" s="41" t="n">
        <v>19343.006</v>
      </c>
    </row>
    <row r="21694">
      <c r="A21694" s="42">
        <f>_xlfn.XLOOKUP(84525,Trip[shape_id],Trip[shape_id],"Não encontrado")</f>
        <v/>
      </c>
      <c r="B21694" s="43" t="n">
        <v>-23.53872</v>
      </c>
      <c r="C21694" s="43" t="n">
        <v>-46.544553</v>
      </c>
      <c r="D21694" s="43" t="n">
        <v>583</v>
      </c>
      <c r="E21694" s="44" t="n">
        <v>19354.545</v>
      </c>
    </row>
    <row r="21695">
      <c r="A21695" s="39">
        <f>_xlfn.XLOOKUP(84525,Trip[shape_id],Trip[shape_id],"Não encontrado")</f>
        <v/>
      </c>
      <c r="B21695" s="40" t="n">
        <v>-23.538547</v>
      </c>
      <c r="C21695" s="40" t="n">
        <v>-46.544989</v>
      </c>
      <c r="D21695" s="40" t="n">
        <v>584</v>
      </c>
      <c r="E21695" s="41" t="n">
        <v>19403.014</v>
      </c>
    </row>
    <row r="21696">
      <c r="A21696" s="42">
        <f>_xlfn.XLOOKUP(84525,Trip[shape_id],Trip[shape_id],"Não encontrado")</f>
        <v/>
      </c>
      <c r="B21696" s="43" t="n">
        <v>-23.538491</v>
      </c>
      <c r="C21696" s="43" t="n">
        <v>-46.545138</v>
      </c>
      <c r="D21696" s="43" t="n">
        <v>585</v>
      </c>
      <c r="E21696" s="44" t="n">
        <v>19419.443</v>
      </c>
    </row>
    <row r="21697">
      <c r="A21697" s="39">
        <f>_xlfn.XLOOKUP(84525,Trip[shape_id],Trip[shape_id],"Não encontrado")</f>
        <v/>
      </c>
      <c r="B21697" s="40" t="n">
        <v>-23.538381</v>
      </c>
      <c r="C21697" s="40" t="n">
        <v>-46.545422</v>
      </c>
      <c r="D21697" s="40" t="n">
        <v>586</v>
      </c>
      <c r="E21697" s="41" t="n">
        <v>19450.898</v>
      </c>
    </row>
    <row r="21698">
      <c r="A21698" s="42">
        <f>_xlfn.XLOOKUP(84525,Trip[shape_id],Trip[shape_id],"Não encontrado")</f>
        <v/>
      </c>
      <c r="B21698" s="43" t="n">
        <v>-23.538223</v>
      </c>
      <c r="C21698" s="43" t="n">
        <v>-46.545697</v>
      </c>
      <c r="D21698" s="43" t="n">
        <v>587</v>
      </c>
      <c r="E21698" s="44" t="n">
        <v>19483.984</v>
      </c>
    </row>
    <row r="21699">
      <c r="A21699" s="39">
        <f>_xlfn.XLOOKUP(84525,Trip[shape_id],Trip[shape_id],"Não encontrado")</f>
        <v/>
      </c>
      <c r="B21699" s="40" t="n">
        <v>-23.538114</v>
      </c>
      <c r="C21699" s="40" t="n">
        <v>-46.54585</v>
      </c>
      <c r="D21699" s="40" t="n">
        <v>588</v>
      </c>
      <c r="E21699" s="41" t="n">
        <v>19503.729</v>
      </c>
    </row>
    <row r="21700">
      <c r="A21700" s="42">
        <f>_xlfn.XLOOKUP(84525,Trip[shape_id],Trip[shape_id],"Não encontrado")</f>
        <v/>
      </c>
      <c r="B21700" s="43" t="n">
        <v>-23.538023</v>
      </c>
      <c r="C21700" s="43" t="n">
        <v>-46.545959</v>
      </c>
      <c r="D21700" s="43" t="n">
        <v>589</v>
      </c>
      <c r="E21700" s="44" t="n">
        <v>19518.744</v>
      </c>
    </row>
    <row r="21701">
      <c r="A21701" s="39">
        <f>_xlfn.XLOOKUP(84525,Trip[shape_id],Trip[shape_id],"Não encontrado")</f>
        <v/>
      </c>
      <c r="B21701" s="40" t="n">
        <v>-23.537898</v>
      </c>
      <c r="C21701" s="40" t="n">
        <v>-46.546144</v>
      </c>
      <c r="D21701" s="40" t="n">
        <v>590</v>
      </c>
      <c r="E21701" s="41" t="n">
        <v>19542.164</v>
      </c>
    </row>
    <row r="21702">
      <c r="A21702" s="42">
        <f>_xlfn.XLOOKUP(84525,Trip[shape_id],Trip[shape_id],"Não encontrado")</f>
        <v/>
      </c>
      <c r="B21702" s="43" t="n">
        <v>-23.537798</v>
      </c>
      <c r="C21702" s="43" t="n">
        <v>-46.54628</v>
      </c>
      <c r="D21702" s="43" t="n">
        <v>591</v>
      </c>
      <c r="E21702" s="44" t="n">
        <v>19559.926</v>
      </c>
    </row>
    <row r="21703">
      <c r="A21703" s="39">
        <f>_xlfn.XLOOKUP(84525,Trip[shape_id],Trip[shape_id],"Não encontrado")</f>
        <v/>
      </c>
      <c r="B21703" s="40" t="n">
        <v>-23.537698</v>
      </c>
      <c r="C21703" s="40" t="n">
        <v>-46.546409</v>
      </c>
      <c r="D21703" s="40" t="n">
        <v>592</v>
      </c>
      <c r="E21703" s="41" t="n">
        <v>19577.135</v>
      </c>
    </row>
    <row r="21704">
      <c r="A21704" s="42">
        <f>_xlfn.XLOOKUP(84525,Trip[shape_id],Trip[shape_id],"Não encontrado")</f>
        <v/>
      </c>
      <c r="B21704" s="43" t="n">
        <v>-23.537518</v>
      </c>
      <c r="C21704" s="43" t="n">
        <v>-46.546597</v>
      </c>
      <c r="D21704" s="43" t="n">
        <v>593</v>
      </c>
      <c r="E21704" s="44" t="n">
        <v>19604.811</v>
      </c>
    </row>
    <row r="21705">
      <c r="A21705" s="39">
        <f>_xlfn.XLOOKUP(84525,Trip[shape_id],Trip[shape_id],"Não encontrado")</f>
        <v/>
      </c>
      <c r="B21705" s="40" t="n">
        <v>-23.537275</v>
      </c>
      <c r="C21705" s="40" t="n">
        <v>-46.546785</v>
      </c>
      <c r="D21705" s="40" t="n">
        <v>594</v>
      </c>
      <c r="E21705" s="41" t="n">
        <v>19637.869</v>
      </c>
    </row>
    <row r="21706">
      <c r="A21706" s="42">
        <f>_xlfn.XLOOKUP(84525,Trip[shape_id],Trip[shape_id],"Não encontrado")</f>
        <v/>
      </c>
      <c r="B21706" s="43" t="n">
        <v>-23.536932</v>
      </c>
      <c r="C21706" s="43" t="n">
        <v>-46.546955</v>
      </c>
      <c r="D21706" s="43" t="n">
        <v>595</v>
      </c>
      <c r="E21706" s="44" t="n">
        <v>19679.635</v>
      </c>
    </row>
    <row r="21707">
      <c r="A21707" s="39">
        <f>_xlfn.XLOOKUP(84525,Trip[shape_id],Trip[shape_id],"Não encontrado")</f>
        <v/>
      </c>
      <c r="B21707" s="40" t="n">
        <v>-23.536605</v>
      </c>
      <c r="C21707" s="40" t="n">
        <v>-46.547099</v>
      </c>
      <c r="D21707" s="40" t="n">
        <v>596</v>
      </c>
      <c r="E21707" s="41" t="n">
        <v>19718.723</v>
      </c>
    </row>
    <row r="21708">
      <c r="A21708" s="42">
        <f>_xlfn.XLOOKUP(84525,Trip[shape_id],Trip[shape_id],"Não encontrado")</f>
        <v/>
      </c>
      <c r="B21708" s="43" t="n">
        <v>-23.5364</v>
      </c>
      <c r="C21708" s="43" t="n">
        <v>-46.547174</v>
      </c>
      <c r="D21708" s="43" t="n">
        <v>597</v>
      </c>
      <c r="E21708" s="44" t="n">
        <v>19742.684</v>
      </c>
    </row>
    <row r="21709">
      <c r="A21709" s="39">
        <f>_xlfn.XLOOKUP(84525,Trip[shape_id],Trip[shape_id],"Não encontrado")</f>
        <v/>
      </c>
      <c r="B21709" s="40" t="n">
        <v>-23.536022</v>
      </c>
      <c r="C21709" s="40" t="n">
        <v>-46.54732</v>
      </c>
      <c r="D21709" s="40" t="n">
        <v>598</v>
      </c>
      <c r="E21709" s="41" t="n">
        <v>19787.123</v>
      </c>
    </row>
    <row r="21710">
      <c r="A21710" s="42">
        <f>_xlfn.XLOOKUP(84525,Trip[shape_id],Trip[shape_id],"Não encontrado")</f>
        <v/>
      </c>
      <c r="B21710" s="43" t="n">
        <v>-23.535502</v>
      </c>
      <c r="C21710" s="43" t="n">
        <v>-46.547513</v>
      </c>
      <c r="D21710" s="43" t="n">
        <v>599</v>
      </c>
      <c r="E21710" s="44" t="n">
        <v>19847.992</v>
      </c>
    </row>
    <row r="21711">
      <c r="A21711" s="39">
        <f>_xlfn.XLOOKUP(84525,Trip[shape_id],Trip[shape_id],"Não encontrado")</f>
        <v/>
      </c>
      <c r="B21711" s="40" t="n">
        <v>-23.535277</v>
      </c>
      <c r="C21711" s="40" t="n">
        <v>-46.547595</v>
      </c>
      <c r="D21711" s="40" t="n">
        <v>600</v>
      </c>
      <c r="E21711" s="41" t="n">
        <v>19874.281</v>
      </c>
    </row>
    <row r="21712">
      <c r="A21712" s="42">
        <f>_xlfn.XLOOKUP(84525,Trip[shape_id],Trip[shape_id],"Não encontrado")</f>
        <v/>
      </c>
      <c r="B21712" s="43" t="n">
        <v>-23.535037</v>
      </c>
      <c r="C21712" s="43" t="n">
        <v>-46.547696</v>
      </c>
      <c r="D21712" s="43" t="n">
        <v>601</v>
      </c>
      <c r="E21712" s="44" t="n">
        <v>19902.793</v>
      </c>
    </row>
    <row r="21713">
      <c r="A21713" s="39">
        <f>_xlfn.XLOOKUP(84525,Trip[shape_id],Trip[shape_id],"Não encontrado")</f>
        <v/>
      </c>
      <c r="B21713" s="40" t="n">
        <v>-23.534944</v>
      </c>
      <c r="C21713" s="40" t="n">
        <v>-46.547774</v>
      </c>
      <c r="D21713" s="40" t="n">
        <v>602</v>
      </c>
      <c r="E21713" s="41" t="n">
        <v>19915.813</v>
      </c>
    </row>
    <row r="21714">
      <c r="A21714" s="42">
        <f>_xlfn.XLOOKUP(84525,Trip[shape_id],Trip[shape_id],"Não encontrado")</f>
        <v/>
      </c>
      <c r="B21714" s="43" t="n">
        <v>-23.534889</v>
      </c>
      <c r="C21714" s="43" t="n">
        <v>-46.547827</v>
      </c>
      <c r="D21714" s="43" t="n">
        <v>603</v>
      </c>
      <c r="E21714" s="44" t="n">
        <v>19923.961</v>
      </c>
    </row>
    <row r="21715">
      <c r="A21715" s="39">
        <f>_xlfn.XLOOKUP(84525,Trip[shape_id],Trip[shape_id],"Não encontrado")</f>
        <v/>
      </c>
      <c r="B21715" s="40" t="n">
        <v>-23.534828</v>
      </c>
      <c r="C21715" s="40" t="n">
        <v>-46.547928</v>
      </c>
      <c r="D21715" s="40" t="n">
        <v>604</v>
      </c>
      <c r="E21715" s="41" t="n">
        <v>19936.291</v>
      </c>
    </row>
    <row r="21716">
      <c r="A21716" s="42">
        <f>_xlfn.XLOOKUP(84525,Trip[shape_id],Trip[shape_id],"Não encontrado")</f>
        <v/>
      </c>
      <c r="B21716" s="43" t="n">
        <v>-23.534798</v>
      </c>
      <c r="C21716" s="43" t="n">
        <v>-46.548021</v>
      </c>
      <c r="D21716" s="43" t="n">
        <v>605</v>
      </c>
      <c r="E21716" s="44" t="n">
        <v>19946.352</v>
      </c>
    </row>
    <row r="21717">
      <c r="A21717" s="39">
        <f>_xlfn.XLOOKUP(84525,Trip[shape_id],Trip[shape_id],"Não encontrado")</f>
        <v/>
      </c>
      <c r="B21717" s="40" t="n">
        <v>-23.534795</v>
      </c>
      <c r="C21717" s="40" t="n">
        <v>-46.548121</v>
      </c>
      <c r="D21717" s="40" t="n">
        <v>606</v>
      </c>
      <c r="E21717" s="41" t="n">
        <v>19956.568</v>
      </c>
    </row>
    <row r="21718">
      <c r="A21718" s="42">
        <f>_xlfn.XLOOKUP(84525,Trip[shape_id],Trip[shape_id],"Não encontrado")</f>
        <v/>
      </c>
      <c r="B21718" s="43" t="n">
        <v>-23.534861</v>
      </c>
      <c r="C21718" s="43" t="n">
        <v>-46.548434</v>
      </c>
      <c r="D21718" s="43" t="n">
        <v>607</v>
      </c>
      <c r="E21718" s="44" t="n">
        <v>19989.355</v>
      </c>
    </row>
    <row r="21719">
      <c r="A21719" s="39">
        <f>_xlfn.XLOOKUP(84525,Trip[shape_id],Trip[shape_id],"Não encontrado")</f>
        <v/>
      </c>
      <c r="B21719" s="40" t="n">
        <v>-23.534959</v>
      </c>
      <c r="C21719" s="40" t="n">
        <v>-46.548824</v>
      </c>
      <c r="D21719" s="40" t="n">
        <v>608</v>
      </c>
      <c r="E21719" s="41" t="n">
        <v>20030.633</v>
      </c>
    </row>
    <row r="21720">
      <c r="A21720" s="42">
        <f>_xlfn.XLOOKUP(84525,Trip[shape_id],Trip[shape_id],"Não encontrado")</f>
        <v/>
      </c>
      <c r="B21720" s="43" t="n">
        <v>-23.534944</v>
      </c>
      <c r="C21720" s="43" t="n">
        <v>-46.548985</v>
      </c>
      <c r="D21720" s="43" t="n">
        <v>609</v>
      </c>
      <c r="E21720" s="44" t="n">
        <v>20047.156</v>
      </c>
    </row>
    <row r="21721">
      <c r="A21721" s="39">
        <f>_xlfn.XLOOKUP(84525,Trip[shape_id],Trip[shape_id],"Não encontrado")</f>
        <v/>
      </c>
      <c r="B21721" s="40" t="n">
        <v>-23.535407</v>
      </c>
      <c r="C21721" s="40" t="n">
        <v>-46.55115</v>
      </c>
      <c r="D21721" s="40" t="n">
        <v>610</v>
      </c>
      <c r="E21721" s="41" t="n">
        <v>20435.723</v>
      </c>
    </row>
    <row r="21722">
      <c r="A21722" s="42">
        <f>_xlfn.XLOOKUP(84525,Trip[shape_id],Trip[shape_id],"Não encontrado")</f>
        <v/>
      </c>
      <c r="B21722" s="43" t="n">
        <v>-23.535728</v>
      </c>
      <c r="C21722" s="43" t="n">
        <v>-46.552694</v>
      </c>
      <c r="D21722" s="43" t="n">
        <v>611</v>
      </c>
      <c r="E21722" s="44" t="n">
        <v>20545.676</v>
      </c>
    </row>
    <row r="21723">
      <c r="A21723" s="39">
        <f>_xlfn.XLOOKUP(84525,Trip[shape_id],Trip[shape_id],"Não encontrado")</f>
        <v/>
      </c>
      <c r="B21723" s="40" t="n">
        <v>-23.535952</v>
      </c>
      <c r="C21723" s="40" t="n">
        <v>-46.553743</v>
      </c>
      <c r="D21723" s="40" t="n">
        <v>612</v>
      </c>
      <c r="E21723" s="41" t="n">
        <v>20582.043</v>
      </c>
    </row>
    <row r="21724">
      <c r="A21724" s="42">
        <f>_xlfn.XLOOKUP(84525,Trip[shape_id],Trip[shape_id],"Não encontrado")</f>
        <v/>
      </c>
      <c r="B21724" s="43" t="n">
        <v>-23.536037</v>
      </c>
      <c r="C21724" s="43" t="n">
        <v>-46.554087</v>
      </c>
      <c r="D21724" s="43" t="n">
        <v>613</v>
      </c>
      <c r="E21724" s="44" t="n">
        <v>20582.043</v>
      </c>
    </row>
    <row r="21725">
      <c r="A21725" s="39">
        <f>_xlfn.XLOOKUP(84525,Trip[shape_id],Trip[shape_id],"Não encontrado")</f>
        <v/>
      </c>
      <c r="B21725" s="40" t="n">
        <v>-23.536146</v>
      </c>
      <c r="C21725" s="40" t="n">
        <v>-46.554538</v>
      </c>
      <c r="D21725" s="40" t="n">
        <v>614</v>
      </c>
      <c r="E21725" s="41" t="n">
        <v>20629.652</v>
      </c>
    </row>
    <row r="21726">
      <c r="A21726" s="42">
        <f>_xlfn.XLOOKUP(84525,Trip[shape_id],Trip[shape_id],"Não encontrado")</f>
        <v/>
      </c>
      <c r="B21726" s="43" t="n">
        <v>-23.536268</v>
      </c>
      <c r="C21726" s="43" t="n">
        <v>-46.55504</v>
      </c>
      <c r="D21726" s="43" t="n">
        <v>615</v>
      </c>
      <c r="E21726" s="44" t="n">
        <v>20734.605</v>
      </c>
    </row>
    <row r="21727">
      <c r="A21727" s="39">
        <f>_xlfn.XLOOKUP(84525,Trip[shape_id],Trip[shape_id],"Não encontrado")</f>
        <v/>
      </c>
      <c r="B21727" s="40" t="n">
        <v>-23.536372</v>
      </c>
      <c r="C21727" s="40" t="n">
        <v>-46.555536</v>
      </c>
      <c r="D21727" s="40" t="n">
        <v>616</v>
      </c>
      <c r="E21727" s="41" t="n">
        <v>20907.752</v>
      </c>
    </row>
    <row r="21728">
      <c r="A21728" s="42">
        <f>_xlfn.XLOOKUP(84525,Trip[shape_id],Trip[shape_id],"Não encontrado")</f>
        <v/>
      </c>
      <c r="B21728" s="43" t="n">
        <v>-23.536663</v>
      </c>
      <c r="C21728" s="43" t="n">
        <v>-46.557202</v>
      </c>
      <c r="D21728" s="43" t="n">
        <v>617</v>
      </c>
      <c r="E21728" s="44" t="n">
        <v>20907.752</v>
      </c>
    </row>
    <row r="21729">
      <c r="A21729" s="39">
        <f>_xlfn.XLOOKUP(84525,Trip[shape_id],Trip[shape_id],"Não encontrado")</f>
        <v/>
      </c>
      <c r="B21729" s="40" t="n">
        <v>-23.53687</v>
      </c>
      <c r="C21729" s="40" t="n">
        <v>-46.558253</v>
      </c>
      <c r="D21729" s="40" t="n">
        <v>618</v>
      </c>
      <c r="E21729" s="41" t="n">
        <v>21017.494</v>
      </c>
    </row>
    <row r="21730">
      <c r="A21730" s="42">
        <f>_xlfn.XLOOKUP(84525,Trip[shape_id],Trip[shape_id],"Não encontrado")</f>
        <v/>
      </c>
      <c r="B21730" s="43" t="n">
        <v>-23.537211</v>
      </c>
      <c r="C21730" s="43" t="n">
        <v>-46.559996</v>
      </c>
      <c r="D21730" s="43" t="n">
        <v>619</v>
      </c>
      <c r="E21730" s="44" t="n">
        <v>21199.439</v>
      </c>
    </row>
    <row r="21731">
      <c r="A21731" s="39">
        <f>_xlfn.XLOOKUP(84525,Trip[shape_id],Trip[shape_id],"Não encontrado")</f>
        <v/>
      </c>
      <c r="B21731" s="40" t="n">
        <v>-23.537301</v>
      </c>
      <c r="C21731" s="40" t="n">
        <v>-46.560449</v>
      </c>
      <c r="D21731" s="40" t="n">
        <v>620</v>
      </c>
      <c r="E21731" s="41" t="n">
        <v>21246.758</v>
      </c>
    </row>
    <row r="21732">
      <c r="A21732" s="42">
        <f>_xlfn.XLOOKUP(84525,Trip[shape_id],Trip[shape_id],"Não encontrado")</f>
        <v/>
      </c>
      <c r="B21732" s="43" t="n">
        <v>-23.537701</v>
      </c>
      <c r="C21732" s="43" t="n">
        <v>-46.562488</v>
      </c>
      <c r="D21732" s="43" t="n">
        <v>621</v>
      </c>
      <c r="E21732" s="44" t="n">
        <v>21459.625</v>
      </c>
    </row>
    <row r="21733">
      <c r="A21733" s="39">
        <f>_xlfn.XLOOKUP(84525,Trip[shape_id],Trip[shape_id],"Não encontrado")</f>
        <v/>
      </c>
      <c r="B21733" s="40" t="n">
        <v>-23.53797</v>
      </c>
      <c r="C21733" s="40" t="n">
        <v>-46.563815</v>
      </c>
      <c r="D21733" s="40" t="n">
        <v>622</v>
      </c>
      <c r="E21733" s="41" t="n">
        <v>21598.363</v>
      </c>
    </row>
    <row r="21734">
      <c r="A21734" s="42">
        <f>_xlfn.XLOOKUP(84525,Trip[shape_id],Trip[shape_id],"Não encontrado")</f>
        <v/>
      </c>
      <c r="B21734" s="43" t="n">
        <v>-23.538136</v>
      </c>
      <c r="C21734" s="43" t="n">
        <v>-46.564596</v>
      </c>
      <c r="D21734" s="43" t="n">
        <v>623</v>
      </c>
      <c r="E21734" s="44" t="n">
        <v>21680.205</v>
      </c>
    </row>
    <row r="21735">
      <c r="A21735" s="39">
        <f>_xlfn.XLOOKUP(84525,Trip[shape_id],Trip[shape_id],"Não encontrado")</f>
        <v/>
      </c>
      <c r="B21735" s="40" t="n">
        <v>-23.538268</v>
      </c>
      <c r="C21735" s="40" t="n">
        <v>-46.565278</v>
      </c>
      <c r="D21735" s="40" t="n">
        <v>624</v>
      </c>
      <c r="E21735" s="41" t="n">
        <v>21751.363</v>
      </c>
    </row>
    <row r="21736">
      <c r="A21736" s="42">
        <f>_xlfn.XLOOKUP(84525,Trip[shape_id],Trip[shape_id],"Não encontrado")</f>
        <v/>
      </c>
      <c r="B21736" s="43" t="n">
        <v>-23.538342</v>
      </c>
      <c r="C21736" s="43" t="n">
        <v>-46.565669</v>
      </c>
      <c r="D21736" s="43" t="n">
        <v>625</v>
      </c>
      <c r="E21736" s="44" t="n">
        <v>21792.121</v>
      </c>
    </row>
    <row r="21737">
      <c r="A21737" s="39">
        <f>_xlfn.XLOOKUP(84525,Trip[shape_id],Trip[shape_id],"Não encontrado")</f>
        <v/>
      </c>
      <c r="B21737" s="40" t="n">
        <v>-23.538444</v>
      </c>
      <c r="C21737" s="40" t="n">
        <v>-46.56625</v>
      </c>
      <c r="D21737" s="40" t="n">
        <v>626</v>
      </c>
      <c r="E21737" s="41" t="n">
        <v>21852.514</v>
      </c>
    </row>
    <row r="21738">
      <c r="A21738" s="42">
        <f>_xlfn.XLOOKUP(84525,Trip[shape_id],Trip[shape_id],"Não encontrado")</f>
        <v/>
      </c>
      <c r="B21738" s="43" t="n">
        <v>-23.538523</v>
      </c>
      <c r="C21738" s="43" t="n">
        <v>-46.566593</v>
      </c>
      <c r="D21738" s="43" t="n">
        <v>627</v>
      </c>
      <c r="E21738" s="44" t="n">
        <v>21888.613</v>
      </c>
    </row>
    <row r="21739">
      <c r="A21739" s="39">
        <f>_xlfn.XLOOKUP(84525,Trip[shape_id],Trip[shape_id],"Não encontrado")</f>
        <v/>
      </c>
      <c r="B21739" s="40" t="n">
        <v>-23.538545</v>
      </c>
      <c r="C21739" s="40" t="n">
        <v>-46.566742</v>
      </c>
      <c r="D21739" s="40" t="n">
        <v>628</v>
      </c>
      <c r="E21739" s="41" t="n">
        <v>21904.021</v>
      </c>
    </row>
    <row r="21740">
      <c r="A21740" s="42">
        <f>_xlfn.XLOOKUP(84525,Trip[shape_id],Trip[shape_id],"Não encontrado")</f>
        <v/>
      </c>
      <c r="B21740" s="43" t="n">
        <v>-23.538588</v>
      </c>
      <c r="C21740" s="43" t="n">
        <v>-46.566924</v>
      </c>
      <c r="D21740" s="43" t="n">
        <v>629</v>
      </c>
      <c r="E21740" s="44" t="n">
        <v>21923.207</v>
      </c>
    </row>
    <row r="21741">
      <c r="A21741" s="39">
        <f>_xlfn.XLOOKUP(84525,Trip[shape_id],Trip[shape_id],"Não encontrado")</f>
        <v/>
      </c>
      <c r="B21741" s="40" t="n">
        <v>-23.538601</v>
      </c>
      <c r="C21741" s="40" t="n">
        <v>-46.567124</v>
      </c>
      <c r="D21741" s="40" t="n">
        <v>630</v>
      </c>
      <c r="E21741" s="41" t="n">
        <v>21943.68</v>
      </c>
    </row>
    <row r="21742">
      <c r="A21742" s="42">
        <f>_xlfn.XLOOKUP(84525,Trip[shape_id],Trip[shape_id],"Não encontrado")</f>
        <v/>
      </c>
      <c r="B21742" s="43" t="n">
        <v>-23.538615</v>
      </c>
      <c r="C21742" s="43" t="n">
        <v>-46.567364</v>
      </c>
      <c r="D21742" s="43" t="n">
        <v>631</v>
      </c>
      <c r="E21742" s="44" t="n">
        <v>21968.236</v>
      </c>
    </row>
    <row r="21743">
      <c r="A21743" s="39">
        <f>_xlfn.XLOOKUP(84525,Trip[shape_id],Trip[shape_id],"Não encontrado")</f>
        <v/>
      </c>
      <c r="B21743" s="40" t="n">
        <v>-23.538633</v>
      </c>
      <c r="C21743" s="40" t="n">
        <v>-46.567553</v>
      </c>
      <c r="D21743" s="40" t="n">
        <v>632</v>
      </c>
      <c r="E21743" s="41" t="n">
        <v>21987.639</v>
      </c>
    </row>
    <row r="21744">
      <c r="A21744" s="42">
        <f>_xlfn.XLOOKUP(84525,Trip[shape_id],Trip[shape_id],"Não encontrado")</f>
        <v/>
      </c>
      <c r="B21744" s="43" t="n">
        <v>-23.538699</v>
      </c>
      <c r="C21744" s="43" t="n">
        <v>-46.567948</v>
      </c>
      <c r="D21744" s="43" t="n">
        <v>633</v>
      </c>
      <c r="E21744" s="44" t="n">
        <v>22028.629</v>
      </c>
    </row>
    <row r="21745">
      <c r="A21745" s="39">
        <f>_xlfn.XLOOKUP(84525,Trip[shape_id],Trip[shape_id],"Não encontrado")</f>
        <v/>
      </c>
      <c r="B21745" s="40" t="n">
        <v>-23.538752</v>
      </c>
      <c r="C21745" s="40" t="n">
        <v>-46.568235</v>
      </c>
      <c r="D21745" s="40" t="n">
        <v>634</v>
      </c>
      <c r="E21745" s="41" t="n">
        <v>22058.518</v>
      </c>
    </row>
    <row r="21746">
      <c r="A21746" s="42">
        <f>_xlfn.XLOOKUP(84525,Trip[shape_id],Trip[shape_id],"Não encontrado")</f>
        <v/>
      </c>
      <c r="B21746" s="43" t="n">
        <v>-23.538984</v>
      </c>
      <c r="C21746" s="43" t="n">
        <v>-46.569411</v>
      </c>
      <c r="D21746" s="43" t="n">
        <v>635</v>
      </c>
      <c r="E21746" s="44" t="n">
        <v>22181.318</v>
      </c>
    </row>
    <row r="21747">
      <c r="A21747" s="39">
        <f>_xlfn.XLOOKUP(84525,Trip[shape_id],Trip[shape_id],"Não encontrado")</f>
        <v/>
      </c>
      <c r="B21747" s="40" t="n">
        <v>-23.539286</v>
      </c>
      <c r="C21747" s="40" t="n">
        <v>-46.571273</v>
      </c>
      <c r="D21747" s="40" t="n">
        <v>636</v>
      </c>
      <c r="E21747" s="41" t="n">
        <v>22374.369</v>
      </c>
    </row>
    <row r="21748">
      <c r="A21748" s="42">
        <f>_xlfn.XLOOKUP(84525,Trip[shape_id],Trip[shape_id],"Não encontrado")</f>
        <v/>
      </c>
      <c r="B21748" s="43" t="n">
        <v>-23.539351</v>
      </c>
      <c r="C21748" s="43" t="n">
        <v>-46.571566</v>
      </c>
      <c r="D21748" s="43" t="n">
        <v>637</v>
      </c>
      <c r="E21748" s="44" t="n">
        <v>22405.141</v>
      </c>
    </row>
    <row r="21749">
      <c r="A21749" s="39">
        <f>_xlfn.XLOOKUP(84525,Trip[shape_id],Trip[shape_id],"Não encontrado")</f>
        <v/>
      </c>
      <c r="B21749" s="40" t="n">
        <v>-23.539457</v>
      </c>
      <c r="C21749" s="40" t="n">
        <v>-46.57206</v>
      </c>
      <c r="D21749" s="40" t="n">
        <v>638</v>
      </c>
      <c r="E21749" s="41" t="n">
        <v>22456.932</v>
      </c>
    </row>
    <row r="21750">
      <c r="A21750" s="42">
        <f>_xlfn.XLOOKUP(84525,Trip[shape_id],Trip[shape_id],"Não encontrado")</f>
        <v/>
      </c>
      <c r="B21750" s="43" t="n">
        <v>-23.539589</v>
      </c>
      <c r="C21750" s="43" t="n">
        <v>-46.572504</v>
      </c>
      <c r="D21750" s="43" t="n">
        <v>639</v>
      </c>
      <c r="E21750" s="44" t="n">
        <v>22504.568</v>
      </c>
    </row>
    <row r="21751">
      <c r="A21751" s="39">
        <f>_xlfn.XLOOKUP(84525,Trip[shape_id],Trip[shape_id],"Não encontrado")</f>
        <v/>
      </c>
      <c r="B21751" s="40" t="n">
        <v>-23.539664</v>
      </c>
      <c r="C21751" s="40" t="n">
        <v>-46.57271</v>
      </c>
      <c r="D21751" s="40" t="n">
        <v>640</v>
      </c>
      <c r="E21751" s="41" t="n">
        <v>22527.184</v>
      </c>
    </row>
    <row r="21752">
      <c r="A21752" s="42">
        <f>_xlfn.XLOOKUP(84525,Trip[shape_id],Trip[shape_id],"Não encontrado")</f>
        <v/>
      </c>
      <c r="B21752" s="43" t="n">
        <v>-23.53995</v>
      </c>
      <c r="C21752" s="43" t="n">
        <v>-46.573501</v>
      </c>
      <c r="D21752" s="43" t="n">
        <v>641</v>
      </c>
      <c r="E21752" s="44" t="n">
        <v>22613.941</v>
      </c>
    </row>
    <row r="21753">
      <c r="A21753" s="39">
        <f>_xlfn.XLOOKUP(84525,Trip[shape_id],Trip[shape_id],"Não encontrado")</f>
        <v/>
      </c>
      <c r="B21753" s="40" t="n">
        <v>-23.540263</v>
      </c>
      <c r="C21753" s="40" t="n">
        <v>-46.57435</v>
      </c>
      <c r="D21753" s="40" t="n">
        <v>642</v>
      </c>
      <c r="E21753" s="41" t="n">
        <v>22707.307</v>
      </c>
    </row>
    <row r="21754">
      <c r="A21754" s="42">
        <f>_xlfn.XLOOKUP(84525,Trip[shape_id],Trip[shape_id],"Não encontrado")</f>
        <v/>
      </c>
      <c r="B21754" s="43" t="n">
        <v>-23.540357</v>
      </c>
      <c r="C21754" s="43" t="n">
        <v>-46.574669</v>
      </c>
      <c r="D21754" s="43" t="n">
        <v>643</v>
      </c>
      <c r="E21754" s="44" t="n">
        <v>22741.502</v>
      </c>
    </row>
    <row r="21755">
      <c r="A21755" s="39">
        <f>_xlfn.XLOOKUP(84525,Trip[shape_id],Trip[shape_id],"Não encontrado")</f>
        <v/>
      </c>
      <c r="B21755" s="40" t="n">
        <v>-23.540401</v>
      </c>
      <c r="C21755" s="40" t="n">
        <v>-46.574838</v>
      </c>
      <c r="D21755" s="40" t="n">
        <v>644</v>
      </c>
      <c r="E21755" s="41" t="n">
        <v>22759.434</v>
      </c>
    </row>
    <row r="21756">
      <c r="A21756" s="42">
        <f>_xlfn.XLOOKUP(84525,Trip[shape_id],Trip[shape_id],"Não encontrado")</f>
        <v/>
      </c>
      <c r="B21756" s="43" t="n">
        <v>-23.540438</v>
      </c>
      <c r="C21756" s="43" t="n">
        <v>-46.574995</v>
      </c>
      <c r="D21756" s="43" t="n">
        <v>645</v>
      </c>
      <c r="E21756" s="44" t="n">
        <v>22775.98</v>
      </c>
    </row>
    <row r="21757">
      <c r="A21757" s="39">
        <f>_xlfn.XLOOKUP(84525,Trip[shape_id],Trip[shape_id],"Não encontrado")</f>
        <v/>
      </c>
      <c r="B21757" s="40" t="n">
        <v>-23.540507</v>
      </c>
      <c r="C21757" s="40" t="n">
        <v>-46.57538</v>
      </c>
      <c r="D21757" s="40" t="n">
        <v>646</v>
      </c>
      <c r="E21757" s="41" t="n">
        <v>22816.029</v>
      </c>
    </row>
    <row r="21758">
      <c r="A21758" s="42">
        <f>_xlfn.XLOOKUP(84525,Trip[shape_id],Trip[shape_id],"Não encontrado")</f>
        <v/>
      </c>
      <c r="B21758" s="43" t="n">
        <v>-23.541004</v>
      </c>
      <c r="C21758" s="43" t="n">
        <v>-46.577799</v>
      </c>
      <c r="D21758" s="43" t="n">
        <v>647</v>
      </c>
      <c r="E21758" s="44" t="n">
        <v>23069.092</v>
      </c>
    </row>
    <row r="21759">
      <c r="A21759" s="39">
        <f>_xlfn.XLOOKUP(84525,Trip[shape_id],Trip[shape_id],"Não encontrado")</f>
        <v/>
      </c>
      <c r="B21759" s="40" t="n">
        <v>-23.54133</v>
      </c>
      <c r="C21759" s="40" t="n">
        <v>-46.578691</v>
      </c>
      <c r="D21759" s="40" t="n">
        <v>648</v>
      </c>
      <c r="E21759" s="41" t="n">
        <v>23167.068</v>
      </c>
    </row>
    <row r="21760">
      <c r="A21760" s="42">
        <f>_xlfn.XLOOKUP(84525,Trip[shape_id],Trip[shape_id],"Não encontrado")</f>
        <v/>
      </c>
      <c r="B21760" s="43" t="n">
        <v>-23.541438</v>
      </c>
      <c r="C21760" s="43" t="n">
        <v>-46.578933</v>
      </c>
      <c r="D21760" s="43" t="n">
        <v>649</v>
      </c>
      <c r="E21760" s="44" t="n">
        <v>23194.521</v>
      </c>
    </row>
    <row r="21761">
      <c r="A21761" s="39">
        <f>_xlfn.XLOOKUP(84525,Trip[shape_id],Trip[shape_id],"Não encontrado")</f>
        <v/>
      </c>
      <c r="B21761" s="40" t="n">
        <v>-23.541618</v>
      </c>
      <c r="C21761" s="40" t="n">
        <v>-46.579386</v>
      </c>
      <c r="D21761" s="40" t="n">
        <v>650</v>
      </c>
      <c r="E21761" s="41" t="n">
        <v>23244.891</v>
      </c>
    </row>
    <row r="21762">
      <c r="A21762" s="42">
        <f>_xlfn.XLOOKUP(84525,Trip[shape_id],Trip[shape_id],"Não encontrado")</f>
        <v/>
      </c>
      <c r="B21762" s="43" t="n">
        <v>-23.541682</v>
      </c>
      <c r="C21762" s="43" t="n">
        <v>-46.579573</v>
      </c>
      <c r="D21762" s="43" t="n">
        <v>651</v>
      </c>
      <c r="E21762" s="44" t="n">
        <v>23265.258</v>
      </c>
    </row>
    <row r="21763">
      <c r="A21763" s="39">
        <f>_xlfn.XLOOKUP(84525,Trip[shape_id],Trip[shape_id],"Não encontrado")</f>
        <v/>
      </c>
      <c r="B21763" s="40" t="n">
        <v>-23.54174</v>
      </c>
      <c r="C21763" s="40" t="n">
        <v>-46.579733</v>
      </c>
      <c r="D21763" s="40" t="n">
        <v>652</v>
      </c>
      <c r="E21763" s="41" t="n">
        <v>23282.813</v>
      </c>
    </row>
    <row r="21764">
      <c r="A21764" s="42">
        <f>_xlfn.XLOOKUP(84525,Trip[shape_id],Trip[shape_id],"Não encontrado")</f>
        <v/>
      </c>
      <c r="B21764" s="43" t="n">
        <v>-23.541799</v>
      </c>
      <c r="C21764" s="43" t="n">
        <v>-46.579933</v>
      </c>
      <c r="D21764" s="43" t="n">
        <v>653</v>
      </c>
      <c r="E21764" s="44" t="n">
        <v>23304.254</v>
      </c>
    </row>
    <row r="21765">
      <c r="A21765" s="39">
        <f>_xlfn.XLOOKUP(84525,Trip[shape_id],Trip[shape_id],"Não encontrado")</f>
        <v/>
      </c>
      <c r="B21765" s="40" t="n">
        <v>-23.541826</v>
      </c>
      <c r="C21765" s="40" t="n">
        <v>-46.580027</v>
      </c>
      <c r="D21765" s="40" t="n">
        <v>654</v>
      </c>
      <c r="E21765" s="41" t="n">
        <v>23314.307</v>
      </c>
    </row>
    <row r="21766">
      <c r="A21766" s="42">
        <f>_xlfn.XLOOKUP(84525,Trip[shape_id],Trip[shape_id],"Não encontrado")</f>
        <v/>
      </c>
      <c r="B21766" s="43" t="n">
        <v>-23.541859</v>
      </c>
      <c r="C21766" s="43" t="n">
        <v>-46.580159</v>
      </c>
      <c r="D21766" s="43" t="n">
        <v>655</v>
      </c>
      <c r="E21766" s="44" t="n">
        <v>23328.271</v>
      </c>
    </row>
    <row r="21767">
      <c r="A21767" s="39">
        <f>_xlfn.XLOOKUP(84525,Trip[shape_id],Trip[shape_id],"Não encontrado")</f>
        <v/>
      </c>
      <c r="B21767" s="40" t="n">
        <v>-23.541907</v>
      </c>
      <c r="C21767" s="40" t="n">
        <v>-46.580371</v>
      </c>
      <c r="D21767" s="40" t="n">
        <v>656</v>
      </c>
      <c r="E21767" s="41" t="n">
        <v>23350.563</v>
      </c>
    </row>
    <row r="21768">
      <c r="A21768" s="42">
        <f>_xlfn.XLOOKUP(84525,Trip[shape_id],Trip[shape_id],"Não encontrado")</f>
        <v/>
      </c>
      <c r="B21768" s="43" t="n">
        <v>-23.541932</v>
      </c>
      <c r="C21768" s="43" t="n">
        <v>-46.580495</v>
      </c>
      <c r="D21768" s="43" t="n">
        <v>657</v>
      </c>
      <c r="E21768" s="44" t="n">
        <v>23363.523</v>
      </c>
    </row>
    <row r="21769">
      <c r="A21769" s="39">
        <f>_xlfn.XLOOKUP(84525,Trip[shape_id],Trip[shape_id],"Não encontrado")</f>
        <v/>
      </c>
      <c r="B21769" s="40" t="n">
        <v>-23.541952</v>
      </c>
      <c r="C21769" s="40" t="n">
        <v>-46.580613</v>
      </c>
      <c r="D21769" s="40" t="n">
        <v>658</v>
      </c>
      <c r="E21769" s="41" t="n">
        <v>23375.773</v>
      </c>
    </row>
    <row r="21770">
      <c r="A21770" s="42">
        <f>_xlfn.XLOOKUP(84525,Trip[shape_id],Trip[shape_id],"Não encontrado")</f>
        <v/>
      </c>
      <c r="B21770" s="43" t="n">
        <v>-23.541971</v>
      </c>
      <c r="C21770" s="43" t="n">
        <v>-46.580706</v>
      </c>
      <c r="D21770" s="43" t="n">
        <v>659</v>
      </c>
      <c r="E21770" s="44" t="n">
        <v>23385.5</v>
      </c>
    </row>
    <row r="21771">
      <c r="A21771" s="39">
        <f>_xlfn.XLOOKUP(84525,Trip[shape_id],Trip[shape_id],"Não encontrado")</f>
        <v/>
      </c>
      <c r="B21771" s="40" t="n">
        <v>-23.542021</v>
      </c>
      <c r="C21771" s="40" t="n">
        <v>-46.580961</v>
      </c>
      <c r="D21771" s="40" t="n">
        <v>660</v>
      </c>
      <c r="E21771" s="41" t="n">
        <v>23412.119</v>
      </c>
    </row>
    <row r="21772">
      <c r="A21772" s="42">
        <f>_xlfn.XLOOKUP(84525,Trip[shape_id],Trip[shape_id],"Não encontrado")</f>
        <v/>
      </c>
      <c r="B21772" s="43" t="n">
        <v>-23.542105</v>
      </c>
      <c r="C21772" s="43" t="n">
        <v>-46.581476</v>
      </c>
      <c r="D21772" s="43" t="n">
        <v>661</v>
      </c>
      <c r="E21772" s="44" t="n">
        <v>23465.521</v>
      </c>
    </row>
    <row r="21773">
      <c r="A21773" s="39">
        <f>_xlfn.XLOOKUP(84525,Trip[shape_id],Trip[shape_id],"Não encontrado")</f>
        <v/>
      </c>
      <c r="B21773" s="40" t="n">
        <v>-23.542175</v>
      </c>
      <c r="C21773" s="40" t="n">
        <v>-46.581917</v>
      </c>
      <c r="D21773" s="40" t="n">
        <v>662</v>
      </c>
      <c r="E21773" s="41" t="n">
        <v>23511.215</v>
      </c>
    </row>
    <row r="21774">
      <c r="A21774" s="42">
        <f>_xlfn.XLOOKUP(84525,Trip[shape_id],Trip[shape_id],"Não encontrado")</f>
        <v/>
      </c>
      <c r="B21774" s="43" t="n">
        <v>-23.542411</v>
      </c>
      <c r="C21774" s="43" t="n">
        <v>-46.583091</v>
      </c>
      <c r="D21774" s="43" t="n">
        <v>663</v>
      </c>
      <c r="E21774" s="44" t="n">
        <v>23633.906</v>
      </c>
    </row>
    <row r="21775">
      <c r="A21775" s="39">
        <f>_xlfn.XLOOKUP(84525,Trip[shape_id],Trip[shape_id],"Não encontrado")</f>
        <v/>
      </c>
      <c r="B21775" s="40" t="n">
        <v>-23.542472</v>
      </c>
      <c r="C21775" s="40" t="n">
        <v>-46.583374</v>
      </c>
      <c r="D21775" s="40" t="n">
        <v>664</v>
      </c>
      <c r="E21775" s="41" t="n">
        <v>23663.582</v>
      </c>
    </row>
    <row r="21776">
      <c r="A21776" s="42">
        <f>_xlfn.XLOOKUP(84525,Trip[shape_id],Trip[shape_id],"Não encontrado")</f>
        <v/>
      </c>
      <c r="B21776" s="43" t="n">
        <v>-23.542502</v>
      </c>
      <c r="C21776" s="43" t="n">
        <v>-46.583534</v>
      </c>
      <c r="D21776" s="43" t="n">
        <v>665</v>
      </c>
      <c r="E21776" s="44" t="n">
        <v>23680.254</v>
      </c>
    </row>
    <row r="21777">
      <c r="A21777" s="39">
        <f>_xlfn.XLOOKUP(84525,Trip[shape_id],Trip[shape_id],"Não encontrado")</f>
        <v/>
      </c>
      <c r="B21777" s="40" t="n">
        <v>-23.543195</v>
      </c>
      <c r="C21777" s="40" t="n">
        <v>-46.587155</v>
      </c>
      <c r="D21777" s="40" t="n">
        <v>666</v>
      </c>
      <c r="E21777" s="41" t="n">
        <v>24057.869</v>
      </c>
    </row>
    <row r="21778">
      <c r="A21778" s="42">
        <f>_xlfn.XLOOKUP(84525,Trip[shape_id],Trip[shape_id],"Não encontrado")</f>
        <v/>
      </c>
      <c r="B21778" s="43" t="n">
        <v>-23.542817</v>
      </c>
      <c r="C21778" s="43" t="n">
        <v>-46.587485</v>
      </c>
      <c r="D21778" s="43" t="n">
        <v>667</v>
      </c>
      <c r="E21778" s="44" t="n">
        <v>24111.609</v>
      </c>
    </row>
    <row r="21779">
      <c r="A21779" s="39">
        <f>_xlfn.XLOOKUP(84525,Trip[shape_id],Trip[shape_id],"Não encontrado")</f>
        <v/>
      </c>
      <c r="B21779" s="40" t="n">
        <v>-23.542804</v>
      </c>
      <c r="C21779" s="40" t="n">
        <v>-46.587533</v>
      </c>
      <c r="D21779" s="40" t="n">
        <v>668</v>
      </c>
      <c r="E21779" s="41" t="n">
        <v>24116.717</v>
      </c>
    </row>
    <row r="21780">
      <c r="A21780" s="42">
        <f>_xlfn.XLOOKUP(84525,Trip[shape_id],Trip[shape_id],"Não encontrado")</f>
        <v/>
      </c>
      <c r="B21780" s="43" t="n">
        <v>-23.542871</v>
      </c>
      <c r="C21780" s="43" t="n">
        <v>-46.587929</v>
      </c>
      <c r="D21780" s="43" t="n">
        <v>669</v>
      </c>
      <c r="E21780" s="44" t="n">
        <v>24157.826</v>
      </c>
    </row>
    <row r="21781">
      <c r="A21781" s="39">
        <f>_xlfn.XLOOKUP(84525,Trip[shape_id],Trip[shape_id],"Não encontrado")</f>
        <v/>
      </c>
      <c r="B21781" s="40" t="n">
        <v>-23.543048</v>
      </c>
      <c r="C21781" s="40" t="n">
        <v>-46.588101</v>
      </c>
      <c r="D21781" s="40" t="n">
        <v>670</v>
      </c>
      <c r="E21781" s="41" t="n">
        <v>24184.146</v>
      </c>
    </row>
    <row r="21782">
      <c r="A21782" s="42">
        <f>_xlfn.XLOOKUP(84525,Trip[shape_id],Trip[shape_id],"Não encontrado")</f>
        <v/>
      </c>
      <c r="B21782" s="43" t="n">
        <v>-23.543061</v>
      </c>
      <c r="C21782" s="43" t="n">
        <v>-46.588111</v>
      </c>
      <c r="D21782" s="43" t="n">
        <v>671</v>
      </c>
      <c r="E21782" s="44" t="n">
        <v>24185.91</v>
      </c>
    </row>
    <row r="21783">
      <c r="A21783" s="39">
        <f>_xlfn.XLOOKUP(84525,Trip[shape_id],Trip[shape_id],"Não encontrado")</f>
        <v/>
      </c>
      <c r="B21783" s="40" t="n">
        <v>-23.543076</v>
      </c>
      <c r="C21783" s="40" t="n">
        <v>-46.588127</v>
      </c>
      <c r="D21783" s="40" t="n">
        <v>672</v>
      </c>
      <c r="E21783" s="41" t="n">
        <v>24188.238</v>
      </c>
    </row>
    <row r="21784">
      <c r="A21784" s="42">
        <f>_xlfn.XLOOKUP(84525,Trip[shape_id],Trip[shape_id],"Não encontrado")</f>
        <v/>
      </c>
      <c r="B21784" s="43" t="n">
        <v>-23.543084</v>
      </c>
      <c r="C21784" s="43" t="n">
        <v>-46.588149</v>
      </c>
      <c r="D21784" s="43" t="n">
        <v>673</v>
      </c>
      <c r="E21784" s="44" t="n">
        <v>24190.652</v>
      </c>
    </row>
    <row r="21785">
      <c r="A21785" s="39">
        <f>_xlfn.XLOOKUP(84525,Trip[shape_id],Trip[shape_id],"Não encontrado")</f>
        <v/>
      </c>
      <c r="B21785" s="40" t="n">
        <v>-23.54315</v>
      </c>
      <c r="C21785" s="40" t="n">
        <v>-46.588465</v>
      </c>
      <c r="D21785" s="40" t="n">
        <v>674</v>
      </c>
      <c r="E21785" s="41" t="n">
        <v>24223.736</v>
      </c>
    </row>
    <row r="21786">
      <c r="A21786" s="42">
        <f>_xlfn.XLOOKUP(84525,Trip[shape_id],Trip[shape_id],"Não encontrado")</f>
        <v/>
      </c>
      <c r="B21786" s="43" t="n">
        <v>-23.543167</v>
      </c>
      <c r="C21786" s="43" t="n">
        <v>-46.588547</v>
      </c>
      <c r="D21786" s="43" t="n">
        <v>675</v>
      </c>
      <c r="E21786" s="44" t="n">
        <v>24232.318</v>
      </c>
    </row>
    <row r="21787">
      <c r="A21787" s="39">
        <f>_xlfn.XLOOKUP(84525,Trip[shape_id],Trip[shape_id],"Não encontrado")</f>
        <v/>
      </c>
      <c r="B21787" s="40" t="n">
        <v>-23.543268</v>
      </c>
      <c r="C21787" s="40" t="n">
        <v>-46.589046</v>
      </c>
      <c r="D21787" s="40" t="n">
        <v>676</v>
      </c>
      <c r="E21787" s="41" t="n">
        <v>24284.484</v>
      </c>
    </row>
    <row r="21788">
      <c r="A21788" s="42">
        <f>_xlfn.XLOOKUP(84525,Trip[shape_id],Trip[shape_id],"Não encontrado")</f>
        <v/>
      </c>
      <c r="B21788" s="43" t="n">
        <v>-23.54332</v>
      </c>
      <c r="C21788" s="43" t="n">
        <v>-46.589362</v>
      </c>
      <c r="D21788" s="43" t="n">
        <v>677</v>
      </c>
      <c r="E21788" s="44" t="n">
        <v>24317.26</v>
      </c>
    </row>
    <row r="21789">
      <c r="A21789" s="39">
        <f>_xlfn.XLOOKUP(84525,Trip[shape_id],Trip[shape_id],"Não encontrado")</f>
        <v/>
      </c>
      <c r="B21789" s="40" t="n">
        <v>-23.543376</v>
      </c>
      <c r="C21789" s="40" t="n">
        <v>-46.589694</v>
      </c>
      <c r="D21789" s="40" t="n">
        <v>678</v>
      </c>
      <c r="E21789" s="41" t="n">
        <v>24351.723</v>
      </c>
    </row>
    <row r="21790">
      <c r="A21790" s="42">
        <f>_xlfn.XLOOKUP(84525,Trip[shape_id],Trip[shape_id],"Não encontrado")</f>
        <v/>
      </c>
      <c r="B21790" s="43" t="n">
        <v>-23.543428</v>
      </c>
      <c r="C21790" s="43" t="n">
        <v>-46.590087</v>
      </c>
      <c r="D21790" s="43" t="n">
        <v>679</v>
      </c>
      <c r="E21790" s="44" t="n">
        <v>24392.262</v>
      </c>
    </row>
    <row r="21791">
      <c r="A21791" s="39">
        <f>_xlfn.XLOOKUP(84525,Trip[shape_id],Trip[shape_id],"Não encontrado")</f>
        <v/>
      </c>
      <c r="B21791" s="40" t="n">
        <v>-23.543735</v>
      </c>
      <c r="C21791" s="40" t="n">
        <v>-46.591638</v>
      </c>
      <c r="D21791" s="40" t="n">
        <v>680</v>
      </c>
      <c r="E21791" s="41" t="n">
        <v>24554.238</v>
      </c>
    </row>
    <row r="21792">
      <c r="A21792" s="42">
        <f>_xlfn.XLOOKUP(84525,Trip[shape_id],Trip[shape_id],"Não encontrado")</f>
        <v/>
      </c>
      <c r="B21792" s="43" t="n">
        <v>-23.543846</v>
      </c>
      <c r="C21792" s="43" t="n">
        <v>-46.592206</v>
      </c>
      <c r="D21792" s="43" t="n">
        <v>681</v>
      </c>
      <c r="E21792" s="44" t="n">
        <v>24613.523</v>
      </c>
    </row>
    <row r="21793">
      <c r="A21793" s="39">
        <f>_xlfn.XLOOKUP(84525,Trip[shape_id],Trip[shape_id],"Não encontrado")</f>
        <v/>
      </c>
      <c r="B21793" s="40" t="n">
        <v>-23.543904</v>
      </c>
      <c r="C21793" s="40" t="n">
        <v>-46.592511</v>
      </c>
      <c r="D21793" s="40" t="n">
        <v>682</v>
      </c>
      <c r="E21793" s="41" t="n">
        <v>24645.322</v>
      </c>
    </row>
    <row r="21794">
      <c r="A21794" s="42">
        <f>_xlfn.XLOOKUP(84525,Trip[shape_id],Trip[shape_id],"Não encontrado")</f>
        <v/>
      </c>
      <c r="B21794" s="43" t="n">
        <v>-23.543936</v>
      </c>
      <c r="C21794" s="43" t="n">
        <v>-46.592618</v>
      </c>
      <c r="D21794" s="43" t="n">
        <v>683</v>
      </c>
      <c r="E21794" s="44" t="n">
        <v>24656.809</v>
      </c>
    </row>
    <row r="21795">
      <c r="A21795" s="39">
        <f>_xlfn.XLOOKUP(84525,Trip[shape_id],Trip[shape_id],"Não encontrado")</f>
        <v/>
      </c>
      <c r="B21795" s="40" t="n">
        <v>-23.543986</v>
      </c>
      <c r="C21795" s="40" t="n">
        <v>-46.592726</v>
      </c>
      <c r="D21795" s="40" t="n">
        <v>684</v>
      </c>
      <c r="E21795" s="41" t="n">
        <v>24669.148</v>
      </c>
    </row>
    <row r="21796">
      <c r="A21796" s="42">
        <f>_xlfn.XLOOKUP(84525,Trip[shape_id],Trip[shape_id],"Não encontrado")</f>
        <v/>
      </c>
      <c r="B21796" s="43" t="n">
        <v>-23.544122</v>
      </c>
      <c r="C21796" s="43" t="n">
        <v>-46.593019</v>
      </c>
      <c r="D21796" s="43" t="n">
        <v>685</v>
      </c>
      <c r="E21796" s="44" t="n">
        <v>24702.643</v>
      </c>
    </row>
    <row r="21797">
      <c r="A21797" s="39">
        <f>_xlfn.XLOOKUP(84525,Trip[shape_id],Trip[shape_id],"Não encontrado")</f>
        <v/>
      </c>
      <c r="B21797" s="40" t="n">
        <v>-23.544212</v>
      </c>
      <c r="C21797" s="40" t="n">
        <v>-46.593216</v>
      </c>
      <c r="D21797" s="40" t="n">
        <v>686</v>
      </c>
      <c r="E21797" s="41" t="n">
        <v>24725.092</v>
      </c>
    </row>
    <row r="21798">
      <c r="A21798" s="42">
        <f>_xlfn.XLOOKUP(84525,Trip[shape_id],Trip[shape_id],"Não encontrado")</f>
        <v/>
      </c>
      <c r="B21798" s="43" t="n">
        <v>-23.544257</v>
      </c>
      <c r="C21798" s="43" t="n">
        <v>-46.593306</v>
      </c>
      <c r="D21798" s="43" t="n">
        <v>687</v>
      </c>
      <c r="E21798" s="44" t="n">
        <v>24735.545</v>
      </c>
    </row>
    <row r="21799">
      <c r="A21799" s="39">
        <f>_xlfn.XLOOKUP(84525,Trip[shape_id],Trip[shape_id],"Não encontrado")</f>
        <v/>
      </c>
      <c r="B21799" s="40" t="n">
        <v>-23.544349</v>
      </c>
      <c r="C21799" s="40" t="n">
        <v>-46.593542</v>
      </c>
      <c r="D21799" s="40" t="n">
        <v>688</v>
      </c>
      <c r="E21799" s="41" t="n">
        <v>24761.707</v>
      </c>
    </row>
    <row r="21800">
      <c r="A21800" s="42">
        <f>_xlfn.XLOOKUP(84525,Trip[shape_id],Trip[shape_id],"Não encontrado")</f>
        <v/>
      </c>
      <c r="B21800" s="43" t="n">
        <v>-23.544403</v>
      </c>
      <c r="C21800" s="43" t="n">
        <v>-46.593713</v>
      </c>
      <c r="D21800" s="43" t="n">
        <v>689</v>
      </c>
      <c r="E21800" s="44" t="n">
        <v>24780.164</v>
      </c>
    </row>
    <row r="21801">
      <c r="A21801" s="39">
        <f>_xlfn.XLOOKUP(84525,Trip[shape_id],Trip[shape_id],"Não encontrado")</f>
        <v/>
      </c>
      <c r="B21801" s="40" t="n">
        <v>-23.544612</v>
      </c>
      <c r="C21801" s="40" t="n">
        <v>-46.59474</v>
      </c>
      <c r="D21801" s="40" t="n">
        <v>690</v>
      </c>
      <c r="E21801" s="41" t="n">
        <v>24887.553</v>
      </c>
    </row>
    <row r="21802">
      <c r="A21802" s="42">
        <f>_xlfn.XLOOKUP(84525,Trip[shape_id],Trip[shape_id],"Não encontrado")</f>
        <v/>
      </c>
      <c r="B21802" s="43" t="n">
        <v>-23.544796</v>
      </c>
      <c r="C21802" s="43" t="n">
        <v>-46.595635</v>
      </c>
      <c r="D21802" s="43" t="n">
        <v>691</v>
      </c>
      <c r="E21802" s="44" t="n">
        <v>24981.184</v>
      </c>
    </row>
    <row r="21803">
      <c r="A21803" s="39">
        <f>_xlfn.XLOOKUP(84525,Trip[shape_id],Trip[shape_id],"Não encontrado")</f>
        <v/>
      </c>
      <c r="B21803" s="40" t="n">
        <v>-23.544899</v>
      </c>
      <c r="C21803" s="40" t="n">
        <v>-46.596371</v>
      </c>
      <c r="D21803" s="40" t="n">
        <v>692</v>
      </c>
      <c r="E21803" s="41" t="n">
        <v>25057.195</v>
      </c>
    </row>
    <row r="21804">
      <c r="A21804" s="42">
        <f>_xlfn.XLOOKUP(84525,Trip[shape_id],Trip[shape_id],"Não encontrado")</f>
        <v/>
      </c>
      <c r="B21804" s="43" t="n">
        <v>-23.544923</v>
      </c>
      <c r="C21804" s="43" t="n">
        <v>-46.596589</v>
      </c>
      <c r="D21804" s="43" t="n">
        <v>693</v>
      </c>
      <c r="E21804" s="44" t="n">
        <v>25079.613</v>
      </c>
    </row>
    <row r="21805">
      <c r="A21805" s="39">
        <f>_xlfn.XLOOKUP(84525,Trip[shape_id],Trip[shape_id],"Não encontrado")</f>
        <v/>
      </c>
      <c r="B21805" s="40" t="n">
        <v>-23.54507</v>
      </c>
      <c r="C21805" s="40" t="n">
        <v>-46.596919</v>
      </c>
      <c r="D21805" s="40" t="n">
        <v>694</v>
      </c>
      <c r="E21805" s="41" t="n">
        <v>25117.035</v>
      </c>
    </row>
    <row r="21806">
      <c r="A21806" s="42">
        <f>_xlfn.XLOOKUP(84525,Trip[shape_id],Trip[shape_id],"Não encontrado")</f>
        <v/>
      </c>
      <c r="B21806" s="43" t="n">
        <v>-23.54511</v>
      </c>
      <c r="C21806" s="43" t="n">
        <v>-46.597079</v>
      </c>
      <c r="D21806" s="43" t="n">
        <v>695</v>
      </c>
      <c r="E21806" s="44" t="n">
        <v>25133.963</v>
      </c>
    </row>
    <row r="21807">
      <c r="A21807" s="39">
        <f>_xlfn.XLOOKUP(84525,Trip[shape_id],Trip[shape_id],"Não encontrado")</f>
        <v/>
      </c>
      <c r="B21807" s="40" t="n">
        <v>-23.545395</v>
      </c>
      <c r="C21807" s="40" t="n">
        <v>-46.598043</v>
      </c>
      <c r="D21807" s="40" t="n">
        <v>696</v>
      </c>
      <c r="E21807" s="41" t="n">
        <v>25237.33</v>
      </c>
    </row>
    <row r="21808">
      <c r="A21808" s="42">
        <f>_xlfn.XLOOKUP(84525,Trip[shape_id],Trip[shape_id],"Não encontrado")</f>
        <v/>
      </c>
      <c r="B21808" s="43" t="n">
        <v>-23.545452</v>
      </c>
      <c r="C21808" s="43" t="n">
        <v>-46.598185</v>
      </c>
      <c r="D21808" s="43" t="n">
        <v>697</v>
      </c>
      <c r="E21808" s="44" t="n">
        <v>25253.145</v>
      </c>
    </row>
    <row r="21809">
      <c r="A21809" s="39">
        <f>_xlfn.XLOOKUP(84525,Trip[shape_id],Trip[shape_id],"Não encontrado")</f>
        <v/>
      </c>
      <c r="B21809" s="40" t="n">
        <v>-23.5457</v>
      </c>
      <c r="C21809" s="40" t="n">
        <v>-46.598827</v>
      </c>
      <c r="D21809" s="40" t="n">
        <v>698</v>
      </c>
      <c r="E21809" s="41" t="n">
        <v>25324.219</v>
      </c>
    </row>
    <row r="21810">
      <c r="A21810" s="42">
        <f>_xlfn.XLOOKUP(84525,Trip[shape_id],Trip[shape_id],"Não encontrado")</f>
        <v/>
      </c>
      <c r="B21810" s="43" t="n">
        <v>-23.545947</v>
      </c>
      <c r="C21810" s="43" t="n">
        <v>-46.599248</v>
      </c>
      <c r="D21810" s="43" t="n">
        <v>699</v>
      </c>
      <c r="E21810" s="44" t="n">
        <v>25402.582</v>
      </c>
    </row>
    <row r="21811">
      <c r="A21811" s="39">
        <f>_xlfn.XLOOKUP(84525,Trip[shape_id],Trip[shape_id],"Não encontrado")</f>
        <v/>
      </c>
      <c r="B21811" s="40" t="n">
        <v>-23.546082</v>
      </c>
      <c r="C21811" s="40" t="n">
        <v>-46.599473</v>
      </c>
      <c r="D21811" s="40" t="n">
        <v>700</v>
      </c>
      <c r="E21811" s="41" t="n">
        <v>25402.582</v>
      </c>
    </row>
    <row r="21812">
      <c r="A21812" s="42">
        <f>_xlfn.XLOOKUP(84525,Trip[shape_id],Trip[shape_id],"Não encontrado")</f>
        <v/>
      </c>
      <c r="B21812" s="43" t="n">
        <v>-23.5466</v>
      </c>
      <c r="C21812" s="43" t="n">
        <v>-46.600388</v>
      </c>
      <c r="D21812" s="43" t="n">
        <v>701</v>
      </c>
      <c r="E21812" s="44" t="n">
        <v>25512.217</v>
      </c>
    </row>
    <row r="21813">
      <c r="A21813" s="39">
        <f>_xlfn.XLOOKUP(84525,Trip[shape_id],Trip[shape_id],"Não encontrado")</f>
        <v/>
      </c>
      <c r="B21813" s="40" t="n">
        <v>-23.546795</v>
      </c>
      <c r="C21813" s="40" t="n">
        <v>-46.600741</v>
      </c>
      <c r="D21813" s="40" t="n">
        <v>702</v>
      </c>
      <c r="E21813" s="41" t="n">
        <v>25554.234</v>
      </c>
    </row>
    <row r="21814">
      <c r="A21814" s="42">
        <f>_xlfn.XLOOKUP(84525,Trip[shape_id],Trip[shape_id],"Não encontrado")</f>
        <v/>
      </c>
      <c r="B21814" s="43" t="n">
        <v>-23.546911</v>
      </c>
      <c r="C21814" s="43" t="n">
        <v>-46.600962</v>
      </c>
      <c r="D21814" s="43" t="n">
        <v>703</v>
      </c>
      <c r="E21814" s="44" t="n">
        <v>25580.201</v>
      </c>
    </row>
    <row r="21815">
      <c r="A21815" s="39">
        <f>_xlfn.XLOOKUP(84525,Trip[shape_id],Trip[shape_id],"Não encontrado")</f>
        <v/>
      </c>
      <c r="B21815" s="40" t="n">
        <v>-23.547068</v>
      </c>
      <c r="C21815" s="40" t="n">
        <v>-46.601249</v>
      </c>
      <c r="D21815" s="40" t="n">
        <v>704</v>
      </c>
      <c r="E21815" s="41" t="n">
        <v>25693.434</v>
      </c>
    </row>
    <row r="21816">
      <c r="A21816" s="42">
        <f>_xlfn.XLOOKUP(84525,Trip[shape_id],Trip[shape_id],"Não encontrado")</f>
        <v/>
      </c>
      <c r="B21816" s="43" t="n">
        <v>-23.547443</v>
      </c>
      <c r="C21816" s="43" t="n">
        <v>-46.601909</v>
      </c>
      <c r="D21816" s="43" t="n">
        <v>705</v>
      </c>
      <c r="E21816" s="44" t="n">
        <v>25693.434</v>
      </c>
    </row>
    <row r="21817">
      <c r="A21817" s="39">
        <f>_xlfn.XLOOKUP(84525,Trip[shape_id],Trip[shape_id],"Não encontrado")</f>
        <v/>
      </c>
      <c r="B21817" s="40" t="n">
        <v>-23.547849</v>
      </c>
      <c r="C21817" s="40" t="n">
        <v>-46.602638</v>
      </c>
      <c r="D21817" s="40" t="n">
        <v>706</v>
      </c>
      <c r="E21817" s="41" t="n">
        <v>25797.734</v>
      </c>
    </row>
    <row r="21818">
      <c r="A21818" s="42">
        <f>_xlfn.XLOOKUP(84525,Trip[shape_id],Trip[shape_id],"Não encontrado")</f>
        <v/>
      </c>
      <c r="B21818" s="43" t="n">
        <v>-23.547932</v>
      </c>
      <c r="C21818" s="43" t="n">
        <v>-46.602782</v>
      </c>
      <c r="D21818" s="43" t="n">
        <v>707</v>
      </c>
      <c r="E21818" s="44" t="n">
        <v>25797.734</v>
      </c>
    </row>
    <row r="21819">
      <c r="A21819" s="39">
        <f>_xlfn.XLOOKUP(84525,Trip[shape_id],Trip[shape_id],"Não encontrado")</f>
        <v/>
      </c>
      <c r="B21819" s="40" t="n">
        <v>-23.547974</v>
      </c>
      <c r="C21819" s="40" t="n">
        <v>-46.602842</v>
      </c>
      <c r="D21819" s="40" t="n">
        <v>708</v>
      </c>
      <c r="E21819" s="41" t="n">
        <v>25805.426</v>
      </c>
    </row>
    <row r="21820">
      <c r="A21820" s="42">
        <f>_xlfn.XLOOKUP(84525,Trip[shape_id],Trip[shape_id],"Não encontrado")</f>
        <v/>
      </c>
      <c r="B21820" s="43" t="n">
        <v>-23.548153</v>
      </c>
      <c r="C21820" s="43" t="n">
        <v>-46.603117</v>
      </c>
      <c r="D21820" s="43" t="n">
        <v>709</v>
      </c>
      <c r="E21820" s="44" t="n">
        <v>25839.797</v>
      </c>
    </row>
    <row r="21821">
      <c r="A21821" s="39">
        <f>_xlfn.XLOOKUP(84525,Trip[shape_id],Trip[shape_id],"Não encontrado")</f>
        <v/>
      </c>
      <c r="B21821" s="40" t="n">
        <v>-23.54878</v>
      </c>
      <c r="C21821" s="40" t="n">
        <v>-46.604231</v>
      </c>
      <c r="D21821" s="40" t="n">
        <v>710</v>
      </c>
      <c r="E21821" s="41" t="n">
        <v>25973.063</v>
      </c>
    </row>
    <row r="21822">
      <c r="A21822" s="42">
        <f>_xlfn.XLOOKUP(84525,Trip[shape_id],Trip[shape_id],"Não encontrado")</f>
        <v/>
      </c>
      <c r="B21822" s="43" t="n">
        <v>-23.549094</v>
      </c>
      <c r="C21822" s="43" t="n">
        <v>-46.604785</v>
      </c>
      <c r="D21822" s="43" t="n">
        <v>711</v>
      </c>
      <c r="E21822" s="44" t="n">
        <v>26039.463</v>
      </c>
    </row>
    <row r="21823">
      <c r="A21823" s="39">
        <f>_xlfn.XLOOKUP(84525,Trip[shape_id],Trip[shape_id],"Não encontrado")</f>
        <v/>
      </c>
      <c r="B21823" s="40" t="n">
        <v>-23.54948</v>
      </c>
      <c r="C21823" s="40" t="n">
        <v>-46.605483</v>
      </c>
      <c r="D21823" s="40" t="n">
        <v>712</v>
      </c>
      <c r="E21823" s="41" t="n">
        <v>26122.57</v>
      </c>
    </row>
    <row r="21824">
      <c r="A21824" s="42">
        <f>_xlfn.XLOOKUP(84525,Trip[shape_id],Trip[shape_id],"Não encontrado")</f>
        <v/>
      </c>
      <c r="B21824" s="43" t="n">
        <v>-23.550223</v>
      </c>
      <c r="C21824" s="43" t="n">
        <v>-46.606871</v>
      </c>
      <c r="D21824" s="43" t="n">
        <v>713</v>
      </c>
      <c r="E21824" s="44" t="n">
        <v>26286.447</v>
      </c>
    </row>
    <row r="21825">
      <c r="A21825" s="39">
        <f>_xlfn.XLOOKUP(84525,Trip[shape_id],Trip[shape_id],"Não encontrado")</f>
        <v/>
      </c>
      <c r="B21825" s="40" t="n">
        <v>-23.550531</v>
      </c>
      <c r="C21825" s="40" t="n">
        <v>-46.607449</v>
      </c>
      <c r="D21825" s="40" t="n">
        <v>714</v>
      </c>
      <c r="E21825" s="41" t="n">
        <v>26354.611</v>
      </c>
    </row>
    <row r="21826">
      <c r="A21826" s="42">
        <f>_xlfn.XLOOKUP(84525,Trip[shape_id],Trip[shape_id],"Não encontrado")</f>
        <v/>
      </c>
      <c r="B21826" s="43" t="n">
        <v>-23.551239</v>
      </c>
      <c r="C21826" s="43" t="n">
        <v>-46.608757</v>
      </c>
      <c r="D21826" s="43" t="n">
        <v>715</v>
      </c>
      <c r="E21826" s="44" t="n">
        <v>26509.479</v>
      </c>
    </row>
    <row r="21827">
      <c r="A21827" s="39">
        <f>_xlfn.XLOOKUP(84525,Trip[shape_id],Trip[shape_id],"Não encontrado")</f>
        <v/>
      </c>
      <c r="B21827" s="40" t="n">
        <v>-23.551476</v>
      </c>
      <c r="C21827" s="40" t="n">
        <v>-46.609187</v>
      </c>
      <c r="D21827" s="40" t="n">
        <v>716</v>
      </c>
      <c r="E21827" s="41" t="n">
        <v>26560.631</v>
      </c>
    </row>
    <row r="21828">
      <c r="A21828" s="42">
        <f>_xlfn.XLOOKUP(84525,Trip[shape_id],Trip[shape_id],"Não encontrado")</f>
        <v/>
      </c>
      <c r="B21828" s="43" t="n">
        <v>-23.551945</v>
      </c>
      <c r="C21828" s="43" t="n">
        <v>-46.610027</v>
      </c>
      <c r="D21828" s="43" t="n">
        <v>717</v>
      </c>
      <c r="E21828" s="44" t="n">
        <v>26660.898</v>
      </c>
    </row>
    <row r="21829">
      <c r="A21829" s="39">
        <f>_xlfn.XLOOKUP(84525,Trip[shape_id],Trip[shape_id],"Não encontrado")</f>
        <v/>
      </c>
      <c r="B21829" s="40" t="n">
        <v>-23.552189</v>
      </c>
      <c r="C21829" s="40" t="n">
        <v>-46.610521</v>
      </c>
      <c r="D21829" s="40" t="n">
        <v>718</v>
      </c>
      <c r="E21829" s="41" t="n">
        <v>26718.119</v>
      </c>
    </row>
    <row r="21830">
      <c r="A21830" s="42">
        <f>_xlfn.XLOOKUP(84525,Trip[shape_id],Trip[shape_id],"Não encontrado")</f>
        <v/>
      </c>
      <c r="B21830" s="43" t="n">
        <v>-23.55228</v>
      </c>
      <c r="C21830" s="43" t="n">
        <v>-46.610722</v>
      </c>
      <c r="D21830" s="43" t="n">
        <v>719</v>
      </c>
      <c r="E21830" s="44" t="n">
        <v>26740.982</v>
      </c>
    </row>
    <row r="21831">
      <c r="A21831" s="39">
        <f>_xlfn.XLOOKUP(84525,Trip[shape_id],Trip[shape_id],"Não encontrado")</f>
        <v/>
      </c>
      <c r="B21831" s="40" t="n">
        <v>-23.552367</v>
      </c>
      <c r="C21831" s="40" t="n">
        <v>-46.610904</v>
      </c>
      <c r="D21831" s="40" t="n">
        <v>720</v>
      </c>
      <c r="E21831" s="41" t="n">
        <v>26761.914</v>
      </c>
    </row>
    <row r="21832">
      <c r="A21832" s="42">
        <f>_xlfn.XLOOKUP(84525,Trip[shape_id],Trip[shape_id],"Não encontrado")</f>
        <v/>
      </c>
      <c r="B21832" s="43" t="n">
        <v>-23.552416</v>
      </c>
      <c r="C21832" s="43" t="n">
        <v>-46.611026</v>
      </c>
      <c r="D21832" s="43" t="n">
        <v>721</v>
      </c>
      <c r="E21832" s="44" t="n">
        <v>26775.502</v>
      </c>
    </row>
    <row r="21833">
      <c r="A21833" s="39">
        <f>_xlfn.XLOOKUP(84525,Trip[shape_id],Trip[shape_id],"Não encontrado")</f>
        <v/>
      </c>
      <c r="B21833" s="40" t="n">
        <v>-23.552508</v>
      </c>
      <c r="C21833" s="40" t="n">
        <v>-46.61127</v>
      </c>
      <c r="D21833" s="40" t="n">
        <v>722</v>
      </c>
      <c r="E21833" s="41" t="n">
        <v>26802.418</v>
      </c>
    </row>
    <row r="21834">
      <c r="A21834" s="42">
        <f>_xlfn.XLOOKUP(84525,Trip[shape_id],Trip[shape_id],"Não encontrado")</f>
        <v/>
      </c>
      <c r="B21834" s="43" t="n">
        <v>-23.552543</v>
      </c>
      <c r="C21834" s="43" t="n">
        <v>-46.611385</v>
      </c>
      <c r="D21834" s="43" t="n">
        <v>723</v>
      </c>
      <c r="E21834" s="44" t="n">
        <v>26814.783</v>
      </c>
    </row>
    <row r="21835">
      <c r="A21835" s="39">
        <f>_xlfn.XLOOKUP(84525,Trip[shape_id],Trip[shape_id],"Não encontrado")</f>
        <v/>
      </c>
      <c r="B21835" s="40" t="n">
        <v>-23.552725</v>
      </c>
      <c r="C21835" s="40" t="n">
        <v>-46.612012</v>
      </c>
      <c r="D21835" s="40" t="n">
        <v>724</v>
      </c>
      <c r="E21835" s="41" t="n">
        <v>26881.898</v>
      </c>
    </row>
    <row r="21836">
      <c r="A21836" s="42">
        <f>_xlfn.XLOOKUP(84525,Trip[shape_id],Trip[shape_id],"Não encontrado")</f>
        <v/>
      </c>
      <c r="B21836" s="43" t="n">
        <v>-23.552767</v>
      </c>
      <c r="C21836" s="43" t="n">
        <v>-46.612164</v>
      </c>
      <c r="D21836" s="43" t="n">
        <v>725</v>
      </c>
      <c r="E21836" s="44" t="n">
        <v>26898.1</v>
      </c>
    </row>
    <row r="21837">
      <c r="A21837" s="39">
        <f>_xlfn.XLOOKUP(84525,Trip[shape_id],Trip[shape_id],"Não encontrado")</f>
        <v/>
      </c>
      <c r="B21837" s="40" t="n">
        <v>-23.55281</v>
      </c>
      <c r="C21837" s="40" t="n">
        <v>-46.612336</v>
      </c>
      <c r="D21837" s="40" t="n">
        <v>726</v>
      </c>
      <c r="E21837" s="41" t="n">
        <v>26916.295</v>
      </c>
    </row>
    <row r="21838">
      <c r="A21838" s="42">
        <f>_xlfn.XLOOKUP(84525,Trip[shape_id],Trip[shape_id],"Não encontrado")</f>
        <v/>
      </c>
      <c r="B21838" s="43" t="n">
        <v>-23.552834</v>
      </c>
      <c r="C21838" s="43" t="n">
        <v>-46.612444</v>
      </c>
      <c r="D21838" s="43" t="n">
        <v>727</v>
      </c>
      <c r="E21838" s="44" t="n">
        <v>26927.639</v>
      </c>
    </row>
    <row r="21839">
      <c r="A21839" s="39">
        <f>_xlfn.XLOOKUP(84525,Trip[shape_id],Trip[shape_id],"Não encontrado")</f>
        <v/>
      </c>
      <c r="B21839" s="40" t="n">
        <v>-23.552827</v>
      </c>
      <c r="C21839" s="40" t="n">
        <v>-46.613458</v>
      </c>
      <c r="D21839" s="40" t="n">
        <v>728</v>
      </c>
      <c r="E21839" s="41" t="n">
        <v>27031.172</v>
      </c>
    </row>
    <row r="21840">
      <c r="A21840" s="42">
        <f>_xlfn.XLOOKUP(84525,Trip[shape_id],Trip[shape_id],"Não encontrado")</f>
        <v/>
      </c>
      <c r="B21840" s="43" t="n">
        <v>-23.552789</v>
      </c>
      <c r="C21840" s="43" t="n">
        <v>-46.613589</v>
      </c>
      <c r="D21840" s="43" t="n">
        <v>729</v>
      </c>
      <c r="E21840" s="44" t="n">
        <v>27055.775</v>
      </c>
    </row>
    <row r="21841">
      <c r="A21841" s="39">
        <f>_xlfn.XLOOKUP(84525,Trip[shape_id],Trip[shape_id],"Não encontrado")</f>
        <v/>
      </c>
      <c r="B21841" s="40" t="n">
        <v>-23.552745</v>
      </c>
      <c r="C21841" s="40" t="n">
        <v>-46.613681</v>
      </c>
      <c r="D21841" s="40" t="n">
        <v>730</v>
      </c>
      <c r="E21841" s="41" t="n">
        <v>27055.775</v>
      </c>
    </row>
    <row r="21842">
      <c r="A21842" s="42">
        <f>_xlfn.XLOOKUP(84525,Trip[shape_id],Trip[shape_id],"Não encontrado")</f>
        <v/>
      </c>
      <c r="B21842" s="43" t="n">
        <v>-23.552702</v>
      </c>
      <c r="C21842" s="43" t="n">
        <v>-46.614196</v>
      </c>
      <c r="D21842" s="43" t="n">
        <v>731</v>
      </c>
      <c r="E21842" s="44" t="n">
        <v>27108.572</v>
      </c>
    </row>
    <row r="21843">
      <c r="A21843" s="39">
        <f>_xlfn.XLOOKUP(84525,Trip[shape_id],Trip[shape_id],"Não encontrado")</f>
        <v/>
      </c>
      <c r="B21843" s="40" t="n">
        <v>-23.552683</v>
      </c>
      <c r="C21843" s="40" t="n">
        <v>-46.614832</v>
      </c>
      <c r="D21843" s="40" t="n">
        <v>732</v>
      </c>
      <c r="E21843" s="41" t="n">
        <v>27173.543</v>
      </c>
    </row>
    <row r="21844">
      <c r="A21844" s="42">
        <f>_xlfn.XLOOKUP(84525,Trip[shape_id],Trip[shape_id],"Não encontrado")</f>
        <v/>
      </c>
      <c r="B21844" s="43" t="n">
        <v>-23.552659</v>
      </c>
      <c r="C21844" s="43" t="n">
        <v>-46.615121</v>
      </c>
      <c r="D21844" s="43" t="n">
        <v>733</v>
      </c>
      <c r="E21844" s="44" t="n">
        <v>27203.17</v>
      </c>
    </row>
    <row r="21845">
      <c r="A21845" s="39">
        <f>_xlfn.XLOOKUP(84525,Trip[shape_id],Trip[shape_id],"Não encontrado")</f>
        <v/>
      </c>
      <c r="B21845" s="40" t="n">
        <v>-23.552595</v>
      </c>
      <c r="C21845" s="40" t="n">
        <v>-46.615819</v>
      </c>
      <c r="D21845" s="40" t="n">
        <v>734</v>
      </c>
      <c r="E21845" s="41" t="n">
        <v>27274.787</v>
      </c>
    </row>
    <row r="21846">
      <c r="A21846" s="42">
        <f>_xlfn.XLOOKUP(84525,Trip[shape_id],Trip[shape_id],"Não encontrado")</f>
        <v/>
      </c>
      <c r="B21846" s="43" t="n">
        <v>-23.552568</v>
      </c>
      <c r="C21846" s="43" t="n">
        <v>-46.616062</v>
      </c>
      <c r="D21846" s="43" t="n">
        <v>735</v>
      </c>
      <c r="E21846" s="44" t="n">
        <v>27299.777</v>
      </c>
    </row>
    <row r="21847">
      <c r="A21847" s="39">
        <f>_xlfn.XLOOKUP(84525,Trip[shape_id],Trip[shape_id],"Não encontrado")</f>
        <v/>
      </c>
      <c r="B21847" s="40" t="n">
        <v>-23.552486</v>
      </c>
      <c r="C21847" s="40" t="n">
        <v>-46.6169</v>
      </c>
      <c r="D21847" s="40" t="n">
        <v>736</v>
      </c>
      <c r="E21847" s="41" t="n">
        <v>27470.348</v>
      </c>
    </row>
    <row r="21848">
      <c r="A21848" s="42">
        <f>_xlfn.XLOOKUP(84525,Trip[shape_id],Trip[shape_id],"Não encontrado")</f>
        <v/>
      </c>
      <c r="B21848" s="43" t="n">
        <v>-23.552403</v>
      </c>
      <c r="C21848" s="43" t="n">
        <v>-46.617723</v>
      </c>
      <c r="D21848" s="43" t="n">
        <v>737</v>
      </c>
      <c r="E21848" s="44" t="n">
        <v>27522.127</v>
      </c>
    </row>
    <row r="21849">
      <c r="A21849" s="39">
        <f>_xlfn.XLOOKUP(84525,Trip[shape_id],Trip[shape_id],"Não encontrado")</f>
        <v/>
      </c>
      <c r="B21849" s="40" t="n">
        <v>-23.552351</v>
      </c>
      <c r="C21849" s="40" t="n">
        <v>-46.618227</v>
      </c>
      <c r="D21849" s="40" t="n">
        <v>738</v>
      </c>
      <c r="E21849" s="41" t="n">
        <v>27552.625</v>
      </c>
    </row>
    <row r="21850">
      <c r="A21850" s="42">
        <f>_xlfn.XLOOKUP(84525,Trip[shape_id],Trip[shape_id],"Não encontrado")</f>
        <v/>
      </c>
      <c r="B21850" s="43" t="n">
        <v>-23.552314</v>
      </c>
      <c r="C21850" s="43" t="n">
        <v>-46.618523</v>
      </c>
      <c r="D21850" s="43" t="n">
        <v>739</v>
      </c>
      <c r="E21850" s="44" t="n">
        <v>27561.117</v>
      </c>
    </row>
    <row r="21851">
      <c r="A21851" s="39">
        <f>_xlfn.XLOOKUP(84525,Trip[shape_id],Trip[shape_id],"Não encontrado")</f>
        <v/>
      </c>
      <c r="B21851" s="40" t="n">
        <v>-23.552335</v>
      </c>
      <c r="C21851" s="40" t="n">
        <v>-46.618603</v>
      </c>
      <c r="D21851" s="40" t="n">
        <v>740</v>
      </c>
      <c r="E21851" s="41" t="n">
        <v>27561.117</v>
      </c>
    </row>
    <row r="21852">
      <c r="A21852" s="42">
        <f>_xlfn.XLOOKUP(84525,Trip[shape_id],Trip[shape_id],"Não encontrado")</f>
        <v/>
      </c>
      <c r="B21852" s="43" t="n">
        <v>-23.552323</v>
      </c>
      <c r="C21852" s="43" t="n">
        <v>-46.618644</v>
      </c>
      <c r="D21852" s="43" t="n">
        <v>741</v>
      </c>
      <c r="E21852" s="44" t="n">
        <v>27565.508</v>
      </c>
    </row>
    <row r="21853">
      <c r="A21853" s="39">
        <f>_xlfn.XLOOKUP(84525,Trip[shape_id],Trip[shape_id],"Não encontrado")</f>
        <v/>
      </c>
      <c r="B21853" s="40" t="n">
        <v>-23.552267</v>
      </c>
      <c r="C21853" s="40" t="n">
        <v>-46.619206</v>
      </c>
      <c r="D21853" s="40" t="n">
        <v>742</v>
      </c>
      <c r="E21853" s="41" t="n">
        <v>27623.223</v>
      </c>
    </row>
    <row r="21854">
      <c r="A21854" s="42">
        <f>_xlfn.XLOOKUP(84525,Trip[shape_id],Trip[shape_id],"Não encontrado")</f>
        <v/>
      </c>
      <c r="B21854" s="43" t="n">
        <v>-23.552233</v>
      </c>
      <c r="C21854" s="43" t="n">
        <v>-46.619447</v>
      </c>
      <c r="D21854" s="43" t="n">
        <v>743</v>
      </c>
      <c r="E21854" s="44" t="n">
        <v>27648.115</v>
      </c>
    </row>
    <row r="21855">
      <c r="A21855" s="39">
        <f>_xlfn.XLOOKUP(84525,Trip[shape_id],Trip[shape_id],"Não encontrado")</f>
        <v/>
      </c>
      <c r="B21855" s="40" t="n">
        <v>-23.552133</v>
      </c>
      <c r="C21855" s="40" t="n">
        <v>-46.620254</v>
      </c>
      <c r="D21855" s="40" t="n">
        <v>744</v>
      </c>
      <c r="E21855" s="41" t="n">
        <v>27731.252</v>
      </c>
    </row>
    <row r="21856">
      <c r="A21856" s="42">
        <f>_xlfn.XLOOKUP(84525,Trip[shape_id],Trip[shape_id],"Não encontrado")</f>
        <v/>
      </c>
      <c r="B21856" s="43" t="n">
        <v>-23.551949</v>
      </c>
      <c r="C21856" s="43" t="n">
        <v>-46.621709</v>
      </c>
      <c r="D21856" s="43" t="n">
        <v>745</v>
      </c>
      <c r="E21856" s="44" t="n">
        <v>27881.199</v>
      </c>
    </row>
    <row r="21857">
      <c r="A21857" s="39">
        <f>_xlfn.XLOOKUP(84525,Trip[shape_id],Trip[shape_id],"Não encontrado")</f>
        <v/>
      </c>
      <c r="B21857" s="40" t="n">
        <v>-23.551902</v>
      </c>
      <c r="C21857" s="40" t="n">
        <v>-46.622081</v>
      </c>
      <c r="D21857" s="40" t="n">
        <v>746</v>
      </c>
      <c r="E21857" s="41" t="n">
        <v>27919.535</v>
      </c>
    </row>
    <row r="21858">
      <c r="A21858" s="42">
        <f>_xlfn.XLOOKUP(84525,Trip[shape_id],Trip[shape_id],"Não encontrado")</f>
        <v/>
      </c>
      <c r="B21858" s="43" t="n">
        <v>-23.551875</v>
      </c>
      <c r="C21858" s="43" t="n">
        <v>-46.622346</v>
      </c>
      <c r="D21858" s="43" t="n">
        <v>747</v>
      </c>
      <c r="E21858" s="44" t="n">
        <v>27946.756</v>
      </c>
    </row>
    <row r="21859">
      <c r="A21859" s="39">
        <f>_xlfn.XLOOKUP(84525,Trip[shape_id],Trip[shape_id],"Não encontrado")</f>
        <v/>
      </c>
      <c r="B21859" s="40" t="n">
        <v>-23.551723</v>
      </c>
      <c r="C21859" s="40" t="n">
        <v>-46.623483</v>
      </c>
      <c r="D21859" s="40" t="n">
        <v>748</v>
      </c>
      <c r="E21859" s="41" t="n">
        <v>28064.059</v>
      </c>
    </row>
    <row r="21860">
      <c r="A21860" s="42">
        <f>_xlfn.XLOOKUP(84525,Trip[shape_id],Trip[shape_id],"Não encontrado")</f>
        <v/>
      </c>
      <c r="B21860" s="43" t="n">
        <v>-23.551592</v>
      </c>
      <c r="C21860" s="43" t="n">
        <v>-46.624329</v>
      </c>
      <c r="D21860" s="43" t="n">
        <v>749</v>
      </c>
      <c r="E21860" s="44" t="n">
        <v>28151.646</v>
      </c>
    </row>
    <row r="21861">
      <c r="A21861" s="39">
        <f>_xlfn.XLOOKUP(84525,Trip[shape_id],Trip[shape_id],"Não encontrado")</f>
        <v/>
      </c>
      <c r="B21861" s="40" t="n">
        <v>-23.551547</v>
      </c>
      <c r="C21861" s="40" t="n">
        <v>-46.624589</v>
      </c>
      <c r="D21861" s="40" t="n">
        <v>750</v>
      </c>
      <c r="E21861" s="41" t="n">
        <v>28178.656</v>
      </c>
    </row>
    <row r="21862">
      <c r="A21862" s="42">
        <f>_xlfn.XLOOKUP(84525,Trip[shape_id],Trip[shape_id],"Não encontrado")</f>
        <v/>
      </c>
      <c r="B21862" s="43" t="n">
        <v>-23.551522</v>
      </c>
      <c r="C21862" s="43" t="n">
        <v>-46.624654</v>
      </c>
      <c r="D21862" s="43" t="n">
        <v>751</v>
      </c>
      <c r="E21862" s="44" t="n">
        <v>28185.848</v>
      </c>
    </row>
    <row r="21863">
      <c r="A21863" s="39">
        <f>_xlfn.XLOOKUP(84525,Trip[shape_id],Trip[shape_id],"Não encontrado")</f>
        <v/>
      </c>
      <c r="B21863" s="40" t="n">
        <v>-23.551473</v>
      </c>
      <c r="C21863" s="40" t="n">
        <v>-46.624719</v>
      </c>
      <c r="D21863" s="40" t="n">
        <v>752</v>
      </c>
      <c r="E21863" s="41" t="n">
        <v>28194.42</v>
      </c>
    </row>
    <row r="21864">
      <c r="A21864" s="42">
        <f>_xlfn.XLOOKUP(84525,Trip[shape_id],Trip[shape_id],"Não encontrado")</f>
        <v/>
      </c>
      <c r="B21864" s="43" t="n">
        <v>-23.551262</v>
      </c>
      <c r="C21864" s="43" t="n">
        <v>-46.624909</v>
      </c>
      <c r="D21864" s="43" t="n">
        <v>753</v>
      </c>
      <c r="E21864" s="44" t="n">
        <v>28224.791</v>
      </c>
    </row>
    <row r="21865">
      <c r="A21865" s="39">
        <f>_xlfn.XLOOKUP(84525,Trip[shape_id],Trip[shape_id],"Não encontrado")</f>
        <v/>
      </c>
      <c r="B21865" s="40" t="n">
        <v>-23.55119</v>
      </c>
      <c r="C21865" s="40" t="n">
        <v>-46.624951</v>
      </c>
      <c r="D21865" s="40" t="n">
        <v>754</v>
      </c>
      <c r="E21865" s="41" t="n">
        <v>28233.846</v>
      </c>
    </row>
    <row r="21866">
      <c r="A21866" s="42">
        <f>_xlfn.XLOOKUP(84525,Trip[shape_id],Trip[shape_id],"Não encontrado")</f>
        <v/>
      </c>
      <c r="B21866" s="43" t="n">
        <v>-23.550771</v>
      </c>
      <c r="C21866" s="43" t="n">
        <v>-46.625056</v>
      </c>
      <c r="D21866" s="43" t="n">
        <v>755</v>
      </c>
      <c r="E21866" s="44" t="n">
        <v>28281.473</v>
      </c>
    </row>
    <row r="21867">
      <c r="A21867" s="39">
        <f>_xlfn.XLOOKUP(84525,Trip[shape_id],Trip[shape_id],"Não encontrado")</f>
        <v/>
      </c>
      <c r="B21867" s="40" t="n">
        <v>-23.550707</v>
      </c>
      <c r="C21867" s="40" t="n">
        <v>-46.625068</v>
      </c>
      <c r="D21867" s="40" t="n">
        <v>756</v>
      </c>
      <c r="E21867" s="41" t="n">
        <v>28288.666</v>
      </c>
    </row>
    <row r="21868">
      <c r="A21868" s="42">
        <f>_xlfn.XLOOKUP(84525,Trip[shape_id],Trip[shape_id],"Não encontrado")</f>
        <v/>
      </c>
      <c r="B21868" s="43" t="n">
        <v>-23.550278</v>
      </c>
      <c r="C21868" s="43" t="n">
        <v>-46.625186</v>
      </c>
      <c r="D21868" s="43" t="n">
        <v>757</v>
      </c>
      <c r="E21868" s="44" t="n">
        <v>28337.682</v>
      </c>
    </row>
    <row r="21869">
      <c r="A21869" s="39">
        <f>_xlfn.XLOOKUP(84525,Trip[shape_id],Trip[shape_id],"Não encontrado")</f>
        <v/>
      </c>
      <c r="B21869" s="40" t="n">
        <v>-23.550183</v>
      </c>
      <c r="C21869" s="40" t="n">
        <v>-46.625254</v>
      </c>
      <c r="D21869" s="40" t="n">
        <v>758</v>
      </c>
      <c r="E21869" s="41" t="n">
        <v>28350.287</v>
      </c>
    </row>
    <row r="21870">
      <c r="A21870" s="42">
        <f>_xlfn.XLOOKUP(84525,Trip[shape_id],Trip[shape_id],"Não encontrado")</f>
        <v/>
      </c>
      <c r="B21870" s="43" t="n">
        <v>-23.55002</v>
      </c>
      <c r="C21870" s="43" t="n">
        <v>-46.625302</v>
      </c>
      <c r="D21870" s="43" t="n">
        <v>759</v>
      </c>
      <c r="E21870" s="44" t="n">
        <v>28368.992</v>
      </c>
    </row>
    <row r="21871">
      <c r="A21871" s="39">
        <f>_xlfn.XLOOKUP(84525,Trip[shape_id],Trip[shape_id],"Não encontrado")</f>
        <v/>
      </c>
      <c r="B21871" s="40" t="n">
        <v>-23.549769</v>
      </c>
      <c r="C21871" s="40" t="n">
        <v>-46.625388</v>
      </c>
      <c r="D21871" s="40" t="n">
        <v>760</v>
      </c>
      <c r="E21871" s="41" t="n">
        <v>28398.145</v>
      </c>
    </row>
    <row r="21872">
      <c r="A21872" s="42">
        <f>_xlfn.XLOOKUP(84525,Trip[shape_id],Trip[shape_id],"Não encontrado")</f>
        <v/>
      </c>
      <c r="B21872" s="43" t="n">
        <v>-23.549694</v>
      </c>
      <c r="C21872" s="43" t="n">
        <v>-46.625418</v>
      </c>
      <c r="D21872" s="43" t="n">
        <v>761</v>
      </c>
      <c r="E21872" s="44" t="n">
        <v>28406.998</v>
      </c>
    </row>
    <row r="21873">
      <c r="A21873" s="39">
        <f>_xlfn.XLOOKUP(84525,Trip[shape_id],Trip[shape_id],"Não encontrado")</f>
        <v/>
      </c>
      <c r="B21873" s="40" t="n">
        <v>-23.54929</v>
      </c>
      <c r="C21873" s="40" t="n">
        <v>-46.625588</v>
      </c>
      <c r="D21873" s="40" t="n">
        <v>762</v>
      </c>
      <c r="E21873" s="41" t="n">
        <v>28454.99</v>
      </c>
    </row>
    <row r="21874">
      <c r="A21874" s="42">
        <f>_xlfn.XLOOKUP(84525,Trip[shape_id],Trip[shape_id],"Não encontrado")</f>
        <v/>
      </c>
      <c r="B21874" s="43" t="n">
        <v>-23.548988</v>
      </c>
      <c r="C21874" s="43" t="n">
        <v>-46.625759</v>
      </c>
      <c r="D21874" s="43" t="n">
        <v>763</v>
      </c>
      <c r="E21874" s="44" t="n">
        <v>28492.721</v>
      </c>
    </row>
    <row r="21875">
      <c r="A21875" s="39">
        <f>_xlfn.XLOOKUP(84525,Trip[shape_id],Trip[shape_id],"Não encontrado")</f>
        <v/>
      </c>
      <c r="B21875" s="40" t="n">
        <v>-23.548666</v>
      </c>
      <c r="C21875" s="40" t="n">
        <v>-46.625982</v>
      </c>
      <c r="D21875" s="40" t="n">
        <v>764</v>
      </c>
      <c r="E21875" s="41" t="n">
        <v>28535.031</v>
      </c>
    </row>
    <row r="21876">
      <c r="A21876" s="42">
        <f>_xlfn.XLOOKUP(84525,Trip[shape_id],Trip[shape_id],"Não encontrado")</f>
        <v/>
      </c>
      <c r="B21876" s="43" t="n">
        <v>-23.54849</v>
      </c>
      <c r="C21876" s="43" t="n">
        <v>-46.626114</v>
      </c>
      <c r="D21876" s="43" t="n">
        <v>765</v>
      </c>
      <c r="E21876" s="44" t="n">
        <v>28558.729</v>
      </c>
    </row>
    <row r="21877">
      <c r="A21877" s="39">
        <f>_xlfn.XLOOKUP(84525,Trip[shape_id],Trip[shape_id],"Não encontrado")</f>
        <v/>
      </c>
      <c r="B21877" s="40" t="n">
        <v>-23.548344</v>
      </c>
      <c r="C21877" s="40" t="n">
        <v>-46.626192</v>
      </c>
      <c r="D21877" s="40" t="n">
        <v>766</v>
      </c>
      <c r="E21877" s="41" t="n">
        <v>28576.754</v>
      </c>
    </row>
    <row r="21878">
      <c r="A21878" s="42">
        <f>_xlfn.XLOOKUP(84525,Trip[shape_id],Trip[shape_id],"Não encontrado")</f>
        <v/>
      </c>
      <c r="B21878" s="43" t="n">
        <v>-23.548225</v>
      </c>
      <c r="C21878" s="43" t="n">
        <v>-46.626243</v>
      </c>
      <c r="D21878" s="43" t="n">
        <v>767</v>
      </c>
      <c r="E21878" s="44" t="n">
        <v>28590.924</v>
      </c>
    </row>
    <row r="21879">
      <c r="A21879" s="39">
        <f>_xlfn.XLOOKUP(84525,Trip[shape_id],Trip[shape_id],"Não encontrado")</f>
        <v/>
      </c>
      <c r="B21879" s="40" t="n">
        <v>-23.548114</v>
      </c>
      <c r="C21879" s="40" t="n">
        <v>-46.626302</v>
      </c>
      <c r="D21879" s="40" t="n">
        <v>768</v>
      </c>
      <c r="E21879" s="41" t="n">
        <v>28604.613</v>
      </c>
    </row>
    <row r="21880">
      <c r="A21880" s="42">
        <f>_xlfn.XLOOKUP(84525,Trip[shape_id],Trip[shape_id],"Não encontrado")</f>
        <v/>
      </c>
      <c r="B21880" s="43" t="n">
        <v>-23.547944</v>
      </c>
      <c r="C21880" s="43" t="n">
        <v>-46.626355</v>
      </c>
      <c r="D21880" s="43" t="n">
        <v>769</v>
      </c>
      <c r="E21880" s="44" t="n">
        <v>28624.203</v>
      </c>
    </row>
    <row r="21881">
      <c r="A21881" s="39">
        <f>_xlfn.XLOOKUP(84525,Trip[shape_id],Trip[shape_id],"Não encontrado")</f>
        <v/>
      </c>
      <c r="B21881" s="40" t="n">
        <v>-23.547826</v>
      </c>
      <c r="C21881" s="40" t="n">
        <v>-46.626382</v>
      </c>
      <c r="D21881" s="40" t="n">
        <v>770</v>
      </c>
      <c r="E21881" s="41" t="n">
        <v>28637.559</v>
      </c>
    </row>
    <row r="21882">
      <c r="A21882" s="42">
        <f>_xlfn.XLOOKUP(84525,Trip[shape_id],Trip[shape_id],"Não encontrado")</f>
        <v/>
      </c>
      <c r="B21882" s="43" t="n">
        <v>-23.547646</v>
      </c>
      <c r="C21882" s="43" t="n">
        <v>-46.626411</v>
      </c>
      <c r="D21882" s="43" t="n">
        <v>771</v>
      </c>
      <c r="E21882" s="44" t="n">
        <v>28657.713</v>
      </c>
    </row>
    <row r="21883">
      <c r="A21883" s="39">
        <f>_xlfn.XLOOKUP(84525,Trip[shape_id],Trip[shape_id],"Não encontrado")</f>
        <v/>
      </c>
      <c r="B21883" s="40" t="n">
        <v>-23.547263</v>
      </c>
      <c r="C21883" s="40" t="n">
        <v>-46.626465</v>
      </c>
      <c r="D21883" s="40" t="n">
        <v>772</v>
      </c>
      <c r="E21883" s="41" t="n">
        <v>28700.488</v>
      </c>
    </row>
    <row r="21884">
      <c r="A21884" s="42">
        <f>_xlfn.XLOOKUP(84525,Trip[shape_id],Trip[shape_id],"Não encontrado")</f>
        <v/>
      </c>
      <c r="B21884" s="43" t="n">
        <v>-23.547076</v>
      </c>
      <c r="C21884" s="43" t="n">
        <v>-46.626452</v>
      </c>
      <c r="D21884" s="43" t="n">
        <v>773</v>
      </c>
      <c r="E21884" s="44" t="n">
        <v>28721.24</v>
      </c>
    </row>
    <row r="21885">
      <c r="A21885" s="39">
        <f>_xlfn.XLOOKUP(84525,Trip[shape_id],Trip[shape_id],"Não encontrado")</f>
        <v/>
      </c>
      <c r="B21885" s="40" t="n">
        <v>-23.546815</v>
      </c>
      <c r="C21885" s="40" t="n">
        <v>-46.626444</v>
      </c>
      <c r="D21885" s="40" t="n">
        <v>774</v>
      </c>
      <c r="E21885" s="41" t="n">
        <v>28750.158</v>
      </c>
    </row>
    <row r="21886">
      <c r="A21886" s="42">
        <f>_xlfn.XLOOKUP(84525,Trip[shape_id],Trip[shape_id],"Não encontrado")</f>
        <v/>
      </c>
      <c r="B21886" s="43" t="n">
        <v>-23.54655</v>
      </c>
      <c r="C21886" s="43" t="n">
        <v>-46.626433</v>
      </c>
      <c r="D21886" s="43" t="n">
        <v>775</v>
      </c>
      <c r="E21886" s="44" t="n">
        <v>28779.529</v>
      </c>
    </row>
    <row r="21887">
      <c r="A21887" s="39">
        <f>_xlfn.XLOOKUP(84525,Trip[shape_id],Trip[shape_id],"Não encontrado")</f>
        <v/>
      </c>
      <c r="B21887" s="40" t="n">
        <v>-23.546057</v>
      </c>
      <c r="C21887" s="40" t="n">
        <v>-46.626399</v>
      </c>
      <c r="D21887" s="40" t="n">
        <v>776</v>
      </c>
      <c r="E21887" s="41" t="n">
        <v>28834.24</v>
      </c>
    </row>
    <row r="21888">
      <c r="A21888" s="42">
        <f>_xlfn.XLOOKUP(84525,Trip[shape_id],Trip[shape_id],"Não encontrado")</f>
        <v/>
      </c>
      <c r="B21888" s="43" t="n">
        <v>-23.545976</v>
      </c>
      <c r="C21888" s="43" t="n">
        <v>-46.626393</v>
      </c>
      <c r="D21888" s="43" t="n">
        <v>777</v>
      </c>
      <c r="E21888" s="44" t="n">
        <v>28843.232</v>
      </c>
    </row>
    <row r="21889">
      <c r="A21889" s="39">
        <f>_xlfn.XLOOKUP(84525,Trip[shape_id],Trip[shape_id],"Não encontrado")</f>
        <v/>
      </c>
      <c r="B21889" s="40" t="n">
        <v>-23.545915</v>
      </c>
      <c r="C21889" s="40" t="n">
        <v>-46.626418</v>
      </c>
      <c r="D21889" s="40" t="n">
        <v>778</v>
      </c>
      <c r="E21889" s="41" t="n">
        <v>28916.814</v>
      </c>
    </row>
    <row r="21890">
      <c r="A21890" s="42">
        <f>_xlfn.XLOOKUP(84525,Trip[shape_id],Trip[shape_id],"Não encontrado")</f>
        <v/>
      </c>
      <c r="B21890" s="43" t="n">
        <v>-23.545317</v>
      </c>
      <c r="C21890" s="43" t="n">
        <v>-46.626459</v>
      </c>
      <c r="D21890" s="43" t="n">
        <v>779</v>
      </c>
      <c r="E21890" s="44" t="n">
        <v>28916.814</v>
      </c>
    </row>
    <row r="21891">
      <c r="A21891" s="39">
        <f>_xlfn.XLOOKUP(84525,Trip[shape_id],Trip[shape_id],"Não encontrado")</f>
        <v/>
      </c>
      <c r="B21891" s="40" t="n">
        <v>-23.545003</v>
      </c>
      <c r="C21891" s="40" t="n">
        <v>-46.626499</v>
      </c>
      <c r="D21891" s="40" t="n">
        <v>780</v>
      </c>
      <c r="E21891" s="41" t="n">
        <v>28968.215</v>
      </c>
    </row>
    <row r="21892">
      <c r="A21892" s="42">
        <f>_xlfn.XLOOKUP(84525,Trip[shape_id],Trip[shape_id],"Não encontrado")</f>
        <v/>
      </c>
      <c r="B21892" s="43" t="n">
        <v>-23.544856</v>
      </c>
      <c r="C21892" s="43" t="n">
        <v>-46.626517</v>
      </c>
      <c r="D21892" s="43" t="n">
        <v>781</v>
      </c>
      <c r="E21892" s="44" t="n">
        <v>28968.215</v>
      </c>
    </row>
    <row r="21893">
      <c r="A21893" s="39">
        <f>_xlfn.XLOOKUP(84525,Trip[shape_id],Trip[shape_id],"Não encontrado")</f>
        <v/>
      </c>
      <c r="B21893" s="40" t="n">
        <v>-23.544468</v>
      </c>
      <c r="C21893" s="40" t="n">
        <v>-46.626603</v>
      </c>
      <c r="D21893" s="40" t="n">
        <v>782</v>
      </c>
      <c r="E21893" s="41" t="n">
        <v>29012.074</v>
      </c>
    </row>
    <row r="21894">
      <c r="A21894" s="42">
        <f>_xlfn.XLOOKUP(84525,Trip[shape_id],Trip[shape_id],"Não encontrado")</f>
        <v/>
      </c>
      <c r="B21894" s="43" t="n">
        <v>-23.544182</v>
      </c>
      <c r="C21894" s="43" t="n">
        <v>-46.626665</v>
      </c>
      <c r="D21894" s="43" t="n">
        <v>783</v>
      </c>
      <c r="E21894" s="44" t="n">
        <v>29044.375</v>
      </c>
    </row>
    <row r="21895">
      <c r="A21895" s="39">
        <f>_xlfn.XLOOKUP(84525,Trip[shape_id],Trip[shape_id],"Não encontrado")</f>
        <v/>
      </c>
      <c r="B21895" s="40" t="n">
        <v>-23.543939</v>
      </c>
      <c r="C21895" s="40" t="n">
        <v>-46.626716</v>
      </c>
      <c r="D21895" s="40" t="n">
        <v>784</v>
      </c>
      <c r="E21895" s="41" t="n">
        <v>29071.787</v>
      </c>
    </row>
    <row r="21896">
      <c r="A21896" s="42">
        <f>_xlfn.XLOOKUP(84525,Trip[shape_id],Trip[shape_id],"Não encontrado")</f>
        <v/>
      </c>
      <c r="B21896" s="43" t="n">
        <v>-23.543773</v>
      </c>
      <c r="C21896" s="43" t="n">
        <v>-46.626781</v>
      </c>
      <c r="D21896" s="43" t="n">
        <v>785</v>
      </c>
      <c r="E21896" s="44" t="n">
        <v>29091.334</v>
      </c>
    </row>
    <row r="21897">
      <c r="A21897" s="39">
        <f>_xlfn.XLOOKUP(84525,Trip[shape_id],Trip[shape_id],"Não encontrado")</f>
        <v/>
      </c>
      <c r="B21897" s="40" t="n">
        <v>-23.543675</v>
      </c>
      <c r="C21897" s="40" t="n">
        <v>-46.626834</v>
      </c>
      <c r="D21897" s="40" t="n">
        <v>786</v>
      </c>
      <c r="E21897" s="41" t="n">
        <v>29103.463</v>
      </c>
    </row>
    <row r="21898">
      <c r="A21898" s="42">
        <f>_xlfn.XLOOKUP(84525,Trip[shape_id],Trip[shape_id],"Não encontrado")</f>
        <v/>
      </c>
      <c r="B21898" s="43" t="n">
        <v>-23.543588</v>
      </c>
      <c r="C21898" s="43" t="n">
        <v>-46.626889</v>
      </c>
      <c r="D21898" s="43" t="n">
        <v>787</v>
      </c>
      <c r="E21898" s="44" t="n">
        <v>29114.615</v>
      </c>
    </row>
    <row r="21899">
      <c r="A21899" s="39">
        <f>_xlfn.XLOOKUP(84525,Trip[shape_id],Trip[shape_id],"Não encontrado")</f>
        <v/>
      </c>
      <c r="B21899" s="40" t="n">
        <v>-23.543482</v>
      </c>
      <c r="C21899" s="40" t="n">
        <v>-46.626985</v>
      </c>
      <c r="D21899" s="40" t="n">
        <v>788</v>
      </c>
      <c r="E21899" s="41" t="n">
        <v>29129.91</v>
      </c>
    </row>
    <row r="21900">
      <c r="A21900" s="42">
        <f>_xlfn.XLOOKUP(84525,Trip[shape_id],Trip[shape_id],"Não encontrado")</f>
        <v/>
      </c>
      <c r="B21900" s="43" t="n">
        <v>-23.543352</v>
      </c>
      <c r="C21900" s="43" t="n">
        <v>-46.627124</v>
      </c>
      <c r="D21900" s="43" t="n">
        <v>789</v>
      </c>
      <c r="E21900" s="44" t="n">
        <v>29150.127</v>
      </c>
    </row>
    <row r="21901">
      <c r="A21901" s="39">
        <f>_xlfn.XLOOKUP(84525,Trip[shape_id],Trip[shape_id],"Não encontrado")</f>
        <v/>
      </c>
      <c r="B21901" s="40" t="n">
        <v>-23.54327</v>
      </c>
      <c r="C21901" s="40" t="n">
        <v>-46.627242</v>
      </c>
      <c r="D21901" s="40" t="n">
        <v>790</v>
      </c>
      <c r="E21901" s="41" t="n">
        <v>29165.215</v>
      </c>
    </row>
    <row r="21902">
      <c r="A21902" s="42">
        <f>_xlfn.XLOOKUP(84525,Trip[shape_id],Trip[shape_id],"Não encontrado")</f>
        <v/>
      </c>
      <c r="B21902" s="43" t="n">
        <v>-23.543201</v>
      </c>
      <c r="C21902" s="43" t="n">
        <v>-46.627369</v>
      </c>
      <c r="D21902" s="43" t="n">
        <v>791</v>
      </c>
      <c r="E21902" s="44" t="n">
        <v>29180.268</v>
      </c>
    </row>
    <row r="21903">
      <c r="A21903" s="39">
        <f>_xlfn.XLOOKUP(84525,Trip[shape_id],Trip[shape_id],"Não encontrado")</f>
        <v/>
      </c>
      <c r="B21903" s="40" t="n">
        <v>-23.543147</v>
      </c>
      <c r="C21903" s="40" t="n">
        <v>-46.627514</v>
      </c>
      <c r="D21903" s="40" t="n">
        <v>792</v>
      </c>
      <c r="E21903" s="41" t="n">
        <v>29196.236</v>
      </c>
    </row>
    <row r="21904">
      <c r="A21904" s="42">
        <f>_xlfn.XLOOKUP(84525,Trip[shape_id],Trip[shape_id],"Não encontrado")</f>
        <v/>
      </c>
      <c r="B21904" s="43" t="n">
        <v>-23.543096</v>
      </c>
      <c r="C21904" s="43" t="n">
        <v>-46.627691</v>
      </c>
      <c r="D21904" s="43" t="n">
        <v>793</v>
      </c>
      <c r="E21904" s="44" t="n">
        <v>29215.172</v>
      </c>
    </row>
    <row r="21905">
      <c r="A21905" s="39">
        <f>_xlfn.XLOOKUP(84525,Trip[shape_id],Trip[shape_id],"Não encontrado")</f>
        <v/>
      </c>
      <c r="B21905" s="40" t="n">
        <v>-23.543074</v>
      </c>
      <c r="C21905" s="40" t="n">
        <v>-46.627845</v>
      </c>
      <c r="D21905" s="40" t="n">
        <v>794</v>
      </c>
      <c r="E21905" s="41" t="n">
        <v>29231.084</v>
      </c>
    </row>
    <row r="21906">
      <c r="A21906" s="42">
        <f>_xlfn.XLOOKUP(84525,Trip[shape_id],Trip[shape_id],"Não encontrado")</f>
        <v/>
      </c>
      <c r="B21906" s="43" t="n">
        <v>-23.543073</v>
      </c>
      <c r="C21906" s="43" t="n">
        <v>-46.628006</v>
      </c>
      <c r="D21906" s="43" t="n">
        <v>795</v>
      </c>
      <c r="E21906" s="44" t="n">
        <v>29247.523</v>
      </c>
    </row>
    <row r="21907">
      <c r="A21907" s="39">
        <f>_xlfn.XLOOKUP(84525,Trip[shape_id],Trip[shape_id],"Não encontrado")</f>
        <v/>
      </c>
      <c r="B21907" s="40" t="n">
        <v>-23.543081</v>
      </c>
      <c r="C21907" s="40" t="n">
        <v>-46.628182</v>
      </c>
      <c r="D21907" s="40" t="n">
        <v>796</v>
      </c>
      <c r="E21907" s="41" t="n">
        <v>29265.516</v>
      </c>
    </row>
    <row r="21908">
      <c r="A21908" s="42">
        <f>_xlfn.XLOOKUP(84525,Trip[shape_id],Trip[shape_id],"Não encontrado")</f>
        <v/>
      </c>
      <c r="B21908" s="43" t="n">
        <v>-23.543093</v>
      </c>
      <c r="C21908" s="43" t="n">
        <v>-46.628297</v>
      </c>
      <c r="D21908" s="43" t="n">
        <v>797</v>
      </c>
      <c r="E21908" s="44" t="n">
        <v>29277.334</v>
      </c>
    </row>
    <row r="21909">
      <c r="A21909" s="39">
        <f>_xlfn.XLOOKUP(84525,Trip[shape_id],Trip[shape_id],"Não encontrado")</f>
        <v/>
      </c>
      <c r="B21909" s="40" t="n">
        <v>-23.543121</v>
      </c>
      <c r="C21909" s="40" t="n">
        <v>-46.628435</v>
      </c>
      <c r="D21909" s="40" t="n">
        <v>798</v>
      </c>
      <c r="E21909" s="41" t="n">
        <v>29291.762</v>
      </c>
    </row>
    <row r="21910">
      <c r="A21910" s="42">
        <f>_xlfn.XLOOKUP(84525,Trip[shape_id],Trip[shape_id],"Não encontrado")</f>
        <v/>
      </c>
      <c r="B21910" s="43" t="n">
        <v>-23.543158</v>
      </c>
      <c r="C21910" s="43" t="n">
        <v>-46.628582</v>
      </c>
      <c r="D21910" s="43" t="n">
        <v>799</v>
      </c>
      <c r="E21910" s="44" t="n">
        <v>29307.32</v>
      </c>
    </row>
    <row r="21911">
      <c r="A21911" s="39">
        <f>_xlfn.XLOOKUP(84525,Trip[shape_id],Trip[shape_id],"Não encontrado")</f>
        <v/>
      </c>
      <c r="B21911" s="40" t="n">
        <v>-23.543241</v>
      </c>
      <c r="C21911" s="40" t="n">
        <v>-46.628783</v>
      </c>
      <c r="D21911" s="40" t="n">
        <v>800</v>
      </c>
      <c r="E21911" s="41" t="n">
        <v>29329.809</v>
      </c>
    </row>
    <row r="21912">
      <c r="A21912" s="42">
        <f>_xlfn.XLOOKUP(84525,Trip[shape_id],Trip[shape_id],"Não encontrado")</f>
        <v/>
      </c>
      <c r="B21912" s="43" t="n">
        <v>-23.543294</v>
      </c>
      <c r="C21912" s="43" t="n">
        <v>-46.628902</v>
      </c>
      <c r="D21912" s="43" t="n">
        <v>801</v>
      </c>
      <c r="E21912" s="44" t="n">
        <v>29343.303</v>
      </c>
    </row>
    <row r="21913">
      <c r="A21913" s="39">
        <f>_xlfn.XLOOKUP(84525,Trip[shape_id],Trip[shape_id],"Não encontrado")</f>
        <v/>
      </c>
      <c r="B21913" s="40" t="n">
        <v>-23.543358</v>
      </c>
      <c r="C21913" s="40" t="n">
        <v>-46.629017</v>
      </c>
      <c r="D21913" s="40" t="n">
        <v>802</v>
      </c>
      <c r="E21913" s="41" t="n">
        <v>29357.02</v>
      </c>
    </row>
    <row r="21914">
      <c r="A21914" s="42">
        <f>_xlfn.XLOOKUP(84525,Trip[shape_id],Trip[shape_id],"Não encontrado")</f>
        <v/>
      </c>
      <c r="B21914" s="43" t="n">
        <v>-23.543429</v>
      </c>
      <c r="C21914" s="43" t="n">
        <v>-46.629118</v>
      </c>
      <c r="D21914" s="43" t="n">
        <v>803</v>
      </c>
      <c r="E21914" s="44" t="n">
        <v>29369.988</v>
      </c>
    </row>
    <row r="21915">
      <c r="A21915" s="39">
        <f>_xlfn.XLOOKUP(84525,Trip[shape_id],Trip[shape_id],"Não encontrado")</f>
        <v/>
      </c>
      <c r="B21915" s="40" t="n">
        <v>-23.543537</v>
      </c>
      <c r="C21915" s="40" t="n">
        <v>-46.629258</v>
      </c>
      <c r="D21915" s="40" t="n">
        <v>804</v>
      </c>
      <c r="E21915" s="41" t="n">
        <v>29388.627</v>
      </c>
    </row>
    <row r="21916">
      <c r="A21916" s="42">
        <f>_xlfn.XLOOKUP(84525,Trip[shape_id],Trip[shape_id],"Não encontrado")</f>
        <v/>
      </c>
      <c r="B21916" s="43" t="n">
        <v>-23.543676</v>
      </c>
      <c r="C21916" s="43" t="n">
        <v>-46.629391</v>
      </c>
      <c r="D21916" s="43" t="n">
        <v>805</v>
      </c>
      <c r="E21916" s="44" t="n">
        <v>29409.156</v>
      </c>
    </row>
    <row r="21917">
      <c r="A21917" s="39">
        <f>_xlfn.XLOOKUP(84525,Trip[shape_id],Trip[shape_id],"Não encontrado")</f>
        <v/>
      </c>
      <c r="B21917" s="40" t="n">
        <v>-23.544192</v>
      </c>
      <c r="C21917" s="40" t="n">
        <v>-46.629874</v>
      </c>
      <c r="D21917" s="40" t="n">
        <v>806</v>
      </c>
      <c r="E21917" s="41" t="n">
        <v>29484.643</v>
      </c>
    </row>
    <row r="21918">
      <c r="A21918" s="42">
        <f>_xlfn.XLOOKUP(84525,Trip[shape_id],Trip[shape_id],"Não encontrado")</f>
        <v/>
      </c>
      <c r="B21918" s="43" t="n">
        <v>-23.54451</v>
      </c>
      <c r="C21918" s="43" t="n">
        <v>-46.630166</v>
      </c>
      <c r="D21918" s="43" t="n">
        <v>807</v>
      </c>
      <c r="E21918" s="44" t="n">
        <v>29530.787</v>
      </c>
    </row>
    <row r="21919">
      <c r="A21919" s="39">
        <f>_xlfn.XLOOKUP(84525,Trip[shape_id],Trip[shape_id],"Não encontrado")</f>
        <v/>
      </c>
      <c r="B21919" s="40" t="n">
        <v>-23.5448</v>
      </c>
      <c r="C21919" s="40" t="n">
        <v>-46.630436</v>
      </c>
      <c r="D21919" s="40" t="n">
        <v>808</v>
      </c>
      <c r="E21919" s="41" t="n">
        <v>29573.115</v>
      </c>
    </row>
    <row r="21920">
      <c r="A21920" s="42">
        <f>_xlfn.XLOOKUP(84525,Trip[shape_id],Trip[shape_id],"Não encontrado")</f>
        <v/>
      </c>
      <c r="B21920" s="43" t="n">
        <v>-23.544841</v>
      </c>
      <c r="C21920" s="43" t="n">
        <v>-46.630483</v>
      </c>
      <c r="D21920" s="43" t="n">
        <v>809</v>
      </c>
      <c r="E21920" s="44" t="n">
        <v>29579.723</v>
      </c>
    </row>
    <row r="21921">
      <c r="A21921" s="39">
        <f>_xlfn.XLOOKUP(84525,Trip[shape_id],Trip[shape_id],"Não encontrado")</f>
        <v/>
      </c>
      <c r="B21921" s="40" t="n">
        <v>-23.544933</v>
      </c>
      <c r="C21921" s="40" t="n">
        <v>-46.630629</v>
      </c>
      <c r="D21921" s="40" t="n">
        <v>810</v>
      </c>
      <c r="E21921" s="41" t="n">
        <v>29597.779</v>
      </c>
    </row>
    <row r="21922">
      <c r="A21922" s="42">
        <f>_xlfn.XLOOKUP(84525,Trip[shape_id],Trip[shape_id],"Não encontrado")</f>
        <v/>
      </c>
      <c r="B21922" s="43" t="n">
        <v>-23.54498</v>
      </c>
      <c r="C21922" s="43" t="n">
        <v>-46.630738</v>
      </c>
      <c r="D21922" s="43" t="n">
        <v>811</v>
      </c>
      <c r="E21922" s="44" t="n">
        <v>29610.066</v>
      </c>
    </row>
    <row r="21923">
      <c r="A21923" s="39">
        <f>_xlfn.XLOOKUP(84525,Trip[shape_id],Trip[shape_id],"Não encontrado")</f>
        <v/>
      </c>
      <c r="B21923" s="40" t="n">
        <v>-23.545115</v>
      </c>
      <c r="C21923" s="40" t="n">
        <v>-46.630976</v>
      </c>
      <c r="D21923" s="40" t="n">
        <v>812</v>
      </c>
      <c r="E21923" s="41" t="n">
        <v>29638.6</v>
      </c>
    </row>
    <row r="21924">
      <c r="A21924" s="42">
        <f>_xlfn.XLOOKUP(84525,Trip[shape_id],Trip[shape_id],"Não encontrado")</f>
        <v/>
      </c>
      <c r="B21924" s="43" t="n">
        <v>-23.545286</v>
      </c>
      <c r="C21924" s="43" t="n">
        <v>-46.631011</v>
      </c>
      <c r="D21924" s="43" t="n">
        <v>813</v>
      </c>
      <c r="E21924" s="44" t="n">
        <v>29706.203</v>
      </c>
    </row>
    <row r="21925">
      <c r="A21925" s="39">
        <f>_xlfn.XLOOKUP(84525,Trip[shape_id],Trip[shape_id],"Não encontrado")</f>
        <v/>
      </c>
      <c r="B21925" s="40" t="n">
        <v>-23.545702</v>
      </c>
      <c r="C21925" s="40" t="n">
        <v>-46.631154</v>
      </c>
      <c r="D21925" s="40" t="n">
        <v>814</v>
      </c>
      <c r="E21925" s="41" t="n">
        <v>29706.203</v>
      </c>
    </row>
    <row r="21926">
      <c r="A21926" s="42">
        <f>_xlfn.XLOOKUP(84525,Trip[shape_id],Trip[shape_id],"Não encontrado")</f>
        <v/>
      </c>
      <c r="B21926" s="43" t="n">
        <v>-23.545746</v>
      </c>
      <c r="C21926" s="43" t="n">
        <v>-46.631135</v>
      </c>
      <c r="D21926" s="43" t="n">
        <v>815</v>
      </c>
      <c r="E21926" s="44" t="n">
        <v>29716.51</v>
      </c>
    </row>
    <row r="21927">
      <c r="A21927" s="39">
        <f>_xlfn.XLOOKUP(84525,Trip[shape_id],Trip[shape_id],"Não encontrado")</f>
        <v/>
      </c>
      <c r="B21927" s="40" t="n">
        <v>-23.545786</v>
      </c>
      <c r="C21927" s="40" t="n">
        <v>-46.631111</v>
      </c>
      <c r="D21927" s="40" t="n">
        <v>816</v>
      </c>
      <c r="E21927" s="41" t="n">
        <v>29716.51</v>
      </c>
    </row>
    <row r="21928">
      <c r="A21928" s="42">
        <f>_xlfn.XLOOKUP(84525,Trip[shape_id],Trip[shape_id],"Não encontrado")</f>
        <v/>
      </c>
      <c r="B21928" s="43" t="n">
        <v>-23.545941</v>
      </c>
      <c r="C21928" s="43" t="n">
        <v>-46.631025</v>
      </c>
      <c r="D21928" s="43" t="n">
        <v>817</v>
      </c>
      <c r="E21928" s="44" t="n">
        <v>29735.791</v>
      </c>
    </row>
    <row r="21929">
      <c r="A21929" s="39">
        <f>_xlfn.XLOOKUP(84525,Trip[shape_id],Trip[shape_id],"Não encontrado")</f>
        <v/>
      </c>
      <c r="B21929" s="40" t="n">
        <v>-23.546007</v>
      </c>
      <c r="C21929" s="40" t="n">
        <v>-46.630969</v>
      </c>
      <c r="D21929" s="40" t="n">
        <v>818</v>
      </c>
      <c r="E21929" s="41" t="n">
        <v>29745.072</v>
      </c>
    </row>
    <row r="21930">
      <c r="A21930" s="42">
        <f>_xlfn.XLOOKUP(84525,Trip[shape_id],Trip[shape_id],"Não encontrado")</f>
        <v/>
      </c>
      <c r="B21930" s="43" t="n">
        <v>-23.546117</v>
      </c>
      <c r="C21930" s="43" t="n">
        <v>-46.630805</v>
      </c>
      <c r="D21930" s="43" t="n">
        <v>819</v>
      </c>
      <c r="E21930" s="44" t="n">
        <v>29765.779</v>
      </c>
    </row>
    <row r="21931">
      <c r="A21931" s="39">
        <f>_xlfn.XLOOKUP(84525,Trip[shape_id],Trip[shape_id],"Não encontrado")</f>
        <v/>
      </c>
      <c r="B21931" s="40" t="n">
        <v>-23.546063</v>
      </c>
      <c r="C21931" s="40" t="n">
        <v>-46.630676</v>
      </c>
      <c r="D21931" s="40" t="n">
        <v>820</v>
      </c>
      <c r="E21931" s="41" t="n">
        <v>29780.244</v>
      </c>
    </row>
    <row r="21932">
      <c r="A21932" s="42">
        <f>_xlfn.XLOOKUP(84525,Trip[shape_id],Trip[shape_id],"Não encontrado")</f>
        <v/>
      </c>
      <c r="B21932" s="43" t="n">
        <v>-23.546371</v>
      </c>
      <c r="C21932" s="43" t="n">
        <v>-46.630473</v>
      </c>
      <c r="D21932" s="43" t="n">
        <v>821</v>
      </c>
      <c r="E21932" s="44" t="n">
        <v>29820.16</v>
      </c>
    </row>
    <row r="21933">
      <c r="A21933" s="39">
        <f>_xlfn.XLOOKUP(84525,Trip[shape_id],Trip[shape_id],"Não encontrado")</f>
        <v/>
      </c>
      <c r="B21933" s="40" t="n">
        <v>-23.546497</v>
      </c>
      <c r="C21933" s="40" t="n">
        <v>-46.630387</v>
      </c>
      <c r="D21933" s="40" t="n">
        <v>822</v>
      </c>
      <c r="E21933" s="41" t="n">
        <v>29836.648</v>
      </c>
    </row>
    <row r="21934">
      <c r="A21934" s="42">
        <f>_xlfn.XLOOKUP(84525,Trip[shape_id],Trip[shape_id],"Não encontrado")</f>
        <v/>
      </c>
      <c r="B21934" s="43" t="n">
        <v>-23.546634</v>
      </c>
      <c r="C21934" s="43" t="n">
        <v>-46.630295</v>
      </c>
      <c r="D21934" s="43" t="n">
        <v>823</v>
      </c>
      <c r="E21934" s="44" t="n">
        <v>29854.494</v>
      </c>
    </row>
    <row r="21935">
      <c r="A21935" s="39">
        <f>_xlfn.XLOOKUP(84525,Trip[shape_id],Trip[shape_id],"Não encontrado")</f>
        <v/>
      </c>
      <c r="B21935" s="40" t="n">
        <v>-23.546768</v>
      </c>
      <c r="C21935" s="40" t="n">
        <v>-46.630208</v>
      </c>
      <c r="D21935" s="40" t="n">
        <v>824</v>
      </c>
      <c r="E21935" s="41" t="n">
        <v>29871.791</v>
      </c>
    </row>
    <row r="21936">
      <c r="A21936" s="42">
        <f>_xlfn.XLOOKUP(84525,Trip[shape_id],Trip[shape_id],"Não encontrado")</f>
        <v/>
      </c>
      <c r="B21936" s="43" t="n">
        <v>-23.546896</v>
      </c>
      <c r="C21936" s="43" t="n">
        <v>-46.630125</v>
      </c>
      <c r="D21936" s="43" t="n">
        <v>825</v>
      </c>
      <c r="E21936" s="44" t="n">
        <v>29888.307</v>
      </c>
    </row>
    <row r="21937">
      <c r="A21937" s="39">
        <f>_xlfn.XLOOKUP(84525,Trip[shape_id],Trip[shape_id],"Não encontrado")</f>
        <v/>
      </c>
      <c r="B21937" s="40" t="n">
        <v>-23.546975</v>
      </c>
      <c r="C21937" s="40" t="n">
        <v>-46.630069</v>
      </c>
      <c r="D21937" s="40" t="n">
        <v>826</v>
      </c>
      <c r="E21937" s="41" t="n">
        <v>29898.758</v>
      </c>
    </row>
    <row r="21938">
      <c r="A21938" s="42">
        <f>_xlfn.XLOOKUP(84525,Trip[shape_id],Trip[shape_id],"Não encontrado")</f>
        <v/>
      </c>
      <c r="B21938" s="43" t="n">
        <v>-23.547141</v>
      </c>
      <c r="C21938" s="43" t="n">
        <v>-46.629962</v>
      </c>
      <c r="D21938" s="43" t="n">
        <v>827</v>
      </c>
      <c r="E21938" s="44" t="n">
        <v>29920.145</v>
      </c>
    </row>
    <row r="21939">
      <c r="A21939" s="39">
        <f>_xlfn.XLOOKUP(84525,Trip[shape_id],Trip[shape_id],"Não encontrado")</f>
        <v/>
      </c>
      <c r="B21939" s="40" t="n">
        <v>-23.54722</v>
      </c>
      <c r="C21939" s="40" t="n">
        <v>-46.629908</v>
      </c>
      <c r="D21939" s="40" t="n">
        <v>828</v>
      </c>
      <c r="E21939" s="41" t="n">
        <v>29930.486</v>
      </c>
    </row>
    <row r="21940">
      <c r="A21940" s="42">
        <f>_xlfn.XLOOKUP(84525,Trip[shape_id],Trip[shape_id],"Não encontrado")</f>
        <v/>
      </c>
      <c r="B21940" s="43" t="n">
        <v>-23.547343</v>
      </c>
      <c r="C21940" s="43" t="n">
        <v>-46.62983</v>
      </c>
      <c r="D21940" s="43" t="n">
        <v>829</v>
      </c>
      <c r="E21940" s="44" t="n">
        <v>29946.266</v>
      </c>
    </row>
    <row r="21941">
      <c r="A21941" s="39">
        <f>_xlfn.XLOOKUP(84525,Trip[shape_id],Trip[shape_id],"Não encontrado")</f>
        <v/>
      </c>
      <c r="B21941" s="40" t="n">
        <v>-23.547461</v>
      </c>
      <c r="C21941" s="40" t="n">
        <v>-46.629754</v>
      </c>
      <c r="D21941" s="40" t="n">
        <v>830</v>
      </c>
      <c r="E21941" s="41" t="n">
        <v>29961.465</v>
      </c>
    </row>
    <row r="21942">
      <c r="A21942" s="42">
        <f>_xlfn.XLOOKUP(84525,Trip[shape_id],Trip[shape_id],"Não encontrado")</f>
        <v/>
      </c>
      <c r="B21942" s="43" t="n">
        <v>-23.547629</v>
      </c>
      <c r="C21942" s="43" t="n">
        <v>-46.629644</v>
      </c>
      <c r="D21942" s="43" t="n">
        <v>831</v>
      </c>
      <c r="E21942" s="44" t="n">
        <v>29983.197</v>
      </c>
    </row>
    <row r="21943">
      <c r="A21943" s="39">
        <f>_xlfn.XLOOKUP(84525,Trip[shape_id],Trip[shape_id],"Não encontrado")</f>
        <v/>
      </c>
      <c r="B21943" s="40" t="n">
        <v>-23.547735</v>
      </c>
      <c r="C21943" s="40" t="n">
        <v>-46.629568</v>
      </c>
      <c r="D21943" s="40" t="n">
        <v>832</v>
      </c>
      <c r="E21943" s="41" t="n">
        <v>29997.27</v>
      </c>
    </row>
    <row r="21944">
      <c r="A21944" s="42">
        <f>_xlfn.XLOOKUP(84525,Trip[shape_id],Trip[shape_id],"Não encontrado")</f>
        <v/>
      </c>
      <c r="B21944" s="43" t="n">
        <v>-23.547837</v>
      </c>
      <c r="C21944" s="43" t="n">
        <v>-46.629498</v>
      </c>
      <c r="D21944" s="43" t="n">
        <v>833</v>
      </c>
      <c r="E21944" s="44" t="n">
        <v>30010.637</v>
      </c>
    </row>
    <row r="21945">
      <c r="A21945" s="39">
        <f>_xlfn.XLOOKUP(84525,Trip[shape_id],Trip[shape_id],"Não encontrado")</f>
        <v/>
      </c>
      <c r="B21945" s="40" t="n">
        <v>-23.548012</v>
      </c>
      <c r="C21945" s="40" t="n">
        <v>-46.629448</v>
      </c>
      <c r="D21945" s="40" t="n">
        <v>834</v>
      </c>
      <c r="E21945" s="41" t="n">
        <v>30030.68</v>
      </c>
    </row>
    <row r="21946">
      <c r="A21946" s="42">
        <f>_xlfn.XLOOKUP(84526,Trip[shape_id],Trip[shape_id],"Não encontrado")</f>
        <v/>
      </c>
      <c r="B21946" s="43" t="n">
        <v>-23.547837</v>
      </c>
      <c r="C21946" s="43" t="n">
        <v>-46.629498</v>
      </c>
      <c r="D21946" s="43" t="n">
        <v>1</v>
      </c>
      <c r="E21946" s="44" t="n">
        <v>0</v>
      </c>
    </row>
    <row r="21947">
      <c r="A21947" s="39">
        <f>_xlfn.XLOOKUP(84526,Trip[shape_id],Trip[shape_id],"Não encontrado")</f>
        <v/>
      </c>
      <c r="B21947" s="40" t="n">
        <v>-23.548012</v>
      </c>
      <c r="C21947" s="40" t="n">
        <v>-46.629448</v>
      </c>
      <c r="D21947" s="40" t="n">
        <v>2</v>
      </c>
      <c r="E21947" s="41" t="n">
        <v>20.042852</v>
      </c>
    </row>
    <row r="21948">
      <c r="A21948" s="42">
        <f>_xlfn.XLOOKUP(84526,Trip[shape_id],Trip[shape_id],"Não encontrado")</f>
        <v/>
      </c>
      <c r="B21948" s="43" t="n">
        <v>-23.548137</v>
      </c>
      <c r="C21948" s="43" t="n">
        <v>-46.62967</v>
      </c>
      <c r="D21948" s="43" t="n">
        <v>3</v>
      </c>
      <c r="E21948" s="44" t="n">
        <v>46.60318</v>
      </c>
    </row>
    <row r="21949">
      <c r="A21949" s="39">
        <f>_xlfn.XLOOKUP(84526,Trip[shape_id],Trip[shape_id],"Não encontrado")</f>
        <v/>
      </c>
      <c r="B21949" s="40" t="n">
        <v>-23.548189</v>
      </c>
      <c r="C21949" s="40" t="n">
        <v>-46.62973</v>
      </c>
      <c r="D21949" s="40" t="n">
        <v>4</v>
      </c>
      <c r="E21949" s="41" t="n">
        <v>61.053738</v>
      </c>
    </row>
    <row r="21950">
      <c r="A21950" s="42">
        <f>_xlfn.XLOOKUP(84526,Trip[shape_id],Trip[shape_id],"Não encontrado")</f>
        <v/>
      </c>
      <c r="B21950" s="43" t="n">
        <v>-23.548238</v>
      </c>
      <c r="C21950" s="43" t="n">
        <v>-46.629756</v>
      </c>
      <c r="D21950" s="43" t="n">
        <v>5</v>
      </c>
      <c r="E21950" s="44" t="n">
        <v>68.62582399999999</v>
      </c>
    </row>
    <row r="21951">
      <c r="A21951" s="39">
        <f>_xlfn.XLOOKUP(84526,Trip[shape_id],Trip[shape_id],"Não encontrado")</f>
        <v/>
      </c>
      <c r="B21951" s="40" t="n">
        <v>-23.548303</v>
      </c>
      <c r="C21951" s="40" t="n">
        <v>-46.629779</v>
      </c>
      <c r="D21951" s="40" t="n">
        <v>6</v>
      </c>
      <c r="E21951" s="41" t="n">
        <v>81.174126</v>
      </c>
    </row>
    <row r="21952">
      <c r="A21952" s="42">
        <f>_xlfn.XLOOKUP(84526,Trip[shape_id],Trip[shape_id],"Não encontrado")</f>
        <v/>
      </c>
      <c r="B21952" s="43" t="n">
        <v>-23.548416</v>
      </c>
      <c r="C21952" s="43" t="n">
        <v>-46.629788</v>
      </c>
      <c r="D21952" s="43" t="n">
        <v>7</v>
      </c>
      <c r="E21952" s="44" t="n">
        <v>81.174126</v>
      </c>
    </row>
    <row r="21953">
      <c r="A21953" s="39">
        <f>_xlfn.XLOOKUP(84526,Trip[shape_id],Trip[shape_id],"Não encontrado")</f>
        <v/>
      </c>
      <c r="B21953" s="40" t="n">
        <v>-23.548546</v>
      </c>
      <c r="C21953" s="40" t="n">
        <v>-46.629701</v>
      </c>
      <c r="D21953" s="40" t="n">
        <v>8</v>
      </c>
      <c r="E21953" s="41" t="n">
        <v>98.091545</v>
      </c>
    </row>
    <row r="21954">
      <c r="A21954" s="42">
        <f>_xlfn.XLOOKUP(84526,Trip[shape_id],Trip[shape_id],"Não encontrado")</f>
        <v/>
      </c>
      <c r="B21954" s="43" t="n">
        <v>-23.549058</v>
      </c>
      <c r="C21954" s="43" t="n">
        <v>-46.629332</v>
      </c>
      <c r="D21954" s="43" t="n">
        <v>9</v>
      </c>
      <c r="E21954" s="44" t="n">
        <v>166.17188</v>
      </c>
    </row>
    <row r="21955">
      <c r="A21955" s="39">
        <f>_xlfn.XLOOKUP(84526,Trip[shape_id],Trip[shape_id],"Não encontrado")</f>
        <v/>
      </c>
      <c r="B21955" s="40" t="n">
        <v>-23.549206</v>
      </c>
      <c r="C21955" s="40" t="n">
        <v>-46.629229</v>
      </c>
      <c r="D21955" s="40" t="n">
        <v>10</v>
      </c>
      <c r="E21955" s="41" t="n">
        <v>207.99002</v>
      </c>
    </row>
    <row r="21956">
      <c r="A21956" s="42">
        <f>_xlfn.XLOOKUP(84526,Trip[shape_id],Trip[shape_id],"Não encontrado")</f>
        <v/>
      </c>
      <c r="B21956" s="43" t="n">
        <v>-23.549383</v>
      </c>
      <c r="C21956" s="43" t="n">
        <v>-46.629124</v>
      </c>
      <c r="D21956" s="43" t="n">
        <v>11</v>
      </c>
      <c r="E21956" s="44" t="n">
        <v>207.99002</v>
      </c>
    </row>
    <row r="21957">
      <c r="A21957" s="39">
        <f>_xlfn.XLOOKUP(84526,Trip[shape_id],Trip[shape_id],"Não encontrado")</f>
        <v/>
      </c>
      <c r="B21957" s="40" t="n">
        <v>-23.54953</v>
      </c>
      <c r="C21957" s="40" t="n">
        <v>-46.629071</v>
      </c>
      <c r="D21957" s="40" t="n">
        <v>12</v>
      </c>
      <c r="E21957" s="41" t="n">
        <v>248.33487</v>
      </c>
    </row>
    <row r="21958">
      <c r="A21958" s="42">
        <f>_xlfn.XLOOKUP(84526,Trip[shape_id],Trip[shape_id],"Não encontrado")</f>
        <v/>
      </c>
      <c r="B21958" s="43" t="n">
        <v>-23.54971</v>
      </c>
      <c r="C21958" s="43" t="n">
        <v>-46.628955</v>
      </c>
      <c r="D21958" s="43" t="n">
        <v>13</v>
      </c>
      <c r="E21958" s="44" t="n">
        <v>248.33487</v>
      </c>
    </row>
    <row r="21959">
      <c r="A21959" s="39">
        <f>_xlfn.XLOOKUP(84526,Trip[shape_id],Trip[shape_id],"Não encontrado")</f>
        <v/>
      </c>
      <c r="B21959" s="40" t="n">
        <v>-23.54996</v>
      </c>
      <c r="C21959" s="40" t="n">
        <v>-46.628791</v>
      </c>
      <c r="D21959" s="40" t="n">
        <v>14</v>
      </c>
      <c r="E21959" s="41" t="n">
        <v>280.6925</v>
      </c>
    </row>
    <row r="21960">
      <c r="A21960" s="42">
        <f>_xlfn.XLOOKUP(84526,Trip[shape_id],Trip[shape_id],"Não encontrado")</f>
        <v/>
      </c>
      <c r="B21960" s="43" t="n">
        <v>-23.550053</v>
      </c>
      <c r="C21960" s="43" t="n">
        <v>-46.628713</v>
      </c>
      <c r="D21960" s="43" t="n">
        <v>15</v>
      </c>
      <c r="E21960" s="44" t="n">
        <v>313.5307</v>
      </c>
    </row>
    <row r="21961">
      <c r="A21961" s="39">
        <f>_xlfn.XLOOKUP(84526,Trip[shape_id],Trip[shape_id],"Não encontrado")</f>
        <v/>
      </c>
      <c r="B21961" s="40" t="n">
        <v>-23.550208</v>
      </c>
      <c r="C21961" s="40" t="n">
        <v>-46.628616</v>
      </c>
      <c r="D21961" s="40" t="n">
        <v>16</v>
      </c>
      <c r="E21961" s="41" t="n">
        <v>373.17996</v>
      </c>
    </row>
    <row r="21962">
      <c r="A21962" s="42">
        <f>_xlfn.XLOOKUP(84526,Trip[shape_id],Trip[shape_id],"Não encontrado")</f>
        <v/>
      </c>
      <c r="B21962" s="43" t="n">
        <v>-23.550658</v>
      </c>
      <c r="C21962" s="43" t="n">
        <v>-46.628295</v>
      </c>
      <c r="D21962" s="43" t="n">
        <v>17</v>
      </c>
      <c r="E21962" s="44" t="n">
        <v>373.17996</v>
      </c>
    </row>
    <row r="21963">
      <c r="A21963" s="39">
        <f>_xlfn.XLOOKUP(84526,Trip[shape_id],Trip[shape_id],"Não encontrado")</f>
        <v/>
      </c>
      <c r="B21963" s="40" t="n">
        <v>-23.55092</v>
      </c>
      <c r="C21963" s="40" t="n">
        <v>-46.628114</v>
      </c>
      <c r="D21963" s="40" t="n">
        <v>18</v>
      </c>
      <c r="E21963" s="41" t="n">
        <v>487.37024</v>
      </c>
    </row>
    <row r="21964">
      <c r="A21964" s="42">
        <f>_xlfn.XLOOKUP(84526,Trip[shape_id],Trip[shape_id],"Não encontrado")</f>
        <v/>
      </c>
      <c r="B21964" s="43" t="n">
        <v>-23.551535</v>
      </c>
      <c r="C21964" s="43" t="n">
        <v>-46.627707</v>
      </c>
      <c r="D21964" s="43" t="n">
        <v>19</v>
      </c>
      <c r="E21964" s="44" t="n">
        <v>487.37024</v>
      </c>
    </row>
    <row r="21965">
      <c r="A21965" s="39">
        <f>_xlfn.XLOOKUP(84526,Trip[shape_id],Trip[shape_id],"Não encontrado")</f>
        <v/>
      </c>
      <c r="B21965" s="40" t="n">
        <v>-23.551917</v>
      </c>
      <c r="C21965" s="40" t="n">
        <v>-46.627463</v>
      </c>
      <c r="D21965" s="40" t="n">
        <v>20</v>
      </c>
      <c r="E21965" s="41" t="n">
        <v>536.46747</v>
      </c>
    </row>
    <row r="21966">
      <c r="A21966" s="42">
        <f>_xlfn.XLOOKUP(84526,Trip[shape_id],Trip[shape_id],"Não encontrado")</f>
        <v/>
      </c>
      <c r="B21966" s="43" t="n">
        <v>-23.552167</v>
      </c>
      <c r="C21966" s="43" t="n">
        <v>-46.627317</v>
      </c>
      <c r="D21966" s="43" t="n">
        <v>21</v>
      </c>
      <c r="E21966" s="44" t="n">
        <v>567.91309</v>
      </c>
    </row>
    <row r="21967">
      <c r="A21967" s="39">
        <f>_xlfn.XLOOKUP(84526,Trip[shape_id],Trip[shape_id],"Não encontrado")</f>
        <v/>
      </c>
      <c r="B21967" s="40" t="n">
        <v>-23.552618</v>
      </c>
      <c r="C21967" s="40" t="n">
        <v>-46.627152</v>
      </c>
      <c r="D21967" s="40" t="n">
        <v>22</v>
      </c>
      <c r="E21967" s="41" t="n">
        <v>647.4967</v>
      </c>
    </row>
    <row r="21968">
      <c r="A21968" s="42">
        <f>_xlfn.XLOOKUP(84526,Trip[shape_id],Trip[shape_id],"Não encontrado")</f>
        <v/>
      </c>
      <c r="B21968" s="43" t="n">
        <v>-23.55285</v>
      </c>
      <c r="C21968" s="43" t="n">
        <v>-46.627075</v>
      </c>
      <c r="D21968" s="43" t="n">
        <v>23</v>
      </c>
      <c r="E21968" s="44" t="n">
        <v>659.52161</v>
      </c>
    </row>
    <row r="21969">
      <c r="A21969" s="39">
        <f>_xlfn.XLOOKUP(84526,Trip[shape_id],Trip[shape_id],"Não encontrado")</f>
        <v/>
      </c>
      <c r="B21969" s="40" t="n">
        <v>-23.552957</v>
      </c>
      <c r="C21969" s="40" t="n">
        <v>-46.627055</v>
      </c>
      <c r="D21969" s="40" t="n">
        <v>24</v>
      </c>
      <c r="E21969" s="41" t="n">
        <v>659.52161</v>
      </c>
    </row>
    <row r="21970">
      <c r="A21970" s="42">
        <f>_xlfn.XLOOKUP(84526,Trip[shape_id],Trip[shape_id],"Não encontrado")</f>
        <v/>
      </c>
      <c r="B21970" s="43" t="n">
        <v>-23.553301</v>
      </c>
      <c r="C21970" s="43" t="n">
        <v>-46.626806</v>
      </c>
      <c r="D21970" s="43" t="n">
        <v>25</v>
      </c>
      <c r="E21970" s="44" t="n">
        <v>715.89197</v>
      </c>
    </row>
    <row r="21971">
      <c r="A21971" s="39">
        <f>_xlfn.XLOOKUP(84526,Trip[shape_id],Trip[shape_id],"Não encontrado")</f>
        <v/>
      </c>
      <c r="B21971" s="40" t="n">
        <v>-23.553376</v>
      </c>
      <c r="C21971" s="40" t="n">
        <v>-46.626742</v>
      </c>
      <c r="D21971" s="40" t="n">
        <v>26</v>
      </c>
      <c r="E21971" s="41" t="n">
        <v>722.05701</v>
      </c>
    </row>
    <row r="21972">
      <c r="A21972" s="42">
        <f>_xlfn.XLOOKUP(84526,Trip[shape_id],Trip[shape_id],"Não encontrado")</f>
        <v/>
      </c>
      <c r="B21972" s="43" t="n">
        <v>-23.553416</v>
      </c>
      <c r="C21972" s="43" t="n">
        <v>-46.6267</v>
      </c>
      <c r="D21972" s="43" t="n">
        <v>27</v>
      </c>
      <c r="E21972" s="44" t="n">
        <v>726.33746</v>
      </c>
    </row>
    <row r="21973">
      <c r="A21973" s="39">
        <f>_xlfn.XLOOKUP(84526,Trip[shape_id],Trip[shape_id],"Não encontrado")</f>
        <v/>
      </c>
      <c r="B21973" s="40" t="n">
        <v>-23.553443</v>
      </c>
      <c r="C21973" s="40" t="n">
        <v>-46.62667</v>
      </c>
      <c r="D21973" s="40" t="n">
        <v>28</v>
      </c>
      <c r="E21973" s="41" t="n">
        <v>749.09644</v>
      </c>
    </row>
    <row r="21974">
      <c r="A21974" s="42">
        <f>_xlfn.XLOOKUP(84526,Trip[shape_id],Trip[shape_id],"Não encontrado")</f>
        <v/>
      </c>
      <c r="B21974" s="43" t="n">
        <v>-23.553559</v>
      </c>
      <c r="C21974" s="43" t="n">
        <v>-46.626486</v>
      </c>
      <c r="D21974" s="43" t="n">
        <v>29</v>
      </c>
      <c r="E21974" s="44" t="n">
        <v>749.09644</v>
      </c>
    </row>
    <row r="21975">
      <c r="A21975" s="39">
        <f>_xlfn.XLOOKUP(84526,Trip[shape_id],Trip[shape_id],"Não encontrado")</f>
        <v/>
      </c>
      <c r="B21975" s="40" t="n">
        <v>-23.55359</v>
      </c>
      <c r="C21975" s="40" t="n">
        <v>-46.626378</v>
      </c>
      <c r="D21975" s="40" t="n">
        <v>30</v>
      </c>
      <c r="E21975" s="41" t="n">
        <v>768.70465</v>
      </c>
    </row>
    <row r="21976">
      <c r="A21976" s="42">
        <f>_xlfn.XLOOKUP(84526,Trip[shape_id],Trip[shape_id],"Não encontrado")</f>
        <v/>
      </c>
      <c r="B21976" s="43" t="n">
        <v>-23.553606</v>
      </c>
      <c r="C21976" s="43" t="n">
        <v>-46.626301</v>
      </c>
      <c r="D21976" s="43" t="n">
        <v>31</v>
      </c>
      <c r="E21976" s="44" t="n">
        <v>779.11713</v>
      </c>
    </row>
    <row r="21977">
      <c r="A21977" s="39">
        <f>_xlfn.XLOOKUP(84526,Trip[shape_id],Trip[shape_id],"Não encontrado")</f>
        <v/>
      </c>
      <c r="B21977" s="40" t="n">
        <v>-23.553619</v>
      </c>
      <c r="C21977" s="40" t="n">
        <v>-46.6262</v>
      </c>
      <c r="D21977" s="40" t="n">
        <v>32</v>
      </c>
      <c r="E21977" s="41" t="n">
        <v>791.7851000000001</v>
      </c>
    </row>
    <row r="21978">
      <c r="A21978" s="42">
        <f>_xlfn.XLOOKUP(84526,Trip[shape_id],Trip[shape_id],"Não encontrado")</f>
        <v/>
      </c>
      <c r="B21978" s="43" t="n">
        <v>-23.553615</v>
      </c>
      <c r="C21978" s="43" t="n">
        <v>-46.626076</v>
      </c>
      <c r="D21978" s="43" t="n">
        <v>33</v>
      </c>
      <c r="E21978" s="44" t="n">
        <v>807.1171900000001</v>
      </c>
    </row>
    <row r="21979">
      <c r="A21979" s="39">
        <f>_xlfn.XLOOKUP(84526,Trip[shape_id],Trip[shape_id],"Não encontrado")</f>
        <v/>
      </c>
      <c r="B21979" s="40" t="n">
        <v>-23.553579</v>
      </c>
      <c r="C21979" s="40" t="n">
        <v>-46.625931</v>
      </c>
      <c r="D21979" s="40" t="n">
        <v>34</v>
      </c>
      <c r="E21979" s="41" t="n">
        <v>837.53662</v>
      </c>
    </row>
    <row r="21980">
      <c r="A21980" s="42">
        <f>_xlfn.XLOOKUP(84526,Trip[shape_id],Trip[shape_id],"Não encontrado")</f>
        <v/>
      </c>
      <c r="B21980" s="43" t="n">
        <v>-23.553469</v>
      </c>
      <c r="C21980" s="43" t="n">
        <v>-46.625658</v>
      </c>
      <c r="D21980" s="43" t="n">
        <v>35</v>
      </c>
      <c r="E21980" s="44" t="n">
        <v>837.53662</v>
      </c>
    </row>
    <row r="21981">
      <c r="A21981" s="39">
        <f>_xlfn.XLOOKUP(84526,Trip[shape_id],Trip[shape_id],"Não encontrado")</f>
        <v/>
      </c>
      <c r="B21981" s="40" t="n">
        <v>-23.553388</v>
      </c>
      <c r="C21981" s="40" t="n">
        <v>-46.625552</v>
      </c>
      <c r="D21981" s="40" t="n">
        <v>36</v>
      </c>
      <c r="E21981" s="41" t="n">
        <v>866.00006</v>
      </c>
    </row>
    <row r="21982">
      <c r="A21982" s="42">
        <f>_xlfn.XLOOKUP(84526,Trip[shape_id],Trip[shape_id],"Não encontrado")</f>
        <v/>
      </c>
      <c r="B21982" s="43" t="n">
        <v>-23.553279</v>
      </c>
      <c r="C21982" s="43" t="n">
        <v>-46.625475</v>
      </c>
      <c r="D21982" s="43" t="n">
        <v>37</v>
      </c>
      <c r="E21982" s="44" t="n">
        <v>866.00006</v>
      </c>
    </row>
    <row r="21983">
      <c r="A21983" s="39">
        <f>_xlfn.XLOOKUP(84526,Trip[shape_id],Trip[shape_id],"Não encontrado")</f>
        <v/>
      </c>
      <c r="B21983" s="40" t="n">
        <v>-23.553102</v>
      </c>
      <c r="C21983" s="40" t="n">
        <v>-46.625401</v>
      </c>
      <c r="D21983" s="40" t="n">
        <v>38</v>
      </c>
      <c r="E21983" s="41" t="n">
        <v>897.92542</v>
      </c>
    </row>
    <row r="21984">
      <c r="A21984" s="42">
        <f>_xlfn.XLOOKUP(84526,Trip[shape_id],Trip[shape_id],"Não encontrado")</f>
        <v/>
      </c>
      <c r="B21984" s="43" t="n">
        <v>-23.553005</v>
      </c>
      <c r="C21984" s="43" t="n">
        <v>-46.625382</v>
      </c>
      <c r="D21984" s="43" t="n">
        <v>39</v>
      </c>
      <c r="E21984" s="44" t="n">
        <v>905.07349</v>
      </c>
    </row>
    <row r="21985">
      <c r="A21985" s="39">
        <f>_xlfn.XLOOKUP(84526,Trip[shape_id],Trip[shape_id],"Não encontrado")</f>
        <v/>
      </c>
      <c r="B21985" s="40" t="n">
        <v>-23.552941</v>
      </c>
      <c r="C21985" s="40" t="n">
        <v>-46.625373</v>
      </c>
      <c r="D21985" s="40" t="n">
        <v>40</v>
      </c>
      <c r="E21985" s="41" t="n">
        <v>920.36591</v>
      </c>
    </row>
    <row r="21986">
      <c r="A21986" s="42">
        <f>_xlfn.XLOOKUP(84526,Trip[shape_id],Trip[shape_id],"Não encontrado")</f>
        <v/>
      </c>
      <c r="B21986" s="43" t="n">
        <v>-23.552803</v>
      </c>
      <c r="C21986" s="43" t="n">
        <v>-46.625378</v>
      </c>
      <c r="D21986" s="43" t="n">
        <v>41</v>
      </c>
      <c r="E21986" s="44" t="n">
        <v>944.80066</v>
      </c>
    </row>
    <row r="21987">
      <c r="A21987" s="39">
        <f>_xlfn.XLOOKUP(84526,Trip[shape_id],Trip[shape_id],"Não encontrado")</f>
        <v/>
      </c>
      <c r="B21987" s="40" t="n">
        <v>-23.552583</v>
      </c>
      <c r="C21987" s="40" t="n">
        <v>-46.625396</v>
      </c>
      <c r="D21987" s="40" t="n">
        <v>42</v>
      </c>
      <c r="E21987" s="41" t="n">
        <v>944.80066</v>
      </c>
    </row>
    <row r="21988">
      <c r="A21988" s="42">
        <f>_xlfn.XLOOKUP(84526,Trip[shape_id],Trip[shape_id],"Não encontrado")</f>
        <v/>
      </c>
      <c r="B21988" s="43" t="n">
        <v>-23.552335</v>
      </c>
      <c r="C21988" s="43" t="n">
        <v>-46.62536</v>
      </c>
      <c r="D21988" s="43" t="n">
        <v>43</v>
      </c>
      <c r="E21988" s="44" t="n">
        <v>993.45038</v>
      </c>
    </row>
    <row r="21989">
      <c r="A21989" s="39">
        <f>_xlfn.XLOOKUP(84526,Trip[shape_id],Trip[shape_id],"Não encontrado")</f>
        <v/>
      </c>
      <c r="B21989" s="40" t="n">
        <v>-23.552156</v>
      </c>
      <c r="C21989" s="40" t="n">
        <v>-46.625294</v>
      </c>
      <c r="D21989" s="40" t="n">
        <v>44</v>
      </c>
      <c r="E21989" s="41" t="n">
        <v>1004.6458</v>
      </c>
    </row>
    <row r="21990">
      <c r="A21990" s="42">
        <f>_xlfn.XLOOKUP(84526,Trip[shape_id],Trip[shape_id],"Não encontrado")</f>
        <v/>
      </c>
      <c r="B21990" s="43" t="n">
        <v>-23.552072</v>
      </c>
      <c r="C21990" s="43" t="n">
        <v>-46.625233</v>
      </c>
      <c r="D21990" s="43" t="n">
        <v>45</v>
      </c>
      <c r="E21990" s="44" t="n">
        <v>1016.5767</v>
      </c>
    </row>
    <row r="21991">
      <c r="A21991" s="39">
        <f>_xlfn.XLOOKUP(84526,Trip[shape_id],Trip[shape_id],"Não encontrado")</f>
        <v/>
      </c>
      <c r="B21991" s="40" t="n">
        <v>-23.552008</v>
      </c>
      <c r="C21991" s="40" t="n">
        <v>-46.625139</v>
      </c>
      <c r="D21991" s="40" t="n">
        <v>46</v>
      </c>
      <c r="E21991" s="41" t="n">
        <v>1025.2014</v>
      </c>
    </row>
    <row r="21992">
      <c r="A21992" s="42">
        <f>_xlfn.XLOOKUP(84526,Trip[shape_id],Trip[shape_id],"Não encontrado")</f>
        <v/>
      </c>
      <c r="B21992" s="43" t="n">
        <v>-23.551974</v>
      </c>
      <c r="C21992" s="43" t="n">
        <v>-46.625063</v>
      </c>
      <c r="D21992" s="43" t="n">
        <v>47</v>
      </c>
      <c r="E21992" s="44" t="n">
        <v>1035.9701</v>
      </c>
    </row>
    <row r="21993">
      <c r="A21993" s="39">
        <f>_xlfn.XLOOKUP(84526,Trip[shape_id],Trip[shape_id],"Não encontrado")</f>
        <v/>
      </c>
      <c r="B21993" s="40" t="n">
        <v>-23.551946</v>
      </c>
      <c r="C21993" s="40" t="n">
        <v>-46.624962</v>
      </c>
      <c r="D21993" s="40" t="n">
        <v>48</v>
      </c>
      <c r="E21993" s="41" t="n">
        <v>1035.9701</v>
      </c>
    </row>
    <row r="21994">
      <c r="A21994" s="42">
        <f>_xlfn.XLOOKUP(84526,Trip[shape_id],Trip[shape_id],"Não encontrado")</f>
        <v/>
      </c>
      <c r="B21994" s="43" t="n">
        <v>-23.551936</v>
      </c>
      <c r="C21994" s="43" t="n">
        <v>-46.624832</v>
      </c>
      <c r="D21994" s="43" t="n">
        <v>49</v>
      </c>
      <c r="E21994" s="44" t="n">
        <v>1063.4813</v>
      </c>
    </row>
    <row r="21995">
      <c r="A21995" s="39">
        <f>_xlfn.XLOOKUP(84526,Trip[shape_id],Trip[shape_id],"Não encontrado")</f>
        <v/>
      </c>
      <c r="B21995" s="40" t="n">
        <v>-23.551936</v>
      </c>
      <c r="C21995" s="40" t="n">
        <v>-46.624693</v>
      </c>
      <c r="D21995" s="40" t="n">
        <v>50</v>
      </c>
      <c r="E21995" s="41" t="n">
        <v>1077.8851</v>
      </c>
    </row>
    <row r="21996">
      <c r="A21996" s="42">
        <f>_xlfn.XLOOKUP(84526,Trip[shape_id],Trip[shape_id],"Não encontrado")</f>
        <v/>
      </c>
      <c r="B21996" s="43" t="n">
        <v>-23.551952</v>
      </c>
      <c r="C21996" s="43" t="n">
        <v>-46.624553</v>
      </c>
      <c r="D21996" s="43" t="n">
        <v>51</v>
      </c>
      <c r="E21996" s="44" t="n">
        <v>1095.8896</v>
      </c>
    </row>
    <row r="21997">
      <c r="A21997" s="39">
        <f>_xlfn.XLOOKUP(84526,Trip[shape_id],Trip[shape_id],"Não encontrado")</f>
        <v/>
      </c>
      <c r="B21997" s="40" t="n">
        <v>-23.551972</v>
      </c>
      <c r="C21997" s="40" t="n">
        <v>-46.624378</v>
      </c>
      <c r="D21997" s="40" t="n">
        <v>52</v>
      </c>
      <c r="E21997" s="41" t="n">
        <v>1095.8896</v>
      </c>
    </row>
    <row r="21998">
      <c r="A21998" s="42">
        <f>_xlfn.XLOOKUP(84526,Trip[shape_id],Trip[shape_id],"Não encontrado")</f>
        <v/>
      </c>
      <c r="B21998" s="43" t="n">
        <v>-23.552076</v>
      </c>
      <c r="C21998" s="43" t="n">
        <v>-46.623527</v>
      </c>
      <c r="D21998" s="43" t="n">
        <v>53</v>
      </c>
      <c r="E21998" s="44" t="n">
        <v>1183.5377</v>
      </c>
    </row>
    <row r="21999">
      <c r="A21999" s="39">
        <f>_xlfn.XLOOKUP(84526,Trip[shape_id],Trip[shape_id],"Não encontrado")</f>
        <v/>
      </c>
      <c r="B21999" s="40" t="n">
        <v>-23.552216</v>
      </c>
      <c r="C21999" s="40" t="n">
        <v>-46.622403</v>
      </c>
      <c r="D21999" s="40" t="n">
        <v>54</v>
      </c>
      <c r="E21999" s="41" t="n">
        <v>1299.3417</v>
      </c>
    </row>
    <row r="22000">
      <c r="A22000" s="42">
        <f>_xlfn.XLOOKUP(84526,Trip[shape_id],Trip[shape_id],"Não encontrado")</f>
        <v/>
      </c>
      <c r="B22000" s="43" t="n">
        <v>-23.552249</v>
      </c>
      <c r="C22000" s="43" t="n">
        <v>-46.622129</v>
      </c>
      <c r="D22000" s="43" t="n">
        <v>55</v>
      </c>
      <c r="E22000" s="44" t="n">
        <v>1337.0007</v>
      </c>
    </row>
    <row r="22001">
      <c r="A22001" s="39">
        <f>_xlfn.XLOOKUP(84526,Trip[shape_id],Trip[shape_id],"Não encontrado")</f>
        <v/>
      </c>
      <c r="B22001" s="40" t="n">
        <v>-23.55224</v>
      </c>
      <c r="C22001" s="40" t="n">
        <v>-46.622037</v>
      </c>
      <c r="D22001" s="40" t="n">
        <v>56</v>
      </c>
      <c r="E22001" s="41" t="n">
        <v>1349.6234</v>
      </c>
    </row>
    <row r="22002">
      <c r="A22002" s="42">
        <f>_xlfn.XLOOKUP(84526,Trip[shape_id],Trip[shape_id],"Não encontrado")</f>
        <v/>
      </c>
      <c r="B22002" s="43" t="n">
        <v>-23.552206</v>
      </c>
      <c r="C22002" s="43" t="n">
        <v>-46.621919</v>
      </c>
      <c r="D22002" s="43" t="n">
        <v>57</v>
      </c>
      <c r="E22002" s="44" t="n">
        <v>1349.6234</v>
      </c>
    </row>
    <row r="22003">
      <c r="A22003" s="39">
        <f>_xlfn.XLOOKUP(84526,Trip[shape_id],Trip[shape_id],"Não encontrado")</f>
        <v/>
      </c>
      <c r="B22003" s="40" t="n">
        <v>-23.552288</v>
      </c>
      <c r="C22003" s="40" t="n">
        <v>-46.621758</v>
      </c>
      <c r="D22003" s="40" t="n">
        <v>58</v>
      </c>
      <c r="E22003" s="41" t="n">
        <v>1368.4033</v>
      </c>
    </row>
    <row r="22004">
      <c r="A22004" s="42">
        <f>_xlfn.XLOOKUP(84526,Trip[shape_id],Trip[shape_id],"Não encontrado")</f>
        <v/>
      </c>
      <c r="B22004" s="43" t="n">
        <v>-23.552395</v>
      </c>
      <c r="C22004" s="43" t="n">
        <v>-46.621124</v>
      </c>
      <c r="D22004" s="43" t="n">
        <v>59</v>
      </c>
      <c r="E22004" s="44" t="n">
        <v>1521.7284</v>
      </c>
    </row>
    <row r="22005">
      <c r="A22005" s="39">
        <f>_xlfn.XLOOKUP(84526,Trip[shape_id],Trip[shape_id],"Não encontrado")</f>
        <v/>
      </c>
      <c r="B22005" s="40" t="n">
        <v>-23.552497</v>
      </c>
      <c r="C22005" s="40" t="n">
        <v>-46.620274</v>
      </c>
      <c r="D22005" s="40" t="n">
        <v>60</v>
      </c>
      <c r="E22005" s="41" t="n">
        <v>1521.7284</v>
      </c>
    </row>
    <row r="22006">
      <c r="A22006" s="42">
        <f>_xlfn.XLOOKUP(84526,Trip[shape_id],Trip[shape_id],"Não encontrado")</f>
        <v/>
      </c>
      <c r="B22006" s="43" t="n">
        <v>-23.552631</v>
      </c>
      <c r="C22006" s="43" t="n">
        <v>-46.619089</v>
      </c>
      <c r="D22006" s="43" t="n">
        <v>61</v>
      </c>
      <c r="E22006" s="44" t="n">
        <v>1643.6243</v>
      </c>
    </row>
    <row r="22007">
      <c r="A22007" s="39">
        <f>_xlfn.XLOOKUP(84526,Trip[shape_id],Trip[shape_id],"Não encontrado")</f>
        <v/>
      </c>
      <c r="B22007" s="40" t="n">
        <v>-23.552636</v>
      </c>
      <c r="C22007" s="40" t="n">
        <v>-46.619015</v>
      </c>
      <c r="D22007" s="40" t="n">
        <v>62</v>
      </c>
      <c r="E22007" s="41" t="n">
        <v>1651.2001</v>
      </c>
    </row>
    <row r="22008">
      <c r="A22008" s="42">
        <f>_xlfn.XLOOKUP(84526,Trip[shape_id],Trip[shape_id],"Não encontrado")</f>
        <v/>
      </c>
      <c r="B22008" s="43" t="n">
        <v>-23.552707</v>
      </c>
      <c r="C22008" s="43" t="n">
        <v>-46.618652</v>
      </c>
      <c r="D22008" s="43" t="n">
        <v>63</v>
      </c>
      <c r="E22008" s="44" t="n">
        <v>1782.6447</v>
      </c>
    </row>
    <row r="22009">
      <c r="A22009" s="39">
        <f>_xlfn.XLOOKUP(84526,Trip[shape_id],Trip[shape_id],"Não encontrado")</f>
        <v/>
      </c>
      <c r="B22009" s="40" t="n">
        <v>-23.552789</v>
      </c>
      <c r="C22009" s="40" t="n">
        <v>-46.61774</v>
      </c>
      <c r="D22009" s="40" t="n">
        <v>64</v>
      </c>
      <c r="E22009" s="41" t="n">
        <v>1873.3461</v>
      </c>
    </row>
    <row r="22010">
      <c r="A22010" s="42">
        <f>_xlfn.XLOOKUP(84526,Trip[shape_id],Trip[shape_id],"Não encontrado")</f>
        <v/>
      </c>
      <c r="B22010" s="43" t="n">
        <v>-23.55287</v>
      </c>
      <c r="C22010" s="43" t="n">
        <v>-46.616856</v>
      </c>
      <c r="D22010" s="43" t="n">
        <v>65</v>
      </c>
      <c r="E22010" s="44" t="n">
        <v>1873.3461</v>
      </c>
    </row>
    <row r="22011">
      <c r="A22011" s="39">
        <f>_xlfn.XLOOKUP(84526,Trip[shape_id],Trip[shape_id],"Não encontrado")</f>
        <v/>
      </c>
      <c r="B22011" s="40" t="n">
        <v>-23.552957</v>
      </c>
      <c r="C22011" s="40" t="n">
        <v>-46.615972</v>
      </c>
      <c r="D22011" s="40" t="n">
        <v>66</v>
      </c>
      <c r="E22011" s="41" t="n">
        <v>1964.1156</v>
      </c>
    </row>
    <row r="22012">
      <c r="A22012" s="42">
        <f>_xlfn.XLOOKUP(84526,Trip[shape_id],Trip[shape_id],"Não encontrado")</f>
        <v/>
      </c>
      <c r="B22012" s="43" t="n">
        <v>-23.552997</v>
      </c>
      <c r="C22012" s="43" t="n">
        <v>-46.615522</v>
      </c>
      <c r="D22012" s="43" t="n">
        <v>67</v>
      </c>
      <c r="E22012" s="44" t="n">
        <v>2010.2737</v>
      </c>
    </row>
    <row r="22013">
      <c r="A22013" s="39">
        <f>_xlfn.XLOOKUP(84526,Trip[shape_id],Trip[shape_id],"Não encontrado")</f>
        <v/>
      </c>
      <c r="B22013" s="40" t="n">
        <v>-23.553032</v>
      </c>
      <c r="C22013" s="40" t="n">
        <v>-46.615153</v>
      </c>
      <c r="D22013" s="40" t="n">
        <v>68</v>
      </c>
      <c r="E22013" s="41" t="n">
        <v>2048.1475</v>
      </c>
    </row>
    <row r="22014">
      <c r="A22014" s="42">
        <f>_xlfn.XLOOKUP(84526,Trip[shape_id],Trip[shape_id],"Não encontrado")</f>
        <v/>
      </c>
      <c r="B22014" s="43" t="n">
        <v>-23.553123</v>
      </c>
      <c r="C22014" s="43" t="n">
        <v>-46.614253</v>
      </c>
      <c r="D22014" s="43" t="n">
        <v>69</v>
      </c>
      <c r="E22014" s="44" t="n">
        <v>2140.5886</v>
      </c>
    </row>
    <row r="22015">
      <c r="A22015" s="39">
        <f>_xlfn.XLOOKUP(84526,Trip[shape_id],Trip[shape_id],"Não encontrado")</f>
        <v/>
      </c>
      <c r="B22015" s="40" t="n">
        <v>-23.553141</v>
      </c>
      <c r="C22015" s="40" t="n">
        <v>-46.614077</v>
      </c>
      <c r="D22015" s="40" t="n">
        <v>70</v>
      </c>
      <c r="E22015" s="41" t="n">
        <v>2158.6685</v>
      </c>
    </row>
    <row r="22016">
      <c r="A22016" s="42">
        <f>_xlfn.XLOOKUP(84526,Trip[shape_id],Trip[shape_id],"Não encontrado")</f>
        <v/>
      </c>
      <c r="B22016" s="43" t="n">
        <v>-23.553162</v>
      </c>
      <c r="C22016" s="43" t="n">
        <v>-46.613841</v>
      </c>
      <c r="D22016" s="43" t="n">
        <v>71</v>
      </c>
      <c r="E22016" s="44" t="n">
        <v>2182.876</v>
      </c>
    </row>
    <row r="22017">
      <c r="A22017" s="39">
        <f>_xlfn.XLOOKUP(84526,Trip[shape_id],Trip[shape_id],"Não encontrado")</f>
        <v/>
      </c>
      <c r="B22017" s="40" t="n">
        <v>-23.553191</v>
      </c>
      <c r="C22017" s="40" t="n">
        <v>-46.613465</v>
      </c>
      <c r="D22017" s="40" t="n">
        <v>72</v>
      </c>
      <c r="E22017" s="41" t="n">
        <v>2221.3999</v>
      </c>
    </row>
    <row r="22018">
      <c r="A22018" s="42">
        <f>_xlfn.XLOOKUP(84526,Trip[shape_id],Trip[shape_id],"Não encontrado")</f>
        <v/>
      </c>
      <c r="B22018" s="43" t="n">
        <v>-23.553187</v>
      </c>
      <c r="C22018" s="43" t="n">
        <v>-46.613351</v>
      </c>
      <c r="D22018" s="43" t="n">
        <v>73</v>
      </c>
      <c r="E22018" s="44" t="n">
        <v>2233.0479</v>
      </c>
    </row>
    <row r="22019">
      <c r="A22019" s="39">
        <f>_xlfn.XLOOKUP(84526,Trip[shape_id],Trip[shape_id],"Não encontrado")</f>
        <v/>
      </c>
      <c r="B22019" s="40" t="n">
        <v>-23.553186</v>
      </c>
      <c r="C22019" s="40" t="n">
        <v>-46.613283</v>
      </c>
      <c r="D22019" s="40" t="n">
        <v>74</v>
      </c>
      <c r="E22019" s="41" t="n">
        <v>2275.937</v>
      </c>
    </row>
    <row r="22020">
      <c r="A22020" s="42">
        <f>_xlfn.XLOOKUP(84526,Trip[shape_id],Trip[shape_id],"Não encontrado")</f>
        <v/>
      </c>
      <c r="B22020" s="43" t="n">
        <v>-23.553192</v>
      </c>
      <c r="C22020" s="43" t="n">
        <v>-46.612931</v>
      </c>
      <c r="D22020" s="43" t="n">
        <v>75</v>
      </c>
      <c r="E22020" s="44" t="n">
        <v>2296.3936</v>
      </c>
    </row>
    <row r="22021">
      <c r="A22021" s="39">
        <f>_xlfn.XLOOKUP(84526,Trip[shape_id],Trip[shape_id],"Não encontrado")</f>
        <v/>
      </c>
      <c r="B22021" s="40" t="n">
        <v>-23.553181</v>
      </c>
      <c r="C22021" s="40" t="n">
        <v>-46.612731</v>
      </c>
      <c r="D22021" s="40" t="n">
        <v>76</v>
      </c>
      <c r="E22021" s="41" t="n">
        <v>2330.2498</v>
      </c>
    </row>
    <row r="22022">
      <c r="A22022" s="42">
        <f>_xlfn.XLOOKUP(84526,Trip[shape_id],Trip[shape_id],"Não encontrado")</f>
        <v/>
      </c>
      <c r="B22022" s="43" t="n">
        <v>-23.553151</v>
      </c>
      <c r="C22022" s="43" t="n">
        <v>-46.612401</v>
      </c>
      <c r="D22022" s="43" t="n">
        <v>77</v>
      </c>
      <c r="E22022" s="44" t="n">
        <v>2330.2498</v>
      </c>
    </row>
    <row r="22023">
      <c r="A22023" s="39">
        <f>_xlfn.XLOOKUP(84526,Trip[shape_id],Trip[shape_id],"Não encontrado")</f>
        <v/>
      </c>
      <c r="B22023" s="40" t="n">
        <v>-23.553129</v>
      </c>
      <c r="C22023" s="40" t="n">
        <v>-46.612223</v>
      </c>
      <c r="D22023" s="40" t="n">
        <v>78</v>
      </c>
      <c r="E22023" s="41" t="n">
        <v>2386.8425</v>
      </c>
    </row>
    <row r="22024">
      <c r="A22024" s="42">
        <f>_xlfn.XLOOKUP(84526,Trip[shape_id],Trip[shape_id],"Não encontrado")</f>
        <v/>
      </c>
      <c r="B22024" s="43" t="n">
        <v>-23.553064</v>
      </c>
      <c r="C22024" s="43" t="n">
        <v>-46.611855</v>
      </c>
      <c r="D22024" s="43" t="n">
        <v>79</v>
      </c>
      <c r="E22024" s="44" t="n">
        <v>2386.8425</v>
      </c>
    </row>
    <row r="22025">
      <c r="A22025" s="39">
        <f>_xlfn.XLOOKUP(84526,Trip[shape_id],Trip[shape_id],"Não encontrado")</f>
        <v/>
      </c>
      <c r="B22025" s="40" t="n">
        <v>-23.552989</v>
      </c>
      <c r="C22025" s="40" t="n">
        <v>-46.611614</v>
      </c>
      <c r="D22025" s="40" t="n">
        <v>80</v>
      </c>
      <c r="E22025" s="41" t="n">
        <v>2430.1987</v>
      </c>
    </row>
    <row r="22026">
      <c r="A22026" s="42">
        <f>_xlfn.XLOOKUP(84526,Trip[shape_id],Trip[shape_id],"Não encontrado")</f>
        <v/>
      </c>
      <c r="B22026" s="43" t="n">
        <v>-23.552924</v>
      </c>
      <c r="C22026" s="43" t="n">
        <v>-46.611459</v>
      </c>
      <c r="D22026" s="43" t="n">
        <v>81</v>
      </c>
      <c r="E22026" s="44" t="n">
        <v>2451.9998</v>
      </c>
    </row>
    <row r="22027">
      <c r="A22027" s="39">
        <f>_xlfn.XLOOKUP(84526,Trip[shape_id],Trip[shape_id],"Não encontrado")</f>
        <v/>
      </c>
      <c r="B22027" s="40" t="n">
        <v>-23.552836</v>
      </c>
      <c r="C22027" s="40" t="n">
        <v>-46.611268</v>
      </c>
      <c r="D22027" s="40" t="n">
        <v>82</v>
      </c>
      <c r="E22027" s="41" t="n">
        <v>2472.4734</v>
      </c>
    </row>
    <row r="22028">
      <c r="A22028" s="42">
        <f>_xlfn.XLOOKUP(84526,Trip[shape_id],Trip[shape_id],"Não encontrado")</f>
        <v/>
      </c>
      <c r="B22028" s="43" t="n">
        <v>-23.552721</v>
      </c>
      <c r="C22028" s="43" t="n">
        <v>-46.611111</v>
      </c>
      <c r="D22028" s="43" t="n">
        <v>83</v>
      </c>
      <c r="E22028" s="44" t="n">
        <v>2472.4734</v>
      </c>
    </row>
    <row r="22029">
      <c r="A22029" s="39">
        <f>_xlfn.XLOOKUP(84526,Trip[shape_id],Trip[shape_id],"Não encontrado")</f>
        <v/>
      </c>
      <c r="B22029" s="40" t="n">
        <v>-23.552625</v>
      </c>
      <c r="C22029" s="40" t="n">
        <v>-46.610849</v>
      </c>
      <c r="D22029" s="40" t="n">
        <v>84</v>
      </c>
      <c r="E22029" s="41" t="n">
        <v>2544.6372</v>
      </c>
    </row>
    <row r="22030">
      <c r="A22030" s="42">
        <f>_xlfn.XLOOKUP(84526,Trip[shape_id],Trip[shape_id],"Não encontrado")</f>
        <v/>
      </c>
      <c r="B22030" s="43" t="n">
        <v>-23.552448</v>
      </c>
      <c r="C22030" s="43" t="n">
        <v>-46.61047</v>
      </c>
      <c r="D22030" s="43" t="n">
        <v>85</v>
      </c>
      <c r="E22030" s="44" t="n">
        <v>2583.3789</v>
      </c>
    </row>
    <row r="22031">
      <c r="A22031" s="39">
        <f>_xlfn.XLOOKUP(84526,Trip[shape_id],Trip[shape_id],"Não encontrado")</f>
        <v/>
      </c>
      <c r="B22031" s="40" t="n">
        <v>-23.552282</v>
      </c>
      <c r="C22031" s="40" t="n">
        <v>-46.610136</v>
      </c>
      <c r="D22031" s="40" t="n">
        <v>86</v>
      </c>
      <c r="E22031" s="41" t="n">
        <v>2583.3789</v>
      </c>
    </row>
    <row r="22032">
      <c r="A22032" s="42">
        <f>_xlfn.XLOOKUP(84526,Trip[shape_id],Trip[shape_id],"Não encontrado")</f>
        <v/>
      </c>
      <c r="B22032" s="43" t="n">
        <v>-23.551475</v>
      </c>
      <c r="C22032" s="43" t="n">
        <v>-46.608603</v>
      </c>
      <c r="D22032" s="43" t="n">
        <v>87</v>
      </c>
      <c r="E22032" s="44" t="n">
        <v>2763.6204</v>
      </c>
    </row>
    <row r="22033">
      <c r="A22033" s="39">
        <f>_xlfn.XLOOKUP(84526,Trip[shape_id],Trip[shape_id],"Não encontrado")</f>
        <v/>
      </c>
      <c r="B22033" s="40" t="n">
        <v>-23.55075</v>
      </c>
      <c r="C22033" s="40" t="n">
        <v>-46.607271</v>
      </c>
      <c r="D22033" s="40" t="n">
        <v>88</v>
      </c>
      <c r="E22033" s="41" t="n">
        <v>2921.5542</v>
      </c>
    </row>
    <row r="22034">
      <c r="A22034" s="42">
        <f>_xlfn.XLOOKUP(84526,Trip[shape_id],Trip[shape_id],"Não encontrado")</f>
        <v/>
      </c>
      <c r="B22034" s="43" t="n">
        <v>-23.549673</v>
      </c>
      <c r="C22034" s="43" t="n">
        <v>-46.605316</v>
      </c>
      <c r="D22034" s="43" t="n">
        <v>89</v>
      </c>
      <c r="E22034" s="44" t="n">
        <v>3154.0876</v>
      </c>
    </row>
    <row r="22035">
      <c r="A22035" s="39">
        <f>_xlfn.XLOOKUP(84526,Trip[shape_id],Trip[shape_id],"Não encontrado")</f>
        <v/>
      </c>
      <c r="B22035" s="40" t="n">
        <v>-23.549222</v>
      </c>
      <c r="C22035" s="40" t="n">
        <v>-46.6045</v>
      </c>
      <c r="D22035" s="40" t="n">
        <v>90</v>
      </c>
      <c r="E22035" s="41" t="n">
        <v>3430.9492</v>
      </c>
    </row>
    <row r="22036">
      <c r="A22036" s="42">
        <f>_xlfn.XLOOKUP(84526,Trip[shape_id],Trip[shape_id],"Não encontrado")</f>
        <v/>
      </c>
      <c r="B22036" s="43" t="n">
        <v>-23.548382</v>
      </c>
      <c r="C22036" s="43" t="n">
        <v>-46.602994</v>
      </c>
      <c r="D22036" s="43" t="n">
        <v>91</v>
      </c>
      <c r="E22036" s="44" t="n">
        <v>3430.9492</v>
      </c>
    </row>
    <row r="22037">
      <c r="A22037" s="39">
        <f>_xlfn.XLOOKUP(84526,Trip[shape_id],Trip[shape_id],"Não encontrado")</f>
        <v/>
      </c>
      <c r="B22037" s="40" t="n">
        <v>-23.548284</v>
      </c>
      <c r="C22037" s="40" t="n">
        <v>-46.602813</v>
      </c>
      <c r="D22037" s="40" t="n">
        <v>92</v>
      </c>
      <c r="E22037" s="41" t="n">
        <v>3452.3816</v>
      </c>
    </row>
    <row r="22038">
      <c r="A22038" s="42">
        <f>_xlfn.XLOOKUP(84526,Trip[shape_id],Trip[shape_id],"Não encontrado")</f>
        <v/>
      </c>
      <c r="B22038" s="43" t="n">
        <v>-23.548186</v>
      </c>
      <c r="C22038" s="43" t="n">
        <v>-46.602642</v>
      </c>
      <c r="D22038" s="43" t="n">
        <v>93</v>
      </c>
      <c r="E22038" s="44" t="n">
        <v>3472.9402</v>
      </c>
    </row>
    <row r="22039">
      <c r="A22039" s="39">
        <f>_xlfn.XLOOKUP(84526,Trip[shape_id],Trip[shape_id],"Não encontrado")</f>
        <v/>
      </c>
      <c r="B22039" s="40" t="n">
        <v>-23.548146</v>
      </c>
      <c r="C22039" s="40" t="n">
        <v>-46.60257</v>
      </c>
      <c r="D22039" s="40" t="n">
        <v>94</v>
      </c>
      <c r="E22039" s="41" t="n">
        <v>3481.5232</v>
      </c>
    </row>
    <row r="22040">
      <c r="A22040" s="42">
        <f>_xlfn.XLOOKUP(84526,Trip[shape_id],Trip[shape_id],"Não encontrado")</f>
        <v/>
      </c>
      <c r="B22040" s="43" t="n">
        <v>-23.548102</v>
      </c>
      <c r="C22040" s="43" t="n">
        <v>-46.602311</v>
      </c>
      <c r="D22040" s="43" t="n">
        <v>95</v>
      </c>
      <c r="E22040" s="44" t="n">
        <v>3508.4133</v>
      </c>
    </row>
    <row r="22041">
      <c r="A22041" s="39">
        <f>_xlfn.XLOOKUP(84526,Trip[shape_id],Trip[shape_id],"Não encontrado")</f>
        <v/>
      </c>
      <c r="B22041" s="40" t="n">
        <v>-23.548047</v>
      </c>
      <c r="C22041" s="40" t="n">
        <v>-46.602215</v>
      </c>
      <c r="D22041" s="40" t="n">
        <v>96</v>
      </c>
      <c r="E22041" s="41" t="n">
        <v>3519.9541</v>
      </c>
    </row>
    <row r="22042">
      <c r="A22042" s="42">
        <f>_xlfn.XLOOKUP(84526,Trip[shape_id],Trip[shape_id],"Não encontrado")</f>
        <v/>
      </c>
      <c r="B22042" s="43" t="n">
        <v>-23.54792</v>
      </c>
      <c r="C22042" s="43" t="n">
        <v>-46.601921</v>
      </c>
      <c r="D22042" s="43" t="n">
        <v>97</v>
      </c>
      <c r="E22042" s="44" t="n">
        <v>3553.1045</v>
      </c>
    </row>
    <row r="22043">
      <c r="A22043" s="39">
        <f>_xlfn.XLOOKUP(84526,Trip[shape_id],Trip[shape_id],"Não encontrado")</f>
        <v/>
      </c>
      <c r="B22043" s="40" t="n">
        <v>-23.546796</v>
      </c>
      <c r="C22043" s="40" t="n">
        <v>-46.599883</v>
      </c>
      <c r="D22043" s="40" t="n">
        <v>98</v>
      </c>
      <c r="E22043" s="41" t="n">
        <v>3795.5864</v>
      </c>
    </row>
    <row r="22044">
      <c r="A22044" s="42">
        <f>_xlfn.XLOOKUP(84526,Trip[shape_id],Trip[shape_id],"Não encontrado")</f>
        <v/>
      </c>
      <c r="B22044" s="43" t="n">
        <v>-23.546372</v>
      </c>
      <c r="C22044" s="43" t="n">
        <v>-46.599172</v>
      </c>
      <c r="D22044" s="43" t="n">
        <v>99</v>
      </c>
      <c r="E22044" s="44" t="n">
        <v>3882.0469</v>
      </c>
    </row>
    <row r="22045">
      <c r="A22045" s="39">
        <f>_xlfn.XLOOKUP(84526,Trip[shape_id],Trip[shape_id],"Não encontrado")</f>
        <v/>
      </c>
      <c r="B22045" s="40" t="n">
        <v>-23.545745</v>
      </c>
      <c r="C22045" s="40" t="n">
        <v>-46.598058</v>
      </c>
      <c r="D22045" s="40" t="n">
        <v>100</v>
      </c>
      <c r="E22045" s="41" t="n">
        <v>4015.314</v>
      </c>
    </row>
    <row r="22046">
      <c r="A22046" s="42">
        <f>_xlfn.XLOOKUP(84526,Trip[shape_id],Trip[shape_id],"Não encontrado")</f>
        <v/>
      </c>
      <c r="B22046" s="43" t="n">
        <v>-23.545569</v>
      </c>
      <c r="C22046" s="43" t="n">
        <v>-46.597543</v>
      </c>
      <c r="D22046" s="43" t="n">
        <v>101</v>
      </c>
      <c r="E22046" s="44" t="n">
        <v>4071.395</v>
      </c>
    </row>
    <row r="22047">
      <c r="A22047" s="39">
        <f>_xlfn.XLOOKUP(84526,Trip[shape_id],Trip[shape_id],"Não encontrado")</f>
        <v/>
      </c>
      <c r="B22047" s="40" t="n">
        <v>-23.54535</v>
      </c>
      <c r="C22047" s="40" t="n">
        <v>-46.596914</v>
      </c>
      <c r="D22047" s="40" t="n">
        <v>102</v>
      </c>
      <c r="E22047" s="41" t="n">
        <v>4140.0469</v>
      </c>
    </row>
    <row r="22048">
      <c r="A22048" s="42">
        <f>_xlfn.XLOOKUP(84526,Trip[shape_id],Trip[shape_id],"Não encontrado")</f>
        <v/>
      </c>
      <c r="B22048" s="43" t="n">
        <v>-23.545325</v>
      </c>
      <c r="C22048" s="43" t="n">
        <v>-46.596838</v>
      </c>
      <c r="D22048" s="43" t="n">
        <v>103</v>
      </c>
      <c r="E22048" s="44" t="n">
        <v>4171.6885</v>
      </c>
    </row>
    <row r="22049">
      <c r="A22049" s="39">
        <f>_xlfn.XLOOKUP(84526,Trip[shape_id],Trip[shape_id],"Não encontrado")</f>
        <v/>
      </c>
      <c r="B22049" s="40" t="n">
        <v>-23.545269</v>
      </c>
      <c r="C22049" s="40" t="n">
        <v>-46.596617</v>
      </c>
      <c r="D22049" s="40" t="n">
        <v>104</v>
      </c>
      <c r="E22049" s="41" t="n">
        <v>4192.8774</v>
      </c>
    </row>
    <row r="22050">
      <c r="A22050" s="42">
        <f>_xlfn.XLOOKUP(84526,Trip[shape_id],Trip[shape_id],"Não encontrado")</f>
        <v/>
      </c>
      <c r="B22050" s="43" t="n">
        <v>-23.545188</v>
      </c>
      <c r="C22050" s="43" t="n">
        <v>-46.596429</v>
      </c>
      <c r="D22050" s="43" t="n">
        <v>105</v>
      </c>
      <c r="E22050" s="44" t="n">
        <v>4192.8774</v>
      </c>
    </row>
    <row r="22051">
      <c r="A22051" s="39">
        <f>_xlfn.XLOOKUP(84526,Trip[shape_id],Trip[shape_id],"Não encontrado")</f>
        <v/>
      </c>
      <c r="B22051" s="40" t="n">
        <v>-23.545058</v>
      </c>
      <c r="C22051" s="40" t="n">
        <v>-46.595715</v>
      </c>
      <c r="D22051" s="40" t="n">
        <v>106</v>
      </c>
      <c r="E22051" s="41" t="n">
        <v>4267.1895</v>
      </c>
    </row>
    <row r="22052">
      <c r="A22052" s="42">
        <f>_xlfn.XLOOKUP(84526,Trip[shape_id],Trip[shape_id],"Não encontrado")</f>
        <v/>
      </c>
      <c r="B22052" s="43" t="n">
        <v>-23.544598</v>
      </c>
      <c r="C22052" s="43" t="n">
        <v>-46.593457</v>
      </c>
      <c r="D22052" s="43" t="n">
        <v>107</v>
      </c>
      <c r="E22052" s="44" t="n">
        <v>4503.3076</v>
      </c>
    </row>
    <row r="22053">
      <c r="A22053" s="39">
        <f>_xlfn.XLOOKUP(84526,Trip[shape_id],Trip[shape_id],"Não encontrado")</f>
        <v/>
      </c>
      <c r="B22053" s="40" t="n">
        <v>-23.544564</v>
      </c>
      <c r="C22053" s="40" t="n">
        <v>-46.593297</v>
      </c>
      <c r="D22053" s="40" t="n">
        <v>108</v>
      </c>
      <c r="E22053" s="41" t="n">
        <v>4558.2739</v>
      </c>
    </row>
    <row r="22054">
      <c r="A22054" s="42">
        <f>_xlfn.XLOOKUP(84526,Trip[shape_id],Trip[shape_id],"Não encontrado")</f>
        <v/>
      </c>
      <c r="B22054" s="43" t="n">
        <v>-23.544497</v>
      </c>
      <c r="C22054" s="43" t="n">
        <v>-46.59293</v>
      </c>
      <c r="D22054" s="43" t="n">
        <v>109</v>
      </c>
      <c r="E22054" s="44" t="n">
        <v>4558.2739</v>
      </c>
    </row>
    <row r="22055">
      <c r="A22055" s="39">
        <f>_xlfn.XLOOKUP(84526,Trip[shape_id],Trip[shape_id],"Não encontrado")</f>
        <v/>
      </c>
      <c r="B22055" s="40" t="n">
        <v>-23.544427</v>
      </c>
      <c r="C22055" s="40" t="n">
        <v>-46.592551</v>
      </c>
      <c r="D22055" s="40" t="n">
        <v>110</v>
      </c>
      <c r="E22055" s="41" t="n">
        <v>4597.7412</v>
      </c>
    </row>
    <row r="22056">
      <c r="A22056" s="42">
        <f>_xlfn.XLOOKUP(84526,Trip[shape_id],Trip[shape_id],"Não encontrado")</f>
        <v/>
      </c>
      <c r="B22056" s="43" t="n">
        <v>-23.544355</v>
      </c>
      <c r="C22056" s="43" t="n">
        <v>-46.592178</v>
      </c>
      <c r="D22056" s="43" t="n">
        <v>111</v>
      </c>
      <c r="E22056" s="44" t="n">
        <v>4706.7266</v>
      </c>
    </row>
    <row r="22057">
      <c r="A22057" s="39">
        <f>_xlfn.XLOOKUP(84526,Trip[shape_id],Trip[shape_id],"Não encontrado")</f>
        <v/>
      </c>
      <c r="B22057" s="40" t="n">
        <v>-23.544218</v>
      </c>
      <c r="C22057" s="40" t="n">
        <v>-46.591508</v>
      </c>
      <c r="D22057" s="40" t="n">
        <v>112</v>
      </c>
      <c r="E22057" s="41" t="n">
        <v>4908.5425</v>
      </c>
    </row>
    <row r="22058">
      <c r="A22058" s="42">
        <f>_xlfn.XLOOKUP(84526,Trip[shape_id],Trip[shape_id],"Não encontrado")</f>
        <v/>
      </c>
      <c r="B22058" s="43" t="n">
        <v>-23.543825</v>
      </c>
      <c r="C22058" s="43" t="n">
        <v>-46.589578</v>
      </c>
      <c r="D22058" s="43" t="n">
        <v>113</v>
      </c>
      <c r="E22058" s="44" t="n">
        <v>4908.5425</v>
      </c>
    </row>
    <row r="22059">
      <c r="A22059" s="39">
        <f>_xlfn.XLOOKUP(84526,Trip[shape_id],Trip[shape_id],"Não encontrado")</f>
        <v/>
      </c>
      <c r="B22059" s="40" t="n">
        <v>-23.543758</v>
      </c>
      <c r="C22059" s="40" t="n">
        <v>-46.589263</v>
      </c>
      <c r="D22059" s="40" t="n">
        <v>114</v>
      </c>
      <c r="E22059" s="41" t="n">
        <v>4941.5508</v>
      </c>
    </row>
    <row r="22060">
      <c r="A22060" s="42">
        <f>_xlfn.XLOOKUP(84526,Trip[shape_id],Trip[shape_id],"Não encontrado")</f>
        <v/>
      </c>
      <c r="B22060" s="43" t="n">
        <v>-23.543587</v>
      </c>
      <c r="C22060" s="43" t="n">
        <v>-46.588362</v>
      </c>
      <c r="D22060" s="43" t="n">
        <v>115</v>
      </c>
      <c r="E22060" s="44" t="n">
        <v>5035.4785</v>
      </c>
    </row>
    <row r="22061">
      <c r="A22061" s="39">
        <f>_xlfn.XLOOKUP(84526,Trip[shape_id],Trip[shape_id],"Não encontrado")</f>
        <v/>
      </c>
      <c r="B22061" s="40" t="n">
        <v>-23.543322</v>
      </c>
      <c r="C22061" s="40" t="n">
        <v>-46.587028</v>
      </c>
      <c r="D22061" s="40" t="n">
        <v>116</v>
      </c>
      <c r="E22061" s="41" t="n">
        <v>5174.8159</v>
      </c>
    </row>
    <row r="22062">
      <c r="A22062" s="42">
        <f>_xlfn.XLOOKUP(84526,Trip[shape_id],Trip[shape_id],"Não encontrado")</f>
        <v/>
      </c>
      <c r="B22062" s="43" t="n">
        <v>-23.542911</v>
      </c>
      <c r="C22062" s="43" t="n">
        <v>-46.584872</v>
      </c>
      <c r="D22062" s="43" t="n">
        <v>117</v>
      </c>
      <c r="E22062" s="44" t="n">
        <v>5598.2485</v>
      </c>
    </row>
    <row r="22063">
      <c r="A22063" s="39">
        <f>_xlfn.XLOOKUP(84526,Trip[shape_id],Trip[shape_id],"Não encontrado")</f>
        <v/>
      </c>
      <c r="B22063" s="40" t="n">
        <v>-23.542539</v>
      </c>
      <c r="C22063" s="40" t="n">
        <v>-46.582969</v>
      </c>
      <c r="D22063" s="40" t="n">
        <v>118</v>
      </c>
      <c r="E22063" s="41" t="n">
        <v>5598.2485</v>
      </c>
    </row>
    <row r="22064">
      <c r="A22064" s="42">
        <f>_xlfn.XLOOKUP(84526,Trip[shape_id],Trip[shape_id],"Não encontrado")</f>
        <v/>
      </c>
      <c r="B22064" s="43" t="n">
        <v>-23.542452</v>
      </c>
      <c r="C22064" s="43" t="n">
        <v>-46.582587</v>
      </c>
      <c r="D22064" s="43" t="n">
        <v>119</v>
      </c>
      <c r="E22064" s="44" t="n">
        <v>5638.4263</v>
      </c>
    </row>
    <row r="22065">
      <c r="A22065" s="39">
        <f>_xlfn.XLOOKUP(84526,Trip[shape_id],Trip[shape_id],"Não encontrado")</f>
        <v/>
      </c>
      <c r="B22065" s="40" t="n">
        <v>-23.542298</v>
      </c>
      <c r="C22065" s="40" t="n">
        <v>-46.581994</v>
      </c>
      <c r="D22065" s="40" t="n">
        <v>120</v>
      </c>
      <c r="E22065" s="41" t="n">
        <v>5753.0054</v>
      </c>
    </row>
    <row r="22066">
      <c r="A22066" s="42">
        <f>_xlfn.XLOOKUP(84526,Trip[shape_id],Trip[shape_id],"Não encontrado")</f>
        <v/>
      </c>
      <c r="B22066" s="43" t="n">
        <v>-23.542201</v>
      </c>
      <c r="C22066" s="43" t="n">
        <v>-46.581499</v>
      </c>
      <c r="D22066" s="43" t="n">
        <v>121</v>
      </c>
      <c r="E22066" s="44" t="n">
        <v>5753.0054</v>
      </c>
    </row>
    <row r="22067">
      <c r="A22067" s="39">
        <f>_xlfn.XLOOKUP(84526,Trip[shape_id],Trip[shape_id],"Não encontrado")</f>
        <v/>
      </c>
      <c r="B22067" s="40" t="n">
        <v>-23.542178</v>
      </c>
      <c r="C22067" s="40" t="n">
        <v>-46.581384</v>
      </c>
      <c r="D22067" s="40" t="n">
        <v>122</v>
      </c>
      <c r="E22067" s="41" t="n">
        <v>5765.0215</v>
      </c>
    </row>
    <row r="22068">
      <c r="A22068" s="42">
        <f>_xlfn.XLOOKUP(84526,Trip[shape_id],Trip[shape_id],"Não encontrado")</f>
        <v/>
      </c>
      <c r="B22068" s="43" t="n">
        <v>-23.542077</v>
      </c>
      <c r="C22068" s="43" t="n">
        <v>-46.580834</v>
      </c>
      <c r="D22068" s="43" t="n">
        <v>123</v>
      </c>
      <c r="E22068" s="44" t="n">
        <v>5822.2842</v>
      </c>
    </row>
    <row r="22069">
      <c r="A22069" s="39">
        <f>_xlfn.XLOOKUP(84526,Trip[shape_id],Trip[shape_id],"Não encontrado")</f>
        <v/>
      </c>
      <c r="B22069" s="40" t="n">
        <v>-23.542059</v>
      </c>
      <c r="C22069" s="40" t="n">
        <v>-46.58071</v>
      </c>
      <c r="D22069" s="40" t="n">
        <v>124</v>
      </c>
      <c r="E22069" s="41" t="n">
        <v>5835.1016</v>
      </c>
    </row>
    <row r="22070">
      <c r="A22070" s="42">
        <f>_xlfn.XLOOKUP(84526,Trip[shape_id],Trip[shape_id],"Não encontrado")</f>
        <v/>
      </c>
      <c r="B22070" s="43" t="n">
        <v>-23.542028</v>
      </c>
      <c r="C22070" s="43" t="n">
        <v>-46.58056</v>
      </c>
      <c r="D22070" s="43" t="n">
        <v>125</v>
      </c>
      <c r="E22070" s="44" t="n">
        <v>5850.7979</v>
      </c>
    </row>
    <row r="22071">
      <c r="A22071" s="39">
        <f>_xlfn.XLOOKUP(84526,Trip[shape_id],Trip[shape_id],"Não encontrado")</f>
        <v/>
      </c>
      <c r="B22071" s="40" t="n">
        <v>-23.541994</v>
      </c>
      <c r="C22071" s="40" t="n">
        <v>-46.580414</v>
      </c>
      <c r="D22071" s="40" t="n">
        <v>126</v>
      </c>
      <c r="E22071" s="41" t="n">
        <v>5866.1738</v>
      </c>
    </row>
    <row r="22072">
      <c r="A22072" s="42">
        <f>_xlfn.XLOOKUP(84526,Trip[shape_id],Trip[shape_id],"Não encontrado")</f>
        <v/>
      </c>
      <c r="B22072" s="43" t="n">
        <v>-23.541987</v>
      </c>
      <c r="C22072" s="43" t="n">
        <v>-46.580275</v>
      </c>
      <c r="D22072" s="43" t="n">
        <v>127</v>
      </c>
      <c r="E22072" s="44" t="n">
        <v>5880.3882</v>
      </c>
    </row>
    <row r="22073">
      <c r="A22073" s="39">
        <f>_xlfn.XLOOKUP(84526,Trip[shape_id],Trip[shape_id],"Não encontrado")</f>
        <v/>
      </c>
      <c r="B22073" s="40" t="n">
        <v>-23.5419</v>
      </c>
      <c r="C22073" s="40" t="n">
        <v>-46.579898</v>
      </c>
      <c r="D22073" s="40" t="n">
        <v>128</v>
      </c>
      <c r="E22073" s="41" t="n">
        <v>5920.0708</v>
      </c>
    </row>
    <row r="22074">
      <c r="A22074" s="42">
        <f>_xlfn.XLOOKUP(84526,Trip[shape_id],Trip[shape_id],"Não encontrado")</f>
        <v/>
      </c>
      <c r="B22074" s="43" t="n">
        <v>-23.541877</v>
      </c>
      <c r="C22074" s="43" t="n">
        <v>-46.579802</v>
      </c>
      <c r="D22074" s="43" t="n">
        <v>129</v>
      </c>
      <c r="E22074" s="44" t="n">
        <v>5930.1987</v>
      </c>
    </row>
    <row r="22075">
      <c r="A22075" s="39">
        <f>_xlfn.XLOOKUP(84526,Trip[shape_id],Trip[shape_id],"Não encontrado")</f>
        <v/>
      </c>
      <c r="B22075" s="40" t="n">
        <v>-23.541829</v>
      </c>
      <c r="C22075" s="40" t="n">
        <v>-46.579618</v>
      </c>
      <c r="D22075" s="40" t="n">
        <v>130</v>
      </c>
      <c r="E22075" s="41" t="n">
        <v>5962.9087</v>
      </c>
    </row>
    <row r="22076">
      <c r="A22076" s="42">
        <f>_xlfn.XLOOKUP(84526,Trip[shape_id],Trip[shape_id],"Não encontrado")</f>
        <v/>
      </c>
      <c r="B22076" s="43" t="n">
        <v>-23.54179</v>
      </c>
      <c r="C22076" s="43" t="n">
        <v>-46.579496</v>
      </c>
      <c r="D22076" s="43" t="n">
        <v>131</v>
      </c>
      <c r="E22076" s="44" t="n">
        <v>5962.9087</v>
      </c>
    </row>
    <row r="22077">
      <c r="A22077" s="39">
        <f>_xlfn.XLOOKUP(84526,Trip[shape_id],Trip[shape_id],"Não encontrado")</f>
        <v/>
      </c>
      <c r="B22077" s="40" t="n">
        <v>-23.541718</v>
      </c>
      <c r="C22077" s="40" t="n">
        <v>-46.579271</v>
      </c>
      <c r="D22077" s="40" t="n">
        <v>132</v>
      </c>
      <c r="E22077" s="41" t="n">
        <v>6018.8921</v>
      </c>
    </row>
    <row r="22078">
      <c r="A22078" s="42">
        <f>_xlfn.XLOOKUP(84526,Trip[shape_id],Trip[shape_id],"Não encontrado")</f>
        <v/>
      </c>
      <c r="B22078" s="43" t="n">
        <v>-23.541612</v>
      </c>
      <c r="C22078" s="43" t="n">
        <v>-46.578983</v>
      </c>
      <c r="D22078" s="43" t="n">
        <v>133</v>
      </c>
      <c r="E22078" s="44" t="n">
        <v>6059.4199</v>
      </c>
    </row>
    <row r="22079">
      <c r="A22079" s="39">
        <f>_xlfn.XLOOKUP(84526,Trip[shape_id],Trip[shape_id],"Não encontrado")</f>
        <v/>
      </c>
      <c r="B22079" s="40" t="n">
        <v>-23.541464</v>
      </c>
      <c r="C22079" s="40" t="n">
        <v>-46.57862</v>
      </c>
      <c r="D22079" s="40" t="n">
        <v>134</v>
      </c>
      <c r="E22079" s="41" t="n">
        <v>6059.4199</v>
      </c>
    </row>
    <row r="22080">
      <c r="A22080" s="42">
        <f>_xlfn.XLOOKUP(84526,Trip[shape_id],Trip[shape_id],"Não encontrado")</f>
        <v/>
      </c>
      <c r="B22080" s="43" t="n">
        <v>-23.541394</v>
      </c>
      <c r="C22080" s="43" t="n">
        <v>-46.578451</v>
      </c>
      <c r="D22080" s="43" t="n">
        <v>135</v>
      </c>
      <c r="E22080" s="44" t="n">
        <v>6094.5659</v>
      </c>
    </row>
    <row r="22081">
      <c r="A22081" s="39">
        <f>_xlfn.XLOOKUP(84526,Trip[shape_id],Trip[shape_id],"Não encontrado")</f>
        <v/>
      </c>
      <c r="B22081" s="40" t="n">
        <v>-23.541332</v>
      </c>
      <c r="C22081" s="40" t="n">
        <v>-46.578307</v>
      </c>
      <c r="D22081" s="40" t="n">
        <v>136</v>
      </c>
      <c r="E22081" s="41" t="n">
        <v>6120.8442</v>
      </c>
    </row>
    <row r="22082">
      <c r="A22082" s="42">
        <f>_xlfn.XLOOKUP(84526,Trip[shape_id],Trip[shape_id],"Não encontrado")</f>
        <v/>
      </c>
      <c r="B22082" s="43" t="n">
        <v>-23.541244</v>
      </c>
      <c r="C22082" s="43" t="n">
        <v>-46.578068</v>
      </c>
      <c r="D22082" s="43" t="n">
        <v>137</v>
      </c>
      <c r="E22082" s="44" t="n">
        <v>6137.3823</v>
      </c>
    </row>
    <row r="22083">
      <c r="A22083" s="39">
        <f>_xlfn.XLOOKUP(84526,Trip[shape_id],Trip[shape_id],"Não encontrado")</f>
        <v/>
      </c>
      <c r="B22083" s="40" t="n">
        <v>-23.541195</v>
      </c>
      <c r="C22083" s="40" t="n">
        <v>-46.577915</v>
      </c>
      <c r="D22083" s="40" t="n">
        <v>138</v>
      </c>
      <c r="E22083" s="41" t="n">
        <v>6151.291</v>
      </c>
    </row>
    <row r="22084">
      <c r="A22084" s="42">
        <f>_xlfn.XLOOKUP(84526,Trip[shape_id],Trip[shape_id],"Não encontrado")</f>
        <v/>
      </c>
      <c r="B22084" s="43" t="n">
        <v>-23.541164</v>
      </c>
      <c r="C22084" s="43" t="n">
        <v>-46.577783</v>
      </c>
      <c r="D22084" s="43" t="n">
        <v>139</v>
      </c>
      <c r="E22084" s="44" t="n">
        <v>6171.0435</v>
      </c>
    </row>
    <row r="22085">
      <c r="A22085" s="39">
        <f>_xlfn.XLOOKUP(84526,Trip[shape_id],Trip[shape_id],"Não encontrado")</f>
        <v/>
      </c>
      <c r="B22085" s="40" t="n">
        <v>-23.541115</v>
      </c>
      <c r="C22085" s="40" t="n">
        <v>-46.577597</v>
      </c>
      <c r="D22085" s="40" t="n">
        <v>140</v>
      </c>
      <c r="E22085" s="41" t="n">
        <v>6171.0435</v>
      </c>
    </row>
    <row r="22086">
      <c r="A22086" s="42">
        <f>_xlfn.XLOOKUP(84526,Trip[shape_id],Trip[shape_id],"Não encontrado")</f>
        <v/>
      </c>
      <c r="B22086" s="43" t="n">
        <v>-23.541045</v>
      </c>
      <c r="C22086" s="43" t="n">
        <v>-46.577278</v>
      </c>
      <c r="D22086" s="43" t="n">
        <v>141</v>
      </c>
      <c r="E22086" s="44" t="n">
        <v>6204.5264</v>
      </c>
    </row>
    <row r="22087">
      <c r="A22087" s="39">
        <f>_xlfn.XLOOKUP(84526,Trip[shape_id],Trip[shape_id],"Não encontrado")</f>
        <v/>
      </c>
      <c r="B22087" s="40" t="n">
        <v>-23.541002</v>
      </c>
      <c r="C22087" s="40" t="n">
        <v>-46.576953</v>
      </c>
      <c r="D22087" s="40" t="n">
        <v>142</v>
      </c>
      <c r="E22087" s="41" t="n">
        <v>6238.0518</v>
      </c>
    </row>
    <row r="22088">
      <c r="A22088" s="42">
        <f>_xlfn.XLOOKUP(84526,Trip[shape_id],Trip[shape_id],"Não encontrado")</f>
        <v/>
      </c>
      <c r="B22088" s="43" t="n">
        <v>-23.540959</v>
      </c>
      <c r="C22088" s="43" t="n">
        <v>-46.576741</v>
      </c>
      <c r="D22088" s="43" t="n">
        <v>143</v>
      </c>
      <c r="E22088" s="44" t="n">
        <v>6260.2168</v>
      </c>
    </row>
    <row r="22089">
      <c r="A22089" s="39">
        <f>_xlfn.XLOOKUP(84526,Trip[shape_id],Trip[shape_id],"Não encontrado")</f>
        <v/>
      </c>
      <c r="B22089" s="40" t="n">
        <v>-23.540824</v>
      </c>
      <c r="C22089" s="40" t="n">
        <v>-46.576064</v>
      </c>
      <c r="D22089" s="40" t="n">
        <v>144</v>
      </c>
      <c r="E22089" s="41" t="n">
        <v>6355.0747</v>
      </c>
    </row>
    <row r="22090">
      <c r="A22090" s="42">
        <f>_xlfn.XLOOKUP(84526,Trip[shape_id],Trip[shape_id],"Não encontrado")</f>
        <v/>
      </c>
      <c r="B22090" s="43" t="n">
        <v>-23.540778</v>
      </c>
      <c r="C22090" s="43" t="n">
        <v>-46.575833</v>
      </c>
      <c r="D22090" s="43" t="n">
        <v>145</v>
      </c>
      <c r="E22090" s="44" t="n">
        <v>6370.8706</v>
      </c>
    </row>
    <row r="22091">
      <c r="A22091" s="39">
        <f>_xlfn.XLOOKUP(84526,Trip[shape_id],Trip[shape_id],"Não encontrado")</f>
        <v/>
      </c>
      <c r="B22091" s="40" t="n">
        <v>-23.540747</v>
      </c>
      <c r="C22091" s="40" t="n">
        <v>-46.575682</v>
      </c>
      <c r="D22091" s="40" t="n">
        <v>146</v>
      </c>
      <c r="E22091" s="41" t="n">
        <v>6378.6069</v>
      </c>
    </row>
    <row r="22092">
      <c r="A22092" s="42">
        <f>_xlfn.XLOOKUP(84526,Trip[shape_id],Trip[shape_id],"Não encontrado")</f>
        <v/>
      </c>
      <c r="B22092" s="43" t="n">
        <v>-23.540732</v>
      </c>
      <c r="C22092" s="43" t="n">
        <v>-46.575608</v>
      </c>
      <c r="D22092" s="43" t="n">
        <v>147</v>
      </c>
      <c r="E22092" s="44" t="n">
        <v>6388.856</v>
      </c>
    </row>
    <row r="22093">
      <c r="A22093" s="39">
        <f>_xlfn.XLOOKUP(84526,Trip[shape_id],Trip[shape_id],"Não encontrado")</f>
        <v/>
      </c>
      <c r="B22093" s="40" t="n">
        <v>-23.540712</v>
      </c>
      <c r="C22093" s="40" t="n">
        <v>-46.57551</v>
      </c>
      <c r="D22093" s="40" t="n">
        <v>148</v>
      </c>
      <c r="E22093" s="41" t="n">
        <v>6396.3979</v>
      </c>
    </row>
    <row r="22094">
      <c r="A22094" s="42">
        <f>_xlfn.XLOOKUP(84526,Trip[shape_id],Trip[shape_id],"Não encontrado")</f>
        <v/>
      </c>
      <c r="B22094" s="43" t="n">
        <v>-23.540678</v>
      </c>
      <c r="C22094" s="43" t="n">
        <v>-46.575446</v>
      </c>
      <c r="D22094" s="43" t="n">
        <v>149</v>
      </c>
      <c r="E22094" s="44" t="n">
        <v>6396.3979</v>
      </c>
    </row>
    <row r="22095">
      <c r="A22095" s="39">
        <f>_xlfn.XLOOKUP(84526,Trip[shape_id],Trip[shape_id],"Não encontrado")</f>
        <v/>
      </c>
      <c r="B22095" s="40" t="n">
        <v>-23.540543</v>
      </c>
      <c r="C22095" s="40" t="n">
        <v>-46.574834</v>
      </c>
      <c r="D22095" s="40" t="n">
        <v>150</v>
      </c>
      <c r="E22095" s="41" t="n">
        <v>6460.6528</v>
      </c>
    </row>
    <row r="22096">
      <c r="A22096" s="42">
        <f>_xlfn.XLOOKUP(84526,Trip[shape_id],Trip[shape_id],"Não encontrado")</f>
        <v/>
      </c>
      <c r="B22096" s="43" t="n">
        <v>-23.540451</v>
      </c>
      <c r="C22096" s="43" t="n">
        <v>-46.574528</v>
      </c>
      <c r="D22096" s="43" t="n">
        <v>151</v>
      </c>
      <c r="E22096" s="44" t="n">
        <v>6532.3379</v>
      </c>
    </row>
    <row r="22097">
      <c r="A22097" s="39">
        <f>_xlfn.XLOOKUP(84526,Trip[shape_id],Trip[shape_id],"Não encontrado")</f>
        <v/>
      </c>
      <c r="B22097" s="40" t="n">
        <v>-23.540328</v>
      </c>
      <c r="C22097" s="40" t="n">
        <v>-46.574172</v>
      </c>
      <c r="D22097" s="40" t="n">
        <v>152</v>
      </c>
      <c r="E22097" s="41" t="n">
        <v>6532.3379</v>
      </c>
    </row>
    <row r="22098">
      <c r="A22098" s="42">
        <f>_xlfn.XLOOKUP(84526,Trip[shape_id],Trip[shape_id],"Não encontrado")</f>
        <v/>
      </c>
      <c r="B22098" s="43" t="n">
        <v>-23.540228</v>
      </c>
      <c r="C22098" s="43" t="n">
        <v>-46.5739</v>
      </c>
      <c r="D22098" s="43" t="n">
        <v>153</v>
      </c>
      <c r="E22098" s="44" t="n">
        <v>6629.686</v>
      </c>
    </row>
    <row r="22099">
      <c r="A22099" s="39">
        <f>_xlfn.XLOOKUP(84526,Trip[shape_id],Trip[shape_id],"Não encontrado")</f>
        <v/>
      </c>
      <c r="B22099" s="40" t="n">
        <v>-23.540013</v>
      </c>
      <c r="C22099" s="40" t="n">
        <v>-46.573282</v>
      </c>
      <c r="D22099" s="40" t="n">
        <v>154</v>
      </c>
      <c r="E22099" s="41" t="n">
        <v>6629.686</v>
      </c>
    </row>
    <row r="22100">
      <c r="A22100" s="42">
        <f>_xlfn.XLOOKUP(84526,Trip[shape_id],Trip[shape_id],"Não encontrado")</f>
        <v/>
      </c>
      <c r="B22100" s="43" t="n">
        <v>-23.53971</v>
      </c>
      <c r="C22100" s="43" t="n">
        <v>-46.572412</v>
      </c>
      <c r="D22100" s="43" t="n">
        <v>155</v>
      </c>
      <c r="E22100" s="44" t="n">
        <v>6724.6489</v>
      </c>
    </row>
    <row r="22101">
      <c r="A22101" s="39">
        <f>_xlfn.XLOOKUP(84526,Trip[shape_id],Trip[shape_id],"Não encontrado")</f>
        <v/>
      </c>
      <c r="B22101" s="40" t="n">
        <v>-23.539635</v>
      </c>
      <c r="C22101" s="40" t="n">
        <v>-46.57218</v>
      </c>
      <c r="D22101" s="40" t="n">
        <v>156</v>
      </c>
      <c r="E22101" s="41" t="n">
        <v>6785.8359</v>
      </c>
    </row>
    <row r="22102">
      <c r="A22102" s="42">
        <f>_xlfn.XLOOKUP(84526,Trip[shape_id],Trip[shape_id],"Não encontrado")</f>
        <v/>
      </c>
      <c r="B22102" s="43" t="n">
        <v>-23.539553</v>
      </c>
      <c r="C22102" s="43" t="n">
        <v>-46.571838</v>
      </c>
      <c r="D22102" s="43" t="n">
        <v>157</v>
      </c>
      <c r="E22102" s="44" t="n">
        <v>6820.9854</v>
      </c>
    </row>
    <row r="22103">
      <c r="A22103" s="39">
        <f>_xlfn.XLOOKUP(84526,Trip[shape_id],Trip[shape_id],"Não encontrado")</f>
        <v/>
      </c>
      <c r="B22103" s="40" t="n">
        <v>-23.53948</v>
      </c>
      <c r="C22103" s="40" t="n">
        <v>-46.571503</v>
      </c>
      <c r="D22103" s="40" t="n">
        <v>158</v>
      </c>
      <c r="E22103" s="41" t="n">
        <v>6820.9854</v>
      </c>
    </row>
    <row r="22104">
      <c r="A22104" s="42">
        <f>_xlfn.XLOOKUP(84526,Trip[shape_id],Trip[shape_id],"Não encontrado")</f>
        <v/>
      </c>
      <c r="B22104" s="43" t="n">
        <v>-23.539453</v>
      </c>
      <c r="C22104" s="43" t="n">
        <v>-46.571359</v>
      </c>
      <c r="D22104" s="43" t="n">
        <v>159</v>
      </c>
      <c r="E22104" s="44" t="n">
        <v>6835.9902</v>
      </c>
    </row>
    <row r="22105">
      <c r="A22105" s="39">
        <f>_xlfn.XLOOKUP(84526,Trip[shape_id],Trip[shape_id],"Não encontrado")</f>
        <v/>
      </c>
      <c r="B22105" s="40" t="n">
        <v>-23.539452</v>
      </c>
      <c r="C22105" s="40" t="n">
        <v>-46.571309</v>
      </c>
      <c r="D22105" s="40" t="n">
        <v>160</v>
      </c>
      <c r="E22105" s="41" t="n">
        <v>6841.0977</v>
      </c>
    </row>
    <row r="22106">
      <c r="A22106" s="42">
        <f>_xlfn.XLOOKUP(84526,Trip[shape_id],Trip[shape_id],"Não encontrado")</f>
        <v/>
      </c>
      <c r="B22106" s="43" t="n">
        <v>-23.539299</v>
      </c>
      <c r="C22106" s="43" t="n">
        <v>-46.570423</v>
      </c>
      <c r="D22106" s="43" t="n">
        <v>161</v>
      </c>
      <c r="E22106" s="44" t="n">
        <v>6933.1411</v>
      </c>
    </row>
    <row r="22107">
      <c r="A22107" s="39">
        <f>_xlfn.XLOOKUP(84526,Trip[shape_id],Trip[shape_id],"Não encontrado")</f>
        <v/>
      </c>
      <c r="B22107" s="40" t="n">
        <v>-23.539173</v>
      </c>
      <c r="C22107" s="40" t="n">
        <v>-46.569555</v>
      </c>
      <c r="D22107" s="40" t="n">
        <v>162</v>
      </c>
      <c r="E22107" s="41" t="n">
        <v>7022.8652</v>
      </c>
    </row>
    <row r="22108">
      <c r="A22108" s="42">
        <f>_xlfn.XLOOKUP(84526,Trip[shape_id],Trip[shape_id],"Não encontrado")</f>
        <v/>
      </c>
      <c r="B22108" s="43" t="n">
        <v>-23.539031</v>
      </c>
      <c r="C22108" s="43" t="n">
        <v>-46.56893</v>
      </c>
      <c r="D22108" s="43" t="n">
        <v>163</v>
      </c>
      <c r="E22108" s="44" t="n">
        <v>7088.5938</v>
      </c>
    </row>
    <row r="22109">
      <c r="A22109" s="39">
        <f>_xlfn.XLOOKUP(84526,Trip[shape_id],Trip[shape_id],"Não encontrado")</f>
        <v/>
      </c>
      <c r="B22109" s="40" t="n">
        <v>-23.538912</v>
      </c>
      <c r="C22109" s="40" t="n">
        <v>-46.568331</v>
      </c>
      <c r="D22109" s="40" t="n">
        <v>164</v>
      </c>
      <c r="E22109" s="41" t="n">
        <v>7151.1621</v>
      </c>
    </row>
    <row r="22110">
      <c r="A22110" s="42">
        <f>_xlfn.XLOOKUP(84526,Trip[shape_id],Trip[shape_id],"Não encontrado")</f>
        <v/>
      </c>
      <c r="B22110" s="43" t="n">
        <v>-23.538839</v>
      </c>
      <c r="C22110" s="43" t="n">
        <v>-46.567871</v>
      </c>
      <c r="D22110" s="43" t="n">
        <v>165</v>
      </c>
      <c r="E22110" s="44" t="n">
        <v>7198.8237</v>
      </c>
    </row>
    <row r="22111">
      <c r="A22111" s="39">
        <f>_xlfn.XLOOKUP(84526,Trip[shape_id],Trip[shape_id],"Não encontrado")</f>
        <v/>
      </c>
      <c r="B22111" s="40" t="n">
        <v>-23.538786</v>
      </c>
      <c r="C22111" s="40" t="n">
        <v>-46.567487</v>
      </c>
      <c r="D22111" s="40" t="n">
        <v>166</v>
      </c>
      <c r="E22111" s="41" t="n">
        <v>7238.4712</v>
      </c>
    </row>
    <row r="22112">
      <c r="A22112" s="42">
        <f>_xlfn.XLOOKUP(84526,Trip[shape_id],Trip[shape_id],"Não encontrado")</f>
        <v/>
      </c>
      <c r="B22112" s="43" t="n">
        <v>-23.538756</v>
      </c>
      <c r="C22112" s="43" t="n">
        <v>-46.567265</v>
      </c>
      <c r="D22112" s="43" t="n">
        <v>167</v>
      </c>
      <c r="E22112" s="44" t="n">
        <v>7261.3823</v>
      </c>
    </row>
    <row r="22113">
      <c r="A22113" s="39">
        <f>_xlfn.XLOOKUP(84526,Trip[shape_id],Trip[shape_id],"Não encontrado")</f>
        <v/>
      </c>
      <c r="B22113" s="40" t="n">
        <v>-23.538715</v>
      </c>
      <c r="C22113" s="40" t="n">
        <v>-46.566802</v>
      </c>
      <c r="D22113" s="40" t="n">
        <v>168</v>
      </c>
      <c r="E22113" s="41" t="n">
        <v>7308.8774</v>
      </c>
    </row>
    <row r="22114">
      <c r="A22114" s="42">
        <f>_xlfn.XLOOKUP(84526,Trip[shape_id],Trip[shape_id],"Não encontrado")</f>
        <v/>
      </c>
      <c r="B22114" s="43" t="n">
        <v>-23.538707</v>
      </c>
      <c r="C22114" s="43" t="n">
        <v>-46.566149</v>
      </c>
      <c r="D22114" s="43" t="n">
        <v>169</v>
      </c>
      <c r="E22114" s="44" t="n">
        <v>7375.562</v>
      </c>
    </row>
    <row r="22115">
      <c r="A22115" s="39">
        <f>_xlfn.XLOOKUP(84526,Trip[shape_id],Trip[shape_id],"Não encontrado")</f>
        <v/>
      </c>
      <c r="B22115" s="40" t="n">
        <v>-23.538701</v>
      </c>
      <c r="C22115" s="40" t="n">
        <v>-46.566043</v>
      </c>
      <c r="D22115" s="40" t="n">
        <v>170</v>
      </c>
      <c r="E22115" s="41" t="n">
        <v>7386.4058</v>
      </c>
    </row>
    <row r="22116">
      <c r="A22116" s="42">
        <f>_xlfn.XLOOKUP(84526,Trip[shape_id],Trip[shape_id],"Não encontrado")</f>
        <v/>
      </c>
      <c r="B22116" s="43" t="n">
        <v>-23.538705</v>
      </c>
      <c r="C22116" s="43" t="n">
        <v>-46.565831</v>
      </c>
      <c r="D22116" s="43" t="n">
        <v>171</v>
      </c>
      <c r="E22116" s="44" t="n">
        <v>7408.0576</v>
      </c>
    </row>
    <row r="22117">
      <c r="A22117" s="39">
        <f>_xlfn.XLOOKUP(84526,Trip[shape_id],Trip[shape_id],"Não encontrado")</f>
        <v/>
      </c>
      <c r="B22117" s="40" t="n">
        <v>-23.538691</v>
      </c>
      <c r="C22117" s="40" t="n">
        <v>-46.565679</v>
      </c>
      <c r="D22117" s="40" t="n">
        <v>172</v>
      </c>
      <c r="E22117" s="41" t="n">
        <v>7423.6558</v>
      </c>
    </row>
    <row r="22118">
      <c r="A22118" s="42">
        <f>_xlfn.XLOOKUP(84526,Trip[shape_id],Trip[shape_id],"Não encontrado")</f>
        <v/>
      </c>
      <c r="B22118" s="43" t="n">
        <v>-23.538673</v>
      </c>
      <c r="C22118" s="43" t="n">
        <v>-46.565576</v>
      </c>
      <c r="D22118" s="43" t="n">
        <v>173</v>
      </c>
      <c r="E22118" s="44" t="n">
        <v>7434.3604</v>
      </c>
    </row>
    <row r="22119">
      <c r="A22119" s="39">
        <f>_xlfn.XLOOKUP(84526,Trip[shape_id],Trip[shape_id],"Não encontrado")</f>
        <v/>
      </c>
      <c r="B22119" s="40" t="n">
        <v>-23.538668</v>
      </c>
      <c r="C22119" s="40" t="n">
        <v>-46.565519</v>
      </c>
      <c r="D22119" s="40" t="n">
        <v>174</v>
      </c>
      <c r="E22119" s="41" t="n">
        <v>7440.2065</v>
      </c>
    </row>
    <row r="22120">
      <c r="A22120" s="42">
        <f>_xlfn.XLOOKUP(84526,Trip[shape_id],Trip[shape_id],"Não encontrado")</f>
        <v/>
      </c>
      <c r="B22120" s="43" t="n">
        <v>-23.538616</v>
      </c>
      <c r="C22120" s="43" t="n">
        <v>-46.565254</v>
      </c>
      <c r="D22120" s="43" t="n">
        <v>175</v>
      </c>
      <c r="E22120" s="44" t="n">
        <v>7467.8721</v>
      </c>
    </row>
    <row r="22121">
      <c r="A22121" s="39">
        <f>_xlfn.XLOOKUP(84526,Trip[shape_id],Trip[shape_id],"Não encontrado")</f>
        <v/>
      </c>
      <c r="B22121" s="40" t="n">
        <v>-23.53858</v>
      </c>
      <c r="C22121" s="40" t="n">
        <v>-46.565056</v>
      </c>
      <c r="D22121" s="40" t="n">
        <v>176</v>
      </c>
      <c r="E22121" s="41" t="n">
        <v>7488.4795</v>
      </c>
    </row>
    <row r="22122">
      <c r="A22122" s="42">
        <f>_xlfn.XLOOKUP(84526,Trip[shape_id],Trip[shape_id],"Não encontrado")</f>
        <v/>
      </c>
      <c r="B22122" s="43" t="n">
        <v>-23.538525</v>
      </c>
      <c r="C22122" s="43" t="n">
        <v>-46.564782</v>
      </c>
      <c r="D22122" s="43" t="n">
        <v>177</v>
      </c>
      <c r="E22122" s="44" t="n">
        <v>7517.1133</v>
      </c>
    </row>
    <row r="22123">
      <c r="A22123" s="39">
        <f>_xlfn.XLOOKUP(84526,Trip[shape_id],Trip[shape_id],"Não encontrado")</f>
        <v/>
      </c>
      <c r="B22123" s="40" t="n">
        <v>-23.538435</v>
      </c>
      <c r="C22123" s="40" t="n">
        <v>-46.564351</v>
      </c>
      <c r="D22123" s="40" t="n">
        <v>178</v>
      </c>
      <c r="E22123" s="41" t="n">
        <v>7562.2378</v>
      </c>
    </row>
    <row r="22124">
      <c r="A22124" s="42">
        <f>_xlfn.XLOOKUP(84526,Trip[shape_id],Trip[shape_id],"Não encontrado")</f>
        <v/>
      </c>
      <c r="B22124" s="43" t="n">
        <v>-23.538135</v>
      </c>
      <c r="C22124" s="43" t="n">
        <v>-46.562807</v>
      </c>
      <c r="D22124" s="43" t="n">
        <v>179</v>
      </c>
      <c r="E22124" s="44" t="n">
        <v>7723.3608</v>
      </c>
    </row>
    <row r="22125">
      <c r="A22125" s="39">
        <f>_xlfn.XLOOKUP(84526,Trip[shape_id],Trip[shape_id],"Não encontrado")</f>
        <v/>
      </c>
      <c r="B22125" s="40" t="n">
        <v>-23.538111</v>
      </c>
      <c r="C22125" s="40" t="n">
        <v>-46.562667</v>
      </c>
      <c r="D22125" s="40" t="n">
        <v>180</v>
      </c>
      <c r="E22125" s="41" t="n">
        <v>7737.9019</v>
      </c>
    </row>
    <row r="22126">
      <c r="A22126" s="42">
        <f>_xlfn.XLOOKUP(84526,Trip[shape_id],Trip[shape_id],"Não encontrado")</f>
        <v/>
      </c>
      <c r="B22126" s="43" t="n">
        <v>-23.538054</v>
      </c>
      <c r="C22126" s="43" t="n">
        <v>-46.562436</v>
      </c>
      <c r="D22126" s="43" t="n">
        <v>181</v>
      </c>
      <c r="E22126" s="44" t="n">
        <v>7762.3198</v>
      </c>
    </row>
    <row r="22127">
      <c r="A22127" s="39">
        <f>_xlfn.XLOOKUP(84526,Trip[shape_id],Trip[shape_id],"Não encontrado")</f>
        <v/>
      </c>
      <c r="B22127" s="40" t="n">
        <v>-23.537995</v>
      </c>
      <c r="C22127" s="40" t="n">
        <v>-46.562238</v>
      </c>
      <c r="D22127" s="40" t="n">
        <v>182</v>
      </c>
      <c r="E22127" s="41" t="n">
        <v>7783.5679</v>
      </c>
    </row>
    <row r="22128">
      <c r="A22128" s="42">
        <f>_xlfn.XLOOKUP(84526,Trip[shape_id],Trip[shape_id],"Não encontrado")</f>
        <v/>
      </c>
      <c r="B22128" s="43" t="n">
        <v>-23.537919</v>
      </c>
      <c r="C22128" s="43" t="n">
        <v>-46.562044</v>
      </c>
      <c r="D22128" s="43" t="n">
        <v>183</v>
      </c>
      <c r="E22128" s="44" t="n">
        <v>7805.0918</v>
      </c>
    </row>
    <row r="22129">
      <c r="A22129" s="39">
        <f>_xlfn.XLOOKUP(84526,Trip[shape_id],Trip[shape_id],"Não encontrado")</f>
        <v/>
      </c>
      <c r="B22129" s="40" t="n">
        <v>-23.537827</v>
      </c>
      <c r="C22129" s="40" t="n">
        <v>-46.56192</v>
      </c>
      <c r="D22129" s="40" t="n">
        <v>184</v>
      </c>
      <c r="E22129" s="41" t="n">
        <v>7821.3442</v>
      </c>
    </row>
    <row r="22130">
      <c r="A22130" s="42">
        <f>_xlfn.XLOOKUP(84526,Trip[shape_id],Trip[shape_id],"Não encontrado")</f>
        <v/>
      </c>
      <c r="B22130" s="43" t="n">
        <v>-23.537598</v>
      </c>
      <c r="C22130" s="43" t="n">
        <v>-46.560986</v>
      </c>
      <c r="D22130" s="43" t="n">
        <v>185</v>
      </c>
      <c r="E22130" s="44" t="n">
        <v>7920.0313</v>
      </c>
    </row>
    <row r="22131">
      <c r="A22131" s="39">
        <f>_xlfn.XLOOKUP(84526,Trip[shape_id],Trip[shape_id],"Não encontrado")</f>
        <v/>
      </c>
      <c r="B22131" s="40" t="n">
        <v>-23.537406</v>
      </c>
      <c r="C22131" s="40" t="n">
        <v>-46.560287</v>
      </c>
      <c r="D22131" s="40" t="n">
        <v>186</v>
      </c>
      <c r="E22131" s="41" t="n">
        <v>7994.5078</v>
      </c>
    </row>
    <row r="22132">
      <c r="A22132" s="42">
        <f>_xlfn.XLOOKUP(84526,Trip[shape_id],Trip[shape_id],"Não encontrado")</f>
        <v/>
      </c>
      <c r="B22132" s="43" t="n">
        <v>-23.53718</v>
      </c>
      <c r="C22132" s="43" t="n">
        <v>-46.559118</v>
      </c>
      <c r="D22132" s="43" t="n">
        <v>187</v>
      </c>
      <c r="E22132" s="44" t="n">
        <v>8116.4731</v>
      </c>
    </row>
    <row r="22133">
      <c r="A22133" s="39">
        <f>_xlfn.XLOOKUP(84526,Trip[shape_id],Trip[shape_id],"Não encontrado")</f>
        <v/>
      </c>
      <c r="B22133" s="40" t="n">
        <v>-23.53699</v>
      </c>
      <c r="C22133" s="40" t="n">
        <v>-46.558222</v>
      </c>
      <c r="D22133" s="40" t="n">
        <v>188</v>
      </c>
      <c r="E22133" s="41" t="n">
        <v>8210.354499999999</v>
      </c>
    </row>
    <row r="22134">
      <c r="A22134" s="42">
        <f>_xlfn.XLOOKUP(84526,Trip[shape_id],Trip[shape_id],"Não encontrado")</f>
        <v/>
      </c>
      <c r="B22134" s="43" t="n">
        <v>-23.536879</v>
      </c>
      <c r="C22134" s="43" t="n">
        <v>-46.557693</v>
      </c>
      <c r="D22134" s="43" t="n">
        <v>189</v>
      </c>
      <c r="E22134" s="44" t="n">
        <v>8265.752899999999</v>
      </c>
    </row>
    <row r="22135">
      <c r="A22135" s="39">
        <f>_xlfn.XLOOKUP(84526,Trip[shape_id],Trip[shape_id],"Não encontrado")</f>
        <v/>
      </c>
      <c r="B22135" s="40" t="n">
        <v>-23.536746</v>
      </c>
      <c r="C22135" s="40" t="n">
        <v>-46.556912</v>
      </c>
      <c r="D22135" s="40" t="n">
        <v>190</v>
      </c>
      <c r="E22135" s="41" t="n">
        <v>8346.8516</v>
      </c>
    </row>
    <row r="22136">
      <c r="A22136" s="42">
        <f>_xlfn.XLOOKUP(84526,Trip[shape_id],Trip[shape_id],"Não encontrado")</f>
        <v/>
      </c>
      <c r="B22136" s="43" t="n">
        <v>-23.536764</v>
      </c>
      <c r="C22136" s="43" t="n">
        <v>-46.556642</v>
      </c>
      <c r="D22136" s="43" t="n">
        <v>191</v>
      </c>
      <c r="E22136" s="44" t="n">
        <v>8374.4941</v>
      </c>
    </row>
    <row r="22137">
      <c r="A22137" s="39">
        <f>_xlfn.XLOOKUP(84526,Trip[shape_id],Trip[shape_id],"Não encontrado")</f>
        <v/>
      </c>
      <c r="B22137" s="40" t="n">
        <v>-23.536672</v>
      </c>
      <c r="C22137" s="40" t="n">
        <v>-46.556494</v>
      </c>
      <c r="D22137" s="40" t="n">
        <v>192</v>
      </c>
      <c r="E22137" s="41" t="n">
        <v>8392.7207</v>
      </c>
    </row>
    <row r="22138">
      <c r="A22138" s="42">
        <f>_xlfn.XLOOKUP(84526,Trip[shape_id],Trip[shape_id],"Não encontrado")</f>
        <v/>
      </c>
      <c r="B22138" s="43" t="n">
        <v>-23.536581</v>
      </c>
      <c r="C22138" s="43" t="n">
        <v>-46.556049</v>
      </c>
      <c r="D22138" s="43" t="n">
        <v>193</v>
      </c>
      <c r="E22138" s="44" t="n">
        <v>8439.265600000001</v>
      </c>
    </row>
    <row r="22139">
      <c r="A22139" s="39">
        <f>_xlfn.XLOOKUP(84526,Trip[shape_id],Trip[shape_id],"Não encontrado")</f>
        <v/>
      </c>
      <c r="B22139" s="40" t="n">
        <v>-23.536536</v>
      </c>
      <c r="C22139" s="40" t="n">
        <v>-46.555775</v>
      </c>
      <c r="D22139" s="40" t="n">
        <v>194</v>
      </c>
      <c r="E22139" s="41" t="n">
        <v>8467.684600000001</v>
      </c>
    </row>
    <row r="22140">
      <c r="A22140" s="42">
        <f>_xlfn.XLOOKUP(84526,Trip[shape_id],Trip[shape_id],"Não encontrado")</f>
        <v/>
      </c>
      <c r="B22140" s="43" t="n">
        <v>-23.536469</v>
      </c>
      <c r="C22140" s="43" t="n">
        <v>-46.555438</v>
      </c>
      <c r="D22140" s="43" t="n">
        <v>195</v>
      </c>
      <c r="E22140" s="44" t="n">
        <v>8502.887699999999</v>
      </c>
    </row>
    <row r="22141">
      <c r="A22141" s="39">
        <f>_xlfn.XLOOKUP(84526,Trip[shape_id],Trip[shape_id],"Não encontrado")</f>
        <v/>
      </c>
      <c r="B22141" s="40" t="n">
        <v>-23.536356</v>
      </c>
      <c r="C22141" s="40" t="n">
        <v>-46.554762</v>
      </c>
      <c r="D22141" s="40" t="n">
        <v>196</v>
      </c>
      <c r="E22141" s="41" t="n">
        <v>8573.040999999999</v>
      </c>
    </row>
    <row r="22142">
      <c r="A22142" s="42">
        <f>_xlfn.XLOOKUP(84526,Trip[shape_id],Trip[shape_id],"Não encontrado")</f>
        <v/>
      </c>
      <c r="B22142" s="43" t="n">
        <v>-23.536342</v>
      </c>
      <c r="C22142" s="43" t="n">
        <v>-46.554672</v>
      </c>
      <c r="D22142" s="43" t="n">
        <v>197</v>
      </c>
      <c r="E22142" s="44" t="n">
        <v>8582.3613</v>
      </c>
    </row>
    <row r="22143">
      <c r="A22143" s="39">
        <f>_xlfn.XLOOKUP(84526,Trip[shape_id],Trip[shape_id],"Não encontrado")</f>
        <v/>
      </c>
      <c r="B22143" s="40" t="n">
        <v>-23.536164</v>
      </c>
      <c r="C22143" s="40" t="n">
        <v>-46.55381</v>
      </c>
      <c r="D22143" s="40" t="n">
        <v>198</v>
      </c>
      <c r="E22143" s="41" t="n">
        <v>8672.5635</v>
      </c>
    </row>
    <row r="22144">
      <c r="A22144" s="42">
        <f>_xlfn.XLOOKUP(84526,Trip[shape_id],Trip[shape_id],"Não encontrado")</f>
        <v/>
      </c>
      <c r="B22144" s="43" t="n">
        <v>-23.536026</v>
      </c>
      <c r="C22144" s="43" t="n">
        <v>-46.55316</v>
      </c>
      <c r="D22144" s="43" t="n">
        <v>199</v>
      </c>
      <c r="E22144" s="44" t="n">
        <v>8740.6738</v>
      </c>
    </row>
    <row r="22145">
      <c r="A22145" s="39">
        <f>_xlfn.XLOOKUP(84526,Trip[shape_id],Trip[shape_id],"Não encontrado")</f>
        <v/>
      </c>
      <c r="B22145" s="40" t="n">
        <v>-23.535884</v>
      </c>
      <c r="C22145" s="40" t="n">
        <v>-46.55256</v>
      </c>
      <c r="D22145" s="40" t="n">
        <v>200</v>
      </c>
      <c r="E22145" s="41" t="n">
        <v>8803.9277</v>
      </c>
    </row>
    <row r="22146">
      <c r="A22146" s="42">
        <f>_xlfn.XLOOKUP(84526,Trip[shape_id],Trip[shape_id],"Não encontrado")</f>
        <v/>
      </c>
      <c r="B22146" s="43" t="n">
        <v>-23.535793</v>
      </c>
      <c r="C22146" s="43" t="n">
        <v>-46.552128</v>
      </c>
      <c r="D22146" s="43" t="n">
        <v>201</v>
      </c>
      <c r="E22146" s="44" t="n">
        <v>8849.1777</v>
      </c>
    </row>
    <row r="22147">
      <c r="A22147" s="39">
        <f>_xlfn.XLOOKUP(84526,Trip[shape_id],Trip[shape_id],"Não encontrado")</f>
        <v/>
      </c>
      <c r="B22147" s="40" t="n">
        <v>-23.535823</v>
      </c>
      <c r="C22147" s="40" t="n">
        <v>-46.552018</v>
      </c>
      <c r="D22147" s="40" t="n">
        <v>202</v>
      </c>
      <c r="E22147" s="41" t="n">
        <v>8880.5762</v>
      </c>
    </row>
    <row r="22148">
      <c r="A22148" s="42">
        <f>_xlfn.XLOOKUP(84526,Trip[shape_id],Trip[shape_id],"Não encontrado")</f>
        <v/>
      </c>
      <c r="B22148" s="43" t="n">
        <v>-23.535839</v>
      </c>
      <c r="C22148" s="43" t="n">
        <v>-46.551826</v>
      </c>
      <c r="D22148" s="43" t="n">
        <v>203</v>
      </c>
      <c r="E22148" s="44" t="n">
        <v>8901</v>
      </c>
    </row>
    <row r="22149">
      <c r="A22149" s="39">
        <f>_xlfn.XLOOKUP(84526,Trip[shape_id],Trip[shape_id],"Não encontrado")</f>
        <v/>
      </c>
      <c r="B22149" s="40" t="n">
        <v>-23.535837</v>
      </c>
      <c r="C22149" s="40" t="n">
        <v>-46.551626</v>
      </c>
      <c r="D22149" s="40" t="n">
        <v>204</v>
      </c>
      <c r="E22149" s="41" t="n">
        <v>8901</v>
      </c>
    </row>
    <row r="22150">
      <c r="A22150" s="42">
        <f>_xlfn.XLOOKUP(84526,Trip[shape_id],Trip[shape_id],"Não encontrado")</f>
        <v/>
      </c>
      <c r="B22150" s="43" t="n">
        <v>-23.535806</v>
      </c>
      <c r="C22150" s="43" t="n">
        <v>-46.551417</v>
      </c>
      <c r="D22150" s="43" t="n">
        <v>205</v>
      </c>
      <c r="E22150" s="44" t="n">
        <v>8952.5977</v>
      </c>
    </row>
    <row r="22151">
      <c r="A22151" s="39">
        <f>_xlfn.XLOOKUP(84526,Trip[shape_id],Trip[shape_id],"Não encontrado")</f>
        <v/>
      </c>
      <c r="B22151" s="40" t="n">
        <v>-23.53577</v>
      </c>
      <c r="C22151" s="40" t="n">
        <v>-46.551126</v>
      </c>
      <c r="D22151" s="40" t="n">
        <v>206</v>
      </c>
      <c r="E22151" s="41" t="n">
        <v>9041.543</v>
      </c>
    </row>
    <row r="22152">
      <c r="A22152" s="42">
        <f>_xlfn.XLOOKUP(84526,Trip[shape_id],Trip[shape_id],"Não encontrado")</f>
        <v/>
      </c>
      <c r="B22152" s="43" t="n">
        <v>-23.535603</v>
      </c>
      <c r="C22152" s="43" t="n">
        <v>-46.550274</v>
      </c>
      <c r="D22152" s="43" t="n">
        <v>207</v>
      </c>
      <c r="E22152" s="44" t="n">
        <v>9140.2246</v>
      </c>
    </row>
    <row r="22153">
      <c r="A22153" s="39">
        <f>_xlfn.XLOOKUP(84526,Trip[shape_id],Trip[shape_id],"Não encontrado")</f>
        <v/>
      </c>
      <c r="B22153" s="40" t="n">
        <v>-23.53543</v>
      </c>
      <c r="C22153" s="40" t="n">
        <v>-46.549326</v>
      </c>
      <c r="D22153" s="40" t="n">
        <v>208</v>
      </c>
      <c r="E22153" s="41" t="n">
        <v>9159.109399999999</v>
      </c>
    </row>
    <row r="22154">
      <c r="A22154" s="42">
        <f>_xlfn.XLOOKUP(84526,Trip[shape_id],Trip[shape_id],"Não encontrado")</f>
        <v/>
      </c>
      <c r="B22154" s="43" t="n">
        <v>-23.535395</v>
      </c>
      <c r="C22154" s="43" t="n">
        <v>-46.549145</v>
      </c>
      <c r="D22154" s="43" t="n">
        <v>209</v>
      </c>
      <c r="E22154" s="44" t="n">
        <v>9173.448200000001</v>
      </c>
    </row>
    <row r="22155">
      <c r="A22155" s="39">
        <f>_xlfn.XLOOKUP(84526,Trip[shape_id],Trip[shape_id],"Não encontrado")</f>
        <v/>
      </c>
      <c r="B22155" s="40" t="n">
        <v>-23.535385</v>
      </c>
      <c r="C22155" s="40" t="n">
        <v>-46.549005</v>
      </c>
      <c r="D22155" s="40" t="n">
        <v>210</v>
      </c>
      <c r="E22155" s="41" t="n">
        <v>9173.448200000001</v>
      </c>
    </row>
    <row r="22156">
      <c r="A22156" s="42">
        <f>_xlfn.XLOOKUP(84526,Trip[shape_id],Trip[shape_id],"Não encontrado")</f>
        <v/>
      </c>
      <c r="B22156" s="43" t="n">
        <v>-23.535393</v>
      </c>
      <c r="C22156" s="43" t="n">
        <v>-46.548915</v>
      </c>
      <c r="D22156" s="43" t="n">
        <v>211</v>
      </c>
      <c r="E22156" s="44" t="n">
        <v>9191.143599999999</v>
      </c>
    </row>
    <row r="22157">
      <c r="A22157" s="39">
        <f>_xlfn.XLOOKUP(84526,Trip[shape_id],Trip[shape_id],"Não encontrado")</f>
        <v/>
      </c>
      <c r="B22157" s="40" t="n">
        <v>-23.535404</v>
      </c>
      <c r="C22157" s="40" t="n">
        <v>-46.548833</v>
      </c>
      <c r="D22157" s="40" t="n">
        <v>212</v>
      </c>
      <c r="E22157" s="41" t="n">
        <v>9208.0635</v>
      </c>
    </row>
    <row r="22158">
      <c r="A22158" s="42">
        <f>_xlfn.XLOOKUP(84526,Trip[shape_id],Trip[shape_id],"Não encontrado")</f>
        <v/>
      </c>
      <c r="B22158" s="43" t="n">
        <v>-23.535447</v>
      </c>
      <c r="C22158" s="43" t="n">
        <v>-46.548674</v>
      </c>
      <c r="D22158" s="43" t="n">
        <v>213</v>
      </c>
      <c r="E22158" s="44" t="n">
        <v>9226.104499999999</v>
      </c>
    </row>
    <row r="22159">
      <c r="A22159" s="39">
        <f>_xlfn.XLOOKUP(84526,Trip[shape_id],Trip[shape_id],"Não encontrado")</f>
        <v/>
      </c>
      <c r="B22159" s="40" t="n">
        <v>-23.535512</v>
      </c>
      <c r="C22159" s="40" t="n">
        <v>-46.548512</v>
      </c>
      <c r="D22159" s="40" t="n">
        <v>214</v>
      </c>
      <c r="E22159" s="41" t="n">
        <v>9247.123</v>
      </c>
    </row>
    <row r="22160">
      <c r="A22160" s="42">
        <f>_xlfn.XLOOKUP(84526,Trip[shape_id],Trip[shape_id],"Não encontrado")</f>
        <v/>
      </c>
      <c r="B22160" s="43" t="n">
        <v>-23.535619</v>
      </c>
      <c r="C22160" s="43" t="n">
        <v>-46.548342</v>
      </c>
      <c r="D22160" s="43" t="n">
        <v>215</v>
      </c>
      <c r="E22160" s="44" t="n">
        <v>9259.6631</v>
      </c>
    </row>
    <row r="22161">
      <c r="A22161" s="39">
        <f>_xlfn.XLOOKUP(84526,Trip[shape_id],Trip[shape_id],"Não encontrado")</f>
        <v/>
      </c>
      <c r="B22161" s="40" t="n">
        <v>-23.535694</v>
      </c>
      <c r="C22161" s="40" t="n">
        <v>-46.54825</v>
      </c>
      <c r="D22161" s="40" t="n">
        <v>216</v>
      </c>
      <c r="E22161" s="41" t="n">
        <v>9273.609399999999</v>
      </c>
    </row>
    <row r="22162">
      <c r="A22162" s="42">
        <f>_xlfn.XLOOKUP(84526,Trip[shape_id],Trip[shape_id],"Não encontrado")</f>
        <v/>
      </c>
      <c r="B22162" s="43" t="n">
        <v>-23.535798</v>
      </c>
      <c r="C22162" s="43" t="n">
        <v>-46.548173</v>
      </c>
      <c r="D22162" s="43" t="n">
        <v>217</v>
      </c>
      <c r="E22162" s="44" t="n">
        <v>9296.0049</v>
      </c>
    </row>
    <row r="22163">
      <c r="A22163" s="39">
        <f>_xlfn.XLOOKUP(84526,Trip[shape_id],Trip[shape_id],"Não encontrado")</f>
        <v/>
      </c>
      <c r="B22163" s="40" t="n">
        <v>-23.535974</v>
      </c>
      <c r="C22163" s="40" t="n">
        <v>-46.548065</v>
      </c>
      <c r="D22163" s="40" t="n">
        <v>218</v>
      </c>
      <c r="E22163" s="41" t="n">
        <v>9296.0049</v>
      </c>
    </row>
    <row r="22164">
      <c r="A22164" s="42">
        <f>_xlfn.XLOOKUP(84526,Trip[shape_id],Trip[shape_id],"Não encontrado")</f>
        <v/>
      </c>
      <c r="B22164" s="43" t="n">
        <v>-23.536181</v>
      </c>
      <c r="C22164" s="43" t="n">
        <v>-46.548006</v>
      </c>
      <c r="D22164" s="43" t="n">
        <v>219</v>
      </c>
      <c r="E22164" s="44" t="n">
        <v>9369.9746</v>
      </c>
    </row>
    <row r="22165">
      <c r="A22165" s="39">
        <f>_xlfn.XLOOKUP(84526,Trip[shape_id],Trip[shape_id],"Não encontrado")</f>
        <v/>
      </c>
      <c r="B22165" s="40" t="n">
        <v>-23.536619</v>
      </c>
      <c r="C22165" s="40" t="n">
        <v>-46.547877</v>
      </c>
      <c r="D22165" s="40" t="n">
        <v>220</v>
      </c>
      <c r="E22165" s="41" t="n">
        <v>9404.4287</v>
      </c>
    </row>
    <row r="22166">
      <c r="A22166" s="42">
        <f>_xlfn.XLOOKUP(84526,Trip[shape_id],Trip[shape_id],"Não encontrado")</f>
        <v/>
      </c>
      <c r="B22166" s="43" t="n">
        <v>-23.536921</v>
      </c>
      <c r="C22166" s="43" t="n">
        <v>-46.547796</v>
      </c>
      <c r="D22166" s="43" t="n">
        <v>221</v>
      </c>
      <c r="E22166" s="44" t="n">
        <v>9445.9277</v>
      </c>
    </row>
    <row r="22167">
      <c r="A22167" s="39">
        <f>_xlfn.XLOOKUP(84526,Trip[shape_id],Trip[shape_id],"Não encontrado")</f>
        <v/>
      </c>
      <c r="B22167" s="40" t="n">
        <v>-23.537288</v>
      </c>
      <c r="C22167" s="40" t="n">
        <v>-46.547714</v>
      </c>
      <c r="D22167" s="40" t="n">
        <v>222</v>
      </c>
      <c r="E22167" s="41" t="n">
        <v>9445.9277</v>
      </c>
    </row>
    <row r="22168">
      <c r="A22168" s="42">
        <f>_xlfn.XLOOKUP(84526,Trip[shape_id],Trip[shape_id],"Não encontrado")</f>
        <v/>
      </c>
      <c r="B22168" s="43" t="n">
        <v>-23.537612</v>
      </c>
      <c r="C22168" s="43" t="n">
        <v>-46.547608</v>
      </c>
      <c r="D22168" s="43" t="n">
        <v>223</v>
      </c>
      <c r="E22168" s="44" t="n">
        <v>9503.5928</v>
      </c>
    </row>
    <row r="22169">
      <c r="A22169" s="39">
        <f>_xlfn.XLOOKUP(84526,Trip[shape_id],Trip[shape_id],"Não encontrado")</f>
        <v/>
      </c>
      <c r="B22169" s="40" t="n">
        <v>-23.537781</v>
      </c>
      <c r="C22169" s="40" t="n">
        <v>-46.547534</v>
      </c>
      <c r="D22169" s="40" t="n">
        <v>224</v>
      </c>
      <c r="E22169" s="41" t="n">
        <v>9536.4121</v>
      </c>
    </row>
    <row r="22170">
      <c r="A22170" s="42">
        <f>_xlfn.XLOOKUP(84526,Trip[shape_id],Trip[shape_id],"Não encontrado")</f>
        <v/>
      </c>
      <c r="B22170" s="43" t="n">
        <v>-23.538045</v>
      </c>
      <c r="C22170" s="43" t="n">
        <v>-46.547388</v>
      </c>
      <c r="D22170" s="43" t="n">
        <v>225</v>
      </c>
      <c r="E22170" s="44" t="n">
        <v>9536.4121</v>
      </c>
    </row>
    <row r="22171">
      <c r="A22171" s="39">
        <f>_xlfn.XLOOKUP(84526,Trip[shape_id],Trip[shape_id],"Não encontrado")</f>
        <v/>
      </c>
      <c r="B22171" s="40" t="n">
        <v>-23.538185</v>
      </c>
      <c r="C22171" s="40" t="n">
        <v>-46.547237</v>
      </c>
      <c r="D22171" s="40" t="n">
        <v>226</v>
      </c>
      <c r="E22171" s="41" t="n">
        <v>9581.338900000001</v>
      </c>
    </row>
    <row r="22172">
      <c r="A22172" s="42">
        <f>_xlfn.XLOOKUP(84526,Trip[shape_id],Trip[shape_id],"Não encontrado")</f>
        <v/>
      </c>
      <c r="B22172" s="43" t="n">
        <v>-23.538321</v>
      </c>
      <c r="C22172" s="43" t="n">
        <v>-46.547066</v>
      </c>
      <c r="D22172" s="43" t="n">
        <v>227</v>
      </c>
      <c r="E22172" s="44" t="n">
        <v>9597.676799999999</v>
      </c>
    </row>
    <row r="22173">
      <c r="A22173" s="39">
        <f>_xlfn.XLOOKUP(84526,Trip[shape_id],Trip[shape_id],"Não encontrado")</f>
        <v/>
      </c>
      <c r="B22173" s="40" t="n">
        <v>-23.538407</v>
      </c>
      <c r="C22173" s="40" t="n">
        <v>-46.546936</v>
      </c>
      <c r="D22173" s="40" t="n">
        <v>228</v>
      </c>
      <c r="E22173" s="41" t="n">
        <v>9597.676799999999</v>
      </c>
    </row>
    <row r="22174">
      <c r="A22174" s="42">
        <f>_xlfn.XLOOKUP(84526,Trip[shape_id],Trip[shape_id],"Não encontrado")</f>
        <v/>
      </c>
      <c r="B22174" s="43" t="n">
        <v>-23.53844</v>
      </c>
      <c r="C22174" s="43" t="n">
        <v>-46.54688</v>
      </c>
      <c r="D22174" s="43" t="n">
        <v>229</v>
      </c>
      <c r="E22174" s="44" t="n">
        <v>9629.2852</v>
      </c>
    </row>
    <row r="22175">
      <c r="A22175" s="39">
        <f>_xlfn.XLOOKUP(84526,Trip[shape_id],Trip[shape_id],"Não encontrado")</f>
        <v/>
      </c>
      <c r="B22175" s="40" t="n">
        <v>-23.538548</v>
      </c>
      <c r="C22175" s="40" t="n">
        <v>-46.546667</v>
      </c>
      <c r="D22175" s="40" t="n">
        <v>230</v>
      </c>
      <c r="E22175" s="41" t="n">
        <v>9677.9697</v>
      </c>
    </row>
    <row r="22176">
      <c r="A22176" s="42">
        <f>_xlfn.XLOOKUP(84526,Trip[shape_id],Trip[shape_id],"Não encontrado")</f>
        <v/>
      </c>
      <c r="B22176" s="43" t="n">
        <v>-23.53873</v>
      </c>
      <c r="C22176" s="43" t="n">
        <v>-46.546233</v>
      </c>
      <c r="D22176" s="43" t="n">
        <v>231</v>
      </c>
      <c r="E22176" s="44" t="n">
        <v>9730.5684</v>
      </c>
    </row>
    <row r="22177">
      <c r="A22177" s="39">
        <f>_xlfn.XLOOKUP(84526,Trip[shape_id],Trip[shape_id],"Não encontrado")</f>
        <v/>
      </c>
      <c r="B22177" s="40" t="n">
        <v>-23.538907</v>
      </c>
      <c r="C22177" s="40" t="n">
        <v>-46.545755</v>
      </c>
      <c r="D22177" s="40" t="n">
        <v>232</v>
      </c>
      <c r="E22177" s="41" t="n">
        <v>9730.5684</v>
      </c>
    </row>
    <row r="22178">
      <c r="A22178" s="42">
        <f>_xlfn.XLOOKUP(84526,Trip[shape_id],Trip[shape_id],"Não encontrado")</f>
        <v/>
      </c>
      <c r="B22178" s="43" t="n">
        <v>-23.53926</v>
      </c>
      <c r="C22178" s="43" t="n">
        <v>-46.544839</v>
      </c>
      <c r="D22178" s="43" t="n">
        <v>233</v>
      </c>
      <c r="E22178" s="44" t="n">
        <v>9870.295899999999</v>
      </c>
    </row>
    <row r="22179">
      <c r="A22179" s="39">
        <f>_xlfn.XLOOKUP(84526,Trip[shape_id],Trip[shape_id],"Não encontrado")</f>
        <v/>
      </c>
      <c r="B22179" s="40" t="n">
        <v>-23.539388</v>
      </c>
      <c r="C22179" s="40" t="n">
        <v>-46.54449</v>
      </c>
      <c r="D22179" s="40" t="n">
        <v>234</v>
      </c>
      <c r="E22179" s="41" t="n">
        <v>9870.295899999999</v>
      </c>
    </row>
    <row r="22180">
      <c r="A22180" s="42">
        <f>_xlfn.XLOOKUP(84526,Trip[shape_id],Trip[shape_id],"Não encontrado")</f>
        <v/>
      </c>
      <c r="B22180" s="43" t="n">
        <v>-23.53959</v>
      </c>
      <c r="C22180" s="43" t="n">
        <v>-46.543946</v>
      </c>
      <c r="D22180" s="43" t="n">
        <v>235</v>
      </c>
      <c r="E22180" s="44" t="n">
        <v>9930.179700000001</v>
      </c>
    </row>
    <row r="22181">
      <c r="A22181" s="39">
        <f>_xlfn.XLOOKUP(84526,Trip[shape_id],Trip[shape_id],"Não encontrado")</f>
        <v/>
      </c>
      <c r="B22181" s="40" t="n">
        <v>-23.540011</v>
      </c>
      <c r="C22181" s="40" t="n">
        <v>-46.542791</v>
      </c>
      <c r="D22181" s="40" t="n">
        <v>236</v>
      </c>
      <c r="E22181" s="41" t="n">
        <v>10056.999</v>
      </c>
    </row>
    <row r="22182">
      <c r="A22182" s="42">
        <f>_xlfn.XLOOKUP(84526,Trip[shape_id],Trip[shape_id],"Não encontrado")</f>
        <v/>
      </c>
      <c r="B22182" s="43" t="n">
        <v>-23.540184</v>
      </c>
      <c r="C22182" s="43" t="n">
        <v>-46.542348</v>
      </c>
      <c r="D22182" s="43" t="n">
        <v>237</v>
      </c>
      <c r="E22182" s="44" t="n">
        <v>10106.124</v>
      </c>
    </row>
    <row r="22183">
      <c r="A22183" s="39">
        <f>_xlfn.XLOOKUP(84526,Trip[shape_id],Trip[shape_id],"Não encontrado")</f>
        <v/>
      </c>
      <c r="B22183" s="40" t="n">
        <v>-23.540358</v>
      </c>
      <c r="C22183" s="40" t="n">
        <v>-46.54191</v>
      </c>
      <c r="D22183" s="40" t="n">
        <v>238</v>
      </c>
      <c r="E22183" s="41" t="n">
        <v>10154.823</v>
      </c>
    </row>
    <row r="22184">
      <c r="A22184" s="42">
        <f>_xlfn.XLOOKUP(84526,Trip[shape_id],Trip[shape_id],"Não encontrado")</f>
        <v/>
      </c>
      <c r="B22184" s="43" t="n">
        <v>-23.54063</v>
      </c>
      <c r="C22184" s="43" t="n">
        <v>-46.541187</v>
      </c>
      <c r="D22184" s="43" t="n">
        <v>239</v>
      </c>
      <c r="E22184" s="44" t="n">
        <v>10234.559</v>
      </c>
    </row>
    <row r="22185">
      <c r="A22185" s="39">
        <f>_xlfn.XLOOKUP(84526,Trip[shape_id],Trip[shape_id],"Não encontrado")</f>
        <v/>
      </c>
      <c r="B22185" s="40" t="n">
        <v>-23.540928</v>
      </c>
      <c r="C22185" s="40" t="n">
        <v>-46.540471</v>
      </c>
      <c r="D22185" s="40" t="n">
        <v>240</v>
      </c>
      <c r="E22185" s="41" t="n">
        <v>10384.968</v>
      </c>
    </row>
    <row r="22186">
      <c r="A22186" s="42">
        <f>_xlfn.XLOOKUP(84526,Trip[shape_id],Trip[shape_id],"Não encontrado")</f>
        <v/>
      </c>
      <c r="B22186" s="43" t="n">
        <v>-23.541173</v>
      </c>
      <c r="C22186" s="43" t="n">
        <v>-46.539837</v>
      </c>
      <c r="D22186" s="43" t="n">
        <v>241</v>
      </c>
      <c r="E22186" s="44" t="n">
        <v>10423.944</v>
      </c>
    </row>
    <row r="22187">
      <c r="A22187" s="39">
        <f>_xlfn.XLOOKUP(84526,Trip[shape_id],Trip[shape_id],"Não encontrado")</f>
        <v/>
      </c>
      <c r="B22187" s="40" t="n">
        <v>-23.54129</v>
      </c>
      <c r="C22187" s="40" t="n">
        <v>-46.539477</v>
      </c>
      <c r="D22187" s="40" t="n">
        <v>242</v>
      </c>
      <c r="E22187" s="41" t="n">
        <v>10423.944</v>
      </c>
    </row>
    <row r="22188">
      <c r="A22188" s="42">
        <f>_xlfn.XLOOKUP(84526,Trip[shape_id],Trip[shape_id],"Não encontrado")</f>
        <v/>
      </c>
      <c r="B22188" s="43" t="n">
        <v>-23.541382</v>
      </c>
      <c r="C22188" s="43" t="n">
        <v>-46.539077</v>
      </c>
      <c r="D22188" s="43" t="n">
        <v>243</v>
      </c>
      <c r="E22188" s="44" t="n">
        <v>10485.481</v>
      </c>
    </row>
    <row r="22189">
      <c r="A22189" s="39">
        <f>_xlfn.XLOOKUP(84526,Trip[shape_id],Trip[shape_id],"Não encontrado")</f>
        <v/>
      </c>
      <c r="B22189" s="40" t="n">
        <v>-23.541415</v>
      </c>
      <c r="C22189" s="40" t="n">
        <v>-46.53889</v>
      </c>
      <c r="D22189" s="40" t="n">
        <v>244</v>
      </c>
      <c r="E22189" s="41" t="n">
        <v>10485.481</v>
      </c>
    </row>
    <row r="22190">
      <c r="A22190" s="42">
        <f>_xlfn.XLOOKUP(84526,Trip[shape_id],Trip[shape_id],"Não encontrado")</f>
        <v/>
      </c>
      <c r="B22190" s="43" t="n">
        <v>-23.541425</v>
      </c>
      <c r="C22190" s="43" t="n">
        <v>-46.53862</v>
      </c>
      <c r="D22190" s="43" t="n">
        <v>245</v>
      </c>
      <c r="E22190" s="44" t="n">
        <v>10530.738</v>
      </c>
    </row>
    <row r="22191">
      <c r="A22191" s="39">
        <f>_xlfn.XLOOKUP(84526,Trip[shape_id],Trip[shape_id],"Não encontrado")</f>
        <v/>
      </c>
      <c r="B22191" s="40" t="n">
        <v>-23.541425</v>
      </c>
      <c r="C22191" s="40" t="n">
        <v>-46.538447</v>
      </c>
      <c r="D22191" s="40" t="n">
        <v>246</v>
      </c>
      <c r="E22191" s="41" t="n">
        <v>10544.485</v>
      </c>
    </row>
    <row r="22192">
      <c r="A22192" s="42">
        <f>_xlfn.XLOOKUP(84526,Trip[shape_id],Trip[shape_id],"Não encontrado")</f>
        <v/>
      </c>
      <c r="B22192" s="43" t="n">
        <v>-23.541413</v>
      </c>
      <c r="C22192" s="43" t="n">
        <v>-46.538313</v>
      </c>
      <c r="D22192" s="43" t="n">
        <v>247</v>
      </c>
      <c r="E22192" s="44" t="n">
        <v>10544.485</v>
      </c>
    </row>
    <row r="22193">
      <c r="A22193" s="39">
        <f>_xlfn.XLOOKUP(84526,Trip[shape_id],Trip[shape_id],"Não encontrado")</f>
        <v/>
      </c>
      <c r="B22193" s="40" t="n">
        <v>-23.541394</v>
      </c>
      <c r="C22193" s="40" t="n">
        <v>-46.537818</v>
      </c>
      <c r="D22193" s="40" t="n">
        <v>248</v>
      </c>
      <c r="E22193" s="41" t="n">
        <v>10636.034</v>
      </c>
    </row>
    <row r="22194">
      <c r="A22194" s="42">
        <f>_xlfn.XLOOKUP(84526,Trip[shape_id],Trip[shape_id],"Não encontrado")</f>
        <v/>
      </c>
      <c r="B22194" s="43" t="n">
        <v>-23.541384</v>
      </c>
      <c r="C22194" s="43" t="n">
        <v>-46.537417</v>
      </c>
      <c r="D22194" s="43" t="n">
        <v>249</v>
      </c>
      <c r="E22194" s="44" t="n">
        <v>10636.034</v>
      </c>
    </row>
    <row r="22195">
      <c r="A22195" s="39">
        <f>_xlfn.XLOOKUP(84526,Trip[shape_id],Trip[shape_id],"Não encontrado")</f>
        <v/>
      </c>
      <c r="B22195" s="40" t="n">
        <v>-23.541363</v>
      </c>
      <c r="C22195" s="40" t="n">
        <v>-46.537105</v>
      </c>
      <c r="D22195" s="40" t="n">
        <v>250</v>
      </c>
      <c r="E22195" s="41" t="n">
        <v>10682.68</v>
      </c>
    </row>
    <row r="22196">
      <c r="A22196" s="42">
        <f>_xlfn.XLOOKUP(84526,Trip[shape_id],Trip[shape_id],"Não encontrado")</f>
        <v/>
      </c>
      <c r="B22196" s="43" t="n">
        <v>-23.541363</v>
      </c>
      <c r="C22196" s="43" t="n">
        <v>-46.536961</v>
      </c>
      <c r="D22196" s="43" t="n">
        <v>251</v>
      </c>
      <c r="E22196" s="44" t="n">
        <v>10721.791</v>
      </c>
    </row>
    <row r="22197">
      <c r="A22197" s="39">
        <f>_xlfn.XLOOKUP(84526,Trip[shape_id],Trip[shape_id],"Não encontrado")</f>
        <v/>
      </c>
      <c r="B22197" s="40" t="n">
        <v>-23.541368</v>
      </c>
      <c r="C22197" s="40" t="n">
        <v>-46.536578</v>
      </c>
      <c r="D22197" s="40" t="n">
        <v>252</v>
      </c>
      <c r="E22197" s="41" t="n">
        <v>10741.851</v>
      </c>
    </row>
    <row r="22198">
      <c r="A22198" s="42">
        <f>_xlfn.XLOOKUP(84526,Trip[shape_id],Trip[shape_id],"Não encontrado")</f>
        <v/>
      </c>
      <c r="B22198" s="43" t="n">
        <v>-23.54139</v>
      </c>
      <c r="C22198" s="43" t="n">
        <v>-46.536383</v>
      </c>
      <c r="D22198" s="43" t="n">
        <v>253</v>
      </c>
      <c r="E22198" s="44" t="n">
        <v>10765.333</v>
      </c>
    </row>
    <row r="22199">
      <c r="A22199" s="39">
        <f>_xlfn.XLOOKUP(84526,Trip[shape_id],Trip[shape_id],"Não encontrado")</f>
        <v/>
      </c>
      <c r="B22199" s="40" t="n">
        <v>-23.541424</v>
      </c>
      <c r="C22199" s="40" t="n">
        <v>-46.536156</v>
      </c>
      <c r="D22199" s="40" t="n">
        <v>254</v>
      </c>
      <c r="E22199" s="41" t="n">
        <v>10782.479</v>
      </c>
    </row>
    <row r="22200">
      <c r="A22200" s="42">
        <f>_xlfn.XLOOKUP(84526,Trip[shape_id],Trip[shape_id],"Não encontrado")</f>
        <v/>
      </c>
      <c r="B22200" s="43" t="n">
        <v>-23.541468</v>
      </c>
      <c r="C22200" s="43" t="n">
        <v>-46.535995</v>
      </c>
      <c r="D22200" s="43" t="n">
        <v>255</v>
      </c>
      <c r="E22200" s="44" t="n">
        <v>10795.625</v>
      </c>
    </row>
    <row r="22201">
      <c r="A22201" s="39">
        <f>_xlfn.XLOOKUP(84526,Trip[shape_id],Trip[shape_id],"Não encontrado")</f>
        <v/>
      </c>
      <c r="B22201" s="40" t="n">
        <v>-23.541511</v>
      </c>
      <c r="C22201" s="40" t="n">
        <v>-46.535875</v>
      </c>
      <c r="D22201" s="40" t="n">
        <v>256</v>
      </c>
      <c r="E22201" s="41" t="n">
        <v>10816.191</v>
      </c>
    </row>
    <row r="22202">
      <c r="A22202" s="42">
        <f>_xlfn.XLOOKUP(84526,Trip[shape_id],Trip[shape_id],"Não encontrado")</f>
        <v/>
      </c>
      <c r="B22202" s="43" t="n">
        <v>-23.54158</v>
      </c>
      <c r="C22202" s="43" t="n">
        <v>-46.535688</v>
      </c>
      <c r="D22202" s="43" t="n">
        <v>257</v>
      </c>
      <c r="E22202" s="44" t="n">
        <v>10816.191</v>
      </c>
    </row>
    <row r="22203">
      <c r="A22203" s="39">
        <f>_xlfn.XLOOKUP(84526,Trip[shape_id],Trip[shape_id],"Não encontrado")</f>
        <v/>
      </c>
      <c r="B22203" s="40" t="n">
        <v>-23.541698</v>
      </c>
      <c r="C22203" s="40" t="n">
        <v>-46.535438</v>
      </c>
      <c r="D22203" s="40" t="n">
        <v>258</v>
      </c>
      <c r="E22203" s="41" t="n">
        <v>10844.869</v>
      </c>
    </row>
    <row r="22204">
      <c r="A22204" s="42">
        <f>_xlfn.XLOOKUP(84526,Trip[shape_id],Trip[shape_id],"Não encontrado")</f>
        <v/>
      </c>
      <c r="B22204" s="43" t="n">
        <v>-23.54178</v>
      </c>
      <c r="C22204" s="43" t="n">
        <v>-46.535317</v>
      </c>
      <c r="D22204" s="43" t="n">
        <v>259</v>
      </c>
      <c r="E22204" s="44" t="n">
        <v>10867.366</v>
      </c>
    </row>
    <row r="22205">
      <c r="A22205" s="39">
        <f>_xlfn.XLOOKUP(84526,Trip[shape_id],Trip[shape_id],"Não encontrado")</f>
        <v/>
      </c>
      <c r="B22205" s="40" t="n">
        <v>-23.541815</v>
      </c>
      <c r="C22205" s="40" t="n">
        <v>-46.535258</v>
      </c>
      <c r="D22205" s="40" t="n">
        <v>260</v>
      </c>
      <c r="E22205" s="41" t="n">
        <v>10867.366</v>
      </c>
    </row>
    <row r="22206">
      <c r="A22206" s="42">
        <f>_xlfn.XLOOKUP(84526,Trip[shape_id],Trip[shape_id],"Não encontrado")</f>
        <v/>
      </c>
      <c r="B22206" s="43" t="n">
        <v>-23.542016</v>
      </c>
      <c r="C22206" s="43" t="n">
        <v>-46.534982</v>
      </c>
      <c r="D22206" s="43" t="n">
        <v>261</v>
      </c>
      <c r="E22206" s="44" t="n">
        <v>10968.015</v>
      </c>
    </row>
    <row r="22207">
      <c r="A22207" s="39">
        <f>_xlfn.XLOOKUP(84526,Trip[shape_id],Trip[shape_id],"Não encontrado")</f>
        <v/>
      </c>
      <c r="B22207" s="40" t="n">
        <v>-23.542388</v>
      </c>
      <c r="C22207" s="40" t="n">
        <v>-46.534493</v>
      </c>
      <c r="D22207" s="40" t="n">
        <v>262</v>
      </c>
      <c r="E22207" s="41" t="n">
        <v>10991.672</v>
      </c>
    </row>
    <row r="22208">
      <c r="A22208" s="42">
        <f>_xlfn.XLOOKUP(84526,Trip[shape_id],Trip[shape_id],"Não encontrado")</f>
        <v/>
      </c>
      <c r="B22208" s="43" t="n">
        <v>-23.542519</v>
      </c>
      <c r="C22208" s="43" t="n">
        <v>-46.53431</v>
      </c>
      <c r="D22208" s="43" t="n">
        <v>263</v>
      </c>
      <c r="E22208" s="44" t="n">
        <v>11019.912</v>
      </c>
    </row>
    <row r="22209">
      <c r="A22209" s="39">
        <f>_xlfn.XLOOKUP(84526,Trip[shape_id],Trip[shape_id],"Não encontrado")</f>
        <v/>
      </c>
      <c r="B22209" s="40" t="n">
        <v>-23.542686</v>
      </c>
      <c r="C22209" s="40" t="n">
        <v>-46.534101</v>
      </c>
      <c r="D22209" s="40" t="n">
        <v>264</v>
      </c>
      <c r="E22209" s="41" t="n">
        <v>11026.818</v>
      </c>
    </row>
    <row r="22210">
      <c r="A22210" s="42">
        <f>_xlfn.XLOOKUP(84526,Trip[shape_id],Trip[shape_id],"Não encontrado")</f>
        <v/>
      </c>
      <c r="B22210" s="43" t="n">
        <v>-23.542728</v>
      </c>
      <c r="C22210" s="43" t="n">
        <v>-46.534051</v>
      </c>
      <c r="D22210" s="43" t="n">
        <v>265</v>
      </c>
      <c r="E22210" s="44" t="n">
        <v>11026.818</v>
      </c>
    </row>
    <row r="22211">
      <c r="A22211" s="39">
        <f>_xlfn.XLOOKUP(84526,Trip[shape_id],Trip[shape_id],"Não encontrado")</f>
        <v/>
      </c>
      <c r="B22211" s="40" t="n">
        <v>-23.542825</v>
      </c>
      <c r="C22211" s="40" t="n">
        <v>-46.533916</v>
      </c>
      <c r="D22211" s="40" t="n">
        <v>266</v>
      </c>
      <c r="E22211" s="41" t="n">
        <v>11101.447</v>
      </c>
    </row>
    <row r="22212">
      <c r="A22212" s="42">
        <f>_xlfn.XLOOKUP(84526,Trip[shape_id],Trip[shape_id],"Não encontrado")</f>
        <v/>
      </c>
      <c r="B22212" s="43" t="n">
        <v>-23.543095</v>
      </c>
      <c r="C22212" s="43" t="n">
        <v>-46.533439</v>
      </c>
      <c r="D22212" s="43" t="n">
        <v>267</v>
      </c>
      <c r="E22212" s="44" t="n">
        <v>11143.676</v>
      </c>
    </row>
    <row r="22213">
      <c r="A22213" s="39">
        <f>_xlfn.XLOOKUP(84526,Trip[shape_id],Trip[shape_id],"Não encontrado")</f>
        <v/>
      </c>
      <c r="B22213" s="40" t="n">
        <v>-23.543269</v>
      </c>
      <c r="C22213" s="40" t="n">
        <v>-46.533071</v>
      </c>
      <c r="D22213" s="40" t="n">
        <v>268</v>
      </c>
      <c r="E22213" s="41" t="n">
        <v>11189.256</v>
      </c>
    </row>
    <row r="22214">
      <c r="A22214" s="42">
        <f>_xlfn.XLOOKUP(84526,Trip[shape_id],Trip[shape_id],"Não encontrado")</f>
        <v/>
      </c>
      <c r="B22214" s="43" t="n">
        <v>-23.543446</v>
      </c>
      <c r="C22214" s="43" t="n">
        <v>-46.532668</v>
      </c>
      <c r="D22214" s="43" t="n">
        <v>269</v>
      </c>
      <c r="E22214" s="44" t="n">
        <v>11240.782</v>
      </c>
    </row>
    <row r="22215">
      <c r="A22215" s="39">
        <f>_xlfn.XLOOKUP(84526,Trip[shape_id],Trip[shape_id],"Não encontrado")</f>
        <v/>
      </c>
      <c r="B22215" s="40" t="n">
        <v>-23.543651</v>
      </c>
      <c r="C22215" s="40" t="n">
        <v>-46.532215</v>
      </c>
      <c r="D22215" s="40" t="n">
        <v>270</v>
      </c>
      <c r="E22215" s="41" t="n">
        <v>11254.123</v>
      </c>
    </row>
    <row r="22216">
      <c r="A22216" s="42">
        <f>_xlfn.XLOOKUP(84526,Trip[shape_id],Trip[shape_id],"Não encontrado")</f>
        <v/>
      </c>
      <c r="B22216" s="43" t="n">
        <v>-23.543716</v>
      </c>
      <c r="C22216" s="43" t="n">
        <v>-46.532105</v>
      </c>
      <c r="D22216" s="43" t="n">
        <v>271</v>
      </c>
      <c r="E22216" s="44" t="n">
        <v>11254.123</v>
      </c>
    </row>
    <row r="22217">
      <c r="A22217" s="39">
        <f>_xlfn.XLOOKUP(84526,Trip[shape_id],Trip[shape_id],"Não encontrado")</f>
        <v/>
      </c>
      <c r="B22217" s="40" t="n">
        <v>-23.543902</v>
      </c>
      <c r="C22217" s="40" t="n">
        <v>-46.531668</v>
      </c>
      <c r="D22217" s="40" t="n">
        <v>272</v>
      </c>
      <c r="E22217" s="41" t="n">
        <v>11332.163</v>
      </c>
    </row>
    <row r="22218">
      <c r="A22218" s="42">
        <f>_xlfn.XLOOKUP(84526,Trip[shape_id],Trip[shape_id],"Não encontrado")</f>
        <v/>
      </c>
      <c r="B22218" s="43" t="n">
        <v>-23.544017</v>
      </c>
      <c r="C22218" s="43" t="n">
        <v>-46.531414</v>
      </c>
      <c r="D22218" s="43" t="n">
        <v>273</v>
      </c>
      <c r="E22218" s="44" t="n">
        <v>11351.591</v>
      </c>
    </row>
    <row r="22219">
      <c r="A22219" s="39">
        <f>_xlfn.XLOOKUP(84526,Trip[shape_id],Trip[shape_id],"Não encontrado")</f>
        <v/>
      </c>
      <c r="B22219" s="40" t="n">
        <v>-23.544092</v>
      </c>
      <c r="C22219" s="40" t="n">
        <v>-46.531242</v>
      </c>
      <c r="D22219" s="40" t="n">
        <v>274</v>
      </c>
      <c r="E22219" s="41" t="n">
        <v>11351.591</v>
      </c>
    </row>
    <row r="22220">
      <c r="A22220" s="42">
        <f>_xlfn.XLOOKUP(84526,Trip[shape_id],Trip[shape_id],"Não encontrado")</f>
        <v/>
      </c>
      <c r="B22220" s="43" t="n">
        <v>-23.544156</v>
      </c>
      <c r="C22220" s="43" t="n">
        <v>-46.531095</v>
      </c>
      <c r="D22220" s="43" t="n">
        <v>275</v>
      </c>
      <c r="E22220" s="44" t="n">
        <v>11368.189</v>
      </c>
    </row>
    <row r="22221">
      <c r="A22221" s="39">
        <f>_xlfn.XLOOKUP(84526,Trip[shape_id],Trip[shape_id],"Não encontrado")</f>
        <v/>
      </c>
      <c r="B22221" s="40" t="n">
        <v>-23.544288</v>
      </c>
      <c r="C22221" s="40" t="n">
        <v>-46.530794</v>
      </c>
      <c r="D22221" s="40" t="n">
        <v>276</v>
      </c>
      <c r="E22221" s="41" t="n">
        <v>11402.224</v>
      </c>
    </row>
    <row r="22222">
      <c r="A22222" s="42">
        <f>_xlfn.XLOOKUP(84526,Trip[shape_id],Trip[shape_id],"Não encontrado")</f>
        <v/>
      </c>
      <c r="B22222" s="43" t="n">
        <v>-23.54443</v>
      </c>
      <c r="C22222" s="43" t="n">
        <v>-46.530462</v>
      </c>
      <c r="D22222" s="43" t="n">
        <v>277</v>
      </c>
      <c r="E22222" s="44" t="n">
        <v>11461.587</v>
      </c>
    </row>
    <row r="22223">
      <c r="A22223" s="39">
        <f>_xlfn.XLOOKUP(84526,Trip[shape_id],Trip[shape_id],"Não encontrado")</f>
        <v/>
      </c>
      <c r="B22223" s="40" t="n">
        <v>-23.54452</v>
      </c>
      <c r="C22223" s="40" t="n">
        <v>-46.53027</v>
      </c>
      <c r="D22223" s="40" t="n">
        <v>278</v>
      </c>
      <c r="E22223" s="41" t="n">
        <v>11482.493</v>
      </c>
    </row>
    <row r="22224">
      <c r="A22224" s="42">
        <f>_xlfn.XLOOKUP(84526,Trip[shape_id],Trip[shape_id],"Não encontrado")</f>
        <v/>
      </c>
      <c r="B22224" s="43" t="n">
        <v>-23.544618</v>
      </c>
      <c r="C22224" s="43" t="n">
        <v>-46.530095</v>
      </c>
      <c r="D22224" s="43" t="n">
        <v>279</v>
      </c>
      <c r="E22224" s="44" t="n">
        <v>11482.493</v>
      </c>
    </row>
    <row r="22225">
      <c r="A22225" s="39">
        <f>_xlfn.XLOOKUP(84526,Trip[shape_id],Trip[shape_id],"Não encontrado")</f>
        <v/>
      </c>
      <c r="B22225" s="40" t="n">
        <v>-23.54468</v>
      </c>
      <c r="C22225" s="40" t="n">
        <v>-46.529982</v>
      </c>
      <c r="D22225" s="40" t="n">
        <v>280</v>
      </c>
      <c r="E22225" s="41" t="n">
        <v>11513.443</v>
      </c>
    </row>
    <row r="22226">
      <c r="A22226" s="42">
        <f>_xlfn.XLOOKUP(84526,Trip[shape_id],Trip[shape_id],"Não encontrado")</f>
        <v/>
      </c>
      <c r="B22226" s="43" t="n">
        <v>-23.54478</v>
      </c>
      <c r="C22226" s="43" t="n">
        <v>-46.529849</v>
      </c>
      <c r="D22226" s="43" t="n">
        <v>281</v>
      </c>
      <c r="E22226" s="44" t="n">
        <v>11552.855</v>
      </c>
    </row>
    <row r="22227">
      <c r="A22227" s="39">
        <f>_xlfn.XLOOKUP(84526,Trip[shape_id],Trip[shape_id],"Não encontrado")</f>
        <v/>
      </c>
      <c r="B22227" s="40" t="n">
        <v>-23.545021</v>
      </c>
      <c r="C22227" s="40" t="n">
        <v>-46.529565</v>
      </c>
      <c r="D22227" s="40" t="n">
        <v>282</v>
      </c>
      <c r="E22227" s="41" t="n">
        <v>11580.108</v>
      </c>
    </row>
    <row r="22228">
      <c r="A22228" s="42">
        <f>_xlfn.XLOOKUP(84526,Trip[shape_id],Trip[shape_id],"Não encontrado")</f>
        <v/>
      </c>
      <c r="B22228" s="43" t="n">
        <v>-23.545206</v>
      </c>
      <c r="C22228" s="43" t="n">
        <v>-46.529389</v>
      </c>
      <c r="D22228" s="43" t="n">
        <v>283</v>
      </c>
      <c r="E22228" s="44" t="n">
        <v>11633.496</v>
      </c>
    </row>
    <row r="22229">
      <c r="A22229" s="39">
        <f>_xlfn.XLOOKUP(84526,Trip[shape_id],Trip[shape_id],"Não encontrado")</f>
        <v/>
      </c>
      <c r="B22229" s="40" t="n">
        <v>-23.545573</v>
      </c>
      <c r="C22229" s="40" t="n">
        <v>-46.52905</v>
      </c>
      <c r="D22229" s="40" t="n">
        <v>284</v>
      </c>
      <c r="E22229" s="41" t="n">
        <v>11695.854</v>
      </c>
    </row>
    <row r="22230">
      <c r="A22230" s="42">
        <f>_xlfn.XLOOKUP(84526,Trip[shape_id],Trip[shape_id],"Não encontrado")</f>
        <v/>
      </c>
      <c r="B22230" s="43" t="n">
        <v>-23.54598</v>
      </c>
      <c r="C22230" s="43" t="n">
        <v>-46.528628</v>
      </c>
      <c r="D22230" s="43" t="n">
        <v>285</v>
      </c>
      <c r="E22230" s="44" t="n">
        <v>11695.854</v>
      </c>
    </row>
    <row r="22231">
      <c r="A22231" s="39">
        <f>_xlfn.XLOOKUP(84526,Trip[shape_id],Trip[shape_id],"Não encontrado")</f>
        <v/>
      </c>
      <c r="B22231" s="40" t="n">
        <v>-23.546334</v>
      </c>
      <c r="C22231" s="40" t="n">
        <v>-46.528308</v>
      </c>
      <c r="D22231" s="40" t="n">
        <v>286</v>
      </c>
      <c r="E22231" s="41" t="n">
        <v>11788.053</v>
      </c>
    </row>
    <row r="22232">
      <c r="A22232" s="42">
        <f>_xlfn.XLOOKUP(84526,Trip[shape_id],Trip[shape_id],"Não encontrado")</f>
        <v/>
      </c>
      <c r="B22232" s="43" t="n">
        <v>-23.54661</v>
      </c>
      <c r="C22232" s="43" t="n">
        <v>-46.528038</v>
      </c>
      <c r="D22232" s="43" t="n">
        <v>287</v>
      </c>
      <c r="E22232" s="44" t="n">
        <v>11824.41</v>
      </c>
    </row>
    <row r="22233">
      <c r="A22233" s="39">
        <f>_xlfn.XLOOKUP(84526,Trip[shape_id],Trip[shape_id],"Não encontrado")</f>
        <v/>
      </c>
      <c r="B22233" s="40" t="n">
        <v>-23.546855</v>
      </c>
      <c r="C22233" s="40" t="n">
        <v>-46.527801</v>
      </c>
      <c r="D22233" s="40" t="n">
        <v>288</v>
      </c>
      <c r="E22233" s="41" t="n">
        <v>11824.41</v>
      </c>
    </row>
    <row r="22234">
      <c r="A22234" s="42">
        <f>_xlfn.XLOOKUP(84526,Trip[shape_id],Trip[shape_id],"Não encontrado")</f>
        <v/>
      </c>
      <c r="B22234" s="43" t="n">
        <v>-23.546975</v>
      </c>
      <c r="C22234" s="43" t="n">
        <v>-46.527675</v>
      </c>
      <c r="D22234" s="43" t="n">
        <v>289</v>
      </c>
      <c r="E22234" s="44" t="n">
        <v>11861.835</v>
      </c>
    </row>
    <row r="22235">
      <c r="A22235" s="39">
        <f>_xlfn.XLOOKUP(84526,Trip[shape_id],Trip[shape_id],"Não encontrado")</f>
        <v/>
      </c>
      <c r="B22235" s="40" t="n">
        <v>-23.547095</v>
      </c>
      <c r="C22235" s="40" t="n">
        <v>-46.527543</v>
      </c>
      <c r="D22235" s="40" t="n">
        <v>290</v>
      </c>
      <c r="E22235" s="41" t="n">
        <v>11882.779</v>
      </c>
    </row>
    <row r="22236">
      <c r="A22236" s="42">
        <f>_xlfn.XLOOKUP(84526,Trip[shape_id],Trip[shape_id],"Não encontrado")</f>
        <v/>
      </c>
      <c r="B22236" s="43" t="n">
        <v>-23.547223</v>
      </c>
      <c r="C22236" s="43" t="n">
        <v>-46.527392</v>
      </c>
      <c r="D22236" s="43" t="n">
        <v>291</v>
      </c>
      <c r="E22236" s="44" t="n">
        <v>11882.779</v>
      </c>
    </row>
    <row r="22237">
      <c r="A22237" s="39">
        <f>_xlfn.XLOOKUP(84526,Trip[shape_id],Trip[shape_id],"Não encontrado")</f>
        <v/>
      </c>
      <c r="B22237" s="40" t="n">
        <v>-23.547555</v>
      </c>
      <c r="C22237" s="40" t="n">
        <v>-46.526922</v>
      </c>
      <c r="D22237" s="40" t="n">
        <v>292</v>
      </c>
      <c r="E22237" s="41" t="n">
        <v>11943.235</v>
      </c>
    </row>
    <row r="22238">
      <c r="A22238" s="42">
        <f>_xlfn.XLOOKUP(84526,Trip[shape_id],Trip[shape_id],"Não encontrado")</f>
        <v/>
      </c>
      <c r="B22238" s="43" t="n">
        <v>-23.547644</v>
      </c>
      <c r="C22238" s="43" t="n">
        <v>-46.526773</v>
      </c>
      <c r="D22238" s="43" t="n">
        <v>293</v>
      </c>
      <c r="E22238" s="44" t="n">
        <v>11997.184</v>
      </c>
    </row>
    <row r="22239">
      <c r="A22239" s="39">
        <f>_xlfn.XLOOKUP(84526,Trip[shape_id],Trip[shape_id],"Não encontrado")</f>
        <v/>
      </c>
      <c r="B22239" s="40" t="n">
        <v>-23.547826</v>
      </c>
      <c r="C22239" s="40" t="n">
        <v>-46.526483</v>
      </c>
      <c r="D22239" s="40" t="n">
        <v>294</v>
      </c>
      <c r="E22239" s="41" t="n">
        <v>12035.15</v>
      </c>
    </row>
    <row r="22240">
      <c r="A22240" s="42">
        <f>_xlfn.XLOOKUP(84526,Trip[shape_id],Trip[shape_id],"Não encontrado")</f>
        <v/>
      </c>
      <c r="B22240" s="43" t="n">
        <v>-23.548026</v>
      </c>
      <c r="C22240" s="43" t="n">
        <v>-46.526181</v>
      </c>
      <c r="D22240" s="43" t="n">
        <v>295</v>
      </c>
      <c r="E22240" s="44" t="n">
        <v>12035.15</v>
      </c>
    </row>
    <row r="22241">
      <c r="A22241" s="39">
        <f>_xlfn.XLOOKUP(84526,Trip[shape_id],Trip[shape_id],"Não encontrado")</f>
        <v/>
      </c>
      <c r="B22241" s="40" t="n">
        <v>-23.548079</v>
      </c>
      <c r="C22241" s="40" t="n">
        <v>-46.526113</v>
      </c>
      <c r="D22241" s="40" t="n">
        <v>296</v>
      </c>
      <c r="E22241" s="41" t="n">
        <v>12056.104</v>
      </c>
    </row>
    <row r="22242">
      <c r="A22242" s="42">
        <f>_xlfn.XLOOKUP(84526,Trip[shape_id],Trip[shape_id],"Não encontrado")</f>
        <v/>
      </c>
      <c r="B22242" s="43" t="n">
        <v>-23.548152</v>
      </c>
      <c r="C22242" s="43" t="n">
        <v>-46.526028</v>
      </c>
      <c r="D22242" s="43" t="n">
        <v>297</v>
      </c>
      <c r="E22242" s="44" t="n">
        <v>12056.104</v>
      </c>
    </row>
    <row r="22243">
      <c r="A22243" s="39">
        <f>_xlfn.XLOOKUP(84526,Trip[shape_id],Trip[shape_id],"Não encontrado")</f>
        <v/>
      </c>
      <c r="B22243" s="40" t="n">
        <v>-23.548274</v>
      </c>
      <c r="C22243" s="40" t="n">
        <v>-46.525886</v>
      </c>
      <c r="D22243" s="40" t="n">
        <v>298</v>
      </c>
      <c r="E22243" s="41" t="n">
        <v>12103.137</v>
      </c>
    </row>
    <row r="22244">
      <c r="A22244" s="42">
        <f>_xlfn.XLOOKUP(84526,Trip[shape_id],Trip[shape_id],"Não encontrado")</f>
        <v/>
      </c>
      <c r="B22244" s="43" t="n">
        <v>-23.54845</v>
      </c>
      <c r="C22244" s="43" t="n">
        <v>-46.5257</v>
      </c>
      <c r="D22244" s="43" t="n">
        <v>299</v>
      </c>
      <c r="E22244" s="44" t="n">
        <v>12136.97</v>
      </c>
    </row>
    <row r="22245">
      <c r="A22245" s="39">
        <f>_xlfn.XLOOKUP(84526,Trip[shape_id],Trip[shape_id],"Não encontrado")</f>
        <v/>
      </c>
      <c r="B22245" s="40" t="n">
        <v>-23.54869</v>
      </c>
      <c r="C22245" s="40" t="n">
        <v>-46.525495</v>
      </c>
      <c r="D22245" s="40" t="n">
        <v>300</v>
      </c>
      <c r="E22245" s="41" t="n">
        <v>12149.744</v>
      </c>
    </row>
    <row r="22246">
      <c r="A22246" s="42">
        <f>_xlfn.XLOOKUP(84526,Trip[shape_id],Trip[shape_id],"Não encontrado")</f>
        <v/>
      </c>
      <c r="B22246" s="43" t="n">
        <v>-23.548783</v>
      </c>
      <c r="C22246" s="43" t="n">
        <v>-46.525421</v>
      </c>
      <c r="D22246" s="43" t="n">
        <v>301</v>
      </c>
      <c r="E22246" s="44" t="n">
        <v>12198.985</v>
      </c>
    </row>
    <row r="22247">
      <c r="A22247" s="39">
        <f>_xlfn.XLOOKUP(84526,Trip[shape_id],Trip[shape_id],"Não encontrado")</f>
        <v/>
      </c>
      <c r="B22247" s="40" t="n">
        <v>-23.549145</v>
      </c>
      <c r="C22247" s="40" t="n">
        <v>-46.525141</v>
      </c>
      <c r="D22247" s="40" t="n">
        <v>302</v>
      </c>
      <c r="E22247" s="41" t="n">
        <v>12254.143</v>
      </c>
    </row>
    <row r="22248">
      <c r="A22248" s="42">
        <f>_xlfn.XLOOKUP(84526,Trip[shape_id],Trip[shape_id],"Não encontrado")</f>
        <v/>
      </c>
      <c r="B22248" s="43" t="n">
        <v>-23.549564</v>
      </c>
      <c r="C22248" s="43" t="n">
        <v>-46.524849</v>
      </c>
      <c r="D22248" s="43" t="n">
        <v>303</v>
      </c>
      <c r="E22248" s="44" t="n">
        <v>12291.386</v>
      </c>
    </row>
    <row r="22249">
      <c r="A22249" s="39">
        <f>_xlfn.XLOOKUP(84526,Trip[shape_id],Trip[shape_id],"Não encontrado")</f>
        <v/>
      </c>
      <c r="B22249" s="40" t="n">
        <v>-23.549844</v>
      </c>
      <c r="C22249" s="40" t="n">
        <v>-46.524647</v>
      </c>
      <c r="D22249" s="40" t="n">
        <v>304</v>
      </c>
      <c r="E22249" s="41" t="n">
        <v>12291.386</v>
      </c>
    </row>
    <row r="22250">
      <c r="A22250" s="42">
        <f>_xlfn.XLOOKUP(84526,Trip[shape_id],Trip[shape_id],"Não encontrado")</f>
        <v/>
      </c>
      <c r="B22250" s="43" t="n">
        <v>-23.550018</v>
      </c>
      <c r="C22250" s="43" t="n">
        <v>-46.524473</v>
      </c>
      <c r="D22250" s="43" t="n">
        <v>305</v>
      </c>
      <c r="E22250" s="44" t="n">
        <v>12352.754</v>
      </c>
    </row>
    <row r="22251">
      <c r="A22251" s="39">
        <f>_xlfn.XLOOKUP(84526,Trip[shape_id],Trip[shape_id],"Não encontrado")</f>
        <v/>
      </c>
      <c r="B22251" s="40" t="n">
        <v>-23.550242</v>
      </c>
      <c r="C22251" s="40" t="n">
        <v>-46.524229</v>
      </c>
      <c r="D22251" s="40" t="n">
        <v>306</v>
      </c>
      <c r="E22251" s="41" t="n">
        <v>12361.343</v>
      </c>
    </row>
    <row r="22252">
      <c r="A22252" s="42">
        <f>_xlfn.XLOOKUP(84526,Trip[shape_id],Trip[shape_id],"Não encontrado")</f>
        <v/>
      </c>
      <c r="B22252" s="43" t="n">
        <v>-23.550285</v>
      </c>
      <c r="C22252" s="43" t="n">
        <v>-46.524159</v>
      </c>
      <c r="D22252" s="43" t="n">
        <v>307</v>
      </c>
      <c r="E22252" s="44" t="n">
        <v>12361.343</v>
      </c>
    </row>
    <row r="22253">
      <c r="A22253" s="39">
        <f>_xlfn.XLOOKUP(84526,Trip[shape_id],Trip[shape_id],"Não encontrado")</f>
        <v/>
      </c>
      <c r="B22253" s="40" t="n">
        <v>-23.550678</v>
      </c>
      <c r="C22253" s="40" t="n">
        <v>-46.523522</v>
      </c>
      <c r="D22253" s="40" t="n">
        <v>308</v>
      </c>
      <c r="E22253" s="41" t="n">
        <v>12439.603</v>
      </c>
    </row>
    <row r="22254">
      <c r="A22254" s="42">
        <f>_xlfn.XLOOKUP(84526,Trip[shape_id],Trip[shape_id],"Não encontrado")</f>
        <v/>
      </c>
      <c r="B22254" s="43" t="n">
        <v>-23.551041</v>
      </c>
      <c r="C22254" s="43" t="n">
        <v>-46.522877</v>
      </c>
      <c r="D22254" s="43" t="n">
        <v>309</v>
      </c>
      <c r="E22254" s="44" t="n">
        <v>12516.76</v>
      </c>
    </row>
    <row r="22255">
      <c r="A22255" s="39">
        <f>_xlfn.XLOOKUP(84526,Trip[shape_id],Trip[shape_id],"Não encontrado")</f>
        <v/>
      </c>
      <c r="B22255" s="40" t="n">
        <v>-23.551178</v>
      </c>
      <c r="C22255" s="40" t="n">
        <v>-46.522636</v>
      </c>
      <c r="D22255" s="40" t="n">
        <v>310</v>
      </c>
      <c r="E22255" s="41" t="n">
        <v>12553.906</v>
      </c>
    </row>
    <row r="22256">
      <c r="A22256" s="42">
        <f>_xlfn.XLOOKUP(84526,Trip[shape_id],Trip[shape_id],"Não encontrado")</f>
        <v/>
      </c>
      <c r="B22256" s="43" t="n">
        <v>-23.551215</v>
      </c>
      <c r="C22256" s="43" t="n">
        <v>-46.522566</v>
      </c>
      <c r="D22256" s="43" t="n">
        <v>311</v>
      </c>
      <c r="E22256" s="44" t="n">
        <v>12553.906</v>
      </c>
    </row>
    <row r="22257">
      <c r="A22257" s="39">
        <f>_xlfn.XLOOKUP(84526,Trip[shape_id],Trip[shape_id],"Não encontrado")</f>
        <v/>
      </c>
      <c r="B22257" s="40" t="n">
        <v>-23.551306</v>
      </c>
      <c r="C22257" s="40" t="n">
        <v>-46.522424</v>
      </c>
      <c r="D22257" s="40" t="n">
        <v>312</v>
      </c>
      <c r="E22257" s="41" t="n">
        <v>12571.563</v>
      </c>
    </row>
    <row r="22258">
      <c r="A22258" s="42">
        <f>_xlfn.XLOOKUP(84526,Trip[shape_id],Trip[shape_id],"Não encontrado")</f>
        <v/>
      </c>
      <c r="B22258" s="43" t="n">
        <v>-23.551446</v>
      </c>
      <c r="C22258" s="43" t="n">
        <v>-46.522185</v>
      </c>
      <c r="D22258" s="43" t="n">
        <v>313</v>
      </c>
      <c r="E22258" s="44" t="n">
        <v>12687.732</v>
      </c>
    </row>
    <row r="22259">
      <c r="A22259" s="39">
        <f>_xlfn.XLOOKUP(84526,Trip[shape_id],Trip[shape_id],"Não encontrado")</f>
        <v/>
      </c>
      <c r="B22259" s="40" t="n">
        <v>-23.551848</v>
      </c>
      <c r="C22259" s="40" t="n">
        <v>-46.52145</v>
      </c>
      <c r="D22259" s="40" t="n">
        <v>314</v>
      </c>
      <c r="E22259" s="41" t="n">
        <v>12687.732</v>
      </c>
    </row>
    <row r="22260">
      <c r="A22260" s="42">
        <f>_xlfn.XLOOKUP(84526,Trip[shape_id],Trip[shape_id],"Não encontrado")</f>
        <v/>
      </c>
      <c r="B22260" s="43" t="n">
        <v>-23.552058</v>
      </c>
      <c r="C22260" s="43" t="n">
        <v>-46.52105</v>
      </c>
      <c r="D22260" s="43" t="n">
        <v>315</v>
      </c>
      <c r="E22260" s="44" t="n">
        <v>12734.73</v>
      </c>
    </row>
    <row r="22261">
      <c r="A22261" s="39">
        <f>_xlfn.XLOOKUP(84526,Trip[shape_id],Trip[shape_id],"Não encontrado")</f>
        <v/>
      </c>
      <c r="B22261" s="40" t="n">
        <v>-23.552272</v>
      </c>
      <c r="C22261" s="40" t="n">
        <v>-46.520677</v>
      </c>
      <c r="D22261" s="40" t="n">
        <v>316</v>
      </c>
      <c r="E22261" s="41" t="n">
        <v>12779.587</v>
      </c>
    </row>
    <row r="22262">
      <c r="A22262" s="42">
        <f>_xlfn.XLOOKUP(84526,Trip[shape_id],Trip[shape_id],"Não encontrado")</f>
        <v/>
      </c>
      <c r="B22262" s="43" t="n">
        <v>-23.552668</v>
      </c>
      <c r="C22262" s="43" t="n">
        <v>-46.519981</v>
      </c>
      <c r="D22262" s="43" t="n">
        <v>317</v>
      </c>
      <c r="E22262" s="44" t="n">
        <v>12863.093</v>
      </c>
    </row>
    <row r="22263">
      <c r="A22263" s="39">
        <f>_xlfn.XLOOKUP(84526,Trip[shape_id],Trip[shape_id],"Não encontrado")</f>
        <v/>
      </c>
      <c r="B22263" s="40" t="n">
        <v>-23.553049</v>
      </c>
      <c r="C22263" s="40" t="n">
        <v>-46.519332</v>
      </c>
      <c r="D22263" s="40" t="n">
        <v>318</v>
      </c>
      <c r="E22263" s="41" t="n">
        <v>12977.303</v>
      </c>
    </row>
    <row r="22264">
      <c r="A22264" s="42">
        <f>_xlfn.XLOOKUP(84526,Trip[shape_id],Trip[shape_id],"Não encontrado")</f>
        <v/>
      </c>
      <c r="B22264" s="43" t="n">
        <v>-23.553245</v>
      </c>
      <c r="C22264" s="43" t="n">
        <v>-46.519055</v>
      </c>
      <c r="D22264" s="43" t="n">
        <v>319</v>
      </c>
      <c r="E22264" s="44" t="n">
        <v>13002.676</v>
      </c>
    </row>
    <row r="22265">
      <c r="A22265" s="39">
        <f>_xlfn.XLOOKUP(84526,Trip[shape_id],Trip[shape_id],"Não encontrado")</f>
        <v/>
      </c>
      <c r="B22265" s="40" t="n">
        <v>-23.5534</v>
      </c>
      <c r="C22265" s="40" t="n">
        <v>-46.518872</v>
      </c>
      <c r="D22265" s="40" t="n">
        <v>320</v>
      </c>
      <c r="E22265" s="41" t="n">
        <v>13029.962</v>
      </c>
    </row>
    <row r="22266">
      <c r="A22266" s="42">
        <f>_xlfn.XLOOKUP(84526,Trip[shape_id],Trip[shape_id],"Não encontrado")</f>
        <v/>
      </c>
      <c r="B22266" s="43" t="n">
        <v>-23.553587</v>
      </c>
      <c r="C22266" s="43" t="n">
        <v>-46.518698</v>
      </c>
      <c r="D22266" s="43" t="n">
        <v>321</v>
      </c>
      <c r="E22266" s="44" t="n">
        <v>13050.949</v>
      </c>
    </row>
    <row r="22267">
      <c r="A22267" s="39">
        <f>_xlfn.XLOOKUP(84526,Trip[shape_id],Trip[shape_id],"Não encontrado")</f>
        <v/>
      </c>
      <c r="B22267" s="40" t="n">
        <v>-23.553736</v>
      </c>
      <c r="C22267" s="40" t="n">
        <v>-46.518571</v>
      </c>
      <c r="D22267" s="40" t="n">
        <v>322</v>
      </c>
      <c r="E22267" s="41" t="n">
        <v>13050.949</v>
      </c>
    </row>
    <row r="22268">
      <c r="A22268" s="42">
        <f>_xlfn.XLOOKUP(84526,Trip[shape_id],Trip[shape_id],"Não encontrado")</f>
        <v/>
      </c>
      <c r="B22268" s="43" t="n">
        <v>-23.554318</v>
      </c>
      <c r="C22268" s="43" t="n">
        <v>-46.518157</v>
      </c>
      <c r="D22268" s="43" t="n">
        <v>323</v>
      </c>
      <c r="E22268" s="44" t="n">
        <v>13137.271</v>
      </c>
    </row>
    <row r="22269">
      <c r="A22269" s="39">
        <f>_xlfn.XLOOKUP(84526,Trip[shape_id],Trip[shape_id],"Não encontrado")</f>
        <v/>
      </c>
      <c r="B22269" s="40" t="n">
        <v>-23.554377</v>
      </c>
      <c r="C22269" s="40" t="n">
        <v>-46.518093</v>
      </c>
      <c r="D22269" s="40" t="n">
        <v>324</v>
      </c>
      <c r="E22269" s="41" t="n">
        <v>13147.388</v>
      </c>
    </row>
    <row r="22270">
      <c r="A22270" s="42">
        <f>_xlfn.XLOOKUP(84526,Trip[shape_id],Trip[shape_id],"Não encontrado")</f>
        <v/>
      </c>
      <c r="B22270" s="43" t="n">
        <v>-23.554419</v>
      </c>
      <c r="C22270" s="43" t="n">
        <v>-46.518005</v>
      </c>
      <c r="D22270" s="43" t="n">
        <v>325</v>
      </c>
      <c r="E22270" s="44" t="n">
        <v>13147.388</v>
      </c>
    </row>
    <row r="22271">
      <c r="A22271" s="39">
        <f>_xlfn.XLOOKUP(84526,Trip[shape_id],Trip[shape_id],"Não encontrado")</f>
        <v/>
      </c>
      <c r="B22271" s="40" t="n">
        <v>-23.555234</v>
      </c>
      <c r="C22271" s="40" t="n">
        <v>-46.517458</v>
      </c>
      <c r="D22271" s="40" t="n">
        <v>326</v>
      </c>
      <c r="E22271" s="41" t="n">
        <v>13253.531</v>
      </c>
    </row>
    <row r="22272">
      <c r="A22272" s="42">
        <f>_xlfn.XLOOKUP(84526,Trip[shape_id],Trip[shape_id],"Não encontrado")</f>
        <v/>
      </c>
      <c r="B22272" s="43" t="n">
        <v>-23.555326</v>
      </c>
      <c r="C22272" s="43" t="n">
        <v>-46.517383</v>
      </c>
      <c r="D22272" s="43" t="n">
        <v>327</v>
      </c>
      <c r="E22272" s="44" t="n">
        <v>13266.277</v>
      </c>
    </row>
    <row r="22273">
      <c r="A22273" s="39">
        <f>_xlfn.XLOOKUP(84526,Trip[shape_id],Trip[shape_id],"Não encontrado")</f>
        <v/>
      </c>
      <c r="B22273" s="40" t="n">
        <v>-23.555828</v>
      </c>
      <c r="C22273" s="40" t="n">
        <v>-46.517052</v>
      </c>
      <c r="D22273" s="40" t="n">
        <v>328</v>
      </c>
      <c r="E22273" s="41" t="n">
        <v>13331.34</v>
      </c>
    </row>
    <row r="22274">
      <c r="A22274" s="42">
        <f>_xlfn.XLOOKUP(84526,Trip[shape_id],Trip[shape_id],"Não encontrado")</f>
        <v/>
      </c>
      <c r="B22274" s="43" t="n">
        <v>-23.556165</v>
      </c>
      <c r="C22274" s="43" t="n">
        <v>-46.51683</v>
      </c>
      <c r="D22274" s="43" t="n">
        <v>329</v>
      </c>
      <c r="E22274" s="44" t="n">
        <v>13375.007</v>
      </c>
    </row>
    <row r="22275">
      <c r="A22275" s="39">
        <f>_xlfn.XLOOKUP(84526,Trip[shape_id],Trip[shape_id],"Não encontrado")</f>
        <v/>
      </c>
      <c r="B22275" s="40" t="n">
        <v>-23.556523</v>
      </c>
      <c r="C22275" s="40" t="n">
        <v>-46.516576</v>
      </c>
      <c r="D22275" s="40" t="n">
        <v>330</v>
      </c>
      <c r="E22275" s="41" t="n">
        <v>13422.384</v>
      </c>
    </row>
    <row r="22276">
      <c r="A22276" s="42">
        <f>_xlfn.XLOOKUP(84526,Trip[shape_id],Trip[shape_id],"Não encontrado")</f>
        <v/>
      </c>
      <c r="B22276" s="43" t="n">
        <v>-23.556874</v>
      </c>
      <c r="C22276" s="43" t="n">
        <v>-46.516276</v>
      </c>
      <c r="D22276" s="43" t="n">
        <v>331</v>
      </c>
      <c r="E22276" s="44" t="n">
        <v>13524.959</v>
      </c>
    </row>
    <row r="22277">
      <c r="A22277" s="39">
        <f>_xlfn.XLOOKUP(84526,Trip[shape_id],Trip[shape_id],"Não encontrado")</f>
        <v/>
      </c>
      <c r="B22277" s="40" t="n">
        <v>-23.557239</v>
      </c>
      <c r="C22277" s="40" t="n">
        <v>-46.515939</v>
      </c>
      <c r="D22277" s="40" t="n">
        <v>332</v>
      </c>
      <c r="E22277" s="41" t="n">
        <v>13524.959</v>
      </c>
    </row>
    <row r="22278">
      <c r="A22278" s="42">
        <f>_xlfn.XLOOKUP(84526,Trip[shape_id],Trip[shape_id],"Não encontrado")</f>
        <v/>
      </c>
      <c r="B22278" s="43" t="n">
        <v>-23.557685</v>
      </c>
      <c r="C22278" s="43" t="n">
        <v>-46.515501</v>
      </c>
      <c r="D22278" s="43" t="n">
        <v>333</v>
      </c>
      <c r="E22278" s="44" t="n">
        <v>13606.243</v>
      </c>
    </row>
    <row r="22279">
      <c r="A22279" s="39">
        <f>_xlfn.XLOOKUP(84526,Trip[shape_id],Trip[shape_id],"Não encontrado")</f>
        <v/>
      </c>
      <c r="B22279" s="40" t="n">
        <v>-23.557779</v>
      </c>
      <c r="C22279" s="40" t="n">
        <v>-46.5154</v>
      </c>
      <c r="D22279" s="40" t="n">
        <v>334</v>
      </c>
      <c r="E22279" s="41" t="n">
        <v>13606.243</v>
      </c>
    </row>
    <row r="22280">
      <c r="A22280" s="42">
        <f>_xlfn.XLOOKUP(84526,Trip[shape_id],Trip[shape_id],"Não encontrado")</f>
        <v/>
      </c>
      <c r="B22280" s="43" t="n">
        <v>-23.55827</v>
      </c>
      <c r="C22280" s="43" t="n">
        <v>-46.514903</v>
      </c>
      <c r="D22280" s="43" t="n">
        <v>335</v>
      </c>
      <c r="E22280" s="44" t="n">
        <v>13757.729</v>
      </c>
    </row>
    <row r="22281">
      <c r="A22281" s="39">
        <f>_xlfn.XLOOKUP(84526,Trip[shape_id],Trip[shape_id],"Não encontrado")</f>
        <v/>
      </c>
      <c r="B22281" s="40" t="n">
        <v>-23.558781</v>
      </c>
      <c r="C22281" s="40" t="n">
        <v>-46.51439</v>
      </c>
      <c r="D22281" s="40" t="n">
        <v>336</v>
      </c>
      <c r="E22281" s="41" t="n">
        <v>13876.485</v>
      </c>
    </row>
    <row r="22282">
      <c r="A22282" s="42">
        <f>_xlfn.XLOOKUP(84526,Trip[shape_id],Trip[shape_id],"Não encontrado")</f>
        <v/>
      </c>
      <c r="B22282" s="43" t="n">
        <v>-23.559562</v>
      </c>
      <c r="C22282" s="43" t="n">
        <v>-46.513593</v>
      </c>
      <c r="D22282" s="43" t="n">
        <v>337</v>
      </c>
      <c r="E22282" s="44" t="n">
        <v>13888.48</v>
      </c>
    </row>
    <row r="22283">
      <c r="A22283" s="39">
        <f>_xlfn.XLOOKUP(84526,Trip[shape_id],Trip[shape_id],"Não encontrado")</f>
        <v/>
      </c>
      <c r="B22283" s="40" t="n">
        <v>-23.559643</v>
      </c>
      <c r="C22283" s="40" t="n">
        <v>-46.513515</v>
      </c>
      <c r="D22283" s="40" t="n">
        <v>338</v>
      </c>
      <c r="E22283" s="41" t="n">
        <v>13888.48</v>
      </c>
    </row>
    <row r="22284">
      <c r="A22284" s="42">
        <f>_xlfn.XLOOKUP(84526,Trip[shape_id],Trip[shape_id],"Não encontrado")</f>
        <v/>
      </c>
      <c r="B22284" s="43" t="n">
        <v>-23.560281</v>
      </c>
      <c r="C22284" s="43" t="n">
        <v>-46.512875</v>
      </c>
      <c r="D22284" s="43" t="n">
        <v>339</v>
      </c>
      <c r="E22284" s="44" t="n">
        <v>13984.721</v>
      </c>
    </row>
    <row r="22285">
      <c r="A22285" s="39">
        <f>_xlfn.XLOOKUP(84526,Trip[shape_id],Trip[shape_id],"Não encontrado")</f>
        <v/>
      </c>
      <c r="B22285" s="40" t="n">
        <v>-23.560743</v>
      </c>
      <c r="C22285" s="40" t="n">
        <v>-46.512417</v>
      </c>
      <c r="D22285" s="40" t="n">
        <v>340</v>
      </c>
      <c r="E22285" s="41" t="n">
        <v>14169.957</v>
      </c>
    </row>
    <row r="22286">
      <c r="A22286" s="42">
        <f>_xlfn.XLOOKUP(84526,Trip[shape_id],Trip[shape_id],"Não encontrado")</f>
        <v/>
      </c>
      <c r="B22286" s="43" t="n">
        <v>-23.561501</v>
      </c>
      <c r="C22286" s="43" t="n">
        <v>-46.511634</v>
      </c>
      <c r="D22286" s="43" t="n">
        <v>341</v>
      </c>
      <c r="E22286" s="44" t="n">
        <v>14169.957</v>
      </c>
    </row>
    <row r="22287">
      <c r="A22287" s="39">
        <f>_xlfn.XLOOKUP(84526,Trip[shape_id],Trip[shape_id],"Não encontrado")</f>
        <v/>
      </c>
      <c r="B22287" s="40" t="n">
        <v>-23.561673</v>
      </c>
      <c r="C22287" s="40" t="n">
        <v>-46.511447</v>
      </c>
      <c r="D22287" s="40" t="n">
        <v>342</v>
      </c>
      <c r="E22287" s="41" t="n">
        <v>14242.078</v>
      </c>
    </row>
    <row r="22288">
      <c r="A22288" s="42">
        <f>_xlfn.XLOOKUP(84526,Trip[shape_id],Trip[shape_id],"Não encontrado")</f>
        <v/>
      </c>
      <c r="B22288" s="43" t="n">
        <v>-23.561937</v>
      </c>
      <c r="C22288" s="43" t="n">
        <v>-46.51111</v>
      </c>
      <c r="D22288" s="43" t="n">
        <v>343</v>
      </c>
      <c r="E22288" s="44" t="n">
        <v>14252.252</v>
      </c>
    </row>
    <row r="22289">
      <c r="A22289" s="39">
        <f>_xlfn.XLOOKUP(84526,Trip[shape_id],Trip[shape_id],"Não encontrado")</f>
        <v/>
      </c>
      <c r="B22289" s="40" t="n">
        <v>-23.561993</v>
      </c>
      <c r="C22289" s="40" t="n">
        <v>-46.511031</v>
      </c>
      <c r="D22289" s="40" t="n">
        <v>344</v>
      </c>
      <c r="E22289" s="41" t="n">
        <v>14328.288</v>
      </c>
    </row>
    <row r="22290">
      <c r="A22290" s="42">
        <f>_xlfn.XLOOKUP(84526,Trip[shape_id],Trip[shape_id],"Não encontrado")</f>
        <v/>
      </c>
      <c r="B22290" s="43" t="n">
        <v>-23.562372</v>
      </c>
      <c r="C22290" s="43" t="n">
        <v>-46.51041</v>
      </c>
      <c r="D22290" s="43" t="n">
        <v>345</v>
      </c>
      <c r="E22290" s="44" t="n">
        <v>14328.288</v>
      </c>
    </row>
    <row r="22291">
      <c r="A22291" s="39">
        <f>_xlfn.XLOOKUP(84526,Trip[shape_id],Trip[shape_id],"Não encontrado")</f>
        <v/>
      </c>
      <c r="B22291" s="40" t="n">
        <v>-23.562439</v>
      </c>
      <c r="C22291" s="40" t="n">
        <v>-46.510318</v>
      </c>
      <c r="D22291" s="40" t="n">
        <v>346</v>
      </c>
      <c r="E22291" s="41" t="n">
        <v>14340.258</v>
      </c>
    </row>
    <row r="22292">
      <c r="A22292" s="42">
        <f>_xlfn.XLOOKUP(84526,Trip[shape_id],Trip[shape_id],"Não encontrado")</f>
        <v/>
      </c>
      <c r="B22292" s="43" t="n">
        <v>-23.562576</v>
      </c>
      <c r="C22292" s="43" t="n">
        <v>-46.510094</v>
      </c>
      <c r="D22292" s="43" t="n">
        <v>347</v>
      </c>
      <c r="E22292" s="44" t="n">
        <v>14394.719</v>
      </c>
    </row>
    <row r="22293">
      <c r="A22293" s="39">
        <f>_xlfn.XLOOKUP(84526,Trip[shape_id],Trip[shape_id],"Não encontrado")</f>
        <v/>
      </c>
      <c r="B22293" s="40" t="n">
        <v>-23.562722</v>
      </c>
      <c r="C22293" s="40" t="n">
        <v>-46.509882</v>
      </c>
      <c r="D22293" s="40" t="n">
        <v>348</v>
      </c>
      <c r="E22293" s="41" t="n">
        <v>14440.529</v>
      </c>
    </row>
    <row r="22294">
      <c r="A22294" s="42">
        <f>_xlfn.XLOOKUP(84526,Trip[shape_id],Trip[shape_id],"Não encontrado")</f>
        <v/>
      </c>
      <c r="B22294" s="43" t="n">
        <v>-23.562993</v>
      </c>
      <c r="C22294" s="43" t="n">
        <v>-46.509543</v>
      </c>
      <c r="D22294" s="43" t="n">
        <v>349</v>
      </c>
      <c r="E22294" s="44" t="n">
        <v>14493.879</v>
      </c>
    </row>
    <row r="22295">
      <c r="A22295" s="39">
        <f>_xlfn.XLOOKUP(84526,Trip[shape_id],Trip[shape_id],"Não encontrado")</f>
        <v/>
      </c>
      <c r="B22295" s="40" t="n">
        <v>-23.563335</v>
      </c>
      <c r="C22295" s="40" t="n">
        <v>-46.509175</v>
      </c>
      <c r="D22295" s="40" t="n">
        <v>350</v>
      </c>
      <c r="E22295" s="41" t="n">
        <v>14509.213</v>
      </c>
    </row>
    <row r="22296">
      <c r="A22296" s="42">
        <f>_xlfn.XLOOKUP(84526,Trip[shape_id],Trip[shape_id],"Não encontrado")</f>
        <v/>
      </c>
      <c r="B22296" s="43" t="n">
        <v>-23.563434</v>
      </c>
      <c r="C22296" s="43" t="n">
        <v>-46.50907</v>
      </c>
      <c r="D22296" s="43" t="n">
        <v>351</v>
      </c>
      <c r="E22296" s="44" t="n">
        <v>14509.213</v>
      </c>
    </row>
    <row r="22297">
      <c r="A22297" s="39">
        <f>_xlfn.XLOOKUP(84526,Trip[shape_id],Trip[shape_id],"Não encontrado")</f>
        <v/>
      </c>
      <c r="B22297" s="40" t="n">
        <v>-23.563587</v>
      </c>
      <c r="C22297" s="40" t="n">
        <v>-46.508936</v>
      </c>
      <c r="D22297" s="40" t="n">
        <v>352</v>
      </c>
      <c r="E22297" s="41" t="n">
        <v>14576.655</v>
      </c>
    </row>
    <row r="22298">
      <c r="A22298" s="42">
        <f>_xlfn.XLOOKUP(84526,Trip[shape_id],Trip[shape_id],"Não encontrado")</f>
        <v/>
      </c>
      <c r="B22298" s="43" t="n">
        <v>-23.56391</v>
      </c>
      <c r="C22298" s="43" t="n">
        <v>-46.508658</v>
      </c>
      <c r="D22298" s="43" t="n">
        <v>353</v>
      </c>
      <c r="E22298" s="44" t="n">
        <v>14625.539</v>
      </c>
    </row>
    <row r="22299">
      <c r="A22299" s="39">
        <f>_xlfn.XLOOKUP(84526,Trip[shape_id],Trip[shape_id],"Não encontrado")</f>
        <v/>
      </c>
      <c r="B22299" s="40" t="n">
        <v>-23.564287</v>
      </c>
      <c r="C22299" s="40" t="n">
        <v>-46.508409</v>
      </c>
      <c r="D22299" s="40" t="n">
        <v>354</v>
      </c>
      <c r="E22299" s="41" t="n">
        <v>14638.251</v>
      </c>
    </row>
    <row r="22300">
      <c r="A22300" s="42">
        <f>_xlfn.XLOOKUP(84526,Trip[shape_id],Trip[shape_id],"Não encontrado")</f>
        <v/>
      </c>
      <c r="B22300" s="43" t="n">
        <v>-23.564386</v>
      </c>
      <c r="C22300" s="43" t="n">
        <v>-46.508346</v>
      </c>
      <c r="D22300" s="43" t="n">
        <v>355</v>
      </c>
      <c r="E22300" s="44" t="n">
        <v>14677.598</v>
      </c>
    </row>
    <row r="22301">
      <c r="A22301" s="39">
        <f>_xlfn.XLOOKUP(84526,Trip[shape_id],Trip[shape_id],"Não encontrado")</f>
        <v/>
      </c>
      <c r="B22301" s="40" t="n">
        <v>-23.564703</v>
      </c>
      <c r="C22301" s="40" t="n">
        <v>-46.508172</v>
      </c>
      <c r="D22301" s="40" t="n">
        <v>356</v>
      </c>
      <c r="E22301" s="41" t="n">
        <v>14685.075</v>
      </c>
    </row>
    <row r="22302">
      <c r="A22302" s="42">
        <f>_xlfn.XLOOKUP(84526,Trip[shape_id],Trip[shape_id],"Não encontrado")</f>
        <v/>
      </c>
      <c r="B22302" s="43" t="n">
        <v>-23.564765</v>
      </c>
      <c r="C22302" s="43" t="n">
        <v>-46.508143</v>
      </c>
      <c r="D22302" s="43" t="n">
        <v>357</v>
      </c>
      <c r="E22302" s="44" t="n">
        <v>14685.075</v>
      </c>
    </row>
    <row r="22303">
      <c r="A22303" s="39">
        <f>_xlfn.XLOOKUP(84526,Trip[shape_id],Trip[shape_id],"Não encontrado")</f>
        <v/>
      </c>
      <c r="B22303" s="40" t="n">
        <v>-23.565368</v>
      </c>
      <c r="C22303" s="40" t="n">
        <v>-46.507844</v>
      </c>
      <c r="D22303" s="40" t="n">
        <v>358</v>
      </c>
      <c r="E22303" s="41" t="n">
        <v>14758.504</v>
      </c>
    </row>
    <row r="22304">
      <c r="A22304" s="42">
        <f>_xlfn.XLOOKUP(84526,Trip[shape_id],Trip[shape_id],"Não encontrado")</f>
        <v/>
      </c>
      <c r="B22304" s="43" t="n">
        <v>-23.565663</v>
      </c>
      <c r="C22304" s="43" t="n">
        <v>-46.507669</v>
      </c>
      <c r="D22304" s="43" t="n">
        <v>359</v>
      </c>
      <c r="E22304" s="44" t="n">
        <v>14819.662</v>
      </c>
    </row>
    <row r="22305">
      <c r="A22305" s="39">
        <f>_xlfn.XLOOKUP(84526,Trip[shape_id],Trip[shape_id],"Não encontrado")</f>
        <v/>
      </c>
      <c r="B22305" s="40" t="n">
        <v>-23.565857</v>
      </c>
      <c r="C22305" s="40" t="n">
        <v>-46.507566</v>
      </c>
      <c r="D22305" s="40" t="n">
        <v>360</v>
      </c>
      <c r="E22305" s="41" t="n">
        <v>14847.968</v>
      </c>
    </row>
    <row r="22306">
      <c r="A22306" s="42">
        <f>_xlfn.XLOOKUP(84526,Trip[shape_id],Trip[shape_id],"Não encontrado")</f>
        <v/>
      </c>
      <c r="B22306" s="43" t="n">
        <v>-23.566092</v>
      </c>
      <c r="C22306" s="43" t="n">
        <v>-46.507457</v>
      </c>
      <c r="D22306" s="43" t="n">
        <v>361</v>
      </c>
      <c r="E22306" s="44" t="n">
        <v>14888.082</v>
      </c>
    </row>
    <row r="22307">
      <c r="A22307" s="39">
        <f>_xlfn.XLOOKUP(84526,Trip[shape_id],Trip[shape_id],"Não encontrado")</f>
        <v/>
      </c>
      <c r="B22307" s="40" t="n">
        <v>-23.566426</v>
      </c>
      <c r="C22307" s="40" t="n">
        <v>-46.507305</v>
      </c>
      <c r="D22307" s="40" t="n">
        <v>362</v>
      </c>
      <c r="E22307" s="41" t="n">
        <v>14888.082</v>
      </c>
    </row>
    <row r="22308">
      <c r="A22308" s="42">
        <f>_xlfn.XLOOKUP(84526,Trip[shape_id],Trip[shape_id],"Não encontrado")</f>
        <v/>
      </c>
      <c r="B22308" s="43" t="n">
        <v>-23.566627</v>
      </c>
      <c r="C22308" s="43" t="n">
        <v>-46.50722</v>
      </c>
      <c r="D22308" s="43" t="n">
        <v>363</v>
      </c>
      <c r="E22308" s="44" t="n">
        <v>14954.373</v>
      </c>
    </row>
    <row r="22309">
      <c r="A22309" s="39">
        <f>_xlfn.XLOOKUP(84526,Trip[shape_id],Trip[shape_id],"Não encontrado")</f>
        <v/>
      </c>
      <c r="B22309" s="40" t="n">
        <v>-23.566965</v>
      </c>
      <c r="C22309" s="40" t="n">
        <v>-46.507025</v>
      </c>
      <c r="D22309" s="40" t="n">
        <v>364</v>
      </c>
      <c r="E22309" s="41" t="n">
        <v>14983.374</v>
      </c>
    </row>
    <row r="22310">
      <c r="A22310" s="42">
        <f>_xlfn.XLOOKUP(84526,Trip[shape_id],Trip[shape_id],"Não encontrado")</f>
        <v/>
      </c>
      <c r="B22310" s="43" t="n">
        <v>-23.567182</v>
      </c>
      <c r="C22310" s="43" t="n">
        <v>-46.506866</v>
      </c>
      <c r="D22310" s="43" t="n">
        <v>365</v>
      </c>
      <c r="E22310" s="44" t="n">
        <v>15009.521</v>
      </c>
    </row>
    <row r="22311">
      <c r="A22311" s="39">
        <f>_xlfn.XLOOKUP(84526,Trip[shape_id],Trip[shape_id],"Não encontrado")</f>
        <v/>
      </c>
      <c r="B22311" s="40" t="n">
        <v>-23.567361</v>
      </c>
      <c r="C22311" s="40" t="n">
        <v>-46.506699</v>
      </c>
      <c r="D22311" s="40" t="n">
        <v>366</v>
      </c>
      <c r="E22311" s="41" t="n">
        <v>15017.77</v>
      </c>
    </row>
    <row r="22312">
      <c r="A22312" s="42">
        <f>_xlfn.XLOOKUP(84526,Trip[shape_id],Trip[shape_id],"Não encontrado")</f>
        <v/>
      </c>
      <c r="B22312" s="43" t="n">
        <v>-23.567418</v>
      </c>
      <c r="C22312" s="43" t="n">
        <v>-46.506647</v>
      </c>
      <c r="D22312" s="43" t="n">
        <v>367</v>
      </c>
      <c r="E22312" s="44" t="n">
        <v>15017.77</v>
      </c>
    </row>
    <row r="22313">
      <c r="A22313" s="39">
        <f>_xlfn.XLOOKUP(84526,Trip[shape_id],Trip[shape_id],"Não encontrado")</f>
        <v/>
      </c>
      <c r="B22313" s="40" t="n">
        <v>-23.567577</v>
      </c>
      <c r="C22313" s="40" t="n">
        <v>-46.506452</v>
      </c>
      <c r="D22313" s="40" t="n">
        <v>368</v>
      </c>
      <c r="E22313" s="41" t="n">
        <v>15067.968</v>
      </c>
    </row>
    <row r="22314">
      <c r="A22314" s="42">
        <f>_xlfn.XLOOKUP(84526,Trip[shape_id],Trip[shape_id],"Não encontrado")</f>
        <v/>
      </c>
      <c r="B22314" s="43" t="n">
        <v>-23.567711</v>
      </c>
      <c r="C22314" s="43" t="n">
        <v>-46.506272</v>
      </c>
      <c r="D22314" s="43" t="n">
        <v>369</v>
      </c>
      <c r="E22314" s="44" t="n">
        <v>15107.181</v>
      </c>
    </row>
    <row r="22315">
      <c r="A22315" s="39">
        <f>_xlfn.XLOOKUP(84526,Trip[shape_id],Trip[shape_id],"Não encontrado")</f>
        <v/>
      </c>
      <c r="B22315" s="40" t="n">
        <v>-23.567925</v>
      </c>
      <c r="C22315" s="40" t="n">
        <v>-46.505966</v>
      </c>
      <c r="D22315" s="40" t="n">
        <v>370</v>
      </c>
      <c r="E22315" s="41" t="n">
        <v>15151.318</v>
      </c>
    </row>
    <row r="22316">
      <c r="A22316" s="42">
        <f>_xlfn.XLOOKUP(84526,Trip[shape_id],Trip[shape_id],"Não encontrado")</f>
        <v/>
      </c>
      <c r="B22316" s="43" t="n">
        <v>-23.56817</v>
      </c>
      <c r="C22316" s="43" t="n">
        <v>-46.505625</v>
      </c>
      <c r="D22316" s="43" t="n">
        <v>371</v>
      </c>
      <c r="E22316" s="44" t="n">
        <v>15184.963</v>
      </c>
    </row>
    <row r="22317">
      <c r="A22317" s="39">
        <f>_xlfn.XLOOKUP(84526,Trip[shape_id],Trip[shape_id],"Não encontrado")</f>
        <v/>
      </c>
      <c r="B22317" s="40" t="n">
        <v>-23.568369</v>
      </c>
      <c r="C22317" s="40" t="n">
        <v>-46.505376</v>
      </c>
      <c r="D22317" s="40" t="n">
        <v>372</v>
      </c>
      <c r="E22317" s="41" t="n">
        <v>15184.963</v>
      </c>
    </row>
    <row r="22318">
      <c r="A22318" s="42">
        <f>_xlfn.XLOOKUP(84526,Trip[shape_id],Trip[shape_id],"Não encontrado")</f>
        <v/>
      </c>
      <c r="B22318" s="43" t="n">
        <v>-23.568504</v>
      </c>
      <c r="C22318" s="43" t="n">
        <v>-46.505236</v>
      </c>
      <c r="D22318" s="43" t="n">
        <v>373</v>
      </c>
      <c r="E22318" s="44" t="n">
        <v>15205.646</v>
      </c>
    </row>
    <row r="22319">
      <c r="A22319" s="39">
        <f>_xlfn.XLOOKUP(84526,Trip[shape_id],Trip[shape_id],"Não encontrado")</f>
        <v/>
      </c>
      <c r="B22319" s="40" t="n">
        <v>-23.568683</v>
      </c>
      <c r="C22319" s="40" t="n">
        <v>-46.505062</v>
      </c>
      <c r="D22319" s="40" t="n">
        <v>374</v>
      </c>
      <c r="E22319" s="41" t="n">
        <v>15261.642</v>
      </c>
    </row>
    <row r="22320">
      <c r="A22320" s="42">
        <f>_xlfn.XLOOKUP(84526,Trip[shape_id],Trip[shape_id],"Não encontrado")</f>
        <v/>
      </c>
      <c r="B22320" s="43" t="n">
        <v>-23.568897</v>
      </c>
      <c r="C22320" s="43" t="n">
        <v>-46.504892</v>
      </c>
      <c r="D22320" s="43" t="n">
        <v>375</v>
      </c>
      <c r="E22320" s="44" t="n">
        <v>15261.642</v>
      </c>
    </row>
    <row r="22321">
      <c r="A22321" s="39">
        <f>_xlfn.XLOOKUP(84526,Trip[shape_id],Trip[shape_id],"Não encontrado")</f>
        <v/>
      </c>
      <c r="B22321" s="40" t="n">
        <v>-23.569032</v>
      </c>
      <c r="C22321" s="40" t="n">
        <v>-46.50481</v>
      </c>
      <c r="D22321" s="40" t="n">
        <v>376</v>
      </c>
      <c r="E22321" s="41" t="n">
        <v>15294.282</v>
      </c>
    </row>
    <row r="22322">
      <c r="A22322" s="42">
        <f>_xlfn.XLOOKUP(84526,Trip[shape_id],Trip[shape_id],"Não encontrado")</f>
        <v/>
      </c>
      <c r="B22322" s="43" t="n">
        <v>-23.569161</v>
      </c>
      <c r="C22322" s="43" t="n">
        <v>-46.504751</v>
      </c>
      <c r="D22322" s="43" t="n">
        <v>377</v>
      </c>
      <c r="E22322" s="44" t="n">
        <v>15294.282</v>
      </c>
    </row>
    <row r="22323">
      <c r="A22323" s="39">
        <f>_xlfn.XLOOKUP(84526,Trip[shape_id],Trip[shape_id],"Não encontrado")</f>
        <v/>
      </c>
      <c r="B22323" s="40" t="n">
        <v>-23.569562</v>
      </c>
      <c r="C22323" s="40" t="n">
        <v>-46.504646</v>
      </c>
      <c r="D22323" s="40" t="n">
        <v>378</v>
      </c>
      <c r="E22323" s="41" t="n">
        <v>15339.969</v>
      </c>
    </row>
    <row r="22324">
      <c r="A22324" s="42">
        <f>_xlfn.XLOOKUP(84526,Trip[shape_id],Trip[shape_id],"Não encontrado")</f>
        <v/>
      </c>
      <c r="B22324" s="43" t="n">
        <v>-23.569777</v>
      </c>
      <c r="C22324" s="43" t="n">
        <v>-46.504584</v>
      </c>
      <c r="D22324" s="43" t="n">
        <v>379</v>
      </c>
      <c r="E22324" s="44" t="n">
        <v>15393.273</v>
      </c>
    </row>
    <row r="22325">
      <c r="A22325" s="39">
        <f>_xlfn.XLOOKUP(84526,Trip[shape_id],Trip[shape_id],"Não encontrado")</f>
        <v/>
      </c>
      <c r="B22325" s="40" t="n">
        <v>-23.570031</v>
      </c>
      <c r="C22325" s="40" t="n">
        <v>-46.50453</v>
      </c>
      <c r="D22325" s="40" t="n">
        <v>380</v>
      </c>
      <c r="E22325" s="41" t="n">
        <v>15435.25</v>
      </c>
    </row>
    <row r="22326">
      <c r="A22326" s="42">
        <f>_xlfn.XLOOKUP(84526,Trip[shape_id],Trip[shape_id],"Não encontrado")</f>
        <v/>
      </c>
      <c r="B22326" s="43" t="n">
        <v>-23.570409</v>
      </c>
      <c r="C22326" s="43" t="n">
        <v>-46.5045</v>
      </c>
      <c r="D22326" s="43" t="n">
        <v>381</v>
      </c>
      <c r="E22326" s="44" t="n">
        <v>15484.322</v>
      </c>
    </row>
    <row r="22327">
      <c r="A22327" s="39">
        <f>_xlfn.XLOOKUP(84526,Trip[shape_id],Trip[shape_id],"Não encontrado")</f>
        <v/>
      </c>
      <c r="B22327" s="40" t="n">
        <v>-23.570852</v>
      </c>
      <c r="C22327" s="40" t="n">
        <v>-46.504509</v>
      </c>
      <c r="D22327" s="40" t="n">
        <v>382</v>
      </c>
      <c r="E22327" s="41" t="n">
        <v>15493.852</v>
      </c>
    </row>
    <row r="22328">
      <c r="A22328" s="42">
        <f>_xlfn.XLOOKUP(84526,Trip[shape_id],Trip[shape_id],"Não encontrado")</f>
        <v/>
      </c>
      <c r="B22328" s="43" t="n">
        <v>-23.570938</v>
      </c>
      <c r="C22328" s="43" t="n">
        <v>-46.504506</v>
      </c>
      <c r="D22328" s="43" t="n">
        <v>383</v>
      </c>
      <c r="E22328" s="44" t="n">
        <v>15493.852</v>
      </c>
    </row>
    <row r="22329">
      <c r="A22329" s="39">
        <f>_xlfn.XLOOKUP(84526,Trip[shape_id],Trip[shape_id],"Não encontrado")</f>
        <v/>
      </c>
      <c r="B22329" s="40" t="n">
        <v>-23.571175</v>
      </c>
      <c r="C22329" s="40" t="n">
        <v>-46.504506</v>
      </c>
      <c r="D22329" s="40" t="n">
        <v>384</v>
      </c>
      <c r="E22329" s="41" t="n">
        <v>15520.1</v>
      </c>
    </row>
    <row r="22330">
      <c r="A22330" s="42">
        <f>_xlfn.XLOOKUP(84526,Trip[shape_id],Trip[shape_id],"Não encontrado")</f>
        <v/>
      </c>
      <c r="B22330" s="43" t="n">
        <v>-23.571729</v>
      </c>
      <c r="C22330" s="43" t="n">
        <v>-46.504529</v>
      </c>
      <c r="D22330" s="43" t="n">
        <v>385</v>
      </c>
      <c r="E22330" s="44" t="n">
        <v>15612.853</v>
      </c>
    </row>
    <row r="22331">
      <c r="A22331" s="39">
        <f>_xlfn.XLOOKUP(84526,Trip[shape_id],Trip[shape_id],"Não encontrado")</f>
        <v/>
      </c>
      <c r="B22331" s="40" t="n">
        <v>-23.572012</v>
      </c>
      <c r="C22331" s="40" t="n">
        <v>-46.504522</v>
      </c>
      <c r="D22331" s="40" t="n">
        <v>386</v>
      </c>
      <c r="E22331" s="41" t="n">
        <v>15641.713</v>
      </c>
    </row>
    <row r="22332">
      <c r="A22332" s="42">
        <f>_xlfn.XLOOKUP(84526,Trip[shape_id],Trip[shape_id],"Não encontrado")</f>
        <v/>
      </c>
      <c r="B22332" s="43" t="n">
        <v>-23.572272</v>
      </c>
      <c r="C22332" s="43" t="n">
        <v>-46.504503</v>
      </c>
      <c r="D22332" s="43" t="n">
        <v>387</v>
      </c>
      <c r="E22332" s="44" t="n">
        <v>15678.799</v>
      </c>
    </row>
    <row r="22333">
      <c r="A22333" s="39">
        <f>_xlfn.XLOOKUP(84526,Trip[shape_id],Trip[shape_id],"Não encontrado")</f>
        <v/>
      </c>
      <c r="B22333" s="40" t="n">
        <v>-23.572603</v>
      </c>
      <c r="C22333" s="40" t="n">
        <v>-46.504448</v>
      </c>
      <c r="D22333" s="40" t="n">
        <v>388</v>
      </c>
      <c r="E22333" s="41" t="n">
        <v>15678.799</v>
      </c>
    </row>
    <row r="22334">
      <c r="A22334" s="42">
        <f>_xlfn.XLOOKUP(84526,Trip[shape_id],Trip[shape_id],"Não encontrado")</f>
        <v/>
      </c>
      <c r="B22334" s="43" t="n">
        <v>-23.572953</v>
      </c>
      <c r="C22334" s="43" t="n">
        <v>-46.504372</v>
      </c>
      <c r="D22334" s="43" t="n">
        <v>389</v>
      </c>
      <c r="E22334" s="44" t="n">
        <v>15743.875</v>
      </c>
    </row>
    <row r="22335">
      <c r="A22335" s="39">
        <f>_xlfn.XLOOKUP(84526,Trip[shape_id],Trip[shape_id],"Não encontrado")</f>
        <v/>
      </c>
      <c r="B22335" s="40" t="n">
        <v>-23.573178</v>
      </c>
      <c r="C22335" s="40" t="n">
        <v>-46.504317</v>
      </c>
      <c r="D22335" s="40" t="n">
        <v>390</v>
      </c>
      <c r="E22335" s="41" t="n">
        <v>15774.114</v>
      </c>
    </row>
    <row r="22336">
      <c r="A22336" s="42">
        <f>_xlfn.XLOOKUP(84526,Trip[shape_id],Trip[shape_id],"Não encontrado")</f>
        <v/>
      </c>
      <c r="B22336" s="43" t="n">
        <v>-23.573434</v>
      </c>
      <c r="C22336" s="43" t="n">
        <v>-46.504214</v>
      </c>
      <c r="D22336" s="43" t="n">
        <v>391</v>
      </c>
      <c r="E22336" s="44" t="n">
        <v>15812.136</v>
      </c>
    </row>
    <row r="22337">
      <c r="A22337" s="39">
        <f>_xlfn.XLOOKUP(84526,Trip[shape_id],Trip[shape_id],"Não encontrado")</f>
        <v/>
      </c>
      <c r="B22337" s="40" t="n">
        <v>-23.573759</v>
      </c>
      <c r="C22337" s="40" t="n">
        <v>-46.504094</v>
      </c>
      <c r="D22337" s="40" t="n">
        <v>392</v>
      </c>
      <c r="E22337" s="41" t="n">
        <v>15850.958</v>
      </c>
    </row>
    <row r="22338">
      <c r="A22338" s="42">
        <f>_xlfn.XLOOKUP(84526,Trip[shape_id],Trip[shape_id],"Não encontrado")</f>
        <v/>
      </c>
      <c r="B22338" s="43" t="n">
        <v>-23.574077</v>
      </c>
      <c r="C22338" s="43" t="n">
        <v>-46.503934</v>
      </c>
      <c r="D22338" s="43" t="n">
        <v>393</v>
      </c>
      <c r="E22338" s="44" t="n">
        <v>15876.958</v>
      </c>
    </row>
    <row r="22339">
      <c r="A22339" s="39">
        <f>_xlfn.XLOOKUP(84526,Trip[shape_id],Trip[shape_id],"Não encontrado")</f>
        <v/>
      </c>
      <c r="B22339" s="40" t="n">
        <v>-23.574286</v>
      </c>
      <c r="C22339" s="40" t="n">
        <v>-46.503818</v>
      </c>
      <c r="D22339" s="40" t="n">
        <v>394</v>
      </c>
      <c r="E22339" s="41" t="n">
        <v>15916.629</v>
      </c>
    </row>
    <row r="22340">
      <c r="A22340" s="42">
        <f>_xlfn.XLOOKUP(84526,Trip[shape_id],Trip[shape_id],"Não encontrado")</f>
        <v/>
      </c>
      <c r="B22340" s="43" t="n">
        <v>-23.574601</v>
      </c>
      <c r="C22340" s="43" t="n">
        <v>-46.503633</v>
      </c>
      <c r="D22340" s="43" t="n">
        <v>395</v>
      </c>
      <c r="E22340" s="44" t="n">
        <v>15950.155</v>
      </c>
    </row>
    <row r="22341">
      <c r="A22341" s="39">
        <f>_xlfn.XLOOKUP(84526,Trip[shape_id],Trip[shape_id],"Não encontrado")</f>
        <v/>
      </c>
      <c r="B22341" s="40" t="n">
        <v>-23.57486</v>
      </c>
      <c r="C22341" s="40" t="n">
        <v>-46.503463</v>
      </c>
      <c r="D22341" s="40" t="n">
        <v>396</v>
      </c>
      <c r="E22341" s="41" t="n">
        <v>16016.624</v>
      </c>
    </row>
    <row r="22342">
      <c r="A22342" s="42">
        <f>_xlfn.XLOOKUP(84526,Trip[shape_id],Trip[shape_id],"Não encontrado")</f>
        <v/>
      </c>
      <c r="B22342" s="43" t="n">
        <v>-23.575357</v>
      </c>
      <c r="C22342" s="43" t="n">
        <v>-46.503098</v>
      </c>
      <c r="D22342" s="43" t="n">
        <v>397</v>
      </c>
      <c r="E22342" s="44" t="n">
        <v>16042.578</v>
      </c>
    </row>
    <row r="22343">
      <c r="A22343" s="39">
        <f>_xlfn.XLOOKUP(84526,Trip[shape_id],Trip[shape_id],"Não encontrado")</f>
        <v/>
      </c>
      <c r="B22343" s="40" t="n">
        <v>-23.575552</v>
      </c>
      <c r="C22343" s="40" t="n">
        <v>-46.502957</v>
      </c>
      <c r="D22343" s="40" t="n">
        <v>398</v>
      </c>
      <c r="E22343" s="41" t="n">
        <v>16062.367</v>
      </c>
    </row>
    <row r="22344">
      <c r="A22344" s="42">
        <f>_xlfn.XLOOKUP(84526,Trip[shape_id],Trip[shape_id],"Não encontrado")</f>
        <v/>
      </c>
      <c r="B22344" s="43" t="n">
        <v>-23.575701</v>
      </c>
      <c r="C22344" s="43" t="n">
        <v>-46.50285</v>
      </c>
      <c r="D22344" s="43" t="n">
        <v>399</v>
      </c>
      <c r="E22344" s="44" t="n">
        <v>16113.525</v>
      </c>
    </row>
    <row r="22345">
      <c r="A22345" s="39">
        <f>_xlfn.XLOOKUP(84526,Trip[shape_id],Trip[shape_id],"Não encontrado")</f>
        <v/>
      </c>
      <c r="B22345" s="40" t="n">
        <v>-23.576061</v>
      </c>
      <c r="C22345" s="40" t="n">
        <v>-46.502536</v>
      </c>
      <c r="D22345" s="40" t="n">
        <v>400</v>
      </c>
      <c r="E22345" s="41" t="n">
        <v>16132.463</v>
      </c>
    </row>
    <row r="22346">
      <c r="A22346" s="42">
        <f>_xlfn.XLOOKUP(84526,Trip[shape_id],Trip[shape_id],"Não encontrado")</f>
        <v/>
      </c>
      <c r="B22346" s="43" t="n">
        <v>-23.576198</v>
      </c>
      <c r="C22346" s="43" t="n">
        <v>-46.502425</v>
      </c>
      <c r="D22346" s="43" t="n">
        <v>401</v>
      </c>
      <c r="E22346" s="44" t="n">
        <v>16132.463</v>
      </c>
    </row>
    <row r="22347">
      <c r="A22347" s="39">
        <f>_xlfn.XLOOKUP(84526,Trip[shape_id],Trip[shape_id],"Não encontrado")</f>
        <v/>
      </c>
      <c r="B22347" s="40" t="n">
        <v>-23.576451</v>
      </c>
      <c r="C22347" s="40" t="n">
        <v>-46.502203</v>
      </c>
      <c r="D22347" s="40" t="n">
        <v>402</v>
      </c>
      <c r="E22347" s="41" t="n">
        <v>16168.501</v>
      </c>
    </row>
    <row r="22348">
      <c r="A22348" s="42">
        <f>_xlfn.XLOOKUP(84526,Trip[shape_id],Trip[shape_id],"Não encontrado")</f>
        <v/>
      </c>
      <c r="B22348" s="43" t="n">
        <v>-23.577069</v>
      </c>
      <c r="C22348" s="43" t="n">
        <v>-46.501581</v>
      </c>
      <c r="D22348" s="43" t="n">
        <v>403</v>
      </c>
      <c r="E22348" s="44" t="n">
        <v>16261.862</v>
      </c>
    </row>
    <row r="22349">
      <c r="A22349" s="39">
        <f>_xlfn.XLOOKUP(84526,Trip[shape_id],Trip[shape_id],"Não encontrado")</f>
        <v/>
      </c>
      <c r="B22349" s="40" t="n">
        <v>-23.577197</v>
      </c>
      <c r="C22349" s="40" t="n">
        <v>-46.501448</v>
      </c>
      <c r="D22349" s="40" t="n">
        <v>404</v>
      </c>
      <c r="E22349" s="41" t="n">
        <v>16316.857</v>
      </c>
    </row>
    <row r="22350">
      <c r="A22350" s="42">
        <f>_xlfn.XLOOKUP(84526,Trip[shape_id],Trip[shape_id],"Não encontrado")</f>
        <v/>
      </c>
      <c r="B22350" s="43" t="n">
        <v>-23.577407</v>
      </c>
      <c r="C22350" s="43" t="n">
        <v>-46.501187</v>
      </c>
      <c r="D22350" s="43" t="n">
        <v>405</v>
      </c>
      <c r="E22350" s="44" t="n">
        <v>16376.061</v>
      </c>
    </row>
    <row r="22351">
      <c r="A22351" s="39">
        <f>_xlfn.XLOOKUP(84526,Trip[shape_id],Trip[shape_id],"Não encontrado")</f>
        <v/>
      </c>
      <c r="B22351" s="40" t="n">
        <v>-23.577752</v>
      </c>
      <c r="C22351" s="40" t="n">
        <v>-46.500744</v>
      </c>
      <c r="D22351" s="40" t="n">
        <v>406</v>
      </c>
      <c r="E22351" s="41" t="n">
        <v>16403.949</v>
      </c>
    </row>
    <row r="22352">
      <c r="A22352" s="42">
        <f>_xlfn.XLOOKUP(84526,Trip[shape_id],Trip[shape_id],"Não encontrado")</f>
        <v/>
      </c>
      <c r="B22352" s="43" t="n">
        <v>-23.577905</v>
      </c>
      <c r="C22352" s="43" t="n">
        <v>-46.500527</v>
      </c>
      <c r="D22352" s="43" t="n">
        <v>407</v>
      </c>
      <c r="E22352" s="44" t="n">
        <v>16427.273</v>
      </c>
    </row>
    <row r="22353">
      <c r="A22353" s="39">
        <f>_xlfn.XLOOKUP(84526,Trip[shape_id],Trip[shape_id],"Não encontrado")</f>
        <v/>
      </c>
      <c r="B22353" s="40" t="n">
        <v>-23.578026</v>
      </c>
      <c r="C22353" s="40" t="n">
        <v>-46.50034</v>
      </c>
      <c r="D22353" s="40" t="n">
        <v>408</v>
      </c>
      <c r="E22353" s="41" t="n">
        <v>16469.66</v>
      </c>
    </row>
    <row r="22354">
      <c r="A22354" s="42">
        <f>_xlfn.XLOOKUP(84526,Trip[shape_id],Trip[shape_id],"Não encontrado")</f>
        <v/>
      </c>
      <c r="B22354" s="43" t="n">
        <v>-23.578229</v>
      </c>
      <c r="C22354" s="43" t="n">
        <v>-46.499988</v>
      </c>
      <c r="D22354" s="43" t="n">
        <v>409</v>
      </c>
      <c r="E22354" s="44" t="n">
        <v>16487.027</v>
      </c>
    </row>
    <row r="22355">
      <c r="A22355" s="39">
        <f>_xlfn.XLOOKUP(84526,Trip[shape_id],Trip[shape_id],"Não encontrado")</f>
        <v/>
      </c>
      <c r="B22355" s="40" t="n">
        <v>-23.578303</v>
      </c>
      <c r="C22355" s="40" t="n">
        <v>-46.499838</v>
      </c>
      <c r="D22355" s="40" t="n">
        <v>410</v>
      </c>
      <c r="E22355" s="41" t="n">
        <v>16487.027</v>
      </c>
    </row>
    <row r="22356">
      <c r="A22356" s="42">
        <f>_xlfn.XLOOKUP(84526,Trip[shape_id],Trip[shape_id],"Não encontrado")</f>
        <v/>
      </c>
      <c r="B22356" s="43" t="n">
        <v>-23.578399</v>
      </c>
      <c r="C22356" s="43" t="n">
        <v>-46.499642</v>
      </c>
      <c r="D22356" s="43" t="n">
        <v>411</v>
      </c>
      <c r="E22356" s="44" t="n">
        <v>16557.758</v>
      </c>
    </row>
    <row r="22357">
      <c r="A22357" s="39">
        <f>_xlfn.XLOOKUP(84526,Trip[shape_id],Trip[shape_id],"Não encontrado")</f>
        <v/>
      </c>
      <c r="B22357" s="40" t="n">
        <v>-23.578576</v>
      </c>
      <c r="C22357" s="40" t="n">
        <v>-46.499212</v>
      </c>
      <c r="D22357" s="40" t="n">
        <v>412</v>
      </c>
      <c r="E22357" s="41" t="n">
        <v>16589.275</v>
      </c>
    </row>
    <row r="22358">
      <c r="A22358" s="42">
        <f>_xlfn.XLOOKUP(84526,Trip[shape_id],Trip[shape_id],"Não encontrado")</f>
        <v/>
      </c>
      <c r="B22358" s="43" t="n">
        <v>-23.57866</v>
      </c>
      <c r="C22358" s="43" t="n">
        <v>-46.498917</v>
      </c>
      <c r="D22358" s="43" t="n">
        <v>413</v>
      </c>
      <c r="E22358" s="44" t="n">
        <v>16589.275</v>
      </c>
    </row>
    <row r="22359">
      <c r="A22359" s="39">
        <f>_xlfn.XLOOKUP(84526,Trip[shape_id],Trip[shape_id],"Não encontrado")</f>
        <v/>
      </c>
      <c r="B22359" s="40" t="n">
        <v>-23.578754</v>
      </c>
      <c r="C22359" s="40" t="n">
        <v>-46.498584</v>
      </c>
      <c r="D22359" s="40" t="n">
        <v>414</v>
      </c>
      <c r="E22359" s="41" t="n">
        <v>16649.773</v>
      </c>
    </row>
    <row r="22360">
      <c r="A22360" s="42">
        <f>_xlfn.XLOOKUP(84526,Trip[shape_id],Trip[shape_id],"Não encontrado")</f>
        <v/>
      </c>
      <c r="B22360" s="43" t="n">
        <v>-23.578819</v>
      </c>
      <c r="C22360" s="43" t="n">
        <v>-46.49835</v>
      </c>
      <c r="D22360" s="43" t="n">
        <v>415</v>
      </c>
      <c r="E22360" s="44" t="n">
        <v>16649.773</v>
      </c>
    </row>
    <row r="22361">
      <c r="A22361" s="39">
        <f>_xlfn.XLOOKUP(84526,Trip[shape_id],Trip[shape_id],"Não encontrado")</f>
        <v/>
      </c>
      <c r="B22361" s="40" t="n">
        <v>-23.57888</v>
      </c>
      <c r="C22361" s="40" t="n">
        <v>-46.498017</v>
      </c>
      <c r="D22361" s="40" t="n">
        <v>416</v>
      </c>
      <c r="E22361" s="41" t="n">
        <v>16735.613</v>
      </c>
    </row>
    <row r="22362">
      <c r="A22362" s="42">
        <f>_xlfn.XLOOKUP(84526,Trip[shape_id],Trip[shape_id],"Não encontrado")</f>
        <v/>
      </c>
      <c r="B22362" s="43" t="n">
        <v>-23.578941</v>
      </c>
      <c r="C22362" s="43" t="n">
        <v>-46.49752</v>
      </c>
      <c r="D22362" s="43" t="n">
        <v>417</v>
      </c>
      <c r="E22362" s="44" t="n">
        <v>16767.398</v>
      </c>
    </row>
    <row r="22363">
      <c r="A22363" s="39">
        <f>_xlfn.XLOOKUP(84526,Trip[shape_id],Trip[shape_id],"Não encontrado")</f>
        <v/>
      </c>
      <c r="B22363" s="40" t="n">
        <v>-23.578955</v>
      </c>
      <c r="C22363" s="40" t="n">
        <v>-46.497209</v>
      </c>
      <c r="D22363" s="40" t="n">
        <v>418</v>
      </c>
      <c r="E22363" s="41" t="n">
        <v>16767.398</v>
      </c>
    </row>
    <row r="22364">
      <c r="A22364" s="42">
        <f>_xlfn.XLOOKUP(84526,Trip[shape_id],Trip[shape_id],"Não encontrado")</f>
        <v/>
      </c>
      <c r="B22364" s="43" t="n">
        <v>-23.578975</v>
      </c>
      <c r="C22364" s="43" t="n">
        <v>-46.496765</v>
      </c>
      <c r="D22364" s="43" t="n">
        <v>419</v>
      </c>
      <c r="E22364" s="44" t="n">
        <v>16812.775</v>
      </c>
    </row>
    <row r="22365">
      <c r="A22365" s="39">
        <f>_xlfn.XLOOKUP(84526,Trip[shape_id],Trip[shape_id],"Não encontrado")</f>
        <v/>
      </c>
      <c r="B22365" s="40" t="n">
        <v>-23.578968</v>
      </c>
      <c r="C22365" s="40" t="n">
        <v>-46.496178</v>
      </c>
      <c r="D22365" s="40" t="n">
        <v>420</v>
      </c>
      <c r="E22365" s="41" t="n">
        <v>16909.67</v>
      </c>
    </row>
    <row r="22366">
      <c r="A22366" s="42">
        <f>_xlfn.XLOOKUP(84526,Trip[shape_id],Trip[shape_id],"Não encontrado")</f>
        <v/>
      </c>
      <c r="B22366" s="43" t="n">
        <v>-23.578978</v>
      </c>
      <c r="C22366" s="43" t="n">
        <v>-46.495816</v>
      </c>
      <c r="D22366" s="43" t="n">
        <v>421</v>
      </c>
      <c r="E22366" s="44" t="n">
        <v>16937.926</v>
      </c>
    </row>
    <row r="22367">
      <c r="A22367" s="39">
        <f>_xlfn.XLOOKUP(84526,Trip[shape_id],Trip[shape_id],"Não encontrado")</f>
        <v/>
      </c>
      <c r="B22367" s="40" t="n">
        <v>-23.579007</v>
      </c>
      <c r="C22367" s="40" t="n">
        <v>-46.495541</v>
      </c>
      <c r="D22367" s="40" t="n">
        <v>422</v>
      </c>
      <c r="E22367" s="41" t="n">
        <v>16968.313</v>
      </c>
    </row>
    <row r="22368">
      <c r="A22368" s="42">
        <f>_xlfn.XLOOKUP(84526,Trip[shape_id],Trip[shape_id],"Não encontrado")</f>
        <v/>
      </c>
      <c r="B22368" s="43" t="n">
        <v>-23.579036</v>
      </c>
      <c r="C22368" s="43" t="n">
        <v>-46.495245</v>
      </c>
      <c r="D22368" s="43" t="n">
        <v>423</v>
      </c>
      <c r="E22368" s="44" t="n">
        <v>16978.936</v>
      </c>
    </row>
    <row r="22369">
      <c r="A22369" s="39">
        <f>_xlfn.XLOOKUP(84526,Trip[shape_id],Trip[shape_id],"Não encontrado")</f>
        <v/>
      </c>
      <c r="B22369" s="40" t="n">
        <v>-23.579055</v>
      </c>
      <c r="C22369" s="40" t="n">
        <v>-46.495143</v>
      </c>
      <c r="D22369" s="40" t="n">
        <v>424</v>
      </c>
      <c r="E22369" s="41" t="n">
        <v>16978.936</v>
      </c>
    </row>
    <row r="22370">
      <c r="A22370" s="42">
        <f>_xlfn.XLOOKUP(84526,Trip[shape_id],Trip[shape_id],"Não encontrado")</f>
        <v/>
      </c>
      <c r="B22370" s="43" t="n">
        <v>-23.579111</v>
      </c>
      <c r="C22370" s="43" t="n">
        <v>-46.494915</v>
      </c>
      <c r="D22370" s="43" t="n">
        <v>425</v>
      </c>
      <c r="E22370" s="44" t="n">
        <v>17043.904</v>
      </c>
    </row>
    <row r="22371">
      <c r="A22371" s="39">
        <f>_xlfn.XLOOKUP(84526,Trip[shape_id],Trip[shape_id],"Não encontrado")</f>
        <v/>
      </c>
      <c r="B22371" s="40" t="n">
        <v>-23.579233</v>
      </c>
      <c r="C22371" s="40" t="n">
        <v>-46.494537</v>
      </c>
      <c r="D22371" s="40" t="n">
        <v>426</v>
      </c>
      <c r="E22371" s="41" t="n">
        <v>17043.904</v>
      </c>
    </row>
    <row r="22372">
      <c r="A22372" s="42">
        <f>_xlfn.XLOOKUP(84526,Trip[shape_id],Trip[shape_id],"Não encontrado")</f>
        <v/>
      </c>
      <c r="B22372" s="43" t="n">
        <v>-23.579391</v>
      </c>
      <c r="C22372" s="43" t="n">
        <v>-46.494178</v>
      </c>
      <c r="D22372" s="43" t="n">
        <v>427</v>
      </c>
      <c r="E22372" s="44" t="n">
        <v>17117.176</v>
      </c>
    </row>
    <row r="22373">
      <c r="A22373" s="39">
        <f>_xlfn.XLOOKUP(84526,Trip[shape_id],Trip[shape_id],"Não encontrado")</f>
        <v/>
      </c>
      <c r="B22373" s="40" t="n">
        <v>-23.579537</v>
      </c>
      <c r="C22373" s="40" t="n">
        <v>-46.4939</v>
      </c>
      <c r="D22373" s="40" t="n">
        <v>428</v>
      </c>
      <c r="E22373" s="41" t="n">
        <v>17141.049</v>
      </c>
    </row>
    <row r="22374">
      <c r="A22374" s="42">
        <f>_xlfn.XLOOKUP(84526,Trip[shape_id],Trip[shape_id],"Não encontrado")</f>
        <v/>
      </c>
      <c r="B22374" s="43" t="n">
        <v>-23.579656</v>
      </c>
      <c r="C22374" s="43" t="n">
        <v>-46.493705</v>
      </c>
      <c r="D22374" s="43" t="n">
        <v>429</v>
      </c>
      <c r="E22374" s="44" t="n">
        <v>17181.645</v>
      </c>
    </row>
    <row r="22375">
      <c r="A22375" s="39">
        <f>_xlfn.XLOOKUP(84526,Trip[shape_id],Trip[shape_id],"Não encontrado")</f>
        <v/>
      </c>
      <c r="B22375" s="40" t="n">
        <v>-23.579889</v>
      </c>
      <c r="C22375" s="40" t="n">
        <v>-46.493398</v>
      </c>
      <c r="D22375" s="40" t="n">
        <v>430</v>
      </c>
      <c r="E22375" s="41" t="n">
        <v>17227.787</v>
      </c>
    </row>
    <row r="22376">
      <c r="A22376" s="42">
        <f>_xlfn.XLOOKUP(84526,Trip[shape_id],Trip[shape_id],"Não encontrado")</f>
        <v/>
      </c>
      <c r="B22376" s="43" t="n">
        <v>-23.580186</v>
      </c>
      <c r="C22376" s="43" t="n">
        <v>-46.493081</v>
      </c>
      <c r="D22376" s="43" t="n">
        <v>431</v>
      </c>
      <c r="E22376" s="44" t="n">
        <v>17251.223</v>
      </c>
    </row>
    <row r="22377">
      <c r="A22377" s="39">
        <f>_xlfn.XLOOKUP(84526,Trip[shape_id],Trip[shape_id],"Não encontrado")</f>
        <v/>
      </c>
      <c r="B22377" s="40" t="n">
        <v>-23.580353</v>
      </c>
      <c r="C22377" s="40" t="n">
        <v>-46.49294</v>
      </c>
      <c r="D22377" s="40" t="n">
        <v>432</v>
      </c>
      <c r="E22377" s="41" t="n">
        <v>17306.85</v>
      </c>
    </row>
    <row r="22378">
      <c r="A22378" s="42">
        <f>_xlfn.XLOOKUP(84526,Trip[shape_id],Trip[shape_id],"Não encontrado")</f>
        <v/>
      </c>
      <c r="B22378" s="43" t="n">
        <v>-23.580752</v>
      </c>
      <c r="C22378" s="43" t="n">
        <v>-46.492609</v>
      </c>
      <c r="D22378" s="43" t="n">
        <v>433</v>
      </c>
      <c r="E22378" s="44" t="n">
        <v>17390.1</v>
      </c>
    </row>
    <row r="22379">
      <c r="A22379" s="39">
        <f>_xlfn.XLOOKUP(84526,Trip[shape_id],Trip[shape_id],"Não encontrado")</f>
        <v/>
      </c>
      <c r="B22379" s="40" t="n">
        <v>-23.581357</v>
      </c>
      <c r="C22379" s="40" t="n">
        <v>-46.492125</v>
      </c>
      <c r="D22379" s="40" t="n">
        <v>434</v>
      </c>
      <c r="E22379" s="41" t="n">
        <v>17406.832</v>
      </c>
    </row>
    <row r="22380">
      <c r="A22380" s="42">
        <f>_xlfn.XLOOKUP(84526,Trip[shape_id],Trip[shape_id],"Não encontrado")</f>
        <v/>
      </c>
      <c r="B22380" s="43" t="n">
        <v>-23.581476</v>
      </c>
      <c r="C22380" s="43" t="n">
        <v>-46.492024</v>
      </c>
      <c r="D22380" s="43" t="n">
        <v>435</v>
      </c>
      <c r="E22380" s="44" t="n">
        <v>17425.857</v>
      </c>
    </row>
    <row r="22381">
      <c r="A22381" s="39">
        <f>_xlfn.XLOOKUP(84526,Trip[shape_id],Trip[shape_id],"Não encontrado")</f>
        <v/>
      </c>
      <c r="B22381" s="40" t="n">
        <v>-23.581614</v>
      </c>
      <c r="C22381" s="40" t="n">
        <v>-46.491913</v>
      </c>
      <c r="D22381" s="40" t="n">
        <v>436</v>
      </c>
      <c r="E22381" s="41" t="n">
        <v>17444.746</v>
      </c>
    </row>
    <row r="22382">
      <c r="A22382" s="42">
        <f>_xlfn.XLOOKUP(84526,Trip[shape_id],Trip[shape_id],"Não encontrado")</f>
        <v/>
      </c>
      <c r="B22382" s="43" t="n">
        <v>-23.581765</v>
      </c>
      <c r="C22382" s="43" t="n">
        <v>-46.491827</v>
      </c>
      <c r="D22382" s="43" t="n">
        <v>437</v>
      </c>
      <c r="E22382" s="44" t="n">
        <v>17449.129</v>
      </c>
    </row>
    <row r="22383">
      <c r="A22383" s="39">
        <f>_xlfn.XLOOKUP(84526,Trip[shape_id],Trip[shape_id],"Não encontrado")</f>
        <v/>
      </c>
      <c r="B22383" s="40" t="n">
        <v>-23.581799</v>
      </c>
      <c r="C22383" s="40" t="n">
        <v>-46.491805</v>
      </c>
      <c r="D22383" s="40" t="n">
        <v>438</v>
      </c>
      <c r="E22383" s="41" t="n">
        <v>17449.129</v>
      </c>
    </row>
    <row r="22384">
      <c r="A22384" s="42">
        <f>_xlfn.XLOOKUP(84526,Trip[shape_id],Trip[shape_id],"Não encontrado")</f>
        <v/>
      </c>
      <c r="B22384" s="43" t="n">
        <v>-23.581975</v>
      </c>
      <c r="C22384" s="43" t="n">
        <v>-46.4917</v>
      </c>
      <c r="D22384" s="43" t="n">
        <v>439</v>
      </c>
      <c r="E22384" s="44" t="n">
        <v>17494.895</v>
      </c>
    </row>
    <row r="22385">
      <c r="A22385" s="39">
        <f>_xlfn.XLOOKUP(84526,Trip[shape_id],Trip[shape_id],"Não encontrado")</f>
        <v/>
      </c>
      <c r="B22385" s="40" t="n">
        <v>-23.582154</v>
      </c>
      <c r="C22385" s="40" t="n">
        <v>-46.491576</v>
      </c>
      <c r="D22385" s="40" t="n">
        <v>440</v>
      </c>
      <c r="E22385" s="41" t="n">
        <v>17529.334</v>
      </c>
    </row>
    <row r="22386">
      <c r="A22386" s="42">
        <f>_xlfn.XLOOKUP(84526,Trip[shape_id],Trip[shape_id],"Não encontrado")</f>
        <v/>
      </c>
      <c r="B22386" s="43" t="n">
        <v>-23.582417</v>
      </c>
      <c r="C22386" s="43" t="n">
        <v>-46.491396</v>
      </c>
      <c r="D22386" s="43" t="n">
        <v>441</v>
      </c>
      <c r="E22386" s="44" t="n">
        <v>17529.334</v>
      </c>
    </row>
    <row r="22387">
      <c r="A22387" s="39">
        <f>_xlfn.XLOOKUP(84526,Trip[shape_id],Trip[shape_id],"Não encontrado")</f>
        <v/>
      </c>
      <c r="B22387" s="40" t="n">
        <v>-23.582528</v>
      </c>
      <c r="C22387" s="40" t="n">
        <v>-46.49131</v>
      </c>
      <c r="D22387" s="40" t="n">
        <v>442</v>
      </c>
      <c r="E22387" s="41" t="n">
        <v>17544.439</v>
      </c>
    </row>
    <row r="22388">
      <c r="A22388" s="42">
        <f>_xlfn.XLOOKUP(84526,Trip[shape_id],Trip[shape_id],"Não encontrado")</f>
        <v/>
      </c>
      <c r="B22388" s="43" t="n">
        <v>-23.582732</v>
      </c>
      <c r="C22388" s="43" t="n">
        <v>-46.491122</v>
      </c>
      <c r="D22388" s="43" t="n">
        <v>443</v>
      </c>
      <c r="E22388" s="44" t="n">
        <v>17574.084</v>
      </c>
    </row>
    <row r="22389">
      <c r="A22389" s="39">
        <f>_xlfn.XLOOKUP(84526,Trip[shape_id],Trip[shape_id],"Não encontrado")</f>
        <v/>
      </c>
      <c r="B22389" s="40" t="n">
        <v>-23.582923</v>
      </c>
      <c r="C22389" s="40" t="n">
        <v>-46.490906</v>
      </c>
      <c r="D22389" s="40" t="n">
        <v>444</v>
      </c>
      <c r="E22389" s="41" t="n">
        <v>17703.615</v>
      </c>
    </row>
    <row r="22390">
      <c r="A22390" s="42">
        <f>_xlfn.XLOOKUP(84526,Trip[shape_id],Trip[shape_id],"Não encontrado")</f>
        <v/>
      </c>
      <c r="B22390" s="43" t="n">
        <v>-23.583635</v>
      </c>
      <c r="C22390" s="43" t="n">
        <v>-46.49032</v>
      </c>
      <c r="D22390" s="43" t="n">
        <v>445</v>
      </c>
      <c r="E22390" s="44" t="n">
        <v>17703.615</v>
      </c>
    </row>
    <row r="22391">
      <c r="A22391" s="39">
        <f>_xlfn.XLOOKUP(84526,Trip[shape_id],Trip[shape_id],"Não encontrado")</f>
        <v/>
      </c>
      <c r="B22391" s="40" t="n">
        <v>-23.584472</v>
      </c>
      <c r="C22391" s="40" t="n">
        <v>-46.489639</v>
      </c>
      <c r="D22391" s="40" t="n">
        <v>446</v>
      </c>
      <c r="E22391" s="41" t="n">
        <v>17867.434</v>
      </c>
    </row>
    <row r="22392">
      <c r="A22392" s="42">
        <f>_xlfn.XLOOKUP(84526,Trip[shape_id],Trip[shape_id],"Não encontrado")</f>
        <v/>
      </c>
      <c r="B22392" s="43" t="n">
        <v>-23.584821</v>
      </c>
      <c r="C22392" s="43" t="n">
        <v>-46.489361</v>
      </c>
      <c r="D22392" s="43" t="n">
        <v>447</v>
      </c>
      <c r="E22392" s="44" t="n">
        <v>17867.434</v>
      </c>
    </row>
    <row r="22393">
      <c r="A22393" s="39">
        <f>_xlfn.XLOOKUP(84526,Trip[shape_id],Trip[shape_id],"Não encontrado")</f>
        <v/>
      </c>
      <c r="B22393" s="40" t="n">
        <v>-23.585711</v>
      </c>
      <c r="C22393" s="40" t="n">
        <v>-46.488651</v>
      </c>
      <c r="D22393" s="40" t="n">
        <v>448</v>
      </c>
      <c r="E22393" s="41" t="n">
        <v>18024.641</v>
      </c>
    </row>
    <row r="22394">
      <c r="A22394" s="42">
        <f>_xlfn.XLOOKUP(84526,Trip[shape_id],Trip[shape_id],"Não encontrado")</f>
        <v/>
      </c>
      <c r="B22394" s="43" t="n">
        <v>-23.585947</v>
      </c>
      <c r="C22394" s="43" t="n">
        <v>-46.488425</v>
      </c>
      <c r="D22394" s="43" t="n">
        <v>449</v>
      </c>
      <c r="E22394" s="44" t="n">
        <v>18024.641</v>
      </c>
    </row>
    <row r="22395">
      <c r="A22395" s="39">
        <f>_xlfn.XLOOKUP(84526,Trip[shape_id],Trip[shape_id],"Não encontrado")</f>
        <v/>
      </c>
      <c r="B22395" s="40" t="n">
        <v>-23.586207</v>
      </c>
      <c r="C22395" s="40" t="n">
        <v>-46.488173</v>
      </c>
      <c r="D22395" s="40" t="n">
        <v>450</v>
      </c>
      <c r="E22395" s="41" t="n">
        <v>18111.771</v>
      </c>
    </row>
    <row r="22396">
      <c r="A22396" s="42">
        <f>_xlfn.XLOOKUP(84526,Trip[shape_id],Trip[shape_id],"Não encontrado")</f>
        <v/>
      </c>
      <c r="B22396" s="43" t="n">
        <v>-23.586492</v>
      </c>
      <c r="C22396" s="43" t="n">
        <v>-46.487812</v>
      </c>
      <c r="D22396" s="43" t="n">
        <v>451</v>
      </c>
      <c r="E22396" s="44" t="n">
        <v>18139.166</v>
      </c>
    </row>
    <row r="22397">
      <c r="A22397" s="39">
        <f>_xlfn.XLOOKUP(84526,Trip[shape_id],Trip[shape_id],"Não encontrado")</f>
        <v/>
      </c>
      <c r="B22397" s="40" t="n">
        <v>-23.586631</v>
      </c>
      <c r="C22397" s="40" t="n">
        <v>-46.48759</v>
      </c>
      <c r="D22397" s="40" t="n">
        <v>452</v>
      </c>
      <c r="E22397" s="41" t="n">
        <v>18156.016</v>
      </c>
    </row>
    <row r="22398">
      <c r="A22398" s="42">
        <f>_xlfn.XLOOKUP(84526,Trip[shape_id],Trip[shape_id],"Não encontrado")</f>
        <v/>
      </c>
      <c r="B22398" s="43" t="n">
        <v>-23.586707</v>
      </c>
      <c r="C22398" s="43" t="n">
        <v>-46.487447</v>
      </c>
      <c r="D22398" s="43" t="n">
        <v>453</v>
      </c>
      <c r="E22398" s="44" t="n">
        <v>18156.016</v>
      </c>
    </row>
    <row r="22399">
      <c r="A22399" s="39">
        <f>_xlfn.XLOOKUP(84526,Trip[shape_id],Trip[shape_id],"Não encontrado")</f>
        <v/>
      </c>
      <c r="B22399" s="40" t="n">
        <v>-23.586784</v>
      </c>
      <c r="C22399" s="40" t="n">
        <v>-46.487303</v>
      </c>
      <c r="D22399" s="40" t="n">
        <v>454</v>
      </c>
      <c r="E22399" s="41" t="n">
        <v>18192.572</v>
      </c>
    </row>
    <row r="22400">
      <c r="A22400" s="42">
        <f>_xlfn.XLOOKUP(84526,Trip[shape_id],Trip[shape_id],"Não encontrado")</f>
        <v/>
      </c>
      <c r="B22400" s="43" t="n">
        <v>-23.58686</v>
      </c>
      <c r="C22400" s="43" t="n">
        <v>-46.48713</v>
      </c>
      <c r="D22400" s="43" t="n">
        <v>455</v>
      </c>
      <c r="E22400" s="44" t="n">
        <v>18206.164</v>
      </c>
    </row>
    <row r="22401">
      <c r="A22401" s="39">
        <f>_xlfn.XLOOKUP(84526,Trip[shape_id],Trip[shape_id],"Não encontrado")</f>
        <v/>
      </c>
      <c r="B22401" s="40" t="n">
        <v>-23.586907</v>
      </c>
      <c r="C22401" s="40" t="n">
        <v>-46.487007</v>
      </c>
      <c r="D22401" s="40" t="n">
        <v>456</v>
      </c>
      <c r="E22401" s="41" t="n">
        <v>18229.885</v>
      </c>
    </row>
    <row r="22402">
      <c r="A22402" s="42">
        <f>_xlfn.XLOOKUP(84526,Trip[shape_id],Trip[shape_id],"Não encontrado")</f>
        <v/>
      </c>
      <c r="B22402" s="43" t="n">
        <v>-23.586986</v>
      </c>
      <c r="C22402" s="43" t="n">
        <v>-46.486791</v>
      </c>
      <c r="D22402" s="43" t="n">
        <v>457</v>
      </c>
      <c r="E22402" s="44" t="n">
        <v>18244.576</v>
      </c>
    </row>
    <row r="22403">
      <c r="A22403" s="39">
        <f>_xlfn.XLOOKUP(84526,Trip[shape_id],Trip[shape_id],"Não encontrado")</f>
        <v/>
      </c>
      <c r="B22403" s="40" t="n">
        <v>-23.587032</v>
      </c>
      <c r="C22403" s="40" t="n">
        <v>-46.486656</v>
      </c>
      <c r="D22403" s="40" t="n">
        <v>458</v>
      </c>
      <c r="E22403" s="41" t="n">
        <v>18258.891</v>
      </c>
    </row>
    <row r="22404">
      <c r="A22404" s="42">
        <f>_xlfn.XLOOKUP(84526,Trip[shape_id],Trip[shape_id],"Não encontrado")</f>
        <v/>
      </c>
      <c r="B22404" s="43" t="n">
        <v>-23.587067</v>
      </c>
      <c r="C22404" s="43" t="n">
        <v>-46.486521</v>
      </c>
      <c r="D22404" s="43" t="n">
        <v>459</v>
      </c>
      <c r="E22404" s="44" t="n">
        <v>18274.504</v>
      </c>
    </row>
    <row r="22405">
      <c r="A22405" s="39">
        <f>_xlfn.XLOOKUP(84526,Trip[shape_id],Trip[shape_id],"Não encontrado")</f>
        <v/>
      </c>
      <c r="B22405" s="40" t="n">
        <v>-23.587106</v>
      </c>
      <c r="C22405" s="40" t="n">
        <v>-46.486374</v>
      </c>
      <c r="D22405" s="40" t="n">
        <v>460</v>
      </c>
      <c r="E22405" s="41" t="n">
        <v>18294.949</v>
      </c>
    </row>
    <row r="22406">
      <c r="A22406" s="42">
        <f>_xlfn.XLOOKUP(84526,Trip[shape_id],Trip[shape_id],"Não encontrado")</f>
        <v/>
      </c>
      <c r="B22406" s="43" t="n">
        <v>-23.587144</v>
      </c>
      <c r="C22406" s="43" t="n">
        <v>-46.486178</v>
      </c>
      <c r="D22406" s="43" t="n">
        <v>461</v>
      </c>
      <c r="E22406" s="44" t="n">
        <v>18314.791</v>
      </c>
    </row>
    <row r="22407">
      <c r="A22407" s="39">
        <f>_xlfn.XLOOKUP(84526,Trip[shape_id],Trip[shape_id],"Não encontrado")</f>
        <v/>
      </c>
      <c r="B22407" s="40" t="n">
        <v>-23.587172</v>
      </c>
      <c r="C22407" s="40" t="n">
        <v>-46.485986</v>
      </c>
      <c r="D22407" s="40" t="n">
        <v>462</v>
      </c>
      <c r="E22407" s="41" t="n">
        <v>18342.266</v>
      </c>
    </row>
    <row r="22408">
      <c r="A22408" s="42">
        <f>_xlfn.XLOOKUP(84526,Trip[shape_id],Trip[shape_id],"Não encontrado")</f>
        <v/>
      </c>
      <c r="B22408" s="43" t="n">
        <v>-23.587195</v>
      </c>
      <c r="C22408" s="43" t="n">
        <v>-46.485718</v>
      </c>
      <c r="D22408" s="43" t="n">
        <v>463</v>
      </c>
      <c r="E22408" s="44" t="n">
        <v>18364.623</v>
      </c>
    </row>
    <row r="22409">
      <c r="A22409" s="39">
        <f>_xlfn.XLOOKUP(84526,Trip[shape_id],Trip[shape_id],"Não encontrado")</f>
        <v/>
      </c>
      <c r="B22409" s="40" t="n">
        <v>-23.587198</v>
      </c>
      <c r="C22409" s="40" t="n">
        <v>-46.485499</v>
      </c>
      <c r="D22409" s="40" t="n">
        <v>464</v>
      </c>
      <c r="E22409" s="41" t="n">
        <v>18385.154</v>
      </c>
    </row>
    <row r="22410">
      <c r="A22410" s="42">
        <f>_xlfn.XLOOKUP(84526,Trip[shape_id],Trip[shape_id],"Não encontrado")</f>
        <v/>
      </c>
      <c r="B22410" s="43" t="n">
        <v>-23.587191</v>
      </c>
      <c r="C22410" s="43" t="n">
        <v>-46.485298</v>
      </c>
      <c r="D22410" s="43" t="n">
        <v>465</v>
      </c>
      <c r="E22410" s="44" t="n">
        <v>18414.25</v>
      </c>
    </row>
    <row r="22411">
      <c r="A22411" s="39">
        <f>_xlfn.XLOOKUP(84526,Trip[shape_id],Trip[shape_id],"Não encontrado")</f>
        <v/>
      </c>
      <c r="B22411" s="40" t="n">
        <v>-23.587186</v>
      </c>
      <c r="C22411" s="40" t="n">
        <v>-46.485013</v>
      </c>
      <c r="D22411" s="40" t="n">
        <v>466</v>
      </c>
      <c r="E22411" s="41" t="n">
        <v>18460.043</v>
      </c>
    </row>
    <row r="22412">
      <c r="A22412" s="42">
        <f>_xlfn.XLOOKUP(84526,Trip[shape_id],Trip[shape_id],"Não encontrado")</f>
        <v/>
      </c>
      <c r="B22412" s="43" t="n">
        <v>-23.587164</v>
      </c>
      <c r="C22412" s="43" t="n">
        <v>-46.484565</v>
      </c>
      <c r="D22412" s="43" t="n">
        <v>467</v>
      </c>
      <c r="E22412" s="44" t="n">
        <v>18460.043</v>
      </c>
    </row>
    <row r="22413">
      <c r="A22413" s="39">
        <f>_xlfn.XLOOKUP(84526,Trip[shape_id],Trip[shape_id],"Não encontrado")</f>
        <v/>
      </c>
      <c r="B22413" s="40" t="n">
        <v>-23.587143</v>
      </c>
      <c r="C22413" s="40" t="n">
        <v>-46.483909</v>
      </c>
      <c r="D22413" s="40" t="n">
        <v>468</v>
      </c>
      <c r="E22413" s="41" t="n">
        <v>18555.93</v>
      </c>
    </row>
    <row r="22414">
      <c r="A22414" s="42">
        <f>_xlfn.XLOOKUP(84526,Trip[shape_id],Trip[shape_id],"Não encontrado")</f>
        <v/>
      </c>
      <c r="B22414" s="43" t="n">
        <v>-23.587141</v>
      </c>
      <c r="C22414" s="43" t="n">
        <v>-46.483626</v>
      </c>
      <c r="D22414" s="43" t="n">
        <v>469</v>
      </c>
      <c r="E22414" s="44" t="n">
        <v>18570.428</v>
      </c>
    </row>
    <row r="22415">
      <c r="A22415" s="39">
        <f>_xlfn.XLOOKUP(84526,Trip[shape_id],Trip[shape_id],"Não encontrado")</f>
        <v/>
      </c>
      <c r="B22415" s="40" t="n">
        <v>-23.587144</v>
      </c>
      <c r="C22415" s="40" t="n">
        <v>-46.483484</v>
      </c>
      <c r="D22415" s="40" t="n">
        <v>470</v>
      </c>
      <c r="E22415" s="41" t="n">
        <v>18585.174</v>
      </c>
    </row>
    <row r="22416">
      <c r="A22416" s="42">
        <f>_xlfn.XLOOKUP(84526,Trip[shape_id],Trip[shape_id],"Não encontrado")</f>
        <v/>
      </c>
      <c r="B22416" s="43" t="n">
        <v>-23.587173</v>
      </c>
      <c r="C22416" s="43" t="n">
        <v>-46.483343</v>
      </c>
      <c r="D22416" s="43" t="n">
        <v>471</v>
      </c>
      <c r="E22416" s="44" t="n">
        <v>18597.803</v>
      </c>
    </row>
    <row r="22417">
      <c r="A22417" s="39">
        <f>_xlfn.XLOOKUP(84526,Trip[shape_id],Trip[shape_id],"Não encontrado")</f>
        <v/>
      </c>
      <c r="B22417" s="40" t="n">
        <v>-23.587192</v>
      </c>
      <c r="C22417" s="40" t="n">
        <v>-46.483221</v>
      </c>
      <c r="D22417" s="40" t="n">
        <v>472</v>
      </c>
      <c r="E22417" s="41" t="n">
        <v>18597.803</v>
      </c>
    </row>
    <row r="22418">
      <c r="A22418" s="42">
        <f>_xlfn.XLOOKUP(84526,Trip[shape_id],Trip[shape_id],"Não encontrado")</f>
        <v/>
      </c>
      <c r="B22418" s="43" t="n">
        <v>-23.587274</v>
      </c>
      <c r="C22418" s="43" t="n">
        <v>-46.482921</v>
      </c>
      <c r="D22418" s="43" t="n">
        <v>473</v>
      </c>
      <c r="E22418" s="44" t="n">
        <v>18674.49</v>
      </c>
    </row>
    <row r="22419">
      <c r="A22419" s="39">
        <f>_xlfn.XLOOKUP(84526,Trip[shape_id],Trip[shape_id],"Não encontrado")</f>
        <v/>
      </c>
      <c r="B22419" s="40" t="n">
        <v>-23.587453</v>
      </c>
      <c r="C22419" s="40" t="n">
        <v>-46.482528</v>
      </c>
      <c r="D22419" s="40" t="n">
        <v>474</v>
      </c>
      <c r="E22419" s="41" t="n">
        <v>18674.49</v>
      </c>
    </row>
    <row r="22420">
      <c r="A22420" s="42">
        <f>_xlfn.XLOOKUP(84526,Trip[shape_id],Trip[shape_id],"Não encontrado")</f>
        <v/>
      </c>
      <c r="B22420" s="43" t="n">
        <v>-23.587532</v>
      </c>
      <c r="C22420" s="43" t="n">
        <v>-46.48241</v>
      </c>
      <c r="D22420" s="43" t="n">
        <v>475</v>
      </c>
      <c r="E22420" s="44" t="n">
        <v>18701.01</v>
      </c>
    </row>
    <row r="22421">
      <c r="A22421" s="39">
        <f>_xlfn.XLOOKUP(84526,Trip[shape_id],Trip[shape_id],"Não encontrado")</f>
        <v/>
      </c>
      <c r="B22421" s="40" t="n">
        <v>-23.587594</v>
      </c>
      <c r="C22421" s="40" t="n">
        <v>-46.482318</v>
      </c>
      <c r="D22421" s="40" t="n">
        <v>476</v>
      </c>
      <c r="E22421" s="41" t="n">
        <v>18725.742</v>
      </c>
    </row>
    <row r="22422">
      <c r="A22422" s="42">
        <f>_xlfn.XLOOKUP(84526,Trip[shape_id],Trip[shape_id],"Não encontrado")</f>
        <v/>
      </c>
      <c r="B22422" s="43" t="n">
        <v>-23.587729</v>
      </c>
      <c r="C22422" s="43" t="n">
        <v>-46.482125</v>
      </c>
      <c r="D22422" s="43" t="n">
        <v>477</v>
      </c>
      <c r="E22422" s="44" t="n">
        <v>18729.057</v>
      </c>
    </row>
    <row r="22423">
      <c r="A22423" s="39">
        <f>_xlfn.XLOOKUP(84526,Trip[shape_id],Trip[shape_id],"Não encontrado")</f>
        <v/>
      </c>
      <c r="B22423" s="40" t="n">
        <v>-23.587751</v>
      </c>
      <c r="C22423" s="40" t="n">
        <v>-46.482103</v>
      </c>
      <c r="D22423" s="40" t="n">
        <v>478</v>
      </c>
      <c r="E22423" s="41" t="n">
        <v>18729.057</v>
      </c>
    </row>
    <row r="22424">
      <c r="A22424" s="42">
        <f>_xlfn.XLOOKUP(84526,Trip[shape_id],Trip[shape_id],"Não encontrado")</f>
        <v/>
      </c>
      <c r="B22424" s="43" t="n">
        <v>-23.588142</v>
      </c>
      <c r="C22424" s="43" t="n">
        <v>-46.481708</v>
      </c>
      <c r="D22424" s="43" t="n">
        <v>479</v>
      </c>
      <c r="E22424" s="44" t="n">
        <v>18788.225</v>
      </c>
    </row>
    <row r="22425">
      <c r="A22425" s="39">
        <f>_xlfn.XLOOKUP(84526,Trip[shape_id],Trip[shape_id],"Não encontrado")</f>
        <v/>
      </c>
      <c r="B22425" s="40" t="n">
        <v>-23.588322</v>
      </c>
      <c r="C22425" s="40" t="n">
        <v>-46.481564</v>
      </c>
      <c r="D22425" s="40" t="n">
        <v>480</v>
      </c>
      <c r="E22425" s="41" t="n">
        <v>18812.992</v>
      </c>
    </row>
    <row r="22426">
      <c r="A22426" s="42">
        <f>_xlfn.XLOOKUP(84526,Trip[shape_id],Trip[shape_id],"Não encontrado")</f>
        <v/>
      </c>
      <c r="B22426" s="43" t="n">
        <v>-23.588471</v>
      </c>
      <c r="C22426" s="43" t="n">
        <v>-46.481431</v>
      </c>
      <c r="D22426" s="43" t="n">
        <v>481</v>
      </c>
      <c r="E22426" s="44" t="n">
        <v>18834.361</v>
      </c>
    </row>
    <row r="22427">
      <c r="A22427" s="39">
        <f>_xlfn.XLOOKUP(84526,Trip[shape_id],Trip[shape_id],"Não encontrado")</f>
        <v/>
      </c>
      <c r="B22427" s="40" t="n">
        <v>-23.588763</v>
      </c>
      <c r="C22427" s="40" t="n">
        <v>-46.481175</v>
      </c>
      <c r="D22427" s="40" t="n">
        <v>482</v>
      </c>
      <c r="E22427" s="41" t="n">
        <v>18875.939</v>
      </c>
    </row>
    <row r="22428">
      <c r="A22428" s="42">
        <f>_xlfn.XLOOKUP(84526,Trip[shape_id],Trip[shape_id],"Não encontrado")</f>
        <v/>
      </c>
      <c r="B22428" s="43" t="n">
        <v>-23.588978</v>
      </c>
      <c r="C22428" s="43" t="n">
        <v>-46.48098</v>
      </c>
      <c r="D22428" s="43" t="n">
        <v>483</v>
      </c>
      <c r="E22428" s="44" t="n">
        <v>18935.988</v>
      </c>
    </row>
    <row r="22429">
      <c r="A22429" s="39">
        <f>_xlfn.XLOOKUP(84526,Trip[shape_id],Trip[shape_id],"Não encontrado")</f>
        <v/>
      </c>
      <c r="B22429" s="40" t="n">
        <v>-23.58918</v>
      </c>
      <c r="C22429" s="40" t="n">
        <v>-46.480799</v>
      </c>
      <c r="D22429" s="40" t="n">
        <v>484</v>
      </c>
      <c r="E22429" s="41" t="n">
        <v>18955.557</v>
      </c>
    </row>
    <row r="22430">
      <c r="A22430" s="42">
        <f>_xlfn.XLOOKUP(84526,Trip[shape_id],Trip[shape_id],"Não encontrado")</f>
        <v/>
      </c>
      <c r="B22430" s="43" t="n">
        <v>-23.589309</v>
      </c>
      <c r="C22430" s="43" t="n">
        <v>-46.480668</v>
      </c>
      <c r="D22430" s="43" t="n">
        <v>485</v>
      </c>
      <c r="E22430" s="44" t="n">
        <v>18971.988</v>
      </c>
    </row>
    <row r="22431">
      <c r="A22431" s="39">
        <f>_xlfn.XLOOKUP(84526,Trip[shape_id],Trip[shape_id],"Não encontrado")</f>
        <v/>
      </c>
      <c r="B22431" s="40" t="n">
        <v>-23.589426</v>
      </c>
      <c r="C22431" s="40" t="n">
        <v>-46.480569</v>
      </c>
      <c r="D22431" s="40" t="n">
        <v>486</v>
      </c>
      <c r="E22431" s="41" t="n">
        <v>18988.289</v>
      </c>
    </row>
    <row r="22432">
      <c r="A22432" s="42">
        <f>_xlfn.XLOOKUP(84526,Trip[shape_id],Trip[shape_id],"Não encontrado")</f>
        <v/>
      </c>
      <c r="B22432" s="43" t="n">
        <v>-23.58953</v>
      </c>
      <c r="C22432" s="43" t="n">
        <v>-46.480456</v>
      </c>
      <c r="D22432" s="43" t="n">
        <v>487</v>
      </c>
      <c r="E22432" s="44" t="n">
        <v>19003.178</v>
      </c>
    </row>
    <row r="22433">
      <c r="A22433" s="39">
        <f>_xlfn.XLOOKUP(84526,Trip[shape_id],Trip[shape_id],"Não encontrado")</f>
        <v/>
      </c>
      <c r="B22433" s="40" t="n">
        <v>-23.589615</v>
      </c>
      <c r="C22433" s="40" t="n">
        <v>-46.480343</v>
      </c>
      <c r="D22433" s="40" t="n">
        <v>488</v>
      </c>
      <c r="E22433" s="41" t="n">
        <v>19016.408</v>
      </c>
    </row>
    <row r="22434">
      <c r="A22434" s="42">
        <f>_xlfn.XLOOKUP(84526,Trip[shape_id],Trip[shape_id],"Não encontrado")</f>
        <v/>
      </c>
      <c r="B22434" s="43" t="n">
        <v>-23.589691</v>
      </c>
      <c r="C22434" s="43" t="n">
        <v>-46.480243</v>
      </c>
      <c r="D22434" s="43" t="n">
        <v>489</v>
      </c>
      <c r="E22434" s="44" t="n">
        <v>19027.225</v>
      </c>
    </row>
    <row r="22435">
      <c r="A22435" s="39">
        <f>_xlfn.XLOOKUP(84526,Trip[shape_id],Trip[shape_id],"Não encontrado")</f>
        <v/>
      </c>
      <c r="B22435" s="40" t="n">
        <v>-23.589744</v>
      </c>
      <c r="C22435" s="40" t="n">
        <v>-46.480154</v>
      </c>
      <c r="D22435" s="40" t="n">
        <v>490</v>
      </c>
      <c r="E22435" s="41" t="n">
        <v>19027.225</v>
      </c>
    </row>
    <row r="22436">
      <c r="A22436" s="42">
        <f>_xlfn.XLOOKUP(84526,Trip[shape_id],Trip[shape_id],"Não encontrado")</f>
        <v/>
      </c>
      <c r="B22436" s="43" t="n">
        <v>-23.589836</v>
      </c>
      <c r="C22436" s="43" t="n">
        <v>-46.479983</v>
      </c>
      <c r="D22436" s="43" t="n">
        <v>491</v>
      </c>
      <c r="E22436" s="44" t="n">
        <v>19064.086</v>
      </c>
    </row>
    <row r="22437">
      <c r="A22437" s="39">
        <f>_xlfn.XLOOKUP(84526,Trip[shape_id],Trip[shape_id],"Não encontrado")</f>
        <v/>
      </c>
      <c r="B22437" s="40" t="n">
        <v>-23.589919</v>
      </c>
      <c r="C22437" s="40" t="n">
        <v>-46.479847</v>
      </c>
      <c r="D22437" s="40" t="n">
        <v>492</v>
      </c>
      <c r="E22437" s="41" t="n">
        <v>19096.936</v>
      </c>
    </row>
    <row r="22438">
      <c r="A22438" s="42">
        <f>_xlfn.XLOOKUP(84526,Trip[shape_id],Trip[shape_id],"Não encontrado")</f>
        <v/>
      </c>
      <c r="B22438" s="43" t="n">
        <v>-23.590031</v>
      </c>
      <c r="C22438" s="43" t="n">
        <v>-46.479549</v>
      </c>
      <c r="D22438" s="43" t="n">
        <v>493</v>
      </c>
      <c r="E22438" s="44" t="n">
        <v>19096.936</v>
      </c>
    </row>
    <row r="22439">
      <c r="A22439" s="39">
        <f>_xlfn.XLOOKUP(84526,Trip[shape_id],Trip[shape_id],"Não encontrado")</f>
        <v/>
      </c>
      <c r="B22439" s="40" t="n">
        <v>-23.590101</v>
      </c>
      <c r="C22439" s="40" t="n">
        <v>-46.479343</v>
      </c>
      <c r="D22439" s="40" t="n">
        <v>494</v>
      </c>
      <c r="E22439" s="41" t="n">
        <v>19180.543</v>
      </c>
    </row>
    <row r="22440">
      <c r="A22440" s="42">
        <f>_xlfn.XLOOKUP(84526,Trip[shape_id],Trip[shape_id],"Não encontrado")</f>
        <v/>
      </c>
      <c r="B22440" s="43" t="n">
        <v>-23.590241</v>
      </c>
      <c r="C22440" s="43" t="n">
        <v>-46.478763</v>
      </c>
      <c r="D22440" s="43" t="n">
        <v>495</v>
      </c>
      <c r="E22440" s="44" t="n">
        <v>19180.543</v>
      </c>
    </row>
    <row r="22441">
      <c r="A22441" s="39">
        <f>_xlfn.XLOOKUP(84526,Trip[shape_id],Trip[shape_id],"Não encontrado")</f>
        <v/>
      </c>
      <c r="B22441" s="40" t="n">
        <v>-23.590357</v>
      </c>
      <c r="C22441" s="40" t="n">
        <v>-46.478287</v>
      </c>
      <c r="D22441" s="40" t="n">
        <v>496</v>
      </c>
      <c r="E22441" s="41" t="n">
        <v>19260.537</v>
      </c>
    </row>
    <row r="22442">
      <c r="A22442" s="42">
        <f>_xlfn.XLOOKUP(84526,Trip[shape_id],Trip[shape_id],"Não encontrado")</f>
        <v/>
      </c>
      <c r="B22442" s="43" t="n">
        <v>-23.590443</v>
      </c>
      <c r="C22442" s="43" t="n">
        <v>-46.478011</v>
      </c>
      <c r="D22442" s="43" t="n">
        <v>497</v>
      </c>
      <c r="E22442" s="44" t="n">
        <v>19278.016</v>
      </c>
    </row>
    <row r="22443">
      <c r="A22443" s="39">
        <f>_xlfn.XLOOKUP(84526,Trip[shape_id],Trip[shape_id],"Não encontrado")</f>
        <v/>
      </c>
      <c r="B22443" s="40" t="n">
        <v>-23.590506</v>
      </c>
      <c r="C22443" s="40" t="n">
        <v>-46.477854</v>
      </c>
      <c r="D22443" s="40" t="n">
        <v>498</v>
      </c>
      <c r="E22443" s="41" t="n">
        <v>19278.016</v>
      </c>
    </row>
    <row r="22444">
      <c r="A22444" s="42">
        <f>_xlfn.XLOOKUP(84526,Trip[shape_id],Trip[shape_id],"Não encontrado")</f>
        <v/>
      </c>
      <c r="B22444" s="43" t="n">
        <v>-23.590567</v>
      </c>
      <c r="C22444" s="43" t="n">
        <v>-46.477701</v>
      </c>
      <c r="D22444" s="43" t="n">
        <v>499</v>
      </c>
      <c r="E22444" s="44" t="n">
        <v>19324.641</v>
      </c>
    </row>
    <row r="22445">
      <c r="A22445" s="39">
        <f>_xlfn.XLOOKUP(84526,Trip[shape_id],Trip[shape_id],"Não encontrado")</f>
        <v/>
      </c>
      <c r="B22445" s="40" t="n">
        <v>-23.590691</v>
      </c>
      <c r="C22445" s="40" t="n">
        <v>-46.477444</v>
      </c>
      <c r="D22445" s="40" t="n">
        <v>500</v>
      </c>
      <c r="E22445" s="41" t="n">
        <v>19362.543</v>
      </c>
    </row>
    <row r="22446">
      <c r="A22446" s="42">
        <f>_xlfn.XLOOKUP(84526,Trip[shape_id],Trip[shape_id],"Não encontrado")</f>
        <v/>
      </c>
      <c r="B22446" s="43" t="n">
        <v>-23.590878</v>
      </c>
      <c r="C22446" s="43" t="n">
        <v>-46.477133</v>
      </c>
      <c r="D22446" s="43" t="n">
        <v>501</v>
      </c>
      <c r="E22446" s="44" t="n">
        <v>19362.543</v>
      </c>
    </row>
    <row r="22447">
      <c r="A22447" s="39">
        <f>_xlfn.XLOOKUP(84526,Trip[shape_id],Trip[shape_id],"Não encontrado")</f>
        <v/>
      </c>
      <c r="B22447" s="40" t="n">
        <v>-23.591341</v>
      </c>
      <c r="C22447" s="40" t="n">
        <v>-46.476527</v>
      </c>
      <c r="D22447" s="40" t="n">
        <v>502</v>
      </c>
      <c r="E22447" s="41" t="n">
        <v>19442.889</v>
      </c>
    </row>
    <row r="22448">
      <c r="A22448" s="42">
        <f>_xlfn.XLOOKUP(84526,Trip[shape_id],Trip[shape_id],"Não encontrado")</f>
        <v/>
      </c>
      <c r="B22448" s="43" t="n">
        <v>-23.591928</v>
      </c>
      <c r="C22448" s="43" t="n">
        <v>-46.475746</v>
      </c>
      <c r="D22448" s="43" t="n">
        <v>503</v>
      </c>
      <c r="E22448" s="44" t="n">
        <v>19589.117</v>
      </c>
    </row>
    <row r="22449">
      <c r="A22449" s="39">
        <f>_xlfn.XLOOKUP(84526,Trip[shape_id],Trip[shape_id],"Não encontrado")</f>
        <v/>
      </c>
      <c r="B22449" s="40" t="n">
        <v>-23.592164</v>
      </c>
      <c r="C22449" s="40" t="n">
        <v>-46.475407</v>
      </c>
      <c r="D22449" s="40" t="n">
        <v>504</v>
      </c>
      <c r="E22449" s="41" t="n">
        <v>19631.992</v>
      </c>
    </row>
    <row r="22450">
      <c r="A22450" s="42">
        <f>_xlfn.XLOOKUP(84526,Trip[shape_id],Trip[shape_id],"Não encontrado")</f>
        <v/>
      </c>
      <c r="B22450" s="43" t="n">
        <v>-23.592365</v>
      </c>
      <c r="C22450" s="43" t="n">
        <v>-46.475048</v>
      </c>
      <c r="D22450" s="43" t="n">
        <v>505</v>
      </c>
      <c r="E22450" s="44" t="n">
        <v>19653.916</v>
      </c>
    </row>
    <row r="22451">
      <c r="A22451" s="39">
        <f>_xlfn.XLOOKUP(84526,Trip[shape_id],Trip[shape_id],"Não encontrado")</f>
        <v/>
      </c>
      <c r="B22451" s="40" t="n">
        <v>-23.592448</v>
      </c>
      <c r="C22451" s="40" t="n">
        <v>-46.474853</v>
      </c>
      <c r="D22451" s="40" t="n">
        <v>506</v>
      </c>
      <c r="E22451" s="41" t="n">
        <v>19695.637</v>
      </c>
    </row>
    <row r="22452">
      <c r="A22452" s="42">
        <f>_xlfn.XLOOKUP(84526,Trip[shape_id],Trip[shape_id],"Não encontrado")</f>
        <v/>
      </c>
      <c r="B22452" s="43" t="n">
        <v>-23.5926</v>
      </c>
      <c r="C22452" s="43" t="n">
        <v>-46.474479</v>
      </c>
      <c r="D22452" s="43" t="n">
        <v>507</v>
      </c>
      <c r="E22452" s="44" t="n">
        <v>19709.959</v>
      </c>
    </row>
    <row r="22453">
      <c r="A22453" s="39">
        <f>_xlfn.XLOOKUP(84526,Trip[shape_id],Trip[shape_id],"Não encontrado")</f>
        <v/>
      </c>
      <c r="B22453" s="40" t="n">
        <v>-23.592653</v>
      </c>
      <c r="C22453" s="40" t="n">
        <v>-46.474351</v>
      </c>
      <c r="D22453" s="40" t="n">
        <v>508</v>
      </c>
      <c r="E22453" s="41" t="n">
        <v>19743.736</v>
      </c>
    </row>
    <row r="22454">
      <c r="A22454" s="42">
        <f>_xlfn.XLOOKUP(84526,Trip[shape_id],Trip[shape_id],"Não encontrado")</f>
        <v/>
      </c>
      <c r="B22454" s="43" t="n">
        <v>-23.592752</v>
      </c>
      <c r="C22454" s="43" t="n">
        <v>-46.474038</v>
      </c>
      <c r="D22454" s="43" t="n">
        <v>509</v>
      </c>
      <c r="E22454" s="44" t="n">
        <v>19760.779</v>
      </c>
    </row>
    <row r="22455">
      <c r="A22455" s="39">
        <f>_xlfn.XLOOKUP(84526,Trip[shape_id],Trip[shape_id],"Não encontrado")</f>
        <v/>
      </c>
      <c r="B22455" s="40" t="n">
        <v>-23.592799</v>
      </c>
      <c r="C22455" s="40" t="n">
        <v>-46.473879</v>
      </c>
      <c r="D22455" s="40" t="n">
        <v>510</v>
      </c>
      <c r="E22455" s="41" t="n">
        <v>19760.779</v>
      </c>
    </row>
    <row r="22456">
      <c r="A22456" s="42">
        <f>_xlfn.XLOOKUP(84526,Trip[shape_id],Trip[shape_id],"Não encontrado")</f>
        <v/>
      </c>
      <c r="B22456" s="43" t="n">
        <v>-23.592847</v>
      </c>
      <c r="C22456" s="43" t="n">
        <v>-46.473597</v>
      </c>
      <c r="D22456" s="43" t="n">
        <v>511</v>
      </c>
      <c r="E22456" s="44" t="n">
        <v>19825.906</v>
      </c>
    </row>
    <row r="22457">
      <c r="A22457" s="39">
        <f>_xlfn.XLOOKUP(84526,Trip[shape_id],Trip[shape_id],"Não encontrado")</f>
        <v/>
      </c>
      <c r="B22457" s="40" t="n">
        <v>-23.592903</v>
      </c>
      <c r="C22457" s="40" t="n">
        <v>-46.473251</v>
      </c>
      <c r="D22457" s="40" t="n">
        <v>512</v>
      </c>
      <c r="E22457" s="41" t="n">
        <v>19840.141</v>
      </c>
    </row>
    <row r="22458">
      <c r="A22458" s="42">
        <f>_xlfn.XLOOKUP(84526,Trip[shape_id],Trip[shape_id],"Não encontrado")</f>
        <v/>
      </c>
      <c r="B22458" s="43" t="n">
        <v>-23.592927</v>
      </c>
      <c r="C22458" s="43" t="n">
        <v>-46.473114</v>
      </c>
      <c r="D22458" s="43" t="n">
        <v>513</v>
      </c>
      <c r="E22458" s="44" t="n">
        <v>19890.945</v>
      </c>
    </row>
    <row r="22459">
      <c r="A22459" s="39">
        <f>_xlfn.XLOOKUP(84526,Trip[shape_id],Trip[shape_id],"Não encontrado")</f>
        <v/>
      </c>
      <c r="B22459" s="40" t="n">
        <v>-23.592952</v>
      </c>
      <c r="C22459" s="40" t="n">
        <v>-46.472617</v>
      </c>
      <c r="D22459" s="40" t="n">
        <v>514</v>
      </c>
      <c r="E22459" s="41" t="n">
        <v>19965.496</v>
      </c>
    </row>
    <row r="22460">
      <c r="A22460" s="42">
        <f>_xlfn.XLOOKUP(84526,Trip[shape_id],Trip[shape_id],"Não encontrado")</f>
        <v/>
      </c>
      <c r="B22460" s="43" t="n">
        <v>-23.592974</v>
      </c>
      <c r="C22460" s="43" t="n">
        <v>-46.471887</v>
      </c>
      <c r="D22460" s="43" t="n">
        <v>515</v>
      </c>
      <c r="E22460" s="44" t="n">
        <v>19965.496</v>
      </c>
    </row>
    <row r="22461">
      <c r="A22461" s="39">
        <f>_xlfn.XLOOKUP(84526,Trip[shape_id],Trip[shape_id],"Não encontrado")</f>
        <v/>
      </c>
      <c r="B22461" s="40" t="n">
        <v>-23.592986</v>
      </c>
      <c r="C22461" s="40" t="n">
        <v>-46.471559</v>
      </c>
      <c r="D22461" s="40" t="n">
        <v>516</v>
      </c>
      <c r="E22461" s="41" t="n">
        <v>20076.064</v>
      </c>
    </row>
    <row r="22462">
      <c r="A22462" s="42">
        <f>_xlfn.XLOOKUP(84526,Trip[shape_id],Trip[shape_id],"Não encontrado")</f>
        <v/>
      </c>
      <c r="B22462" s="43" t="n">
        <v>-23.593022</v>
      </c>
      <c r="C22462" s="43" t="n">
        <v>-46.470805</v>
      </c>
      <c r="D22462" s="43" t="n">
        <v>517</v>
      </c>
      <c r="E22462" s="44" t="n">
        <v>20106.672</v>
      </c>
    </row>
    <row r="22463">
      <c r="A22463" s="39">
        <f>_xlfn.XLOOKUP(84526,Trip[shape_id],Trip[shape_id],"Não encontrado")</f>
        <v/>
      </c>
      <c r="B22463" s="40" t="n">
        <v>-23.593043</v>
      </c>
      <c r="C22463" s="40" t="n">
        <v>-46.470506</v>
      </c>
      <c r="D22463" s="40" t="n">
        <v>518</v>
      </c>
      <c r="E22463" s="41" t="n">
        <v>20173.98</v>
      </c>
    </row>
    <row r="22464">
      <c r="A22464" s="42">
        <f>_xlfn.XLOOKUP(84526,Trip[shape_id],Trip[shape_id],"Não encontrado")</f>
        <v/>
      </c>
      <c r="B22464" s="43" t="n">
        <v>-23.593065</v>
      </c>
      <c r="C22464" s="43" t="n">
        <v>-46.469847</v>
      </c>
      <c r="D22464" s="43" t="n">
        <v>519</v>
      </c>
      <c r="E22464" s="44" t="n">
        <v>20220.996</v>
      </c>
    </row>
    <row r="22465">
      <c r="A22465" s="39">
        <f>_xlfn.XLOOKUP(84526,Trip[shape_id],Trip[shape_id],"Não encontrado")</f>
        <v/>
      </c>
      <c r="B22465" s="40" t="n">
        <v>-23.593087</v>
      </c>
      <c r="C22465" s="40" t="n">
        <v>-46.469387</v>
      </c>
      <c r="D22465" s="40" t="n">
        <v>520</v>
      </c>
      <c r="E22465" s="41" t="n">
        <v>20320.482</v>
      </c>
    </row>
    <row r="22466">
      <c r="A22466" s="42">
        <f>_xlfn.XLOOKUP(84526,Trip[shape_id],Trip[shape_id],"Não encontrado")</f>
        <v/>
      </c>
      <c r="B22466" s="43" t="n">
        <v>-23.593121</v>
      </c>
      <c r="C22466" s="43" t="n">
        <v>-46.468413</v>
      </c>
      <c r="D22466" s="43" t="n">
        <v>521</v>
      </c>
      <c r="E22466" s="44" t="n">
        <v>20347.66</v>
      </c>
    </row>
    <row r="22467">
      <c r="A22467" s="39">
        <f>_xlfn.XLOOKUP(84526,Trip[shape_id],Trip[shape_id],"Não encontrado")</f>
        <v/>
      </c>
      <c r="B22467" s="40" t="n">
        <v>-23.593132</v>
      </c>
      <c r="C22467" s="40" t="n">
        <v>-46.468147</v>
      </c>
      <c r="D22467" s="40" t="n">
        <v>522</v>
      </c>
      <c r="E22467" s="41" t="n">
        <v>20366.861</v>
      </c>
    </row>
    <row r="22468">
      <c r="A22468" s="42">
        <f>_xlfn.XLOOKUP(84526,Trip[shape_id],Trip[shape_id],"Não encontrado")</f>
        <v/>
      </c>
      <c r="B22468" s="43" t="n">
        <v>-23.593158</v>
      </c>
      <c r="C22468" s="43" t="n">
        <v>-46.467961</v>
      </c>
      <c r="D22468" s="43" t="n">
        <v>523</v>
      </c>
      <c r="E22468" s="44" t="n">
        <v>20385.744</v>
      </c>
    </row>
    <row r="22469">
      <c r="A22469" s="39">
        <f>_xlfn.XLOOKUP(84526,Trip[shape_id],Trip[shape_id],"Não encontrado")</f>
        <v/>
      </c>
      <c r="B22469" s="40" t="n">
        <v>-23.593183</v>
      </c>
      <c r="C22469" s="40" t="n">
        <v>-46.467778</v>
      </c>
      <c r="D22469" s="40" t="n">
        <v>524</v>
      </c>
      <c r="E22469" s="41" t="n">
        <v>20397.168</v>
      </c>
    </row>
    <row r="22470">
      <c r="A22470" s="42">
        <f>_xlfn.XLOOKUP(84526,Trip[shape_id],Trip[shape_id],"Não encontrado")</f>
        <v/>
      </c>
      <c r="B22470" s="43" t="n">
        <v>-23.593202</v>
      </c>
      <c r="C22470" s="43" t="n">
        <v>-46.467668</v>
      </c>
      <c r="D22470" s="43" t="n">
        <v>525</v>
      </c>
      <c r="E22470" s="44" t="n">
        <v>20441.279</v>
      </c>
    </row>
    <row r="22471">
      <c r="A22471" s="39">
        <f>_xlfn.XLOOKUP(84526,Trip[shape_id],Trip[shape_id],"Não encontrado")</f>
        <v/>
      </c>
      <c r="B22471" s="40" t="n">
        <v>-23.593341</v>
      </c>
      <c r="C22471" s="40" t="n">
        <v>-46.467263</v>
      </c>
      <c r="D22471" s="40" t="n">
        <v>526</v>
      </c>
      <c r="E22471" s="41" t="n">
        <v>20476.211</v>
      </c>
    </row>
    <row r="22472">
      <c r="A22472" s="42">
        <f>_xlfn.XLOOKUP(84526,Trip[shape_id],Trip[shape_id],"Não encontrado")</f>
        <v/>
      </c>
      <c r="B22472" s="43" t="n">
        <v>-23.593504</v>
      </c>
      <c r="C22472" s="43" t="n">
        <v>-46.46697</v>
      </c>
      <c r="D22472" s="43" t="n">
        <v>527</v>
      </c>
      <c r="E22472" s="44" t="n">
        <v>20505.074</v>
      </c>
    </row>
    <row r="22473">
      <c r="A22473" s="39">
        <f>_xlfn.XLOOKUP(84526,Trip[shape_id],Trip[shape_id],"Não encontrado")</f>
        <v/>
      </c>
      <c r="B22473" s="40" t="n">
        <v>-23.59367</v>
      </c>
      <c r="C22473" s="40" t="n">
        <v>-46.466752</v>
      </c>
      <c r="D22473" s="40" t="n">
        <v>528</v>
      </c>
      <c r="E22473" s="41" t="n">
        <v>20515.809</v>
      </c>
    </row>
    <row r="22474">
      <c r="A22474" s="42">
        <f>_xlfn.XLOOKUP(84526,Trip[shape_id],Trip[shape_id],"Não encontrado")</f>
        <v/>
      </c>
      <c r="B22474" s="43" t="n">
        <v>-23.593737</v>
      </c>
      <c r="C22474" s="43" t="n">
        <v>-46.466676</v>
      </c>
      <c r="D22474" s="43" t="n">
        <v>529</v>
      </c>
      <c r="E22474" s="44" t="n">
        <v>20541.1</v>
      </c>
    </row>
    <row r="22475">
      <c r="A22475" s="39">
        <f>_xlfn.XLOOKUP(84526,Trip[shape_id],Trip[shape_id],"Não encontrado")</f>
        <v/>
      </c>
      <c r="B22475" s="40" t="n">
        <v>-23.593904</v>
      </c>
      <c r="C22475" s="40" t="n">
        <v>-46.466507</v>
      </c>
      <c r="D22475" s="40" t="n">
        <v>530</v>
      </c>
      <c r="E22475" s="41" t="n">
        <v>20572.658</v>
      </c>
    </row>
    <row r="22476">
      <c r="A22476" s="42">
        <f>_xlfn.XLOOKUP(84526,Trip[shape_id],Trip[shape_id],"Não encontrado")</f>
        <v/>
      </c>
      <c r="B22476" s="43" t="n">
        <v>-23.594137</v>
      </c>
      <c r="C22476" s="43" t="n">
        <v>-46.466329</v>
      </c>
      <c r="D22476" s="43" t="n">
        <v>531</v>
      </c>
      <c r="E22476" s="44" t="n">
        <v>20606.531</v>
      </c>
    </row>
    <row r="22477">
      <c r="A22477" s="39">
        <f>_xlfn.XLOOKUP(84526,Trip[shape_id],Trip[shape_id],"Não encontrado")</f>
        <v/>
      </c>
      <c r="B22477" s="40" t="n">
        <v>-23.594413</v>
      </c>
      <c r="C22477" s="40" t="n">
        <v>-46.466186</v>
      </c>
      <c r="D22477" s="40" t="n">
        <v>532</v>
      </c>
      <c r="E22477" s="41" t="n">
        <v>20641.336</v>
      </c>
    </row>
    <row r="22478">
      <c r="A22478" s="42">
        <f>_xlfn.XLOOKUP(84526,Trip[shape_id],Trip[shape_id],"Não encontrado")</f>
        <v/>
      </c>
      <c r="B22478" s="43" t="n">
        <v>-23.594714</v>
      </c>
      <c r="C22478" s="43" t="n">
        <v>-46.466088</v>
      </c>
      <c r="D22478" s="43" t="n">
        <v>533</v>
      </c>
      <c r="E22478" s="44" t="n">
        <v>20683.238</v>
      </c>
    </row>
    <row r="22479">
      <c r="A22479" s="39">
        <f>_xlfn.XLOOKUP(84526,Trip[shape_id],Trip[shape_id],"Não encontrado")</f>
        <v/>
      </c>
      <c r="B22479" s="40" t="n">
        <v>-23.595088</v>
      </c>
      <c r="C22479" s="40" t="n">
        <v>-46.466026</v>
      </c>
      <c r="D22479" s="40" t="n">
        <v>534</v>
      </c>
      <c r="E22479" s="41" t="n">
        <v>20683.238</v>
      </c>
    </row>
    <row r="22480">
      <c r="A22480" s="42">
        <f>_xlfn.XLOOKUP(84526,Trip[shape_id],Trip[shape_id],"Não encontrado")</f>
        <v/>
      </c>
      <c r="B22480" s="43" t="n">
        <v>-23.595178</v>
      </c>
      <c r="C22480" s="43" t="n">
        <v>-46.46602</v>
      </c>
      <c r="D22480" s="43" t="n">
        <v>535</v>
      </c>
      <c r="E22480" s="44" t="n">
        <v>20718.033</v>
      </c>
    </row>
    <row r="22481">
      <c r="A22481" s="39">
        <f>_xlfn.XLOOKUP(84526,Trip[shape_id],Trip[shape_id],"Não encontrado")</f>
        <v/>
      </c>
      <c r="B22481" s="40" t="n">
        <v>-23.595402</v>
      </c>
      <c r="C22481" s="40" t="n">
        <v>-46.466019</v>
      </c>
      <c r="D22481" s="40" t="n">
        <v>536</v>
      </c>
      <c r="E22481" s="41" t="n">
        <v>20733.721</v>
      </c>
    </row>
    <row r="22482">
      <c r="A22482" s="42">
        <f>_xlfn.XLOOKUP(84526,Trip[shape_id],Trip[shape_id],"Não encontrado")</f>
        <v/>
      </c>
      <c r="B22482" s="43" t="n">
        <v>-23.595538</v>
      </c>
      <c r="C22482" s="43" t="n">
        <v>-46.466062</v>
      </c>
      <c r="D22482" s="43" t="n">
        <v>537</v>
      </c>
      <c r="E22482" s="44" t="n">
        <v>20757.049</v>
      </c>
    </row>
    <row r="22483">
      <c r="A22483" s="39">
        <f>_xlfn.XLOOKUP(84526,Trip[shape_id],Trip[shape_id],"Não encontrado")</f>
        <v/>
      </c>
      <c r="B22483" s="40" t="n">
        <v>-23.595741</v>
      </c>
      <c r="C22483" s="40" t="n">
        <v>-46.466123</v>
      </c>
      <c r="D22483" s="40" t="n">
        <v>538</v>
      </c>
      <c r="E22483" s="41" t="n">
        <v>20771.457</v>
      </c>
    </row>
    <row r="22484">
      <c r="A22484" s="42">
        <f>_xlfn.XLOOKUP(84526,Trip[shape_id],Trip[shape_id],"Não encontrado")</f>
        <v/>
      </c>
      <c r="B22484" s="43" t="n">
        <v>-23.595863</v>
      </c>
      <c r="C22484" s="43" t="n">
        <v>-46.466172</v>
      </c>
      <c r="D22484" s="43" t="n">
        <v>539</v>
      </c>
      <c r="E22484" s="44" t="n">
        <v>20791.27</v>
      </c>
    </row>
    <row r="22485">
      <c r="A22485" s="39">
        <f>_xlfn.XLOOKUP(84526,Trip[shape_id],Trip[shape_id],"Não encontrado")</f>
        <v/>
      </c>
      <c r="B22485" s="40" t="n">
        <v>-23.596026</v>
      </c>
      <c r="C22485" s="40" t="n">
        <v>-46.466252</v>
      </c>
      <c r="D22485" s="40" t="n">
        <v>540</v>
      </c>
      <c r="E22485" s="41" t="n">
        <v>20826.57</v>
      </c>
    </row>
    <row r="22486">
      <c r="A22486" s="42">
        <f>_xlfn.XLOOKUP(84526,Trip[shape_id],Trip[shape_id],"Não encontrado")</f>
        <v/>
      </c>
      <c r="B22486" s="43" t="n">
        <v>-23.59631</v>
      </c>
      <c r="C22486" s="43" t="n">
        <v>-46.466409</v>
      </c>
      <c r="D22486" s="43" t="n">
        <v>541</v>
      </c>
      <c r="E22486" s="44" t="n">
        <v>20862.523</v>
      </c>
    </row>
    <row r="22487">
      <c r="A22487" s="39">
        <f>_xlfn.XLOOKUP(84526,Trip[shape_id],Trip[shape_id],"Não encontrado")</f>
        <v/>
      </c>
      <c r="B22487" s="40" t="n">
        <v>-23.596565</v>
      </c>
      <c r="C22487" s="40" t="n">
        <v>-46.466627</v>
      </c>
      <c r="D22487" s="40" t="n">
        <v>542</v>
      </c>
      <c r="E22487" s="41" t="n">
        <v>20910.361</v>
      </c>
    </row>
    <row r="22488">
      <c r="A22488" s="42">
        <f>_xlfn.XLOOKUP(84526,Trip[shape_id],Trip[shape_id],"Não encontrado")</f>
        <v/>
      </c>
      <c r="B22488" s="43" t="n">
        <v>-23.596884</v>
      </c>
      <c r="C22488" s="43" t="n">
        <v>-46.466943</v>
      </c>
      <c r="D22488" s="43" t="n">
        <v>543</v>
      </c>
      <c r="E22488" s="44" t="n">
        <v>20956.199</v>
      </c>
    </row>
    <row r="22489">
      <c r="A22489" s="39">
        <f>_xlfn.XLOOKUP(84526,Trip[shape_id],Trip[shape_id],"Não encontrado")</f>
        <v/>
      </c>
      <c r="B22489" s="40" t="n">
        <v>-23.597192</v>
      </c>
      <c r="C22489" s="40" t="n">
        <v>-46.467243</v>
      </c>
      <c r="D22489" s="40" t="n">
        <v>544</v>
      </c>
      <c r="E22489" s="41" t="n">
        <v>20956.199</v>
      </c>
    </row>
    <row r="22490">
      <c r="A22490" s="42">
        <f>_xlfn.XLOOKUP(84526,Trip[shape_id],Trip[shape_id],"Não encontrado")</f>
        <v/>
      </c>
      <c r="B22490" s="43" t="n">
        <v>-23.597365</v>
      </c>
      <c r="C22490" s="43" t="n">
        <v>-46.467412</v>
      </c>
      <c r="D22490" s="43" t="n">
        <v>545</v>
      </c>
      <c r="E22490" s="44" t="n">
        <v>21005.18</v>
      </c>
    </row>
    <row r="22491">
      <c r="A22491" s="39">
        <f>_xlfn.XLOOKUP(84526,Trip[shape_id],Trip[shape_id],"Não encontrado")</f>
        <v/>
      </c>
      <c r="B22491" s="40" t="n">
        <v>-23.597511</v>
      </c>
      <c r="C22491" s="40" t="n">
        <v>-46.467575</v>
      </c>
      <c r="D22491" s="40" t="n">
        <v>546</v>
      </c>
      <c r="E22491" s="41" t="n">
        <v>21041.627</v>
      </c>
    </row>
    <row r="22492">
      <c r="A22492" s="42">
        <f>_xlfn.XLOOKUP(84526,Trip[shape_id],Trip[shape_id],"Não encontrado")</f>
        <v/>
      </c>
      <c r="B22492" s="43" t="n">
        <v>-23.597753</v>
      </c>
      <c r="C22492" s="43" t="n">
        <v>-46.467817</v>
      </c>
      <c r="D22492" s="43" t="n">
        <v>547</v>
      </c>
      <c r="E22492" s="44" t="n">
        <v>21041.627</v>
      </c>
    </row>
    <row r="22493">
      <c r="A22493" s="39">
        <f>_xlfn.XLOOKUP(84526,Trip[shape_id],Trip[shape_id],"Não encontrado")</f>
        <v/>
      </c>
      <c r="B22493" s="40" t="n">
        <v>-23.59831</v>
      </c>
      <c r="C22493" s="40" t="n">
        <v>-46.468366</v>
      </c>
      <c r="D22493" s="40" t="n">
        <v>548</v>
      </c>
      <c r="E22493" s="41" t="n">
        <v>21124.965</v>
      </c>
    </row>
    <row r="22494">
      <c r="A22494" s="42">
        <f>_xlfn.XLOOKUP(84526,Trip[shape_id],Trip[shape_id],"Não encontrado")</f>
        <v/>
      </c>
      <c r="B22494" s="43" t="n">
        <v>-23.598383</v>
      </c>
      <c r="C22494" s="43" t="n">
        <v>-46.468329</v>
      </c>
      <c r="D22494" s="43" t="n">
        <v>549</v>
      </c>
      <c r="E22494" s="44" t="n">
        <v>21142.75</v>
      </c>
    </row>
    <row r="22495">
      <c r="A22495" s="39">
        <f>_xlfn.XLOOKUP(84526,Trip[shape_id],Trip[shape_id],"Não encontrado")</f>
        <v/>
      </c>
      <c r="B22495" s="40" t="n">
        <v>-23.598454</v>
      </c>
      <c r="C22495" s="40" t="n">
        <v>-46.468289</v>
      </c>
      <c r="D22495" s="40" t="n">
        <v>550</v>
      </c>
      <c r="E22495" s="41" t="n">
        <v>21149.469</v>
      </c>
    </row>
    <row r="22496">
      <c r="A22496" s="42">
        <f>_xlfn.XLOOKUP(84526,Trip[shape_id],Trip[shape_id],"Não encontrado")</f>
        <v/>
      </c>
      <c r="B22496" s="43" t="n">
        <v>-23.598508</v>
      </c>
      <c r="C22496" s="43" t="n">
        <v>-46.468259</v>
      </c>
      <c r="D22496" s="43" t="n">
        <v>551</v>
      </c>
      <c r="E22496" s="44" t="n">
        <v>21158.748</v>
      </c>
    </row>
    <row r="22497">
      <c r="A22497" s="39">
        <f>_xlfn.XLOOKUP(84526,Trip[shape_id],Trip[shape_id],"Não encontrado")</f>
        <v/>
      </c>
      <c r="B22497" s="40" t="n">
        <v>-23.598574</v>
      </c>
      <c r="C22497" s="40" t="n">
        <v>-46.468203</v>
      </c>
      <c r="D22497" s="40" t="n">
        <v>552</v>
      </c>
      <c r="E22497" s="41" t="n">
        <v>21158.748</v>
      </c>
    </row>
    <row r="22498">
      <c r="A22498" s="42">
        <f>_xlfn.XLOOKUP(84526,Trip[shape_id],Trip[shape_id],"Não encontrado")</f>
        <v/>
      </c>
      <c r="B22498" s="43" t="n">
        <v>-23.598637</v>
      </c>
      <c r="C22498" s="43" t="n">
        <v>-46.468145</v>
      </c>
      <c r="D22498" s="43" t="n">
        <v>553</v>
      </c>
      <c r="E22498" s="44" t="n">
        <v>21176.295</v>
      </c>
    </row>
    <row r="22499">
      <c r="A22499" s="39">
        <f>_xlfn.XLOOKUP(84526,Trip[shape_id],Trip[shape_id],"Não encontrado")</f>
        <v/>
      </c>
      <c r="B22499" s="40" t="n">
        <v>-23.598681</v>
      </c>
      <c r="C22499" s="40" t="n">
        <v>-46.468078</v>
      </c>
      <c r="D22499" s="40" t="n">
        <v>554</v>
      </c>
      <c r="E22499" s="41" t="n">
        <v>21182.879</v>
      </c>
    </row>
    <row r="22500">
      <c r="A22500" s="42">
        <f>_xlfn.XLOOKUP(84526,Trip[shape_id],Trip[shape_id],"Não encontrado")</f>
        <v/>
      </c>
      <c r="B22500" s="43" t="n">
        <v>-23.598705</v>
      </c>
      <c r="C22500" s="43" t="n">
        <v>-46.468019</v>
      </c>
      <c r="D22500" s="43" t="n">
        <v>555</v>
      </c>
      <c r="E22500" s="44" t="n">
        <v>21182.879</v>
      </c>
    </row>
    <row r="22501">
      <c r="A22501" s="39">
        <f>_xlfn.XLOOKUP(84526,Trip[shape_id],Trip[shape_id],"Não encontrado")</f>
        <v/>
      </c>
      <c r="B22501" s="40" t="n">
        <v>-23.598681</v>
      </c>
      <c r="C22501" s="40" t="n">
        <v>-46.467854</v>
      </c>
      <c r="D22501" s="40" t="n">
        <v>556</v>
      </c>
      <c r="E22501" s="41" t="n">
        <v>21216.037</v>
      </c>
    </row>
    <row r="22502">
      <c r="A22502" s="42">
        <f>_xlfn.XLOOKUP(84526,Trip[shape_id],Trip[shape_id],"Não encontrado")</f>
        <v/>
      </c>
      <c r="B22502" s="43" t="n">
        <v>-23.598666</v>
      </c>
      <c r="C22502" s="43" t="n">
        <v>-46.467697</v>
      </c>
      <c r="D22502" s="43" t="n">
        <v>557</v>
      </c>
      <c r="E22502" s="44" t="n">
        <v>21230.439</v>
      </c>
    </row>
    <row r="22503">
      <c r="A22503" s="39">
        <f>_xlfn.XLOOKUP(84526,Trip[shape_id],Trip[shape_id],"Não encontrado")</f>
        <v/>
      </c>
      <c r="B22503" s="40" t="n">
        <v>-23.598671</v>
      </c>
      <c r="C22503" s="40" t="n">
        <v>-46.467556</v>
      </c>
      <c r="D22503" s="40" t="n">
        <v>558</v>
      </c>
      <c r="E22503" s="41" t="n">
        <v>21251.039</v>
      </c>
    </row>
    <row r="22504">
      <c r="A22504" s="42">
        <f>_xlfn.XLOOKUP(84526,Trip[shape_id],Trip[shape_id],"Não encontrado")</f>
        <v/>
      </c>
      <c r="B22504" s="43" t="n">
        <v>-23.598696</v>
      </c>
      <c r="C22504" s="43" t="n">
        <v>-46.467356</v>
      </c>
      <c r="D22504" s="43" t="n">
        <v>559</v>
      </c>
      <c r="E22504" s="44" t="n">
        <v>21285.502</v>
      </c>
    </row>
    <row r="22505">
      <c r="A22505" s="39">
        <f>_xlfn.XLOOKUP(84526,Trip[shape_id],Trip[shape_id],"Não encontrado")</f>
        <v/>
      </c>
      <c r="B22505" s="40" t="n">
        <v>-23.598735</v>
      </c>
      <c r="C22505" s="40" t="n">
        <v>-46.467021</v>
      </c>
      <c r="D22505" s="40" t="n">
        <v>560</v>
      </c>
      <c r="E22505" s="41" t="n">
        <v>21321.822</v>
      </c>
    </row>
    <row r="22506">
      <c r="A22506" s="42">
        <f>_xlfn.XLOOKUP(84526,Trip[shape_id],Trip[shape_id],"Não encontrado")</f>
        <v/>
      </c>
      <c r="B22506" s="43" t="n">
        <v>-23.598789</v>
      </c>
      <c r="C22506" s="43" t="n">
        <v>-46.46667</v>
      </c>
      <c r="D22506" s="43" t="n">
        <v>561</v>
      </c>
      <c r="E22506" s="44" t="n">
        <v>21321.822</v>
      </c>
    </row>
    <row r="22507">
      <c r="A22507" s="39">
        <f>_xlfn.XLOOKUP(84526,Trip[shape_id],Trip[shape_id],"Não encontrado")</f>
        <v/>
      </c>
      <c r="B22507" s="40" t="n">
        <v>-23.598832</v>
      </c>
      <c r="C22507" s="40" t="n">
        <v>-46.466237</v>
      </c>
      <c r="D22507" s="40" t="n">
        <v>562</v>
      </c>
      <c r="E22507" s="41" t="n">
        <v>21366.271</v>
      </c>
    </row>
    <row r="22508">
      <c r="A22508" s="42">
        <f>_xlfn.XLOOKUP(84526,Trip[shape_id],Trip[shape_id],"Não encontrado")</f>
        <v/>
      </c>
      <c r="B22508" s="43" t="n">
        <v>-23.598822</v>
      </c>
      <c r="C22508" s="43" t="n">
        <v>-46.465843</v>
      </c>
      <c r="D22508" s="43" t="n">
        <v>563</v>
      </c>
      <c r="E22508" s="44" t="n">
        <v>21513.201</v>
      </c>
    </row>
    <row r="22509">
      <c r="A22509" s="39">
        <f>_xlfn.XLOOKUP(84526,Trip[shape_id],Trip[shape_id],"Não encontrado")</f>
        <v/>
      </c>
      <c r="B22509" s="40" t="n">
        <v>-23.598724</v>
      </c>
      <c r="C22509" s="40" t="n">
        <v>-46.464803</v>
      </c>
      <c r="D22509" s="40" t="n">
        <v>564</v>
      </c>
      <c r="E22509" s="41" t="n">
        <v>21561.244</v>
      </c>
    </row>
    <row r="22510">
      <c r="A22510" s="42">
        <f>_xlfn.XLOOKUP(84526,Trip[shape_id],Trip[shape_id],"Não encontrado")</f>
        <v/>
      </c>
      <c r="B22510" s="43" t="n">
        <v>-23.598687</v>
      </c>
      <c r="C22510" s="43" t="n">
        <v>-46.464334</v>
      </c>
      <c r="D22510" s="43" t="n">
        <v>565</v>
      </c>
      <c r="E22510" s="44" t="n">
        <v>21589.969</v>
      </c>
    </row>
    <row r="22511">
      <c r="A22511" s="39">
        <f>_xlfn.XLOOKUP(84526,Trip[shape_id],Trip[shape_id],"Não encontrado")</f>
        <v/>
      </c>
      <c r="B22511" s="40" t="n">
        <v>-23.598653</v>
      </c>
      <c r="C22511" s="40" t="n">
        <v>-46.464055</v>
      </c>
      <c r="D22511" s="40" t="n">
        <v>566</v>
      </c>
      <c r="E22511" s="41" t="n">
        <v>21607.576</v>
      </c>
    </row>
    <row r="22512">
      <c r="A22512" s="42">
        <f>_xlfn.XLOOKUP(84526,Trip[shape_id],Trip[shape_id],"Não encontrado")</f>
        <v/>
      </c>
      <c r="B22512" s="43" t="n">
        <v>-23.598632</v>
      </c>
      <c r="C22512" s="43" t="n">
        <v>-46.463884</v>
      </c>
      <c r="D22512" s="43" t="n">
        <v>567</v>
      </c>
      <c r="E22512" s="44" t="n">
        <v>21607.576</v>
      </c>
    </row>
    <row r="22513">
      <c r="A22513" s="39">
        <f>_xlfn.XLOOKUP(84526,Trip[shape_id],Trip[shape_id],"Não encontrado")</f>
        <v/>
      </c>
      <c r="B22513" s="40" t="n">
        <v>-23.598599</v>
      </c>
      <c r="C22513" s="40" t="n">
        <v>-46.463664</v>
      </c>
      <c r="D22513" s="40" t="n">
        <v>568</v>
      </c>
      <c r="E22513" s="41" t="n">
        <v>21630.326</v>
      </c>
    </row>
    <row r="22514">
      <c r="A22514" s="42">
        <f>_xlfn.XLOOKUP(84526,Trip[shape_id],Trip[shape_id],"Não encontrado")</f>
        <v/>
      </c>
      <c r="B22514" s="43" t="n">
        <v>-23.598551</v>
      </c>
      <c r="C22514" s="43" t="n">
        <v>-46.46337</v>
      </c>
      <c r="D22514" s="43" t="n">
        <v>569</v>
      </c>
      <c r="E22514" s="44" t="n">
        <v>21660.801</v>
      </c>
    </row>
    <row r="22515">
      <c r="A22515" s="39">
        <f>_xlfn.XLOOKUP(84526,Trip[shape_id],Trip[shape_id],"Não encontrado")</f>
        <v/>
      </c>
      <c r="B22515" s="40" t="n">
        <v>-23.598413</v>
      </c>
      <c r="C22515" s="40" t="n">
        <v>-46.462655</v>
      </c>
      <c r="D22515" s="40" t="n">
        <v>570</v>
      </c>
      <c r="E22515" s="41" t="n">
        <v>21735.361</v>
      </c>
    </row>
    <row r="22516">
      <c r="A22516" s="42">
        <f>_xlfn.XLOOKUP(84526,Trip[shape_id],Trip[shape_id],"Não encontrado")</f>
        <v/>
      </c>
      <c r="B22516" s="43" t="n">
        <v>-23.598387</v>
      </c>
      <c r="C22516" s="43" t="n">
        <v>-46.462548</v>
      </c>
      <c r="D22516" s="43" t="n">
        <v>571</v>
      </c>
      <c r="E22516" s="44" t="n">
        <v>21746.654</v>
      </c>
    </row>
    <row r="22517">
      <c r="A22517" s="39">
        <f>_xlfn.XLOOKUP(84526,Trip[shape_id],Trip[shape_id],"Não encontrado")</f>
        <v/>
      </c>
      <c r="B22517" s="40" t="n">
        <v>-23.598368</v>
      </c>
      <c r="C22517" s="40" t="n">
        <v>-46.462439</v>
      </c>
      <c r="D22517" s="40" t="n">
        <v>572</v>
      </c>
      <c r="E22517" s="41" t="n">
        <v>21757.977</v>
      </c>
    </row>
    <row r="22518">
      <c r="A22518" s="42">
        <f>_xlfn.XLOOKUP(84526,Trip[shape_id],Trip[shape_id],"Não encontrado")</f>
        <v/>
      </c>
      <c r="B22518" s="43" t="n">
        <v>-23.598347</v>
      </c>
      <c r="C22518" s="43" t="n">
        <v>-46.462297</v>
      </c>
      <c r="D22518" s="43" t="n">
        <v>573</v>
      </c>
      <c r="E22518" s="44" t="n">
        <v>21772.654</v>
      </c>
    </row>
    <row r="22519">
      <c r="A22519" s="39">
        <f>_xlfn.XLOOKUP(84526,Trip[shape_id],Trip[shape_id],"Não encontrado")</f>
        <v/>
      </c>
      <c r="B22519" s="40" t="n">
        <v>-23.598339</v>
      </c>
      <c r="C22519" s="40" t="n">
        <v>-46.462181</v>
      </c>
      <c r="D22519" s="40" t="n">
        <v>574</v>
      </c>
      <c r="E22519" s="41" t="n">
        <v>21784.527</v>
      </c>
    </row>
    <row r="22520">
      <c r="A22520" s="42">
        <f>_xlfn.XLOOKUP(84526,Trip[shape_id],Trip[shape_id],"Não encontrado")</f>
        <v/>
      </c>
      <c r="B22520" s="43" t="n">
        <v>-23.598343</v>
      </c>
      <c r="C22520" s="43" t="n">
        <v>-46.462045</v>
      </c>
      <c r="D22520" s="43" t="n">
        <v>575</v>
      </c>
      <c r="E22520" s="44" t="n">
        <v>21798.416</v>
      </c>
    </row>
    <row r="22521">
      <c r="A22521" s="39">
        <f>_xlfn.XLOOKUP(84526,Trip[shape_id],Trip[shape_id],"Não encontrado")</f>
        <v/>
      </c>
      <c r="B22521" s="40" t="n">
        <v>-23.598347</v>
      </c>
      <c r="C22521" s="40" t="n">
        <v>-46.461937</v>
      </c>
      <c r="D22521" s="40" t="n">
        <v>576</v>
      </c>
      <c r="E22521" s="41" t="n">
        <v>21809.447</v>
      </c>
    </row>
    <row r="22522">
      <c r="A22522" s="42">
        <f>_xlfn.XLOOKUP(84526,Trip[shape_id],Trip[shape_id],"Não encontrado")</f>
        <v/>
      </c>
      <c r="B22522" s="43" t="n">
        <v>-23.598372</v>
      </c>
      <c r="C22522" s="43" t="n">
        <v>-46.461748</v>
      </c>
      <c r="D22522" s="43" t="n">
        <v>577</v>
      </c>
      <c r="E22522" s="44" t="n">
        <v>21828.936</v>
      </c>
    </row>
    <row r="22523">
      <c r="A22523" s="39">
        <f>_xlfn.XLOOKUP(84526,Trip[shape_id],Trip[shape_id],"Não encontrado")</f>
        <v/>
      </c>
      <c r="B22523" s="40" t="n">
        <v>-23.598402</v>
      </c>
      <c r="C22523" s="40" t="n">
        <v>-46.461544</v>
      </c>
      <c r="D22523" s="40" t="n">
        <v>578</v>
      </c>
      <c r="E22523" s="41" t="n">
        <v>21850.02</v>
      </c>
    </row>
    <row r="22524">
      <c r="A22524" s="42">
        <f>_xlfn.XLOOKUP(84526,Trip[shape_id],Trip[shape_id],"Não encontrado")</f>
        <v/>
      </c>
      <c r="B22524" s="43" t="n">
        <v>-23.598501</v>
      </c>
      <c r="C22524" s="43" t="n">
        <v>-46.46116</v>
      </c>
      <c r="D22524" s="43" t="n">
        <v>579</v>
      </c>
      <c r="E22524" s="44" t="n">
        <v>21890.717</v>
      </c>
    </row>
    <row r="22525">
      <c r="A22525" s="39">
        <f>_xlfn.XLOOKUP(84526,Trip[shape_id],Trip[shape_id],"Não encontrado")</f>
        <v/>
      </c>
      <c r="B22525" s="40" t="n">
        <v>-23.598563</v>
      </c>
      <c r="C22525" s="40" t="n">
        <v>-46.460916</v>
      </c>
      <c r="D22525" s="40" t="n">
        <v>580</v>
      </c>
      <c r="E22525" s="41" t="n">
        <v>21916.551</v>
      </c>
    </row>
    <row r="22526">
      <c r="A22526" s="42">
        <f>_xlfn.XLOOKUP(84526,Trip[shape_id],Trip[shape_id],"Não encontrado")</f>
        <v/>
      </c>
      <c r="B22526" s="43" t="n">
        <v>-23.598589</v>
      </c>
      <c r="C22526" s="43" t="n">
        <v>-46.460716</v>
      </c>
      <c r="D22526" s="43" t="n">
        <v>581</v>
      </c>
      <c r="E22526" s="44" t="n">
        <v>21937.166</v>
      </c>
    </row>
    <row r="22527">
      <c r="A22527" s="39">
        <f>_xlfn.XLOOKUP(84526,Trip[shape_id],Trip[shape_id],"Não encontrado")</f>
        <v/>
      </c>
      <c r="B22527" s="40" t="n">
        <v>-23.598604</v>
      </c>
      <c r="C22527" s="40" t="n">
        <v>-46.460563</v>
      </c>
      <c r="D22527" s="40" t="n">
        <v>582</v>
      </c>
      <c r="E22527" s="41" t="n">
        <v>21952.871</v>
      </c>
    </row>
    <row r="22528">
      <c r="A22528" s="42">
        <f>_xlfn.XLOOKUP(84526,Trip[shape_id],Trip[shape_id],"Não encontrado")</f>
        <v/>
      </c>
      <c r="B22528" s="43" t="n">
        <v>-23.5986</v>
      </c>
      <c r="C22528" s="43" t="n">
        <v>-46.460435</v>
      </c>
      <c r="D22528" s="43" t="n">
        <v>583</v>
      </c>
      <c r="E22528" s="44" t="n">
        <v>21965.943</v>
      </c>
    </row>
    <row r="22529">
      <c r="A22529" s="39">
        <f>_xlfn.XLOOKUP(84526,Trip[shape_id],Trip[shape_id],"Não encontrado")</f>
        <v/>
      </c>
      <c r="B22529" s="40" t="n">
        <v>-23.598589</v>
      </c>
      <c r="C22529" s="40" t="n">
        <v>-46.460299</v>
      </c>
      <c r="D22529" s="40" t="n">
        <v>584</v>
      </c>
      <c r="E22529" s="41" t="n">
        <v>21979.877</v>
      </c>
    </row>
    <row r="22530">
      <c r="A22530" s="42">
        <f>_xlfn.XLOOKUP(84526,Trip[shape_id],Trip[shape_id],"Não encontrado")</f>
        <v/>
      </c>
      <c r="B22530" s="43" t="n">
        <v>-23.598563</v>
      </c>
      <c r="C22530" s="43" t="n">
        <v>-46.460147</v>
      </c>
      <c r="D22530" s="43" t="n">
        <v>585</v>
      </c>
      <c r="E22530" s="44" t="n">
        <v>21995.656</v>
      </c>
    </row>
    <row r="22531">
      <c r="A22531" s="39">
        <f>_xlfn.XLOOKUP(84526,Trip[shape_id],Trip[shape_id],"Não encontrado")</f>
        <v/>
      </c>
      <c r="B22531" s="40" t="n">
        <v>-23.59853</v>
      </c>
      <c r="C22531" s="40" t="n">
        <v>-46.460003</v>
      </c>
      <c r="D22531" s="40" t="n">
        <v>586</v>
      </c>
      <c r="E22531" s="41" t="n">
        <v>22010.801</v>
      </c>
    </row>
    <row r="22532">
      <c r="A22532" s="42">
        <f>_xlfn.XLOOKUP(84526,Trip[shape_id],Trip[shape_id],"Não encontrado")</f>
        <v/>
      </c>
      <c r="B22532" s="43" t="n">
        <v>-23.598417</v>
      </c>
      <c r="C22532" s="43" t="n">
        <v>-46.459655</v>
      </c>
      <c r="D22532" s="43" t="n">
        <v>587</v>
      </c>
      <c r="E22532" s="44" t="n">
        <v>22048.459</v>
      </c>
    </row>
    <row r="22533">
      <c r="A22533" s="39">
        <f>_xlfn.XLOOKUP(84526,Trip[shape_id],Trip[shape_id],"Não encontrado")</f>
        <v/>
      </c>
      <c r="B22533" s="40" t="n">
        <v>-23.598336</v>
      </c>
      <c r="C22533" s="40" t="n">
        <v>-46.459451</v>
      </c>
      <c r="D22533" s="40" t="n">
        <v>588</v>
      </c>
      <c r="E22533" s="41" t="n">
        <v>22071.131</v>
      </c>
    </row>
    <row r="22534">
      <c r="A22534" s="42">
        <f>_xlfn.XLOOKUP(84526,Trip[shape_id],Trip[shape_id],"Não encontrado")</f>
        <v/>
      </c>
      <c r="B22534" s="43" t="n">
        <v>-23.598182</v>
      </c>
      <c r="C22534" s="43" t="n">
        <v>-46.459155</v>
      </c>
      <c r="D22534" s="43" t="n">
        <v>589</v>
      </c>
      <c r="E22534" s="44" t="n">
        <v>22105.824</v>
      </c>
    </row>
    <row r="22535">
      <c r="A22535" s="39">
        <f>_xlfn.XLOOKUP(84526,Trip[shape_id],Trip[shape_id],"Não encontrado")</f>
        <v/>
      </c>
      <c r="B22535" s="40" t="n">
        <v>-23.59809</v>
      </c>
      <c r="C22535" s="40" t="n">
        <v>-46.458983</v>
      </c>
      <c r="D22535" s="40" t="n">
        <v>590</v>
      </c>
      <c r="E22535" s="41" t="n">
        <v>22138.643</v>
      </c>
    </row>
    <row r="22536">
      <c r="A22536" s="42">
        <f>_xlfn.XLOOKUP(84526,Trip[shape_id],Trip[shape_id],"Não encontrado")</f>
        <v/>
      </c>
      <c r="B22536" s="43" t="n">
        <v>-23.598046</v>
      </c>
      <c r="C22536" s="43" t="n">
        <v>-46.45887</v>
      </c>
      <c r="D22536" s="43" t="n">
        <v>591</v>
      </c>
      <c r="E22536" s="44" t="n">
        <v>22150.744</v>
      </c>
    </row>
    <row r="22537">
      <c r="A22537" s="39">
        <f>_xlfn.XLOOKUP(84526,Trip[shape_id],Trip[shape_id],"Não encontrado")</f>
        <v/>
      </c>
      <c r="B22537" s="40" t="n">
        <v>-23.598003</v>
      </c>
      <c r="C22537" s="40" t="n">
        <v>-46.458761</v>
      </c>
      <c r="D22537" s="40" t="n">
        <v>592</v>
      </c>
      <c r="E22537" s="41" t="n">
        <v>22165.422</v>
      </c>
    </row>
    <row r="22538">
      <c r="A22538" s="42">
        <f>_xlfn.XLOOKUP(84526,Trip[shape_id],Trip[shape_id],"Não encontrado")</f>
        <v/>
      </c>
      <c r="B22538" s="43" t="n">
        <v>-23.597969</v>
      </c>
      <c r="C22538" s="43" t="n">
        <v>-46.458622</v>
      </c>
      <c r="D22538" s="43" t="n">
        <v>593</v>
      </c>
      <c r="E22538" s="44" t="n">
        <v>22230.602</v>
      </c>
    </row>
    <row r="22539">
      <c r="A22539" s="39">
        <f>_xlfn.XLOOKUP(84526,Trip[shape_id],Trip[shape_id],"Não encontrado")</f>
        <v/>
      </c>
      <c r="B22539" s="40" t="n">
        <v>-23.597789</v>
      </c>
      <c r="C22539" s="40" t="n">
        <v>-46.458014</v>
      </c>
      <c r="D22539" s="40" t="n">
        <v>594</v>
      </c>
      <c r="E22539" s="41" t="n">
        <v>22245.699</v>
      </c>
    </row>
    <row r="22540">
      <c r="A22540" s="42">
        <f>_xlfn.XLOOKUP(84526,Trip[shape_id],Trip[shape_id],"Não encontrado")</f>
        <v/>
      </c>
      <c r="B22540" s="43" t="n">
        <v>-23.597745</v>
      </c>
      <c r="C22540" s="43" t="n">
        <v>-46.457874</v>
      </c>
      <c r="D22540" s="43" t="n">
        <v>595</v>
      </c>
      <c r="E22540" s="44" t="n">
        <v>22260.025</v>
      </c>
    </row>
    <row r="22541">
      <c r="A22541" s="39">
        <f>_xlfn.XLOOKUP(84526,Trip[shape_id],Trip[shape_id],"Não encontrado")</f>
        <v/>
      </c>
      <c r="B22541" s="40" t="n">
        <v>-23.597701</v>
      </c>
      <c r="C22541" s="40" t="n">
        <v>-46.457742</v>
      </c>
      <c r="D22541" s="40" t="n">
        <v>596</v>
      </c>
      <c r="E22541" s="41" t="n">
        <v>22281.43</v>
      </c>
    </row>
    <row r="22542">
      <c r="A22542" s="42">
        <f>_xlfn.XLOOKUP(84526,Trip[shape_id],Trip[shape_id],"Não encontrado")</f>
        <v/>
      </c>
      <c r="B22542" s="43" t="n">
        <v>-23.59761</v>
      </c>
      <c r="C22542" s="43" t="n">
        <v>-46.457557</v>
      </c>
      <c r="D22542" s="43" t="n">
        <v>597</v>
      </c>
      <c r="E22542" s="44" t="n">
        <v>22294.822</v>
      </c>
    </row>
    <row r="22543">
      <c r="A22543" s="39">
        <f>_xlfn.XLOOKUP(84526,Trip[shape_id],Trip[shape_id],"Não encontrado")</f>
        <v/>
      </c>
      <c r="B22543" s="40" t="n">
        <v>-23.597547</v>
      </c>
      <c r="C22543" s="40" t="n">
        <v>-46.457445</v>
      </c>
      <c r="D22543" s="40" t="n">
        <v>598</v>
      </c>
      <c r="E22543" s="41" t="n">
        <v>22310.271</v>
      </c>
    </row>
    <row r="22544">
      <c r="A22544" s="42">
        <f>_xlfn.XLOOKUP(84526,Trip[shape_id],Trip[shape_id],"Não encontrado")</f>
        <v/>
      </c>
      <c r="B22544" s="43" t="n">
        <v>-23.597467</v>
      </c>
      <c r="C22544" s="43" t="n">
        <v>-46.457321</v>
      </c>
      <c r="D22544" s="43" t="n">
        <v>599</v>
      </c>
      <c r="E22544" s="44" t="n">
        <v>22357.836</v>
      </c>
    </row>
    <row r="22545">
      <c r="A22545" s="39">
        <f>_xlfn.XLOOKUP(84526,Trip[shape_id],Trip[shape_id],"Não encontrado")</f>
        <v/>
      </c>
      <c r="B22545" s="40" t="n">
        <v>-23.597221</v>
      </c>
      <c r="C22545" s="40" t="n">
        <v>-46.456939</v>
      </c>
      <c r="D22545" s="40" t="n">
        <v>600</v>
      </c>
      <c r="E22545" s="41" t="n">
        <v>22357.836</v>
      </c>
    </row>
    <row r="22546">
      <c r="A22546" s="42">
        <f>_xlfn.XLOOKUP(84526,Trip[shape_id],Trip[shape_id],"Não encontrado")</f>
        <v/>
      </c>
      <c r="B22546" s="43" t="n">
        <v>-23.596931</v>
      </c>
      <c r="C22546" s="43" t="n">
        <v>-46.456562</v>
      </c>
      <c r="D22546" s="43" t="n">
        <v>601</v>
      </c>
      <c r="E22546" s="44" t="n">
        <v>22440.137</v>
      </c>
    </row>
    <row r="22547">
      <c r="A22547" s="39">
        <f>_xlfn.XLOOKUP(84526,Trip[shape_id],Trip[shape_id],"Não encontrado")</f>
        <v/>
      </c>
      <c r="B22547" s="40" t="n">
        <v>-23.596747</v>
      </c>
      <c r="C22547" s="40" t="n">
        <v>-46.456318</v>
      </c>
      <c r="D22547" s="40" t="n">
        <v>602</v>
      </c>
      <c r="E22547" s="41" t="n">
        <v>22457.408</v>
      </c>
    </row>
    <row r="22548">
      <c r="A22548" s="42">
        <f>_xlfn.XLOOKUP(84526,Trip[shape_id],Trip[shape_id],"Não encontrado")</f>
        <v/>
      </c>
      <c r="B22548" s="43" t="n">
        <v>-23.596645</v>
      </c>
      <c r="C22548" s="43" t="n">
        <v>-46.45619</v>
      </c>
      <c r="D22548" s="43" t="n">
        <v>603</v>
      </c>
      <c r="E22548" s="44" t="n">
        <v>22474.977</v>
      </c>
    </row>
    <row r="22549">
      <c r="A22549" s="39">
        <f>_xlfn.XLOOKUP(84526,Trip[shape_id],Trip[shape_id],"Não encontrado")</f>
        <v/>
      </c>
      <c r="B22549" s="40" t="n">
        <v>-23.596564</v>
      </c>
      <c r="C22549" s="40" t="n">
        <v>-46.456042</v>
      </c>
      <c r="D22549" s="40" t="n">
        <v>604</v>
      </c>
      <c r="E22549" s="41" t="n">
        <v>22489.211</v>
      </c>
    </row>
    <row r="22550">
      <c r="A22550" s="42">
        <f>_xlfn.XLOOKUP(84526,Trip[shape_id],Trip[shape_id],"Não encontrado")</f>
        <v/>
      </c>
      <c r="B22550" s="43" t="n">
        <v>-23.596513</v>
      </c>
      <c r="C22550" s="43" t="n">
        <v>-46.455914</v>
      </c>
      <c r="D22550" s="43" t="n">
        <v>605</v>
      </c>
      <c r="E22550" s="44" t="n">
        <v>22503.043</v>
      </c>
    </row>
    <row r="22551">
      <c r="A22551" s="39">
        <f>_xlfn.XLOOKUP(84526,Trip[shape_id],Trip[shape_id],"Não encontrado")</f>
        <v/>
      </c>
      <c r="B22551" s="40" t="n">
        <v>-23.596472</v>
      </c>
      <c r="C22551" s="40" t="n">
        <v>-46.455786</v>
      </c>
      <c r="D22551" s="40" t="n">
        <v>606</v>
      </c>
      <c r="E22551" s="41" t="n">
        <v>22516.398</v>
      </c>
    </row>
    <row r="22552">
      <c r="A22552" s="42">
        <f>_xlfn.XLOOKUP(84526,Trip[shape_id],Trip[shape_id],"Não encontrado")</f>
        <v/>
      </c>
      <c r="B22552" s="43" t="n">
        <v>-23.596447</v>
      </c>
      <c r="C22552" s="43" t="n">
        <v>-46.455658</v>
      </c>
      <c r="D22552" s="43" t="n">
        <v>607</v>
      </c>
      <c r="E22552" s="44" t="n">
        <v>22516.398</v>
      </c>
    </row>
    <row r="22553">
      <c r="A22553" s="39">
        <f>_xlfn.XLOOKUP(84526,Trip[shape_id],Trip[shape_id],"Não encontrado")</f>
        <v/>
      </c>
      <c r="B22553" s="40" t="n">
        <v>-23.596399</v>
      </c>
      <c r="C22553" s="40" t="n">
        <v>-46.455354</v>
      </c>
      <c r="D22553" s="40" t="n">
        <v>608</v>
      </c>
      <c r="E22553" s="41" t="n">
        <v>22587.24</v>
      </c>
    </row>
    <row r="22554">
      <c r="A22554" s="42">
        <f>_xlfn.XLOOKUP(84526,Trip[shape_id],Trip[shape_id],"Não encontrado")</f>
        <v/>
      </c>
      <c r="B22554" s="43" t="n">
        <v>-23.596344</v>
      </c>
      <c r="C22554" s="43" t="n">
        <v>-46.454973</v>
      </c>
      <c r="D22554" s="43" t="n">
        <v>609</v>
      </c>
      <c r="E22554" s="44" t="n">
        <v>22587.24</v>
      </c>
    </row>
    <row r="22555">
      <c r="A22555" s="39">
        <f>_xlfn.XLOOKUP(84526,Trip[shape_id],Trip[shape_id],"Não encontrado")</f>
        <v/>
      </c>
      <c r="B22555" s="40" t="n">
        <v>-23.5963</v>
      </c>
      <c r="C22555" s="40" t="n">
        <v>-46.454653</v>
      </c>
      <c r="D22555" s="40" t="n">
        <v>610</v>
      </c>
      <c r="E22555" s="41" t="n">
        <v>22717.078</v>
      </c>
    </row>
    <row r="22556">
      <c r="A22556" s="42">
        <f>_xlfn.XLOOKUP(84526,Trip[shape_id],Trip[shape_id],"Não encontrado")</f>
        <v/>
      </c>
      <c r="B22556" s="43" t="n">
        <v>-23.596164</v>
      </c>
      <c r="C22556" s="43" t="n">
        <v>-46.453716</v>
      </c>
      <c r="D22556" s="43" t="n">
        <v>611</v>
      </c>
      <c r="E22556" s="44" t="n">
        <v>22717.078</v>
      </c>
    </row>
    <row r="22557">
      <c r="A22557" s="39">
        <f>_xlfn.XLOOKUP(84526,Trip[shape_id],Trip[shape_id],"Não encontrado")</f>
        <v/>
      </c>
      <c r="B22557" s="40" t="n">
        <v>-23.596083</v>
      </c>
      <c r="C22557" s="40" t="n">
        <v>-46.453104</v>
      </c>
      <c r="D22557" s="40" t="n">
        <v>612</v>
      </c>
      <c r="E22557" s="41" t="n">
        <v>22780.184</v>
      </c>
    </row>
    <row r="22558">
      <c r="A22558" s="42">
        <f>_xlfn.XLOOKUP(84526,Trip[shape_id],Trip[shape_id],"Não encontrado")</f>
        <v/>
      </c>
      <c r="B22558" s="43" t="n">
        <v>-23.596032</v>
      </c>
      <c r="C22558" s="43" t="n">
        <v>-46.452804</v>
      </c>
      <c r="D22558" s="43" t="n">
        <v>613</v>
      </c>
      <c r="E22558" s="44" t="n">
        <v>22827.502</v>
      </c>
    </row>
    <row r="22559">
      <c r="A22559" s="39">
        <f>_xlfn.XLOOKUP(84526,Trip[shape_id],Trip[shape_id],"Não encontrado")</f>
        <v/>
      </c>
      <c r="B22559" s="40" t="n">
        <v>-23.596006</v>
      </c>
      <c r="C22559" s="40" t="n">
        <v>-46.452648</v>
      </c>
      <c r="D22559" s="40" t="n">
        <v>614</v>
      </c>
      <c r="E22559" s="41" t="n">
        <v>22840.893</v>
      </c>
    </row>
    <row r="22560">
      <c r="A22560" s="42">
        <f>_xlfn.XLOOKUP(84526,Trip[shape_id],Trip[shape_id],"Não encontrado")</f>
        <v/>
      </c>
      <c r="B22560" s="43" t="n">
        <v>-23.595984</v>
      </c>
      <c r="C22560" s="43" t="n">
        <v>-46.452519</v>
      </c>
      <c r="D22560" s="43" t="n">
        <v>615</v>
      </c>
      <c r="E22560" s="44" t="n">
        <v>22855.047</v>
      </c>
    </row>
    <row r="22561">
      <c r="A22561" s="39">
        <f>_xlfn.XLOOKUP(84526,Trip[shape_id],Trip[shape_id],"Não encontrado")</f>
        <v/>
      </c>
      <c r="B22561" s="40" t="n">
        <v>-23.595959</v>
      </c>
      <c r="C22561" s="40" t="n">
        <v>-46.452383</v>
      </c>
      <c r="D22561" s="40" t="n">
        <v>616</v>
      </c>
      <c r="E22561" s="41" t="n">
        <v>22865.086</v>
      </c>
    </row>
    <row r="22562">
      <c r="A22562" s="42">
        <f>_xlfn.XLOOKUP(84526,Trip[shape_id],Trip[shape_id],"Não encontrado")</f>
        <v/>
      </c>
      <c r="B22562" s="43" t="n">
        <v>-23.595944</v>
      </c>
      <c r="C22562" s="43" t="n">
        <v>-46.452286</v>
      </c>
      <c r="D22562" s="43" t="n">
        <v>617</v>
      </c>
      <c r="E22562" s="44" t="n">
        <v>22877.545</v>
      </c>
    </row>
    <row r="22563">
      <c r="A22563" s="39">
        <f>_xlfn.XLOOKUP(84526,Trip[shape_id],Trip[shape_id],"Não encontrado")</f>
        <v/>
      </c>
      <c r="B22563" s="40" t="n">
        <v>-23.595909</v>
      </c>
      <c r="C22563" s="40" t="n">
        <v>-46.45217</v>
      </c>
      <c r="D22563" s="40" t="n">
        <v>618</v>
      </c>
      <c r="E22563" s="41" t="n">
        <v>22889.977</v>
      </c>
    </row>
    <row r="22564">
      <c r="A22564" s="42">
        <f>_xlfn.XLOOKUP(84526,Trip[shape_id],Trip[shape_id],"Não encontrado")</f>
        <v/>
      </c>
      <c r="B22564" s="43" t="n">
        <v>-23.595872</v>
      </c>
      <c r="C22564" s="43" t="n">
        <v>-46.452055</v>
      </c>
      <c r="D22564" s="43" t="n">
        <v>619</v>
      </c>
      <c r="E22564" s="44" t="n">
        <v>22889.977</v>
      </c>
    </row>
    <row r="22565">
      <c r="A22565" s="39">
        <f>_xlfn.XLOOKUP(84526,Trip[shape_id],Trip[shape_id],"Não encontrado")</f>
        <v/>
      </c>
      <c r="B22565" s="40" t="n">
        <v>-23.595828</v>
      </c>
      <c r="C22565" s="40" t="n">
        <v>-46.451948</v>
      </c>
      <c r="D22565" s="40" t="n">
        <v>620</v>
      </c>
      <c r="E22565" s="41" t="n">
        <v>22996.48</v>
      </c>
    </row>
    <row r="22566">
      <c r="A22566" s="42">
        <f>_xlfn.XLOOKUP(84526,Trip[shape_id],Trip[shape_id],"Não encontrado")</f>
        <v/>
      </c>
      <c r="B22566" s="43" t="n">
        <v>-23.595348</v>
      </c>
      <c r="C22566" s="43" t="n">
        <v>-46.451182</v>
      </c>
      <c r="D22566" s="43" t="n">
        <v>621</v>
      </c>
      <c r="E22566" s="44" t="n">
        <v>22996.48</v>
      </c>
    </row>
    <row r="22567">
      <c r="A22567" s="39">
        <f>_xlfn.XLOOKUP(84526,Trip[shape_id],Trip[shape_id],"Não encontrado")</f>
        <v/>
      </c>
      <c r="B22567" s="40" t="n">
        <v>-23.595224</v>
      </c>
      <c r="C22567" s="40" t="n">
        <v>-46.450946</v>
      </c>
      <c r="D22567" s="40" t="n">
        <v>622</v>
      </c>
      <c r="E22567" s="41" t="n">
        <v>23039.455</v>
      </c>
    </row>
    <row r="22568">
      <c r="A22568" s="42">
        <f>_xlfn.XLOOKUP(84526,Trip[shape_id],Trip[shape_id],"Não encontrado")</f>
        <v/>
      </c>
      <c r="B22568" s="43" t="n">
        <v>-23.595176</v>
      </c>
      <c r="C22568" s="43" t="n">
        <v>-46.450806</v>
      </c>
      <c r="D22568" s="43" t="n">
        <v>623</v>
      </c>
      <c r="E22568" s="44" t="n">
        <v>23064.576</v>
      </c>
    </row>
    <row r="22569">
      <c r="A22569" s="39">
        <f>_xlfn.XLOOKUP(84526,Trip[shape_id],Trip[shape_id],"Não encontrado")</f>
        <v/>
      </c>
      <c r="B22569" s="40" t="n">
        <v>-23.59513</v>
      </c>
      <c r="C22569" s="40" t="n">
        <v>-46.450565</v>
      </c>
      <c r="D22569" s="40" t="n">
        <v>624</v>
      </c>
      <c r="E22569" s="41" t="n">
        <v>23064.576</v>
      </c>
    </row>
    <row r="22570">
      <c r="A22570" s="42">
        <f>_xlfn.XLOOKUP(84526,Trip[shape_id],Trip[shape_id],"Não encontrado")</f>
        <v/>
      </c>
      <c r="B22570" s="43" t="n">
        <v>-23.595014</v>
      </c>
      <c r="C22570" s="43" t="n">
        <v>-46.449968</v>
      </c>
      <c r="D22570" s="43" t="n">
        <v>625</v>
      </c>
      <c r="E22570" s="44" t="n">
        <v>23126.85</v>
      </c>
    </row>
    <row r="22571">
      <c r="A22571" s="39">
        <f>_xlfn.XLOOKUP(84526,Trip[shape_id],Trip[shape_id],"Não encontrado")</f>
        <v/>
      </c>
      <c r="B22571" s="40" t="n">
        <v>-23.594892</v>
      </c>
      <c r="C22571" s="40" t="n">
        <v>-46.449397</v>
      </c>
      <c r="D22571" s="40" t="n">
        <v>626</v>
      </c>
      <c r="E22571" s="41" t="n">
        <v>23186.676</v>
      </c>
    </row>
    <row r="22572">
      <c r="A22572" s="42">
        <f>_xlfn.XLOOKUP(84526,Trip[shape_id],Trip[shape_id],"Não encontrado")</f>
        <v/>
      </c>
      <c r="B22572" s="43" t="n">
        <v>-23.594707</v>
      </c>
      <c r="C22572" s="43" t="n">
        <v>-46.448444</v>
      </c>
      <c r="D22572" s="43" t="n">
        <v>627</v>
      </c>
      <c r="E22572" s="44" t="n">
        <v>23286.08</v>
      </c>
    </row>
    <row r="22573">
      <c r="A22573" s="39">
        <f>_xlfn.XLOOKUP(84526,Trip[shape_id],Trip[shape_id],"Não encontrado")</f>
        <v/>
      </c>
      <c r="B22573" s="40" t="n">
        <v>-23.594642</v>
      </c>
      <c r="C22573" s="40" t="n">
        <v>-46.448133</v>
      </c>
      <c r="D22573" s="40" t="n">
        <v>628</v>
      </c>
      <c r="E22573" s="41" t="n">
        <v>23332.596</v>
      </c>
    </row>
    <row r="22574">
      <c r="A22574" s="42">
        <f>_xlfn.XLOOKUP(84526,Trip[shape_id],Trip[shape_id],"Não encontrado")</f>
        <v/>
      </c>
      <c r="B22574" s="43" t="n">
        <v>-23.594628</v>
      </c>
      <c r="C22574" s="43" t="n">
        <v>-46.447997</v>
      </c>
      <c r="D22574" s="43" t="n">
        <v>629</v>
      </c>
      <c r="E22574" s="44" t="n">
        <v>23345.504</v>
      </c>
    </row>
    <row r="22575">
      <c r="A22575" s="39">
        <f>_xlfn.XLOOKUP(84526,Trip[shape_id],Trip[shape_id],"Não encontrado")</f>
        <v/>
      </c>
      <c r="B22575" s="40" t="n">
        <v>-23.594618</v>
      </c>
      <c r="C22575" s="40" t="n">
        <v>-46.447871</v>
      </c>
      <c r="D22575" s="40" t="n">
        <v>630</v>
      </c>
      <c r="E22575" s="41" t="n">
        <v>23365.219</v>
      </c>
    </row>
    <row r="22576">
      <c r="A22576" s="42">
        <f>_xlfn.XLOOKUP(84526,Trip[shape_id],Trip[shape_id],"Não encontrado")</f>
        <v/>
      </c>
      <c r="B22576" s="43" t="n">
        <v>-23.594611</v>
      </c>
      <c r="C22576" s="43" t="n">
        <v>-46.447678</v>
      </c>
      <c r="D22576" s="43" t="n">
        <v>631</v>
      </c>
      <c r="E22576" s="44" t="n">
        <v>23384.719</v>
      </c>
    </row>
    <row r="22577">
      <c r="A22577" s="39">
        <f>_xlfn.XLOOKUP(84526,Trip[shape_id],Trip[shape_id],"Não encontrado")</f>
        <v/>
      </c>
      <c r="B22577" s="40" t="n">
        <v>-23.594615</v>
      </c>
      <c r="C22577" s="40" t="n">
        <v>-46.447487</v>
      </c>
      <c r="D22577" s="40" t="n">
        <v>632</v>
      </c>
      <c r="E22577" s="41" t="n">
        <v>23384.719</v>
      </c>
    </row>
    <row r="22578">
      <c r="A22578" s="42">
        <f>_xlfn.XLOOKUP(84526,Trip[shape_id],Trip[shape_id],"Não encontrado")</f>
        <v/>
      </c>
      <c r="B22578" s="43" t="n">
        <v>-23.594628</v>
      </c>
      <c r="C22578" s="43" t="n">
        <v>-46.447242</v>
      </c>
      <c r="D22578" s="43" t="n">
        <v>633</v>
      </c>
      <c r="E22578" s="44" t="n">
        <v>23473.729</v>
      </c>
    </row>
    <row r="22579">
      <c r="A22579" s="39">
        <f>_xlfn.XLOOKUP(84526,Trip[shape_id],Trip[shape_id],"Não encontrado")</f>
        <v/>
      </c>
      <c r="B22579" s="40" t="n">
        <v>-23.594718</v>
      </c>
      <c r="C22579" s="40" t="n">
        <v>-46.446623</v>
      </c>
      <c r="D22579" s="40" t="n">
        <v>634</v>
      </c>
      <c r="E22579" s="41" t="n">
        <v>23500.617</v>
      </c>
    </row>
    <row r="22580">
      <c r="A22580" s="42">
        <f>_xlfn.XLOOKUP(84526,Trip[shape_id],Trip[shape_id],"Não encontrado")</f>
        <v/>
      </c>
      <c r="B22580" s="43" t="n">
        <v>-23.594751</v>
      </c>
      <c r="C22580" s="43" t="n">
        <v>-46.446362</v>
      </c>
      <c r="D22580" s="43" t="n">
        <v>635</v>
      </c>
      <c r="E22580" s="44" t="n">
        <v>23529.957</v>
      </c>
    </row>
    <row r="22581">
      <c r="A22581" s="39">
        <f>_xlfn.XLOOKUP(84526,Trip[shape_id],Trip[shape_id],"Não encontrado")</f>
        <v/>
      </c>
      <c r="B22581" s="40" t="n">
        <v>-23.594792</v>
      </c>
      <c r="C22581" s="40" t="n">
        <v>-46.446078</v>
      </c>
      <c r="D22581" s="40" t="n">
        <v>636</v>
      </c>
      <c r="E22581" s="41" t="n">
        <v>23549.25</v>
      </c>
    </row>
    <row r="22582">
      <c r="A22582" s="42">
        <f>_xlfn.XLOOKUP(84526,Trip[shape_id],Trip[shape_id],"Não encontrado")</f>
        <v/>
      </c>
      <c r="B22582" s="43" t="n">
        <v>-23.59481</v>
      </c>
      <c r="C22582" s="43" t="n">
        <v>-46.44589</v>
      </c>
      <c r="D22582" s="43" t="n">
        <v>637</v>
      </c>
      <c r="E22582" s="44" t="n">
        <v>23549.25</v>
      </c>
    </row>
    <row r="22583">
      <c r="A22583" s="39">
        <f>_xlfn.XLOOKUP(84526,Trip[shape_id],Trip[shape_id],"Não encontrado")</f>
        <v/>
      </c>
      <c r="B22583" s="40" t="n">
        <v>-23.59482</v>
      </c>
      <c r="C22583" s="40" t="n">
        <v>-46.445602</v>
      </c>
      <c r="D22583" s="40" t="n">
        <v>638</v>
      </c>
      <c r="E22583" s="41" t="n">
        <v>23600.238</v>
      </c>
    </row>
    <row r="22584">
      <c r="A22584" s="42">
        <f>_xlfn.XLOOKUP(84526,Trip[shape_id],Trip[shape_id],"Não encontrado")</f>
        <v/>
      </c>
      <c r="B22584" s="43" t="n">
        <v>-23.594842</v>
      </c>
      <c r="C22584" s="43" t="n">
        <v>-46.445392</v>
      </c>
      <c r="D22584" s="43" t="n">
        <v>639</v>
      </c>
      <c r="E22584" s="44" t="n">
        <v>23600.238</v>
      </c>
    </row>
    <row r="22585">
      <c r="A22585" s="39">
        <f>_xlfn.XLOOKUP(84526,Trip[shape_id],Trip[shape_id],"Não encontrado")</f>
        <v/>
      </c>
      <c r="B22585" s="40" t="n">
        <v>-23.594834</v>
      </c>
      <c r="C22585" s="40" t="n">
        <v>-46.445097</v>
      </c>
      <c r="D22585" s="40" t="n">
        <v>640</v>
      </c>
      <c r="E22585" s="41" t="n">
        <v>23630.361</v>
      </c>
    </row>
    <row r="22586">
      <c r="A22586" s="42">
        <f>_xlfn.XLOOKUP(84526,Trip[shape_id],Trip[shape_id],"Não encontrado")</f>
        <v/>
      </c>
      <c r="B22586" s="43" t="n">
        <v>-23.594823</v>
      </c>
      <c r="C22586" s="43" t="n">
        <v>-46.444645</v>
      </c>
      <c r="D22586" s="43" t="n">
        <v>641</v>
      </c>
      <c r="E22586" s="44" t="n">
        <v>23676.512</v>
      </c>
    </row>
    <row r="22587">
      <c r="A22587" s="39">
        <f>_xlfn.XLOOKUP(84526,Trip[shape_id],Trip[shape_id],"Não encontrado")</f>
        <v/>
      </c>
      <c r="B22587" s="40" t="n">
        <v>-23.594805</v>
      </c>
      <c r="C22587" s="40" t="n">
        <v>-46.444164</v>
      </c>
      <c r="D22587" s="40" t="n">
        <v>642</v>
      </c>
      <c r="E22587" s="41" t="n">
        <v>23725.646</v>
      </c>
    </row>
    <row r="22588">
      <c r="A22588" s="42">
        <f>_xlfn.XLOOKUP(84526,Trip[shape_id],Trip[shape_id],"Não encontrado")</f>
        <v/>
      </c>
      <c r="B22588" s="43" t="n">
        <v>-23.594777</v>
      </c>
      <c r="C22588" s="43" t="n">
        <v>-46.443655</v>
      </c>
      <c r="D22588" s="43" t="n">
        <v>643</v>
      </c>
      <c r="E22588" s="44" t="n">
        <v>23777.691</v>
      </c>
    </row>
    <row r="22589">
      <c r="A22589" s="39">
        <f>_xlfn.XLOOKUP(84526,Trip[shape_id],Trip[shape_id],"Não encontrado")</f>
        <v/>
      </c>
      <c r="B22589" s="40" t="n">
        <v>-23.594768</v>
      </c>
      <c r="C22589" s="40" t="n">
        <v>-46.443359</v>
      </c>
      <c r="D22589" s="40" t="n">
        <v>644</v>
      </c>
      <c r="E22589" s="41" t="n">
        <v>23807.92</v>
      </c>
    </row>
    <row r="22590">
      <c r="A22590" s="42">
        <f>_xlfn.XLOOKUP(84526,Trip[shape_id],Trip[shape_id],"Não encontrado")</f>
        <v/>
      </c>
      <c r="B22590" s="43" t="n">
        <v>-23.594755</v>
      </c>
      <c r="C22590" s="43" t="n">
        <v>-46.44309</v>
      </c>
      <c r="D22590" s="43" t="n">
        <v>645</v>
      </c>
      <c r="E22590" s="44" t="n">
        <v>23835.414</v>
      </c>
    </row>
    <row r="22591">
      <c r="A22591" s="39">
        <f>_xlfn.XLOOKUP(84526,Trip[shape_id],Trip[shape_id],"Não encontrado")</f>
        <v/>
      </c>
      <c r="B22591" s="40" t="n">
        <v>-23.594757</v>
      </c>
      <c r="C22591" s="40" t="n">
        <v>-46.442937</v>
      </c>
      <c r="D22591" s="40" t="n">
        <v>646</v>
      </c>
      <c r="E22591" s="41" t="n">
        <v>23851.031</v>
      </c>
    </row>
    <row r="22592">
      <c r="A22592" s="42">
        <f>_xlfn.XLOOKUP(84526,Trip[shape_id],Trip[shape_id],"Não encontrado")</f>
        <v/>
      </c>
      <c r="B22592" s="43" t="n">
        <v>-23.594757</v>
      </c>
      <c r="C22592" s="43" t="n">
        <v>-46.44233</v>
      </c>
      <c r="D22592" s="43" t="n">
        <v>647</v>
      </c>
      <c r="E22592" s="44" t="n">
        <v>23912.986</v>
      </c>
    </row>
    <row r="22593">
      <c r="A22593" s="39">
        <f>_xlfn.XLOOKUP(84526,Trip[shape_id],Trip[shape_id],"Não encontrado")</f>
        <v/>
      </c>
      <c r="B22593" s="40" t="n">
        <v>-23.594773</v>
      </c>
      <c r="C22593" s="40" t="n">
        <v>-46.441959</v>
      </c>
      <c r="D22593" s="40" t="n">
        <v>648</v>
      </c>
      <c r="E22593" s="41" t="n">
        <v>23950.895</v>
      </c>
    </row>
    <row r="22594">
      <c r="A22594" s="42">
        <f>_xlfn.XLOOKUP(84526,Trip[shape_id],Trip[shape_id],"Não encontrado")</f>
        <v/>
      </c>
      <c r="B22594" s="43" t="n">
        <v>-23.594882</v>
      </c>
      <c r="C22594" s="43" t="n">
        <v>-46.441249</v>
      </c>
      <c r="D22594" s="43" t="n">
        <v>649</v>
      </c>
      <c r="E22594" s="44" t="n">
        <v>24071.963</v>
      </c>
    </row>
    <row r="22595">
      <c r="A22595" s="39">
        <f>_xlfn.XLOOKUP(84526,Trip[shape_id],Trip[shape_id],"Não encontrado")</f>
        <v/>
      </c>
      <c r="B22595" s="40" t="n">
        <v>-23.594947</v>
      </c>
      <c r="C22595" s="40" t="n">
        <v>-46.440788</v>
      </c>
      <c r="D22595" s="40" t="n">
        <v>650</v>
      </c>
      <c r="E22595" s="41" t="n">
        <v>24071.963</v>
      </c>
    </row>
    <row r="22596">
      <c r="A22596" s="42">
        <f>_xlfn.XLOOKUP(84526,Trip[shape_id],Trip[shape_id],"Não encontrado")</f>
        <v/>
      </c>
      <c r="B22596" s="43" t="n">
        <v>-23.59501</v>
      </c>
      <c r="C22596" s="43" t="n">
        <v>-46.440485</v>
      </c>
      <c r="D22596" s="43" t="n">
        <v>651</v>
      </c>
      <c r="E22596" s="44" t="n">
        <v>24103.666</v>
      </c>
    </row>
    <row r="22597">
      <c r="A22597" s="39">
        <f>_xlfn.XLOOKUP(84526,Trip[shape_id],Trip[shape_id],"Não encontrado")</f>
        <v/>
      </c>
      <c r="B22597" s="40" t="n">
        <v>-23.595062</v>
      </c>
      <c r="C22597" s="40" t="n">
        <v>-46.440267</v>
      </c>
      <c r="D22597" s="40" t="n">
        <v>652</v>
      </c>
      <c r="E22597" s="41" t="n">
        <v>24126.65</v>
      </c>
    </row>
    <row r="22598">
      <c r="A22598" s="42">
        <f>_xlfn.XLOOKUP(84526,Trip[shape_id],Trip[shape_id],"Não encontrado")</f>
        <v/>
      </c>
      <c r="B22598" s="43" t="n">
        <v>-23.595301</v>
      </c>
      <c r="C22598" s="43" t="n">
        <v>-46.439397</v>
      </c>
      <c r="D22598" s="43" t="n">
        <v>653</v>
      </c>
      <c r="E22598" s="44" t="n">
        <v>24219.311</v>
      </c>
    </row>
    <row r="22599">
      <c r="A22599" s="39">
        <f>_xlfn.XLOOKUP(84526,Trip[shape_id],Trip[shape_id],"Não encontrado")</f>
        <v/>
      </c>
      <c r="B22599" s="40" t="n">
        <v>-23.595584</v>
      </c>
      <c r="C22599" s="40" t="n">
        <v>-46.438448</v>
      </c>
      <c r="D22599" s="40" t="n">
        <v>654</v>
      </c>
      <c r="E22599" s="41" t="n">
        <v>24321.117</v>
      </c>
    </row>
    <row r="22600">
      <c r="A22600" s="42">
        <f>_xlfn.XLOOKUP(84526,Trip[shape_id],Trip[shape_id],"Não encontrado")</f>
        <v/>
      </c>
      <c r="B22600" s="43" t="n">
        <v>-23.59577</v>
      </c>
      <c r="C22600" s="43" t="n">
        <v>-46.437789</v>
      </c>
      <c r="D22600" s="43" t="n">
        <v>655</v>
      </c>
      <c r="E22600" s="44" t="n">
        <v>24391.463</v>
      </c>
    </row>
    <row r="22601">
      <c r="A22601" s="39">
        <f>_xlfn.XLOOKUP(84526,Trip[shape_id],Trip[shape_id],"Não encontrado")</f>
        <v/>
      </c>
      <c r="B22601" s="40" t="n">
        <v>-23.596128</v>
      </c>
      <c r="C22601" s="40" t="n">
        <v>-46.436475</v>
      </c>
      <c r="D22601" s="40" t="n">
        <v>656</v>
      </c>
      <c r="E22601" s="41" t="n">
        <v>24531.316</v>
      </c>
    </row>
    <row r="22602">
      <c r="A22602" s="42">
        <f>_xlfn.XLOOKUP(84526,Trip[shape_id],Trip[shape_id],"Não encontrado")</f>
        <v/>
      </c>
      <c r="B22602" s="43" t="n">
        <v>-23.596184</v>
      </c>
      <c r="C22602" s="43" t="n">
        <v>-46.436289</v>
      </c>
      <c r="D22602" s="43" t="n">
        <v>657</v>
      </c>
      <c r="E22602" s="44" t="n">
        <v>24551.289</v>
      </c>
    </row>
    <row r="22603">
      <c r="A22603" s="39">
        <f>_xlfn.XLOOKUP(84526,Trip[shape_id],Trip[shape_id],"Não encontrado")</f>
        <v/>
      </c>
      <c r="B22603" s="40" t="n">
        <v>-23.596238</v>
      </c>
      <c r="C22603" s="40" t="n">
        <v>-46.436099</v>
      </c>
      <c r="D22603" s="40" t="n">
        <v>658</v>
      </c>
      <c r="E22603" s="41" t="n">
        <v>24583.119</v>
      </c>
    </row>
    <row r="22604">
      <c r="A22604" s="42">
        <f>_xlfn.XLOOKUP(84526,Trip[shape_id],Trip[shape_id],"Não encontrado")</f>
        <v/>
      </c>
      <c r="B22604" s="43" t="n">
        <v>-23.596262</v>
      </c>
      <c r="C22604" s="43" t="n">
        <v>-46.435989</v>
      </c>
      <c r="D22604" s="43" t="n">
        <v>659</v>
      </c>
      <c r="E22604" s="44" t="n">
        <v>24592.031</v>
      </c>
    </row>
    <row r="22605">
      <c r="A22605" s="39">
        <f>_xlfn.XLOOKUP(84526,Trip[shape_id],Trip[shape_id],"Não encontrado")</f>
        <v/>
      </c>
      <c r="B22605" s="40" t="n">
        <v>-23.596284</v>
      </c>
      <c r="C22605" s="40" t="n">
        <v>-46.435905</v>
      </c>
      <c r="D22605" s="40" t="n">
        <v>660</v>
      </c>
      <c r="E22605" s="41" t="n">
        <v>24597.582</v>
      </c>
    </row>
    <row r="22606">
      <c r="A22606" s="42">
        <f>_xlfn.XLOOKUP(84526,Trip[shape_id],Trip[shape_id],"Não encontrado")</f>
        <v/>
      </c>
      <c r="B22606" s="43" t="n">
        <v>-23.59629</v>
      </c>
      <c r="C22606" s="43" t="n">
        <v>-46.435851</v>
      </c>
      <c r="D22606" s="43" t="n">
        <v>661</v>
      </c>
      <c r="E22606" s="44" t="n">
        <v>24597.582</v>
      </c>
    </row>
    <row r="22607">
      <c r="A22607" s="39">
        <f>_xlfn.XLOOKUP(84526,Trip[shape_id],Trip[shape_id],"Não encontrado")</f>
        <v/>
      </c>
      <c r="B22607" s="40" t="n">
        <v>-23.596292</v>
      </c>
      <c r="C22607" s="40" t="n">
        <v>-46.435675</v>
      </c>
      <c r="D22607" s="40" t="n">
        <v>662</v>
      </c>
      <c r="E22607" s="41" t="n">
        <v>24639.096</v>
      </c>
    </row>
    <row r="22608">
      <c r="A22608" s="42">
        <f>_xlfn.XLOOKUP(84526,Trip[shape_id],Trip[shape_id],"Não encontrado")</f>
        <v/>
      </c>
      <c r="B22608" s="43" t="n">
        <v>-23.596254</v>
      </c>
      <c r="C22608" s="43" t="n">
        <v>-46.435448</v>
      </c>
      <c r="D22608" s="43" t="n">
        <v>663</v>
      </c>
      <c r="E22608" s="44" t="n">
        <v>24644.074</v>
      </c>
    </row>
    <row r="22609">
      <c r="A22609" s="39">
        <f>_xlfn.XLOOKUP(84526,Trip[shape_id],Trip[shape_id],"Não encontrado")</f>
        <v/>
      </c>
      <c r="B22609" s="40" t="n">
        <v>-23.596242</v>
      </c>
      <c r="C22609" s="40" t="n">
        <v>-46.435401</v>
      </c>
      <c r="D22609" s="40" t="n">
        <v>664</v>
      </c>
      <c r="E22609" s="41" t="n">
        <v>24651.889</v>
      </c>
    </row>
    <row r="22610">
      <c r="A22610" s="42">
        <f>_xlfn.XLOOKUP(84526,Trip[shape_id],Trip[shape_id],"Não encontrado")</f>
        <v/>
      </c>
      <c r="B22610" s="43" t="n">
        <v>-23.596218</v>
      </c>
      <c r="C22610" s="43" t="n">
        <v>-46.435329</v>
      </c>
      <c r="D22610" s="43" t="n">
        <v>665</v>
      </c>
      <c r="E22610" s="44" t="n">
        <v>24693.746</v>
      </c>
    </row>
    <row r="22611">
      <c r="A22611" s="39">
        <f>_xlfn.XLOOKUP(84526,Trip[shape_id],Trip[shape_id],"Não encontrado")</f>
        <v/>
      </c>
      <c r="B22611" s="40" t="n">
        <v>-23.596055</v>
      </c>
      <c r="C22611" s="40" t="n">
        <v>-46.434959</v>
      </c>
      <c r="D22611" s="40" t="n">
        <v>666</v>
      </c>
      <c r="E22611" s="41" t="n">
        <v>24718.291</v>
      </c>
    </row>
    <row r="22612">
      <c r="A22612" s="42">
        <f>_xlfn.XLOOKUP(84526,Trip[shape_id],Trip[shape_id],"Não encontrado")</f>
        <v/>
      </c>
      <c r="B22612" s="43" t="n">
        <v>-23.595947</v>
      </c>
      <c r="C22612" s="43" t="n">
        <v>-46.434749</v>
      </c>
      <c r="D22612" s="43" t="n">
        <v>667</v>
      </c>
      <c r="E22612" s="44" t="n">
        <v>24718.291</v>
      </c>
    </row>
    <row r="22613">
      <c r="A22613" s="39">
        <f>_xlfn.XLOOKUP(84526,Trip[shape_id],Trip[shape_id],"Não encontrado")</f>
        <v/>
      </c>
      <c r="B22613" s="40" t="n">
        <v>-23.595888</v>
      </c>
      <c r="C22613" s="40" t="n">
        <v>-46.434615</v>
      </c>
      <c r="D22613" s="40" t="n">
        <v>668</v>
      </c>
      <c r="E22613" s="41" t="n">
        <v>24786.205</v>
      </c>
    </row>
    <row r="22614">
      <c r="A22614" s="42">
        <f>_xlfn.XLOOKUP(84526,Trip[shape_id],Trip[shape_id],"Não encontrado")</f>
        <v/>
      </c>
      <c r="B22614" s="43" t="n">
        <v>-23.59568</v>
      </c>
      <c r="C22614" s="43" t="n">
        <v>-46.43415</v>
      </c>
      <c r="D22614" s="43" t="n">
        <v>669</v>
      </c>
      <c r="E22614" s="44" t="n">
        <v>24829.219</v>
      </c>
    </row>
    <row r="22615">
      <c r="A22615" s="39">
        <f>_xlfn.XLOOKUP(84526,Trip[shape_id],Trip[shape_id],"Não encontrado")</f>
        <v/>
      </c>
      <c r="B22615" s="40" t="n">
        <v>-23.595516</v>
      </c>
      <c r="C22615" s="40" t="n">
        <v>-46.433768</v>
      </c>
      <c r="D22615" s="40" t="n">
        <v>670</v>
      </c>
      <c r="E22615" s="41" t="n">
        <v>24856.896</v>
      </c>
    </row>
    <row r="22616">
      <c r="A22616" s="42">
        <f>_xlfn.XLOOKUP(84526,Trip[shape_id],Trip[shape_id],"Não encontrado")</f>
        <v/>
      </c>
      <c r="B22616" s="43" t="n">
        <v>-23.595431</v>
      </c>
      <c r="C22616" s="43" t="n">
        <v>-46.433513</v>
      </c>
      <c r="D22616" s="43" t="n">
        <v>671</v>
      </c>
      <c r="E22616" s="44" t="n">
        <v>24860.098</v>
      </c>
    </row>
    <row r="22617">
      <c r="A22617" s="39">
        <f>_xlfn.XLOOKUP(84526,Trip[shape_id],Trip[shape_id],"Não encontrado")</f>
        <v/>
      </c>
      <c r="B22617" s="40" t="n">
        <v>-23.59542</v>
      </c>
      <c r="C22617" s="40" t="n">
        <v>-46.433484</v>
      </c>
      <c r="D22617" s="40" t="n">
        <v>672</v>
      </c>
      <c r="E22617" s="41" t="n">
        <v>24860.742</v>
      </c>
    </row>
    <row r="22618">
      <c r="A22618" s="42">
        <f>_xlfn.XLOOKUP(84526,Trip[shape_id],Trip[shape_id],"Não encontrado")</f>
        <v/>
      </c>
      <c r="B22618" s="43" t="n">
        <v>-23.595399</v>
      </c>
      <c r="C22618" s="43" t="n">
        <v>-46.433423</v>
      </c>
      <c r="D22618" s="43" t="n">
        <v>673</v>
      </c>
      <c r="E22618" s="44" t="n">
        <v>24866.738</v>
      </c>
    </row>
    <row r="22619">
      <c r="A22619" s="39">
        <f>_xlfn.XLOOKUP(84526,Trip[shape_id],Trip[shape_id],"Não encontrado")</f>
        <v/>
      </c>
      <c r="B22619" s="40" t="n">
        <v>-23.595259</v>
      </c>
      <c r="C22619" s="40" t="n">
        <v>-46.43295</v>
      </c>
      <c r="D22619" s="40" t="n">
        <v>674</v>
      </c>
      <c r="E22619" s="41" t="n">
        <v>24948.342</v>
      </c>
    </row>
    <row r="22620">
      <c r="A22620" s="42">
        <f>_xlfn.XLOOKUP(84526,Trip[shape_id],Trip[shape_id],"Não encontrado")</f>
        <v/>
      </c>
      <c r="B22620" s="43" t="n">
        <v>-23.595165</v>
      </c>
      <c r="C22620" s="43" t="n">
        <v>-46.432665</v>
      </c>
      <c r="D22620" s="43" t="n">
        <v>675</v>
      </c>
      <c r="E22620" s="44" t="n">
        <v>24948.342</v>
      </c>
    </row>
    <row r="22621">
      <c r="A22621" s="39">
        <f>_xlfn.XLOOKUP(84526,Trip[shape_id],Trip[shape_id],"Não encontrado")</f>
        <v/>
      </c>
      <c r="B22621" s="40" t="n">
        <v>-23.595098</v>
      </c>
      <c r="C22621" s="40" t="n">
        <v>-46.432457</v>
      </c>
      <c r="D22621" s="40" t="n">
        <v>676</v>
      </c>
      <c r="E22621" s="41" t="n">
        <v>24989.74</v>
      </c>
    </row>
    <row r="22622">
      <c r="A22622" s="42">
        <f>_xlfn.XLOOKUP(84526,Trip[shape_id],Trip[shape_id],"Não encontrado")</f>
        <v/>
      </c>
      <c r="B22622" s="43" t="n">
        <v>-23.595054</v>
      </c>
      <c r="C22622" s="43" t="n">
        <v>-46.432278</v>
      </c>
      <c r="D22622" s="43" t="n">
        <v>677</v>
      </c>
      <c r="E22622" s="44" t="n">
        <v>25017.721</v>
      </c>
    </row>
    <row r="22623">
      <c r="A22623" s="39">
        <f>_xlfn.XLOOKUP(84526,Trip[shape_id],Trip[shape_id],"Não encontrado")</f>
        <v/>
      </c>
      <c r="B22623" s="40" t="n">
        <v>-23.595031</v>
      </c>
      <c r="C22623" s="40" t="n">
        <v>-46.432005</v>
      </c>
      <c r="D22623" s="40" t="n">
        <v>678</v>
      </c>
      <c r="E22623" s="41" t="n">
        <v>25040.393</v>
      </c>
    </row>
    <row r="22624">
      <c r="A22624" s="42">
        <f>_xlfn.XLOOKUP(84526,Trip[shape_id],Trip[shape_id],"Não encontrado")</f>
        <v/>
      </c>
      <c r="B22624" s="43" t="n">
        <v>-23.595024</v>
      </c>
      <c r="C22624" s="43" t="n">
        <v>-46.431783</v>
      </c>
      <c r="D22624" s="43" t="n">
        <v>679</v>
      </c>
      <c r="E22624" s="44" t="n">
        <v>25040.393</v>
      </c>
    </row>
    <row r="22625">
      <c r="A22625" s="39">
        <f>_xlfn.XLOOKUP(84526,Trip[shape_id],Trip[shape_id],"Não encontrado")</f>
        <v/>
      </c>
      <c r="B22625" s="40" t="n">
        <v>-23.595047</v>
      </c>
      <c r="C22625" s="40" t="n">
        <v>-46.431662</v>
      </c>
      <c r="D22625" s="40" t="n">
        <v>680</v>
      </c>
      <c r="E22625" s="41" t="n">
        <v>25114.512</v>
      </c>
    </row>
    <row r="22626">
      <c r="A22626" s="42">
        <f>_xlfn.XLOOKUP(84526,Trip[shape_id],Trip[shape_id],"Não encontrado")</f>
        <v/>
      </c>
      <c r="B22626" s="43" t="n">
        <v>-23.595201</v>
      </c>
      <c r="C22626" s="43" t="n">
        <v>-46.431083</v>
      </c>
      <c r="D22626" s="43" t="n">
        <v>681</v>
      </c>
      <c r="E22626" s="44" t="n">
        <v>25141.898</v>
      </c>
    </row>
    <row r="22627">
      <c r="A22627" s="39">
        <f>_xlfn.XLOOKUP(84526,Trip[shape_id],Trip[shape_id],"Não encontrado")</f>
        <v/>
      </c>
      <c r="B22627" s="40" t="n">
        <v>-23.59525</v>
      </c>
      <c r="C22627" s="40" t="n">
        <v>-46.43082</v>
      </c>
      <c r="D22627" s="40" t="n">
        <v>682</v>
      </c>
      <c r="E22627" s="41" t="n">
        <v>25157.859</v>
      </c>
    </row>
    <row r="22628">
      <c r="A22628" s="42">
        <f>_xlfn.XLOOKUP(84526,Trip[shape_id],Trip[shape_id],"Não encontrado")</f>
        <v/>
      </c>
      <c r="B22628" s="43" t="n">
        <v>-23.595269</v>
      </c>
      <c r="C22628" s="43" t="n">
        <v>-46.430665</v>
      </c>
      <c r="D22628" s="43" t="n">
        <v>683</v>
      </c>
      <c r="E22628" s="44" t="n">
        <v>25181.035</v>
      </c>
    </row>
    <row r="22629">
      <c r="A22629" s="39">
        <f>_xlfn.XLOOKUP(84526,Trip[shape_id],Trip[shape_id],"Não encontrado")</f>
        <v/>
      </c>
      <c r="B22629" s="40" t="n">
        <v>-23.595264</v>
      </c>
      <c r="C22629" s="40" t="n">
        <v>-46.430438</v>
      </c>
      <c r="D22629" s="40" t="n">
        <v>684</v>
      </c>
      <c r="E22629" s="41" t="n">
        <v>25219.91</v>
      </c>
    </row>
    <row r="22630">
      <c r="A22630" s="42">
        <f>_xlfn.XLOOKUP(84526,Trip[shape_id],Trip[shape_id],"Não encontrado")</f>
        <v/>
      </c>
      <c r="B22630" s="43" t="n">
        <v>-23.595221</v>
      </c>
      <c r="C22630" s="43" t="n">
        <v>-46.43006</v>
      </c>
      <c r="D22630" s="43" t="n">
        <v>685</v>
      </c>
      <c r="E22630" s="44" t="n">
        <v>25248.463</v>
      </c>
    </row>
    <row r="22631">
      <c r="A22631" s="39">
        <f>_xlfn.XLOOKUP(84526,Trip[shape_id],Trip[shape_id],"Não encontrado")</f>
        <v/>
      </c>
      <c r="B22631" s="40" t="n">
        <v>-23.595169</v>
      </c>
      <c r="C22631" s="40" t="n">
        <v>-46.429786</v>
      </c>
      <c r="D22631" s="40" t="n">
        <v>686</v>
      </c>
      <c r="E22631" s="41" t="n">
        <v>25248.463</v>
      </c>
    </row>
    <row r="22632">
      <c r="A22632" s="42">
        <f>_xlfn.XLOOKUP(84526,Trip[shape_id],Trip[shape_id],"Não encontrado")</f>
        <v/>
      </c>
      <c r="B22632" s="43" t="n">
        <v>-23.594922</v>
      </c>
      <c r="C22632" s="43" t="n">
        <v>-46.42821</v>
      </c>
      <c r="D22632" s="43" t="n">
        <v>687</v>
      </c>
      <c r="E22632" s="44" t="n">
        <v>25589.279</v>
      </c>
    </row>
    <row r="22633">
      <c r="A22633" s="39">
        <f>_xlfn.XLOOKUP(84526,Trip[shape_id],Trip[shape_id],"Não encontrado")</f>
        <v/>
      </c>
      <c r="B22633" s="40" t="n">
        <v>-23.594638</v>
      </c>
      <c r="C22633" s="40" t="n">
        <v>-46.426497</v>
      </c>
      <c r="D22633" s="40" t="n">
        <v>688</v>
      </c>
      <c r="E22633" s="41" t="n">
        <v>25589.279</v>
      </c>
    </row>
    <row r="22634">
      <c r="A22634" s="42">
        <f>_xlfn.XLOOKUP(84526,Trip[shape_id],Trip[shape_id],"Não encontrado")</f>
        <v/>
      </c>
      <c r="B22634" s="43" t="n">
        <v>-23.594572</v>
      </c>
      <c r="C22634" s="43" t="n">
        <v>-46.426114</v>
      </c>
      <c r="D22634" s="43" t="n">
        <v>689</v>
      </c>
      <c r="E22634" s="44" t="n">
        <v>25629.049</v>
      </c>
    </row>
    <row r="22635">
      <c r="A22635" s="39">
        <f>_xlfn.XLOOKUP(84526,Trip[shape_id],Trip[shape_id],"Não encontrado")</f>
        <v/>
      </c>
      <c r="B22635" s="40" t="n">
        <v>-23.594471</v>
      </c>
      <c r="C22635" s="40" t="n">
        <v>-46.42547</v>
      </c>
      <c r="D22635" s="40" t="n">
        <v>690</v>
      </c>
      <c r="E22635" s="41" t="n">
        <v>25695.727</v>
      </c>
    </row>
    <row r="22636">
      <c r="A22636" s="42">
        <f>_xlfn.XLOOKUP(84526,Trip[shape_id],Trip[shape_id],"Não encontrado")</f>
        <v/>
      </c>
      <c r="B22636" s="43" t="n">
        <v>-23.594419</v>
      </c>
      <c r="C22636" s="43" t="n">
        <v>-46.425119</v>
      </c>
      <c r="D22636" s="43" t="n">
        <v>691</v>
      </c>
      <c r="E22636" s="44" t="n">
        <v>25773.686</v>
      </c>
    </row>
    <row r="22637">
      <c r="A22637" s="39">
        <f>_xlfn.XLOOKUP(84526,Trip[shape_id],Trip[shape_id],"Não encontrado")</f>
        <v/>
      </c>
      <c r="B22637" s="40" t="n">
        <v>-23.594389</v>
      </c>
      <c r="C22637" s="40" t="n">
        <v>-46.424712</v>
      </c>
      <c r="D22637" s="40" t="n">
        <v>692</v>
      </c>
      <c r="E22637" s="41" t="n">
        <v>25857.02</v>
      </c>
    </row>
    <row r="22638">
      <c r="A22638" s="42">
        <f>_xlfn.XLOOKUP(84526,Trip[shape_id],Trip[shape_id],"Não encontrado")</f>
        <v/>
      </c>
      <c r="B22638" s="43" t="n">
        <v>-23.594281</v>
      </c>
      <c r="C22638" s="43" t="n">
        <v>-46.423904</v>
      </c>
      <c r="D22638" s="43" t="n">
        <v>693</v>
      </c>
      <c r="E22638" s="44" t="n">
        <v>25857.02</v>
      </c>
    </row>
    <row r="22639">
      <c r="A22639" s="39">
        <f>_xlfn.XLOOKUP(84526,Trip[shape_id],Trip[shape_id],"Não encontrado")</f>
        <v/>
      </c>
      <c r="B22639" s="40" t="n">
        <v>-23.594168</v>
      </c>
      <c r="C22639" s="40" t="n">
        <v>-46.423205</v>
      </c>
      <c r="D22639" s="40" t="n">
        <v>694</v>
      </c>
      <c r="E22639" s="41" t="n">
        <v>25929.455</v>
      </c>
    </row>
    <row r="22640">
      <c r="A22640" s="42">
        <f>_xlfn.XLOOKUP(84526,Trip[shape_id],Trip[shape_id],"Não encontrado")</f>
        <v/>
      </c>
      <c r="B22640" s="43" t="n">
        <v>-23.594158</v>
      </c>
      <c r="C22640" s="43" t="n">
        <v>-46.423137</v>
      </c>
      <c r="D22640" s="43" t="n">
        <v>695</v>
      </c>
      <c r="E22640" s="44" t="n">
        <v>25936.484</v>
      </c>
    </row>
    <row r="22641">
      <c r="A22641" s="39">
        <f>_xlfn.XLOOKUP(84526,Trip[shape_id],Trip[shape_id],"Não encontrado")</f>
        <v/>
      </c>
      <c r="B22641" s="40" t="n">
        <v>-23.594108</v>
      </c>
      <c r="C22641" s="40" t="n">
        <v>-46.422639</v>
      </c>
      <c r="D22641" s="40" t="n">
        <v>696</v>
      </c>
      <c r="E22641" s="41" t="n">
        <v>26025.273</v>
      </c>
    </row>
    <row r="22642">
      <c r="A22642" s="42">
        <f>_xlfn.XLOOKUP(84526,Trip[shape_id],Trip[shape_id],"Não encontrado")</f>
        <v/>
      </c>
      <c r="B22642" s="43" t="n">
        <v>-23.594073</v>
      </c>
      <c r="C22642" s="43" t="n">
        <v>-46.422272</v>
      </c>
      <c r="D22642" s="43" t="n">
        <v>697</v>
      </c>
      <c r="E22642" s="44" t="n">
        <v>26025.273</v>
      </c>
    </row>
    <row r="22643">
      <c r="A22643" s="39">
        <f>_xlfn.XLOOKUP(84526,Trip[shape_id],Trip[shape_id],"Não encontrado")</f>
        <v/>
      </c>
      <c r="B22643" s="40" t="n">
        <v>-23.59404</v>
      </c>
      <c r="C22643" s="40" t="n">
        <v>-46.421949</v>
      </c>
      <c r="D22643" s="40" t="n">
        <v>698</v>
      </c>
      <c r="E22643" s="41" t="n">
        <v>26094.129</v>
      </c>
    </row>
    <row r="22644">
      <c r="A22644" s="42">
        <f>_xlfn.XLOOKUP(84526,Trip[shape_id],Trip[shape_id],"Não encontrado")</f>
        <v/>
      </c>
      <c r="B22644" s="43" t="n">
        <v>-23.594009</v>
      </c>
      <c r="C22644" s="43" t="n">
        <v>-46.421601</v>
      </c>
      <c r="D22644" s="43" t="n">
        <v>699</v>
      </c>
      <c r="E22644" s="44" t="n">
        <v>26094.129</v>
      </c>
    </row>
    <row r="22645">
      <c r="A22645" s="39">
        <f>_xlfn.XLOOKUP(84526,Trip[shape_id],Trip[shape_id],"Não encontrado")</f>
        <v/>
      </c>
      <c r="B22645" s="40" t="n">
        <v>-23.593997</v>
      </c>
      <c r="C22645" s="40" t="n">
        <v>-46.421277</v>
      </c>
      <c r="D22645" s="40" t="n">
        <v>700</v>
      </c>
      <c r="E22645" s="41" t="n">
        <v>26139.168</v>
      </c>
    </row>
    <row r="22646">
      <c r="A22646" s="42">
        <f>_xlfn.XLOOKUP(84526,Trip[shape_id],Trip[shape_id],"Não encontrado")</f>
        <v/>
      </c>
      <c r="B22646" s="43" t="n">
        <v>-23.593997</v>
      </c>
      <c r="C22646" s="43" t="n">
        <v>-46.42116</v>
      </c>
      <c r="D22646" s="43" t="n">
        <v>701</v>
      </c>
      <c r="E22646" s="44" t="n">
        <v>26151.109</v>
      </c>
    </row>
    <row r="22647">
      <c r="A22647" s="39">
        <f>_xlfn.XLOOKUP(84526,Trip[shape_id],Trip[shape_id],"Não encontrado")</f>
        <v/>
      </c>
      <c r="B22647" s="40" t="n">
        <v>-23.593997</v>
      </c>
      <c r="C22647" s="40" t="n">
        <v>-46.421043</v>
      </c>
      <c r="D22647" s="40" t="n">
        <v>702</v>
      </c>
      <c r="E22647" s="41" t="n">
        <v>26151.109</v>
      </c>
    </row>
    <row r="22648">
      <c r="A22648" s="42">
        <f>_xlfn.XLOOKUP(84526,Trip[shape_id],Trip[shape_id],"Não encontrado")</f>
        <v/>
      </c>
      <c r="B22648" s="43" t="n">
        <v>-23.594024</v>
      </c>
      <c r="C22648" s="43" t="n">
        <v>-46.420879</v>
      </c>
      <c r="D22648" s="43" t="n">
        <v>703</v>
      </c>
      <c r="E22648" s="44" t="n">
        <v>26185.719</v>
      </c>
    </row>
    <row r="22649">
      <c r="A22649" s="39">
        <f>_xlfn.XLOOKUP(84526,Trip[shape_id],Trip[shape_id],"Não encontrado")</f>
        <v/>
      </c>
      <c r="B22649" s="40" t="n">
        <v>-23.594076</v>
      </c>
      <c r="C22649" s="40" t="n">
        <v>-46.420716</v>
      </c>
      <c r="D22649" s="40" t="n">
        <v>704</v>
      </c>
      <c r="E22649" s="41" t="n">
        <v>26202.518</v>
      </c>
    </row>
    <row r="22650">
      <c r="A22650" s="42">
        <f>_xlfn.XLOOKUP(84526,Trip[shape_id],Trip[shape_id],"Não encontrado")</f>
        <v/>
      </c>
      <c r="B22650" s="43" t="n">
        <v>-23.594127</v>
      </c>
      <c r="C22650" s="43" t="n">
        <v>-46.420561</v>
      </c>
      <c r="D22650" s="43" t="n">
        <v>705</v>
      </c>
      <c r="E22650" s="44" t="n">
        <v>26216.639</v>
      </c>
    </row>
    <row r="22651">
      <c r="A22651" s="39">
        <f>_xlfn.XLOOKUP(84526,Trip[shape_id],Trip[shape_id],"Não encontrado")</f>
        <v/>
      </c>
      <c r="B22651" s="40" t="n">
        <v>-23.594168</v>
      </c>
      <c r="C22651" s="40" t="n">
        <v>-46.42043</v>
      </c>
      <c r="D22651" s="40" t="n">
        <v>706</v>
      </c>
      <c r="E22651" s="41" t="n">
        <v>26236.127</v>
      </c>
    </row>
    <row r="22652">
      <c r="A22652" s="42">
        <f>_xlfn.XLOOKUP(84526,Trip[shape_id],Trip[shape_id],"Não encontrado")</f>
        <v/>
      </c>
      <c r="B22652" s="43" t="n">
        <v>-23.594215</v>
      </c>
      <c r="C22652" s="43" t="n">
        <v>-46.420246</v>
      </c>
      <c r="D22652" s="43" t="n">
        <v>707</v>
      </c>
      <c r="E22652" s="44" t="n">
        <v>26253.787</v>
      </c>
    </row>
    <row r="22653">
      <c r="A22653" s="39">
        <f>_xlfn.XLOOKUP(84526,Trip[shape_id],Trip[shape_id],"Não encontrado")</f>
        <v/>
      </c>
      <c r="B22653" s="40" t="n">
        <v>-23.594218</v>
      </c>
      <c r="C22653" s="40" t="n">
        <v>-46.420073</v>
      </c>
      <c r="D22653" s="40" t="n">
        <v>708</v>
      </c>
      <c r="E22653" s="41" t="n">
        <v>26265.137</v>
      </c>
    </row>
    <row r="22654">
      <c r="A22654" s="42">
        <f>_xlfn.XLOOKUP(84526,Trip[shape_id],Trip[shape_id],"Não encontrado")</f>
        <v/>
      </c>
      <c r="B22654" s="43" t="n">
        <v>-23.594224</v>
      </c>
      <c r="C22654" s="43" t="n">
        <v>-46.419962</v>
      </c>
      <c r="D22654" s="43" t="n">
        <v>709</v>
      </c>
      <c r="E22654" s="44" t="n">
        <v>26265.137</v>
      </c>
    </row>
    <row r="22655">
      <c r="A22655" s="39">
        <f>_xlfn.XLOOKUP(84526,Trip[shape_id],Trip[shape_id],"Não encontrado")</f>
        <v/>
      </c>
      <c r="B22655" s="40" t="n">
        <v>-23.594277</v>
      </c>
      <c r="C22655" s="40" t="n">
        <v>-46.419862</v>
      </c>
      <c r="D22655" s="40" t="n">
        <v>710</v>
      </c>
      <c r="E22655" s="41" t="n">
        <v>26284.154</v>
      </c>
    </row>
    <row r="22656">
      <c r="A22656" s="42">
        <f>_xlfn.XLOOKUP(84526,Trip[shape_id],Trip[shape_id],"Não encontrado")</f>
        <v/>
      </c>
      <c r="B22656" s="43" t="n">
        <v>-23.594301</v>
      </c>
      <c r="C22656" s="43" t="n">
        <v>-46.419796</v>
      </c>
      <c r="D22656" s="43" t="n">
        <v>711</v>
      </c>
      <c r="E22656" s="44" t="n">
        <v>26284.154</v>
      </c>
    </row>
    <row r="22657">
      <c r="A22657" s="39">
        <f>_xlfn.XLOOKUP(84526,Trip[shape_id],Trip[shape_id],"Não encontrado")</f>
        <v/>
      </c>
      <c r="B22657" s="40" t="n">
        <v>-23.59431</v>
      </c>
      <c r="C22657" s="40" t="n">
        <v>-46.419773</v>
      </c>
      <c r="D22657" s="40" t="n">
        <v>712</v>
      </c>
      <c r="E22657" s="41" t="n">
        <v>26300.791</v>
      </c>
    </row>
    <row r="22658">
      <c r="A22658" s="42">
        <f>_xlfn.XLOOKUP(84526,Trip[shape_id],Trip[shape_id],"Não encontrado")</f>
        <v/>
      </c>
      <c r="B22658" s="43" t="n">
        <v>-23.594344</v>
      </c>
      <c r="C22658" s="43" t="n">
        <v>-46.41964</v>
      </c>
      <c r="D22658" s="43" t="n">
        <v>713</v>
      </c>
      <c r="E22658" s="44" t="n">
        <v>26306.459</v>
      </c>
    </row>
    <row r="22659">
      <c r="A22659" s="39">
        <f>_xlfn.XLOOKUP(84526,Trip[shape_id],Trip[shape_id],"Não encontrado")</f>
        <v/>
      </c>
      <c r="B22659" s="40" t="n">
        <v>-23.594351</v>
      </c>
      <c r="C22659" s="40" t="n">
        <v>-46.419585</v>
      </c>
      <c r="D22659" s="40" t="n">
        <v>714</v>
      </c>
      <c r="E22659" s="41" t="n">
        <v>26306.459</v>
      </c>
    </row>
    <row r="22660">
      <c r="A22660" s="42">
        <f>_xlfn.XLOOKUP(84526,Trip[shape_id],Trip[shape_id],"Não encontrado")</f>
        <v/>
      </c>
      <c r="B22660" s="43" t="n">
        <v>-23.594367</v>
      </c>
      <c r="C22660" s="43" t="n">
        <v>-46.419475</v>
      </c>
      <c r="D22660" s="43" t="n">
        <v>715</v>
      </c>
      <c r="E22660" s="44" t="n">
        <v>26317.824</v>
      </c>
    </row>
    <row r="22661">
      <c r="A22661" s="39">
        <f>_xlfn.XLOOKUP(84526,Trip[shape_id],Trip[shape_id],"Não encontrado")</f>
        <v/>
      </c>
      <c r="B22661" s="40" t="n">
        <v>-23.594166</v>
      </c>
      <c r="C22661" s="40" t="n">
        <v>-46.419493</v>
      </c>
      <c r="D22661" s="40" t="n">
        <v>716</v>
      </c>
      <c r="E22661" s="41" t="n">
        <v>26340.16</v>
      </c>
    </row>
    <row r="22662">
      <c r="A22662" s="42">
        <f>_xlfn.XLOOKUP(84526,Trip[shape_id],Trip[shape_id],"Não encontrado")</f>
        <v/>
      </c>
      <c r="B22662" s="43" t="n">
        <v>-23.594067</v>
      </c>
      <c r="C22662" s="43" t="n">
        <v>-46.419259</v>
      </c>
      <c r="D22662" s="43" t="n">
        <v>717</v>
      </c>
      <c r="E22662" s="44" t="n">
        <v>26385.26</v>
      </c>
    </row>
    <row r="22663">
      <c r="A22663" s="39">
        <f>_xlfn.XLOOKUP(84526,Trip[shape_id],Trip[shape_id],"Não encontrado")</f>
        <v/>
      </c>
      <c r="B22663" s="40" t="n">
        <v>-23.593981</v>
      </c>
      <c r="C22663" s="40" t="n">
        <v>-46.4191</v>
      </c>
      <c r="D22663" s="40" t="n">
        <v>718</v>
      </c>
      <c r="E22663" s="41" t="n">
        <v>26409.535</v>
      </c>
    </row>
    <row r="22664">
      <c r="A22664" s="42">
        <f>_xlfn.XLOOKUP(84526,Trip[shape_id],Trip[shape_id],"Não encontrado")</f>
        <v/>
      </c>
      <c r="B22664" s="43" t="n">
        <v>-23.593841</v>
      </c>
      <c r="C22664" s="43" t="n">
        <v>-46.418917</v>
      </c>
      <c r="D22664" s="43" t="n">
        <v>719</v>
      </c>
      <c r="E22664" s="44" t="n">
        <v>26409.535</v>
      </c>
    </row>
    <row r="22665">
      <c r="A22665" s="39">
        <f>_xlfn.XLOOKUP(84526,Trip[shape_id],Trip[shape_id],"Não encontrado")</f>
        <v/>
      </c>
      <c r="B22665" s="40" t="n">
        <v>-23.593718</v>
      </c>
      <c r="C22665" s="40" t="n">
        <v>-46.418787</v>
      </c>
      <c r="D22665" s="40" t="n">
        <v>720</v>
      </c>
      <c r="E22665" s="41" t="n">
        <v>26444.252</v>
      </c>
    </row>
    <row r="22666">
      <c r="A22666" s="42">
        <f>_xlfn.XLOOKUP(84526,Trip[shape_id],Trip[shape_id],"Não encontrado")</f>
        <v/>
      </c>
      <c r="B22666" s="43" t="n">
        <v>-23.593608</v>
      </c>
      <c r="C22666" s="43" t="n">
        <v>-46.41869</v>
      </c>
      <c r="D22666" s="43" t="n">
        <v>721</v>
      </c>
      <c r="E22666" s="44" t="n">
        <v>26478.68</v>
      </c>
    </row>
    <row r="22667">
      <c r="A22667" s="39">
        <f>_xlfn.XLOOKUP(84526,Trip[shape_id],Trip[shape_id],"Não encontrado")</f>
        <v/>
      </c>
      <c r="B22667" s="40" t="n">
        <v>-23.593357</v>
      </c>
      <c r="C22667" s="40" t="n">
        <v>-46.418491</v>
      </c>
      <c r="D22667" s="40" t="n">
        <v>722</v>
      </c>
      <c r="E22667" s="41" t="n">
        <v>26500.477</v>
      </c>
    </row>
    <row r="22668">
      <c r="A22668" s="42">
        <f>_xlfn.XLOOKUP(84526,Trip[shape_id],Trip[shape_id],"Não encontrado")</f>
        <v/>
      </c>
      <c r="B22668" s="43" t="n">
        <v>-23.59319</v>
      </c>
      <c r="C22668" s="43" t="n">
        <v>-46.418378</v>
      </c>
      <c r="D22668" s="43" t="n">
        <v>723</v>
      </c>
      <c r="E22668" s="44" t="n">
        <v>26659.461</v>
      </c>
    </row>
    <row r="22669">
      <c r="A22669" s="39">
        <f>_xlfn.XLOOKUP(84526,Trip[shape_id],Trip[shape_id],"Não encontrado")</f>
        <v/>
      </c>
      <c r="B22669" s="40" t="n">
        <v>-23.59201</v>
      </c>
      <c r="C22669" s="40" t="n">
        <v>-46.417491</v>
      </c>
      <c r="D22669" s="40" t="n">
        <v>724</v>
      </c>
      <c r="E22669" s="41" t="n">
        <v>26718.734</v>
      </c>
    </row>
    <row r="22670">
      <c r="A22670" s="42">
        <f>_xlfn.XLOOKUP(84526,Trip[shape_id],Trip[shape_id],"Não encontrado")</f>
        <v/>
      </c>
      <c r="B22670" s="43" t="n">
        <v>-23.591554</v>
      </c>
      <c r="C22670" s="43" t="n">
        <v>-46.417187</v>
      </c>
      <c r="D22670" s="43" t="n">
        <v>725</v>
      </c>
      <c r="E22670" s="44" t="n">
        <v>26742.67</v>
      </c>
    </row>
    <row r="22671">
      <c r="A22671" s="39">
        <f>_xlfn.XLOOKUP(84526,Trip[shape_id],Trip[shape_id],"Não encontrado")</f>
        <v/>
      </c>
      <c r="B22671" s="40" t="n">
        <v>-23.59137</v>
      </c>
      <c r="C22671" s="40" t="n">
        <v>-46.417064</v>
      </c>
      <c r="D22671" s="40" t="n">
        <v>726</v>
      </c>
      <c r="E22671" s="41" t="n">
        <v>26767.664</v>
      </c>
    </row>
    <row r="22672">
      <c r="A22672" s="42">
        <f>_xlfn.XLOOKUP(84526,Trip[shape_id],Trip[shape_id],"Não encontrado")</f>
        <v/>
      </c>
      <c r="B22672" s="43" t="n">
        <v>-23.591162</v>
      </c>
      <c r="C22672" s="43" t="n">
        <v>-46.416969</v>
      </c>
      <c r="D22672" s="43" t="n">
        <v>727</v>
      </c>
      <c r="E22672" s="44" t="n">
        <v>26807.318</v>
      </c>
    </row>
    <row r="22673">
      <c r="A22673" s="39">
        <f>_xlfn.XLOOKUP(84526,Trip[shape_id],Trip[shape_id],"Não encontrado")</f>
        <v/>
      </c>
      <c r="B22673" s="40" t="n">
        <v>-23.590823</v>
      </c>
      <c r="C22673" s="40" t="n">
        <v>-46.416844</v>
      </c>
      <c r="D22673" s="40" t="n">
        <v>728</v>
      </c>
      <c r="E22673" s="41" t="n">
        <v>26807.318</v>
      </c>
    </row>
    <row r="22674">
      <c r="A22674" s="42">
        <f>_xlfn.XLOOKUP(84526,Trip[shape_id],Trip[shape_id],"Não encontrado")</f>
        <v/>
      </c>
      <c r="B22674" s="43" t="n">
        <v>-23.5901</v>
      </c>
      <c r="C22674" s="43" t="n">
        <v>-46.416568</v>
      </c>
      <c r="D22674" s="43" t="n">
        <v>729</v>
      </c>
      <c r="E22674" s="44" t="n">
        <v>26910.869</v>
      </c>
    </row>
    <row r="22675">
      <c r="A22675" s="39">
        <f>_xlfn.XLOOKUP(84526,Trip[shape_id],Trip[shape_id],"Não encontrado")</f>
        <v/>
      </c>
      <c r="B22675" s="40" t="n">
        <v>-23.589948</v>
      </c>
      <c r="C22675" s="40" t="n">
        <v>-46.416489</v>
      </c>
      <c r="D22675" s="40" t="n">
        <v>730</v>
      </c>
      <c r="E22675" s="41" t="n">
        <v>26929.857</v>
      </c>
    </row>
    <row r="22676">
      <c r="A22676" s="42">
        <f>_xlfn.XLOOKUP(84526,Trip[shape_id],Trip[shape_id],"Não encontrado")</f>
        <v/>
      </c>
      <c r="B22676" s="43" t="n">
        <v>-23.589817</v>
      </c>
      <c r="C22676" s="43" t="n">
        <v>-46.416369</v>
      </c>
      <c r="D22676" s="43" t="n">
        <v>731</v>
      </c>
      <c r="E22676" s="44" t="n">
        <v>26945.973</v>
      </c>
    </row>
    <row r="22677">
      <c r="A22677" s="39">
        <f>_xlfn.XLOOKUP(84526,Trip[shape_id],Trip[shape_id],"Não encontrado")</f>
        <v/>
      </c>
      <c r="B22677" s="40" t="n">
        <v>-23.58971</v>
      </c>
      <c r="C22677" s="40" t="n">
        <v>-46.416262</v>
      </c>
      <c r="D22677" s="40" t="n">
        <v>732</v>
      </c>
      <c r="E22677" s="41" t="n">
        <v>26958.871</v>
      </c>
    </row>
    <row r="22678">
      <c r="A22678" s="42">
        <f>_xlfn.XLOOKUP(84526,Trip[shape_id],Trip[shape_id],"Não encontrado")</f>
        <v/>
      </c>
      <c r="B22678" s="43" t="n">
        <v>-23.58964</v>
      </c>
      <c r="C22678" s="43" t="n">
        <v>-46.416161</v>
      </c>
      <c r="D22678" s="43" t="n">
        <v>733</v>
      </c>
      <c r="E22678" s="44" t="n">
        <v>26993.543</v>
      </c>
    </row>
    <row r="22679">
      <c r="A22679" s="39">
        <f>_xlfn.XLOOKUP(84526,Trip[shape_id],Trip[shape_id],"Não encontrado")</f>
        <v/>
      </c>
      <c r="B22679" s="40" t="n">
        <v>-23.589443</v>
      </c>
      <c r="C22679" s="40" t="n">
        <v>-46.415897</v>
      </c>
      <c r="D22679" s="40" t="n">
        <v>734</v>
      </c>
      <c r="E22679" s="41" t="n">
        <v>26993.543</v>
      </c>
    </row>
    <row r="22680">
      <c r="A22680" s="42">
        <f>_xlfn.XLOOKUP(84526,Trip[shape_id],Trip[shape_id],"Não encontrado")</f>
        <v/>
      </c>
      <c r="B22680" s="43" t="n">
        <v>-23.589224</v>
      </c>
      <c r="C22680" s="43" t="n">
        <v>-46.415607</v>
      </c>
      <c r="D22680" s="43" t="n">
        <v>735</v>
      </c>
      <c r="E22680" s="44" t="n">
        <v>27050.086</v>
      </c>
    </row>
    <row r="22681">
      <c r="A22681" s="39">
        <f>_xlfn.XLOOKUP(84526,Trip[shape_id],Trip[shape_id],"Não encontrado")</f>
        <v/>
      </c>
      <c r="B22681" s="40" t="n">
        <v>-23.589105</v>
      </c>
      <c r="C22681" s="40" t="n">
        <v>-46.415483</v>
      </c>
      <c r="D22681" s="40" t="n">
        <v>736</v>
      </c>
      <c r="E22681" s="41" t="n">
        <v>27064.668</v>
      </c>
    </row>
    <row r="22682">
      <c r="A22682" s="42">
        <f>_xlfn.XLOOKUP(84526,Trip[shape_id],Trip[shape_id],"Não encontrado")</f>
        <v/>
      </c>
      <c r="B22682" s="43" t="n">
        <v>-23.589002</v>
      </c>
      <c r="C22682" s="43" t="n">
        <v>-46.415394</v>
      </c>
      <c r="D22682" s="43" t="n">
        <v>737</v>
      </c>
      <c r="E22682" s="44" t="n">
        <v>27084.502</v>
      </c>
    </row>
    <row r="22683">
      <c r="A22683" s="39">
        <f>_xlfn.XLOOKUP(84526,Trip[shape_id],Trip[shape_id],"Não encontrado")</f>
        <v/>
      </c>
      <c r="B22683" s="40" t="n">
        <v>-23.588849</v>
      </c>
      <c r="C22683" s="40" t="n">
        <v>-46.415293</v>
      </c>
      <c r="D22683" s="40" t="n">
        <v>738</v>
      </c>
      <c r="E22683" s="41" t="n">
        <v>27097.744</v>
      </c>
    </row>
    <row r="22684">
      <c r="A22684" s="42">
        <f>_xlfn.XLOOKUP(84526,Trip[shape_id],Trip[shape_id],"Não encontrado")</f>
        <v/>
      </c>
      <c r="B22684" s="43" t="n">
        <v>-23.588745</v>
      </c>
      <c r="C22684" s="43" t="n">
        <v>-46.415229</v>
      </c>
      <c r="D22684" s="43" t="n">
        <v>739</v>
      </c>
      <c r="E22684" s="44" t="n">
        <v>27117.27</v>
      </c>
    </row>
    <row r="22685">
      <c r="A22685" s="39">
        <f>_xlfn.XLOOKUP(84526,Trip[shape_id],Trip[shape_id],"Não encontrado")</f>
        <v/>
      </c>
      <c r="B22685" s="40" t="n">
        <v>-23.588577</v>
      </c>
      <c r="C22685" s="40" t="n">
        <v>-46.415171</v>
      </c>
      <c r="D22685" s="40" t="n">
        <v>740</v>
      </c>
      <c r="E22685" s="41" t="n">
        <v>27140.633</v>
      </c>
    </row>
    <row r="22686">
      <c r="A22686" s="42">
        <f>_xlfn.XLOOKUP(84526,Trip[shape_id],Trip[shape_id],"Não encontrado")</f>
        <v/>
      </c>
      <c r="B22686" s="43" t="n">
        <v>-23.588368</v>
      </c>
      <c r="C22686" s="43" t="n">
        <v>-46.41514</v>
      </c>
      <c r="D22686" s="43" t="n">
        <v>741</v>
      </c>
      <c r="E22686" s="44" t="n">
        <v>27184.557</v>
      </c>
    </row>
    <row r="22687">
      <c r="A22687" s="39">
        <f>_xlfn.XLOOKUP(84526,Trip[shape_id],Trip[shape_id],"Não encontrado")</f>
        <v/>
      </c>
      <c r="B22687" s="40" t="n">
        <v>-23.587977</v>
      </c>
      <c r="C22687" s="40" t="n">
        <v>-46.415068</v>
      </c>
      <c r="D22687" s="40" t="n">
        <v>742</v>
      </c>
      <c r="E22687" s="41" t="n">
        <v>27184.557</v>
      </c>
    </row>
    <row r="22688">
      <c r="A22688" s="42">
        <f>_xlfn.XLOOKUP(84526,Trip[shape_id],Trip[shape_id],"Não encontrado")</f>
        <v/>
      </c>
      <c r="B22688" s="43" t="n">
        <v>-23.587463</v>
      </c>
      <c r="C22688" s="43" t="n">
        <v>-46.414972</v>
      </c>
      <c r="D22688" s="43" t="n">
        <v>743</v>
      </c>
      <c r="E22688" s="44" t="n">
        <v>27242.32</v>
      </c>
    </row>
    <row r="22689">
      <c r="A22689" s="39">
        <f>_xlfn.XLOOKUP(84526,Trip[shape_id],Trip[shape_id],"Não encontrado")</f>
        <v/>
      </c>
      <c r="B22689" s="40" t="n">
        <v>-23.586911</v>
      </c>
      <c r="C22689" s="40" t="n">
        <v>-46.414861</v>
      </c>
      <c r="D22689" s="40" t="n">
        <v>744</v>
      </c>
      <c r="E22689" s="41" t="n">
        <v>27304.496</v>
      </c>
    </row>
    <row r="22690">
      <c r="A22690" s="42">
        <f>_xlfn.XLOOKUP(84526,Trip[shape_id],Trip[shape_id],"Não encontrado")</f>
        <v/>
      </c>
      <c r="B22690" s="43" t="n">
        <v>-23.586608</v>
      </c>
      <c r="C22690" s="43" t="n">
        <v>-46.41482</v>
      </c>
      <c r="D22690" s="43" t="n">
        <v>745</v>
      </c>
      <c r="E22690" s="44" t="n">
        <v>27374.422</v>
      </c>
    </row>
    <row r="22691">
      <c r="A22691" s="39">
        <f>_xlfn.XLOOKUP(84526,Trip[shape_id],Trip[shape_id],"Não encontrado")</f>
        <v/>
      </c>
      <c r="B22691" s="40" t="n">
        <v>-23.586282</v>
      </c>
      <c r="C22691" s="40" t="n">
        <v>-46.414823</v>
      </c>
      <c r="D22691" s="40" t="n">
        <v>746</v>
      </c>
      <c r="E22691" s="41" t="n">
        <v>27412.088</v>
      </c>
    </row>
    <row r="22692">
      <c r="A22692" s="42">
        <f>_xlfn.XLOOKUP(84526,Trip[shape_id],Trip[shape_id],"Não encontrado")</f>
        <v/>
      </c>
      <c r="B22692" s="43" t="n">
        <v>-23.585942</v>
      </c>
      <c r="C22692" s="43" t="n">
        <v>-46.414832</v>
      </c>
      <c r="D22692" s="43" t="n">
        <v>747</v>
      </c>
      <c r="E22692" s="44" t="n">
        <v>27425.16</v>
      </c>
    </row>
    <row r="22693">
      <c r="A22693" s="39">
        <f>_xlfn.XLOOKUP(84526,Trip[shape_id],Trip[shape_id],"Não encontrado")</f>
        <v/>
      </c>
      <c r="B22693" s="40" t="n">
        <v>-23.585824</v>
      </c>
      <c r="C22693" s="40" t="n">
        <v>-46.414835</v>
      </c>
      <c r="D22693" s="40" t="n">
        <v>748</v>
      </c>
      <c r="E22693" s="41" t="n">
        <v>27488.344</v>
      </c>
    </row>
    <row r="22694">
      <c r="A22694" s="42">
        <f>_xlfn.XLOOKUP(84526,Trip[shape_id],Trip[shape_id],"Não encontrado")</f>
        <v/>
      </c>
      <c r="B22694" s="43" t="n">
        <v>-23.585254</v>
      </c>
      <c r="C22694" s="43" t="n">
        <v>-46.414861</v>
      </c>
      <c r="D22694" s="43" t="n">
        <v>749</v>
      </c>
      <c r="E22694" s="44" t="n">
        <v>27488.344</v>
      </c>
    </row>
    <row r="22695">
      <c r="A22695" s="39">
        <f>_xlfn.XLOOKUP(84526,Trip[shape_id],Trip[shape_id],"Não encontrado")</f>
        <v/>
      </c>
      <c r="B22695" s="40" t="n">
        <v>-23.584381</v>
      </c>
      <c r="C22695" s="40" t="n">
        <v>-46.414952</v>
      </c>
      <c r="D22695" s="40" t="n">
        <v>750</v>
      </c>
      <c r="E22695" s="41" t="n">
        <v>27585.477</v>
      </c>
    </row>
    <row r="22696">
      <c r="A22696" s="42">
        <f>_xlfn.XLOOKUP(84526,Trip[shape_id],Trip[shape_id],"Não encontrado")</f>
        <v/>
      </c>
      <c r="B22696" s="43" t="n">
        <v>-23.583545</v>
      </c>
      <c r="C22696" s="43" t="n">
        <v>-46.415018</v>
      </c>
      <c r="D22696" s="43" t="n">
        <v>751</v>
      </c>
      <c r="E22696" s="44" t="n">
        <v>27750.744</v>
      </c>
    </row>
    <row r="22697">
      <c r="A22697" s="39">
        <f>_xlfn.XLOOKUP(84526,Trip[shape_id],Trip[shape_id],"Não encontrado")</f>
        <v/>
      </c>
      <c r="B22697" s="40" t="n">
        <v>-23.582894</v>
      </c>
      <c r="C22697" s="40" t="n">
        <v>-46.415086</v>
      </c>
      <c r="D22697" s="40" t="n">
        <v>752</v>
      </c>
      <c r="E22697" s="41" t="n">
        <v>27750.744</v>
      </c>
    </row>
    <row r="22698">
      <c r="A22698" s="42">
        <f>_xlfn.XLOOKUP(84526,Trip[shape_id],Trip[shape_id],"Não encontrado")</f>
        <v/>
      </c>
      <c r="B22698" s="43" t="n">
        <v>-23.582562</v>
      </c>
      <c r="C22698" s="43" t="n">
        <v>-46.415113</v>
      </c>
      <c r="D22698" s="43" t="n">
        <v>753</v>
      </c>
      <c r="E22698" s="44" t="n">
        <v>27866.232</v>
      </c>
    </row>
    <row r="22699">
      <c r="A22699" s="39">
        <f>_xlfn.XLOOKUP(84526,Trip[shape_id],Trip[shape_id],"Não encontrado")</f>
        <v/>
      </c>
      <c r="B22699" s="40" t="n">
        <v>-23.581864</v>
      </c>
      <c r="C22699" s="40" t="n">
        <v>-46.415253</v>
      </c>
      <c r="D22699" s="40" t="n">
        <v>754</v>
      </c>
      <c r="E22699" s="41" t="n">
        <v>27866.232</v>
      </c>
    </row>
    <row r="22700">
      <c r="A22700" s="42">
        <f>_xlfn.XLOOKUP(84526,Trip[shape_id],Trip[shape_id],"Não encontrado")</f>
        <v/>
      </c>
      <c r="B22700" s="43" t="n">
        <v>-23.581741</v>
      </c>
      <c r="C22700" s="43" t="n">
        <v>-46.415239</v>
      </c>
      <c r="D22700" s="43" t="n">
        <v>755</v>
      </c>
      <c r="E22700" s="44" t="n">
        <v>27889.842</v>
      </c>
    </row>
    <row r="22701">
      <c r="A22701" s="39">
        <f>_xlfn.XLOOKUP(84526,Trip[shape_id],Trip[shape_id],"Não encontrado")</f>
        <v/>
      </c>
      <c r="B22701" s="40" t="n">
        <v>-23.581666</v>
      </c>
      <c r="C22701" s="40" t="n">
        <v>-46.415186</v>
      </c>
      <c r="D22701" s="40" t="n">
        <v>756</v>
      </c>
      <c r="E22701" s="41" t="n">
        <v>27938.809</v>
      </c>
    </row>
    <row r="22702">
      <c r="A22702" s="42">
        <f>_xlfn.XLOOKUP(84526,Trip[shape_id],Trip[shape_id],"Não encontrado")</f>
        <v/>
      </c>
      <c r="B22702" s="43" t="n">
        <v>-23.581388</v>
      </c>
      <c r="C22702" s="43" t="n">
        <v>-46.414813</v>
      </c>
      <c r="D22702" s="43" t="n">
        <v>757</v>
      </c>
      <c r="E22702" s="44" t="n">
        <v>27938.809</v>
      </c>
    </row>
    <row r="22703">
      <c r="A22703" s="39">
        <f>_xlfn.XLOOKUP(84526,Trip[shape_id],Trip[shape_id],"Não encontrado")</f>
        <v/>
      </c>
      <c r="B22703" s="40" t="n">
        <v>-23.581</v>
      </c>
      <c r="C22703" s="40" t="n">
        <v>-46.414219</v>
      </c>
      <c r="D22703" s="40" t="n">
        <v>758</v>
      </c>
      <c r="E22703" s="41" t="n">
        <v>28048.166</v>
      </c>
    </row>
    <row r="22704">
      <c r="A22704" s="42">
        <f>_xlfn.XLOOKUP(84526,Trip[shape_id],Trip[shape_id],"Não encontrado")</f>
        <v/>
      </c>
      <c r="B22704" s="43" t="n">
        <v>-23.580817</v>
      </c>
      <c r="C22704" s="43" t="n">
        <v>-46.413939</v>
      </c>
      <c r="D22704" s="43" t="n">
        <v>759</v>
      </c>
      <c r="E22704" s="44" t="n">
        <v>28048.166</v>
      </c>
    </row>
    <row r="22705">
      <c r="A22705" s="39">
        <f>_xlfn.XLOOKUP(84526,Trip[shape_id],Trip[shape_id],"Não encontrado")</f>
        <v/>
      </c>
      <c r="B22705" s="40" t="n">
        <v>-23.580472</v>
      </c>
      <c r="C22705" s="40" t="n">
        <v>-46.413336</v>
      </c>
      <c r="D22705" s="40" t="n">
        <v>760</v>
      </c>
      <c r="E22705" s="41" t="n">
        <v>28120.615</v>
      </c>
    </row>
    <row r="22706">
      <c r="A22706" s="42">
        <f>_xlfn.XLOOKUP(84526,Trip[shape_id],Trip[shape_id],"Não encontrado")</f>
        <v/>
      </c>
      <c r="B22706" s="43" t="n">
        <v>-23.579725</v>
      </c>
      <c r="C22706" s="43" t="n">
        <v>-46.412164</v>
      </c>
      <c r="D22706" s="43" t="n">
        <v>761</v>
      </c>
      <c r="E22706" s="44" t="n">
        <v>28266.072</v>
      </c>
    </row>
    <row r="22707">
      <c r="A22707" s="39">
        <f>_xlfn.XLOOKUP(84526,Trip[shape_id],Trip[shape_id],"Não encontrado")</f>
        <v/>
      </c>
      <c r="B22707" s="40" t="n">
        <v>-23.579651</v>
      </c>
      <c r="C22707" s="40" t="n">
        <v>-46.412099</v>
      </c>
      <c r="D22707" s="40" t="n">
        <v>762</v>
      </c>
      <c r="E22707" s="41" t="n">
        <v>28294.84</v>
      </c>
    </row>
    <row r="22708">
      <c r="A22708" s="42">
        <f>_xlfn.XLOOKUP(84526,Trip[shape_id],Trip[shape_id],"Não encontrado")</f>
        <v/>
      </c>
      <c r="B22708" s="43" t="n">
        <v>-23.579559</v>
      </c>
      <c r="C22708" s="43" t="n">
        <v>-46.411951</v>
      </c>
      <c r="D22708" s="43" t="n">
        <v>763</v>
      </c>
      <c r="E22708" s="44" t="n">
        <v>28294.84</v>
      </c>
    </row>
    <row r="22709">
      <c r="A22709" s="39">
        <f>_xlfn.XLOOKUP(84526,Trip[shape_id],Trip[shape_id],"Não encontrado")</f>
        <v/>
      </c>
      <c r="B22709" s="40" t="n">
        <v>-23.579495</v>
      </c>
      <c r="C22709" s="40" t="n">
        <v>-46.411837</v>
      </c>
      <c r="D22709" s="40" t="n">
        <v>764</v>
      </c>
      <c r="E22709" s="41" t="n">
        <v>28308.465</v>
      </c>
    </row>
    <row r="22710">
      <c r="A22710" s="42">
        <f>_xlfn.XLOOKUP(84526,Trip[shape_id],Trip[shape_id],"Não encontrado")</f>
        <v/>
      </c>
      <c r="B22710" s="43" t="n">
        <v>-23.579407</v>
      </c>
      <c r="C22710" s="43" t="n">
        <v>-46.411734</v>
      </c>
      <c r="D22710" s="43" t="n">
        <v>765</v>
      </c>
      <c r="E22710" s="44" t="n">
        <v>28331.393</v>
      </c>
    </row>
    <row r="22711">
      <c r="A22711" s="39">
        <f>_xlfn.XLOOKUP(84526,Trip[shape_id],Trip[shape_id],"Não encontrado")</f>
        <v/>
      </c>
      <c r="B22711" s="40" t="n">
        <v>-23.579346</v>
      </c>
      <c r="C22711" s="40" t="n">
        <v>-46.411682</v>
      </c>
      <c r="D22711" s="40" t="n">
        <v>766</v>
      </c>
      <c r="E22711" s="41" t="n">
        <v>28331.393</v>
      </c>
    </row>
    <row r="22712">
      <c r="A22712" s="42">
        <f>_xlfn.XLOOKUP(84526,Trip[shape_id],Trip[shape_id],"Não encontrado")</f>
        <v/>
      </c>
      <c r="B22712" s="43" t="n">
        <v>-23.579558</v>
      </c>
      <c r="C22712" s="43" t="n">
        <v>-46.411609</v>
      </c>
      <c r="D22712" s="43" t="n">
        <v>767</v>
      </c>
      <c r="E22712" s="44" t="n">
        <v>28356.025</v>
      </c>
    </row>
    <row r="22713">
      <c r="A22713" s="39">
        <f>_xlfn.XLOOKUP(84526,Trip[shape_id],Trip[shape_id],"Não encontrado")</f>
        <v/>
      </c>
      <c r="B22713" s="40" t="n">
        <v>-23.579656</v>
      </c>
      <c r="C22713" s="40" t="n">
        <v>-46.411592</v>
      </c>
      <c r="D22713" s="40" t="n">
        <v>768</v>
      </c>
      <c r="E22713" s="41" t="n">
        <v>28367.018</v>
      </c>
    </row>
    <row r="22714">
      <c r="A22714" s="42">
        <f>_xlfn.XLOOKUP(84526,Trip[shape_id],Trip[shape_id],"Não encontrado")</f>
        <v/>
      </c>
      <c r="B22714" s="43" t="n">
        <v>-23.579721</v>
      </c>
      <c r="C22714" s="43" t="n">
        <v>-46.41158</v>
      </c>
      <c r="D22714" s="43" t="n">
        <v>769</v>
      </c>
      <c r="E22714" s="44" t="n">
        <v>28385.275</v>
      </c>
    </row>
    <row r="22715">
      <c r="A22715" s="39">
        <f>_xlfn.XLOOKUP(84526,Trip[shape_id],Trip[shape_id],"Não encontrado")</f>
        <v/>
      </c>
      <c r="B22715" s="40" t="n">
        <v>-23.579818</v>
      </c>
      <c r="C22715" s="40" t="n">
        <v>-46.411559</v>
      </c>
      <c r="D22715" s="40" t="n">
        <v>770</v>
      </c>
      <c r="E22715" s="41" t="n">
        <v>28395.756</v>
      </c>
    </row>
    <row r="22716">
      <c r="A22716" s="42">
        <f>_xlfn.XLOOKUP(84526,Trip[shape_id],Trip[shape_id],"Não encontrado")</f>
        <v/>
      </c>
      <c r="B22716" s="43" t="n">
        <v>-23.579911</v>
      </c>
      <c r="C22716" s="43" t="n">
        <v>-46.41154</v>
      </c>
      <c r="D22716" s="43" t="n">
        <v>771</v>
      </c>
      <c r="E22716" s="44" t="n">
        <v>28395.756</v>
      </c>
    </row>
    <row r="22717">
      <c r="A22717" s="39">
        <f>_xlfn.XLOOKUP(84526,Trip[shape_id],Trip[shape_id],"Não encontrado")</f>
        <v/>
      </c>
      <c r="B22717" s="40" t="n">
        <v>-23.580081</v>
      </c>
      <c r="C22717" s="40" t="n">
        <v>-46.4115</v>
      </c>
      <c r="D22717" s="40" t="n">
        <v>772</v>
      </c>
      <c r="E22717" s="41" t="n">
        <v>28441.203</v>
      </c>
    </row>
    <row r="22718">
      <c r="A22718" s="42">
        <f>_xlfn.XLOOKUP(84526,Trip[shape_id],Trip[shape_id],"Não encontrado")</f>
        <v/>
      </c>
      <c r="B22718" s="43" t="n">
        <v>-23.580305</v>
      </c>
      <c r="C22718" s="43" t="n">
        <v>-46.411418</v>
      </c>
      <c r="D22718" s="43" t="n">
        <v>773</v>
      </c>
      <c r="E22718" s="44" t="n">
        <v>28458.965</v>
      </c>
    </row>
    <row r="22719">
      <c r="A22719" s="39">
        <f>_xlfn.XLOOKUP(84526,Trip[shape_id],Trip[shape_id],"Não encontrado")</f>
        <v/>
      </c>
      <c r="B22719" s="40" t="n">
        <v>-23.580453</v>
      </c>
      <c r="C22719" s="40" t="n">
        <v>-46.411351</v>
      </c>
      <c r="D22719" s="40" t="n">
        <v>774</v>
      </c>
      <c r="E22719" s="41" t="n">
        <v>28458.965</v>
      </c>
    </row>
    <row r="22720">
      <c r="A22720" s="42">
        <f>_xlfn.XLOOKUP(84526,Trip[shape_id],Trip[shape_id],"Não encontrado")</f>
        <v/>
      </c>
      <c r="B22720" s="43" t="n">
        <v>-23.580803</v>
      </c>
      <c r="C22720" s="43" t="n">
        <v>-46.411101</v>
      </c>
      <c r="D22720" s="43" t="n">
        <v>775</v>
      </c>
      <c r="E22720" s="44" t="n">
        <v>28569.91</v>
      </c>
    </row>
    <row r="22721">
      <c r="A22721" s="39">
        <f>_xlfn.XLOOKUP(84526,Trip[shape_id],Trip[shape_id],"Não encontrado")</f>
        <v/>
      </c>
      <c r="B22721" s="40" t="n">
        <v>-23.581282</v>
      </c>
      <c r="C22721" s="40" t="n">
        <v>-46.410741</v>
      </c>
      <c r="D22721" s="40" t="n">
        <v>776</v>
      </c>
      <c r="E22721" s="41" t="n">
        <v>28569.91</v>
      </c>
    </row>
    <row r="22722">
      <c r="A22722" s="42">
        <f>_xlfn.XLOOKUP(84526,Trip[shape_id],Trip[shape_id],"Não encontrado")</f>
        <v/>
      </c>
      <c r="B22722" s="43" t="n">
        <v>-23.58214</v>
      </c>
      <c r="C22722" s="43" t="n">
        <v>-46.410138</v>
      </c>
      <c r="D22722" s="43" t="n">
        <v>777</v>
      </c>
      <c r="E22722" s="44" t="n">
        <v>28683.129</v>
      </c>
    </row>
    <row r="22723">
      <c r="A22723" s="39">
        <f>_xlfn.XLOOKUP(84526,Trip[shape_id],Trip[shape_id],"Não encontrado")</f>
        <v/>
      </c>
      <c r="B22723" s="40" t="n">
        <v>-23.582556</v>
      </c>
      <c r="C22723" s="40" t="n">
        <v>-46.409835</v>
      </c>
      <c r="D22723" s="40" t="n">
        <v>778</v>
      </c>
      <c r="E22723" s="41" t="n">
        <v>28738.621</v>
      </c>
    </row>
    <row r="22724">
      <c r="A22724" s="42">
        <f>_xlfn.XLOOKUP(84526,Trip[shape_id],Trip[shape_id],"Não encontrado")</f>
        <v/>
      </c>
      <c r="B22724" s="43" t="n">
        <v>-23.582924</v>
      </c>
      <c r="C22724" s="43" t="n">
        <v>-46.40959</v>
      </c>
      <c r="D22724" s="43" t="n">
        <v>779</v>
      </c>
      <c r="E22724" s="44" t="n">
        <v>28786.439</v>
      </c>
    </row>
    <row r="22725">
      <c r="A22725" s="39">
        <f>_xlfn.XLOOKUP(84526,Trip[shape_id],Trip[shape_id],"Não encontrado")</f>
        <v/>
      </c>
      <c r="B22725" s="40" t="n">
        <v>-23.583103</v>
      </c>
      <c r="C22725" s="40" t="n">
        <v>-46.409466</v>
      </c>
      <c r="D22725" s="40" t="n">
        <v>780</v>
      </c>
      <c r="E22725" s="41" t="n">
        <v>28809.961</v>
      </c>
    </row>
    <row r="22726">
      <c r="A22726" s="42">
        <f>_xlfn.XLOOKUP(84526,Trip[shape_id],Trip[shape_id],"Não encontrado")</f>
        <v/>
      </c>
      <c r="B22726" s="43" t="n">
        <v>-23.583155</v>
      </c>
      <c r="C22726" s="43" t="n">
        <v>-46.409123</v>
      </c>
      <c r="D22726" s="43" t="n">
        <v>781</v>
      </c>
      <c r="E22726" s="44" t="n">
        <v>28845.443</v>
      </c>
    </row>
    <row r="22727">
      <c r="A22727" s="39">
        <f>_xlfn.XLOOKUP(84526,Trip[shape_id],Trip[shape_id],"Não encontrado")</f>
        <v/>
      </c>
      <c r="B22727" s="40" t="n">
        <v>-23.583107</v>
      </c>
      <c r="C22727" s="40" t="n">
        <v>-46.408996</v>
      </c>
      <c r="D22727" s="40" t="n">
        <v>782</v>
      </c>
      <c r="E22727" s="41" t="n">
        <v>28859.455</v>
      </c>
    </row>
    <row r="22728">
      <c r="A22728" s="42">
        <f>_xlfn.XLOOKUP(84526,Trip[shape_id],Trip[shape_id],"Não encontrado")</f>
        <v/>
      </c>
      <c r="B22728" s="43" t="n">
        <v>-23.583053</v>
      </c>
      <c r="C22728" s="43" t="n">
        <v>-46.408746</v>
      </c>
      <c r="D22728" s="43" t="n">
        <v>783</v>
      </c>
      <c r="E22728" s="44" t="n">
        <v>28885.666</v>
      </c>
    </row>
    <row r="22729">
      <c r="A22729" s="39">
        <f>_xlfn.XLOOKUP(84526,Trip[shape_id],Trip[shape_id],"Não encontrado")</f>
        <v/>
      </c>
      <c r="B22729" s="40" t="n">
        <v>-23.582992</v>
      </c>
      <c r="C22729" s="40" t="n">
        <v>-46.408629</v>
      </c>
      <c r="D22729" s="40" t="n">
        <v>784</v>
      </c>
      <c r="E22729" s="41" t="n">
        <v>28899.387</v>
      </c>
    </row>
    <row r="22730">
      <c r="A22730" s="42">
        <f>_xlfn.XLOOKUP(84526,Trip[shape_id],Trip[shape_id],"Não encontrado")</f>
        <v/>
      </c>
      <c r="B22730" s="43" t="n">
        <v>-23.582894</v>
      </c>
      <c r="C22730" s="43" t="n">
        <v>-46.408279</v>
      </c>
      <c r="D22730" s="43" t="n">
        <v>785</v>
      </c>
      <c r="E22730" s="44" t="n">
        <v>28936.727</v>
      </c>
    </row>
    <row r="22731">
      <c r="A22731" s="39">
        <f>_xlfn.XLOOKUP(84526,Trip[shape_id],Trip[shape_id],"Não encontrado")</f>
        <v/>
      </c>
      <c r="B22731" s="40" t="n">
        <v>-23.582904</v>
      </c>
      <c r="C22731" s="40" t="n">
        <v>-46.408242</v>
      </c>
      <c r="D22731" s="40" t="n">
        <v>786</v>
      </c>
      <c r="E22731" s="41" t="n">
        <v>28940.662</v>
      </c>
    </row>
    <row r="22732">
      <c r="A22732" s="42">
        <f>_xlfn.XLOOKUP(84526,Trip[shape_id],Trip[shape_id],"Não encontrado")</f>
        <v/>
      </c>
      <c r="B22732" s="43" t="n">
        <v>-23.582915</v>
      </c>
      <c r="C22732" s="43" t="n">
        <v>-46.408201</v>
      </c>
      <c r="D22732" s="43" t="n">
        <v>787</v>
      </c>
      <c r="E22732" s="44" t="n">
        <v>28945.021</v>
      </c>
    </row>
    <row r="22733">
      <c r="A22733" s="39">
        <f>_xlfn.XLOOKUP(84526,Trip[shape_id],Trip[shape_id],"Não encontrado")</f>
        <v/>
      </c>
      <c r="B22733" s="40" t="n">
        <v>-23.582929</v>
      </c>
      <c r="C22733" s="40" t="n">
        <v>-46.408148</v>
      </c>
      <c r="D22733" s="40" t="n">
        <v>788</v>
      </c>
      <c r="E22733" s="41" t="n">
        <v>28950.65</v>
      </c>
    </row>
    <row r="22734">
      <c r="A22734" s="42">
        <f>_xlfn.XLOOKUP(84526,Trip[shape_id],Trip[shape_id],"Não encontrado")</f>
        <v/>
      </c>
      <c r="B22734" s="43" t="n">
        <v>-23.582948</v>
      </c>
      <c r="C22734" s="43" t="n">
        <v>-46.408071</v>
      </c>
      <c r="D22734" s="43" t="n">
        <v>789</v>
      </c>
      <c r="E22734" s="44" t="n">
        <v>28958.787</v>
      </c>
    </row>
    <row r="22735">
      <c r="A22735" s="39">
        <f>_xlfn.XLOOKUP(84526,Trip[shape_id],Trip[shape_id],"Não encontrado")</f>
        <v/>
      </c>
      <c r="B22735" s="40" t="n">
        <v>-23.582969</v>
      </c>
      <c r="C22735" s="40" t="n">
        <v>-46.407987</v>
      </c>
      <c r="D22735" s="40" t="n">
        <v>790</v>
      </c>
      <c r="E22735" s="41" t="n">
        <v>28967.672</v>
      </c>
    </row>
    <row r="22736">
      <c r="A22736" s="42">
        <f>_xlfn.XLOOKUP(84526,Trip[shape_id],Trip[shape_id],"Não encontrado")</f>
        <v/>
      </c>
      <c r="B22736" s="43" t="n">
        <v>-23.582984</v>
      </c>
      <c r="C22736" s="43" t="n">
        <v>-46.407933</v>
      </c>
      <c r="D22736" s="43" t="n">
        <v>791</v>
      </c>
      <c r="E22736" s="44" t="n">
        <v>28973.428</v>
      </c>
    </row>
    <row r="22737">
      <c r="A22737" s="39">
        <f>_xlfn.XLOOKUP(84526,Trip[shape_id],Trip[shape_id],"Não encontrado")</f>
        <v/>
      </c>
      <c r="B22737" s="40" t="n">
        <v>-23.583</v>
      </c>
      <c r="C22737" s="40" t="n">
        <v>-46.407867</v>
      </c>
      <c r="D22737" s="40" t="n">
        <v>792</v>
      </c>
      <c r="E22737" s="41" t="n">
        <v>28980.395</v>
      </c>
    </row>
    <row r="22738">
      <c r="A22738" s="42">
        <f>_xlfn.XLOOKUP(84526,Trip[shape_id],Trip[shape_id],"Não encontrado")</f>
        <v/>
      </c>
      <c r="B22738" s="43" t="n">
        <v>-23.583019</v>
      </c>
      <c r="C22738" s="43" t="n">
        <v>-46.407794</v>
      </c>
      <c r="D22738" s="43" t="n">
        <v>793</v>
      </c>
      <c r="E22738" s="44" t="n">
        <v>28988.137</v>
      </c>
    </row>
    <row r="22739">
      <c r="A22739" s="39">
        <f>_xlfn.XLOOKUP(84526,Trip[shape_id],Trip[shape_id],"Não encontrado")</f>
        <v/>
      </c>
      <c r="B22739" s="40" t="n">
        <v>-23.583039</v>
      </c>
      <c r="C22739" s="40" t="n">
        <v>-46.407715</v>
      </c>
      <c r="D22739" s="40" t="n">
        <v>794</v>
      </c>
      <c r="E22739" s="41" t="n">
        <v>28996.5</v>
      </c>
    </row>
    <row r="22740">
      <c r="A22740" s="42">
        <f>_xlfn.XLOOKUP(84526,Trip[shape_id],Trip[shape_id],"Não encontrado")</f>
        <v/>
      </c>
      <c r="B22740" s="43" t="n">
        <v>-23.583061</v>
      </c>
      <c r="C22740" s="43" t="n">
        <v>-46.407631</v>
      </c>
      <c r="D22740" s="43" t="n">
        <v>795</v>
      </c>
      <c r="E22740" s="44" t="n">
        <v>29005.414</v>
      </c>
    </row>
    <row r="22741">
      <c r="A22741" s="39">
        <f>_xlfn.XLOOKUP(84526,Trip[shape_id],Trip[shape_id],"Não encontrado")</f>
        <v/>
      </c>
      <c r="B22741" s="40" t="n">
        <v>-23.58307</v>
      </c>
      <c r="C22741" s="40" t="n">
        <v>-46.407597</v>
      </c>
      <c r="D22741" s="40" t="n">
        <v>796</v>
      </c>
      <c r="E22741" s="41" t="n">
        <v>29009.025</v>
      </c>
    </row>
    <row r="22742">
      <c r="A22742" s="42">
        <f>_xlfn.XLOOKUP(84526,Trip[shape_id],Trip[shape_id],"Não encontrado")</f>
        <v/>
      </c>
      <c r="B22742" s="43" t="n">
        <v>-23.583086</v>
      </c>
      <c r="C22742" s="43" t="n">
        <v>-46.407534</v>
      </c>
      <c r="D22742" s="43" t="n">
        <v>797</v>
      </c>
      <c r="E22742" s="44" t="n">
        <v>29015.695</v>
      </c>
    </row>
    <row r="22743">
      <c r="A22743" s="39">
        <f>_xlfn.XLOOKUP(84526,Trip[shape_id],Trip[shape_id],"Não encontrado")</f>
        <v/>
      </c>
      <c r="B22743" s="40" t="n">
        <v>-23.583101</v>
      </c>
      <c r="C22743" s="40" t="n">
        <v>-46.407477</v>
      </c>
      <c r="D22743" s="40" t="n">
        <v>798</v>
      </c>
      <c r="E22743" s="41" t="n">
        <v>29021.746</v>
      </c>
    </row>
    <row r="22744">
      <c r="A22744" s="42">
        <f>_xlfn.XLOOKUP(84526,Trip[shape_id],Trip[shape_id],"Não encontrado")</f>
        <v/>
      </c>
      <c r="B22744" s="43" t="n">
        <v>-23.583115</v>
      </c>
      <c r="C22744" s="43" t="n">
        <v>-46.407424</v>
      </c>
      <c r="D22744" s="43" t="n">
        <v>799</v>
      </c>
      <c r="E22744" s="44" t="n">
        <v>29027.375</v>
      </c>
    </row>
    <row r="22745">
      <c r="A22745" s="39">
        <f>_xlfn.XLOOKUP(84526,Trip[shape_id],Trip[shape_id],"Não encontrado")</f>
        <v/>
      </c>
      <c r="B22745" s="40" t="n">
        <v>-23.583126</v>
      </c>
      <c r="C22745" s="40" t="n">
        <v>-46.407379</v>
      </c>
      <c r="D22745" s="40" t="n">
        <v>800</v>
      </c>
      <c r="E22745" s="41" t="n">
        <v>29032.129</v>
      </c>
    </row>
    <row r="22746">
      <c r="A22746" s="42">
        <f>_xlfn.XLOOKUP(84526,Trip[shape_id],Trip[shape_id],"Não encontrado")</f>
        <v/>
      </c>
      <c r="B22746" s="43" t="n">
        <v>-23.583135</v>
      </c>
      <c r="C22746" s="43" t="n">
        <v>-46.407344</v>
      </c>
      <c r="D22746" s="43" t="n">
        <v>801</v>
      </c>
      <c r="E22746" s="44" t="n">
        <v>29035.838</v>
      </c>
    </row>
    <row r="22747">
      <c r="A22747" s="39">
        <f>_xlfn.XLOOKUP(84526,Trip[shape_id],Trip[shape_id],"Não encontrado")</f>
        <v/>
      </c>
      <c r="B22747" s="40" t="n">
        <v>-23.583146</v>
      </c>
      <c r="C22747" s="40" t="n">
        <v>-46.407303</v>
      </c>
      <c r="D22747" s="40" t="n">
        <v>802</v>
      </c>
      <c r="E22747" s="41" t="n">
        <v>29040.197</v>
      </c>
    </row>
    <row r="22748">
      <c r="A22748" s="39">
        <f>_xlfn.XLOOKUP(84816,Trip[shape_id],Trip[shape_id],"Não encontrado")</f>
        <v/>
      </c>
      <c r="B22748" s="40" t="n">
        <v>-23.601638</v>
      </c>
      <c r="C22748" s="40" t="n">
        <v>-46.539406</v>
      </c>
      <c r="D22748" s="40" t="n">
        <v>1</v>
      </c>
      <c r="E22748" s="41" t="n">
        <v>0</v>
      </c>
    </row>
    <row r="22749">
      <c r="A22749" s="42">
        <f>_xlfn.XLOOKUP(84816,Trip[shape_id],Trip[shape_id],"Não encontrado")</f>
        <v/>
      </c>
      <c r="B22749" s="43" t="n">
        <v>-23.601654</v>
      </c>
      <c r="C22749" s="43" t="n">
        <v>-46.539576</v>
      </c>
      <c r="D22749" s="43" t="n">
        <v>2</v>
      </c>
      <c r="E22749" s="44" t="n">
        <v>17.441122</v>
      </c>
    </row>
    <row r="22750">
      <c r="A22750" s="39">
        <f>_xlfn.XLOOKUP(84816,Trip[shape_id],Trip[shape_id],"Não encontrado")</f>
        <v/>
      </c>
      <c r="B22750" s="40" t="n">
        <v>-23.601657</v>
      </c>
      <c r="C22750" s="40" t="n">
        <v>-46.539613</v>
      </c>
      <c r="D22750" s="40" t="n">
        <v>3</v>
      </c>
      <c r="E22750" s="41" t="n">
        <v>21.233189</v>
      </c>
    </row>
    <row r="22751">
      <c r="A22751" s="42">
        <f>_xlfn.XLOOKUP(84816,Trip[shape_id],Trip[shape_id],"Não encontrado")</f>
        <v/>
      </c>
      <c r="B22751" s="43" t="n">
        <v>-23.601669</v>
      </c>
      <c r="C22751" s="43" t="n">
        <v>-46.539698</v>
      </c>
      <c r="D22751" s="43" t="n">
        <v>4</v>
      </c>
      <c r="E22751" s="44" t="n">
        <v>30.009447</v>
      </c>
    </row>
    <row r="22752">
      <c r="A22752" s="39">
        <f>_xlfn.XLOOKUP(84816,Trip[shape_id],Trip[shape_id],"Não encontrado")</f>
        <v/>
      </c>
      <c r="B22752" s="40" t="n">
        <v>-23.601663</v>
      </c>
      <c r="C22752" s="40" t="n">
        <v>-46.539745</v>
      </c>
      <c r="D22752" s="40" t="n">
        <v>5</v>
      </c>
      <c r="E22752" s="41" t="n">
        <v>34.851654</v>
      </c>
    </row>
    <row r="22753">
      <c r="A22753" s="42">
        <f>_xlfn.XLOOKUP(84816,Trip[shape_id],Trip[shape_id],"Não encontrado")</f>
        <v/>
      </c>
      <c r="B22753" s="43" t="n">
        <v>-23.601637</v>
      </c>
      <c r="C22753" s="43" t="n">
        <v>-46.539833</v>
      </c>
      <c r="D22753" s="43" t="n">
        <v>6</v>
      </c>
      <c r="E22753" s="44" t="n">
        <v>44.283695</v>
      </c>
    </row>
    <row r="22754">
      <c r="A22754" s="39">
        <f>_xlfn.XLOOKUP(84816,Trip[shape_id],Trip[shape_id],"Não encontrado")</f>
        <v/>
      </c>
      <c r="B22754" s="40" t="n">
        <v>-23.601468</v>
      </c>
      <c r="C22754" s="40" t="n">
        <v>-46.539692</v>
      </c>
      <c r="D22754" s="40" t="n">
        <v>7</v>
      </c>
      <c r="E22754" s="41" t="n">
        <v>88.093163</v>
      </c>
    </row>
    <row r="22755">
      <c r="A22755" s="42">
        <f>_xlfn.XLOOKUP(84816,Trip[shape_id],Trip[shape_id],"Não encontrado")</f>
        <v/>
      </c>
      <c r="B22755" s="43" t="n">
        <v>-23.601317</v>
      </c>
      <c r="C22755" s="43" t="n">
        <v>-46.539581</v>
      </c>
      <c r="D22755" s="43" t="n">
        <v>8</v>
      </c>
      <c r="E22755" s="44" t="n">
        <v>107.22192</v>
      </c>
    </row>
    <row r="22756">
      <c r="A22756" s="39">
        <f>_xlfn.XLOOKUP(84816,Trip[shape_id],Trip[shape_id],"Não encontrado")</f>
        <v/>
      </c>
      <c r="B22756" s="40" t="n">
        <v>-23.601165</v>
      </c>
      <c r="C22756" s="40" t="n">
        <v>-46.539492</v>
      </c>
      <c r="D22756" s="40" t="n">
        <v>9</v>
      </c>
      <c r="E22756" s="41" t="n">
        <v>122.30029</v>
      </c>
    </row>
    <row r="22757">
      <c r="A22757" s="42">
        <f>_xlfn.XLOOKUP(84816,Trip[shape_id],Trip[shape_id],"Não encontrado")</f>
        <v/>
      </c>
      <c r="B22757" s="43" t="n">
        <v>-23.601041</v>
      </c>
      <c r="C22757" s="43" t="n">
        <v>-46.539431</v>
      </c>
      <c r="D22757" s="43" t="n">
        <v>10</v>
      </c>
      <c r="E22757" s="44" t="n">
        <v>124.17728</v>
      </c>
    </row>
    <row r="22758">
      <c r="A22758" s="39">
        <f>_xlfn.XLOOKUP(84816,Trip[shape_id],Trip[shape_id],"Não encontrado")</f>
        <v/>
      </c>
      <c r="B22758" s="40" t="n">
        <v>-23.601025</v>
      </c>
      <c r="C22758" s="40" t="n">
        <v>-46.539425</v>
      </c>
      <c r="D22758" s="40" t="n">
        <v>11</v>
      </c>
      <c r="E22758" s="41" t="n">
        <v>176.04367</v>
      </c>
    </row>
    <row r="22759">
      <c r="A22759" s="42">
        <f>_xlfn.XLOOKUP(84816,Trip[shape_id],Trip[shape_id],"Não encontrado")</f>
        <v/>
      </c>
      <c r="B22759" s="43" t="n">
        <v>-23.600584</v>
      </c>
      <c r="C22759" s="43" t="n">
        <v>-46.539254</v>
      </c>
      <c r="D22759" s="43" t="n">
        <v>12</v>
      </c>
      <c r="E22759" s="44" t="n">
        <v>176.04367</v>
      </c>
    </row>
    <row r="22760">
      <c r="A22760" s="39">
        <f>_xlfn.XLOOKUP(84816,Trip[shape_id],Trip[shape_id],"Não encontrado")</f>
        <v/>
      </c>
      <c r="B22760" s="40" t="n">
        <v>-23.599981</v>
      </c>
      <c r="C22760" s="40" t="n">
        <v>-46.539089</v>
      </c>
      <c r="D22760" s="40" t="n">
        <v>13</v>
      </c>
      <c r="E22760" s="41" t="n">
        <v>244.91797</v>
      </c>
    </row>
    <row r="22761">
      <c r="A22761" s="42">
        <f>_xlfn.XLOOKUP(84816,Trip[shape_id],Trip[shape_id],"Não encontrado")</f>
        <v/>
      </c>
      <c r="B22761" s="43" t="n">
        <v>-23.599827</v>
      </c>
      <c r="C22761" s="43" t="n">
        <v>-46.539044</v>
      </c>
      <c r="D22761" s="43" t="n">
        <v>14</v>
      </c>
      <c r="E22761" s="44" t="n">
        <v>262.58133</v>
      </c>
    </row>
    <row r="22762">
      <c r="A22762" s="39">
        <f>_xlfn.XLOOKUP(84816,Trip[shape_id],Trip[shape_id],"Não encontrado")</f>
        <v/>
      </c>
      <c r="B22762" s="40" t="n">
        <v>-23.599227</v>
      </c>
      <c r="C22762" s="40" t="n">
        <v>-46.538856</v>
      </c>
      <c r="D22762" s="40" t="n">
        <v>15</v>
      </c>
      <c r="E22762" s="41" t="n">
        <v>331.74771</v>
      </c>
    </row>
    <row r="22763">
      <c r="A22763" s="42">
        <f>_xlfn.XLOOKUP(84816,Trip[shape_id],Trip[shape_id],"Não encontrado")</f>
        <v/>
      </c>
      <c r="B22763" s="43" t="n">
        <v>-23.59857</v>
      </c>
      <c r="C22763" s="43" t="n">
        <v>-46.538647</v>
      </c>
      <c r="D22763" s="43" t="n">
        <v>16</v>
      </c>
      <c r="E22763" s="44" t="n">
        <v>407.57443</v>
      </c>
    </row>
    <row r="22764">
      <c r="A22764" s="39">
        <f>_xlfn.XLOOKUP(84816,Trip[shape_id],Trip[shape_id],"Não encontrado")</f>
        <v/>
      </c>
      <c r="B22764" s="40" t="n">
        <v>-23.598502</v>
      </c>
      <c r="C22764" s="40" t="n">
        <v>-46.538738</v>
      </c>
      <c r="D22764" s="40" t="n">
        <v>17</v>
      </c>
      <c r="E22764" s="41" t="n">
        <v>419.53174</v>
      </c>
    </row>
    <row r="22765">
      <c r="A22765" s="42">
        <f>_xlfn.XLOOKUP(84816,Trip[shape_id],Trip[shape_id],"Não encontrado")</f>
        <v/>
      </c>
      <c r="B22765" s="43" t="n">
        <v>-23.598436</v>
      </c>
      <c r="C22765" s="43" t="n">
        <v>-46.53886</v>
      </c>
      <c r="D22765" s="43" t="n">
        <v>18</v>
      </c>
      <c r="E22765" s="44" t="n">
        <v>433.97073</v>
      </c>
    </row>
    <row r="22766">
      <c r="A22766" s="39">
        <f>_xlfn.XLOOKUP(84816,Trip[shape_id],Trip[shape_id],"Não encontrado")</f>
        <v/>
      </c>
      <c r="B22766" s="40" t="n">
        <v>-23.598345</v>
      </c>
      <c r="C22766" s="40" t="n">
        <v>-46.539051</v>
      </c>
      <c r="D22766" s="40" t="n">
        <v>19</v>
      </c>
      <c r="E22766" s="41" t="n">
        <v>455.91617</v>
      </c>
    </row>
    <row r="22767">
      <c r="A22767" s="42">
        <f>_xlfn.XLOOKUP(84816,Trip[shape_id],Trip[shape_id],"Não encontrado")</f>
        <v/>
      </c>
      <c r="B22767" s="43" t="n">
        <v>-23.598327</v>
      </c>
      <c r="C22767" s="43" t="n">
        <v>-46.53911</v>
      </c>
      <c r="D22767" s="43" t="n">
        <v>20</v>
      </c>
      <c r="E22767" s="44" t="n">
        <v>462.25873</v>
      </c>
    </row>
    <row r="22768">
      <c r="A22768" s="39">
        <f>_xlfn.XLOOKUP(84816,Trip[shape_id],Trip[shape_id],"Não encontrado")</f>
        <v/>
      </c>
      <c r="B22768" s="40" t="n">
        <v>-23.598291</v>
      </c>
      <c r="C22768" s="40" t="n">
        <v>-46.539213</v>
      </c>
      <c r="D22768" s="40" t="n">
        <v>21</v>
      </c>
      <c r="E22768" s="41" t="n">
        <v>473.5018</v>
      </c>
    </row>
    <row r="22769">
      <c r="A22769" s="42">
        <f>_xlfn.XLOOKUP(84816,Trip[shape_id],Trip[shape_id],"Não encontrado")</f>
        <v/>
      </c>
      <c r="B22769" s="43" t="n">
        <v>-23.598207</v>
      </c>
      <c r="C22769" s="43" t="n">
        <v>-46.539485</v>
      </c>
      <c r="D22769" s="43" t="n">
        <v>22</v>
      </c>
      <c r="E22769" s="44" t="n">
        <v>502.78076</v>
      </c>
    </row>
    <row r="22770">
      <c r="A22770" s="39">
        <f>_xlfn.XLOOKUP(84816,Trip[shape_id],Trip[shape_id],"Não encontrado")</f>
        <v/>
      </c>
      <c r="B22770" s="40" t="n">
        <v>-23.59785</v>
      </c>
      <c r="C22770" s="40" t="n">
        <v>-46.540587</v>
      </c>
      <c r="D22770" s="40" t="n">
        <v>23</v>
      </c>
      <c r="E22770" s="41" t="n">
        <v>622.0038500000001</v>
      </c>
    </row>
    <row r="22771">
      <c r="A22771" s="42">
        <f>_xlfn.XLOOKUP(84816,Trip[shape_id],Trip[shape_id],"Não encontrado")</f>
        <v/>
      </c>
      <c r="B22771" s="43" t="n">
        <v>-23.597784</v>
      </c>
      <c r="C22771" s="43" t="n">
        <v>-46.540741</v>
      </c>
      <c r="D22771" s="43" t="n">
        <v>24</v>
      </c>
      <c r="E22771" s="44" t="n">
        <v>639.33862</v>
      </c>
    </row>
    <row r="22772">
      <c r="A22772" s="39">
        <f>_xlfn.XLOOKUP(84816,Trip[shape_id],Trip[shape_id],"Não encontrado")</f>
        <v/>
      </c>
      <c r="B22772" s="40" t="n">
        <v>-23.597724</v>
      </c>
      <c r="C22772" s="40" t="n">
        <v>-46.540861</v>
      </c>
      <c r="D22772" s="40" t="n">
        <v>25</v>
      </c>
      <c r="E22772" s="41" t="n">
        <v>653.27325</v>
      </c>
    </row>
    <row r="22773">
      <c r="A22773" s="42">
        <f>_xlfn.XLOOKUP(84816,Trip[shape_id],Trip[shape_id],"Não encontrado")</f>
        <v/>
      </c>
      <c r="B22773" s="43" t="n">
        <v>-23.597655</v>
      </c>
      <c r="C22773" s="43" t="n">
        <v>-46.54096</v>
      </c>
      <c r="D22773" s="43" t="n">
        <v>26</v>
      </c>
      <c r="E22773" s="44" t="n">
        <v>665.94177</v>
      </c>
    </row>
    <row r="22774">
      <c r="A22774" s="39">
        <f>_xlfn.XLOOKUP(84816,Trip[shape_id],Trip[shape_id],"Não encontrado")</f>
        <v/>
      </c>
      <c r="B22774" s="40" t="n">
        <v>-23.597604</v>
      </c>
      <c r="C22774" s="40" t="n">
        <v>-46.541035</v>
      </c>
      <c r="D22774" s="40" t="n">
        <v>27</v>
      </c>
      <c r="E22774" s="41" t="n">
        <v>675.45544</v>
      </c>
    </row>
    <row r="22775">
      <c r="A22775" s="42">
        <f>_xlfn.XLOOKUP(84816,Trip[shape_id],Trip[shape_id],"Não encontrado")</f>
        <v/>
      </c>
      <c r="B22775" s="43" t="n">
        <v>-23.597522</v>
      </c>
      <c r="C22775" s="43" t="n">
        <v>-46.541117</v>
      </c>
      <c r="D22775" s="43" t="n">
        <v>28</v>
      </c>
      <c r="E22775" s="44" t="n">
        <v>687.80585</v>
      </c>
    </row>
    <row r="22776">
      <c r="A22776" s="39">
        <f>_xlfn.XLOOKUP(84816,Trip[shape_id],Trip[shape_id],"Não encontrado")</f>
        <v/>
      </c>
      <c r="B22776" s="40" t="n">
        <v>-23.597247</v>
      </c>
      <c r="C22776" s="40" t="n">
        <v>-46.54133</v>
      </c>
      <c r="D22776" s="40" t="n">
        <v>29</v>
      </c>
      <c r="E22776" s="41" t="n">
        <v>725.22583</v>
      </c>
    </row>
    <row r="22777">
      <c r="A22777" s="42">
        <f>_xlfn.XLOOKUP(84816,Trip[shape_id],Trip[shape_id],"Não encontrado")</f>
        <v/>
      </c>
      <c r="B22777" s="43" t="n">
        <v>-23.597027</v>
      </c>
      <c r="C22777" s="43" t="n">
        <v>-46.541494</v>
      </c>
      <c r="D22777" s="43" t="n">
        <v>30</v>
      </c>
      <c r="E22777" s="44" t="n">
        <v>754.7869899999999</v>
      </c>
    </row>
    <row r="22778">
      <c r="A22778" s="39">
        <f>_xlfn.XLOOKUP(84816,Trip[shape_id],Trip[shape_id],"Não encontrado")</f>
        <v/>
      </c>
      <c r="B22778" s="40" t="n">
        <v>-23.596889</v>
      </c>
      <c r="C22778" s="40" t="n">
        <v>-46.541599</v>
      </c>
      <c r="D22778" s="40" t="n">
        <v>31</v>
      </c>
      <c r="E22778" s="41" t="n">
        <v>773.4538</v>
      </c>
    </row>
    <row r="22779">
      <c r="A22779" s="42">
        <f>_xlfn.XLOOKUP(84816,Trip[shape_id],Trip[shape_id],"Não encontrado")</f>
        <v/>
      </c>
      <c r="B22779" s="43" t="n">
        <v>-23.596751</v>
      </c>
      <c r="C22779" s="43" t="n">
        <v>-46.541757</v>
      </c>
      <c r="D22779" s="43" t="n">
        <v>32</v>
      </c>
      <c r="E22779" s="44" t="n">
        <v>795.67236</v>
      </c>
    </row>
    <row r="22780">
      <c r="A22780" s="39">
        <f>_xlfn.XLOOKUP(84816,Trip[shape_id],Trip[shape_id],"Não encontrado")</f>
        <v/>
      </c>
      <c r="B22780" s="40" t="n">
        <v>-23.596714</v>
      </c>
      <c r="C22780" s="40" t="n">
        <v>-46.541791</v>
      </c>
      <c r="D22780" s="40" t="n">
        <v>33</v>
      </c>
      <c r="E22780" s="41" t="n">
        <v>801.04156</v>
      </c>
    </row>
    <row r="22781">
      <c r="A22781" s="42">
        <f>_xlfn.XLOOKUP(84816,Trip[shape_id],Trip[shape_id],"Não encontrado")</f>
        <v/>
      </c>
      <c r="B22781" s="43" t="n">
        <v>-23.596678</v>
      </c>
      <c r="C22781" s="43" t="n">
        <v>-46.54184</v>
      </c>
      <c r="D22781" s="43" t="n">
        <v>34</v>
      </c>
      <c r="E22781" s="44" t="n">
        <v>807.43701</v>
      </c>
    </row>
    <row r="22782">
      <c r="A22782" s="39">
        <f>_xlfn.XLOOKUP(84816,Trip[shape_id],Trip[shape_id],"Não encontrado")</f>
        <v/>
      </c>
      <c r="B22782" s="40" t="n">
        <v>-23.596518</v>
      </c>
      <c r="C22782" s="40" t="n">
        <v>-46.54205</v>
      </c>
      <c r="D22782" s="40" t="n">
        <v>35</v>
      </c>
      <c r="E22782" s="41" t="n">
        <v>835.24756</v>
      </c>
    </row>
    <row r="22783">
      <c r="A22783" s="42">
        <f>_xlfn.XLOOKUP(84816,Trip[shape_id],Trip[shape_id],"Não encontrado")</f>
        <v/>
      </c>
      <c r="B22783" s="43" t="n">
        <v>-23.596442</v>
      </c>
      <c r="C22783" s="43" t="n">
        <v>-46.542167</v>
      </c>
      <c r="D22783" s="43" t="n">
        <v>36</v>
      </c>
      <c r="E22783" s="44" t="n">
        <v>849.8579099999999</v>
      </c>
    </row>
    <row r="22784">
      <c r="A22784" s="39">
        <f>_xlfn.XLOOKUP(84816,Trip[shape_id],Trip[shape_id],"Não encontrado")</f>
        <v/>
      </c>
      <c r="B22784" s="40" t="n">
        <v>-23.596379</v>
      </c>
      <c r="C22784" s="40" t="n">
        <v>-46.542286</v>
      </c>
      <c r="D22784" s="40" t="n">
        <v>37</v>
      </c>
      <c r="E22784" s="41" t="n">
        <v>863.86536</v>
      </c>
    </row>
    <row r="22785">
      <c r="A22785" s="42">
        <f>_xlfn.XLOOKUP(84816,Trip[shape_id],Trip[shape_id],"Não encontrado")</f>
        <v/>
      </c>
      <c r="B22785" s="43" t="n">
        <v>-23.59623</v>
      </c>
      <c r="C22785" s="43" t="n">
        <v>-46.542534</v>
      </c>
      <c r="D22785" s="43" t="n">
        <v>38</v>
      </c>
      <c r="E22785" s="44" t="n">
        <v>894.08191</v>
      </c>
    </row>
    <row r="22786">
      <c r="A22786" s="39">
        <f>_xlfn.XLOOKUP(84816,Trip[shape_id],Trip[shape_id],"Não encontrado")</f>
        <v/>
      </c>
      <c r="B22786" s="40" t="n">
        <v>-23.596122</v>
      </c>
      <c r="C22786" s="40" t="n">
        <v>-46.542703</v>
      </c>
      <c r="D22786" s="40" t="n">
        <v>39</v>
      </c>
      <c r="E22786" s="41" t="n">
        <v>915.07263</v>
      </c>
    </row>
    <row r="22787">
      <c r="A22787" s="42">
        <f>_xlfn.XLOOKUP(84816,Trip[shape_id],Trip[shape_id],"Não encontrado")</f>
        <v/>
      </c>
      <c r="B22787" s="43" t="n">
        <v>-23.596068</v>
      </c>
      <c r="C22787" s="43" t="n">
        <v>-46.542767</v>
      </c>
      <c r="D22787" s="43" t="n">
        <v>40</v>
      </c>
      <c r="E22787" s="44" t="n">
        <v>923.92914</v>
      </c>
    </row>
    <row r="22788">
      <c r="A22788" s="39">
        <f>_xlfn.XLOOKUP(84816,Trip[shape_id],Trip[shape_id],"Não encontrado")</f>
        <v/>
      </c>
      <c r="B22788" s="40" t="n">
        <v>-23.596044</v>
      </c>
      <c r="C22788" s="40" t="n">
        <v>-46.542801</v>
      </c>
      <c r="D22788" s="40" t="n">
        <v>41</v>
      </c>
      <c r="E22788" s="41" t="n">
        <v>928.3006</v>
      </c>
    </row>
    <row r="22789">
      <c r="A22789" s="42">
        <f>_xlfn.XLOOKUP(84816,Trip[shape_id],Trip[shape_id],"Não encontrado")</f>
        <v/>
      </c>
      <c r="B22789" s="43" t="n">
        <v>-23.595998</v>
      </c>
      <c r="C22789" s="43" t="n">
        <v>-46.542835</v>
      </c>
      <c r="D22789" s="43" t="n">
        <v>42</v>
      </c>
      <c r="E22789" s="44" t="n">
        <v>934.46423</v>
      </c>
    </row>
    <row r="22790">
      <c r="A22790" s="39">
        <f>_xlfn.XLOOKUP(84816,Trip[shape_id],Trip[shape_id],"Não encontrado")</f>
        <v/>
      </c>
      <c r="B22790" s="40" t="n">
        <v>-23.595949</v>
      </c>
      <c r="C22790" s="40" t="n">
        <v>-46.542877</v>
      </c>
      <c r="D22790" s="40" t="n">
        <v>43</v>
      </c>
      <c r="E22790" s="41" t="n">
        <v>941.38043</v>
      </c>
    </row>
    <row r="22791">
      <c r="A22791" s="42">
        <f>_xlfn.XLOOKUP(84816,Trip[shape_id],Trip[shape_id],"Não encontrado")</f>
        <v/>
      </c>
      <c r="B22791" s="43" t="n">
        <v>-23.595479</v>
      </c>
      <c r="C22791" s="43" t="n">
        <v>-46.543125</v>
      </c>
      <c r="D22791" s="43" t="n">
        <v>44</v>
      </c>
      <c r="E22791" s="44" t="n">
        <v>999.26233</v>
      </c>
    </row>
    <row r="22792">
      <c r="A22792" s="39">
        <f>_xlfn.XLOOKUP(84816,Trip[shape_id],Trip[shape_id],"Não encontrado")</f>
        <v/>
      </c>
      <c r="B22792" s="40" t="n">
        <v>-23.59539</v>
      </c>
      <c r="C22792" s="40" t="n">
        <v>-46.543174</v>
      </c>
      <c r="D22792" s="40" t="n">
        <v>45</v>
      </c>
      <c r="E22792" s="41" t="n">
        <v>1010.3154</v>
      </c>
    </row>
    <row r="22793">
      <c r="A22793" s="42">
        <f>_xlfn.XLOOKUP(84816,Trip[shape_id],Trip[shape_id],"Não encontrado")</f>
        <v/>
      </c>
      <c r="B22793" s="43" t="n">
        <v>-23.595101</v>
      </c>
      <c r="C22793" s="43" t="n">
        <v>-46.543362</v>
      </c>
      <c r="D22793" s="43" t="n">
        <v>46</v>
      </c>
      <c r="E22793" s="44" t="n">
        <v>1047.634</v>
      </c>
    </row>
    <row r="22794">
      <c r="A22794" s="39">
        <f>_xlfn.XLOOKUP(84816,Trip[shape_id],Trip[shape_id],"Não encontrado")</f>
        <v/>
      </c>
      <c r="B22794" s="40" t="n">
        <v>-23.594926</v>
      </c>
      <c r="C22794" s="40" t="n">
        <v>-46.543485</v>
      </c>
      <c r="D22794" s="40" t="n">
        <v>47</v>
      </c>
      <c r="E22794" s="41" t="n">
        <v>1070.7263</v>
      </c>
    </row>
    <row r="22795">
      <c r="A22795" s="42">
        <f>_xlfn.XLOOKUP(84816,Trip[shape_id],Trip[shape_id],"Não encontrado")</f>
        <v/>
      </c>
      <c r="B22795" s="43" t="n">
        <v>-23.594671</v>
      </c>
      <c r="C22795" s="43" t="n">
        <v>-46.543655</v>
      </c>
      <c r="D22795" s="43" t="n">
        <v>48</v>
      </c>
      <c r="E22795" s="44" t="n">
        <v>1103.8726</v>
      </c>
    </row>
    <row r="22796">
      <c r="A22796" s="39">
        <f>_xlfn.XLOOKUP(84816,Trip[shape_id],Trip[shape_id],"Não encontrado")</f>
        <v/>
      </c>
      <c r="B22796" s="40" t="n">
        <v>-23.594414</v>
      </c>
      <c r="C22796" s="40" t="n">
        <v>-46.543844</v>
      </c>
      <c r="D22796" s="40" t="n">
        <v>49</v>
      </c>
      <c r="E22796" s="41" t="n">
        <v>1138.2572</v>
      </c>
    </row>
    <row r="22797">
      <c r="A22797" s="42">
        <f>_xlfn.XLOOKUP(84816,Trip[shape_id],Trip[shape_id],"Não encontrado")</f>
        <v/>
      </c>
      <c r="B22797" s="43" t="n">
        <v>-23.594154</v>
      </c>
      <c r="C22797" s="43" t="n">
        <v>-46.544039</v>
      </c>
      <c r="D22797" s="43" t="n">
        <v>50</v>
      </c>
      <c r="E22797" s="44" t="n">
        <v>1173.262</v>
      </c>
    </row>
    <row r="22798">
      <c r="A22798" s="39">
        <f>_xlfn.XLOOKUP(84816,Trip[shape_id],Trip[shape_id],"Não encontrado")</f>
        <v/>
      </c>
      <c r="B22798" s="40" t="n">
        <v>-23.593033</v>
      </c>
      <c r="C22798" s="40" t="n">
        <v>-46.544902</v>
      </c>
      <c r="D22798" s="40" t="n">
        <v>51</v>
      </c>
      <c r="E22798" s="41" t="n">
        <v>1325.489</v>
      </c>
    </row>
    <row r="22799">
      <c r="A22799" s="42">
        <f>_xlfn.XLOOKUP(84816,Trip[shape_id],Trip[shape_id],"Não encontrado")</f>
        <v/>
      </c>
      <c r="B22799" s="43" t="n">
        <v>-23.592989</v>
      </c>
      <c r="C22799" s="43" t="n">
        <v>-46.544937</v>
      </c>
      <c r="D22799" s="43" t="n">
        <v>52</v>
      </c>
      <c r="E22799" s="44" t="n">
        <v>1331.5308</v>
      </c>
    </row>
    <row r="22800">
      <c r="A22800" s="39">
        <f>_xlfn.XLOOKUP(84816,Trip[shape_id],Trip[shape_id],"Não encontrado")</f>
        <v/>
      </c>
      <c r="B22800" s="40" t="n">
        <v>-23.592911</v>
      </c>
      <c r="C22800" s="40" t="n">
        <v>-46.545023</v>
      </c>
      <c r="D22800" s="40" t="n">
        <v>53</v>
      </c>
      <c r="E22800" s="41" t="n">
        <v>1343.8463</v>
      </c>
    </row>
    <row r="22801">
      <c r="A22801" s="42">
        <f>_xlfn.XLOOKUP(84816,Trip[shape_id],Trip[shape_id],"Não encontrado")</f>
        <v/>
      </c>
      <c r="B22801" s="43" t="n">
        <v>-23.592851</v>
      </c>
      <c r="C22801" s="43" t="n">
        <v>-46.545153</v>
      </c>
      <c r="D22801" s="43" t="n">
        <v>54</v>
      </c>
      <c r="E22801" s="44" t="n">
        <v>1358.6863</v>
      </c>
    </row>
    <row r="22802">
      <c r="A22802" s="39">
        <f>_xlfn.XLOOKUP(84816,Trip[shape_id],Trip[shape_id],"Não encontrado")</f>
        <v/>
      </c>
      <c r="B22802" s="40" t="n">
        <v>-23.592805</v>
      </c>
      <c r="C22802" s="40" t="n">
        <v>-46.545327</v>
      </c>
      <c r="D22802" s="40" t="n">
        <v>55</v>
      </c>
      <c r="E22802" s="41" t="n">
        <v>1377.1625</v>
      </c>
    </row>
    <row r="22803">
      <c r="A22803" s="42">
        <f>_xlfn.XLOOKUP(84816,Trip[shape_id],Trip[shape_id],"Não encontrado")</f>
        <v/>
      </c>
      <c r="B22803" s="43" t="n">
        <v>-23.592795</v>
      </c>
      <c r="C22803" s="43" t="n">
        <v>-46.545442</v>
      </c>
      <c r="D22803" s="43" t="n">
        <v>56</v>
      </c>
      <c r="E22803" s="44" t="n">
        <v>1388.9528</v>
      </c>
    </row>
    <row r="22804">
      <c r="A22804" s="39">
        <f>_xlfn.XLOOKUP(84816,Trip[shape_id],Trip[shape_id],"Não encontrado")</f>
        <v/>
      </c>
      <c r="B22804" s="40" t="n">
        <v>-23.59279</v>
      </c>
      <c r="C22804" s="40" t="n">
        <v>-46.545494</v>
      </c>
      <c r="D22804" s="40" t="n">
        <v>57</v>
      </c>
      <c r="E22804" s="41" t="n">
        <v>1394.2885</v>
      </c>
    </row>
    <row r="22805">
      <c r="A22805" s="42">
        <f>_xlfn.XLOOKUP(84816,Trip[shape_id],Trip[shape_id],"Não encontrado")</f>
        <v/>
      </c>
      <c r="B22805" s="43" t="n">
        <v>-23.592838</v>
      </c>
      <c r="C22805" s="43" t="n">
        <v>-46.545766</v>
      </c>
      <c r="D22805" s="43" t="n">
        <v>58</v>
      </c>
      <c r="E22805" s="44" t="n">
        <v>1422.5557</v>
      </c>
    </row>
    <row r="22806">
      <c r="A22806" s="39">
        <f>_xlfn.XLOOKUP(84816,Trip[shape_id],Trip[shape_id],"Não encontrado")</f>
        <v/>
      </c>
      <c r="B22806" s="40" t="n">
        <v>-23.59295</v>
      </c>
      <c r="C22806" s="40" t="n">
        <v>-46.546196</v>
      </c>
      <c r="D22806" s="40" t="n">
        <v>59</v>
      </c>
      <c r="E22806" s="41" t="n">
        <v>1468.1647</v>
      </c>
    </row>
    <row r="22807">
      <c r="A22807" s="42">
        <f>_xlfn.XLOOKUP(84816,Trip[shape_id],Trip[shape_id],"Não encontrado")</f>
        <v/>
      </c>
      <c r="B22807" s="43" t="n">
        <v>-23.59297</v>
      </c>
      <c r="C22807" s="43" t="n">
        <v>-46.5464</v>
      </c>
      <c r="D22807" s="43" t="n">
        <v>60</v>
      </c>
      <c r="E22807" s="44" t="n">
        <v>1489.1042</v>
      </c>
    </row>
    <row r="22808">
      <c r="A22808" s="39">
        <f>_xlfn.XLOOKUP(84816,Trip[shape_id],Trip[shape_id],"Não encontrado")</f>
        <v/>
      </c>
      <c r="B22808" s="40" t="n">
        <v>-23.59295</v>
      </c>
      <c r="C22808" s="40" t="n">
        <v>-46.546472</v>
      </c>
      <c r="D22808" s="40" t="n">
        <v>61</v>
      </c>
      <c r="E22808" s="41" t="n">
        <v>1496.7803</v>
      </c>
    </row>
    <row r="22809">
      <c r="A22809" s="42">
        <f>_xlfn.XLOOKUP(84816,Trip[shape_id],Trip[shape_id],"Não encontrado")</f>
        <v/>
      </c>
      <c r="B22809" s="43" t="n">
        <v>-23.592902</v>
      </c>
      <c r="C22809" s="43" t="n">
        <v>-46.546578</v>
      </c>
      <c r="D22809" s="43" t="n">
        <v>62</v>
      </c>
      <c r="E22809" s="44" t="n">
        <v>1508.8353</v>
      </c>
    </row>
    <row r="22810">
      <c r="A22810" s="39">
        <f>_xlfn.XLOOKUP(84816,Trip[shape_id],Trip[shape_id],"Não encontrado")</f>
        <v/>
      </c>
      <c r="B22810" s="40" t="n">
        <v>-23.592885</v>
      </c>
      <c r="C22810" s="40" t="n">
        <v>-46.546624</v>
      </c>
      <c r="D22810" s="40" t="n">
        <v>63</v>
      </c>
      <c r="E22810" s="41" t="n">
        <v>1513.8947</v>
      </c>
    </row>
    <row r="22811">
      <c r="A22811" s="42">
        <f>_xlfn.XLOOKUP(84816,Trip[shape_id],Trip[shape_id],"Não encontrado")</f>
        <v/>
      </c>
      <c r="B22811" s="43" t="n">
        <v>-23.592837</v>
      </c>
      <c r="C22811" s="43" t="n">
        <v>-46.546698</v>
      </c>
      <c r="D22811" s="43" t="n">
        <v>64</v>
      </c>
      <c r="E22811" s="44" t="n">
        <v>1523.131</v>
      </c>
    </row>
    <row r="22812">
      <c r="A22812" s="39">
        <f>_xlfn.XLOOKUP(84816,Trip[shape_id],Trip[shape_id],"Não encontrado")</f>
        <v/>
      </c>
      <c r="B22812" s="40" t="n">
        <v>-23.592811</v>
      </c>
      <c r="C22812" s="40" t="n">
        <v>-46.546735</v>
      </c>
      <c r="D22812" s="40" t="n">
        <v>65</v>
      </c>
      <c r="E22812" s="41" t="n">
        <v>1527.88</v>
      </c>
    </row>
    <row r="22813">
      <c r="A22813" s="42">
        <f>_xlfn.XLOOKUP(84816,Trip[shape_id],Trip[shape_id],"Não encontrado")</f>
        <v/>
      </c>
      <c r="B22813" s="43" t="n">
        <v>-23.592163</v>
      </c>
      <c r="C22813" s="43" t="n">
        <v>-46.547433</v>
      </c>
      <c r="D22813" s="43" t="n">
        <v>66</v>
      </c>
      <c r="E22813" s="44" t="n">
        <v>1629.0055</v>
      </c>
    </row>
    <row r="22814">
      <c r="A22814" s="39">
        <f>_xlfn.XLOOKUP(84816,Trip[shape_id],Trip[shape_id],"Não encontrado")</f>
        <v/>
      </c>
      <c r="B22814" s="40" t="n">
        <v>-23.592001</v>
      </c>
      <c r="C22814" s="40" t="n">
        <v>-46.547603</v>
      </c>
      <c r="D22814" s="40" t="n">
        <v>67</v>
      </c>
      <c r="E22814" s="41" t="n">
        <v>1653.9656</v>
      </c>
    </row>
    <row r="22815">
      <c r="A22815" s="42">
        <f>_xlfn.XLOOKUP(84816,Trip[shape_id],Trip[shape_id],"Não encontrado")</f>
        <v/>
      </c>
      <c r="B22815" s="43" t="n">
        <v>-23.591899</v>
      </c>
      <c r="C22815" s="43" t="n">
        <v>-46.547762</v>
      </c>
      <c r="D22815" s="43" t="n">
        <v>68</v>
      </c>
      <c r="E22815" s="44" t="n">
        <v>1673.7393</v>
      </c>
    </row>
    <row r="22816">
      <c r="A22816" s="39">
        <f>_xlfn.XLOOKUP(84816,Trip[shape_id],Trip[shape_id],"Não encontrado")</f>
        <v/>
      </c>
      <c r="B22816" s="40" t="n">
        <v>-23.59188</v>
      </c>
      <c r="C22816" s="40" t="n">
        <v>-46.547802</v>
      </c>
      <c r="D22816" s="40" t="n">
        <v>69</v>
      </c>
      <c r="E22816" s="41" t="n">
        <v>1678.332</v>
      </c>
    </row>
    <row r="22817">
      <c r="A22817" s="42">
        <f>_xlfn.XLOOKUP(84816,Trip[shape_id],Trip[shape_id],"Não encontrado")</f>
        <v/>
      </c>
      <c r="B22817" s="43" t="n">
        <v>-23.591833</v>
      </c>
      <c r="C22817" s="43" t="n">
        <v>-46.547895</v>
      </c>
      <c r="D22817" s="43" t="n">
        <v>70</v>
      </c>
      <c r="E22817" s="44" t="n">
        <v>1689.1581</v>
      </c>
    </row>
    <row r="22818">
      <c r="A22818" s="39">
        <f>_xlfn.XLOOKUP(84816,Trip[shape_id],Trip[shape_id],"Não encontrado")</f>
        <v/>
      </c>
      <c r="B22818" s="40" t="n">
        <v>-23.591783</v>
      </c>
      <c r="C22818" s="40" t="n">
        <v>-46.548064</v>
      </c>
      <c r="D22818" s="40" t="n">
        <v>71</v>
      </c>
      <c r="E22818" s="41" t="n">
        <v>1707.2751</v>
      </c>
    </row>
    <row r="22819">
      <c r="A22819" s="42">
        <f>_xlfn.XLOOKUP(84816,Trip[shape_id],Trip[shape_id],"Não encontrado")</f>
        <v/>
      </c>
      <c r="B22819" s="43" t="n">
        <v>-23.591753</v>
      </c>
      <c r="C22819" s="43" t="n">
        <v>-46.548311</v>
      </c>
      <c r="D22819" s="43" t="n">
        <v>72</v>
      </c>
      <c r="E22819" s="44" t="n">
        <v>1732.7046</v>
      </c>
    </row>
    <row r="22820">
      <c r="A22820" s="39">
        <f>_xlfn.XLOOKUP(84816,Trip[shape_id],Trip[shape_id],"Não encontrado")</f>
        <v/>
      </c>
      <c r="B22820" s="40" t="n">
        <v>-23.591742</v>
      </c>
      <c r="C22820" s="40" t="n">
        <v>-46.548441</v>
      </c>
      <c r="D22820" s="40" t="n">
        <v>73</v>
      </c>
      <c r="E22820" s="41" t="n">
        <v>1746.0298</v>
      </c>
    </row>
    <row r="22821">
      <c r="A22821" s="42">
        <f>_xlfn.XLOOKUP(84816,Trip[shape_id],Trip[shape_id],"Não encontrado")</f>
        <v/>
      </c>
      <c r="B22821" s="43" t="n">
        <v>-23.59169</v>
      </c>
      <c r="C22821" s="43" t="n">
        <v>-46.549</v>
      </c>
      <c r="D22821" s="43" t="n">
        <v>74</v>
      </c>
      <c r="E22821" s="44" t="n">
        <v>1803.377</v>
      </c>
    </row>
    <row r="22822">
      <c r="A22822" s="39">
        <f>_xlfn.XLOOKUP(84816,Trip[shape_id],Trip[shape_id],"Não encontrado")</f>
        <v/>
      </c>
      <c r="B22822" s="40" t="n">
        <v>-23.591668</v>
      </c>
      <c r="C22822" s="40" t="n">
        <v>-46.549201</v>
      </c>
      <c r="D22822" s="40" t="n">
        <v>75</v>
      </c>
      <c r="E22822" s="41" t="n">
        <v>1824.0371</v>
      </c>
    </row>
    <row r="22823">
      <c r="A22823" s="42">
        <f>_xlfn.XLOOKUP(84816,Trip[shape_id],Trip[shape_id],"Não encontrado")</f>
        <v/>
      </c>
      <c r="B22823" s="43" t="n">
        <v>-23.591659</v>
      </c>
      <c r="C22823" s="43" t="n">
        <v>-46.549261</v>
      </c>
      <c r="D22823" s="43" t="n">
        <v>76</v>
      </c>
      <c r="E22823" s="44" t="n">
        <v>1830.2413</v>
      </c>
    </row>
    <row r="22824">
      <c r="A22824" s="39">
        <f>_xlfn.XLOOKUP(84816,Trip[shape_id],Trip[shape_id],"Não encontrado")</f>
        <v/>
      </c>
      <c r="B22824" s="40" t="n">
        <v>-23.591633</v>
      </c>
      <c r="C22824" s="40" t="n">
        <v>-46.549375</v>
      </c>
      <c r="D22824" s="40" t="n">
        <v>77</v>
      </c>
      <c r="E22824" s="41" t="n">
        <v>1842.2281</v>
      </c>
    </row>
    <row r="22825">
      <c r="A22825" s="42">
        <f>_xlfn.XLOOKUP(84816,Trip[shape_id],Trip[shape_id],"Não encontrado")</f>
        <v/>
      </c>
      <c r="B22825" s="43" t="n">
        <v>-23.591612</v>
      </c>
      <c r="C22825" s="43" t="n">
        <v>-46.54945</v>
      </c>
      <c r="D22825" s="43" t="n">
        <v>78</v>
      </c>
      <c r="E22825" s="44" t="n">
        <v>1850.229</v>
      </c>
    </row>
    <row r="22826">
      <c r="A22826" s="39">
        <f>_xlfn.XLOOKUP(84816,Trip[shape_id],Trip[shape_id],"Não encontrado")</f>
        <v/>
      </c>
      <c r="B22826" s="40" t="n">
        <v>-23.591575</v>
      </c>
      <c r="C22826" s="40" t="n">
        <v>-46.549556</v>
      </c>
      <c r="D22826" s="40" t="n">
        <v>79</v>
      </c>
      <c r="E22826" s="41" t="n">
        <v>1861.7981</v>
      </c>
    </row>
    <row r="22827">
      <c r="A22827" s="42">
        <f>_xlfn.XLOOKUP(84816,Trip[shape_id],Trip[shape_id],"Não encontrado")</f>
        <v/>
      </c>
      <c r="B22827" s="43" t="n">
        <v>-23.591399</v>
      </c>
      <c r="C22827" s="43" t="n">
        <v>-46.550047</v>
      </c>
      <c r="D22827" s="43" t="n">
        <v>80</v>
      </c>
      <c r="E22827" s="44" t="n">
        <v>1915.5719</v>
      </c>
    </row>
    <row r="22828">
      <c r="A22828" s="39">
        <f>_xlfn.XLOOKUP(84816,Trip[shape_id],Trip[shape_id],"Não encontrado")</f>
        <v/>
      </c>
      <c r="B22828" s="40" t="n">
        <v>-23.591371</v>
      </c>
      <c r="C22828" s="40" t="n">
        <v>-46.550124</v>
      </c>
      <c r="D22828" s="40" t="n">
        <v>81</v>
      </c>
      <c r="E22828" s="41" t="n">
        <v>1924.0215</v>
      </c>
    </row>
    <row r="22829">
      <c r="A22829" s="42">
        <f>_xlfn.XLOOKUP(84816,Trip[shape_id],Trip[shape_id],"Não encontrado")</f>
        <v/>
      </c>
      <c r="B22829" s="43" t="n">
        <v>-23.591277</v>
      </c>
      <c r="C22829" s="43" t="n">
        <v>-46.550387</v>
      </c>
      <c r="D22829" s="43" t="n">
        <v>82</v>
      </c>
      <c r="E22829" s="44" t="n">
        <v>1952.814</v>
      </c>
    </row>
    <row r="22830">
      <c r="A22830" s="39">
        <f>_xlfn.XLOOKUP(84816,Trip[shape_id],Trip[shape_id],"Não encontrado")</f>
        <v/>
      </c>
      <c r="B22830" s="40" t="n">
        <v>-23.591229</v>
      </c>
      <c r="C22830" s="40" t="n">
        <v>-46.55052</v>
      </c>
      <c r="D22830" s="40" t="n">
        <v>83</v>
      </c>
      <c r="E22830" s="41" t="n">
        <v>1967.3929</v>
      </c>
    </row>
    <row r="22831">
      <c r="A22831" s="42">
        <f>_xlfn.XLOOKUP(84816,Trip[shape_id],Trip[shape_id],"Não encontrado")</f>
        <v/>
      </c>
      <c r="B22831" s="43" t="n">
        <v>-23.591224</v>
      </c>
      <c r="C22831" s="43" t="n">
        <v>-46.550531</v>
      </c>
      <c r="D22831" s="43" t="n">
        <v>84</v>
      </c>
      <c r="E22831" s="44" t="n">
        <v>1968.646</v>
      </c>
    </row>
    <row r="22832">
      <c r="A22832" s="39">
        <f>_xlfn.XLOOKUP(84816,Trip[shape_id],Trip[shape_id],"Não encontrado")</f>
        <v/>
      </c>
      <c r="B22832" s="40" t="n">
        <v>-23.591183</v>
      </c>
      <c r="C22832" s="40" t="n">
        <v>-46.550606</v>
      </c>
      <c r="D22832" s="40" t="n">
        <v>85</v>
      </c>
      <c r="E22832" s="41" t="n">
        <v>1977.547</v>
      </c>
    </row>
    <row r="22833">
      <c r="A22833" s="42">
        <f>_xlfn.XLOOKUP(84816,Trip[shape_id],Trip[shape_id],"Não encontrado")</f>
        <v/>
      </c>
      <c r="B22833" s="43" t="n">
        <v>-23.591137</v>
      </c>
      <c r="C22833" s="43" t="n">
        <v>-46.55069</v>
      </c>
      <c r="D22833" s="43" t="n">
        <v>86</v>
      </c>
      <c r="E22833" s="44" t="n">
        <v>1987.5204</v>
      </c>
    </row>
    <row r="22834">
      <c r="A22834" s="39">
        <f>_xlfn.XLOOKUP(84816,Trip[shape_id],Trip[shape_id],"Não encontrado")</f>
        <v/>
      </c>
      <c r="B22834" s="40" t="n">
        <v>-23.590968</v>
      </c>
      <c r="C22834" s="40" t="n">
        <v>-46.550938</v>
      </c>
      <c r="D22834" s="40" t="n">
        <v>87</v>
      </c>
      <c r="E22834" s="41" t="n">
        <v>2019.0023</v>
      </c>
    </row>
    <row r="22835">
      <c r="A22835" s="42">
        <f>_xlfn.XLOOKUP(84816,Trip[shape_id],Trip[shape_id],"Não encontrado")</f>
        <v/>
      </c>
      <c r="B22835" s="43" t="n">
        <v>-23.590672</v>
      </c>
      <c r="C22835" s="43" t="n">
        <v>-46.551384</v>
      </c>
      <c r="D22835" s="43" t="n">
        <v>88</v>
      </c>
      <c r="E22835" s="44" t="n">
        <v>2075.1013</v>
      </c>
    </row>
    <row r="22836">
      <c r="A22836" s="39">
        <f>_xlfn.XLOOKUP(84816,Trip[shape_id],Trip[shape_id],"Não encontrado")</f>
        <v/>
      </c>
      <c r="B22836" s="40" t="n">
        <v>-23.590345</v>
      </c>
      <c r="C22836" s="40" t="n">
        <v>-46.551873</v>
      </c>
      <c r="D22836" s="40" t="n">
        <v>89</v>
      </c>
      <c r="E22836" s="41" t="n">
        <v>2136.769</v>
      </c>
    </row>
    <row r="22837">
      <c r="A22837" s="42">
        <f>_xlfn.XLOOKUP(84816,Trip[shape_id],Trip[shape_id],"Não encontrado")</f>
        <v/>
      </c>
      <c r="B22837" s="43" t="n">
        <v>-23.59025</v>
      </c>
      <c r="C22837" s="43" t="n">
        <v>-46.552015</v>
      </c>
      <c r="D22837" s="43" t="n">
        <v>90</v>
      </c>
      <c r="E22837" s="44" t="n">
        <v>2154.6794</v>
      </c>
    </row>
    <row r="22838">
      <c r="A22838" s="39">
        <f>_xlfn.XLOOKUP(84816,Trip[shape_id],Trip[shape_id],"Não encontrado")</f>
        <v/>
      </c>
      <c r="B22838" s="40" t="n">
        <v>-23.590101</v>
      </c>
      <c r="C22838" s="40" t="n">
        <v>-46.552236</v>
      </c>
      <c r="D22838" s="40" t="n">
        <v>91</v>
      </c>
      <c r="E22838" s="41" t="n">
        <v>2182.6289</v>
      </c>
    </row>
    <row r="22839">
      <c r="A22839" s="42">
        <f>_xlfn.XLOOKUP(84816,Trip[shape_id],Trip[shape_id],"Não encontrado")</f>
        <v/>
      </c>
      <c r="B22839" s="43" t="n">
        <v>-23.589742</v>
      </c>
      <c r="C22839" s="43" t="n">
        <v>-46.552774</v>
      </c>
      <c r="D22839" s="43" t="n">
        <v>92</v>
      </c>
      <c r="E22839" s="44" t="n">
        <v>2250.4263</v>
      </c>
    </row>
    <row r="22840">
      <c r="A22840" s="39">
        <f>_xlfn.XLOOKUP(84816,Trip[shape_id],Trip[shape_id],"Não encontrado")</f>
        <v/>
      </c>
      <c r="B22840" s="40" t="n">
        <v>-23.589564</v>
      </c>
      <c r="C22840" s="40" t="n">
        <v>-46.553045</v>
      </c>
      <c r="D22840" s="40" t="n">
        <v>93</v>
      </c>
      <c r="E22840" s="41" t="n">
        <v>2284.3938</v>
      </c>
    </row>
    <row r="22841">
      <c r="A22841" s="42">
        <f>_xlfn.XLOOKUP(84816,Trip[shape_id],Trip[shape_id],"Não encontrado")</f>
        <v/>
      </c>
      <c r="B22841" s="43" t="n">
        <v>-23.589372</v>
      </c>
      <c r="C22841" s="43" t="n">
        <v>-46.55334</v>
      </c>
      <c r="D22841" s="43" t="n">
        <v>94</v>
      </c>
      <c r="E22841" s="44" t="n">
        <v>2321.2566</v>
      </c>
    </row>
    <row r="22842">
      <c r="A22842" s="39">
        <f>_xlfn.XLOOKUP(84816,Trip[shape_id],Trip[shape_id],"Não encontrado")</f>
        <v/>
      </c>
      <c r="B22842" s="40" t="n">
        <v>-23.589324</v>
      </c>
      <c r="C22842" s="40" t="n">
        <v>-46.553413</v>
      </c>
      <c r="D22842" s="40" t="n">
        <v>95</v>
      </c>
      <c r="E22842" s="41" t="n">
        <v>2330.4094</v>
      </c>
    </row>
    <row r="22843">
      <c r="A22843" s="42">
        <f>_xlfn.XLOOKUP(84816,Trip[shape_id],Trip[shape_id],"Não encontrado")</f>
        <v/>
      </c>
      <c r="B22843" s="43" t="n">
        <v>-23.589161</v>
      </c>
      <c r="C22843" s="43" t="n">
        <v>-46.553645</v>
      </c>
      <c r="D22843" s="43" t="n">
        <v>96</v>
      </c>
      <c r="E22843" s="44" t="n">
        <v>2360.1865</v>
      </c>
    </row>
    <row r="22844">
      <c r="A22844" s="39">
        <f>_xlfn.XLOOKUP(84816,Trip[shape_id],Trip[shape_id],"Não encontrado")</f>
        <v/>
      </c>
      <c r="B22844" s="40" t="n">
        <v>-23.588978</v>
      </c>
      <c r="C22844" s="40" t="n">
        <v>-46.553943</v>
      </c>
      <c r="D22844" s="40" t="n">
        <v>97</v>
      </c>
      <c r="E22844" s="41" t="n">
        <v>2396.738</v>
      </c>
    </row>
    <row r="22845">
      <c r="A22845" s="42">
        <f>_xlfn.XLOOKUP(84816,Trip[shape_id],Trip[shape_id],"Não encontrado")</f>
        <v/>
      </c>
      <c r="B22845" s="43" t="n">
        <v>-23.588867</v>
      </c>
      <c r="C22845" s="43" t="n">
        <v>-46.55409</v>
      </c>
      <c r="D22845" s="43" t="n">
        <v>98</v>
      </c>
      <c r="E22845" s="44" t="n">
        <v>2416.1357</v>
      </c>
    </row>
    <row r="22846">
      <c r="A22846" s="39">
        <f>_xlfn.XLOOKUP(84816,Trip[shape_id],Trip[shape_id],"Não encontrado")</f>
        <v/>
      </c>
      <c r="B22846" s="40" t="n">
        <v>-23.589988</v>
      </c>
      <c r="C22846" s="40" t="n">
        <v>-46.554145</v>
      </c>
      <c r="D22846" s="40" t="n">
        <v>99</v>
      </c>
      <c r="E22846" s="41" t="n">
        <v>2607.0911</v>
      </c>
    </row>
    <row r="22847">
      <c r="A22847" s="42">
        <f>_xlfn.XLOOKUP(84816,Trip[shape_id],Trip[shape_id],"Não encontrado")</f>
        <v/>
      </c>
      <c r="B22847" s="43" t="n">
        <v>-23.590589</v>
      </c>
      <c r="C22847" s="43" t="n">
        <v>-46.554183</v>
      </c>
      <c r="D22847" s="43" t="n">
        <v>100</v>
      </c>
      <c r="E22847" s="44" t="n">
        <v>2607.0911</v>
      </c>
    </row>
    <row r="22848">
      <c r="A22848" s="39">
        <f>_xlfn.XLOOKUP(84816,Trip[shape_id],Trip[shape_id],"Não encontrado")</f>
        <v/>
      </c>
      <c r="B22848" s="40" t="n">
        <v>-23.5925</v>
      </c>
      <c r="C22848" s="40" t="n">
        <v>-46.55429</v>
      </c>
      <c r="D22848" s="40" t="n">
        <v>101</v>
      </c>
      <c r="E22848" s="41" t="n">
        <v>2836.6267</v>
      </c>
    </row>
    <row r="22849">
      <c r="A22849" s="42">
        <f>_xlfn.XLOOKUP(84816,Trip[shape_id],Trip[shape_id],"Não encontrado")</f>
        <v/>
      </c>
      <c r="B22849" s="43" t="n">
        <v>-23.592658</v>
      </c>
      <c r="C22849" s="43" t="n">
        <v>-46.554309</v>
      </c>
      <c r="D22849" s="43" t="n">
        <v>102</v>
      </c>
      <c r="E22849" s="44" t="n">
        <v>2848.1003</v>
      </c>
    </row>
    <row r="22850">
      <c r="A22850" s="39">
        <f>_xlfn.XLOOKUP(84816,Trip[shape_id],Trip[shape_id],"Não encontrado")</f>
        <v/>
      </c>
      <c r="B22850" s="40" t="n">
        <v>-23.592759</v>
      </c>
      <c r="C22850" s="40" t="n">
        <v>-46.554334</v>
      </c>
      <c r="D22850" s="40" t="n">
        <v>103</v>
      </c>
      <c r="E22850" s="41" t="n">
        <v>2867.5837</v>
      </c>
    </row>
    <row r="22851">
      <c r="A22851" s="42">
        <f>_xlfn.XLOOKUP(84816,Trip[shape_id],Trip[shape_id],"Não encontrado")</f>
        <v/>
      </c>
      <c r="B22851" s="43" t="n">
        <v>-23.592928</v>
      </c>
      <c r="C22851" s="43" t="n">
        <v>-46.554387</v>
      </c>
      <c r="D22851" s="43" t="n">
        <v>104</v>
      </c>
      <c r="E22851" s="44" t="n">
        <v>2867.5837</v>
      </c>
    </row>
    <row r="22852">
      <c r="A22852" s="39">
        <f>_xlfn.XLOOKUP(84816,Trip[shape_id],Trip[shape_id],"Não encontrado")</f>
        <v/>
      </c>
      <c r="B22852" s="40" t="n">
        <v>-23.593112</v>
      </c>
      <c r="C22852" s="40" t="n">
        <v>-46.554483</v>
      </c>
      <c r="D22852" s="40" t="n">
        <v>105</v>
      </c>
      <c r="E22852" s="41" t="n">
        <v>2912.5308</v>
      </c>
    </row>
    <row r="22853">
      <c r="A22853" s="42">
        <f>_xlfn.XLOOKUP(84816,Trip[shape_id],Trip[shape_id],"Não encontrado")</f>
        <v/>
      </c>
      <c r="B22853" s="43" t="n">
        <v>-23.593283</v>
      </c>
      <c r="C22853" s="43" t="n">
        <v>-46.554599</v>
      </c>
      <c r="D22853" s="43" t="n">
        <v>106</v>
      </c>
      <c r="E22853" s="44" t="n">
        <v>2948.2625</v>
      </c>
    </row>
    <row r="22854">
      <c r="A22854" s="39">
        <f>_xlfn.XLOOKUP(84816,Trip[shape_id],Trip[shape_id],"Não encontrado")</f>
        <v/>
      </c>
      <c r="B22854" s="40" t="n">
        <v>-23.593564</v>
      </c>
      <c r="C22854" s="40" t="n">
        <v>-46.554771</v>
      </c>
      <c r="D22854" s="40" t="n">
        <v>107</v>
      </c>
      <c r="E22854" s="41" t="n">
        <v>2995.041</v>
      </c>
    </row>
    <row r="22855">
      <c r="A22855" s="42">
        <f>_xlfn.XLOOKUP(84816,Trip[shape_id],Trip[shape_id],"Não encontrado")</f>
        <v/>
      </c>
      <c r="B22855" s="43" t="n">
        <v>-23.593933</v>
      </c>
      <c r="C22855" s="43" t="n">
        <v>-46.554994</v>
      </c>
      <c r="D22855" s="43" t="n">
        <v>108</v>
      </c>
      <c r="E22855" s="44" t="n">
        <v>2995.041</v>
      </c>
    </row>
    <row r="22856">
      <c r="A22856" s="39">
        <f>_xlfn.XLOOKUP(84816,Trip[shape_id],Trip[shape_id],"Não encontrado")</f>
        <v/>
      </c>
      <c r="B22856" s="40" t="n">
        <v>-23.593683</v>
      </c>
      <c r="C22856" s="40" t="n">
        <v>-46.555202</v>
      </c>
      <c r="D22856" s="40" t="n">
        <v>109</v>
      </c>
      <c r="E22856" s="41" t="n">
        <v>3029.9316</v>
      </c>
    </row>
    <row r="22857">
      <c r="A22857" s="42">
        <f>_xlfn.XLOOKUP(84816,Trip[shape_id],Trip[shape_id],"Não encontrado")</f>
        <v/>
      </c>
      <c r="B22857" s="43" t="n">
        <v>-23.593315</v>
      </c>
      <c r="C22857" s="43" t="n">
        <v>-46.555515</v>
      </c>
      <c r="D22857" s="43" t="n">
        <v>110</v>
      </c>
      <c r="E22857" s="44" t="n">
        <v>3081.7175</v>
      </c>
    </row>
    <row r="22858">
      <c r="A22858" s="39">
        <f>_xlfn.XLOOKUP(84816,Trip[shape_id],Trip[shape_id],"Não encontrado")</f>
        <v/>
      </c>
      <c r="B22858" s="40" t="n">
        <v>-23.592582</v>
      </c>
      <c r="C22858" s="40" t="n">
        <v>-46.556121</v>
      </c>
      <c r="D22858" s="40" t="n">
        <v>111</v>
      </c>
      <c r="E22858" s="41" t="n">
        <v>3183.7781</v>
      </c>
    </row>
    <row r="22859">
      <c r="A22859" s="42">
        <f>_xlfn.XLOOKUP(84816,Trip[shape_id],Trip[shape_id],"Não encontrado")</f>
        <v/>
      </c>
      <c r="B22859" s="43" t="n">
        <v>-23.591944</v>
      </c>
      <c r="C22859" s="43" t="n">
        <v>-46.556631</v>
      </c>
      <c r="D22859" s="43" t="n">
        <v>112</v>
      </c>
      <c r="E22859" s="44" t="n">
        <v>3271.5427</v>
      </c>
    </row>
    <row r="22860">
      <c r="A22860" s="39">
        <f>_xlfn.XLOOKUP(84816,Trip[shape_id],Trip[shape_id],"Não encontrado")</f>
        <v/>
      </c>
      <c r="B22860" s="40" t="n">
        <v>-23.591729</v>
      </c>
      <c r="C22860" s="40" t="n">
        <v>-46.556829</v>
      </c>
      <c r="D22860" s="40" t="n">
        <v>113</v>
      </c>
      <c r="E22860" s="41" t="n">
        <v>3302.7747</v>
      </c>
    </row>
    <row r="22861">
      <c r="A22861" s="42">
        <f>_xlfn.XLOOKUP(84816,Trip[shape_id],Trip[shape_id],"Não encontrado")</f>
        <v/>
      </c>
      <c r="B22861" s="43" t="n">
        <v>-23.591403</v>
      </c>
      <c r="C22861" s="43" t="n">
        <v>-46.557109</v>
      </c>
      <c r="D22861" s="43" t="n">
        <v>114</v>
      </c>
      <c r="E22861" s="44" t="n">
        <v>3348.8225</v>
      </c>
    </row>
    <row r="22862">
      <c r="A22862" s="39">
        <f>_xlfn.XLOOKUP(84816,Trip[shape_id],Trip[shape_id],"Não encontrado")</f>
        <v/>
      </c>
      <c r="B22862" s="40" t="n">
        <v>-23.590904</v>
      </c>
      <c r="C22862" s="40" t="n">
        <v>-46.557534</v>
      </c>
      <c r="D22862" s="40" t="n">
        <v>115</v>
      </c>
      <c r="E22862" s="41" t="n">
        <v>3419.0798</v>
      </c>
    </row>
    <row r="22863">
      <c r="A22863" s="42">
        <f>_xlfn.XLOOKUP(84816,Trip[shape_id],Trip[shape_id],"Não encontrado")</f>
        <v/>
      </c>
      <c r="B22863" s="43" t="n">
        <v>-23.589216</v>
      </c>
      <c r="C22863" s="43" t="n">
        <v>-46.558915</v>
      </c>
      <c r="D22863" s="43" t="n">
        <v>116</v>
      </c>
      <c r="E22863" s="44" t="n">
        <v>3653.217</v>
      </c>
    </row>
    <row r="22864">
      <c r="A22864" s="39">
        <f>_xlfn.XLOOKUP(84816,Trip[shape_id],Trip[shape_id],"Não encontrado")</f>
        <v/>
      </c>
      <c r="B22864" s="40" t="n">
        <v>-23.588473</v>
      </c>
      <c r="C22864" s="40" t="n">
        <v>-46.559559</v>
      </c>
      <c r="D22864" s="40" t="n">
        <v>117</v>
      </c>
      <c r="E22864" s="41" t="n">
        <v>3758.5381</v>
      </c>
    </row>
    <row r="22865">
      <c r="A22865" s="42">
        <f>_xlfn.XLOOKUP(84816,Trip[shape_id],Trip[shape_id],"Não encontrado")</f>
        <v/>
      </c>
      <c r="B22865" s="43" t="n">
        <v>-23.58771</v>
      </c>
      <c r="C22865" s="43" t="n">
        <v>-46.560201</v>
      </c>
      <c r="D22865" s="43" t="n">
        <v>118</v>
      </c>
      <c r="E22865" s="44" t="n">
        <v>3865.4736</v>
      </c>
    </row>
    <row r="22866">
      <c r="A22866" s="39">
        <f>_xlfn.XLOOKUP(84816,Trip[shape_id],Trip[shape_id],"Não encontrado")</f>
        <v/>
      </c>
      <c r="B22866" s="40" t="n">
        <v>-23.587396</v>
      </c>
      <c r="C22866" s="40" t="n">
        <v>-46.559823</v>
      </c>
      <c r="D22866" s="40" t="n">
        <v>119</v>
      </c>
      <c r="E22866" s="41" t="n">
        <v>3917.4167</v>
      </c>
    </row>
    <row r="22867">
      <c r="A22867" s="42">
        <f>_xlfn.XLOOKUP(84816,Trip[shape_id],Trip[shape_id],"Não encontrado")</f>
        <v/>
      </c>
      <c r="B22867" s="43" t="n">
        <v>-23.587232</v>
      </c>
      <c r="C22867" s="43" t="n">
        <v>-46.560173</v>
      </c>
      <c r="D22867" s="43" t="n">
        <v>120</v>
      </c>
      <c r="E22867" s="44" t="n">
        <v>3957.4946</v>
      </c>
    </row>
    <row r="22868">
      <c r="A22868" s="39">
        <f>_xlfn.XLOOKUP(84816,Trip[shape_id],Trip[shape_id],"Não encontrado")</f>
        <v/>
      </c>
      <c r="B22868" s="40" t="n">
        <v>-23.586981</v>
      </c>
      <c r="C22868" s="40" t="n">
        <v>-46.560697</v>
      </c>
      <c r="D22868" s="40" t="n">
        <v>121</v>
      </c>
      <c r="E22868" s="41" t="n">
        <v>4017.7739</v>
      </c>
    </row>
    <row r="22869">
      <c r="A22869" s="42">
        <f>_xlfn.XLOOKUP(84816,Trip[shape_id],Trip[shape_id],"Não encontrado")</f>
        <v/>
      </c>
      <c r="B22869" s="43" t="n">
        <v>-23.586931</v>
      </c>
      <c r="C22869" s="43" t="n">
        <v>-46.56078</v>
      </c>
      <c r="D22869" s="43" t="n">
        <v>122</v>
      </c>
      <c r="E22869" s="44" t="n">
        <v>4027.8953</v>
      </c>
    </row>
    <row r="22870">
      <c r="A22870" s="39">
        <f>_xlfn.XLOOKUP(84816,Trip[shape_id],Trip[shape_id],"Não encontrado")</f>
        <v/>
      </c>
      <c r="B22870" s="40" t="n">
        <v>-23.586856</v>
      </c>
      <c r="C22870" s="40" t="n">
        <v>-46.560894</v>
      </c>
      <c r="D22870" s="40" t="n">
        <v>123</v>
      </c>
      <c r="E22870" s="41" t="n">
        <v>4042.1921</v>
      </c>
    </row>
    <row r="22871">
      <c r="A22871" s="42">
        <f>_xlfn.XLOOKUP(84816,Trip[shape_id],Trip[shape_id],"Não encontrado")</f>
        <v/>
      </c>
      <c r="B22871" s="43" t="n">
        <v>-23.586805</v>
      </c>
      <c r="C22871" s="43" t="n">
        <v>-46.560961</v>
      </c>
      <c r="D22871" s="43" t="n">
        <v>124</v>
      </c>
      <c r="E22871" s="44" t="n">
        <v>4051.062</v>
      </c>
    </row>
    <row r="22872">
      <c r="A22872" s="39">
        <f>_xlfn.XLOOKUP(84816,Trip[shape_id],Trip[shape_id],"Não encontrado")</f>
        <v/>
      </c>
      <c r="B22872" s="40" t="n">
        <v>-23.586551</v>
      </c>
      <c r="C22872" s="40" t="n">
        <v>-46.56118</v>
      </c>
      <c r="D22872" s="40" t="n">
        <v>125</v>
      </c>
      <c r="E22872" s="41" t="n">
        <v>4086.9937</v>
      </c>
    </row>
    <row r="22873">
      <c r="A22873" s="42">
        <f>_xlfn.XLOOKUP(84816,Trip[shape_id],Trip[shape_id],"Não encontrado")</f>
        <v/>
      </c>
      <c r="B22873" s="43" t="n">
        <v>-23.586343</v>
      </c>
      <c r="C22873" s="43" t="n">
        <v>-46.56134</v>
      </c>
      <c r="D22873" s="43" t="n">
        <v>126</v>
      </c>
      <c r="E22873" s="44" t="n">
        <v>4115.2319</v>
      </c>
    </row>
    <row r="22874">
      <c r="A22874" s="39">
        <f>_xlfn.XLOOKUP(84816,Trip[shape_id],Trip[shape_id],"Não encontrado")</f>
        <v/>
      </c>
      <c r="B22874" s="40" t="n">
        <v>-23.586232</v>
      </c>
      <c r="C22874" s="40" t="n">
        <v>-46.561415</v>
      </c>
      <c r="D22874" s="40" t="n">
        <v>127</v>
      </c>
      <c r="E22874" s="41" t="n">
        <v>4129.7144</v>
      </c>
    </row>
    <row r="22875">
      <c r="A22875" s="42">
        <f>_xlfn.XLOOKUP(84816,Trip[shape_id],Trip[shape_id],"Não encontrado")</f>
        <v/>
      </c>
      <c r="B22875" s="43" t="n">
        <v>-23.586116</v>
      </c>
      <c r="C22875" s="43" t="n">
        <v>-46.561504</v>
      </c>
      <c r="D22875" s="43" t="n">
        <v>128</v>
      </c>
      <c r="E22875" s="44" t="n">
        <v>4145.4492</v>
      </c>
    </row>
    <row r="22876">
      <c r="A22876" s="39">
        <f>_xlfn.XLOOKUP(84816,Trip[shape_id],Trip[shape_id],"Não encontrado")</f>
        <v/>
      </c>
      <c r="B22876" s="40" t="n">
        <v>-23.585889</v>
      </c>
      <c r="C22876" s="40" t="n">
        <v>-46.561643</v>
      </c>
      <c r="D22876" s="40" t="n">
        <v>129</v>
      </c>
      <c r="E22876" s="41" t="n">
        <v>4174.3174</v>
      </c>
    </row>
    <row r="22877">
      <c r="A22877" s="42">
        <f>_xlfn.XLOOKUP(84816,Trip[shape_id],Trip[shape_id],"Não encontrado")</f>
        <v/>
      </c>
      <c r="B22877" s="43" t="n">
        <v>-23.585836</v>
      </c>
      <c r="C22877" s="43" t="n">
        <v>-46.561666</v>
      </c>
      <c r="D22877" s="43" t="n">
        <v>130</v>
      </c>
      <c r="E22877" s="44" t="n">
        <v>4180.6392</v>
      </c>
    </row>
    <row r="22878">
      <c r="A22878" s="39">
        <f>_xlfn.XLOOKUP(84816,Trip[shape_id],Trip[shape_id],"Não encontrado")</f>
        <v/>
      </c>
      <c r="B22878" s="40" t="n">
        <v>-23.584726</v>
      </c>
      <c r="C22878" s="40" t="n">
        <v>-46.562158</v>
      </c>
      <c r="D22878" s="40" t="n">
        <v>131</v>
      </c>
      <c r="E22878" s="41" t="n">
        <v>4313.4365</v>
      </c>
    </row>
    <row r="22879">
      <c r="A22879" s="42">
        <f>_xlfn.XLOOKUP(84816,Trip[shape_id],Trip[shape_id],"Não encontrado")</f>
        <v/>
      </c>
      <c r="B22879" s="43" t="n">
        <v>-23.58384</v>
      </c>
      <c r="C22879" s="43" t="n">
        <v>-46.562557</v>
      </c>
      <c r="D22879" s="43" t="n">
        <v>132</v>
      </c>
      <c r="E22879" s="44" t="n">
        <v>4419.6797</v>
      </c>
    </row>
    <row r="22880">
      <c r="A22880" s="39">
        <f>_xlfn.XLOOKUP(84816,Trip[shape_id],Trip[shape_id],"Não encontrado")</f>
        <v/>
      </c>
      <c r="B22880" s="40" t="n">
        <v>-23.583622</v>
      </c>
      <c r="C22880" s="40" t="n">
        <v>-46.562652</v>
      </c>
      <c r="D22880" s="40" t="n">
        <v>133</v>
      </c>
      <c r="E22880" s="41" t="n">
        <v>4445.6982</v>
      </c>
    </row>
    <row r="22881">
      <c r="A22881" s="42">
        <f>_xlfn.XLOOKUP(84816,Trip[shape_id],Trip[shape_id],"Não encontrado")</f>
        <v/>
      </c>
      <c r="B22881" s="43" t="n">
        <v>-23.583311</v>
      </c>
      <c r="C22881" s="43" t="n">
        <v>-46.562781</v>
      </c>
      <c r="D22881" s="43" t="n">
        <v>134</v>
      </c>
      <c r="E22881" s="44" t="n">
        <v>4482.5732</v>
      </c>
    </row>
    <row r="22882">
      <c r="A22882" s="39">
        <f>_xlfn.XLOOKUP(84816,Trip[shape_id],Trip[shape_id],"Não encontrado")</f>
        <v/>
      </c>
      <c r="B22882" s="40" t="n">
        <v>-23.583269</v>
      </c>
      <c r="C22882" s="40" t="n">
        <v>-46.562798</v>
      </c>
      <c r="D22882" s="40" t="n">
        <v>135</v>
      </c>
      <c r="E22882" s="41" t="n">
        <v>4487.5376</v>
      </c>
    </row>
    <row r="22883">
      <c r="A22883" s="42">
        <f>_xlfn.XLOOKUP(84816,Trip[shape_id],Trip[shape_id],"Não encontrado")</f>
        <v/>
      </c>
      <c r="B22883" s="43" t="n">
        <v>-23.582801</v>
      </c>
      <c r="C22883" s="43" t="n">
        <v>-46.562899</v>
      </c>
      <c r="D22883" s="43" t="n">
        <v>136</v>
      </c>
      <c r="E22883" s="44" t="n">
        <v>4540.3853</v>
      </c>
    </row>
    <row r="22884">
      <c r="A22884" s="39">
        <f>_xlfn.XLOOKUP(84816,Trip[shape_id],Trip[shape_id],"Não encontrado")</f>
        <v/>
      </c>
      <c r="B22884" s="40" t="n">
        <v>-23.582856</v>
      </c>
      <c r="C22884" s="40" t="n">
        <v>-46.563018</v>
      </c>
      <c r="D22884" s="40" t="n">
        <v>137</v>
      </c>
      <c r="E22884" s="41" t="n">
        <v>4589.9092</v>
      </c>
    </row>
    <row r="22885">
      <c r="A22885" s="42">
        <f>_xlfn.XLOOKUP(84816,Trip[shape_id],Trip[shape_id],"Não encontrado")</f>
        <v/>
      </c>
      <c r="B22885" s="43" t="n">
        <v>-23.583104</v>
      </c>
      <c r="C22885" s="43" t="n">
        <v>-46.563245</v>
      </c>
      <c r="D22885" s="43" t="n">
        <v>138</v>
      </c>
      <c r="E22885" s="44" t="n">
        <v>4610.5264</v>
      </c>
    </row>
    <row r="22886">
      <c r="A22886" s="39">
        <f>_xlfn.XLOOKUP(84816,Trip[shape_id],Trip[shape_id],"Não encontrado")</f>
        <v/>
      </c>
      <c r="B22886" s="40" t="n">
        <v>-23.583248</v>
      </c>
      <c r="C22886" s="40" t="n">
        <v>-46.563373</v>
      </c>
      <c r="D22886" s="40" t="n">
        <v>139</v>
      </c>
      <c r="E22886" s="41" t="n">
        <v>4632.0547</v>
      </c>
    </row>
    <row r="22887">
      <c r="A22887" s="42">
        <f>_xlfn.XLOOKUP(84816,Trip[shape_id],Trip[shape_id],"Não encontrado")</f>
        <v/>
      </c>
      <c r="B22887" s="43" t="n">
        <v>-23.583432</v>
      </c>
      <c r="C22887" s="43" t="n">
        <v>-46.563441</v>
      </c>
      <c r="D22887" s="43" t="n">
        <v>140</v>
      </c>
      <c r="E22887" s="44" t="n">
        <v>4656.604</v>
      </c>
    </row>
    <row r="22888">
      <c r="A22888" s="39">
        <f>_xlfn.XLOOKUP(84816,Trip[shape_id],Trip[shape_id],"Não encontrado")</f>
        <v/>
      </c>
      <c r="B22888" s="40" t="n">
        <v>-23.583563</v>
      </c>
      <c r="C22888" s="40" t="n">
        <v>-46.563635</v>
      </c>
      <c r="D22888" s="40" t="n">
        <v>141</v>
      </c>
      <c r="E22888" s="41" t="n">
        <v>4679.1318</v>
      </c>
    </row>
    <row r="22889">
      <c r="A22889" s="42">
        <f>_xlfn.XLOOKUP(84816,Trip[shape_id],Trip[shape_id],"Não encontrado")</f>
        <v/>
      </c>
      <c r="B22889" s="43" t="n">
        <v>-23.58373</v>
      </c>
      <c r="C22889" s="43" t="n">
        <v>-46.563761</v>
      </c>
      <c r="D22889" s="43" t="n">
        <v>142</v>
      </c>
      <c r="E22889" s="44" t="n">
        <v>4679.1318</v>
      </c>
    </row>
    <row r="22890">
      <c r="A22890" s="39">
        <f>_xlfn.XLOOKUP(84816,Trip[shape_id],Trip[shape_id],"Não encontrado")</f>
        <v/>
      </c>
      <c r="B22890" s="40" t="n">
        <v>-23.583828</v>
      </c>
      <c r="C22890" s="40" t="n">
        <v>-46.563812</v>
      </c>
      <c r="D22890" s="40" t="n">
        <v>143</v>
      </c>
      <c r="E22890" s="41" t="n">
        <v>4711.2988</v>
      </c>
    </row>
    <row r="22891">
      <c r="A22891" s="42">
        <f>_xlfn.XLOOKUP(84816,Trip[shape_id],Trip[shape_id],"Não encontrado")</f>
        <v/>
      </c>
      <c r="B22891" s="43" t="n">
        <v>-23.583992</v>
      </c>
      <c r="C22891" s="43" t="n">
        <v>-46.563897</v>
      </c>
      <c r="D22891" s="43" t="n">
        <v>144</v>
      </c>
      <c r="E22891" s="44" t="n">
        <v>4724.1445</v>
      </c>
    </row>
    <row r="22892">
      <c r="A22892" s="39">
        <f>_xlfn.XLOOKUP(84816,Trip[shape_id],Trip[shape_id],"Não encontrado")</f>
        <v/>
      </c>
      <c r="B22892" s="40" t="n">
        <v>-23.584089</v>
      </c>
      <c r="C22892" s="40" t="n">
        <v>-46.563966</v>
      </c>
      <c r="D22892" s="40" t="n">
        <v>145</v>
      </c>
      <c r="E22892" s="41" t="n">
        <v>4781.6851</v>
      </c>
    </row>
    <row r="22893">
      <c r="A22893" s="42">
        <f>_xlfn.XLOOKUP(84816,Trip[shape_id],Trip[shape_id],"Não encontrado")</f>
        <v/>
      </c>
      <c r="B22893" s="43" t="n">
        <v>-23.584502</v>
      </c>
      <c r="C22893" s="43" t="n">
        <v>-46.564308</v>
      </c>
      <c r="D22893" s="43" t="n">
        <v>146</v>
      </c>
      <c r="E22893" s="44" t="n">
        <v>4792.7002</v>
      </c>
    </row>
    <row r="22894">
      <c r="A22894" s="39">
        <f>_xlfn.XLOOKUP(84816,Trip[shape_id],Trip[shape_id],"Não encontrado")</f>
        <v/>
      </c>
      <c r="B22894" s="40" t="n">
        <v>-23.584594</v>
      </c>
      <c r="C22894" s="40" t="n">
        <v>-46.564349</v>
      </c>
      <c r="D22894" s="40" t="n">
        <v>147</v>
      </c>
      <c r="E22894" s="41" t="n">
        <v>4802.3472</v>
      </c>
    </row>
    <row r="22895">
      <c r="A22895" s="42">
        <f>_xlfn.XLOOKUP(84816,Trip[shape_id],Trip[shape_id],"Não encontrado")</f>
        <v/>
      </c>
      <c r="B22895" s="43" t="n">
        <v>-23.584647</v>
      </c>
      <c r="C22895" s="43" t="n">
        <v>-46.564424</v>
      </c>
      <c r="D22895" s="43" t="n">
        <v>148</v>
      </c>
      <c r="E22895" s="44" t="n">
        <v>4811.6553</v>
      </c>
    </row>
    <row r="22896">
      <c r="A22896" s="39">
        <f>_xlfn.XLOOKUP(84816,Trip[shape_id],Trip[shape_id],"Não encontrado")</f>
        <v/>
      </c>
      <c r="B22896" s="40" t="n">
        <v>-23.584705</v>
      </c>
      <c r="C22896" s="40" t="n">
        <v>-46.56449</v>
      </c>
      <c r="D22896" s="40" t="n">
        <v>149</v>
      </c>
      <c r="E22896" s="41" t="n">
        <v>4811.6553</v>
      </c>
    </row>
    <row r="22897">
      <c r="A22897" s="42">
        <f>_xlfn.XLOOKUP(84816,Trip[shape_id],Trip[shape_id],"Não encontrado")</f>
        <v/>
      </c>
      <c r="B22897" s="43" t="n">
        <v>-23.585482</v>
      </c>
      <c r="C22897" s="43" t="n">
        <v>-46.564126</v>
      </c>
      <c r="D22897" s="43" t="n">
        <v>150</v>
      </c>
      <c r="E22897" s="44" t="n">
        <v>4905.3887</v>
      </c>
    </row>
    <row r="22898">
      <c r="A22898" s="39">
        <f>_xlfn.XLOOKUP(84816,Trip[shape_id],Trip[shape_id],"Não encontrado")</f>
        <v/>
      </c>
      <c r="B22898" s="40" t="n">
        <v>-23.58645</v>
      </c>
      <c r="C22898" s="40" t="n">
        <v>-46.563699</v>
      </c>
      <c r="D22898" s="40" t="n">
        <v>151</v>
      </c>
      <c r="E22898" s="41" t="n">
        <v>5093.0576</v>
      </c>
    </row>
    <row r="22899">
      <c r="A22899" s="42">
        <f>_xlfn.XLOOKUP(84816,Trip[shape_id],Trip[shape_id],"Não encontrado")</f>
        <v/>
      </c>
      <c r="B22899" s="43" t="n">
        <v>-23.587053</v>
      </c>
      <c r="C22899" s="43" t="n">
        <v>-46.563437</v>
      </c>
      <c r="D22899" s="43" t="n">
        <v>152</v>
      </c>
      <c r="E22899" s="44" t="n">
        <v>5115.9414</v>
      </c>
    </row>
    <row r="22900">
      <c r="A22900" s="39">
        <f>_xlfn.XLOOKUP(84816,Trip[shape_id],Trip[shape_id],"Não encontrado")</f>
        <v/>
      </c>
      <c r="B22900" s="40" t="n">
        <v>-23.587237</v>
      </c>
      <c r="C22900" s="40" t="n">
        <v>-46.563335</v>
      </c>
      <c r="D22900" s="40" t="n">
        <v>153</v>
      </c>
      <c r="E22900" s="41" t="n">
        <v>5115.9414</v>
      </c>
    </row>
    <row r="22901">
      <c r="A22901" s="42">
        <f>_xlfn.XLOOKUP(84816,Trip[shape_id],Trip[shape_id],"Não encontrado")</f>
        <v/>
      </c>
      <c r="B22901" s="43" t="n">
        <v>-23.587359</v>
      </c>
      <c r="C22901" s="43" t="n">
        <v>-46.563252</v>
      </c>
      <c r="D22901" s="43" t="n">
        <v>154</v>
      </c>
      <c r="E22901" s="44" t="n">
        <v>5146.0908</v>
      </c>
    </row>
    <row r="22902">
      <c r="A22902" s="39">
        <f>_xlfn.XLOOKUP(84816,Trip[shape_id],Trip[shape_id],"Não encontrado")</f>
        <v/>
      </c>
      <c r="B22902" s="40" t="n">
        <v>-23.587467</v>
      </c>
      <c r="C22902" s="40" t="n">
        <v>-46.563177</v>
      </c>
      <c r="D22902" s="40" t="n">
        <v>155</v>
      </c>
      <c r="E22902" s="41" t="n">
        <v>5190.6235</v>
      </c>
    </row>
    <row r="22903">
      <c r="A22903" s="42">
        <f>_xlfn.XLOOKUP(84816,Trip[shape_id],Trip[shape_id],"Não encontrado")</f>
        <v/>
      </c>
      <c r="B22903" s="43" t="n">
        <v>-23.587785</v>
      </c>
      <c r="C22903" s="43" t="n">
        <v>-46.56291</v>
      </c>
      <c r="D22903" s="43" t="n">
        <v>156</v>
      </c>
      <c r="E22903" s="44" t="n">
        <v>5217.9941</v>
      </c>
    </row>
    <row r="22904">
      <c r="A22904" s="39">
        <f>_xlfn.XLOOKUP(84816,Trip[shape_id],Trip[shape_id],"Não encontrado")</f>
        <v/>
      </c>
      <c r="B22904" s="40" t="n">
        <v>-23.587984</v>
      </c>
      <c r="C22904" s="40" t="n">
        <v>-46.562751</v>
      </c>
      <c r="D22904" s="40" t="n">
        <v>157</v>
      </c>
      <c r="E22904" s="41" t="n">
        <v>5233.9077</v>
      </c>
    </row>
    <row r="22905">
      <c r="A22905" s="42">
        <f>_xlfn.XLOOKUP(84816,Trip[shape_id],Trip[shape_id],"Não encontrado")</f>
        <v/>
      </c>
      <c r="B22905" s="43" t="n">
        <v>-23.588095</v>
      </c>
      <c r="C22905" s="43" t="n">
        <v>-46.562652</v>
      </c>
      <c r="D22905" s="43" t="n">
        <v>158</v>
      </c>
      <c r="E22905" s="44" t="n">
        <v>5290.5674</v>
      </c>
    </row>
    <row r="22906">
      <c r="A22906" s="39">
        <f>_xlfn.XLOOKUP(84816,Trip[shape_id],Trip[shape_id],"Não encontrado")</f>
        <v/>
      </c>
      <c r="B22906" s="40" t="n">
        <v>-23.588505</v>
      </c>
      <c r="C22906" s="40" t="n">
        <v>-46.56232</v>
      </c>
      <c r="D22906" s="40" t="n">
        <v>159</v>
      </c>
      <c r="E22906" s="41" t="n">
        <v>5342.5068</v>
      </c>
    </row>
    <row r="22907">
      <c r="A22907" s="42">
        <f>_xlfn.XLOOKUP(84816,Trip[shape_id],Trip[shape_id],"Não encontrado")</f>
        <v/>
      </c>
      <c r="B22907" s="43" t="n">
        <v>-23.588879</v>
      </c>
      <c r="C22907" s="43" t="n">
        <v>-46.562013</v>
      </c>
      <c r="D22907" s="43" t="n">
        <v>160</v>
      </c>
      <c r="E22907" s="44" t="n">
        <v>5342.5068</v>
      </c>
    </row>
    <row r="22908">
      <c r="A22908" s="39">
        <f>_xlfn.XLOOKUP(84816,Trip[shape_id],Trip[shape_id],"Não encontrado")</f>
        <v/>
      </c>
      <c r="B22908" s="40" t="n">
        <v>-23.589387</v>
      </c>
      <c r="C22908" s="40" t="n">
        <v>-46.561573</v>
      </c>
      <c r="D22908" s="40" t="n">
        <v>161</v>
      </c>
      <c r="E22908" s="41" t="n">
        <v>5444.769</v>
      </c>
    </row>
    <row r="22909">
      <c r="A22909" s="42">
        <f>_xlfn.XLOOKUP(84816,Trip[shape_id],Trip[shape_id],"Não encontrado")</f>
        <v/>
      </c>
      <c r="B22909" s="43" t="n">
        <v>-23.589607</v>
      </c>
      <c r="C22909" s="43" t="n">
        <v>-46.561397</v>
      </c>
      <c r="D22909" s="43" t="n">
        <v>162</v>
      </c>
      <c r="E22909" s="44" t="n">
        <v>5444.769</v>
      </c>
    </row>
    <row r="22910">
      <c r="A22910" s="39">
        <f>_xlfn.XLOOKUP(84816,Trip[shape_id],Trip[shape_id],"Não encontrado")</f>
        <v/>
      </c>
      <c r="B22910" s="40" t="n">
        <v>-23.589827</v>
      </c>
      <c r="C22910" s="40" t="n">
        <v>-46.561224</v>
      </c>
      <c r="D22910" s="40" t="n">
        <v>163</v>
      </c>
      <c r="E22910" s="41" t="n">
        <v>5474.8604</v>
      </c>
    </row>
    <row r="22911">
      <c r="A22911" s="42">
        <f>_xlfn.XLOOKUP(84816,Trip[shape_id],Trip[shape_id],"Não encontrado")</f>
        <v/>
      </c>
      <c r="B22911" s="43" t="n">
        <v>-23.589835</v>
      </c>
      <c r="C22911" s="43" t="n">
        <v>-46.561218</v>
      </c>
      <c r="D22911" s="43" t="n">
        <v>164</v>
      </c>
      <c r="E22911" s="44" t="n">
        <v>5475.9336</v>
      </c>
    </row>
    <row r="22912">
      <c r="A22912" s="39">
        <f>_xlfn.XLOOKUP(84816,Trip[shape_id],Trip[shape_id],"Não encontrado")</f>
        <v/>
      </c>
      <c r="B22912" s="40" t="n">
        <v>-23.590231</v>
      </c>
      <c r="C22912" s="40" t="n">
        <v>-46.56088</v>
      </c>
      <c r="D22912" s="40" t="n">
        <v>165</v>
      </c>
      <c r="E22912" s="41" t="n">
        <v>5531.7349</v>
      </c>
    </row>
    <row r="22913">
      <c r="A22913" s="42">
        <f>_xlfn.XLOOKUP(84816,Trip[shape_id],Trip[shape_id],"Não encontrado")</f>
        <v/>
      </c>
      <c r="B22913" s="43" t="n">
        <v>-23.590649</v>
      </c>
      <c r="C22913" s="43" t="n">
        <v>-46.560507</v>
      </c>
      <c r="D22913" s="43" t="n">
        <v>166</v>
      </c>
      <c r="E22913" s="44" t="n">
        <v>5591.6738</v>
      </c>
    </row>
    <row r="22914">
      <c r="A22914" s="39">
        <f>_xlfn.XLOOKUP(84816,Trip[shape_id],Trip[shape_id],"Não encontrado")</f>
        <v/>
      </c>
      <c r="B22914" s="40" t="n">
        <v>-23.590961</v>
      </c>
      <c r="C22914" s="40" t="n">
        <v>-46.560257</v>
      </c>
      <c r="D22914" s="40" t="n">
        <v>167</v>
      </c>
      <c r="E22914" s="41" t="n">
        <v>5669.394</v>
      </c>
    </row>
    <row r="22915">
      <c r="A22915" s="42">
        <f>_xlfn.XLOOKUP(84816,Trip[shape_id],Trip[shape_id],"Não encontrado")</f>
        <v/>
      </c>
      <c r="B22915" s="43" t="n">
        <v>-23.591219</v>
      </c>
      <c r="C22915" s="43" t="n">
        <v>-46.560063</v>
      </c>
      <c r="D22915" s="43" t="n">
        <v>168</v>
      </c>
      <c r="E22915" s="44" t="n">
        <v>5669.394</v>
      </c>
    </row>
    <row r="22916">
      <c r="A22916" s="39">
        <f>_xlfn.XLOOKUP(84816,Trip[shape_id],Trip[shape_id],"Não encontrado")</f>
        <v/>
      </c>
      <c r="B22916" s="40" t="n">
        <v>-23.591665</v>
      </c>
      <c r="C22916" s="40" t="n">
        <v>-46.559693</v>
      </c>
      <c r="D22916" s="40" t="n">
        <v>169</v>
      </c>
      <c r="E22916" s="41" t="n">
        <v>5731.5728</v>
      </c>
    </row>
    <row r="22917">
      <c r="A22917" s="42">
        <f>_xlfn.XLOOKUP(84816,Trip[shape_id],Trip[shape_id],"Não encontrado")</f>
        <v/>
      </c>
      <c r="B22917" s="43" t="n">
        <v>-23.592062</v>
      </c>
      <c r="C22917" s="43" t="n">
        <v>-46.559371</v>
      </c>
      <c r="D22917" s="43" t="n">
        <v>170</v>
      </c>
      <c r="E22917" s="44" t="n">
        <v>5786.4678</v>
      </c>
    </row>
    <row r="22918">
      <c r="A22918" s="39">
        <f>_xlfn.XLOOKUP(84816,Trip[shape_id],Trip[shape_id],"Não encontrado")</f>
        <v/>
      </c>
      <c r="B22918" s="40" t="n">
        <v>-23.592491</v>
      </c>
      <c r="C22918" s="40" t="n">
        <v>-46.559011</v>
      </c>
      <c r="D22918" s="40" t="n">
        <v>171</v>
      </c>
      <c r="E22918" s="41" t="n">
        <v>5846.5317</v>
      </c>
    </row>
    <row r="22919">
      <c r="A22919" s="42">
        <f>_xlfn.XLOOKUP(84816,Trip[shape_id],Trip[shape_id],"Não encontrado")</f>
        <v/>
      </c>
      <c r="B22919" s="43" t="n">
        <v>-23.592865</v>
      </c>
      <c r="C22919" s="43" t="n">
        <v>-46.559551</v>
      </c>
      <c r="D22919" s="43" t="n">
        <v>172</v>
      </c>
      <c r="E22919" s="44" t="n">
        <v>5915.4785</v>
      </c>
    </row>
    <row r="22920">
      <c r="A22920" s="39">
        <f>_xlfn.XLOOKUP(84816,Trip[shape_id],Trip[shape_id],"Não encontrado")</f>
        <v/>
      </c>
      <c r="B22920" s="40" t="n">
        <v>-23.592984</v>
      </c>
      <c r="C22920" s="40" t="n">
        <v>-46.559701</v>
      </c>
      <c r="D22920" s="40" t="n">
        <v>173</v>
      </c>
      <c r="E22920" s="41" t="n">
        <v>5935.6802</v>
      </c>
    </row>
    <row r="22921">
      <c r="A22921" s="42">
        <f>_xlfn.XLOOKUP(84816,Trip[shape_id],Trip[shape_id],"Não encontrado")</f>
        <v/>
      </c>
      <c r="B22921" s="43" t="n">
        <v>-23.593043</v>
      </c>
      <c r="C22921" s="43" t="n">
        <v>-46.559778</v>
      </c>
      <c r="D22921" s="43" t="n">
        <v>174</v>
      </c>
      <c r="E22921" s="44" t="n">
        <v>5945.9014</v>
      </c>
    </row>
    <row r="22922">
      <c r="A22922" s="39">
        <f>_xlfn.XLOOKUP(84816,Trip[shape_id],Trip[shape_id],"Não encontrado")</f>
        <v/>
      </c>
      <c r="B22922" s="40" t="n">
        <v>-23.593186</v>
      </c>
      <c r="C22922" s="40" t="n">
        <v>-46.560095</v>
      </c>
      <c r="D22922" s="40" t="n">
        <v>175</v>
      </c>
      <c r="E22922" s="41" t="n">
        <v>5981.9253</v>
      </c>
    </row>
    <row r="22923">
      <c r="A22923" s="42">
        <f>_xlfn.XLOOKUP(84816,Trip[shape_id],Trip[shape_id],"Não encontrado")</f>
        <v/>
      </c>
      <c r="B22923" s="43" t="n">
        <v>-23.593356</v>
      </c>
      <c r="C22923" s="43" t="n">
        <v>-46.560471</v>
      </c>
      <c r="D22923" s="43" t="n">
        <v>176</v>
      </c>
      <c r="E22923" s="44" t="n">
        <v>6024.6729</v>
      </c>
    </row>
    <row r="22924">
      <c r="A22924" s="39">
        <f>_xlfn.XLOOKUP(84816,Trip[shape_id],Trip[shape_id],"Não encontrado")</f>
        <v/>
      </c>
      <c r="B22924" s="40" t="n">
        <v>-23.593825</v>
      </c>
      <c r="C22924" s="40" t="n">
        <v>-46.561509</v>
      </c>
      <c r="D22924" s="40" t="n">
        <v>177</v>
      </c>
      <c r="E22924" s="41" t="n">
        <v>6142.6685</v>
      </c>
    </row>
    <row r="22925">
      <c r="A22925" s="42">
        <f>_xlfn.XLOOKUP(84816,Trip[shape_id],Trip[shape_id],"Não encontrado")</f>
        <v/>
      </c>
      <c r="B22925" s="43" t="n">
        <v>-23.593922</v>
      </c>
      <c r="C22925" s="43" t="n">
        <v>-46.561726</v>
      </c>
      <c r="D22925" s="43" t="n">
        <v>178</v>
      </c>
      <c r="E22925" s="44" t="n">
        <v>6167.2852</v>
      </c>
    </row>
    <row r="22926">
      <c r="A22926" s="39">
        <f>_xlfn.XLOOKUP(84816,Trip[shape_id],Trip[shape_id],"Não encontrado")</f>
        <v/>
      </c>
      <c r="B22926" s="40" t="n">
        <v>-23.593939</v>
      </c>
      <c r="C22926" s="40" t="n">
        <v>-46.5618</v>
      </c>
      <c r="D22926" s="40" t="n">
        <v>179</v>
      </c>
      <c r="E22926" s="41" t="n">
        <v>6175.0693</v>
      </c>
    </row>
    <row r="22927">
      <c r="A22927" s="42">
        <f>_xlfn.XLOOKUP(84816,Trip[shape_id],Trip[shape_id],"Não encontrado")</f>
        <v/>
      </c>
      <c r="B22927" s="43" t="n">
        <v>-23.593929</v>
      </c>
      <c r="C22927" s="43" t="n">
        <v>-46.562034</v>
      </c>
      <c r="D22927" s="43" t="n">
        <v>180</v>
      </c>
      <c r="E22927" s="44" t="n">
        <v>6198.979</v>
      </c>
    </row>
    <row r="22928">
      <c r="A22928" s="39">
        <f>_xlfn.XLOOKUP(84816,Trip[shape_id],Trip[shape_id],"Não encontrado")</f>
        <v/>
      </c>
      <c r="B22928" s="40" t="n">
        <v>-23.593911</v>
      </c>
      <c r="C22928" s="40" t="n">
        <v>-46.562121</v>
      </c>
      <c r="D22928" s="40" t="n">
        <v>181</v>
      </c>
      <c r="E22928" s="41" t="n">
        <v>6208.0801</v>
      </c>
    </row>
    <row r="22929">
      <c r="A22929" s="42">
        <f>_xlfn.XLOOKUP(84816,Trip[shape_id],Trip[shape_id],"Não encontrado")</f>
        <v/>
      </c>
      <c r="B22929" s="43" t="n">
        <v>-23.593752</v>
      </c>
      <c r="C22929" s="43" t="n">
        <v>-46.562252</v>
      </c>
      <c r="D22929" s="43" t="n">
        <v>182</v>
      </c>
      <c r="E22929" s="44" t="n">
        <v>6230.1904</v>
      </c>
    </row>
    <row r="22930">
      <c r="A22930" s="39">
        <f>_xlfn.XLOOKUP(84816,Trip[shape_id],Trip[shape_id],"Não encontrado")</f>
        <v/>
      </c>
      <c r="B22930" s="40" t="n">
        <v>-23.593628</v>
      </c>
      <c r="C22930" s="40" t="n">
        <v>-46.562404</v>
      </c>
      <c r="D22930" s="40" t="n">
        <v>183</v>
      </c>
      <c r="E22930" s="41" t="n">
        <v>6250.9097</v>
      </c>
    </row>
    <row r="22931">
      <c r="A22931" s="42">
        <f>_xlfn.XLOOKUP(84816,Trip[shape_id],Trip[shape_id],"Não encontrado")</f>
        <v/>
      </c>
      <c r="B22931" s="43" t="n">
        <v>-23.593525</v>
      </c>
      <c r="C22931" s="43" t="n">
        <v>-46.562517</v>
      </c>
      <c r="D22931" s="43" t="n">
        <v>184</v>
      </c>
      <c r="E22931" s="44" t="n">
        <v>6267.1318</v>
      </c>
    </row>
    <row r="22932">
      <c r="A22932" s="39">
        <f>_xlfn.XLOOKUP(84816,Trip[shape_id],Trip[shape_id],"Não encontrado")</f>
        <v/>
      </c>
      <c r="B22932" s="40" t="n">
        <v>-23.593465</v>
      </c>
      <c r="C22932" s="40" t="n">
        <v>-46.562598</v>
      </c>
      <c r="D22932" s="40" t="n">
        <v>185</v>
      </c>
      <c r="E22932" s="41" t="n">
        <v>6277.7393</v>
      </c>
    </row>
    <row r="22933">
      <c r="A22933" s="42">
        <f>_xlfn.XLOOKUP(84816,Trip[shape_id],Trip[shape_id],"Não encontrado")</f>
        <v/>
      </c>
      <c r="B22933" s="43" t="n">
        <v>-23.593406</v>
      </c>
      <c r="C22933" s="43" t="n">
        <v>-46.562678</v>
      </c>
      <c r="D22933" s="43" t="n">
        <v>186</v>
      </c>
      <c r="E22933" s="44" t="n">
        <v>6288.1978</v>
      </c>
    </row>
    <row r="22934">
      <c r="A22934" s="39">
        <f>_xlfn.XLOOKUP(84816,Trip[shape_id],Trip[shape_id],"Não encontrado")</f>
        <v/>
      </c>
      <c r="B22934" s="40" t="n">
        <v>-23.593342</v>
      </c>
      <c r="C22934" s="40" t="n">
        <v>-46.562802</v>
      </c>
      <c r="D22934" s="40" t="n">
        <v>187</v>
      </c>
      <c r="E22934" s="41" t="n">
        <v>6302.7041</v>
      </c>
    </row>
    <row r="22935">
      <c r="A22935" s="42">
        <f>_xlfn.XLOOKUP(84816,Trip[shape_id],Trip[shape_id],"Não encontrado")</f>
        <v/>
      </c>
      <c r="B22935" s="43" t="n">
        <v>-23.593276</v>
      </c>
      <c r="C22935" s="43" t="n">
        <v>-46.562949</v>
      </c>
      <c r="D22935" s="43" t="n">
        <v>188</v>
      </c>
      <c r="E22935" s="44" t="n">
        <v>6319.394</v>
      </c>
    </row>
    <row r="22936">
      <c r="A22936" s="39">
        <f>_xlfn.XLOOKUP(84816,Trip[shape_id],Trip[shape_id],"Não encontrado")</f>
        <v/>
      </c>
      <c r="B22936" s="40" t="n">
        <v>-23.59324</v>
      </c>
      <c r="C22936" s="40" t="n">
        <v>-46.56305</v>
      </c>
      <c r="D22936" s="40" t="n">
        <v>189</v>
      </c>
      <c r="E22936" s="41" t="n">
        <v>6330.4478</v>
      </c>
    </row>
    <row r="22937">
      <c r="A22937" s="42">
        <f>_xlfn.XLOOKUP(84816,Trip[shape_id],Trip[shape_id],"Não encontrado")</f>
        <v/>
      </c>
      <c r="B22937" s="43" t="n">
        <v>-23.593093</v>
      </c>
      <c r="C22937" s="43" t="n">
        <v>-46.563511</v>
      </c>
      <c r="D22937" s="43" t="n">
        <v>190</v>
      </c>
      <c r="E22937" s="44" t="n">
        <v>6380.2383</v>
      </c>
    </row>
    <row r="22938">
      <c r="A22938" s="39">
        <f>_xlfn.XLOOKUP(84816,Trip[shape_id],Trip[shape_id],"Não encontrado")</f>
        <v/>
      </c>
      <c r="B22938" s="40" t="n">
        <v>-23.592855</v>
      </c>
      <c r="C22938" s="40" t="n">
        <v>-46.564272</v>
      </c>
      <c r="D22938" s="40" t="n">
        <v>191</v>
      </c>
      <c r="E22938" s="41" t="n">
        <v>6462.2637</v>
      </c>
    </row>
    <row r="22939">
      <c r="A22939" s="42">
        <f>_xlfn.XLOOKUP(84816,Trip[shape_id],Trip[shape_id],"Não encontrado")</f>
        <v/>
      </c>
      <c r="B22939" s="43" t="n">
        <v>-23.592563</v>
      </c>
      <c r="C22939" s="43" t="n">
        <v>-46.56519</v>
      </c>
      <c r="D22939" s="43" t="n">
        <v>192</v>
      </c>
      <c r="E22939" s="44" t="n">
        <v>6561.3872</v>
      </c>
    </row>
    <row r="22940">
      <c r="A22940" s="39">
        <f>_xlfn.XLOOKUP(84816,Trip[shape_id],Trip[shape_id],"Não encontrado")</f>
        <v/>
      </c>
      <c r="B22940" s="40" t="n">
        <v>-23.592477</v>
      </c>
      <c r="C22940" s="40" t="n">
        <v>-46.565429</v>
      </c>
      <c r="D22940" s="40" t="n">
        <v>193</v>
      </c>
      <c r="E22940" s="41" t="n">
        <v>6587.5757</v>
      </c>
    </row>
    <row r="22941">
      <c r="A22941" s="42">
        <f>_xlfn.XLOOKUP(84816,Trip[shape_id],Trip[shape_id],"Não encontrado")</f>
        <v/>
      </c>
      <c r="B22941" s="43" t="n">
        <v>-23.592376</v>
      </c>
      <c r="C22941" s="43" t="n">
        <v>-46.565671</v>
      </c>
      <c r="D22941" s="43" t="n">
        <v>194</v>
      </c>
      <c r="E22941" s="44" t="n">
        <v>6614.6914</v>
      </c>
    </row>
    <row r="22942">
      <c r="A22942" s="39">
        <f>_xlfn.XLOOKUP(84816,Trip[shape_id],Trip[shape_id],"Não encontrado")</f>
        <v/>
      </c>
      <c r="B22942" s="40" t="n">
        <v>-23.592247</v>
      </c>
      <c r="C22942" s="40" t="n">
        <v>-46.565876</v>
      </c>
      <c r="D22942" s="40" t="n">
        <v>195</v>
      </c>
      <c r="E22942" s="41" t="n">
        <v>6640.0283</v>
      </c>
    </row>
    <row r="22943">
      <c r="A22943" s="42">
        <f>_xlfn.XLOOKUP(84816,Trip[shape_id],Trip[shape_id],"Não encontrado")</f>
        <v/>
      </c>
      <c r="B22943" s="43" t="n">
        <v>-23.592137</v>
      </c>
      <c r="C22943" s="43" t="n">
        <v>-46.566033</v>
      </c>
      <c r="D22943" s="43" t="n">
        <v>196</v>
      </c>
      <c r="E22943" s="44" t="n">
        <v>6660.1587</v>
      </c>
    </row>
    <row r="22944">
      <c r="A22944" s="39">
        <f>_xlfn.XLOOKUP(84816,Trip[shape_id],Trip[shape_id],"Não encontrado")</f>
        <v/>
      </c>
      <c r="B22944" s="40" t="n">
        <v>-23.591974</v>
      </c>
      <c r="C22944" s="40" t="n">
        <v>-46.566243</v>
      </c>
      <c r="D22944" s="40" t="n">
        <v>197</v>
      </c>
      <c r="E22944" s="41" t="n">
        <v>6688.1826</v>
      </c>
    </row>
    <row r="22945">
      <c r="A22945" s="42">
        <f>_xlfn.XLOOKUP(84816,Trip[shape_id],Trip[shape_id],"Não encontrado")</f>
        <v/>
      </c>
      <c r="B22945" s="43" t="n">
        <v>-23.591782</v>
      </c>
      <c r="C22945" s="43" t="n">
        <v>-46.566405</v>
      </c>
      <c r="D22945" s="43" t="n">
        <v>198</v>
      </c>
      <c r="E22945" s="44" t="n">
        <v>6715.1196</v>
      </c>
    </row>
    <row r="22946">
      <c r="A22946" s="39">
        <f>_xlfn.XLOOKUP(84816,Trip[shape_id],Trip[shape_id],"Não encontrado")</f>
        <v/>
      </c>
      <c r="B22946" s="40" t="n">
        <v>-23.59167</v>
      </c>
      <c r="C22946" s="40" t="n">
        <v>-46.566504</v>
      </c>
      <c r="D22946" s="40" t="n">
        <v>199</v>
      </c>
      <c r="E22946" s="41" t="n">
        <v>6731.1187</v>
      </c>
    </row>
    <row r="22947">
      <c r="A22947" s="42">
        <f>_xlfn.XLOOKUP(84816,Trip[shape_id],Trip[shape_id],"Não encontrado")</f>
        <v/>
      </c>
      <c r="B22947" s="43" t="n">
        <v>-23.591621</v>
      </c>
      <c r="C22947" s="43" t="n">
        <v>-46.566547</v>
      </c>
      <c r="D22947" s="43" t="n">
        <v>200</v>
      </c>
      <c r="E22947" s="44" t="n">
        <v>6738.0986</v>
      </c>
    </row>
    <row r="22948">
      <c r="A22948" s="39">
        <f>_xlfn.XLOOKUP(84816,Trip[shape_id],Trip[shape_id],"Não encontrado")</f>
        <v/>
      </c>
      <c r="B22948" s="40" t="n">
        <v>-23.591489</v>
      </c>
      <c r="C22948" s="40" t="n">
        <v>-46.566845</v>
      </c>
      <c r="D22948" s="40" t="n">
        <v>201</v>
      </c>
      <c r="E22948" s="41" t="n">
        <v>6771.8462</v>
      </c>
    </row>
    <row r="22949">
      <c r="A22949" s="42">
        <f>_xlfn.XLOOKUP(84816,Trip[shape_id],Trip[shape_id],"Não encontrado")</f>
        <v/>
      </c>
      <c r="B22949" s="43" t="n">
        <v>-23.591379</v>
      </c>
      <c r="C22949" s="43" t="n">
        <v>-46.56707</v>
      </c>
      <c r="D22949" s="43" t="n">
        <v>202</v>
      </c>
      <c r="E22949" s="44" t="n">
        <v>6797.8433</v>
      </c>
    </row>
    <row r="22950">
      <c r="A22950" s="39">
        <f>_xlfn.XLOOKUP(84816,Trip[shape_id],Trip[shape_id],"Não encontrado")</f>
        <v/>
      </c>
      <c r="B22950" s="40" t="n">
        <v>-23.591294</v>
      </c>
      <c r="C22950" s="40" t="n">
        <v>-46.567263</v>
      </c>
      <c r="D22950" s="40" t="n">
        <v>203</v>
      </c>
      <c r="E22950" s="41" t="n">
        <v>6838.2969</v>
      </c>
    </row>
    <row r="22951">
      <c r="A22951" s="42">
        <f>_xlfn.XLOOKUP(84816,Trip[shape_id],Trip[shape_id],"Não encontrado")</f>
        <v/>
      </c>
      <c r="B22951" s="43" t="n">
        <v>-23.591233</v>
      </c>
      <c r="C22951" s="43" t="n">
        <v>-46.567433</v>
      </c>
      <c r="D22951" s="43" t="n">
        <v>204</v>
      </c>
      <c r="E22951" s="44" t="n">
        <v>6864.6733</v>
      </c>
    </row>
    <row r="22952">
      <c r="A22952" s="39">
        <f>_xlfn.XLOOKUP(84816,Trip[shape_id],Trip[shape_id],"Não encontrado")</f>
        <v/>
      </c>
      <c r="B22952" s="40" t="n">
        <v>-23.591163</v>
      </c>
      <c r="C22952" s="40" t="n">
        <v>-46.56768</v>
      </c>
      <c r="D22952" s="40" t="n">
        <v>205</v>
      </c>
      <c r="E22952" s="41" t="n">
        <v>6900.7158</v>
      </c>
    </row>
    <row r="22953">
      <c r="A22953" s="42">
        <f>_xlfn.XLOOKUP(84816,Trip[shape_id],Trip[shape_id],"Não encontrado")</f>
        <v/>
      </c>
      <c r="B22953" s="43" t="n">
        <v>-23.591082</v>
      </c>
      <c r="C22953" s="43" t="n">
        <v>-46.568022</v>
      </c>
      <c r="D22953" s="43" t="n">
        <v>206</v>
      </c>
      <c r="E22953" s="44" t="n">
        <v>6922.5244</v>
      </c>
    </row>
    <row r="22954">
      <c r="A22954" s="39">
        <f>_xlfn.XLOOKUP(84816,Trip[shape_id],Trip[shape_id],"Não encontrado")</f>
        <v/>
      </c>
      <c r="B22954" s="40" t="n">
        <v>-23.591051</v>
      </c>
      <c r="C22954" s="40" t="n">
        <v>-46.568233</v>
      </c>
      <c r="D22954" s="40" t="n">
        <v>207</v>
      </c>
      <c r="E22954" s="41" t="n">
        <v>6968.2891</v>
      </c>
    </row>
    <row r="22955">
      <c r="A22955" s="42">
        <f>_xlfn.XLOOKUP(84816,Trip[shape_id],Trip[shape_id],"Não encontrado")</f>
        <v/>
      </c>
      <c r="B22955" s="43" t="n">
        <v>-23.590967</v>
      </c>
      <c r="C22955" s="43" t="n">
        <v>-46.568672</v>
      </c>
      <c r="D22955" s="43" t="n">
        <v>208</v>
      </c>
      <c r="E22955" s="44" t="n">
        <v>6968.2891</v>
      </c>
    </row>
    <row r="22956">
      <c r="A22956" s="39">
        <f>_xlfn.XLOOKUP(84816,Trip[shape_id],Trip[shape_id],"Não encontrado")</f>
        <v/>
      </c>
      <c r="B22956" s="40" t="n">
        <v>-23.590946</v>
      </c>
      <c r="C22956" s="40" t="n">
        <v>-46.568732</v>
      </c>
      <c r="D22956" s="40" t="n">
        <v>209</v>
      </c>
      <c r="E22956" s="41" t="n">
        <v>6983.21</v>
      </c>
    </row>
    <row r="22957">
      <c r="A22957" s="42">
        <f>_xlfn.XLOOKUP(84816,Trip[shape_id],Trip[shape_id],"Não encontrado")</f>
        <v/>
      </c>
      <c r="B22957" s="43" t="n">
        <v>-23.590946</v>
      </c>
      <c r="C22957" s="43" t="n">
        <v>-46.568814</v>
      </c>
      <c r="D22957" s="43" t="n">
        <v>210</v>
      </c>
      <c r="E22957" s="44" t="n">
        <v>6983.21</v>
      </c>
    </row>
    <row r="22958">
      <c r="A22958" s="39">
        <f>_xlfn.XLOOKUP(84816,Trip[shape_id],Trip[shape_id],"Não encontrado")</f>
        <v/>
      </c>
      <c r="B22958" s="40" t="n">
        <v>-23.590928</v>
      </c>
      <c r="C22958" s="40" t="n">
        <v>-46.569069</v>
      </c>
      <c r="D22958" s="40" t="n">
        <v>211</v>
      </c>
      <c r="E22958" s="41" t="n">
        <v>7009.3145</v>
      </c>
    </row>
    <row r="22959">
      <c r="A22959" s="42">
        <f>_xlfn.XLOOKUP(84816,Trip[shape_id],Trip[shape_id],"Não encontrado")</f>
        <v/>
      </c>
      <c r="B22959" s="43" t="n">
        <v>-23.59085</v>
      </c>
      <c r="C22959" s="43" t="n">
        <v>-46.569541</v>
      </c>
      <c r="D22959" s="43" t="n">
        <v>212</v>
      </c>
      <c r="E22959" s="44" t="n">
        <v>7058.2603</v>
      </c>
    </row>
    <row r="22960">
      <c r="A22960" s="39">
        <f>_xlfn.XLOOKUP(84816,Trip[shape_id],Trip[shape_id],"Não encontrado")</f>
        <v/>
      </c>
      <c r="B22960" s="40" t="n">
        <v>-23.590828</v>
      </c>
      <c r="C22960" s="40" t="n">
        <v>-46.569688</v>
      </c>
      <c r="D22960" s="40" t="n">
        <v>213</v>
      </c>
      <c r="E22960" s="41" t="n">
        <v>7073.4609</v>
      </c>
    </row>
    <row r="22961">
      <c r="A22961" s="42">
        <f>_xlfn.XLOOKUP(84816,Trip[shape_id],Trip[shape_id],"Não encontrado")</f>
        <v/>
      </c>
      <c r="B22961" s="43" t="n">
        <v>-23.590836</v>
      </c>
      <c r="C22961" s="43" t="n">
        <v>-46.569917</v>
      </c>
      <c r="D22961" s="43" t="n">
        <v>214</v>
      </c>
      <c r="E22961" s="44" t="n">
        <v>7096.8521</v>
      </c>
    </row>
    <row r="22962">
      <c r="A22962" s="39">
        <f>_xlfn.XLOOKUP(84816,Trip[shape_id],Trip[shape_id],"Não encontrado")</f>
        <v/>
      </c>
      <c r="B22962" s="40" t="n">
        <v>-23.590835</v>
      </c>
      <c r="C22962" s="40" t="n">
        <v>-46.570083</v>
      </c>
      <c r="D22962" s="40" t="n">
        <v>215</v>
      </c>
      <c r="E22962" s="41" t="n">
        <v>7113.7959</v>
      </c>
    </row>
    <row r="22963">
      <c r="A22963" s="42">
        <f>_xlfn.XLOOKUP(84816,Trip[shape_id],Trip[shape_id],"Não encontrado")</f>
        <v/>
      </c>
      <c r="B22963" s="43" t="n">
        <v>-23.590815</v>
      </c>
      <c r="C22963" s="43" t="n">
        <v>-46.57019</v>
      </c>
      <c r="D22963" s="43" t="n">
        <v>216</v>
      </c>
      <c r="E22963" s="44" t="n">
        <v>7124.9399</v>
      </c>
    </row>
    <row r="22964">
      <c r="A22964" s="39">
        <f>_xlfn.XLOOKUP(84816,Trip[shape_id],Trip[shape_id],"Não encontrado")</f>
        <v/>
      </c>
      <c r="B22964" s="40" t="n">
        <v>-23.590714</v>
      </c>
      <c r="C22964" s="40" t="n">
        <v>-46.570824</v>
      </c>
      <c r="D22964" s="40" t="n">
        <v>217</v>
      </c>
      <c r="E22964" s="41" t="n">
        <v>7190.6123</v>
      </c>
    </row>
    <row r="22965">
      <c r="A22965" s="42">
        <f>_xlfn.XLOOKUP(84816,Trip[shape_id],Trip[shape_id],"Não encontrado")</f>
        <v/>
      </c>
      <c r="B22965" s="43" t="n">
        <v>-23.590709</v>
      </c>
      <c r="C22965" s="43" t="n">
        <v>-46.570904</v>
      </c>
      <c r="D22965" s="43" t="n">
        <v>218</v>
      </c>
      <c r="E22965" s="44" t="n">
        <v>7198.7969</v>
      </c>
    </row>
    <row r="22966">
      <c r="A22966" s="39">
        <f>_xlfn.XLOOKUP(84816,Trip[shape_id],Trip[shape_id],"Não encontrado")</f>
        <v/>
      </c>
      <c r="B22966" s="40" t="n">
        <v>-23.590688</v>
      </c>
      <c r="C22966" s="40" t="n">
        <v>-46.570963</v>
      </c>
      <c r="D22966" s="40" t="n">
        <v>219</v>
      </c>
      <c r="E22966" s="41" t="n">
        <v>7205.2529</v>
      </c>
    </row>
    <row r="22967">
      <c r="A22967" s="42">
        <f>_xlfn.XLOOKUP(84816,Trip[shape_id],Trip[shape_id],"Não encontrado")</f>
        <v/>
      </c>
      <c r="B22967" s="43" t="n">
        <v>-23.590665</v>
      </c>
      <c r="C22967" s="43" t="n">
        <v>-46.571079</v>
      </c>
      <c r="D22967" s="43" t="n">
        <v>220</v>
      </c>
      <c r="E22967" s="44" t="n">
        <v>7217.3638</v>
      </c>
    </row>
    <row r="22968">
      <c r="A22968" s="39">
        <f>_xlfn.XLOOKUP(84816,Trip[shape_id],Trip[shape_id],"Não encontrado")</f>
        <v/>
      </c>
      <c r="B22968" s="40" t="n">
        <v>-23.590646</v>
      </c>
      <c r="C22968" s="40" t="n">
        <v>-46.571158</v>
      </c>
      <c r="D22968" s="40" t="n">
        <v>221</v>
      </c>
      <c r="E22968" s="41" t="n">
        <v>7225.6978</v>
      </c>
    </row>
    <row r="22969">
      <c r="A22969" s="42">
        <f>_xlfn.XLOOKUP(84816,Trip[shape_id],Trip[shape_id],"Não encontrado")</f>
        <v/>
      </c>
      <c r="B22969" s="43" t="n">
        <v>-23.590637</v>
      </c>
      <c r="C22969" s="43" t="n">
        <v>-46.571185</v>
      </c>
      <c r="D22969" s="43" t="n">
        <v>222</v>
      </c>
      <c r="E22969" s="44" t="n">
        <v>7228.6294</v>
      </c>
    </row>
    <row r="22970">
      <c r="A22970" s="39">
        <f>_xlfn.XLOOKUP(84816,Trip[shape_id],Trip[shape_id],"Não encontrado")</f>
        <v/>
      </c>
      <c r="B22970" s="40" t="n">
        <v>-23.590616</v>
      </c>
      <c r="C22970" s="40" t="n">
        <v>-46.571316</v>
      </c>
      <c r="D22970" s="40" t="n">
        <v>223</v>
      </c>
      <c r="E22970" s="41" t="n">
        <v>7242.2017</v>
      </c>
    </row>
    <row r="22971">
      <c r="A22971" s="42">
        <f>_xlfn.XLOOKUP(84816,Trip[shape_id],Trip[shape_id],"Não encontrado")</f>
        <v/>
      </c>
      <c r="B22971" s="43" t="n">
        <v>-23.590565</v>
      </c>
      <c r="C22971" s="43" t="n">
        <v>-46.571706</v>
      </c>
      <c r="D22971" s="43" t="n">
        <v>224</v>
      </c>
      <c r="E22971" s="44" t="n">
        <v>7282.4082</v>
      </c>
    </row>
    <row r="22972">
      <c r="A22972" s="39">
        <f>_xlfn.XLOOKUP(84816,Trip[shape_id],Trip[shape_id],"Não encontrado")</f>
        <v/>
      </c>
      <c r="B22972" s="40" t="n">
        <v>-23.59051</v>
      </c>
      <c r="C22972" s="40" t="n">
        <v>-46.572096</v>
      </c>
      <c r="D22972" s="40" t="n">
        <v>225</v>
      </c>
      <c r="E22972" s="41" t="n">
        <v>7322.6792</v>
      </c>
    </row>
    <row r="22973">
      <c r="A22973" s="42">
        <f>_xlfn.XLOOKUP(84816,Trip[shape_id],Trip[shape_id],"Não encontrado")</f>
        <v/>
      </c>
      <c r="B22973" s="43" t="n">
        <v>-23.590494</v>
      </c>
      <c r="C22973" s="43" t="n">
        <v>-46.572208</v>
      </c>
      <c r="D22973" s="43" t="n">
        <v>226</v>
      </c>
      <c r="E22973" s="44" t="n">
        <v>7334.2476</v>
      </c>
    </row>
    <row r="22974">
      <c r="A22974" s="39">
        <f>_xlfn.XLOOKUP(84816,Trip[shape_id],Trip[shape_id],"Não encontrado")</f>
        <v/>
      </c>
      <c r="B22974" s="40" t="n">
        <v>-23.590394</v>
      </c>
      <c r="C22974" s="40" t="n">
        <v>-46.57293</v>
      </c>
      <c r="D22974" s="40" t="n">
        <v>227</v>
      </c>
      <c r="E22974" s="41" t="n">
        <v>7408.7705</v>
      </c>
    </row>
    <row r="22975">
      <c r="A22975" s="42">
        <f>_xlfn.XLOOKUP(84816,Trip[shape_id],Trip[shape_id],"Não encontrado")</f>
        <v/>
      </c>
      <c r="B22975" s="43" t="n">
        <v>-23.590352</v>
      </c>
      <c r="C22975" s="43" t="n">
        <v>-46.573199</v>
      </c>
      <c r="D22975" s="43" t="n">
        <v>228</v>
      </c>
      <c r="E22975" s="44" t="n">
        <v>7436.6191</v>
      </c>
    </row>
    <row r="22976">
      <c r="A22976" s="39">
        <f>_xlfn.XLOOKUP(84816,Trip[shape_id],Trip[shape_id],"Não encontrado")</f>
        <v/>
      </c>
      <c r="B22976" s="40" t="n">
        <v>-23.59032</v>
      </c>
      <c r="C22976" s="40" t="n">
        <v>-46.573374</v>
      </c>
      <c r="D22976" s="40" t="n">
        <v>229</v>
      </c>
      <c r="E22976" s="41" t="n">
        <v>7454.8301</v>
      </c>
    </row>
    <row r="22977">
      <c r="A22977" s="42">
        <f>_xlfn.XLOOKUP(84816,Trip[shape_id],Trip[shape_id],"Não encontrado")</f>
        <v/>
      </c>
      <c r="B22977" s="43" t="n">
        <v>-23.590202</v>
      </c>
      <c r="C22977" s="43" t="n">
        <v>-46.574188</v>
      </c>
      <c r="D22977" s="43" t="n">
        <v>230</v>
      </c>
      <c r="E22977" s="44" t="n">
        <v>7538.9375</v>
      </c>
    </row>
    <row r="22978">
      <c r="A22978" s="39">
        <f>_xlfn.XLOOKUP(84816,Trip[shape_id],Trip[shape_id],"Não encontrado")</f>
        <v/>
      </c>
      <c r="B22978" s="40" t="n">
        <v>-23.590186</v>
      </c>
      <c r="C22978" s="40" t="n">
        <v>-46.574315</v>
      </c>
      <c r="D22978" s="40" t="n">
        <v>231</v>
      </c>
      <c r="E22978" s="41" t="n">
        <v>7552.021</v>
      </c>
    </row>
    <row r="22979">
      <c r="A22979" s="42">
        <f>_xlfn.XLOOKUP(84816,Trip[shape_id],Trip[shape_id],"Não encontrado")</f>
        <v/>
      </c>
      <c r="B22979" s="43" t="n">
        <v>-23.590047</v>
      </c>
      <c r="C22979" s="43" t="n">
        <v>-46.575197</v>
      </c>
      <c r="D22979" s="43" t="n">
        <v>232</v>
      </c>
      <c r="E22979" s="44" t="n">
        <v>7643.355</v>
      </c>
    </row>
    <row r="22980">
      <c r="A22980" s="39">
        <f>_xlfn.XLOOKUP(84816,Trip[shape_id],Trip[shape_id],"Não encontrado")</f>
        <v/>
      </c>
      <c r="B22980" s="40" t="n">
        <v>-23.589896</v>
      </c>
      <c r="C22980" s="40" t="n">
        <v>-46.576139</v>
      </c>
      <c r="D22980" s="40" t="n">
        <v>233</v>
      </c>
      <c r="E22980" s="41" t="n">
        <v>7740.9502</v>
      </c>
    </row>
    <row r="22981">
      <c r="A22981" s="42">
        <f>_xlfn.XLOOKUP(84816,Trip[shape_id],Trip[shape_id],"Não encontrado")</f>
        <v/>
      </c>
      <c r="B22981" s="43" t="n">
        <v>-23.589846</v>
      </c>
      <c r="C22981" s="43" t="n">
        <v>-46.576141</v>
      </c>
      <c r="D22981" s="43" t="n">
        <v>234</v>
      </c>
      <c r="E22981" s="44" t="n">
        <v>7746.4912</v>
      </c>
    </row>
    <row r="22982">
      <c r="A22982" s="39">
        <f>_xlfn.XLOOKUP(84816,Trip[shape_id],Trip[shape_id],"Não encontrado")</f>
        <v/>
      </c>
      <c r="B22982" s="40" t="n">
        <v>-23.589797</v>
      </c>
      <c r="C22982" s="40" t="n">
        <v>-46.576164</v>
      </c>
      <c r="D22982" s="40" t="n">
        <v>235</v>
      </c>
      <c r="E22982" s="41" t="n">
        <v>7752.4048</v>
      </c>
    </row>
    <row r="22983">
      <c r="A22983" s="42">
        <f>_xlfn.XLOOKUP(84816,Trip[shape_id],Trip[shape_id],"Não encontrado")</f>
        <v/>
      </c>
      <c r="B22983" s="43" t="n">
        <v>-23.589762</v>
      </c>
      <c r="C22983" s="43" t="n">
        <v>-46.576182</v>
      </c>
      <c r="D22983" s="43" t="n">
        <v>236</v>
      </c>
      <c r="E22983" s="44" t="n">
        <v>7756.6938</v>
      </c>
    </row>
    <row r="22984">
      <c r="A22984" s="39">
        <f>_xlfn.XLOOKUP(84816,Trip[shape_id],Trip[shape_id],"Não encontrado")</f>
        <v/>
      </c>
      <c r="B22984" s="40" t="n">
        <v>-23.589746</v>
      </c>
      <c r="C22984" s="40" t="n">
        <v>-46.57621</v>
      </c>
      <c r="D22984" s="40" t="n">
        <v>237</v>
      </c>
      <c r="E22984" s="41" t="n">
        <v>7760.0566</v>
      </c>
    </row>
    <row r="22985">
      <c r="A22985" s="42">
        <f>_xlfn.XLOOKUP(84816,Trip[shape_id],Trip[shape_id],"Não encontrado")</f>
        <v/>
      </c>
      <c r="B22985" s="43" t="n">
        <v>-23.58973</v>
      </c>
      <c r="C22985" s="43" t="n">
        <v>-46.576244</v>
      </c>
      <c r="D22985" s="43" t="n">
        <v>238</v>
      </c>
      <c r="E22985" s="44" t="n">
        <v>7763.9521</v>
      </c>
    </row>
    <row r="22986">
      <c r="A22986" s="39">
        <f>_xlfn.XLOOKUP(84816,Trip[shape_id],Trip[shape_id],"Não encontrado")</f>
        <v/>
      </c>
      <c r="B22986" s="40" t="n">
        <v>-23.58971</v>
      </c>
      <c r="C22986" s="40" t="n">
        <v>-46.576318</v>
      </c>
      <c r="D22986" s="40" t="n">
        <v>239</v>
      </c>
      <c r="E22986" s="41" t="n">
        <v>7771.8232</v>
      </c>
    </row>
    <row r="22987">
      <c r="A22987" s="42">
        <f>_xlfn.XLOOKUP(84816,Trip[shape_id],Trip[shape_id],"Não encontrado")</f>
        <v/>
      </c>
      <c r="B22987" s="43" t="n">
        <v>-23.589707</v>
      </c>
      <c r="C22987" s="43" t="n">
        <v>-46.576355</v>
      </c>
      <c r="D22987" s="43" t="n">
        <v>240</v>
      </c>
      <c r="E22987" s="44" t="n">
        <v>7775.6152</v>
      </c>
    </row>
    <row r="22988">
      <c r="A22988" s="39">
        <f>_xlfn.XLOOKUP(84816,Trip[shape_id],Trip[shape_id],"Não encontrado")</f>
        <v/>
      </c>
      <c r="B22988" s="40" t="n">
        <v>-23.589714</v>
      </c>
      <c r="C22988" s="40" t="n">
        <v>-46.5764</v>
      </c>
      <c r="D22988" s="40" t="n">
        <v>241</v>
      </c>
      <c r="E22988" s="41" t="n">
        <v>7780.2729</v>
      </c>
    </row>
    <row r="22989">
      <c r="A22989" s="42">
        <f>_xlfn.XLOOKUP(84816,Trip[shape_id],Trip[shape_id],"Não encontrado")</f>
        <v/>
      </c>
      <c r="B22989" s="43" t="n">
        <v>-23.589728</v>
      </c>
      <c r="C22989" s="43" t="n">
        <v>-46.576442</v>
      </c>
      <c r="D22989" s="43" t="n">
        <v>242</v>
      </c>
      <c r="E22989" s="44" t="n">
        <v>7784.8315</v>
      </c>
    </row>
    <row r="22990">
      <c r="A22990" s="39">
        <f>_xlfn.XLOOKUP(84816,Trip[shape_id],Trip[shape_id],"Não encontrado")</f>
        <v/>
      </c>
      <c r="B22990" s="40" t="n">
        <v>-23.589743</v>
      </c>
      <c r="C22990" s="40" t="n">
        <v>-46.57647</v>
      </c>
      <c r="D22990" s="40" t="n">
        <v>243</v>
      </c>
      <c r="E22990" s="41" t="n">
        <v>7788.1382</v>
      </c>
    </row>
    <row r="22991">
      <c r="A22991" s="42">
        <f>_xlfn.XLOOKUP(84816,Trip[shape_id],Trip[shape_id],"Não encontrado")</f>
        <v/>
      </c>
      <c r="B22991" s="43" t="n">
        <v>-23.589774</v>
      </c>
      <c r="C22991" s="43" t="n">
        <v>-46.576519</v>
      </c>
      <c r="D22991" s="43" t="n">
        <v>244</v>
      </c>
      <c r="E22991" s="44" t="n">
        <v>7794.2051</v>
      </c>
    </row>
    <row r="22992">
      <c r="A22992" s="39">
        <f>_xlfn.XLOOKUP(84816,Trip[shape_id],Trip[shape_id],"Não encontrado")</f>
        <v/>
      </c>
      <c r="B22992" s="40" t="n">
        <v>-23.589813</v>
      </c>
      <c r="C22992" s="40" t="n">
        <v>-46.576545</v>
      </c>
      <c r="D22992" s="40" t="n">
        <v>245</v>
      </c>
      <c r="E22992" s="41" t="n">
        <v>7799.2739</v>
      </c>
    </row>
    <row r="22993">
      <c r="A22993" s="42">
        <f>_xlfn.XLOOKUP(84816,Trip[shape_id],Trip[shape_id],"Não encontrado")</f>
        <v/>
      </c>
      <c r="B22993" s="43" t="n">
        <v>-23.589838</v>
      </c>
      <c r="C22993" s="43" t="n">
        <v>-46.576557</v>
      </c>
      <c r="D22993" s="43" t="n">
        <v>246</v>
      </c>
      <c r="E22993" s="44" t="n">
        <v>7802.3022</v>
      </c>
    </row>
    <row r="22994">
      <c r="A22994" s="39">
        <f>_xlfn.XLOOKUP(84816,Trip[shape_id],Trip[shape_id],"Não encontrado")</f>
        <v/>
      </c>
      <c r="B22994" s="40" t="n">
        <v>-23.589666</v>
      </c>
      <c r="C22994" s="40" t="n">
        <v>-46.577672</v>
      </c>
      <c r="D22994" s="40" t="n">
        <v>247</v>
      </c>
      <c r="E22994" s="41" t="n">
        <v>7917.6953</v>
      </c>
    </row>
    <row r="22995">
      <c r="A22995" s="42">
        <f>_xlfn.XLOOKUP(84816,Trip[shape_id],Trip[shape_id],"Não encontrado")</f>
        <v/>
      </c>
      <c r="B22995" s="43" t="n">
        <v>-23.589578</v>
      </c>
      <c r="C22995" s="43" t="n">
        <v>-46.578174</v>
      </c>
      <c r="D22995" s="43" t="n">
        <v>248</v>
      </c>
      <c r="E22995" s="44" t="n">
        <v>7969.854</v>
      </c>
    </row>
    <row r="22996">
      <c r="A22996" s="39">
        <f>_xlfn.XLOOKUP(84816,Trip[shape_id],Trip[shape_id],"Não encontrado")</f>
        <v/>
      </c>
      <c r="B22996" s="40" t="n">
        <v>-23.58954</v>
      </c>
      <c r="C22996" s="40" t="n">
        <v>-46.57846</v>
      </c>
      <c r="D22996" s="40" t="n">
        <v>249</v>
      </c>
      <c r="E22996" s="41" t="n">
        <v>7999.3481</v>
      </c>
    </row>
    <row r="22997">
      <c r="A22997" s="42">
        <f>_xlfn.XLOOKUP(84816,Trip[shape_id],Trip[shape_id],"Não encontrado")</f>
        <v/>
      </c>
      <c r="B22997" s="43" t="n">
        <v>-23.589479</v>
      </c>
      <c r="C22997" s="43" t="n">
        <v>-46.578837</v>
      </c>
      <c r="D22997" s="43" t="n">
        <v>250</v>
      </c>
      <c r="E22997" s="44" t="n">
        <v>8038.4175</v>
      </c>
    </row>
    <row r="22998">
      <c r="A22998" s="39">
        <f>_xlfn.XLOOKUP(84816,Trip[shape_id],Trip[shape_id],"Não encontrado")</f>
        <v/>
      </c>
      <c r="B22998" s="40" t="n">
        <v>-23.589369</v>
      </c>
      <c r="C22998" s="40" t="n">
        <v>-46.57959</v>
      </c>
      <c r="D22998" s="40" t="n">
        <v>251</v>
      </c>
      <c r="E22998" s="41" t="n">
        <v>8116.2373</v>
      </c>
    </row>
    <row r="22999">
      <c r="A22999" s="42">
        <f>_xlfn.XLOOKUP(84816,Trip[shape_id],Trip[shape_id],"Não encontrado")</f>
        <v/>
      </c>
      <c r="B22999" s="43" t="n">
        <v>-23.589333</v>
      </c>
      <c r="C22999" s="43" t="n">
        <v>-46.579805</v>
      </c>
      <c r="D22999" s="43" t="n">
        <v>252</v>
      </c>
      <c r="E22999" s="44" t="n">
        <v>8138.542</v>
      </c>
    </row>
    <row r="23000">
      <c r="A23000" s="39">
        <f>_xlfn.XLOOKUP(84816,Trip[shape_id],Trip[shape_id],"Não encontrado")</f>
        <v/>
      </c>
      <c r="B23000" s="40" t="n">
        <v>-23.58931</v>
      </c>
      <c r="C23000" s="40" t="n">
        <v>-46.579987</v>
      </c>
      <c r="D23000" s="40" t="n">
        <v>253</v>
      </c>
      <c r="E23000" s="41" t="n">
        <v>8157.293</v>
      </c>
    </row>
    <row r="23001">
      <c r="A23001" s="42">
        <f>_xlfn.XLOOKUP(84816,Trip[shape_id],Trip[shape_id],"Não encontrado")</f>
        <v/>
      </c>
      <c r="B23001" s="43" t="n">
        <v>-23.589252</v>
      </c>
      <c r="C23001" s="43" t="n">
        <v>-46.580365</v>
      </c>
      <c r="D23001" s="43" t="n">
        <v>254</v>
      </c>
      <c r="E23001" s="44" t="n">
        <v>8196.4072</v>
      </c>
    </row>
    <row r="23002">
      <c r="A23002" s="39">
        <f>_xlfn.XLOOKUP(84816,Trip[shape_id],Trip[shape_id],"Não encontrado")</f>
        <v/>
      </c>
      <c r="B23002" s="40" t="n">
        <v>-23.589137</v>
      </c>
      <c r="C23002" s="40" t="n">
        <v>-46.581106</v>
      </c>
      <c r="D23002" s="40" t="n">
        <v>255</v>
      </c>
      <c r="E23002" s="41" t="n">
        <v>8273.107400000001</v>
      </c>
    </row>
    <row r="23003">
      <c r="A23003" s="42">
        <f>_xlfn.XLOOKUP(84816,Trip[shape_id],Trip[shape_id],"Não encontrado")</f>
        <v/>
      </c>
      <c r="B23003" s="43" t="n">
        <v>-23.589094</v>
      </c>
      <c r="C23003" s="43" t="n">
        <v>-46.581379</v>
      </c>
      <c r="D23003" s="43" t="n">
        <v>256</v>
      </c>
      <c r="E23003" s="44" t="n">
        <v>8301.377</v>
      </c>
    </row>
    <row r="23004">
      <c r="A23004" s="39">
        <f>_xlfn.XLOOKUP(84816,Trip[shape_id],Trip[shape_id],"Não encontrado")</f>
        <v/>
      </c>
      <c r="B23004" s="40" t="n">
        <v>-23.589021</v>
      </c>
      <c r="C23004" s="40" t="n">
        <v>-46.581817</v>
      </c>
      <c r="D23004" s="40" t="n">
        <v>257</v>
      </c>
      <c r="E23004" s="41" t="n">
        <v>8346.809600000001</v>
      </c>
    </row>
    <row r="23005">
      <c r="A23005" s="42">
        <f>_xlfn.XLOOKUP(84816,Trip[shape_id],Trip[shape_id],"Não encontrado")</f>
        <v/>
      </c>
      <c r="B23005" s="43" t="n">
        <v>-23.58894</v>
      </c>
      <c r="C23005" s="43" t="n">
        <v>-46.582411</v>
      </c>
      <c r="D23005" s="43" t="n">
        <v>258</v>
      </c>
      <c r="E23005" s="44" t="n">
        <v>8408.1006</v>
      </c>
    </row>
    <row r="23006">
      <c r="A23006" s="39">
        <f>_xlfn.XLOOKUP(84816,Trip[shape_id],Trip[shape_id],"Não encontrado")</f>
        <v/>
      </c>
      <c r="B23006" s="40" t="n">
        <v>-23.588874</v>
      </c>
      <c r="C23006" s="40" t="n">
        <v>-46.582821</v>
      </c>
      <c r="D23006" s="40" t="n">
        <v>259</v>
      </c>
      <c r="E23006" s="41" t="n">
        <v>8450.584000000001</v>
      </c>
    </row>
    <row r="23007">
      <c r="A23007" s="42">
        <f>_xlfn.XLOOKUP(84816,Trip[shape_id],Trip[shape_id],"Não encontrado")</f>
        <v/>
      </c>
      <c r="B23007" s="43" t="n">
        <v>-23.588809</v>
      </c>
      <c r="C23007" s="43" t="n">
        <v>-46.583194</v>
      </c>
      <c r="D23007" s="43" t="n">
        <v>260</v>
      </c>
      <c r="E23007" s="44" t="n">
        <v>8489.332</v>
      </c>
    </row>
    <row r="23008">
      <c r="A23008" s="39">
        <f>_xlfn.XLOOKUP(84816,Trip[shape_id],Trip[shape_id],"Não encontrado")</f>
        <v/>
      </c>
      <c r="B23008" s="40" t="n">
        <v>-23.588773</v>
      </c>
      <c r="C23008" s="40" t="n">
        <v>-46.583481</v>
      </c>
      <c r="D23008" s="40" t="n">
        <v>261</v>
      </c>
      <c r="E23008" s="41" t="n">
        <v>8518.896500000001</v>
      </c>
    </row>
    <row r="23009">
      <c r="A23009" s="42">
        <f>_xlfn.XLOOKUP(84816,Trip[shape_id],Trip[shape_id],"Não encontrado")</f>
        <v/>
      </c>
      <c r="B23009" s="43" t="n">
        <v>-23.588722</v>
      </c>
      <c r="C23009" s="43" t="n">
        <v>-46.583843</v>
      </c>
      <c r="D23009" s="43" t="n">
        <v>262</v>
      </c>
      <c r="E23009" s="44" t="n">
        <v>8556.276400000001</v>
      </c>
    </row>
    <row r="23010">
      <c r="A23010" s="39">
        <f>_xlfn.XLOOKUP(84816,Trip[shape_id],Trip[shape_id],"Não encontrado")</f>
        <v/>
      </c>
      <c r="B23010" s="40" t="n">
        <v>-23.588299</v>
      </c>
      <c r="C23010" s="40" t="n">
        <v>-46.584329</v>
      </c>
      <c r="D23010" s="40" t="n">
        <v>263</v>
      </c>
      <c r="E23010" s="41" t="n">
        <v>8624.5088</v>
      </c>
    </row>
    <row r="23011">
      <c r="A23011" s="42">
        <f>_xlfn.XLOOKUP(84816,Trip[shape_id],Trip[shape_id],"Não encontrado")</f>
        <v/>
      </c>
      <c r="B23011" s="43" t="n">
        <v>-23.588143</v>
      </c>
      <c r="C23011" s="43" t="n">
        <v>-46.584419</v>
      </c>
      <c r="D23011" s="43" t="n">
        <v>264</v>
      </c>
      <c r="E23011" s="44" t="n">
        <v>8644.0762</v>
      </c>
    </row>
    <row r="23012">
      <c r="A23012" s="39">
        <f>_xlfn.XLOOKUP(84816,Trip[shape_id],Trip[shape_id],"Não encontrado")</f>
        <v/>
      </c>
      <c r="B23012" s="40" t="n">
        <v>-23.588008</v>
      </c>
      <c r="C23012" s="40" t="n">
        <v>-46.584462</v>
      </c>
      <c r="D23012" s="40" t="n">
        <v>265</v>
      </c>
      <c r="E23012" s="41" t="n">
        <v>8659.6592</v>
      </c>
    </row>
    <row r="23013">
      <c r="A23013" s="42">
        <f>_xlfn.XLOOKUP(84816,Trip[shape_id],Trip[shape_id],"Não encontrado")</f>
        <v/>
      </c>
      <c r="B23013" s="43" t="n">
        <v>-23.587309</v>
      </c>
      <c r="C23013" s="43" t="n">
        <v>-46.584639</v>
      </c>
      <c r="D23013" s="43" t="n">
        <v>266</v>
      </c>
      <c r="E23013" s="44" t="n">
        <v>8739.1553</v>
      </c>
    </row>
    <row r="23014">
      <c r="A23014" s="39">
        <f>_xlfn.XLOOKUP(84816,Trip[shape_id],Trip[shape_id],"Não encontrado")</f>
        <v/>
      </c>
      <c r="B23014" s="40" t="n">
        <v>-23.58714</v>
      </c>
      <c r="C23014" s="40" t="n">
        <v>-46.584656</v>
      </c>
      <c r="D23014" s="40" t="n">
        <v>267</v>
      </c>
      <c r="E23014" s="41" t="n">
        <v>8757.9521</v>
      </c>
    </row>
    <row r="23015">
      <c r="A23015" s="42">
        <f>_xlfn.XLOOKUP(84816,Trip[shape_id],Trip[shape_id],"Não encontrado")</f>
        <v/>
      </c>
      <c r="B23015" s="43" t="n">
        <v>-23.587046</v>
      </c>
      <c r="C23015" s="43" t="n">
        <v>-46.584651</v>
      </c>
      <c r="D23015" s="43" t="n">
        <v>268</v>
      </c>
      <c r="E23015" s="44" t="n">
        <v>8768.376</v>
      </c>
    </row>
    <row r="23016">
      <c r="A23016" s="39">
        <f>_xlfn.XLOOKUP(84816,Trip[shape_id],Trip[shape_id],"Não encontrado")</f>
        <v/>
      </c>
      <c r="B23016" s="40" t="n">
        <v>-23.58683</v>
      </c>
      <c r="C23016" s="40" t="n">
        <v>-46.584636</v>
      </c>
      <c r="D23016" s="40" t="n">
        <v>269</v>
      </c>
      <c r="E23016" s="41" t="n">
        <v>8792.3477</v>
      </c>
    </row>
    <row r="23017">
      <c r="A23017" s="42">
        <f>_xlfn.XLOOKUP(84816,Trip[shape_id],Trip[shape_id],"Não encontrado")</f>
        <v/>
      </c>
      <c r="B23017" s="43" t="n">
        <v>-23.586591</v>
      </c>
      <c r="C23017" s="43" t="n">
        <v>-46.58462</v>
      </c>
      <c r="D23017" s="43" t="n">
        <v>270</v>
      </c>
      <c r="E23017" s="44" t="n">
        <v>8818.867200000001</v>
      </c>
    </row>
    <row r="23018">
      <c r="A23018" s="39">
        <f>_xlfn.XLOOKUP(84816,Trip[shape_id],Trip[shape_id],"Não encontrado")</f>
        <v/>
      </c>
      <c r="B23018" s="40" t="n">
        <v>-23.586406</v>
      </c>
      <c r="C23018" s="40" t="n">
        <v>-46.58459</v>
      </c>
      <c r="D23018" s="40" t="n">
        <v>271</v>
      </c>
      <c r="E23018" s="41" t="n">
        <v>8839.584000000001</v>
      </c>
    </row>
    <row r="23019">
      <c r="A23019" s="42">
        <f>_xlfn.XLOOKUP(84816,Trip[shape_id],Trip[shape_id],"Não encontrado")</f>
        <v/>
      </c>
      <c r="B23019" s="43" t="n">
        <v>-23.585838</v>
      </c>
      <c r="C23019" s="43" t="n">
        <v>-46.584348</v>
      </c>
      <c r="D23019" s="43" t="n">
        <v>272</v>
      </c>
      <c r="E23019" s="44" t="n">
        <v>8907.166999999999</v>
      </c>
    </row>
    <row r="23020">
      <c r="A23020" s="39">
        <f>_xlfn.XLOOKUP(84816,Trip[shape_id],Trip[shape_id],"Não encontrado")</f>
        <v/>
      </c>
      <c r="B23020" s="40" t="n">
        <v>-23.585694</v>
      </c>
      <c r="C23020" s="40" t="n">
        <v>-46.584287</v>
      </c>
      <c r="D23020" s="40" t="n">
        <v>273</v>
      </c>
      <c r="E23020" s="41" t="n">
        <v>8924.2881</v>
      </c>
    </row>
    <row r="23021">
      <c r="A23021" s="42">
        <f>_xlfn.XLOOKUP(84816,Trip[shape_id],Trip[shape_id],"Não encontrado")</f>
        <v/>
      </c>
      <c r="B23021" s="43" t="n">
        <v>-23.585587</v>
      </c>
      <c r="C23021" s="43" t="n">
        <v>-46.58426</v>
      </c>
      <c r="D23021" s="43" t="n">
        <v>274</v>
      </c>
      <c r="E23021" s="44" t="n">
        <v>8936.455099999999</v>
      </c>
    </row>
    <row r="23022">
      <c r="A23022" s="39">
        <f>_xlfn.XLOOKUP(84816,Trip[shape_id],Trip[shape_id],"Não encontrado")</f>
        <v/>
      </c>
      <c r="B23022" s="40" t="n">
        <v>-23.585484</v>
      </c>
      <c r="C23022" s="40" t="n">
        <v>-46.584247</v>
      </c>
      <c r="D23022" s="40" t="n">
        <v>275</v>
      </c>
      <c r="E23022" s="41" t="n">
        <v>8947.9395</v>
      </c>
    </row>
    <row r="23023">
      <c r="A23023" s="42">
        <f>_xlfn.XLOOKUP(84816,Trip[shape_id],Trip[shape_id],"Não encontrado")</f>
        <v/>
      </c>
      <c r="B23023" s="43" t="n">
        <v>-23.585343</v>
      </c>
      <c r="C23023" s="43" t="n">
        <v>-46.584258</v>
      </c>
      <c r="D23023" s="43" t="n">
        <v>276</v>
      </c>
      <c r="E23023" s="44" t="n">
        <v>8963.5957</v>
      </c>
    </row>
    <row r="23024">
      <c r="A23024" s="39">
        <f>_xlfn.XLOOKUP(84816,Trip[shape_id],Trip[shape_id],"Não encontrado")</f>
        <v/>
      </c>
      <c r="B23024" s="40" t="n">
        <v>-23.584926</v>
      </c>
      <c r="C23024" s="40" t="n">
        <v>-46.584268</v>
      </c>
      <c r="D23024" s="40" t="n">
        <v>277</v>
      </c>
      <c r="E23024" s="41" t="n">
        <v>9009.790999999999</v>
      </c>
    </row>
    <row r="23025">
      <c r="A23025" s="42">
        <f>_xlfn.XLOOKUP(84816,Trip[shape_id],Trip[shape_id],"Não encontrado")</f>
        <v/>
      </c>
      <c r="B23025" s="43" t="n">
        <v>-23.584755</v>
      </c>
      <c r="C23025" s="43" t="n">
        <v>-46.584279</v>
      </c>
      <c r="D23025" s="43" t="n">
        <v>278</v>
      </c>
      <c r="E23025" s="44" t="n">
        <v>9028.762699999999</v>
      </c>
    </row>
    <row r="23026">
      <c r="A23026" s="39">
        <f>_xlfn.XLOOKUP(84816,Trip[shape_id],Trip[shape_id],"Não encontrado")</f>
        <v/>
      </c>
      <c r="B23026" s="40" t="n">
        <v>-23.584597</v>
      </c>
      <c r="C23026" s="40" t="n">
        <v>-46.584298</v>
      </c>
      <c r="D23026" s="40" t="n">
        <v>279</v>
      </c>
      <c r="E23026" s="41" t="n">
        <v>9046.3691</v>
      </c>
    </row>
    <row r="23027">
      <c r="A23027" s="42">
        <f>_xlfn.XLOOKUP(84816,Trip[shape_id],Trip[shape_id],"Não encontrado")</f>
        <v/>
      </c>
      <c r="B23027" s="43" t="n">
        <v>-23.58448</v>
      </c>
      <c r="C23027" s="43" t="n">
        <v>-46.584308</v>
      </c>
      <c r="D23027" s="43" t="n">
        <v>280</v>
      </c>
      <c r="E23027" s="44" t="n">
        <v>9059.367200000001</v>
      </c>
    </row>
    <row r="23028">
      <c r="A23028" s="39">
        <f>_xlfn.XLOOKUP(84816,Trip[shape_id],Trip[shape_id],"Não encontrado")</f>
        <v/>
      </c>
      <c r="B23028" s="40" t="n">
        <v>-23.58405</v>
      </c>
      <c r="C23028" s="40" t="n">
        <v>-46.584378</v>
      </c>
      <c r="D23028" s="40" t="n">
        <v>281</v>
      </c>
      <c r="E23028" s="41" t="n">
        <v>9107.5234</v>
      </c>
    </row>
    <row r="23029">
      <c r="A23029" s="42">
        <f>_xlfn.XLOOKUP(84816,Trip[shape_id],Trip[shape_id],"Não encontrado")</f>
        <v/>
      </c>
      <c r="B23029" s="43" t="n">
        <v>-23.583993</v>
      </c>
      <c r="C23029" s="43" t="n">
        <v>-46.584392</v>
      </c>
      <c r="D23029" s="43" t="n">
        <v>282</v>
      </c>
      <c r="E23029" s="44" t="n">
        <v>9113.9951</v>
      </c>
    </row>
    <row r="23030">
      <c r="A23030" s="39">
        <f>_xlfn.XLOOKUP(84816,Trip[shape_id],Trip[shape_id],"Não encontrado")</f>
        <v/>
      </c>
      <c r="B23030" s="40" t="n">
        <v>-23.583934</v>
      </c>
      <c r="C23030" s="40" t="n">
        <v>-46.584413</v>
      </c>
      <c r="D23030" s="40" t="n">
        <v>283</v>
      </c>
      <c r="E23030" s="41" t="n">
        <v>9120.872100000001</v>
      </c>
    </row>
    <row r="23031">
      <c r="A23031" s="42">
        <f>_xlfn.XLOOKUP(84816,Trip[shape_id],Trip[shape_id],"Não encontrado")</f>
        <v/>
      </c>
      <c r="B23031" s="43" t="n">
        <v>-23.583813</v>
      </c>
      <c r="C23031" s="43" t="n">
        <v>-46.584461</v>
      </c>
      <c r="D23031" s="43" t="n">
        <v>284</v>
      </c>
      <c r="E23031" s="44" t="n">
        <v>9135.140600000001</v>
      </c>
    </row>
    <row r="23032">
      <c r="A23032" s="39">
        <f>_xlfn.XLOOKUP(84816,Trip[shape_id],Trip[shape_id],"Não encontrado")</f>
        <v/>
      </c>
      <c r="B23032" s="40" t="n">
        <v>-23.583714</v>
      </c>
      <c r="C23032" s="40" t="n">
        <v>-46.5845</v>
      </c>
      <c r="D23032" s="40" t="n">
        <v>285</v>
      </c>
      <c r="E23032" s="41" t="n">
        <v>9146.804700000001</v>
      </c>
    </row>
    <row r="23033">
      <c r="A23033" s="42">
        <f>_xlfn.XLOOKUP(84816,Trip[shape_id],Trip[shape_id],"Não encontrado")</f>
        <v/>
      </c>
      <c r="B23033" s="43" t="n">
        <v>-23.583563</v>
      </c>
      <c r="C23033" s="43" t="n">
        <v>-46.584611</v>
      </c>
      <c r="D23033" s="43" t="n">
        <v>286</v>
      </c>
      <c r="E23033" s="44" t="n">
        <v>9167.0049</v>
      </c>
    </row>
    <row r="23034">
      <c r="A23034" s="39">
        <f>_xlfn.XLOOKUP(84816,Trip[shape_id],Trip[shape_id],"Não encontrado")</f>
        <v/>
      </c>
      <c r="B23034" s="40" t="n">
        <v>-23.583443</v>
      </c>
      <c r="C23034" s="40" t="n">
        <v>-46.584736</v>
      </c>
      <c r="D23034" s="40" t="n">
        <v>287</v>
      </c>
      <c r="E23034" s="41" t="n">
        <v>9185.4287</v>
      </c>
    </row>
    <row r="23035">
      <c r="A23035" s="42">
        <f>_xlfn.XLOOKUP(84816,Trip[shape_id],Trip[shape_id],"Não encontrado")</f>
        <v/>
      </c>
      <c r="B23035" s="43" t="n">
        <v>-23.583365</v>
      </c>
      <c r="C23035" s="43" t="n">
        <v>-46.584841</v>
      </c>
      <c r="D23035" s="43" t="n">
        <v>288</v>
      </c>
      <c r="E23035" s="44" t="n">
        <v>9199.194299999999</v>
      </c>
    </row>
    <row r="23036">
      <c r="A23036" s="39">
        <f>_xlfn.XLOOKUP(84816,Trip[shape_id],Trip[shape_id],"Não encontrado")</f>
        <v/>
      </c>
      <c r="B23036" s="40" t="n">
        <v>-23.583277</v>
      </c>
      <c r="C23036" s="40" t="n">
        <v>-46.584928</v>
      </c>
      <c r="D23036" s="40" t="n">
        <v>289</v>
      </c>
      <c r="E23036" s="41" t="n">
        <v>9212.3799</v>
      </c>
    </row>
    <row r="23037">
      <c r="A23037" s="42">
        <f>_xlfn.XLOOKUP(84816,Trip[shape_id],Trip[shape_id],"Não encontrado")</f>
        <v/>
      </c>
      <c r="B23037" s="43" t="n">
        <v>-23.583177</v>
      </c>
      <c r="C23037" s="43" t="n">
        <v>-46.584972</v>
      </c>
      <c r="D23037" s="43" t="n">
        <v>290</v>
      </c>
      <c r="E23037" s="44" t="n">
        <v>9224.331099999999</v>
      </c>
    </row>
    <row r="23038">
      <c r="A23038" s="39">
        <f>_xlfn.XLOOKUP(84816,Trip[shape_id],Trip[shape_id],"Não encontrado")</f>
        <v/>
      </c>
      <c r="B23038" s="40" t="n">
        <v>-23.583039</v>
      </c>
      <c r="C23038" s="40" t="n">
        <v>-46.585032</v>
      </c>
      <c r="D23038" s="40" t="n">
        <v>291</v>
      </c>
      <c r="E23038" s="41" t="n">
        <v>9240.796899999999</v>
      </c>
    </row>
    <row r="23039">
      <c r="A23039" s="42">
        <f>_xlfn.XLOOKUP(84816,Trip[shape_id],Trip[shape_id],"Não encontrado")</f>
        <v/>
      </c>
      <c r="B23039" s="43" t="n">
        <v>-23.582863</v>
      </c>
      <c r="C23039" s="43" t="n">
        <v>-46.585108</v>
      </c>
      <c r="D23039" s="43" t="n">
        <v>292</v>
      </c>
      <c r="E23039" s="44" t="n">
        <v>9261.776400000001</v>
      </c>
    </row>
    <row r="23040">
      <c r="A23040" s="39">
        <f>_xlfn.XLOOKUP(84816,Trip[shape_id],Trip[shape_id],"Não encontrado")</f>
        <v/>
      </c>
      <c r="B23040" s="40" t="n">
        <v>-23.58273</v>
      </c>
      <c r="C23040" s="40" t="n">
        <v>-46.585177</v>
      </c>
      <c r="D23040" s="40" t="n">
        <v>293</v>
      </c>
      <c r="E23040" s="41" t="n">
        <v>9278.103499999999</v>
      </c>
    </row>
    <row r="23041">
      <c r="A23041" s="42">
        <f>_xlfn.XLOOKUP(84816,Trip[shape_id],Trip[shape_id],"Não encontrado")</f>
        <v/>
      </c>
      <c r="B23041" s="43" t="n">
        <v>-23.582487</v>
      </c>
      <c r="C23041" s="43" t="n">
        <v>-46.585293</v>
      </c>
      <c r="D23041" s="43" t="n">
        <v>294</v>
      </c>
      <c r="E23041" s="44" t="n">
        <v>9307.5059</v>
      </c>
    </row>
    <row r="23042">
      <c r="A23042" s="39">
        <f>_xlfn.XLOOKUP(84816,Trip[shape_id],Trip[shape_id],"Não encontrado")</f>
        <v/>
      </c>
      <c r="B23042" s="40" t="n">
        <v>-23.582432</v>
      </c>
      <c r="C23042" s="40" t="n">
        <v>-46.58532</v>
      </c>
      <c r="D23042" s="40" t="n">
        <v>295</v>
      </c>
      <c r="E23042" s="41" t="n">
        <v>9314.1914</v>
      </c>
    </row>
    <row r="23043">
      <c r="A23043" s="42">
        <f>_xlfn.XLOOKUP(84816,Trip[shape_id],Trip[shape_id],"Não encontrado")</f>
        <v/>
      </c>
      <c r="B23043" s="43" t="n">
        <v>-23.581708</v>
      </c>
      <c r="C23043" s="43" t="n">
        <v>-46.585592</v>
      </c>
      <c r="D23043" s="43" t="n">
        <v>296</v>
      </c>
      <c r="E23043" s="44" t="n">
        <v>9399.046899999999</v>
      </c>
    </row>
    <row r="23044">
      <c r="A23044" s="39">
        <f>_xlfn.XLOOKUP(84816,Trip[shape_id],Trip[shape_id],"Não encontrado")</f>
        <v/>
      </c>
      <c r="B23044" s="40" t="n">
        <v>-23.581381</v>
      </c>
      <c r="C23044" s="40" t="n">
        <v>-46.585735</v>
      </c>
      <c r="D23044" s="40" t="n">
        <v>297</v>
      </c>
      <c r="E23044" s="41" t="n">
        <v>9438.093800000001</v>
      </c>
    </row>
    <row r="23045">
      <c r="A23045" s="42">
        <f>_xlfn.XLOOKUP(84816,Trip[shape_id],Trip[shape_id],"Não encontrado")</f>
        <v/>
      </c>
      <c r="B23045" s="43" t="n">
        <v>-23.58126</v>
      </c>
      <c r="C23045" s="43" t="n">
        <v>-46.585793</v>
      </c>
      <c r="D23045" s="43" t="n">
        <v>298</v>
      </c>
      <c r="E23045" s="44" t="n">
        <v>9452.7441</v>
      </c>
    </row>
    <row r="23046">
      <c r="A23046" s="39">
        <f>_xlfn.XLOOKUP(84816,Trip[shape_id],Trip[shape_id],"Não encontrado")</f>
        <v/>
      </c>
      <c r="B23046" s="40" t="n">
        <v>-23.58133</v>
      </c>
      <c r="C23046" s="40" t="n">
        <v>-46.586022</v>
      </c>
      <c r="D23046" s="40" t="n">
        <v>299</v>
      </c>
      <c r="E23046" s="41" t="n">
        <v>9477.372100000001</v>
      </c>
    </row>
    <row r="23047">
      <c r="A23047" s="42">
        <f>_xlfn.XLOOKUP(84816,Trip[shape_id],Trip[shape_id],"Não encontrado")</f>
        <v/>
      </c>
      <c r="B23047" s="43" t="n">
        <v>-23.581367</v>
      </c>
      <c r="C23047" s="43" t="n">
        <v>-46.58614</v>
      </c>
      <c r="D23047" s="43" t="n">
        <v>300</v>
      </c>
      <c r="E23047" s="44" t="n">
        <v>9490.0957</v>
      </c>
    </row>
    <row r="23048">
      <c r="A23048" s="39">
        <f>_xlfn.XLOOKUP(84816,Trip[shape_id],Trip[shape_id],"Não encontrado")</f>
        <v/>
      </c>
      <c r="B23048" s="40" t="n">
        <v>-23.581502</v>
      </c>
      <c r="C23048" s="40" t="n">
        <v>-46.586587</v>
      </c>
      <c r="D23048" s="40" t="n">
        <v>301</v>
      </c>
      <c r="E23048" s="41" t="n">
        <v>9538.1113</v>
      </c>
    </row>
    <row r="23049">
      <c r="A23049" s="42">
        <f>_xlfn.XLOOKUP(84816,Trip[shape_id],Trip[shape_id],"Não encontrado")</f>
        <v/>
      </c>
      <c r="B23049" s="43" t="n">
        <v>-23.580053</v>
      </c>
      <c r="C23049" s="43" t="n">
        <v>-46.586742</v>
      </c>
      <c r="D23049" s="43" t="n">
        <v>302</v>
      </c>
      <c r="E23049" s="44" t="n">
        <v>9699.3691</v>
      </c>
    </row>
    <row r="23050">
      <c r="A23050" s="39">
        <f>_xlfn.XLOOKUP(84816,Trip[shape_id],Trip[shape_id],"Não encontrado")</f>
        <v/>
      </c>
      <c r="B23050" s="40" t="n">
        <v>-23.579929</v>
      </c>
      <c r="C23050" s="40" t="n">
        <v>-46.586756</v>
      </c>
      <c r="D23050" s="40" t="n">
        <v>303</v>
      </c>
      <c r="E23050" s="41" t="n">
        <v>9713.176799999999</v>
      </c>
    </row>
    <row r="23051">
      <c r="A23051" s="42">
        <f>_xlfn.XLOOKUP(84816,Trip[shape_id],Trip[shape_id],"Não encontrado")</f>
        <v/>
      </c>
      <c r="B23051" s="43" t="n">
        <v>-23.579669</v>
      </c>
      <c r="C23051" s="43" t="n">
        <v>-46.586839</v>
      </c>
      <c r="D23051" s="43" t="n">
        <v>304</v>
      </c>
      <c r="E23051" s="44" t="n">
        <v>9757.2549</v>
      </c>
    </row>
    <row r="23052">
      <c r="A23052" s="39">
        <f>_xlfn.XLOOKUP(84816,Trip[shape_id],Trip[shape_id],"Não encontrado")</f>
        <v/>
      </c>
      <c r="B23052" s="40" t="n">
        <v>-23.579543</v>
      </c>
      <c r="C23052" s="40" t="n">
        <v>-46.586856</v>
      </c>
      <c r="D23052" s="40" t="n">
        <v>305</v>
      </c>
      <c r="E23052" s="41" t="n">
        <v>9757.2549</v>
      </c>
    </row>
    <row r="23053">
      <c r="A23053" s="42">
        <f>_xlfn.XLOOKUP(84816,Trip[shape_id],Trip[shape_id],"Não encontrado")</f>
        <v/>
      </c>
      <c r="B23053" s="43" t="n">
        <v>-23.579463</v>
      </c>
      <c r="C23053" s="43" t="n">
        <v>-46.58686</v>
      </c>
      <c r="D23053" s="43" t="n">
        <v>306</v>
      </c>
      <c r="E23053" s="44" t="n">
        <v>9773.987300000001</v>
      </c>
    </row>
    <row r="23054">
      <c r="A23054" s="39">
        <f>_xlfn.XLOOKUP(84816,Trip[shape_id],Trip[shape_id],"Não encontrado")</f>
        <v/>
      </c>
      <c r="B23054" s="40" t="n">
        <v>-23.579392</v>
      </c>
      <c r="C23054" s="40" t="n">
        <v>-46.58686</v>
      </c>
      <c r="D23054" s="40" t="n">
        <v>307</v>
      </c>
      <c r="E23054" s="41" t="n">
        <v>9783.6572</v>
      </c>
    </row>
    <row r="23055">
      <c r="A23055" s="42">
        <f>_xlfn.XLOOKUP(84816,Trip[shape_id],Trip[shape_id],"Não encontrado")</f>
        <v/>
      </c>
      <c r="B23055" s="43" t="n">
        <v>-23.579305</v>
      </c>
      <c r="C23055" s="43" t="n">
        <v>-46.586852</v>
      </c>
      <c r="D23055" s="43" t="n">
        <v>308</v>
      </c>
      <c r="E23055" s="44" t="n">
        <v>9795.703100000001</v>
      </c>
    </row>
    <row r="23056">
      <c r="A23056" s="39">
        <f>_xlfn.XLOOKUP(84816,Trip[shape_id],Trip[shape_id],"Não encontrado")</f>
        <v/>
      </c>
      <c r="B23056" s="40" t="n">
        <v>-23.579197</v>
      </c>
      <c r="C23056" s="40" t="n">
        <v>-46.586866</v>
      </c>
      <c r="D23056" s="40" t="n">
        <v>309</v>
      </c>
      <c r="E23056" s="41" t="n">
        <v>9812.022499999999</v>
      </c>
    </row>
    <row r="23057">
      <c r="A23057" s="42">
        <f>_xlfn.XLOOKUP(84816,Trip[shape_id],Trip[shape_id],"Não encontrado")</f>
        <v/>
      </c>
      <c r="B23057" s="43" t="n">
        <v>-23.57905</v>
      </c>
      <c r="C23057" s="43" t="n">
        <v>-46.586855</v>
      </c>
      <c r="D23057" s="43" t="n">
        <v>310</v>
      </c>
      <c r="E23057" s="44" t="n">
        <v>9812.022499999999</v>
      </c>
    </row>
    <row r="23058">
      <c r="A23058" s="39">
        <f>_xlfn.XLOOKUP(84816,Trip[shape_id],Trip[shape_id],"Não encontrado")</f>
        <v/>
      </c>
      <c r="B23058" s="40" t="n">
        <v>-23.578945</v>
      </c>
      <c r="C23058" s="40" t="n">
        <v>-46.586868</v>
      </c>
      <c r="D23058" s="40" t="n">
        <v>311</v>
      </c>
      <c r="E23058" s="41" t="n">
        <v>9823.7266</v>
      </c>
    </row>
    <row r="23059">
      <c r="A23059" s="42">
        <f>_xlfn.XLOOKUP(84816,Trip[shape_id],Trip[shape_id],"Não encontrado")</f>
        <v/>
      </c>
      <c r="B23059" s="43" t="n">
        <v>-23.578502</v>
      </c>
      <c r="C23059" s="43" t="n">
        <v>-46.586908</v>
      </c>
      <c r="D23059" s="43" t="n">
        <v>312</v>
      </c>
      <c r="E23059" s="44" t="n">
        <v>9872.959000000001</v>
      </c>
    </row>
    <row r="23060">
      <c r="A23060" s="39">
        <f>_xlfn.XLOOKUP(84816,Trip[shape_id],Trip[shape_id],"Não encontrado")</f>
        <v/>
      </c>
      <c r="B23060" s="40" t="n">
        <v>-23.578138</v>
      </c>
      <c r="C23060" s="40" t="n">
        <v>-46.586952</v>
      </c>
      <c r="D23060" s="40" t="n">
        <v>313</v>
      </c>
      <c r="E23060" s="41" t="n">
        <v>9913.522499999999</v>
      </c>
    </row>
    <row r="23061">
      <c r="A23061" s="42">
        <f>_xlfn.XLOOKUP(84816,Trip[shape_id],Trip[shape_id],"Não encontrado")</f>
        <v/>
      </c>
      <c r="B23061" s="43" t="n">
        <v>-23.577794</v>
      </c>
      <c r="C23061" s="43" t="n">
        <v>-46.586986</v>
      </c>
      <c r="D23061" s="43" t="n">
        <v>314</v>
      </c>
      <c r="E23061" s="44" t="n">
        <v>9951.7793</v>
      </c>
    </row>
    <row r="23062">
      <c r="A23062" s="39">
        <f>_xlfn.XLOOKUP(84816,Trip[shape_id],Trip[shape_id],"Não encontrado")</f>
        <v/>
      </c>
      <c r="B23062" s="40" t="n">
        <v>-23.57764</v>
      </c>
      <c r="C23062" s="40" t="n">
        <v>-46.586987</v>
      </c>
      <c r="D23062" s="40" t="n">
        <v>315</v>
      </c>
      <c r="E23062" s="41" t="n">
        <v>9968.834999999999</v>
      </c>
    </row>
    <row r="23063">
      <c r="A23063" s="42">
        <f>_xlfn.XLOOKUP(84816,Trip[shape_id],Trip[shape_id],"Não encontrado")</f>
        <v/>
      </c>
      <c r="B23063" s="43" t="n">
        <v>-23.577455</v>
      </c>
      <c r="C23063" s="43" t="n">
        <v>-46.586971</v>
      </c>
      <c r="D23063" s="43" t="n">
        <v>316</v>
      </c>
      <c r="E23063" s="44" t="n">
        <v>9989.3896</v>
      </c>
    </row>
    <row r="23064">
      <c r="A23064" s="39">
        <f>_xlfn.XLOOKUP(84816,Trip[shape_id],Trip[shape_id],"Não encontrado")</f>
        <v/>
      </c>
      <c r="B23064" s="40" t="n">
        <v>-23.575981</v>
      </c>
      <c r="C23064" s="40" t="n">
        <v>-46.587149</v>
      </c>
      <c r="D23064" s="40" t="n">
        <v>317</v>
      </c>
      <c r="E23064" s="41" t="n">
        <v>10153.646</v>
      </c>
    </row>
    <row r="23065">
      <c r="A23065" s="42">
        <f>_xlfn.XLOOKUP(84816,Trip[shape_id],Trip[shape_id],"Não encontrado")</f>
        <v/>
      </c>
      <c r="B23065" s="43" t="n">
        <v>-23.57582</v>
      </c>
      <c r="C23065" s="43" t="n">
        <v>-46.58717</v>
      </c>
      <c r="D23065" s="43" t="n">
        <v>318</v>
      </c>
      <c r="E23065" s="44" t="n">
        <v>10171.605</v>
      </c>
    </row>
    <row r="23066">
      <c r="A23066" s="39">
        <f>_xlfn.XLOOKUP(84816,Trip[shape_id],Trip[shape_id],"Não encontrado")</f>
        <v/>
      </c>
      <c r="B23066" s="40" t="n">
        <v>-23.575409</v>
      </c>
      <c r="C23066" s="40" t="n">
        <v>-46.587226</v>
      </c>
      <c r="D23066" s="40" t="n">
        <v>319</v>
      </c>
      <c r="E23066" s="41" t="n">
        <v>10217.482</v>
      </c>
    </row>
    <row r="23067">
      <c r="A23067" s="42">
        <f>_xlfn.XLOOKUP(84816,Trip[shape_id],Trip[shape_id],"Não encontrado")</f>
        <v/>
      </c>
      <c r="B23067" s="43" t="n">
        <v>-23.575143</v>
      </c>
      <c r="C23067" s="43" t="n">
        <v>-46.587251</v>
      </c>
      <c r="D23067" s="43" t="n">
        <v>320</v>
      </c>
      <c r="E23067" s="44" t="n">
        <v>10247.053</v>
      </c>
    </row>
    <row r="23068">
      <c r="A23068" s="39">
        <f>_xlfn.XLOOKUP(84816,Trip[shape_id],Trip[shape_id],"Não encontrado")</f>
        <v/>
      </c>
      <c r="B23068" s="40" t="n">
        <v>-23.574569</v>
      </c>
      <c r="C23068" s="40" t="n">
        <v>-46.587323</v>
      </c>
      <c r="D23068" s="40" t="n">
        <v>321</v>
      </c>
      <c r="E23068" s="41" t="n">
        <v>10311.048</v>
      </c>
    </row>
    <row r="23069">
      <c r="A23069" s="42">
        <f>_xlfn.XLOOKUP(84816,Trip[shape_id],Trip[shape_id],"Não encontrado")</f>
        <v/>
      </c>
      <c r="B23069" s="43" t="n">
        <v>-23.574115</v>
      </c>
      <c r="C23069" s="43" t="n">
        <v>-46.587357</v>
      </c>
      <c r="D23069" s="43" t="n">
        <v>322</v>
      </c>
      <c r="E23069" s="44" t="n">
        <v>10361.449</v>
      </c>
    </row>
    <row r="23070">
      <c r="A23070" s="39">
        <f>_xlfn.XLOOKUP(84816,Trip[shape_id],Trip[shape_id],"Não encontrado")</f>
        <v/>
      </c>
      <c r="B23070" s="40" t="n">
        <v>-23.574031</v>
      </c>
      <c r="C23070" s="40" t="n">
        <v>-46.58737</v>
      </c>
      <c r="D23070" s="40" t="n">
        <v>323</v>
      </c>
      <c r="E23070" s="41" t="n">
        <v>10370.847</v>
      </c>
    </row>
    <row r="23071">
      <c r="A23071" s="42">
        <f>_xlfn.XLOOKUP(84816,Trip[shape_id],Trip[shape_id],"Não encontrado")</f>
        <v/>
      </c>
      <c r="B23071" s="43" t="n">
        <v>-23.573936</v>
      </c>
      <c r="C23071" s="43" t="n">
        <v>-46.587468</v>
      </c>
      <c r="D23071" s="43" t="n">
        <v>324</v>
      </c>
      <c r="E23071" s="44" t="n">
        <v>10398.916</v>
      </c>
    </row>
    <row r="23072">
      <c r="A23072" s="39">
        <f>_xlfn.XLOOKUP(84816,Trip[shape_id],Trip[shape_id],"Não encontrado")</f>
        <v/>
      </c>
      <c r="B23072" s="40" t="n">
        <v>-23.573814</v>
      </c>
      <c r="C23072" s="40" t="n">
        <v>-46.587478</v>
      </c>
      <c r="D23072" s="40" t="n">
        <v>325</v>
      </c>
      <c r="E23072" s="41" t="n">
        <v>10398.916</v>
      </c>
    </row>
    <row r="23073">
      <c r="A23073" s="42">
        <f>_xlfn.XLOOKUP(84816,Trip[shape_id],Trip[shape_id],"Não encontrado")</f>
        <v/>
      </c>
      <c r="B23073" s="43" t="n">
        <v>-23.573776</v>
      </c>
      <c r="C23073" s="43" t="n">
        <v>-46.587468</v>
      </c>
      <c r="D23073" s="43" t="n">
        <v>326</v>
      </c>
      <c r="E23073" s="44" t="n">
        <v>10414.828</v>
      </c>
    </row>
    <row r="23074">
      <c r="A23074" s="39">
        <f>_xlfn.XLOOKUP(84816,Trip[shape_id],Trip[shape_id],"Não encontrado")</f>
        <v/>
      </c>
      <c r="B23074" s="40" t="n">
        <v>-23.573674</v>
      </c>
      <c r="C23074" s="40" t="n">
        <v>-46.587493</v>
      </c>
      <c r="D23074" s="40" t="n">
        <v>327</v>
      </c>
      <c r="E23074" s="41" t="n">
        <v>10434.913</v>
      </c>
    </row>
    <row r="23075">
      <c r="A23075" s="42">
        <f>_xlfn.XLOOKUP(84816,Trip[shape_id],Trip[shape_id],"Não encontrado")</f>
        <v/>
      </c>
      <c r="B23075" s="43" t="n">
        <v>-23.573494</v>
      </c>
      <c r="C23075" s="43" t="n">
        <v>-46.587469</v>
      </c>
      <c r="D23075" s="43" t="n">
        <v>328</v>
      </c>
      <c r="E23075" s="44" t="n">
        <v>10447.212</v>
      </c>
    </row>
    <row r="23076">
      <c r="A23076" s="39">
        <f>_xlfn.XLOOKUP(84816,Trip[shape_id],Trip[shape_id],"Não encontrado")</f>
        <v/>
      </c>
      <c r="B23076" s="40" t="n">
        <v>-23.573386</v>
      </c>
      <c r="C23076" s="40" t="n">
        <v>-46.587441</v>
      </c>
      <c r="D23076" s="40" t="n">
        <v>329</v>
      </c>
      <c r="E23076" s="41" t="n">
        <v>10447.212</v>
      </c>
    </row>
    <row r="23077">
      <c r="A23077" s="42">
        <f>_xlfn.XLOOKUP(84816,Trip[shape_id],Trip[shape_id],"Não encontrado")</f>
        <v/>
      </c>
      <c r="B23077" s="43" t="n">
        <v>-23.57286</v>
      </c>
      <c r="C23077" s="43" t="n">
        <v>-46.587492</v>
      </c>
      <c r="D23077" s="43" t="n">
        <v>330</v>
      </c>
      <c r="E23077" s="44" t="n">
        <v>10505.7</v>
      </c>
    </row>
    <row r="23078">
      <c r="A23078" s="39">
        <f>_xlfn.XLOOKUP(84816,Trip[shape_id],Trip[shape_id],"Não encontrado")</f>
        <v/>
      </c>
      <c r="B23078" s="40" t="n">
        <v>-23.572657</v>
      </c>
      <c r="C23078" s="40" t="n">
        <v>-46.587471</v>
      </c>
      <c r="D23078" s="40" t="n">
        <v>331</v>
      </c>
      <c r="E23078" s="41" t="n">
        <v>10528.285</v>
      </c>
    </row>
    <row r="23079">
      <c r="A23079" s="42">
        <f>_xlfn.XLOOKUP(84816,Trip[shape_id],Trip[shape_id],"Não encontrado")</f>
        <v/>
      </c>
      <c r="B23079" s="43" t="n">
        <v>-23.571729</v>
      </c>
      <c r="C23079" s="43" t="n">
        <v>-46.587425</v>
      </c>
      <c r="D23079" s="43" t="n">
        <v>332</v>
      </c>
      <c r="E23079" s="44" t="n">
        <v>10631.17</v>
      </c>
    </row>
    <row r="23080">
      <c r="A23080" s="39">
        <f>_xlfn.XLOOKUP(84816,Trip[shape_id],Trip[shape_id],"Não encontrado")</f>
        <v/>
      </c>
      <c r="B23080" s="40" t="n">
        <v>-23.571211</v>
      </c>
      <c r="C23080" s="40" t="n">
        <v>-46.5874</v>
      </c>
      <c r="D23080" s="40" t="n">
        <v>333</v>
      </c>
      <c r="E23080" s="41" t="n">
        <v>10688.597</v>
      </c>
    </row>
    <row r="23081">
      <c r="A23081" s="42">
        <f>_xlfn.XLOOKUP(84816,Trip[shape_id],Trip[shape_id],"Não encontrado")</f>
        <v/>
      </c>
      <c r="B23081" s="43" t="n">
        <v>-23.570929</v>
      </c>
      <c r="C23081" s="43" t="n">
        <v>-46.587384</v>
      </c>
      <c r="D23081" s="43" t="n">
        <v>334</v>
      </c>
      <c r="E23081" s="44" t="n">
        <v>10719.871</v>
      </c>
    </row>
    <row r="23082">
      <c r="A23082" s="39">
        <f>_xlfn.XLOOKUP(84816,Trip[shape_id],Trip[shape_id],"Não encontrado")</f>
        <v/>
      </c>
      <c r="B23082" s="40" t="n">
        <v>-23.570677</v>
      </c>
      <c r="C23082" s="40" t="n">
        <v>-46.587384</v>
      </c>
      <c r="D23082" s="40" t="n">
        <v>335</v>
      </c>
      <c r="E23082" s="41" t="n">
        <v>10747.78</v>
      </c>
    </row>
    <row r="23083">
      <c r="A23083" s="42">
        <f>_xlfn.XLOOKUP(84816,Trip[shape_id],Trip[shape_id],"Não encontrado")</f>
        <v/>
      </c>
      <c r="B23083" s="43" t="n">
        <v>-23.570504</v>
      </c>
      <c r="C23083" s="43" t="n">
        <v>-46.587406</v>
      </c>
      <c r="D23083" s="43" t="n">
        <v>336</v>
      </c>
      <c r="E23083" s="44" t="n">
        <v>10767.071</v>
      </c>
    </row>
    <row r="23084">
      <c r="A23084" s="39">
        <f>_xlfn.XLOOKUP(84816,Trip[shape_id],Trip[shape_id],"Não encontrado")</f>
        <v/>
      </c>
      <c r="B23084" s="40" t="n">
        <v>-23.570345</v>
      </c>
      <c r="C23084" s="40" t="n">
        <v>-46.587431</v>
      </c>
      <c r="D23084" s="40" t="n">
        <v>337</v>
      </c>
      <c r="E23084" s="41" t="n">
        <v>10784.865</v>
      </c>
    </row>
    <row r="23085">
      <c r="A23085" s="42">
        <f>_xlfn.XLOOKUP(84816,Trip[shape_id],Trip[shape_id],"Não encontrado")</f>
        <v/>
      </c>
      <c r="B23085" s="43" t="n">
        <v>-23.570193</v>
      </c>
      <c r="C23085" s="43" t="n">
        <v>-46.58747</v>
      </c>
      <c r="D23085" s="43" t="n">
        <v>338</v>
      </c>
      <c r="E23085" s="44" t="n">
        <v>10802.164</v>
      </c>
    </row>
    <row r="23086">
      <c r="A23086" s="39">
        <f>_xlfn.XLOOKUP(84816,Trip[shape_id],Trip[shape_id],"Não encontrado")</f>
        <v/>
      </c>
      <c r="B23086" s="40" t="n">
        <v>-23.570016</v>
      </c>
      <c r="C23086" s="40" t="n">
        <v>-46.587538</v>
      </c>
      <c r="D23086" s="40" t="n">
        <v>339</v>
      </c>
      <c r="E23086" s="41" t="n">
        <v>10822.96</v>
      </c>
    </row>
    <row r="23087">
      <c r="A23087" s="42">
        <f>_xlfn.XLOOKUP(84816,Trip[shape_id],Trip[shape_id],"Não encontrado")</f>
        <v/>
      </c>
      <c r="B23087" s="43" t="n">
        <v>-23.569979</v>
      </c>
      <c r="C23087" s="43" t="n">
        <v>-46.587584</v>
      </c>
      <c r="D23087" s="43" t="n">
        <v>340</v>
      </c>
      <c r="E23087" s="44" t="n">
        <v>10847.303</v>
      </c>
    </row>
    <row r="23088">
      <c r="A23088" s="39">
        <f>_xlfn.XLOOKUP(84816,Trip[shape_id],Trip[shape_id],"Não encontrado")</f>
        <v/>
      </c>
      <c r="B23088" s="40" t="n">
        <v>-23.569837</v>
      </c>
      <c r="C23088" s="40" t="n">
        <v>-46.587672</v>
      </c>
      <c r="D23088" s="40" t="n">
        <v>341</v>
      </c>
      <c r="E23088" s="41" t="n">
        <v>10858.888</v>
      </c>
    </row>
    <row r="23089">
      <c r="A23089" s="42">
        <f>_xlfn.XLOOKUP(84816,Trip[shape_id],Trip[shape_id],"Não encontrado")</f>
        <v/>
      </c>
      <c r="B23089" s="43" t="n">
        <v>-23.56975</v>
      </c>
      <c r="C23089" s="43" t="n">
        <v>-46.587735</v>
      </c>
      <c r="D23089" s="43" t="n">
        <v>342</v>
      </c>
      <c r="E23089" s="44" t="n">
        <v>10868.487</v>
      </c>
    </row>
    <row r="23090">
      <c r="A23090" s="39">
        <f>_xlfn.XLOOKUP(84816,Trip[shape_id],Trip[shape_id],"Não encontrado")</f>
        <v/>
      </c>
      <c r="B23090" s="40" t="n">
        <v>-23.569672</v>
      </c>
      <c r="C23090" s="40" t="n">
        <v>-46.587776</v>
      </c>
      <c r="D23090" s="40" t="n">
        <v>343</v>
      </c>
      <c r="E23090" s="41" t="n">
        <v>10868.487</v>
      </c>
    </row>
    <row r="23091">
      <c r="A23091" s="42">
        <f>_xlfn.XLOOKUP(84816,Trip[shape_id],Trip[shape_id],"Não encontrado")</f>
        <v/>
      </c>
      <c r="B23091" s="43" t="n">
        <v>-23.569582</v>
      </c>
      <c r="C23091" s="43" t="n">
        <v>-46.587826</v>
      </c>
      <c r="D23091" s="43" t="n">
        <v>344</v>
      </c>
      <c r="E23091" s="44" t="n">
        <v>10888.405</v>
      </c>
    </row>
    <row r="23092">
      <c r="A23092" s="39">
        <f>_xlfn.XLOOKUP(84816,Trip[shape_id],Trip[shape_id],"Não encontrado")</f>
        <v/>
      </c>
      <c r="B23092" s="40" t="n">
        <v>-23.569509</v>
      </c>
      <c r="C23092" s="40" t="n">
        <v>-46.587858</v>
      </c>
      <c r="D23092" s="40" t="n">
        <v>345</v>
      </c>
      <c r="E23092" s="41" t="n">
        <v>10911.258</v>
      </c>
    </row>
    <row r="23093">
      <c r="A23093" s="42">
        <f>_xlfn.XLOOKUP(84816,Trip[shape_id],Trip[shape_id],"Não encontrado")</f>
        <v/>
      </c>
      <c r="B23093" s="43" t="n">
        <v>-23.569311</v>
      </c>
      <c r="C23093" s="43" t="n">
        <v>-46.587921</v>
      </c>
      <c r="D23093" s="43" t="n">
        <v>346</v>
      </c>
      <c r="E23093" s="44" t="n">
        <v>10911.258</v>
      </c>
    </row>
    <row r="23094">
      <c r="A23094" s="39">
        <f>_xlfn.XLOOKUP(84816,Trip[shape_id],Trip[shape_id],"Não encontrado")</f>
        <v/>
      </c>
      <c r="B23094" s="40" t="n">
        <v>-23.569121</v>
      </c>
      <c r="C23094" s="40" t="n">
        <v>-46.588102</v>
      </c>
      <c r="D23094" s="40" t="n">
        <v>347</v>
      </c>
      <c r="E23094" s="41" t="n">
        <v>10939.262</v>
      </c>
    </row>
    <row r="23095">
      <c r="A23095" s="42">
        <f>_xlfn.XLOOKUP(84816,Trip[shape_id],Trip[shape_id],"Não encontrado")</f>
        <v/>
      </c>
      <c r="B23095" s="43" t="n">
        <v>-23.569034</v>
      </c>
      <c r="C23095" s="43" t="n">
        <v>-46.588185</v>
      </c>
      <c r="D23095" s="43" t="n">
        <v>348</v>
      </c>
      <c r="E23095" s="44" t="n">
        <v>10952.093</v>
      </c>
    </row>
    <row r="23096">
      <c r="A23096" s="39">
        <f>_xlfn.XLOOKUP(84816,Trip[shape_id],Trip[shape_id],"Não encontrado")</f>
        <v/>
      </c>
      <c r="B23096" s="40" t="n">
        <v>-23.568893</v>
      </c>
      <c r="C23096" s="40" t="n">
        <v>-46.588339</v>
      </c>
      <c r="D23096" s="40" t="n">
        <v>349</v>
      </c>
      <c r="E23096" s="41" t="n">
        <v>10974.252</v>
      </c>
    </row>
    <row r="23097">
      <c r="A23097" s="42">
        <f>_xlfn.XLOOKUP(84816,Trip[shape_id],Trip[shape_id],"Não encontrado")</f>
        <v/>
      </c>
      <c r="B23097" s="43" t="n">
        <v>-23.568741</v>
      </c>
      <c r="C23097" s="43" t="n">
        <v>-46.588541</v>
      </c>
      <c r="D23097" s="43" t="n">
        <v>350</v>
      </c>
      <c r="E23097" s="44" t="n">
        <v>11000.872</v>
      </c>
    </row>
    <row r="23098">
      <c r="A23098" s="39">
        <f>_xlfn.XLOOKUP(84816,Trip[shape_id],Trip[shape_id],"Não encontrado")</f>
        <v/>
      </c>
      <c r="B23098" s="40" t="n">
        <v>-23.56864</v>
      </c>
      <c r="C23098" s="40" t="n">
        <v>-46.588691</v>
      </c>
      <c r="D23098" s="40" t="n">
        <v>351</v>
      </c>
      <c r="E23098" s="41" t="n">
        <v>11019.836</v>
      </c>
    </row>
    <row r="23099">
      <c r="A23099" s="42">
        <f>_xlfn.XLOOKUP(84816,Trip[shape_id],Trip[shape_id],"Não encontrado")</f>
        <v/>
      </c>
      <c r="B23099" s="43" t="n">
        <v>-23.568594</v>
      </c>
      <c r="C23099" s="43" t="n">
        <v>-46.588766</v>
      </c>
      <c r="D23099" s="43" t="n">
        <v>352</v>
      </c>
      <c r="E23099" s="44" t="n">
        <v>11029.033</v>
      </c>
    </row>
    <row r="23100">
      <c r="A23100" s="39">
        <f>_xlfn.XLOOKUP(84816,Trip[shape_id],Trip[shape_id],"Não encontrado")</f>
        <v/>
      </c>
      <c r="B23100" s="40" t="n">
        <v>-23.568408</v>
      </c>
      <c r="C23100" s="40" t="n">
        <v>-46.589117</v>
      </c>
      <c r="D23100" s="40" t="n">
        <v>353</v>
      </c>
      <c r="E23100" s="41" t="n">
        <v>11070.365</v>
      </c>
    </row>
    <row r="23101">
      <c r="A23101" s="42">
        <f>_xlfn.XLOOKUP(84816,Trip[shape_id],Trip[shape_id],"Não encontrado")</f>
        <v/>
      </c>
      <c r="B23101" s="43" t="n">
        <v>-23.567911</v>
      </c>
      <c r="C23101" s="43" t="n">
        <v>-46.590047</v>
      </c>
      <c r="D23101" s="43" t="n">
        <v>354</v>
      </c>
      <c r="E23101" s="44" t="n">
        <v>11180.109</v>
      </c>
    </row>
    <row r="23102">
      <c r="A23102" s="39">
        <f>_xlfn.XLOOKUP(84816,Trip[shape_id],Trip[shape_id],"Não encontrado")</f>
        <v/>
      </c>
      <c r="B23102" s="40" t="n">
        <v>-23.567367</v>
      </c>
      <c r="C23102" s="40" t="n">
        <v>-46.591073</v>
      </c>
      <c r="D23102" s="40" t="n">
        <v>355</v>
      </c>
      <c r="E23102" s="41" t="n">
        <v>11300.944</v>
      </c>
    </row>
    <row r="23103">
      <c r="A23103" s="42">
        <f>_xlfn.XLOOKUP(84816,Trip[shape_id],Trip[shape_id],"Não encontrado")</f>
        <v/>
      </c>
      <c r="B23103" s="43" t="n">
        <v>-23.567354</v>
      </c>
      <c r="C23103" s="43" t="n">
        <v>-46.591111</v>
      </c>
      <c r="D23103" s="43" t="n">
        <v>356</v>
      </c>
      <c r="E23103" s="44" t="n">
        <v>11305.081</v>
      </c>
    </row>
    <row r="23104">
      <c r="A23104" s="39">
        <f>_xlfn.XLOOKUP(84816,Trip[shape_id],Trip[shape_id],"Não encontrado")</f>
        <v/>
      </c>
      <c r="B23104" s="40" t="n">
        <v>-23.567321</v>
      </c>
      <c r="C23104" s="40" t="n">
        <v>-46.591251</v>
      </c>
      <c r="D23104" s="40" t="n">
        <v>357</v>
      </c>
      <c r="E23104" s="41" t="n">
        <v>11341.158</v>
      </c>
    </row>
    <row r="23105">
      <c r="A23105" s="42">
        <f>_xlfn.XLOOKUP(84816,Trip[shape_id],Trip[shape_id],"Não encontrado")</f>
        <v/>
      </c>
      <c r="B23105" s="43" t="n">
        <v>-23.567257</v>
      </c>
      <c r="C23105" s="43" t="n">
        <v>-46.591448</v>
      </c>
      <c r="D23105" s="43" t="n">
        <v>358</v>
      </c>
      <c r="E23105" s="44" t="n">
        <v>11344.685</v>
      </c>
    </row>
    <row r="23106">
      <c r="A23106" s="39">
        <f>_xlfn.XLOOKUP(84816,Trip[shape_id],Trip[shape_id],"Não encontrado")</f>
        <v/>
      </c>
      <c r="B23106" s="40" t="n">
        <v>-23.567245</v>
      </c>
      <c r="C23106" s="40" t="n">
        <v>-46.59148</v>
      </c>
      <c r="D23106" s="40" t="n">
        <v>359</v>
      </c>
      <c r="E23106" s="41" t="n">
        <v>11356.054</v>
      </c>
    </row>
    <row r="23107">
      <c r="A23107" s="42">
        <f>_xlfn.XLOOKUP(84816,Trip[shape_id],Trip[shape_id],"Não encontrado")</f>
        <v/>
      </c>
      <c r="B23107" s="43" t="n">
        <v>-23.567198</v>
      </c>
      <c r="C23107" s="43" t="n">
        <v>-46.591579</v>
      </c>
      <c r="D23107" s="43" t="n">
        <v>360</v>
      </c>
      <c r="E23107" s="44" t="n">
        <v>11356.054</v>
      </c>
    </row>
    <row r="23108">
      <c r="A23108" s="39">
        <f>_xlfn.XLOOKUP(84816,Trip[shape_id],Trip[shape_id],"Não encontrado")</f>
        <v/>
      </c>
      <c r="B23108" s="40" t="n">
        <v>-23.56718</v>
      </c>
      <c r="C23108" s="40" t="n">
        <v>-46.591616</v>
      </c>
      <c r="D23108" s="40" t="n">
        <v>361</v>
      </c>
      <c r="E23108" s="41" t="n">
        <v>11371.029</v>
      </c>
    </row>
    <row r="23109">
      <c r="A23109" s="42">
        <f>_xlfn.XLOOKUP(84816,Trip[shape_id],Trip[shape_id],"Não encontrado")</f>
        <v/>
      </c>
      <c r="B23109" s="43" t="n">
        <v>-23.567132</v>
      </c>
      <c r="C23109" s="43" t="n">
        <v>-46.591707</v>
      </c>
      <c r="D23109" s="43" t="n">
        <v>362</v>
      </c>
      <c r="E23109" s="44" t="n">
        <v>11388.375</v>
      </c>
    </row>
    <row r="23110">
      <c r="A23110" s="39">
        <f>_xlfn.XLOOKUP(84816,Trip[shape_id],Trip[shape_id],"Não encontrado")</f>
        <v/>
      </c>
      <c r="B23110" s="40" t="n">
        <v>-23.567029</v>
      </c>
      <c r="C23110" s="40" t="n">
        <v>-46.591835</v>
      </c>
      <c r="D23110" s="40" t="n">
        <v>363</v>
      </c>
      <c r="E23110" s="41" t="n">
        <v>11419.695</v>
      </c>
    </row>
    <row r="23111">
      <c r="A23111" s="42">
        <f>_xlfn.XLOOKUP(84816,Trip[shape_id],Trip[shape_id],"Não encontrado")</f>
        <v/>
      </c>
      <c r="B23111" s="43" t="n">
        <v>-23.566854</v>
      </c>
      <c r="C23111" s="43" t="n">
        <v>-46.592076</v>
      </c>
      <c r="D23111" s="43" t="n">
        <v>364</v>
      </c>
      <c r="E23111" s="44" t="n">
        <v>11419.695</v>
      </c>
    </row>
    <row r="23112">
      <c r="A23112" s="39">
        <f>_xlfn.XLOOKUP(84816,Trip[shape_id],Trip[shape_id],"Não encontrado")</f>
        <v/>
      </c>
      <c r="B23112" s="40" t="n">
        <v>-23.566331</v>
      </c>
      <c r="C23112" s="40" t="n">
        <v>-46.593072</v>
      </c>
      <c r="D23112" s="40" t="n">
        <v>365</v>
      </c>
      <c r="E23112" s="41" t="n">
        <v>11536.718</v>
      </c>
    </row>
    <row r="23113">
      <c r="A23113" s="42">
        <f>_xlfn.XLOOKUP(84816,Trip[shape_id],Trip[shape_id],"Não encontrado")</f>
        <v/>
      </c>
      <c r="B23113" s="43" t="n">
        <v>-23.565758</v>
      </c>
      <c r="C23113" s="43" t="n">
        <v>-46.594178</v>
      </c>
      <c r="D23113" s="43" t="n">
        <v>366</v>
      </c>
      <c r="E23113" s="44" t="n">
        <v>11666.241</v>
      </c>
    </row>
    <row r="23114">
      <c r="A23114" s="39">
        <f>_xlfn.XLOOKUP(84816,Trip[shape_id],Trip[shape_id],"Não encontrado")</f>
        <v/>
      </c>
      <c r="B23114" s="40" t="n">
        <v>-23.565494</v>
      </c>
      <c r="C23114" s="40" t="n">
        <v>-46.594671</v>
      </c>
      <c r="D23114" s="40" t="n">
        <v>367</v>
      </c>
      <c r="E23114" s="41" t="n">
        <v>11724.448</v>
      </c>
    </row>
    <row r="23115">
      <c r="A23115" s="42">
        <f>_xlfn.XLOOKUP(84816,Trip[shape_id],Trip[shape_id],"Não encontrado")</f>
        <v/>
      </c>
      <c r="B23115" s="43" t="n">
        <v>-23.56528</v>
      </c>
      <c r="C23115" s="43" t="n">
        <v>-46.595057</v>
      </c>
      <c r="D23115" s="43" t="n">
        <v>368</v>
      </c>
      <c r="E23115" s="44" t="n">
        <v>11770.434</v>
      </c>
    </row>
    <row r="23116">
      <c r="A23116" s="39">
        <f>_xlfn.XLOOKUP(84816,Trip[shape_id],Trip[shape_id],"Não encontrado")</f>
        <v/>
      </c>
      <c r="B23116" s="40" t="n">
        <v>-23.565246</v>
      </c>
      <c r="C23116" s="40" t="n">
        <v>-46.595106</v>
      </c>
      <c r="D23116" s="40" t="n">
        <v>369</v>
      </c>
      <c r="E23116" s="41" t="n">
        <v>11776.695</v>
      </c>
    </row>
    <row r="23117">
      <c r="A23117" s="42">
        <f>_xlfn.XLOOKUP(84816,Trip[shape_id],Trip[shape_id],"Não encontrado")</f>
        <v/>
      </c>
      <c r="B23117" s="43" t="n">
        <v>-23.565186</v>
      </c>
      <c r="C23117" s="43" t="n">
        <v>-46.595275</v>
      </c>
      <c r="D23117" s="43" t="n">
        <v>370</v>
      </c>
      <c r="E23117" s="44" t="n">
        <v>11807.656</v>
      </c>
    </row>
    <row r="23118">
      <c r="A23118" s="39">
        <f>_xlfn.XLOOKUP(84816,Trip[shape_id],Trip[shape_id],"Não encontrado")</f>
        <v/>
      </c>
      <c r="B23118" s="40" t="n">
        <v>-23.565137</v>
      </c>
      <c r="C23118" s="40" t="n">
        <v>-46.595385</v>
      </c>
      <c r="D23118" s="40" t="n">
        <v>371</v>
      </c>
      <c r="E23118" s="41" t="n">
        <v>11816.792</v>
      </c>
    </row>
    <row r="23119">
      <c r="A23119" s="42">
        <f>_xlfn.XLOOKUP(84816,Trip[shape_id],Trip[shape_id],"Não encontrado")</f>
        <v/>
      </c>
      <c r="B23119" s="43" t="n">
        <v>-23.565092</v>
      </c>
      <c r="C23119" s="43" t="n">
        <v>-46.59546</v>
      </c>
      <c r="D23119" s="43" t="n">
        <v>372</v>
      </c>
      <c r="E23119" s="44" t="n">
        <v>11816.792</v>
      </c>
    </row>
    <row r="23120">
      <c r="A23120" s="39">
        <f>_xlfn.XLOOKUP(84816,Trip[shape_id],Trip[shape_id],"Não encontrado")</f>
        <v/>
      </c>
      <c r="B23120" s="40" t="n">
        <v>-23.565049</v>
      </c>
      <c r="C23120" s="40" t="n">
        <v>-46.59554</v>
      </c>
      <c r="D23120" s="40" t="n">
        <v>373</v>
      </c>
      <c r="E23120" s="41" t="n">
        <v>11840.9</v>
      </c>
    </row>
    <row r="23121">
      <c r="A23121" s="42">
        <f>_xlfn.XLOOKUP(84816,Trip[shape_id],Trip[shape_id],"Não encontrado")</f>
        <v/>
      </c>
      <c r="B23121" s="43" t="n">
        <v>-23.564964</v>
      </c>
      <c r="C23121" s="43" t="n">
        <v>-46.59565</v>
      </c>
      <c r="D23121" s="43" t="n">
        <v>374</v>
      </c>
      <c r="E23121" s="44" t="n">
        <v>11861.326</v>
      </c>
    </row>
    <row r="23122">
      <c r="A23122" s="39">
        <f>_xlfn.XLOOKUP(84816,Trip[shape_id],Trip[shape_id],"Não encontrado")</f>
        <v/>
      </c>
      <c r="B23122" s="40" t="n">
        <v>-23.564843</v>
      </c>
      <c r="C23122" s="40" t="n">
        <v>-46.595801</v>
      </c>
      <c r="D23122" s="40" t="n">
        <v>375</v>
      </c>
      <c r="E23122" s="41" t="n">
        <v>11882.399</v>
      </c>
    </row>
    <row r="23123">
      <c r="A23123" s="42">
        <f>_xlfn.XLOOKUP(84816,Trip[shape_id],Trip[shape_id],"Não encontrado")</f>
        <v/>
      </c>
      <c r="B23123" s="43" t="n">
        <v>-23.564682</v>
      </c>
      <c r="C23123" s="43" t="n">
        <v>-46.595911</v>
      </c>
      <c r="D23123" s="43" t="n">
        <v>376</v>
      </c>
      <c r="E23123" s="44" t="n">
        <v>11882.399</v>
      </c>
    </row>
    <row r="23124">
      <c r="A23124" s="39">
        <f>_xlfn.XLOOKUP(84816,Trip[shape_id],Trip[shape_id],"Não encontrado")</f>
        <v/>
      </c>
      <c r="B23124" s="40" t="n">
        <v>-23.564566</v>
      </c>
      <c r="C23124" s="40" t="n">
        <v>-46.596047</v>
      </c>
      <c r="D23124" s="40" t="n">
        <v>377</v>
      </c>
      <c r="E23124" s="41" t="n">
        <v>11901.316</v>
      </c>
    </row>
    <row r="23125">
      <c r="A23125" s="42">
        <f>_xlfn.XLOOKUP(84816,Trip[shape_id],Trip[shape_id],"Não encontrado")</f>
        <v/>
      </c>
      <c r="B23125" s="43" t="n">
        <v>-23.564326</v>
      </c>
      <c r="C23125" s="43" t="n">
        <v>-46.596297</v>
      </c>
      <c r="D23125" s="43" t="n">
        <v>378</v>
      </c>
      <c r="E23125" s="44" t="n">
        <v>11938.166</v>
      </c>
    </row>
    <row r="23126">
      <c r="A23126" s="39">
        <f>_xlfn.XLOOKUP(84816,Trip[shape_id],Trip[shape_id],"Não encontrado")</f>
        <v/>
      </c>
      <c r="B23126" s="40" t="n">
        <v>-23.564183</v>
      </c>
      <c r="C23126" s="40" t="n">
        <v>-46.596447</v>
      </c>
      <c r="D23126" s="40" t="n">
        <v>379</v>
      </c>
      <c r="E23126" s="41" t="n">
        <v>11960.196</v>
      </c>
    </row>
    <row r="23127">
      <c r="A23127" s="42">
        <f>_xlfn.XLOOKUP(84816,Trip[shape_id],Trip[shape_id],"Não encontrado")</f>
        <v/>
      </c>
      <c r="B23127" s="43" t="n">
        <v>-23.563613</v>
      </c>
      <c r="C23127" s="43" t="n">
        <v>-46.596977</v>
      </c>
      <c r="D23127" s="43" t="n">
        <v>380</v>
      </c>
      <c r="E23127" s="44" t="n">
        <v>12043.341</v>
      </c>
    </row>
    <row r="23128">
      <c r="A23128" s="39">
        <f>_xlfn.XLOOKUP(84816,Trip[shape_id],Trip[shape_id],"Não encontrado")</f>
        <v/>
      </c>
      <c r="B23128" s="40" t="n">
        <v>-23.563184</v>
      </c>
      <c r="C23128" s="40" t="n">
        <v>-46.597341</v>
      </c>
      <c r="D23128" s="40" t="n">
        <v>381</v>
      </c>
      <c r="E23128" s="41" t="n">
        <v>12103.66</v>
      </c>
    </row>
    <row r="23129">
      <c r="A23129" s="42">
        <f>_xlfn.XLOOKUP(84816,Trip[shape_id],Trip[shape_id],"Não encontrado")</f>
        <v/>
      </c>
      <c r="B23129" s="43" t="n">
        <v>-23.562125</v>
      </c>
      <c r="C23129" s="43" t="n">
        <v>-46.598118</v>
      </c>
      <c r="D23129" s="43" t="n">
        <v>382</v>
      </c>
      <c r="E23129" s="44" t="n">
        <v>12245.254</v>
      </c>
    </row>
    <row r="23130">
      <c r="A23130" s="39">
        <f>_xlfn.XLOOKUP(84816,Trip[shape_id],Trip[shape_id],"Não encontrado")</f>
        <v/>
      </c>
      <c r="B23130" s="40" t="n">
        <v>-23.562079</v>
      </c>
      <c r="C23130" s="40" t="n">
        <v>-46.598162</v>
      </c>
      <c r="D23130" s="40" t="n">
        <v>383</v>
      </c>
      <c r="E23130" s="41" t="n">
        <v>12252.046</v>
      </c>
    </row>
    <row r="23131">
      <c r="A23131" s="42">
        <f>_xlfn.XLOOKUP(84816,Trip[shape_id],Trip[shape_id],"Não encontrado")</f>
        <v/>
      </c>
      <c r="B23131" s="43" t="n">
        <v>-23.561997</v>
      </c>
      <c r="C23131" s="43" t="n">
        <v>-46.598272</v>
      </c>
      <c r="D23131" s="43" t="n">
        <v>384</v>
      </c>
      <c r="E23131" s="44" t="n">
        <v>12283.758</v>
      </c>
    </row>
    <row r="23132">
      <c r="A23132" s="39">
        <f>_xlfn.XLOOKUP(84816,Trip[shape_id],Trip[shape_id],"Não encontrado")</f>
        <v/>
      </c>
      <c r="B23132" s="40" t="n">
        <v>-23.561894</v>
      </c>
      <c r="C23132" s="40" t="n">
        <v>-46.598399</v>
      </c>
      <c r="D23132" s="40" t="n">
        <v>385</v>
      </c>
      <c r="E23132" s="41" t="n">
        <v>12297.256</v>
      </c>
    </row>
    <row r="23133">
      <c r="A23133" s="42">
        <f>_xlfn.XLOOKUP(84816,Trip[shape_id],Trip[shape_id],"Não encontrado")</f>
        <v/>
      </c>
      <c r="B23133" s="43" t="n">
        <v>-23.561793</v>
      </c>
      <c r="C23133" s="43" t="n">
        <v>-46.598473</v>
      </c>
      <c r="D23133" s="43" t="n">
        <v>386</v>
      </c>
      <c r="E23133" s="44" t="n">
        <v>12297.256</v>
      </c>
    </row>
    <row r="23134">
      <c r="A23134" s="39">
        <f>_xlfn.XLOOKUP(84816,Trip[shape_id],Trip[shape_id],"Não encontrado")</f>
        <v/>
      </c>
      <c r="B23134" s="40" t="n">
        <v>-23.561662</v>
      </c>
      <c r="C23134" s="40" t="n">
        <v>-46.598567</v>
      </c>
      <c r="D23134" s="40" t="n">
        <v>387</v>
      </c>
      <c r="E23134" s="41" t="n">
        <v>12349.058</v>
      </c>
    </row>
    <row r="23135">
      <c r="A23135" s="42">
        <f>_xlfn.XLOOKUP(84816,Trip[shape_id],Trip[shape_id],"Não encontrado")</f>
        <v/>
      </c>
      <c r="B23135" s="43" t="n">
        <v>-23.561375</v>
      </c>
      <c r="C23135" s="43" t="n">
        <v>-46.598696</v>
      </c>
      <c r="D23135" s="43" t="n">
        <v>388</v>
      </c>
      <c r="E23135" s="44" t="n">
        <v>12349.058</v>
      </c>
    </row>
    <row r="23136">
      <c r="A23136" s="39">
        <f>_xlfn.XLOOKUP(84816,Trip[shape_id],Trip[shape_id],"Não encontrado")</f>
        <v/>
      </c>
      <c r="B23136" s="40" t="n">
        <v>-23.561105</v>
      </c>
      <c r="C23136" s="40" t="n">
        <v>-46.598904</v>
      </c>
      <c r="D23136" s="40" t="n">
        <v>389</v>
      </c>
      <c r="E23136" s="41" t="n">
        <v>12385.733</v>
      </c>
    </row>
    <row r="23137">
      <c r="A23137" s="42">
        <f>_xlfn.XLOOKUP(84816,Trip[shape_id],Trip[shape_id],"Não encontrado")</f>
        <v/>
      </c>
      <c r="B23137" s="43" t="n">
        <v>-23.560308</v>
      </c>
      <c r="C23137" s="43" t="n">
        <v>-46.599523</v>
      </c>
      <c r="D23137" s="43" t="n">
        <v>390</v>
      </c>
      <c r="E23137" s="44" t="n">
        <v>12494.293</v>
      </c>
    </row>
    <row r="23138">
      <c r="A23138" s="39">
        <f>_xlfn.XLOOKUP(84816,Trip[shape_id],Trip[shape_id],"Não encontrado")</f>
        <v/>
      </c>
      <c r="B23138" s="40" t="n">
        <v>-23.560178</v>
      </c>
      <c r="C23138" s="40" t="n">
        <v>-46.599627</v>
      </c>
      <c r="D23138" s="40" t="n">
        <v>391</v>
      </c>
      <c r="E23138" s="41" t="n">
        <v>12512.183</v>
      </c>
    </row>
    <row r="23139">
      <c r="A23139" s="42">
        <f>_xlfn.XLOOKUP(84816,Trip[shape_id],Trip[shape_id],"Não encontrado")</f>
        <v/>
      </c>
      <c r="B23139" s="43" t="n">
        <v>-23.55994</v>
      </c>
      <c r="C23139" s="43" t="n">
        <v>-46.599793</v>
      </c>
      <c r="D23139" s="43" t="n">
        <v>392</v>
      </c>
      <c r="E23139" s="44" t="n">
        <v>12543.52</v>
      </c>
    </row>
    <row r="23140">
      <c r="A23140" s="39">
        <f>_xlfn.XLOOKUP(84816,Trip[shape_id],Trip[shape_id],"Não encontrado")</f>
        <v/>
      </c>
      <c r="B23140" s="40" t="n">
        <v>-23.559609</v>
      </c>
      <c r="C23140" s="40" t="n">
        <v>-46.599968</v>
      </c>
      <c r="D23140" s="40" t="n">
        <v>393</v>
      </c>
      <c r="E23140" s="41" t="n">
        <v>12584.301</v>
      </c>
    </row>
    <row r="23141">
      <c r="A23141" s="42">
        <f>_xlfn.XLOOKUP(84816,Trip[shape_id],Trip[shape_id],"Não encontrado")</f>
        <v/>
      </c>
      <c r="B23141" s="43" t="n">
        <v>-23.559201</v>
      </c>
      <c r="C23141" s="43" t="n">
        <v>-46.600143</v>
      </c>
      <c r="D23141" s="43" t="n">
        <v>394</v>
      </c>
      <c r="E23141" s="44" t="n">
        <v>12632.892</v>
      </c>
    </row>
    <row r="23142">
      <c r="A23142" s="39">
        <f>_xlfn.XLOOKUP(84816,Trip[shape_id],Trip[shape_id],"Não encontrado")</f>
        <v/>
      </c>
      <c r="B23142" s="40" t="n">
        <v>-23.559043</v>
      </c>
      <c r="C23142" s="40" t="n">
        <v>-46.600187</v>
      </c>
      <c r="D23142" s="40" t="n">
        <v>395</v>
      </c>
      <c r="E23142" s="41" t="n">
        <v>12650.958</v>
      </c>
    </row>
    <row r="23143">
      <c r="A23143" s="42">
        <f>_xlfn.XLOOKUP(84816,Trip[shape_id],Trip[shape_id],"Não encontrado")</f>
        <v/>
      </c>
      <c r="B23143" s="43" t="n">
        <v>-23.558793</v>
      </c>
      <c r="C23143" s="43" t="n">
        <v>-46.600248</v>
      </c>
      <c r="D23143" s="43" t="n">
        <v>396</v>
      </c>
      <c r="E23143" s="44" t="n">
        <v>12679.338</v>
      </c>
    </row>
    <row r="23144">
      <c r="A23144" s="39">
        <f>_xlfn.XLOOKUP(84816,Trip[shape_id],Trip[shape_id],"Não encontrado")</f>
        <v/>
      </c>
      <c r="B23144" s="40" t="n">
        <v>-23.558432</v>
      </c>
      <c r="C23144" s="40" t="n">
        <v>-46.600291</v>
      </c>
      <c r="D23144" s="40" t="n">
        <v>397</v>
      </c>
      <c r="E23144" s="41" t="n">
        <v>12719.56</v>
      </c>
    </row>
    <row r="23145">
      <c r="A23145" s="42">
        <f>_xlfn.XLOOKUP(84816,Trip[shape_id],Trip[shape_id],"Não encontrado")</f>
        <v/>
      </c>
      <c r="B23145" s="43" t="n">
        <v>-23.558088</v>
      </c>
      <c r="C23145" s="43" t="n">
        <v>-46.600296</v>
      </c>
      <c r="D23145" s="43" t="n">
        <v>398</v>
      </c>
      <c r="E23145" s="44" t="n">
        <v>12757.662</v>
      </c>
    </row>
    <row r="23146">
      <c r="A23146" s="39">
        <f>_xlfn.XLOOKUP(84816,Trip[shape_id],Trip[shape_id],"Não encontrado")</f>
        <v/>
      </c>
      <c r="B23146" s="40" t="n">
        <v>-23.557723</v>
      </c>
      <c r="C23146" s="40" t="n">
        <v>-46.60026</v>
      </c>
      <c r="D23146" s="40" t="n">
        <v>399</v>
      </c>
      <c r="E23146" s="41" t="n">
        <v>12798.253</v>
      </c>
    </row>
    <row r="23147">
      <c r="A23147" s="42">
        <f>_xlfn.XLOOKUP(84816,Trip[shape_id],Trip[shape_id],"Não encontrado")</f>
        <v/>
      </c>
      <c r="B23147" s="43" t="n">
        <v>-23.557438</v>
      </c>
      <c r="C23147" s="43" t="n">
        <v>-46.600227</v>
      </c>
      <c r="D23147" s="43" t="n">
        <v>400</v>
      </c>
      <c r="E23147" s="44" t="n">
        <v>12829.996</v>
      </c>
    </row>
    <row r="23148">
      <c r="A23148" s="39">
        <f>_xlfn.XLOOKUP(84816,Trip[shape_id],Trip[shape_id],"Não encontrado")</f>
        <v/>
      </c>
      <c r="B23148" s="40" t="n">
        <v>-23.556464</v>
      </c>
      <c r="C23148" s="40" t="n">
        <v>-46.600128</v>
      </c>
      <c r="D23148" s="40" t="n">
        <v>401</v>
      </c>
      <c r="E23148" s="41" t="n">
        <v>12938.341</v>
      </c>
    </row>
    <row r="23149">
      <c r="A23149" s="42">
        <f>_xlfn.XLOOKUP(84816,Trip[shape_id],Trip[shape_id],"Não encontrado")</f>
        <v/>
      </c>
      <c r="B23149" s="43" t="n">
        <v>-23.556028</v>
      </c>
      <c r="C23149" s="43" t="n">
        <v>-46.600085</v>
      </c>
      <c r="D23149" s="43" t="n">
        <v>402</v>
      </c>
      <c r="E23149" s="44" t="n">
        <v>12986.828</v>
      </c>
    </row>
    <row r="23150">
      <c r="A23150" s="39">
        <f>_xlfn.XLOOKUP(84816,Trip[shape_id],Trip[shape_id],"Não encontrado")</f>
        <v/>
      </c>
      <c r="B23150" s="40" t="n">
        <v>-23.555703</v>
      </c>
      <c r="C23150" s="40" t="n">
        <v>-46.600053</v>
      </c>
      <c r="D23150" s="40" t="n">
        <v>403</v>
      </c>
      <c r="E23150" s="41" t="n">
        <v>13022.971</v>
      </c>
    </row>
    <row r="23151">
      <c r="A23151" s="42">
        <f>_xlfn.XLOOKUP(84816,Trip[shape_id],Trip[shape_id],"Não encontrado")</f>
        <v/>
      </c>
      <c r="B23151" s="43" t="n">
        <v>-23.555527</v>
      </c>
      <c r="C23151" s="43" t="n">
        <v>-46.600031</v>
      </c>
      <c r="D23151" s="43" t="n">
        <v>404</v>
      </c>
      <c r="E23151" s="44" t="n">
        <v>13042.592</v>
      </c>
    </row>
    <row r="23152">
      <c r="A23152" s="39">
        <f>_xlfn.XLOOKUP(84816,Trip[shape_id],Trip[shape_id],"Não encontrado")</f>
        <v/>
      </c>
      <c r="B23152" s="40" t="n">
        <v>-23.555035</v>
      </c>
      <c r="C23152" s="40" t="n">
        <v>-46.599976</v>
      </c>
      <c r="D23152" s="40" t="n">
        <v>405</v>
      </c>
      <c r="E23152" s="41" t="n">
        <v>13097.37</v>
      </c>
    </row>
    <row r="23153">
      <c r="A23153" s="42">
        <f>_xlfn.XLOOKUP(84816,Trip[shape_id],Trip[shape_id],"Não encontrado")</f>
        <v/>
      </c>
      <c r="B23153" s="43" t="n">
        <v>-23.554923</v>
      </c>
      <c r="C23153" s="43" t="n">
        <v>-46.599969</v>
      </c>
      <c r="D23153" s="43" t="n">
        <v>406</v>
      </c>
      <c r="E23153" s="44" t="n">
        <v>13109.795</v>
      </c>
    </row>
    <row r="23154">
      <c r="A23154" s="39">
        <f>_xlfn.XLOOKUP(84816,Trip[shape_id],Trip[shape_id],"Não encontrado")</f>
        <v/>
      </c>
      <c r="B23154" s="40" t="n">
        <v>-23.554519</v>
      </c>
      <c r="C23154" s="40" t="n">
        <v>-46.599917</v>
      </c>
      <c r="D23154" s="40" t="n">
        <v>407</v>
      </c>
      <c r="E23154" s="41" t="n">
        <v>13154.853</v>
      </c>
    </row>
    <row r="23155">
      <c r="A23155" s="42">
        <f>_xlfn.XLOOKUP(84816,Trip[shape_id],Trip[shape_id],"Não encontrado")</f>
        <v/>
      </c>
      <c r="B23155" s="43" t="n">
        <v>-23.553308</v>
      </c>
      <c r="C23155" s="43" t="n">
        <v>-46.599785</v>
      </c>
      <c r="D23155" s="43" t="n">
        <v>408</v>
      </c>
      <c r="E23155" s="44" t="n">
        <v>13289.648</v>
      </c>
    </row>
    <row r="23156">
      <c r="A23156" s="39">
        <f>_xlfn.XLOOKUP(84816,Trip[shape_id],Trip[shape_id],"Não encontrado")</f>
        <v/>
      </c>
      <c r="B23156" s="40" t="n">
        <v>-23.553132</v>
      </c>
      <c r="C23156" s="40" t="n">
        <v>-46.59977</v>
      </c>
      <c r="D23156" s="40" t="n">
        <v>409</v>
      </c>
      <c r="E23156" s="41" t="n">
        <v>13309.2</v>
      </c>
    </row>
    <row r="23157">
      <c r="A23157" s="42">
        <f>_xlfn.XLOOKUP(84816,Trip[shape_id],Trip[shape_id],"Não encontrado")</f>
        <v/>
      </c>
      <c r="B23157" s="43" t="n">
        <v>-23.553104</v>
      </c>
      <c r="C23157" s="43" t="n">
        <v>-46.599703</v>
      </c>
      <c r="D23157" s="43" t="n">
        <v>410</v>
      </c>
      <c r="E23157" s="44" t="n">
        <v>13324.295</v>
      </c>
    </row>
    <row r="23158">
      <c r="A23158" s="39">
        <f>_xlfn.XLOOKUP(84816,Trip[shape_id],Trip[shape_id],"Não encontrado")</f>
        <v/>
      </c>
      <c r="B23158" s="40" t="n">
        <v>-23.553057</v>
      </c>
      <c r="C23158" s="40" t="n">
        <v>-46.599649</v>
      </c>
      <c r="D23158" s="40" t="n">
        <v>411</v>
      </c>
      <c r="E23158" s="41" t="n">
        <v>13403.662</v>
      </c>
    </row>
    <row r="23159">
      <c r="A23159" s="42">
        <f>_xlfn.XLOOKUP(84816,Trip[shape_id],Trip[shape_id],"Não encontrado")</f>
        <v/>
      </c>
      <c r="B23159" s="43" t="n">
        <v>-23.552546</v>
      </c>
      <c r="C23159" s="43" t="n">
        <v>-46.599104</v>
      </c>
      <c r="D23159" s="43" t="n">
        <v>412</v>
      </c>
      <c r="E23159" s="44" t="n">
        <v>13403.662</v>
      </c>
    </row>
    <row r="23160">
      <c r="A23160" s="39">
        <f>_xlfn.XLOOKUP(84816,Trip[shape_id],Trip[shape_id],"Não encontrado")</f>
        <v/>
      </c>
      <c r="B23160" s="40" t="n">
        <v>-23.55221</v>
      </c>
      <c r="C23160" s="40" t="n">
        <v>-46.59873</v>
      </c>
      <c r="D23160" s="40" t="n">
        <v>413</v>
      </c>
      <c r="E23160" s="41" t="n">
        <v>13456.981</v>
      </c>
    </row>
    <row r="23161">
      <c r="A23161" s="42">
        <f>_xlfn.XLOOKUP(84816,Trip[shape_id],Trip[shape_id],"Não encontrado")</f>
        <v/>
      </c>
      <c r="B23161" s="43" t="n">
        <v>-23.552082</v>
      </c>
      <c r="C23161" s="43" t="n">
        <v>-46.598597</v>
      </c>
      <c r="D23161" s="43" t="n">
        <v>414</v>
      </c>
      <c r="E23161" s="44" t="n">
        <v>13476.612</v>
      </c>
    </row>
    <row r="23162">
      <c r="A23162" s="39">
        <f>_xlfn.XLOOKUP(84816,Trip[shape_id],Trip[shape_id],"Não encontrado")</f>
        <v/>
      </c>
      <c r="B23162" s="40" t="n">
        <v>-23.55076</v>
      </c>
      <c r="C23162" s="40" t="n">
        <v>-46.597201</v>
      </c>
      <c r="D23162" s="40" t="n">
        <v>415</v>
      </c>
      <c r="E23162" s="41" t="n">
        <v>13680.947</v>
      </c>
    </row>
    <row r="23163">
      <c r="A23163" s="42">
        <f>_xlfn.XLOOKUP(84816,Trip[shape_id],Trip[shape_id],"Não encontrado")</f>
        <v/>
      </c>
      <c r="B23163" s="43" t="n">
        <v>-23.550174</v>
      </c>
      <c r="C23163" s="43" t="n">
        <v>-46.596573</v>
      </c>
      <c r="D23163" s="43" t="n">
        <v>416</v>
      </c>
      <c r="E23163" s="44" t="n">
        <v>13849.084</v>
      </c>
    </row>
    <row r="23164">
      <c r="A23164" s="39">
        <f>_xlfn.XLOOKUP(84816,Trip[shape_id],Trip[shape_id],"Não encontrado")</f>
        <v/>
      </c>
      <c r="B23164" s="40" t="n">
        <v>-23.549677</v>
      </c>
      <c r="C23164" s="40" t="n">
        <v>-46.596047</v>
      </c>
      <c r="D23164" s="40" t="n">
        <v>417</v>
      </c>
      <c r="E23164" s="41" t="n">
        <v>13849.084</v>
      </c>
    </row>
    <row r="23165">
      <c r="A23165" s="42">
        <f>_xlfn.XLOOKUP(84816,Trip[shape_id],Trip[shape_id],"Não encontrado")</f>
        <v/>
      </c>
      <c r="B23165" s="43" t="n">
        <v>-23.54818</v>
      </c>
      <c r="C23165" s="43" t="n">
        <v>-46.59448</v>
      </c>
      <c r="D23165" s="43" t="n">
        <v>418</v>
      </c>
      <c r="E23165" s="44" t="n">
        <v>14079.489</v>
      </c>
    </row>
    <row r="23166">
      <c r="A23166" s="39">
        <f>_xlfn.XLOOKUP(84816,Trip[shape_id],Trip[shape_id],"Não encontrado")</f>
        <v/>
      </c>
      <c r="B23166" s="40" t="n">
        <v>-23.547609</v>
      </c>
      <c r="C23166" s="40" t="n">
        <v>-46.593853</v>
      </c>
      <c r="D23166" s="40" t="n">
        <v>419</v>
      </c>
      <c r="E23166" s="41" t="n">
        <v>14169.477</v>
      </c>
    </row>
    <row r="23167">
      <c r="A23167" s="42">
        <f>_xlfn.XLOOKUP(84816,Trip[shape_id],Trip[shape_id],"Não encontrado")</f>
        <v/>
      </c>
      <c r="B23167" s="43" t="n">
        <v>-23.547178</v>
      </c>
      <c r="C23167" s="43" t="n">
        <v>-46.593417</v>
      </c>
      <c r="D23167" s="43" t="n">
        <v>420</v>
      </c>
      <c r="E23167" s="44" t="n">
        <v>14234.748</v>
      </c>
    </row>
    <row r="23168">
      <c r="A23168" s="39">
        <f>_xlfn.XLOOKUP(84816,Trip[shape_id],Trip[shape_id],"Não encontrado")</f>
        <v/>
      </c>
      <c r="B23168" s="40" t="n">
        <v>-23.546584</v>
      </c>
      <c r="C23168" s="40" t="n">
        <v>-46.592785</v>
      </c>
      <c r="D23168" s="40" t="n">
        <v>421</v>
      </c>
      <c r="E23168" s="41" t="n">
        <v>14326.9</v>
      </c>
    </row>
    <row r="23169">
      <c r="A23169" s="42">
        <f>_xlfn.XLOOKUP(84816,Trip[shape_id],Trip[shape_id],"Não encontrado")</f>
        <v/>
      </c>
      <c r="B23169" s="43" t="n">
        <v>-23.547581</v>
      </c>
      <c r="C23169" s="43" t="n">
        <v>-46.591872</v>
      </c>
      <c r="D23169" s="43" t="n">
        <v>422</v>
      </c>
      <c r="E23169" s="44" t="n">
        <v>14471.409</v>
      </c>
    </row>
    <row r="23170">
      <c r="A23170" s="39">
        <f>_xlfn.XLOOKUP(84816,Trip[shape_id],Trip[shape_id],"Não encontrado")</f>
        <v/>
      </c>
      <c r="B23170" s="40" t="n">
        <v>-23.547045</v>
      </c>
      <c r="C23170" s="40" t="n">
        <v>-46.591203</v>
      </c>
      <c r="D23170" s="40" t="n">
        <v>423</v>
      </c>
      <c r="E23170" s="41" t="n">
        <v>14561.907</v>
      </c>
    </row>
    <row r="23171">
      <c r="A23171" s="42">
        <f>_xlfn.XLOOKUP(84816,Trip[shape_id],Trip[shape_id],"Não encontrado")</f>
        <v/>
      </c>
      <c r="B23171" s="43" t="n">
        <v>-23.546998</v>
      </c>
      <c r="C23171" s="43" t="n">
        <v>-46.591091</v>
      </c>
      <c r="D23171" s="43" t="n">
        <v>424</v>
      </c>
      <c r="E23171" s="44" t="n">
        <v>14736.392</v>
      </c>
    </row>
    <row r="23172">
      <c r="A23172" s="39">
        <f>_xlfn.XLOOKUP(84816,Trip[shape_id],Trip[shape_id],"Não encontrado")</f>
        <v/>
      </c>
      <c r="B23172" s="40" t="n">
        <v>-23.546689</v>
      </c>
      <c r="C23172" s="40" t="n">
        <v>-46.589541</v>
      </c>
      <c r="D23172" s="40" t="n">
        <v>425</v>
      </c>
      <c r="E23172" s="41" t="n">
        <v>14736.392</v>
      </c>
    </row>
    <row r="23173">
      <c r="A23173" s="42">
        <f>_xlfn.XLOOKUP(84816,Trip[shape_id],Trip[shape_id],"Não encontrado")</f>
        <v/>
      </c>
      <c r="B23173" s="43" t="n">
        <v>-23.54656</v>
      </c>
      <c r="C23173" s="43" t="n">
        <v>-46.588819</v>
      </c>
      <c r="D23173" s="43" t="n">
        <v>426</v>
      </c>
      <c r="E23173" s="44" t="n">
        <v>14811.483</v>
      </c>
    </row>
    <row r="23174">
      <c r="A23174" s="39">
        <f>_xlfn.XLOOKUP(84816,Trip[shape_id],Trip[shape_id],"Não encontrado")</f>
        <v/>
      </c>
      <c r="B23174" s="40" t="n">
        <v>-23.546477</v>
      </c>
      <c r="C23174" s="40" t="n">
        <v>-46.588384</v>
      </c>
      <c r="D23174" s="40" t="n">
        <v>427</v>
      </c>
      <c r="E23174" s="41" t="n">
        <v>14856.841</v>
      </c>
    </row>
    <row r="23175">
      <c r="A23175" s="42">
        <f>_xlfn.XLOOKUP(84816,Trip[shape_id],Trip[shape_id],"Não encontrado")</f>
        <v/>
      </c>
      <c r="B23175" s="43" t="n">
        <v>-23.546408</v>
      </c>
      <c r="C23175" s="43" t="n">
        <v>-46.588043</v>
      </c>
      <c r="D23175" s="43" t="n">
        <v>428</v>
      </c>
      <c r="E23175" s="44" t="n">
        <v>14892.487</v>
      </c>
    </row>
    <row r="23176">
      <c r="A23176" s="39">
        <f>_xlfn.XLOOKUP(84816,Trip[shape_id],Trip[shape_id],"Não encontrado")</f>
        <v/>
      </c>
      <c r="B23176" s="40" t="n">
        <v>-23.546378</v>
      </c>
      <c r="C23176" s="40" t="n">
        <v>-46.587902</v>
      </c>
      <c r="D23176" s="40" t="n">
        <v>429</v>
      </c>
      <c r="E23176" s="41" t="n">
        <v>14907.263</v>
      </c>
    </row>
    <row r="23177">
      <c r="A23177" s="42">
        <f>_xlfn.XLOOKUP(84816,Trip[shape_id],Trip[shape_id],"Não encontrado")</f>
        <v/>
      </c>
      <c r="B23177" s="43" t="n">
        <v>-23.546253</v>
      </c>
      <c r="C23177" s="43" t="n">
        <v>-46.587304</v>
      </c>
      <c r="D23177" s="43" t="n">
        <v>430</v>
      </c>
      <c r="E23177" s="44" t="n">
        <v>14969.871</v>
      </c>
    </row>
    <row r="23178">
      <c r="A23178" s="39">
        <f>_xlfn.XLOOKUP(84816,Trip[shape_id],Trip[shape_id],"Não encontrado")</f>
        <v/>
      </c>
      <c r="B23178" s="40" t="n">
        <v>-23.547061</v>
      </c>
      <c r="C23178" s="40" t="n">
        <v>-46.586983</v>
      </c>
      <c r="D23178" s="40" t="n">
        <v>431</v>
      </c>
      <c r="E23178" s="41" t="n">
        <v>15076.637</v>
      </c>
    </row>
    <row r="23179">
      <c r="A23179" s="42">
        <f>_xlfn.XLOOKUP(84816,Trip[shape_id],Trip[shape_id],"Não encontrado")</f>
        <v/>
      </c>
      <c r="B23179" s="43" t="n">
        <v>-23.547157</v>
      </c>
      <c r="C23179" s="43" t="n">
        <v>-46.586941</v>
      </c>
      <c r="D23179" s="43" t="n">
        <v>432</v>
      </c>
      <c r="E23179" s="44" t="n">
        <v>15084.289</v>
      </c>
    </row>
    <row r="23180">
      <c r="A23180" s="39">
        <f>_xlfn.XLOOKUP(84816,Trip[shape_id],Trip[shape_id],"Não encontrado")</f>
        <v/>
      </c>
      <c r="B23180" s="40" t="n">
        <v>-23.547216</v>
      </c>
      <c r="C23180" s="40" t="n">
        <v>-46.586902</v>
      </c>
      <c r="D23180" s="40" t="n">
        <v>433</v>
      </c>
      <c r="E23180" s="41" t="n">
        <v>15095.463</v>
      </c>
    </row>
    <row r="23181">
      <c r="A23181" s="42">
        <f>_xlfn.XLOOKUP(84816,Trip[shape_id],Trip[shape_id],"Não encontrado")</f>
        <v/>
      </c>
      <c r="B23181" s="43" t="n">
        <v>-23.547314</v>
      </c>
      <c r="C23181" s="43" t="n">
        <v>-46.586876</v>
      </c>
      <c r="D23181" s="43" t="n">
        <v>434</v>
      </c>
      <c r="E23181" s="44" t="n">
        <v>15112.371</v>
      </c>
    </row>
    <row r="23182">
      <c r="A23182" s="39">
        <f>_xlfn.XLOOKUP(84816,Trip[shape_id],Trip[shape_id],"Não encontrado")</f>
        <v/>
      </c>
      <c r="B23182" s="40" t="n">
        <v>-23.547457</v>
      </c>
      <c r="C23182" s="40" t="n">
        <v>-46.586818</v>
      </c>
      <c r="D23182" s="40" t="n">
        <v>435</v>
      </c>
      <c r="E23182" s="41" t="n">
        <v>15112.371</v>
      </c>
    </row>
    <row r="23183">
      <c r="A23183" s="42">
        <f>_xlfn.XLOOKUP(84816,Trip[shape_id],Trip[shape_id],"Não encontrado")</f>
        <v/>
      </c>
      <c r="B23183" s="43" t="n">
        <v>-23.548136</v>
      </c>
      <c r="C23183" s="43" t="n">
        <v>-46.586546</v>
      </c>
      <c r="D23183" s="43" t="n">
        <v>436</v>
      </c>
      <c r="E23183" s="44" t="n">
        <v>15205.391</v>
      </c>
    </row>
    <row r="23184">
      <c r="A23184" s="39">
        <f>_xlfn.XLOOKUP(84816,Trip[shape_id],Trip[shape_id],"Não encontrado")</f>
        <v/>
      </c>
      <c r="B23184" s="40" t="n">
        <v>-23.548219</v>
      </c>
      <c r="C23184" s="40" t="n">
        <v>-46.586458</v>
      </c>
      <c r="D23184" s="40" t="n">
        <v>437</v>
      </c>
      <c r="E23184" s="41" t="n">
        <v>15205.391</v>
      </c>
    </row>
    <row r="23185">
      <c r="A23185" s="42">
        <f>_xlfn.XLOOKUP(84816,Trip[shape_id],Trip[shape_id],"Não encontrado")</f>
        <v/>
      </c>
      <c r="B23185" s="43" t="n">
        <v>-23.547811</v>
      </c>
      <c r="C23185" s="43" t="n">
        <v>-46.586065</v>
      </c>
      <c r="D23185" s="43" t="n">
        <v>438</v>
      </c>
      <c r="E23185" s="44" t="n">
        <v>15265.822</v>
      </c>
    </row>
    <row r="23186">
      <c r="A23186" s="39">
        <f>_xlfn.XLOOKUP(84816,Trip[shape_id],Trip[shape_id],"Não encontrado")</f>
        <v/>
      </c>
      <c r="B23186" s="40" t="n">
        <v>-23.547703</v>
      </c>
      <c r="C23186" s="40" t="n">
        <v>-46.585961</v>
      </c>
      <c r="D23186" s="40" t="n">
        <v>439</v>
      </c>
      <c r="E23186" s="41" t="n">
        <v>15281.817</v>
      </c>
    </row>
    <row r="23187">
      <c r="A23187" s="42">
        <f>_xlfn.XLOOKUP(84816,Trip[shape_id],Trip[shape_id],"Não encontrado")</f>
        <v/>
      </c>
      <c r="B23187" s="43" t="n">
        <v>-23.547363</v>
      </c>
      <c r="C23187" s="43" t="n">
        <v>-46.58563</v>
      </c>
      <c r="D23187" s="43" t="n">
        <v>440</v>
      </c>
      <c r="E23187" s="44" t="n">
        <v>15332.415</v>
      </c>
    </row>
    <row r="23188">
      <c r="A23188" s="39">
        <f>_xlfn.XLOOKUP(84816,Trip[shape_id],Trip[shape_id],"Não encontrado")</f>
        <v/>
      </c>
      <c r="B23188" s="40" t="n">
        <v>-23.547108</v>
      </c>
      <c r="C23188" s="40" t="n">
        <v>-46.585381</v>
      </c>
      <c r="D23188" s="40" t="n">
        <v>441</v>
      </c>
      <c r="E23188" s="41" t="n">
        <v>15370.415</v>
      </c>
    </row>
    <row r="23189">
      <c r="A23189" s="42">
        <f>_xlfn.XLOOKUP(84816,Trip[shape_id],Trip[shape_id],"Não encontrado")</f>
        <v/>
      </c>
      <c r="B23189" s="43" t="n">
        <v>-23.546857</v>
      </c>
      <c r="C23189" s="43" t="n">
        <v>-46.585144</v>
      </c>
      <c r="D23189" s="43" t="n">
        <v>442</v>
      </c>
      <c r="E23189" s="44" t="n">
        <v>15407.271</v>
      </c>
    </row>
    <row r="23190">
      <c r="A23190" s="39">
        <f>_xlfn.XLOOKUP(84816,Trip[shape_id],Trip[shape_id],"Não encontrado")</f>
        <v/>
      </c>
      <c r="B23190" s="40" t="n">
        <v>-23.546272</v>
      </c>
      <c r="C23190" s="40" t="n">
        <v>-46.584563</v>
      </c>
      <c r="D23190" s="40" t="n">
        <v>443</v>
      </c>
      <c r="E23190" s="41" t="n">
        <v>15495.116</v>
      </c>
    </row>
    <row r="23191">
      <c r="A23191" s="42">
        <f>_xlfn.XLOOKUP(84816,Trip[shape_id],Trip[shape_id],"Não encontrado")</f>
        <v/>
      </c>
      <c r="B23191" s="43" t="n">
        <v>-23.545795</v>
      </c>
      <c r="C23191" s="43" t="n">
        <v>-46.584964</v>
      </c>
      <c r="D23191" s="43" t="n">
        <v>444</v>
      </c>
      <c r="E23191" s="44" t="n">
        <v>15561.954</v>
      </c>
    </row>
    <row r="23192">
      <c r="A23192" s="39">
        <f>_xlfn.XLOOKUP(84816,Trip[shape_id],Trip[shape_id],"Não encontrado")</f>
        <v/>
      </c>
      <c r="B23192" s="40" t="n">
        <v>-23.545511</v>
      </c>
      <c r="C23192" s="40" t="n">
        <v>-46.585207</v>
      </c>
      <c r="D23192" s="40" t="n">
        <v>445</v>
      </c>
      <c r="E23192" s="41" t="n">
        <v>15602.016</v>
      </c>
    </row>
    <row r="23193">
      <c r="A23193" s="42">
        <f>_xlfn.XLOOKUP(84816,Trip[shape_id],Trip[shape_id],"Não encontrado")</f>
        <v/>
      </c>
      <c r="B23193" s="43" t="n">
        <v>-23.545145</v>
      </c>
      <c r="C23193" s="43" t="n">
        <v>-46.585522</v>
      </c>
      <c r="D23193" s="43" t="n">
        <v>446</v>
      </c>
      <c r="E23193" s="44" t="n">
        <v>15653.761</v>
      </c>
    </row>
    <row r="23194">
      <c r="A23194" s="39">
        <f>_xlfn.XLOOKUP(84816,Trip[shape_id],Trip[shape_id],"Não encontrado")</f>
        <v/>
      </c>
      <c r="B23194" s="40" t="n">
        <v>-23.544446</v>
      </c>
      <c r="C23194" s="40" t="n">
        <v>-46.586102</v>
      </c>
      <c r="D23194" s="40" t="n">
        <v>447</v>
      </c>
      <c r="E23194" s="41" t="n">
        <v>15751.23</v>
      </c>
    </row>
    <row r="23195">
      <c r="A23195" s="42">
        <f>_xlfn.XLOOKUP(84816,Trip[shape_id],Trip[shape_id],"Não encontrado")</f>
        <v/>
      </c>
      <c r="B23195" s="43" t="n">
        <v>-23.543919</v>
      </c>
      <c r="C23195" s="43" t="n">
        <v>-46.586542</v>
      </c>
      <c r="D23195" s="43" t="n">
        <v>448</v>
      </c>
      <c r="E23195" s="44" t="n">
        <v>15824.886</v>
      </c>
    </row>
    <row r="23196">
      <c r="A23196" s="39">
        <f>_xlfn.XLOOKUP(84816,Trip[shape_id],Trip[shape_id],"Não encontrado")</f>
        <v/>
      </c>
      <c r="B23196" s="40" t="n">
        <v>-23.543322</v>
      </c>
      <c r="C23196" s="40" t="n">
        <v>-46.587028</v>
      </c>
      <c r="D23196" s="40" t="n">
        <v>449</v>
      </c>
      <c r="E23196" s="41" t="n">
        <v>15907.556</v>
      </c>
    </row>
    <row r="23197">
      <c r="A23197" s="42">
        <f>_xlfn.XLOOKUP(84816,Trip[shape_id],Trip[shape_id],"Não encontrado")</f>
        <v/>
      </c>
      <c r="B23197" s="43" t="n">
        <v>-23.542911</v>
      </c>
      <c r="C23197" s="43" t="n">
        <v>-46.584872</v>
      </c>
      <c r="D23197" s="43" t="n">
        <v>450</v>
      </c>
      <c r="E23197" s="44" t="n">
        <v>16330.988</v>
      </c>
    </row>
    <row r="23198">
      <c r="A23198" s="39">
        <f>_xlfn.XLOOKUP(84816,Trip[shape_id],Trip[shape_id],"Não encontrado")</f>
        <v/>
      </c>
      <c r="B23198" s="40" t="n">
        <v>-23.542539</v>
      </c>
      <c r="C23198" s="40" t="n">
        <v>-46.582969</v>
      </c>
      <c r="D23198" s="40" t="n">
        <v>451</v>
      </c>
      <c r="E23198" s="41" t="n">
        <v>16330.988</v>
      </c>
    </row>
    <row r="23199">
      <c r="A23199" s="42">
        <f>_xlfn.XLOOKUP(84816,Trip[shape_id],Trip[shape_id],"Não encontrado")</f>
        <v/>
      </c>
      <c r="B23199" s="43" t="n">
        <v>-23.542452</v>
      </c>
      <c r="C23199" s="43" t="n">
        <v>-46.582587</v>
      </c>
      <c r="D23199" s="43" t="n">
        <v>452</v>
      </c>
      <c r="E23199" s="44" t="n">
        <v>16371.166</v>
      </c>
    </row>
    <row r="23200">
      <c r="A23200" s="39">
        <f>_xlfn.XLOOKUP(84816,Trip[shape_id],Trip[shape_id],"Não encontrado")</f>
        <v/>
      </c>
      <c r="B23200" s="40" t="n">
        <v>-23.542298</v>
      </c>
      <c r="C23200" s="40" t="n">
        <v>-46.581994</v>
      </c>
      <c r="D23200" s="40" t="n">
        <v>453</v>
      </c>
      <c r="E23200" s="41" t="n">
        <v>16485.744</v>
      </c>
    </row>
    <row r="23201">
      <c r="A23201" s="42">
        <f>_xlfn.XLOOKUP(84816,Trip[shape_id],Trip[shape_id],"Não encontrado")</f>
        <v/>
      </c>
      <c r="B23201" s="43" t="n">
        <v>-23.542201</v>
      </c>
      <c r="C23201" s="43" t="n">
        <v>-46.581499</v>
      </c>
      <c r="D23201" s="43" t="n">
        <v>454</v>
      </c>
      <c r="E23201" s="44" t="n">
        <v>16485.744</v>
      </c>
    </row>
    <row r="23202">
      <c r="A23202" s="39">
        <f>_xlfn.XLOOKUP(84816,Trip[shape_id],Trip[shape_id],"Não encontrado")</f>
        <v/>
      </c>
      <c r="B23202" s="40" t="n">
        <v>-23.542178</v>
      </c>
      <c r="C23202" s="40" t="n">
        <v>-46.581384</v>
      </c>
      <c r="D23202" s="40" t="n">
        <v>455</v>
      </c>
      <c r="E23202" s="41" t="n">
        <v>16497.76</v>
      </c>
    </row>
    <row r="23203">
      <c r="A23203" s="42">
        <f>_xlfn.XLOOKUP(84816,Trip[shape_id],Trip[shape_id],"Não encontrado")</f>
        <v/>
      </c>
      <c r="B23203" s="43" t="n">
        <v>-23.542077</v>
      </c>
      <c r="C23203" s="43" t="n">
        <v>-46.580834</v>
      </c>
      <c r="D23203" s="43" t="n">
        <v>456</v>
      </c>
      <c r="E23203" s="44" t="n">
        <v>16555.023</v>
      </c>
    </row>
    <row r="23204">
      <c r="A23204" s="39">
        <f>_xlfn.XLOOKUP(84816,Trip[shape_id],Trip[shape_id],"Não encontrado")</f>
        <v/>
      </c>
      <c r="B23204" s="40" t="n">
        <v>-23.542059</v>
      </c>
      <c r="C23204" s="40" t="n">
        <v>-46.58071</v>
      </c>
      <c r="D23204" s="40" t="n">
        <v>457</v>
      </c>
      <c r="E23204" s="41" t="n">
        <v>16567.842</v>
      </c>
    </row>
    <row r="23205">
      <c r="A23205" s="42">
        <f>_xlfn.XLOOKUP(84816,Trip[shape_id],Trip[shape_id],"Não encontrado")</f>
        <v/>
      </c>
      <c r="B23205" s="43" t="n">
        <v>-23.542028</v>
      </c>
      <c r="C23205" s="43" t="n">
        <v>-46.58056</v>
      </c>
      <c r="D23205" s="43" t="n">
        <v>458</v>
      </c>
      <c r="E23205" s="44" t="n">
        <v>16583.537</v>
      </c>
    </row>
    <row r="23206">
      <c r="A23206" s="39">
        <f>_xlfn.XLOOKUP(84816,Trip[shape_id],Trip[shape_id],"Não encontrado")</f>
        <v/>
      </c>
      <c r="B23206" s="40" t="n">
        <v>-23.541994</v>
      </c>
      <c r="C23206" s="40" t="n">
        <v>-46.580414</v>
      </c>
      <c r="D23206" s="40" t="n">
        <v>459</v>
      </c>
      <c r="E23206" s="41" t="n">
        <v>16598.912</v>
      </c>
    </row>
    <row r="23207">
      <c r="A23207" s="42">
        <f>_xlfn.XLOOKUP(84816,Trip[shape_id],Trip[shape_id],"Não encontrado")</f>
        <v/>
      </c>
      <c r="B23207" s="43" t="n">
        <v>-23.541987</v>
      </c>
      <c r="C23207" s="43" t="n">
        <v>-46.580275</v>
      </c>
      <c r="D23207" s="43" t="n">
        <v>460</v>
      </c>
      <c r="E23207" s="44" t="n">
        <v>16613.127</v>
      </c>
    </row>
    <row r="23208">
      <c r="A23208" s="39">
        <f>_xlfn.XLOOKUP(84816,Trip[shape_id],Trip[shape_id],"Não encontrado")</f>
        <v/>
      </c>
      <c r="B23208" s="40" t="n">
        <v>-23.5419</v>
      </c>
      <c r="C23208" s="40" t="n">
        <v>-46.579898</v>
      </c>
      <c r="D23208" s="40" t="n">
        <v>461</v>
      </c>
      <c r="E23208" s="41" t="n">
        <v>16652.809</v>
      </c>
    </row>
    <row r="23209">
      <c r="A23209" s="42">
        <f>_xlfn.XLOOKUP(84816,Trip[shape_id],Trip[shape_id],"Não encontrado")</f>
        <v/>
      </c>
      <c r="B23209" s="43" t="n">
        <v>-23.541877</v>
      </c>
      <c r="C23209" s="43" t="n">
        <v>-46.579802</v>
      </c>
      <c r="D23209" s="43" t="n">
        <v>462</v>
      </c>
      <c r="E23209" s="44" t="n">
        <v>16662.938</v>
      </c>
    </row>
    <row r="23210">
      <c r="A23210" s="39">
        <f>_xlfn.XLOOKUP(84816,Trip[shape_id],Trip[shape_id],"Não encontrado")</f>
        <v/>
      </c>
      <c r="B23210" s="40" t="n">
        <v>-23.541829</v>
      </c>
      <c r="C23210" s="40" t="n">
        <v>-46.579618</v>
      </c>
      <c r="D23210" s="40" t="n">
        <v>463</v>
      </c>
      <c r="E23210" s="41" t="n">
        <v>16695.646</v>
      </c>
    </row>
    <row r="23211">
      <c r="A23211" s="42">
        <f>_xlfn.XLOOKUP(84816,Trip[shape_id],Trip[shape_id],"Não encontrado")</f>
        <v/>
      </c>
      <c r="B23211" s="43" t="n">
        <v>-23.54179</v>
      </c>
      <c r="C23211" s="43" t="n">
        <v>-46.579496</v>
      </c>
      <c r="D23211" s="43" t="n">
        <v>464</v>
      </c>
      <c r="E23211" s="44" t="n">
        <v>16695.646</v>
      </c>
    </row>
    <row r="23212">
      <c r="A23212" s="39">
        <f>_xlfn.XLOOKUP(84816,Trip[shape_id],Trip[shape_id],"Não encontrado")</f>
        <v/>
      </c>
      <c r="B23212" s="40" t="n">
        <v>-23.541718</v>
      </c>
      <c r="C23212" s="40" t="n">
        <v>-46.579271</v>
      </c>
      <c r="D23212" s="40" t="n">
        <v>465</v>
      </c>
      <c r="E23212" s="41" t="n">
        <v>16751.629</v>
      </c>
    </row>
    <row r="23213">
      <c r="A23213" s="42">
        <f>_xlfn.XLOOKUP(84816,Trip[shape_id],Trip[shape_id],"Não encontrado")</f>
        <v/>
      </c>
      <c r="B23213" s="43" t="n">
        <v>-23.541612</v>
      </c>
      <c r="C23213" s="43" t="n">
        <v>-46.578983</v>
      </c>
      <c r="D23213" s="43" t="n">
        <v>466</v>
      </c>
      <c r="E23213" s="44" t="n">
        <v>16792.156</v>
      </c>
    </row>
    <row r="23214">
      <c r="A23214" s="39">
        <f>_xlfn.XLOOKUP(84816,Trip[shape_id],Trip[shape_id],"Não encontrado")</f>
        <v/>
      </c>
      <c r="B23214" s="40" t="n">
        <v>-23.541464</v>
      </c>
      <c r="C23214" s="40" t="n">
        <v>-46.57862</v>
      </c>
      <c r="D23214" s="40" t="n">
        <v>467</v>
      </c>
      <c r="E23214" s="41" t="n">
        <v>16792.156</v>
      </c>
    </row>
    <row r="23215">
      <c r="A23215" s="42">
        <f>_xlfn.XLOOKUP(84816,Trip[shape_id],Trip[shape_id],"Não encontrado")</f>
        <v/>
      </c>
      <c r="B23215" s="43" t="n">
        <v>-23.541394</v>
      </c>
      <c r="C23215" s="43" t="n">
        <v>-46.578451</v>
      </c>
      <c r="D23215" s="43" t="n">
        <v>468</v>
      </c>
      <c r="E23215" s="44" t="n">
        <v>16827.303</v>
      </c>
    </row>
    <row r="23216">
      <c r="A23216" s="39">
        <f>_xlfn.XLOOKUP(84816,Trip[shape_id],Trip[shape_id],"Não encontrado")</f>
        <v/>
      </c>
      <c r="B23216" s="40" t="n">
        <v>-23.541332</v>
      </c>
      <c r="C23216" s="40" t="n">
        <v>-46.578307</v>
      </c>
      <c r="D23216" s="40" t="n">
        <v>469</v>
      </c>
      <c r="E23216" s="41" t="n">
        <v>16853.582</v>
      </c>
    </row>
    <row r="23217">
      <c r="A23217" s="42">
        <f>_xlfn.XLOOKUP(84816,Trip[shape_id],Trip[shape_id],"Não encontrado")</f>
        <v/>
      </c>
      <c r="B23217" s="43" t="n">
        <v>-23.541244</v>
      </c>
      <c r="C23217" s="43" t="n">
        <v>-46.578068</v>
      </c>
      <c r="D23217" s="43" t="n">
        <v>470</v>
      </c>
      <c r="E23217" s="44" t="n">
        <v>16870.121</v>
      </c>
    </row>
    <row r="23218">
      <c r="A23218" s="39">
        <f>_xlfn.XLOOKUP(84816,Trip[shape_id],Trip[shape_id],"Não encontrado")</f>
        <v/>
      </c>
      <c r="B23218" s="40" t="n">
        <v>-23.541195</v>
      </c>
      <c r="C23218" s="40" t="n">
        <v>-46.577915</v>
      </c>
      <c r="D23218" s="40" t="n">
        <v>471</v>
      </c>
      <c r="E23218" s="41" t="n">
        <v>16884.029</v>
      </c>
    </row>
    <row r="23219">
      <c r="A23219" s="42">
        <f>_xlfn.XLOOKUP(84816,Trip[shape_id],Trip[shape_id],"Não encontrado")</f>
        <v/>
      </c>
      <c r="B23219" s="43" t="n">
        <v>-23.541164</v>
      </c>
      <c r="C23219" s="43" t="n">
        <v>-46.577783</v>
      </c>
      <c r="D23219" s="43" t="n">
        <v>472</v>
      </c>
      <c r="E23219" s="44" t="n">
        <v>16903.781</v>
      </c>
    </row>
    <row r="23220">
      <c r="A23220" s="39">
        <f>_xlfn.XLOOKUP(84816,Trip[shape_id],Trip[shape_id],"Não encontrado")</f>
        <v/>
      </c>
      <c r="B23220" s="40" t="n">
        <v>-23.541115</v>
      </c>
      <c r="C23220" s="40" t="n">
        <v>-46.577597</v>
      </c>
      <c r="D23220" s="40" t="n">
        <v>473</v>
      </c>
      <c r="E23220" s="41" t="n">
        <v>16903.781</v>
      </c>
    </row>
    <row r="23221">
      <c r="A23221" s="42">
        <f>_xlfn.XLOOKUP(84816,Trip[shape_id],Trip[shape_id],"Não encontrado")</f>
        <v/>
      </c>
      <c r="B23221" s="43" t="n">
        <v>-23.541045</v>
      </c>
      <c r="C23221" s="43" t="n">
        <v>-46.577278</v>
      </c>
      <c r="D23221" s="43" t="n">
        <v>474</v>
      </c>
      <c r="E23221" s="44" t="n">
        <v>16937.264</v>
      </c>
    </row>
    <row r="23222">
      <c r="A23222" s="39">
        <f>_xlfn.XLOOKUP(84816,Trip[shape_id],Trip[shape_id],"Não encontrado")</f>
        <v/>
      </c>
      <c r="B23222" s="40" t="n">
        <v>-23.541002</v>
      </c>
      <c r="C23222" s="40" t="n">
        <v>-46.576953</v>
      </c>
      <c r="D23222" s="40" t="n">
        <v>475</v>
      </c>
      <c r="E23222" s="41" t="n">
        <v>16970.789</v>
      </c>
    </row>
    <row r="23223">
      <c r="A23223" s="42">
        <f>_xlfn.XLOOKUP(84816,Trip[shape_id],Trip[shape_id],"Não encontrado")</f>
        <v/>
      </c>
      <c r="B23223" s="43" t="n">
        <v>-23.540959</v>
      </c>
      <c r="C23223" s="43" t="n">
        <v>-46.576741</v>
      </c>
      <c r="D23223" s="43" t="n">
        <v>476</v>
      </c>
      <c r="E23223" s="44" t="n">
        <v>16992.953</v>
      </c>
    </row>
    <row r="23224">
      <c r="A23224" s="39">
        <f>_xlfn.XLOOKUP(84816,Trip[shape_id],Trip[shape_id],"Não encontrado")</f>
        <v/>
      </c>
      <c r="B23224" s="40" t="n">
        <v>-23.540824</v>
      </c>
      <c r="C23224" s="40" t="n">
        <v>-46.576064</v>
      </c>
      <c r="D23224" s="40" t="n">
        <v>477</v>
      </c>
      <c r="E23224" s="41" t="n">
        <v>17087.811</v>
      </c>
    </row>
    <row r="23225">
      <c r="A23225" s="42">
        <f>_xlfn.XLOOKUP(84816,Trip[shape_id],Trip[shape_id],"Não encontrado")</f>
        <v/>
      </c>
      <c r="B23225" s="43" t="n">
        <v>-23.540778</v>
      </c>
      <c r="C23225" s="43" t="n">
        <v>-46.575833</v>
      </c>
      <c r="D23225" s="43" t="n">
        <v>478</v>
      </c>
      <c r="E23225" s="44" t="n">
        <v>17103.607</v>
      </c>
    </row>
    <row r="23226">
      <c r="A23226" s="39">
        <f>_xlfn.XLOOKUP(84816,Trip[shape_id],Trip[shape_id],"Não encontrado")</f>
        <v/>
      </c>
      <c r="B23226" s="40" t="n">
        <v>-23.540747</v>
      </c>
      <c r="C23226" s="40" t="n">
        <v>-46.575682</v>
      </c>
      <c r="D23226" s="40" t="n">
        <v>479</v>
      </c>
      <c r="E23226" s="41" t="n">
        <v>17111.344</v>
      </c>
    </row>
    <row r="23227">
      <c r="A23227" s="42">
        <f>_xlfn.XLOOKUP(84816,Trip[shape_id],Trip[shape_id],"Não encontrado")</f>
        <v/>
      </c>
      <c r="B23227" s="43" t="n">
        <v>-23.540732</v>
      </c>
      <c r="C23227" s="43" t="n">
        <v>-46.575608</v>
      </c>
      <c r="D23227" s="43" t="n">
        <v>480</v>
      </c>
      <c r="E23227" s="44" t="n">
        <v>17121.594</v>
      </c>
    </row>
    <row r="23228">
      <c r="A23228" s="39">
        <f>_xlfn.XLOOKUP(84816,Trip[shape_id],Trip[shape_id],"Não encontrado")</f>
        <v/>
      </c>
      <c r="B23228" s="40" t="n">
        <v>-23.540712</v>
      </c>
      <c r="C23228" s="40" t="n">
        <v>-46.57551</v>
      </c>
      <c r="D23228" s="40" t="n">
        <v>481</v>
      </c>
      <c r="E23228" s="41" t="n">
        <v>17129.135</v>
      </c>
    </row>
    <row r="23229">
      <c r="A23229" s="42">
        <f>_xlfn.XLOOKUP(84816,Trip[shape_id],Trip[shape_id],"Não encontrado")</f>
        <v/>
      </c>
      <c r="B23229" s="43" t="n">
        <v>-23.540678</v>
      </c>
      <c r="C23229" s="43" t="n">
        <v>-46.575446</v>
      </c>
      <c r="D23229" s="43" t="n">
        <v>482</v>
      </c>
      <c r="E23229" s="44" t="n">
        <v>17129.135</v>
      </c>
    </row>
    <row r="23230">
      <c r="A23230" s="39">
        <f>_xlfn.XLOOKUP(84816,Trip[shape_id],Trip[shape_id],"Não encontrado")</f>
        <v/>
      </c>
      <c r="B23230" s="40" t="n">
        <v>-23.540827</v>
      </c>
      <c r="C23230" s="40" t="n">
        <v>-46.575412</v>
      </c>
      <c r="D23230" s="40" t="n">
        <v>483</v>
      </c>
      <c r="E23230" s="41" t="n">
        <v>17145.998</v>
      </c>
    </row>
    <row r="23231">
      <c r="A23231" s="42">
        <f>_xlfn.XLOOKUP(84816,Trip[shape_id],Trip[shape_id],"Não encontrado")</f>
        <v/>
      </c>
      <c r="B23231" s="43" t="n">
        <v>-23.541763</v>
      </c>
      <c r="C23231" s="43" t="n">
        <v>-46.575226</v>
      </c>
      <c r="D23231" s="43" t="n">
        <v>484</v>
      </c>
      <c r="E23231" s="44" t="n">
        <v>17251.387</v>
      </c>
    </row>
    <row r="23232">
      <c r="A23232" s="39">
        <f>_xlfn.XLOOKUP(84816,Trip[shape_id],Trip[shape_id],"Não encontrado")</f>
        <v/>
      </c>
      <c r="B23232" s="40" t="n">
        <v>-23.541905</v>
      </c>
      <c r="C23232" s="40" t="n">
        <v>-46.575184</v>
      </c>
      <c r="D23232" s="40" t="n">
        <v>485</v>
      </c>
      <c r="E23232" s="41" t="n">
        <v>17267.688</v>
      </c>
    </row>
    <row r="23233">
      <c r="A23233" s="42">
        <f>_xlfn.XLOOKUP(84816,Trip[shape_id],Trip[shape_id],"Não encontrado")</f>
        <v/>
      </c>
      <c r="B23233" s="43" t="n">
        <v>-23.541963</v>
      </c>
      <c r="C23233" s="43" t="n">
        <v>-46.575331</v>
      </c>
      <c r="D23233" s="43" t="n">
        <v>486</v>
      </c>
      <c r="E23233" s="44" t="n">
        <v>17284.014</v>
      </c>
    </row>
    <row r="23234">
      <c r="A23234" s="39">
        <f>_xlfn.XLOOKUP(84816,Trip[shape_id],Trip[shape_id],"Não encontrado")</f>
        <v/>
      </c>
      <c r="B23234" s="40" t="n">
        <v>-23.542055</v>
      </c>
      <c r="C23234" s="40" t="n">
        <v>-46.575762</v>
      </c>
      <c r="D23234" s="40" t="n">
        <v>487</v>
      </c>
      <c r="E23234" s="41" t="n">
        <v>17329.188</v>
      </c>
    </row>
    <row r="23235">
      <c r="A23235" s="42">
        <f>_xlfn.XLOOKUP(84816,Trip[shape_id],Trip[shape_id],"Não encontrado")</f>
        <v/>
      </c>
      <c r="B23235" s="43" t="n">
        <v>-23.542164</v>
      </c>
      <c r="C23235" s="43" t="n">
        <v>-46.576342</v>
      </c>
      <c r="D23235" s="43" t="n">
        <v>488</v>
      </c>
      <c r="E23235" s="44" t="n">
        <v>17389.629</v>
      </c>
    </row>
    <row r="23236">
      <c r="A23236" s="39">
        <f>_xlfn.XLOOKUP(84816,Trip[shape_id],Trip[shape_id],"Não encontrado")</f>
        <v/>
      </c>
      <c r="B23236" s="40" t="n">
        <v>-23.542272</v>
      </c>
      <c r="C23236" s="40" t="n">
        <v>-46.576919</v>
      </c>
      <c r="D23236" s="40" t="n">
        <v>489</v>
      </c>
      <c r="E23236" s="41" t="n">
        <v>17449.748</v>
      </c>
    </row>
    <row r="23237">
      <c r="A23237" s="42">
        <f>_xlfn.XLOOKUP(84816,Trip[shape_id],Trip[shape_id],"Não encontrado")</f>
        <v/>
      </c>
      <c r="B23237" s="43" t="n">
        <v>-23.542287</v>
      </c>
      <c r="C23237" s="43" t="n">
        <v>-46.57706</v>
      </c>
      <c r="D23237" s="43" t="n">
        <v>490</v>
      </c>
      <c r="E23237" s="44" t="n">
        <v>17464.24</v>
      </c>
    </row>
    <row r="23238">
      <c r="A23238" s="39">
        <f>_xlfn.XLOOKUP(84816,Trip[shape_id],Trip[shape_id],"Não encontrado")</f>
        <v/>
      </c>
      <c r="B23238" s="40" t="n">
        <v>-23.542237</v>
      </c>
      <c r="C23238" s="40" t="n">
        <v>-46.577092</v>
      </c>
      <c r="D23238" s="40" t="n">
        <v>491</v>
      </c>
      <c r="E23238" s="41" t="n">
        <v>17470.67</v>
      </c>
    </row>
    <row r="23239">
      <c r="A23239" s="42">
        <f>_xlfn.XLOOKUP(84816,Trip[shape_id],Trip[shape_id],"Não encontrado")</f>
        <v/>
      </c>
      <c r="B23239" s="43" t="n">
        <v>-23.542224</v>
      </c>
      <c r="C23239" s="43" t="n">
        <v>-46.577119</v>
      </c>
      <c r="D23239" s="43" t="n">
        <v>492</v>
      </c>
      <c r="E23239" s="44" t="n">
        <v>17473.779</v>
      </c>
    </row>
    <row r="23240">
      <c r="A23240" s="39">
        <f>_xlfn.XLOOKUP(84816,Trip[shape_id],Trip[shape_id],"Não encontrado")</f>
        <v/>
      </c>
      <c r="B23240" s="40" t="n">
        <v>-23.542214</v>
      </c>
      <c r="C23240" s="40" t="n">
        <v>-46.577152</v>
      </c>
      <c r="D23240" s="40" t="n">
        <v>493</v>
      </c>
      <c r="E23240" s="41" t="n">
        <v>17477.326</v>
      </c>
    </row>
    <row r="23241">
      <c r="A23241" s="42">
        <f>_xlfn.XLOOKUP(84816,Trip[shape_id],Trip[shape_id],"Não encontrado")</f>
        <v/>
      </c>
      <c r="B23241" s="43" t="n">
        <v>-23.542403</v>
      </c>
      <c r="C23241" s="43" t="n">
        <v>-46.577988</v>
      </c>
      <c r="D23241" s="43" t="n">
        <v>494</v>
      </c>
      <c r="E23241" s="44" t="n">
        <v>17565.217</v>
      </c>
    </row>
    <row r="23242">
      <c r="A23242" s="39">
        <f>_xlfn.XLOOKUP(84816,Trip[shape_id],Trip[shape_id],"Não encontrado")</f>
        <v/>
      </c>
      <c r="B23242" s="40" t="n">
        <v>-23.542355</v>
      </c>
      <c r="C23242" s="40" t="n">
        <v>-46.578038</v>
      </c>
      <c r="D23242" s="40" t="n">
        <v>495</v>
      </c>
      <c r="E23242" s="41" t="n">
        <v>17578.895</v>
      </c>
    </row>
    <row r="23243">
      <c r="A23243" s="42">
        <f>_xlfn.XLOOKUP(84816,Trip[shape_id],Trip[shape_id],"Não encontrado")</f>
        <v/>
      </c>
      <c r="B23243" s="43" t="n">
        <v>-23.542317</v>
      </c>
      <c r="C23243" s="43" t="n">
        <v>-46.578084</v>
      </c>
      <c r="D23243" s="43" t="n">
        <v>496</v>
      </c>
      <c r="E23243" s="44" t="n">
        <v>17604.006</v>
      </c>
    </row>
    <row r="23244">
      <c r="A23244" s="39">
        <f>_xlfn.XLOOKUP(84816,Trip[shape_id],Trip[shape_id],"Não encontrado")</f>
        <v/>
      </c>
      <c r="B23244" s="40" t="n">
        <v>-23.542096</v>
      </c>
      <c r="C23244" s="40" t="n">
        <v>-46.578139</v>
      </c>
      <c r="D23244" s="40" t="n">
        <v>497</v>
      </c>
      <c r="E23244" s="41" t="n">
        <v>17662.127</v>
      </c>
    </row>
    <row r="23245">
      <c r="A23245" s="42">
        <f>_xlfn.XLOOKUP(84816,Trip[shape_id],Trip[shape_id],"Não encontrado")</f>
        <v/>
      </c>
      <c r="B23245" s="43" t="n">
        <v>-23.541583</v>
      </c>
      <c r="C23245" s="43" t="n">
        <v>-46.578259</v>
      </c>
      <c r="D23245" s="43" t="n">
        <v>498</v>
      </c>
      <c r="E23245" s="44" t="n">
        <v>17662.127</v>
      </c>
    </row>
    <row r="23246">
      <c r="A23246" s="39">
        <f>_xlfn.XLOOKUP(84816,Trip[shape_id],Trip[shape_id],"Não encontrado")</f>
        <v/>
      </c>
      <c r="B23246" s="40" t="n">
        <v>-23.541508</v>
      </c>
      <c r="C23246" s="40" t="n">
        <v>-46.578298</v>
      </c>
      <c r="D23246" s="40" t="n">
        <v>499</v>
      </c>
      <c r="E23246" s="41" t="n">
        <v>17671.34</v>
      </c>
    </row>
    <row r="23247">
      <c r="A23247" s="42">
        <f>_xlfn.XLOOKUP(84816,Trip[shape_id],Trip[shape_id],"Não encontrado")</f>
        <v/>
      </c>
      <c r="B23247" s="43" t="n">
        <v>-23.541461</v>
      </c>
      <c r="C23247" s="43" t="n">
        <v>-46.578066</v>
      </c>
      <c r="D23247" s="43" t="n">
        <v>500</v>
      </c>
      <c r="E23247" s="44" t="n">
        <v>17750.258</v>
      </c>
    </row>
    <row r="23248">
      <c r="A23248" s="39">
        <f>_xlfn.XLOOKUP(84816,Trip[shape_id],Trip[shape_id],"Não encontrado")</f>
        <v/>
      </c>
      <c r="B23248" s="40" t="n">
        <v>-23.541273</v>
      </c>
      <c r="C23248" s="40" t="n">
        <v>-46.577571</v>
      </c>
      <c r="D23248" s="40" t="n">
        <v>501</v>
      </c>
      <c r="E23248" s="41" t="n">
        <v>17783.381</v>
      </c>
    </row>
    <row r="23249">
      <c r="A23249" s="42">
        <f>_xlfn.XLOOKUP(84816,Trip[shape_id],Trip[shape_id],"Não encontrado")</f>
        <v/>
      </c>
      <c r="B23249" s="43" t="n">
        <v>-23.541157</v>
      </c>
      <c r="C23249" s="43" t="n">
        <v>-46.577272</v>
      </c>
      <c r="D23249" s="43" t="n">
        <v>502</v>
      </c>
      <c r="E23249" s="44" t="n">
        <v>17783.381</v>
      </c>
    </row>
    <row r="23250">
      <c r="A23250" s="39">
        <f>_xlfn.XLOOKUP(84816,Trip[shape_id],Trip[shape_id],"Não encontrado")</f>
        <v/>
      </c>
      <c r="B23250" s="40" t="n">
        <v>-23.541105</v>
      </c>
      <c r="C23250" s="40" t="n">
        <v>-46.577142</v>
      </c>
      <c r="D23250" s="40" t="n">
        <v>503</v>
      </c>
      <c r="E23250" s="41" t="n">
        <v>17809.023</v>
      </c>
    </row>
    <row r="23251">
      <c r="A23251" s="42">
        <f>_xlfn.XLOOKUP(84816,Trip[shape_id],Trip[shape_id],"Não encontrado")</f>
        <v/>
      </c>
      <c r="B23251" s="43" t="n">
        <v>-23.54108</v>
      </c>
      <c r="C23251" s="43" t="n">
        <v>-46.577036</v>
      </c>
      <c r="D23251" s="43" t="n">
        <v>504</v>
      </c>
      <c r="E23251" s="44" t="n">
        <v>17809.023</v>
      </c>
    </row>
    <row r="23252">
      <c r="A23252" s="39">
        <f>_xlfn.XLOOKUP(84816,Trip[shape_id],Trip[shape_id],"Não encontrado")</f>
        <v/>
      </c>
      <c r="B23252" s="40" t="n">
        <v>-23.54105</v>
      </c>
      <c r="C23252" s="40" t="n">
        <v>-46.576894</v>
      </c>
      <c r="D23252" s="40" t="n">
        <v>505</v>
      </c>
      <c r="E23252" s="41" t="n">
        <v>17823.898</v>
      </c>
    </row>
    <row r="23253">
      <c r="A23253" s="42">
        <f>_xlfn.XLOOKUP(84816,Trip[shape_id],Trip[shape_id],"Não encontrado")</f>
        <v/>
      </c>
      <c r="B23253" s="43" t="n">
        <v>-23.541028</v>
      </c>
      <c r="C23253" s="43" t="n">
        <v>-46.57678</v>
      </c>
      <c r="D23253" s="43" t="n">
        <v>506</v>
      </c>
      <c r="E23253" s="44" t="n">
        <v>17835.791</v>
      </c>
    </row>
    <row r="23254">
      <c r="A23254" s="39">
        <f>_xlfn.XLOOKUP(84816,Trip[shape_id],Trip[shape_id],"Não encontrado")</f>
        <v/>
      </c>
      <c r="B23254" s="40" t="n">
        <v>-23.541013</v>
      </c>
      <c r="C23254" s="40" t="n">
        <v>-46.576704</v>
      </c>
      <c r="D23254" s="40" t="n">
        <v>507</v>
      </c>
      <c r="E23254" s="41" t="n">
        <v>17843.727</v>
      </c>
    </row>
    <row r="23255">
      <c r="A23255" s="42">
        <f>_xlfn.XLOOKUP(84816,Trip[shape_id],Trip[shape_id],"Não encontrado")</f>
        <v/>
      </c>
      <c r="B23255" s="43" t="n">
        <v>-23.540987</v>
      </c>
      <c r="C23255" s="43" t="n">
        <v>-46.576582</v>
      </c>
      <c r="D23255" s="43" t="n">
        <v>508</v>
      </c>
      <c r="E23255" s="44" t="n">
        <v>17856.512</v>
      </c>
    </row>
    <row r="23256">
      <c r="A23256" s="39">
        <f>_xlfn.XLOOKUP(84816,Trip[shape_id],Trip[shape_id],"Não encontrado")</f>
        <v/>
      </c>
      <c r="B23256" s="40" t="n">
        <v>-23.540974</v>
      </c>
      <c r="C23256" s="40" t="n">
        <v>-46.576517</v>
      </c>
      <c r="D23256" s="40" t="n">
        <v>509</v>
      </c>
      <c r="E23256" s="41" t="n">
        <v>17863.303</v>
      </c>
    </row>
    <row r="23257">
      <c r="A23257" s="42">
        <f>_xlfn.XLOOKUP(84816,Trip[shape_id],Trip[shape_id],"Não encontrado")</f>
        <v/>
      </c>
      <c r="B23257" s="43" t="n">
        <v>-23.540951</v>
      </c>
      <c r="C23257" s="43" t="n">
        <v>-46.576406</v>
      </c>
      <c r="D23257" s="43" t="n">
        <v>510</v>
      </c>
      <c r="E23257" s="44" t="n">
        <v>17874.92</v>
      </c>
    </row>
    <row r="23258">
      <c r="A23258" s="39">
        <f>_xlfn.XLOOKUP(84816,Trip[shape_id],Trip[shape_id],"Não encontrado")</f>
        <v/>
      </c>
      <c r="B23258" s="40" t="n">
        <v>-23.54094</v>
      </c>
      <c r="C23258" s="40" t="n">
        <v>-46.576349</v>
      </c>
      <c r="D23258" s="40" t="n">
        <v>511</v>
      </c>
      <c r="E23258" s="41" t="n">
        <v>17880.867</v>
      </c>
    </row>
    <row r="23259">
      <c r="A23259" s="42">
        <f>_xlfn.XLOOKUP(84816,Trip[shape_id],Trip[shape_id],"Não encontrado")</f>
        <v/>
      </c>
      <c r="B23259" s="43" t="n">
        <v>-23.54092</v>
      </c>
      <c r="C23259" s="43" t="n">
        <v>-46.576254</v>
      </c>
      <c r="D23259" s="43" t="n">
        <v>512</v>
      </c>
      <c r="E23259" s="44" t="n">
        <v>17890.818</v>
      </c>
    </row>
    <row r="23260">
      <c r="A23260" s="39">
        <f>_xlfn.XLOOKUP(84816,Trip[shape_id],Trip[shape_id],"Não encontrado")</f>
        <v/>
      </c>
      <c r="B23260" s="40" t="n">
        <v>-23.5409</v>
      </c>
      <c r="C23260" s="40" t="n">
        <v>-46.57616</v>
      </c>
      <c r="D23260" s="40" t="n">
        <v>513</v>
      </c>
      <c r="E23260" s="41" t="n">
        <v>17900.67</v>
      </c>
    </row>
    <row r="23261">
      <c r="A23261" s="42">
        <f>_xlfn.XLOOKUP(84816,Trip[shape_id],Trip[shape_id],"Não encontrado")</f>
        <v/>
      </c>
      <c r="B23261" s="43" t="n">
        <v>-23.540876</v>
      </c>
      <c r="C23261" s="43" t="n">
        <v>-46.576038</v>
      </c>
      <c r="D23261" s="43" t="n">
        <v>514</v>
      </c>
      <c r="E23261" s="44" t="n">
        <v>17913.408</v>
      </c>
    </row>
    <row r="23262">
      <c r="A23262" s="39">
        <f>_xlfn.XLOOKUP(84816,Trip[shape_id],Trip[shape_id],"Não encontrado")</f>
        <v/>
      </c>
      <c r="B23262" s="40" t="n">
        <v>-23.540855</v>
      </c>
      <c r="C23262" s="40" t="n">
        <v>-46.575941</v>
      </c>
      <c r="D23262" s="40" t="n">
        <v>515</v>
      </c>
      <c r="E23262" s="41" t="n">
        <v>17923.582</v>
      </c>
    </row>
    <row r="23263">
      <c r="A23263" s="42">
        <f>_xlfn.XLOOKUP(84816,Trip[shape_id],Trip[shape_id],"Não encontrado")</f>
        <v/>
      </c>
      <c r="B23263" s="43" t="n">
        <v>-23.540827</v>
      </c>
      <c r="C23263" s="43" t="n">
        <v>-46.575811</v>
      </c>
      <c r="D23263" s="43" t="n">
        <v>516</v>
      </c>
      <c r="E23263" s="44" t="n">
        <v>17937.213</v>
      </c>
    </row>
    <row r="23264">
      <c r="A23264" s="39">
        <f>_xlfn.XLOOKUP(84816,Trip[shape_id],Trip[shape_id],"Não encontrado")</f>
        <v/>
      </c>
      <c r="B23264" s="40" t="n">
        <v>-23.540807</v>
      </c>
      <c r="C23264" s="40" t="n">
        <v>-46.575694</v>
      </c>
      <c r="D23264" s="40" t="n">
        <v>517</v>
      </c>
      <c r="E23264" s="41" t="n">
        <v>17949.363</v>
      </c>
    </row>
    <row r="23265">
      <c r="A23265" s="42">
        <f>_xlfn.XLOOKUP(84816,Trip[shape_id],Trip[shape_id],"Não encontrado")</f>
        <v/>
      </c>
      <c r="B23265" s="43" t="n">
        <v>-23.540799</v>
      </c>
      <c r="C23265" s="43" t="n">
        <v>-46.575646</v>
      </c>
      <c r="D23265" s="43" t="n">
        <v>518</v>
      </c>
      <c r="E23265" s="44" t="n">
        <v>17957.98</v>
      </c>
    </row>
    <row r="23266">
      <c r="A23266" s="39">
        <f>_xlfn.XLOOKUP(84816,Trip[shape_id],Trip[shape_id],"Não encontrado")</f>
        <v/>
      </c>
      <c r="B23266" s="40" t="n">
        <v>-23.540793</v>
      </c>
      <c r="C23266" s="40" t="n">
        <v>-46.575611</v>
      </c>
      <c r="D23266" s="40" t="n">
        <v>519</v>
      </c>
      <c r="E23266" s="41" t="n">
        <v>17962.281</v>
      </c>
    </row>
    <row r="23267">
      <c r="A23267" s="42">
        <f>_xlfn.XLOOKUP(84816,Trip[shape_id],Trip[shape_id],"Não encontrado")</f>
        <v/>
      </c>
      <c r="B23267" s="43" t="n">
        <v>-23.54079</v>
      </c>
      <c r="C23267" s="43" t="n">
        <v>-46.575569</v>
      </c>
      <c r="D23267" s="43" t="n">
        <v>520</v>
      </c>
      <c r="E23267" s="44" t="n">
        <v>17965.959</v>
      </c>
    </row>
    <row r="23268">
      <c r="A23268" s="39">
        <f>_xlfn.XLOOKUP(84816,Trip[shape_id],Trip[shape_id],"Não encontrado")</f>
        <v/>
      </c>
      <c r="B23268" s="40" t="n">
        <v>-23.540791</v>
      </c>
      <c r="C23268" s="40" t="n">
        <v>-46.575533</v>
      </c>
      <c r="D23268" s="40" t="n">
        <v>521</v>
      </c>
      <c r="E23268" s="41" t="n">
        <v>17965.959</v>
      </c>
    </row>
    <row r="23269">
      <c r="A23269" s="42">
        <f>_xlfn.XLOOKUP(84816,Trip[shape_id],Trip[shape_id],"Não encontrado")</f>
        <v/>
      </c>
      <c r="B23269" s="43" t="n">
        <v>-23.540812</v>
      </c>
      <c r="C23269" s="43" t="n">
        <v>-46.575508</v>
      </c>
      <c r="D23269" s="43" t="n">
        <v>522</v>
      </c>
      <c r="E23269" s="44" t="n">
        <v>17969.412</v>
      </c>
    </row>
    <row r="23270">
      <c r="A23270" s="39">
        <f>_xlfn.XLOOKUP(84816,Trip[shape_id],Trip[shape_id],"Não encontrado")</f>
        <v/>
      </c>
      <c r="B23270" s="40" t="n">
        <v>-23.540845</v>
      </c>
      <c r="C23270" s="40" t="n">
        <v>-46.575489</v>
      </c>
      <c r="D23270" s="40" t="n">
        <v>523</v>
      </c>
      <c r="E23270" s="41" t="n">
        <v>17973.551</v>
      </c>
    </row>
    <row r="23271">
      <c r="A23271" s="42">
        <f>_xlfn.XLOOKUP(84816,Trip[shape_id],Trip[shape_id],"Não encontrado")</f>
        <v/>
      </c>
      <c r="B23271" s="43" t="n">
        <v>-23.540883</v>
      </c>
      <c r="C23271" s="43" t="n">
        <v>-46.575482</v>
      </c>
      <c r="D23271" s="43" t="n">
        <v>524</v>
      </c>
      <c r="E23271" s="44" t="n">
        <v>17977.818</v>
      </c>
    </row>
    <row r="23272">
      <c r="A23272" s="39">
        <f>_xlfn.XLOOKUP(84816,Trip[shape_id],Trip[shape_id],"Não encontrado")</f>
        <v/>
      </c>
      <c r="B23272" s="40" t="n">
        <v>-23.540911</v>
      </c>
      <c r="C23272" s="40" t="n">
        <v>-46.575485</v>
      </c>
      <c r="D23272" s="40" t="n">
        <v>525</v>
      </c>
      <c r="E23272" s="41" t="n">
        <v>17980.936</v>
      </c>
    </row>
    <row r="23273">
      <c r="A23273" s="42">
        <f>_xlfn.XLOOKUP(84816,Trip[shape_id],Trip[shape_id],"Não encontrado")</f>
        <v/>
      </c>
      <c r="B23273" s="43" t="n">
        <v>-23.540933</v>
      </c>
      <c r="C23273" s="43" t="n">
        <v>-46.575495</v>
      </c>
      <c r="D23273" s="43" t="n">
        <v>526</v>
      </c>
      <c r="E23273" s="44" t="n">
        <v>17983.576</v>
      </c>
    </row>
    <row r="23274">
      <c r="A23274" s="39">
        <f>_xlfn.XLOOKUP(84816,Trip[shape_id],Trip[shape_id],"Não encontrado")</f>
        <v/>
      </c>
      <c r="B23274" s="40" t="n">
        <v>-23.540959</v>
      </c>
      <c r="C23274" s="40" t="n">
        <v>-46.575519</v>
      </c>
      <c r="D23274" s="40" t="n">
        <v>527</v>
      </c>
      <c r="E23274" s="41" t="n">
        <v>17987.357</v>
      </c>
    </row>
    <row r="23275">
      <c r="A23275" s="42">
        <f>_xlfn.XLOOKUP(84816,Trip[shape_id],Trip[shape_id],"Não encontrado")</f>
        <v/>
      </c>
      <c r="B23275" s="43" t="n">
        <v>-23.54097</v>
      </c>
      <c r="C23275" s="43" t="n">
        <v>-46.575551</v>
      </c>
      <c r="D23275" s="43" t="n">
        <v>528</v>
      </c>
      <c r="E23275" s="44" t="n">
        <v>17990.846</v>
      </c>
    </row>
    <row r="23276">
      <c r="A23276" s="39">
        <f>_xlfn.XLOOKUP(84816,Trip[shape_id],Trip[shape_id],"Não encontrado")</f>
        <v/>
      </c>
      <c r="B23276" s="40" t="n">
        <v>-23.541002</v>
      </c>
      <c r="C23276" s="40" t="n">
        <v>-46.575702</v>
      </c>
      <c r="D23276" s="40" t="n">
        <v>529</v>
      </c>
      <c r="E23276" s="41" t="n">
        <v>18006.666</v>
      </c>
    </row>
    <row r="23277">
      <c r="A23277" s="42">
        <f>_xlfn.XLOOKUP(84816,Trip[shape_id],Trip[shape_id],"Não encontrado")</f>
        <v/>
      </c>
      <c r="B23277" s="43" t="n">
        <v>-23.541024</v>
      </c>
      <c r="C23277" s="43" t="n">
        <v>-46.575813</v>
      </c>
      <c r="D23277" s="43" t="n">
        <v>530</v>
      </c>
      <c r="E23277" s="44" t="n">
        <v>18018.26</v>
      </c>
    </row>
    <row r="23278">
      <c r="A23278" s="39">
        <f>_xlfn.XLOOKUP(84817,Trip[shape_id],Trip[shape_id],"Não encontrado")</f>
        <v/>
      </c>
      <c r="B23278" s="40" t="n">
        <v>-23.541024</v>
      </c>
      <c r="C23278" s="40" t="n">
        <v>-46.575813</v>
      </c>
      <c r="D23278" s="40" t="n">
        <v>1</v>
      </c>
      <c r="E23278" s="41" t="n">
        <v>0</v>
      </c>
    </row>
    <row r="23279">
      <c r="A23279" s="42">
        <f>_xlfn.XLOOKUP(84817,Trip[shape_id],Trip[shape_id],"Não encontrado")</f>
        <v/>
      </c>
      <c r="B23279" s="43" t="n">
        <v>-23.541053</v>
      </c>
      <c r="C23279" s="43" t="n">
        <v>-46.575923</v>
      </c>
      <c r="D23279" s="43" t="n">
        <v>2</v>
      </c>
      <c r="E23279" s="44" t="n">
        <v>11.682598</v>
      </c>
    </row>
    <row r="23280">
      <c r="A23280" s="39">
        <f>_xlfn.XLOOKUP(84817,Trip[shape_id],Trip[shape_id],"Não encontrado")</f>
        <v/>
      </c>
      <c r="B23280" s="40" t="n">
        <v>-23.541085</v>
      </c>
      <c r="C23280" s="40" t="n">
        <v>-46.576048</v>
      </c>
      <c r="D23280" s="40" t="n">
        <v>3</v>
      </c>
      <c r="E23280" s="41" t="n">
        <v>24.929279</v>
      </c>
    </row>
    <row r="23281">
      <c r="A23281" s="42">
        <f>_xlfn.XLOOKUP(84817,Trip[shape_id],Trip[shape_id],"Não encontrado")</f>
        <v/>
      </c>
      <c r="B23281" s="43" t="n">
        <v>-23.541116</v>
      </c>
      <c r="C23281" s="43" t="n">
        <v>-46.576182</v>
      </c>
      <c r="D23281" s="43" t="n">
        <v>4</v>
      </c>
      <c r="E23281" s="44" t="n">
        <v>39.036037</v>
      </c>
    </row>
    <row r="23282">
      <c r="A23282" s="39">
        <f>_xlfn.XLOOKUP(84817,Trip[shape_id],Trip[shape_id],"Não encontrado")</f>
        <v/>
      </c>
      <c r="B23282" s="40" t="n">
        <v>-23.541147</v>
      </c>
      <c r="C23282" s="40" t="n">
        <v>-46.576312</v>
      </c>
      <c r="D23282" s="40" t="n">
        <v>5</v>
      </c>
      <c r="E23282" s="41" t="n">
        <v>52.747292</v>
      </c>
    </row>
    <row r="23283">
      <c r="A23283" s="42">
        <f>_xlfn.XLOOKUP(84817,Trip[shape_id],Trip[shape_id],"Não encontrado")</f>
        <v/>
      </c>
      <c r="B23283" s="43" t="n">
        <v>-23.541183</v>
      </c>
      <c r="C23283" s="43" t="n">
        <v>-46.576467</v>
      </c>
      <c r="D23283" s="43" t="n">
        <v>6</v>
      </c>
      <c r="E23283" s="44" t="n">
        <v>69.06847399999999</v>
      </c>
    </row>
    <row r="23284">
      <c r="A23284" s="39">
        <f>_xlfn.XLOOKUP(84817,Trip[shape_id],Trip[shape_id],"Não encontrado")</f>
        <v/>
      </c>
      <c r="B23284" s="40" t="n">
        <v>-23.541212</v>
      </c>
      <c r="C23284" s="40" t="n">
        <v>-46.576591</v>
      </c>
      <c r="D23284" s="40" t="n">
        <v>7</v>
      </c>
      <c r="E23284" s="41" t="n">
        <v>82.13092</v>
      </c>
    </row>
    <row r="23285">
      <c r="A23285" s="42">
        <f>_xlfn.XLOOKUP(84817,Trip[shape_id],Trip[shape_id],"Não encontrado")</f>
        <v/>
      </c>
      <c r="B23285" s="43" t="n">
        <v>-23.541246</v>
      </c>
      <c r="C23285" s="43" t="n">
        <v>-46.576742</v>
      </c>
      <c r="D23285" s="43" t="n">
        <v>8</v>
      </c>
      <c r="E23285" s="44" t="n">
        <v>98.002335</v>
      </c>
    </row>
    <row r="23286">
      <c r="A23286" s="39">
        <f>_xlfn.XLOOKUP(84817,Trip[shape_id],Trip[shape_id],"Não encontrado")</f>
        <v/>
      </c>
      <c r="B23286" s="40" t="n">
        <v>-23.541257</v>
      </c>
      <c r="C23286" s="40" t="n">
        <v>-46.576787</v>
      </c>
      <c r="D23286" s="40" t="n">
        <v>9</v>
      </c>
      <c r="E23286" s="41" t="n">
        <v>102.75543</v>
      </c>
    </row>
    <row r="23287">
      <c r="A23287" s="42">
        <f>_xlfn.XLOOKUP(84817,Trip[shape_id],Trip[shape_id],"Não encontrado")</f>
        <v/>
      </c>
      <c r="B23287" s="43" t="n">
        <v>-23.541281</v>
      </c>
      <c r="C23287" s="43" t="n">
        <v>-46.576906</v>
      </c>
      <c r="D23287" s="43" t="n">
        <v>10</v>
      </c>
      <c r="E23287" s="44" t="n">
        <v>115.19376</v>
      </c>
    </row>
    <row r="23288">
      <c r="A23288" s="39">
        <f>_xlfn.XLOOKUP(84817,Trip[shape_id],Trip[shape_id],"Não encontrado")</f>
        <v/>
      </c>
      <c r="B23288" s="40" t="n">
        <v>-23.541286</v>
      </c>
      <c r="C23288" s="40" t="n">
        <v>-46.576963</v>
      </c>
      <c r="D23288" s="40" t="n">
        <v>11</v>
      </c>
      <c r="E23288" s="41" t="n">
        <v>121.04002</v>
      </c>
    </row>
    <row r="23289">
      <c r="A23289" s="42">
        <f>_xlfn.XLOOKUP(84817,Trip[shape_id],Trip[shape_id],"Não encontrado")</f>
        <v/>
      </c>
      <c r="B23289" s="43" t="n">
        <v>-23.541281</v>
      </c>
      <c r="C23289" s="43" t="n">
        <v>-46.577003</v>
      </c>
      <c r="D23289" s="43" t="n">
        <v>12</v>
      </c>
      <c r="E23289" s="44" t="n">
        <v>125.16072</v>
      </c>
    </row>
    <row r="23290">
      <c r="A23290" s="39">
        <f>_xlfn.XLOOKUP(84817,Trip[shape_id],Trip[shape_id],"Não encontrado")</f>
        <v/>
      </c>
      <c r="B23290" s="40" t="n">
        <v>-23.541263</v>
      </c>
      <c r="C23290" s="40" t="n">
        <v>-46.577035</v>
      </c>
      <c r="D23290" s="40" t="n">
        <v>13</v>
      </c>
      <c r="E23290" s="41" t="n">
        <v>128.98785</v>
      </c>
    </row>
    <row r="23291">
      <c r="A23291" s="42">
        <f>_xlfn.XLOOKUP(84817,Trip[shape_id],Trip[shape_id],"Não encontrado")</f>
        <v/>
      </c>
      <c r="B23291" s="43" t="n">
        <v>-23.541231</v>
      </c>
      <c r="C23291" s="43" t="n">
        <v>-46.577065</v>
      </c>
      <c r="D23291" s="43" t="n">
        <v>14</v>
      </c>
      <c r="E23291" s="44" t="n">
        <v>133.67305</v>
      </c>
    </row>
    <row r="23292">
      <c r="A23292" s="39">
        <f>_xlfn.XLOOKUP(84817,Trip[shape_id],Trip[shape_id],"Não encontrado")</f>
        <v/>
      </c>
      <c r="B23292" s="40" t="n">
        <v>-23.541192</v>
      </c>
      <c r="C23292" s="40" t="n">
        <v>-46.577081</v>
      </c>
      <c r="D23292" s="40" t="n">
        <v>15</v>
      </c>
      <c r="E23292" s="41" t="n">
        <v>138.29045</v>
      </c>
    </row>
    <row r="23293">
      <c r="A23293" s="42">
        <f>_xlfn.XLOOKUP(84817,Trip[shape_id],Trip[shape_id],"Não encontrado")</f>
        <v/>
      </c>
      <c r="B23293" s="43" t="n">
        <v>-23.541153</v>
      </c>
      <c r="C23293" s="43" t="n">
        <v>-46.577086</v>
      </c>
      <c r="D23293" s="43" t="n">
        <v>16</v>
      </c>
      <c r="E23293" s="44" t="n">
        <v>142.63989</v>
      </c>
    </row>
    <row r="23294">
      <c r="A23294" s="39">
        <f>_xlfn.XLOOKUP(84817,Trip[shape_id],Trip[shape_id],"Não encontrado")</f>
        <v/>
      </c>
      <c r="B23294" s="40" t="n">
        <v>-23.541131</v>
      </c>
      <c r="C23294" s="40" t="n">
        <v>-46.577078</v>
      </c>
      <c r="D23294" s="40" t="n">
        <v>17</v>
      </c>
      <c r="E23294" s="41" t="n">
        <v>145.20827</v>
      </c>
    </row>
    <row r="23295">
      <c r="A23295" s="42">
        <f>_xlfn.XLOOKUP(84817,Trip[shape_id],Trip[shape_id],"Não encontrado")</f>
        <v/>
      </c>
      <c r="B23295" s="43" t="n">
        <v>-23.541101</v>
      </c>
      <c r="C23295" s="43" t="n">
        <v>-46.577058</v>
      </c>
      <c r="D23295" s="43" t="n">
        <v>18</v>
      </c>
      <c r="E23295" s="44" t="n">
        <v>149.10739</v>
      </c>
    </row>
    <row r="23296">
      <c r="A23296" s="39">
        <f>_xlfn.XLOOKUP(84817,Trip[shape_id],Trip[shape_id],"Não encontrado")</f>
        <v/>
      </c>
      <c r="B23296" s="40" t="n">
        <v>-23.54108</v>
      </c>
      <c r="C23296" s="40" t="n">
        <v>-46.577036</v>
      </c>
      <c r="D23296" s="40" t="n">
        <v>19</v>
      </c>
      <c r="E23296" s="41" t="n">
        <v>152.33966</v>
      </c>
    </row>
    <row r="23297">
      <c r="A23297" s="42">
        <f>_xlfn.XLOOKUP(84817,Trip[shape_id],Trip[shape_id],"Não encontrado")</f>
        <v/>
      </c>
      <c r="B23297" s="43" t="n">
        <v>-23.54105</v>
      </c>
      <c r="C23297" s="43" t="n">
        <v>-46.576894</v>
      </c>
      <c r="D23297" s="43" t="n">
        <v>20</v>
      </c>
      <c r="E23297" s="44" t="n">
        <v>167.21515</v>
      </c>
    </row>
    <row r="23298">
      <c r="A23298" s="39">
        <f>_xlfn.XLOOKUP(84817,Trip[shape_id],Trip[shape_id],"Não encontrado")</f>
        <v/>
      </c>
      <c r="B23298" s="40" t="n">
        <v>-23.541028</v>
      </c>
      <c r="C23298" s="40" t="n">
        <v>-46.57678</v>
      </c>
      <c r="D23298" s="40" t="n">
        <v>21</v>
      </c>
      <c r="E23298" s="41" t="n">
        <v>179.108</v>
      </c>
    </row>
    <row r="23299">
      <c r="A23299" s="42">
        <f>_xlfn.XLOOKUP(84817,Trip[shape_id],Trip[shape_id],"Não encontrado")</f>
        <v/>
      </c>
      <c r="B23299" s="43" t="n">
        <v>-23.541013</v>
      </c>
      <c r="C23299" s="43" t="n">
        <v>-46.576704</v>
      </c>
      <c r="D23299" s="43" t="n">
        <v>22</v>
      </c>
      <c r="E23299" s="44" t="n">
        <v>187.04399</v>
      </c>
    </row>
    <row r="23300">
      <c r="A23300" s="39">
        <f>_xlfn.XLOOKUP(84817,Trip[shape_id],Trip[shape_id],"Não encontrado")</f>
        <v/>
      </c>
      <c r="B23300" s="40" t="n">
        <v>-23.540987</v>
      </c>
      <c r="C23300" s="40" t="n">
        <v>-46.576582</v>
      </c>
      <c r="D23300" s="40" t="n">
        <v>23</v>
      </c>
      <c r="E23300" s="41" t="n">
        <v>199.83011</v>
      </c>
    </row>
    <row r="23301">
      <c r="A23301" s="42">
        <f>_xlfn.XLOOKUP(84817,Trip[shape_id],Trip[shape_id],"Não encontrado")</f>
        <v/>
      </c>
      <c r="B23301" s="43" t="n">
        <v>-23.540974</v>
      </c>
      <c r="C23301" s="43" t="n">
        <v>-46.576517</v>
      </c>
      <c r="D23301" s="43" t="n">
        <v>24</v>
      </c>
      <c r="E23301" s="44" t="n">
        <v>206.6219</v>
      </c>
    </row>
    <row r="23302">
      <c r="A23302" s="39">
        <f>_xlfn.XLOOKUP(84817,Trip[shape_id],Trip[shape_id],"Não encontrado")</f>
        <v/>
      </c>
      <c r="B23302" s="40" t="n">
        <v>-23.540951</v>
      </c>
      <c r="C23302" s="40" t="n">
        <v>-46.576406</v>
      </c>
      <c r="D23302" s="40" t="n">
        <v>25</v>
      </c>
      <c r="E23302" s="41" t="n">
        <v>218.23875</v>
      </c>
    </row>
    <row r="23303">
      <c r="A23303" s="42">
        <f>_xlfn.XLOOKUP(84817,Trip[shape_id],Trip[shape_id],"Não encontrado")</f>
        <v/>
      </c>
      <c r="B23303" s="43" t="n">
        <v>-23.54094</v>
      </c>
      <c r="C23303" s="43" t="n">
        <v>-46.576349</v>
      </c>
      <c r="D23303" s="43" t="n">
        <v>26</v>
      </c>
      <c r="E23303" s="44" t="n">
        <v>224.18556</v>
      </c>
    </row>
    <row r="23304">
      <c r="A23304" s="39">
        <f>_xlfn.XLOOKUP(84817,Trip[shape_id],Trip[shape_id],"Não encontrado")</f>
        <v/>
      </c>
      <c r="B23304" s="40" t="n">
        <v>-23.54092</v>
      </c>
      <c r="C23304" s="40" t="n">
        <v>-46.576254</v>
      </c>
      <c r="D23304" s="40" t="n">
        <v>27</v>
      </c>
      <c r="E23304" s="41" t="n">
        <v>234.13589</v>
      </c>
    </row>
    <row r="23305">
      <c r="A23305" s="42">
        <f>_xlfn.XLOOKUP(84817,Trip[shape_id],Trip[shape_id],"Não encontrado")</f>
        <v/>
      </c>
      <c r="B23305" s="43" t="n">
        <v>-23.5409</v>
      </c>
      <c r="C23305" s="43" t="n">
        <v>-46.57616</v>
      </c>
      <c r="D23305" s="43" t="n">
        <v>28</v>
      </c>
      <c r="E23305" s="44" t="n">
        <v>243.98679</v>
      </c>
    </row>
    <row r="23306">
      <c r="A23306" s="39">
        <f>_xlfn.XLOOKUP(84817,Trip[shape_id],Trip[shape_id],"Não encontrado")</f>
        <v/>
      </c>
      <c r="B23306" s="40" t="n">
        <v>-23.540876</v>
      </c>
      <c r="C23306" s="40" t="n">
        <v>-46.576038</v>
      </c>
      <c r="D23306" s="40" t="n">
        <v>29</v>
      </c>
      <c r="E23306" s="41" t="n">
        <v>256.72433</v>
      </c>
    </row>
    <row r="23307">
      <c r="A23307" s="42">
        <f>_xlfn.XLOOKUP(84817,Trip[shape_id],Trip[shape_id],"Não encontrado")</f>
        <v/>
      </c>
      <c r="B23307" s="43" t="n">
        <v>-23.540855</v>
      </c>
      <c r="C23307" s="43" t="n">
        <v>-46.575941</v>
      </c>
      <c r="D23307" s="43" t="n">
        <v>30</v>
      </c>
      <c r="E23307" s="44" t="n">
        <v>266.89807</v>
      </c>
    </row>
    <row r="23308">
      <c r="A23308" s="39">
        <f>_xlfn.XLOOKUP(84817,Trip[shape_id],Trip[shape_id],"Não encontrado")</f>
        <v/>
      </c>
      <c r="B23308" s="40" t="n">
        <v>-23.540827</v>
      </c>
      <c r="C23308" s="40" t="n">
        <v>-46.575811</v>
      </c>
      <c r="D23308" s="40" t="n">
        <v>31</v>
      </c>
      <c r="E23308" s="41" t="n">
        <v>280.52982</v>
      </c>
    </row>
    <row r="23309">
      <c r="A23309" s="42">
        <f>_xlfn.XLOOKUP(84817,Trip[shape_id],Trip[shape_id],"Não encontrado")</f>
        <v/>
      </c>
      <c r="B23309" s="43" t="n">
        <v>-23.540807</v>
      </c>
      <c r="C23309" s="43" t="n">
        <v>-46.575694</v>
      </c>
      <c r="D23309" s="43" t="n">
        <v>32</v>
      </c>
      <c r="E23309" s="44" t="n">
        <v>292.6799</v>
      </c>
    </row>
    <row r="23310">
      <c r="A23310" s="39">
        <f>_xlfn.XLOOKUP(84817,Trip[shape_id],Trip[shape_id],"Não encontrado")</f>
        <v/>
      </c>
      <c r="B23310" s="40" t="n">
        <v>-23.540799</v>
      </c>
      <c r="C23310" s="40" t="n">
        <v>-46.575646</v>
      </c>
      <c r="D23310" s="40" t="n">
        <v>33</v>
      </c>
      <c r="E23310" s="41" t="n">
        <v>301.29602</v>
      </c>
    </row>
    <row r="23311">
      <c r="A23311" s="42">
        <f>_xlfn.XLOOKUP(84817,Trip[shape_id],Trip[shape_id],"Não encontrado")</f>
        <v/>
      </c>
      <c r="B23311" s="43" t="n">
        <v>-23.540793</v>
      </c>
      <c r="C23311" s="43" t="n">
        <v>-46.575611</v>
      </c>
      <c r="D23311" s="43" t="n">
        <v>34</v>
      </c>
      <c r="E23311" s="44" t="n">
        <v>305.59705</v>
      </c>
    </row>
    <row r="23312">
      <c r="A23312" s="39">
        <f>_xlfn.XLOOKUP(84817,Trip[shape_id],Trip[shape_id],"Não encontrado")</f>
        <v/>
      </c>
      <c r="B23312" s="40" t="n">
        <v>-23.54079</v>
      </c>
      <c r="C23312" s="40" t="n">
        <v>-46.575569</v>
      </c>
      <c r="D23312" s="40" t="n">
        <v>35</v>
      </c>
      <c r="E23312" s="41" t="n">
        <v>309.27554</v>
      </c>
    </row>
    <row r="23313">
      <c r="A23313" s="42">
        <f>_xlfn.XLOOKUP(84817,Trip[shape_id],Trip[shape_id],"Não encontrado")</f>
        <v/>
      </c>
      <c r="B23313" s="43" t="n">
        <v>-23.540791</v>
      </c>
      <c r="C23313" s="43" t="n">
        <v>-46.575533</v>
      </c>
      <c r="D23313" s="43" t="n">
        <v>36</v>
      </c>
      <c r="E23313" s="44" t="n">
        <v>309.27554</v>
      </c>
    </row>
    <row r="23314">
      <c r="A23314" s="39">
        <f>_xlfn.XLOOKUP(84817,Trip[shape_id],Trip[shape_id],"Não encontrado")</f>
        <v/>
      </c>
      <c r="B23314" s="40" t="n">
        <v>-23.540827</v>
      </c>
      <c r="C23314" s="40" t="n">
        <v>-46.575412</v>
      </c>
      <c r="D23314" s="40" t="n">
        <v>37</v>
      </c>
      <c r="E23314" s="41" t="n">
        <v>322.25839</v>
      </c>
    </row>
    <row r="23315">
      <c r="A23315" s="42">
        <f>_xlfn.XLOOKUP(84817,Trip[shape_id],Trip[shape_id],"Não encontrado")</f>
        <v/>
      </c>
      <c r="B23315" s="43" t="n">
        <v>-23.541763</v>
      </c>
      <c r="C23315" s="43" t="n">
        <v>-46.575226</v>
      </c>
      <c r="D23315" s="43" t="n">
        <v>38</v>
      </c>
      <c r="E23315" s="44" t="n">
        <v>427.64734</v>
      </c>
    </row>
    <row r="23316">
      <c r="A23316" s="39">
        <f>_xlfn.XLOOKUP(84817,Trip[shape_id],Trip[shape_id],"Não encontrado")</f>
        <v/>
      </c>
      <c r="B23316" s="40" t="n">
        <v>-23.541905</v>
      </c>
      <c r="C23316" s="40" t="n">
        <v>-46.575184</v>
      </c>
      <c r="D23316" s="40" t="n">
        <v>39</v>
      </c>
      <c r="E23316" s="41" t="n">
        <v>443.94827</v>
      </c>
    </row>
    <row r="23317">
      <c r="A23317" s="42">
        <f>_xlfn.XLOOKUP(84817,Trip[shape_id],Trip[shape_id],"Não encontrado")</f>
        <v/>
      </c>
      <c r="B23317" s="43" t="n">
        <v>-23.542412</v>
      </c>
      <c r="C23317" s="43" t="n">
        <v>-46.575056</v>
      </c>
      <c r="D23317" s="43" t="n">
        <v>40</v>
      </c>
      <c r="E23317" s="44" t="n">
        <v>501.60034</v>
      </c>
    </row>
    <row r="23318">
      <c r="A23318" s="39">
        <f>_xlfn.XLOOKUP(84817,Trip[shape_id],Trip[shape_id],"Não encontrado")</f>
        <v/>
      </c>
      <c r="B23318" s="40" t="n">
        <v>-23.542827</v>
      </c>
      <c r="C23318" s="40" t="n">
        <v>-46.574961</v>
      </c>
      <c r="D23318" s="40" t="n">
        <v>41</v>
      </c>
      <c r="E23318" s="41" t="n">
        <v>548.57471</v>
      </c>
    </row>
    <row r="23319">
      <c r="A23319" s="42">
        <f>_xlfn.XLOOKUP(84817,Trip[shape_id],Trip[shape_id],"Não encontrado")</f>
        <v/>
      </c>
      <c r="B23319" s="43" t="n">
        <v>-23.543459</v>
      </c>
      <c r="C23319" s="43" t="n">
        <v>-46.574811</v>
      </c>
      <c r="D23319" s="43" t="n">
        <v>42</v>
      </c>
      <c r="E23319" s="44" t="n">
        <v>620.22589</v>
      </c>
    </row>
    <row r="23320">
      <c r="A23320" s="39">
        <f>_xlfn.XLOOKUP(84817,Trip[shape_id],Trip[shape_id],"Não encontrado")</f>
        <v/>
      </c>
      <c r="B23320" s="40" t="n">
        <v>-23.543703</v>
      </c>
      <c r="C23320" s="40" t="n">
        <v>-46.574755</v>
      </c>
      <c r="D23320" s="40" t="n">
        <v>43</v>
      </c>
      <c r="E23320" s="41" t="n">
        <v>647.84753</v>
      </c>
    </row>
    <row r="23321">
      <c r="A23321" s="42">
        <f>_xlfn.XLOOKUP(84817,Trip[shape_id],Trip[shape_id],"Não encontrado")</f>
        <v/>
      </c>
      <c r="B23321" s="43" t="n">
        <v>-23.544425</v>
      </c>
      <c r="C23321" s="43" t="n">
        <v>-46.574584</v>
      </c>
      <c r="D23321" s="43" t="n">
        <v>44</v>
      </c>
      <c r="E23321" s="44" t="n">
        <v>729.6944</v>
      </c>
    </row>
    <row r="23322">
      <c r="A23322" s="39">
        <f>_xlfn.XLOOKUP(84817,Trip[shape_id],Trip[shape_id],"Não encontrado")</f>
        <v/>
      </c>
      <c r="B23322" s="40" t="n">
        <v>-23.544554</v>
      </c>
      <c r="C23322" s="40" t="n">
        <v>-46.574554</v>
      </c>
      <c r="D23322" s="40" t="n">
        <v>45</v>
      </c>
      <c r="E23322" s="41" t="n">
        <v>744.30609</v>
      </c>
    </row>
    <row r="23323">
      <c r="A23323" s="42">
        <f>_xlfn.XLOOKUP(84817,Trip[shape_id],Trip[shape_id],"Não encontrado")</f>
        <v/>
      </c>
      <c r="B23323" s="43" t="n">
        <v>-23.545237</v>
      </c>
      <c r="C23323" s="43" t="n">
        <v>-46.574395</v>
      </c>
      <c r="D23323" s="43" t="n">
        <v>46</v>
      </c>
      <c r="E23323" s="44" t="n">
        <v>821.6721199999999</v>
      </c>
    </row>
    <row r="23324">
      <c r="A23324" s="39">
        <f>_xlfn.XLOOKUP(84817,Trip[shape_id],Trip[shape_id],"Não encontrado")</f>
        <v/>
      </c>
      <c r="B23324" s="40" t="n">
        <v>-23.545355</v>
      </c>
      <c r="C23324" s="40" t="n">
        <v>-46.575025</v>
      </c>
      <c r="D23324" s="40" t="n">
        <v>47</v>
      </c>
      <c r="E23324" s="41" t="n">
        <v>887.31299</v>
      </c>
    </row>
    <row r="23325">
      <c r="A23325" s="42">
        <f>_xlfn.XLOOKUP(84817,Trip[shape_id],Trip[shape_id],"Não encontrado")</f>
        <v/>
      </c>
      <c r="B23325" s="43" t="n">
        <v>-23.545375</v>
      </c>
      <c r="C23325" s="43" t="n">
        <v>-46.575124</v>
      </c>
      <c r="D23325" s="43" t="n">
        <v>48</v>
      </c>
      <c r="E23325" s="44" t="n">
        <v>897.66113</v>
      </c>
    </row>
    <row r="23326">
      <c r="A23326" s="39">
        <f>_xlfn.XLOOKUP(84817,Trip[shape_id],Trip[shape_id],"Não encontrado")</f>
        <v/>
      </c>
      <c r="B23326" s="40" t="n">
        <v>-23.54539</v>
      </c>
      <c r="C23326" s="40" t="n">
        <v>-46.575198</v>
      </c>
      <c r="D23326" s="40" t="n">
        <v>49</v>
      </c>
      <c r="E23326" s="41" t="n">
        <v>905.39771</v>
      </c>
    </row>
    <row r="23327">
      <c r="A23327" s="42">
        <f>_xlfn.XLOOKUP(84817,Trip[shape_id],Trip[shape_id],"Não encontrado")</f>
        <v/>
      </c>
      <c r="B23327" s="43" t="n">
        <v>-23.545384</v>
      </c>
      <c r="C23327" s="43" t="n">
        <v>-46.575288</v>
      </c>
      <c r="D23327" s="43" t="n">
        <v>50</v>
      </c>
      <c r="E23327" s="44" t="n">
        <v>914.61121</v>
      </c>
    </row>
    <row r="23328">
      <c r="A23328" s="39">
        <f>_xlfn.XLOOKUP(84817,Trip[shape_id],Trip[shape_id],"Não encontrado")</f>
        <v/>
      </c>
      <c r="B23328" s="40" t="n">
        <v>-23.545353</v>
      </c>
      <c r="C23328" s="40" t="n">
        <v>-46.575383</v>
      </c>
      <c r="D23328" s="40" t="n">
        <v>51</v>
      </c>
      <c r="E23328" s="41" t="n">
        <v>924.90057</v>
      </c>
    </row>
    <row r="23329">
      <c r="A23329" s="42">
        <f>_xlfn.XLOOKUP(84817,Trip[shape_id],Trip[shape_id],"Não encontrado")</f>
        <v/>
      </c>
      <c r="B23329" s="43" t="n">
        <v>-23.545347</v>
      </c>
      <c r="C23329" s="43" t="n">
        <v>-46.575398</v>
      </c>
      <c r="D23329" s="43" t="n">
        <v>52</v>
      </c>
      <c r="E23329" s="44" t="n">
        <v>926.56781</v>
      </c>
    </row>
    <row r="23330">
      <c r="A23330" s="39">
        <f>_xlfn.XLOOKUP(84817,Trip[shape_id],Trip[shape_id],"Não encontrado")</f>
        <v/>
      </c>
      <c r="B23330" s="40" t="n">
        <v>-23.545227</v>
      </c>
      <c r="C23330" s="40" t="n">
        <v>-46.57558</v>
      </c>
      <c r="D23330" s="40" t="n">
        <v>53</v>
      </c>
      <c r="E23330" s="41" t="n">
        <v>949.41443</v>
      </c>
    </row>
    <row r="23331">
      <c r="A23331" s="42">
        <f>_xlfn.XLOOKUP(84817,Trip[shape_id],Trip[shape_id],"Não encontrado")</f>
        <v/>
      </c>
      <c r="B23331" s="43" t="n">
        <v>-23.54519</v>
      </c>
      <c r="C23331" s="43" t="n">
        <v>-46.575639</v>
      </c>
      <c r="D23331" s="43" t="n">
        <v>54</v>
      </c>
      <c r="E23331" s="44" t="n">
        <v>956.70074</v>
      </c>
    </row>
    <row r="23332">
      <c r="A23332" s="39">
        <f>_xlfn.XLOOKUP(84817,Trip[shape_id],Trip[shape_id],"Não encontrado")</f>
        <v/>
      </c>
      <c r="B23332" s="40" t="n">
        <v>-23.544686</v>
      </c>
      <c r="C23332" s="40" t="n">
        <v>-46.576471</v>
      </c>
      <c r="D23332" s="40" t="n">
        <v>55</v>
      </c>
      <c r="E23332" s="41" t="n">
        <v>1058.3505</v>
      </c>
    </row>
    <row r="23333">
      <c r="A23333" s="42">
        <f>_xlfn.XLOOKUP(84817,Trip[shape_id],Trip[shape_id],"Não encontrado")</f>
        <v/>
      </c>
      <c r="B23333" s="43" t="n">
        <v>-23.54432</v>
      </c>
      <c r="C23333" s="43" t="n">
        <v>-46.57706</v>
      </c>
      <c r="D23333" s="43" t="n">
        <v>56</v>
      </c>
      <c r="E23333" s="44" t="n">
        <v>1130.8765</v>
      </c>
    </row>
    <row r="23334">
      <c r="A23334" s="39">
        <f>_xlfn.XLOOKUP(84817,Trip[shape_id],Trip[shape_id],"Não encontrado")</f>
        <v/>
      </c>
      <c r="B23334" s="40" t="n">
        <v>-23.544265</v>
      </c>
      <c r="C23334" s="40" t="n">
        <v>-46.57715</v>
      </c>
      <c r="D23334" s="40" t="n">
        <v>57</v>
      </c>
      <c r="E23334" s="41" t="n">
        <v>1141.9016</v>
      </c>
    </row>
    <row r="23335">
      <c r="A23335" s="42">
        <f>_xlfn.XLOOKUP(84817,Trip[shape_id],Trip[shape_id],"Não encontrado")</f>
        <v/>
      </c>
      <c r="B23335" s="43" t="n">
        <v>-23.5442</v>
      </c>
      <c r="C23335" s="43" t="n">
        <v>-46.577258</v>
      </c>
      <c r="D23335" s="43" t="n">
        <v>58</v>
      </c>
      <c r="E23335" s="44" t="n">
        <v>1155.0708</v>
      </c>
    </row>
    <row r="23336">
      <c r="A23336" s="39">
        <f>_xlfn.XLOOKUP(84817,Trip[shape_id],Trip[shape_id],"Não encontrado")</f>
        <v/>
      </c>
      <c r="B23336" s="40" t="n">
        <v>-23.544167</v>
      </c>
      <c r="C23336" s="40" t="n">
        <v>-46.577314</v>
      </c>
      <c r="D23336" s="40" t="n">
        <v>59</v>
      </c>
      <c r="E23336" s="41" t="n">
        <v>1161.8566</v>
      </c>
    </row>
    <row r="23337">
      <c r="A23337" s="42">
        <f>_xlfn.XLOOKUP(84817,Trip[shape_id],Trip[shape_id],"Não encontrado")</f>
        <v/>
      </c>
      <c r="B23337" s="43" t="n">
        <v>-23.544131</v>
      </c>
      <c r="C23337" s="43" t="n">
        <v>-46.577375</v>
      </c>
      <c r="D23337" s="43" t="n">
        <v>60</v>
      </c>
      <c r="E23337" s="44" t="n">
        <v>1169.2516</v>
      </c>
    </row>
    <row r="23338">
      <c r="A23338" s="39">
        <f>_xlfn.XLOOKUP(84817,Trip[shape_id],Trip[shape_id],"Não encontrado")</f>
        <v/>
      </c>
      <c r="B23338" s="40" t="n">
        <v>-23.544108</v>
      </c>
      <c r="C23338" s="40" t="n">
        <v>-46.577456</v>
      </c>
      <c r="D23338" s="40" t="n">
        <v>61</v>
      </c>
      <c r="E23338" s="41" t="n">
        <v>1177.9061</v>
      </c>
    </row>
    <row r="23339">
      <c r="A23339" s="42">
        <f>_xlfn.XLOOKUP(84817,Trip[shape_id],Trip[shape_id],"Não encontrado")</f>
        <v/>
      </c>
      <c r="B23339" s="43" t="n">
        <v>-23.544073</v>
      </c>
      <c r="C23339" s="43" t="n">
        <v>-46.577573</v>
      </c>
      <c r="D23339" s="43" t="n">
        <v>62</v>
      </c>
      <c r="E23339" s="44" t="n">
        <v>1190.4655</v>
      </c>
    </row>
    <row r="23340">
      <c r="A23340" s="39">
        <f>_xlfn.XLOOKUP(84817,Trip[shape_id],Trip[shape_id],"Não encontrado")</f>
        <v/>
      </c>
      <c r="B23340" s="40" t="n">
        <v>-23.544032</v>
      </c>
      <c r="C23340" s="40" t="n">
        <v>-46.577751</v>
      </c>
      <c r="D23340" s="40" t="n">
        <v>63</v>
      </c>
      <c r="E23340" s="41" t="n">
        <v>1209.1993</v>
      </c>
    </row>
    <row r="23341">
      <c r="A23341" s="42">
        <f>_xlfn.XLOOKUP(84817,Trip[shape_id],Trip[shape_id],"Não encontrado")</f>
        <v/>
      </c>
      <c r="B23341" s="43" t="n">
        <v>-23.544011</v>
      </c>
      <c r="C23341" s="43" t="n">
        <v>-46.577934</v>
      </c>
      <c r="D23341" s="43" t="n">
        <v>64</v>
      </c>
      <c r="E23341" s="44" t="n">
        <v>1228.0293</v>
      </c>
    </row>
    <row r="23342">
      <c r="A23342" s="39">
        <f>_xlfn.XLOOKUP(84817,Trip[shape_id],Trip[shape_id],"Não encontrado")</f>
        <v/>
      </c>
      <c r="B23342" s="40" t="n">
        <v>-23.543996</v>
      </c>
      <c r="C23342" s="40" t="n">
        <v>-46.578108</v>
      </c>
      <c r="D23342" s="40" t="n">
        <v>65</v>
      </c>
      <c r="E23342" s="41" t="n">
        <v>1245.8734</v>
      </c>
    </row>
    <row r="23343">
      <c r="A23343" s="42">
        <f>_xlfn.XLOOKUP(84817,Trip[shape_id],Trip[shape_id],"Não encontrado")</f>
        <v/>
      </c>
      <c r="B23343" s="43" t="n">
        <v>-23.543981</v>
      </c>
      <c r="C23343" s="43" t="n">
        <v>-46.578213</v>
      </c>
      <c r="D23343" s="43" t="n">
        <v>66</v>
      </c>
      <c r="E23343" s="44" t="n">
        <v>1256.7224</v>
      </c>
    </row>
    <row r="23344">
      <c r="A23344" s="39">
        <f>_xlfn.XLOOKUP(84817,Trip[shape_id],Trip[shape_id],"Não encontrado")</f>
        <v/>
      </c>
      <c r="B23344" s="40" t="n">
        <v>-23.543979</v>
      </c>
      <c r="C23344" s="40" t="n">
        <v>-46.578326</v>
      </c>
      <c r="D23344" s="40" t="n">
        <v>67</v>
      </c>
      <c r="E23344" s="41" t="n">
        <v>1268.2628</v>
      </c>
    </row>
    <row r="23345">
      <c r="A23345" s="42">
        <f>_xlfn.XLOOKUP(84817,Trip[shape_id],Trip[shape_id],"Não encontrado")</f>
        <v/>
      </c>
      <c r="B23345" s="43" t="n">
        <v>-23.543882</v>
      </c>
      <c r="C23345" s="43" t="n">
        <v>-46.578506</v>
      </c>
      <c r="D23345" s="43" t="n">
        <v>68</v>
      </c>
      <c r="E23345" s="44" t="n">
        <v>1289.5516</v>
      </c>
    </row>
    <row r="23346">
      <c r="A23346" s="39">
        <f>_xlfn.XLOOKUP(84817,Trip[shape_id],Trip[shape_id],"Não encontrado")</f>
        <v/>
      </c>
      <c r="B23346" s="40" t="n">
        <v>-23.543837</v>
      </c>
      <c r="C23346" s="40" t="n">
        <v>-46.578598</v>
      </c>
      <c r="D23346" s="40" t="n">
        <v>69</v>
      </c>
      <c r="E23346" s="41" t="n">
        <v>1300.1854</v>
      </c>
    </row>
    <row r="23347">
      <c r="A23347" s="42">
        <f>_xlfn.XLOOKUP(84817,Trip[shape_id],Trip[shape_id],"Não encontrado")</f>
        <v/>
      </c>
      <c r="B23347" s="43" t="n">
        <v>-23.54379</v>
      </c>
      <c r="C23347" s="43" t="n">
        <v>-46.578669</v>
      </c>
      <c r="D23347" s="43" t="n">
        <v>70</v>
      </c>
      <c r="E23347" s="44" t="n">
        <v>1309.1107</v>
      </c>
    </row>
    <row r="23348">
      <c r="A23348" s="39">
        <f>_xlfn.XLOOKUP(84817,Trip[shape_id],Trip[shape_id],"Não encontrado")</f>
        <v/>
      </c>
      <c r="B23348" s="40" t="n">
        <v>-23.54372</v>
      </c>
      <c r="C23348" s="40" t="n">
        <v>-46.578749</v>
      </c>
      <c r="D23348" s="40" t="n">
        <v>71</v>
      </c>
      <c r="E23348" s="41" t="n">
        <v>1320.3723</v>
      </c>
    </row>
    <row r="23349">
      <c r="A23349" s="42">
        <f>_xlfn.XLOOKUP(84817,Trip[shape_id],Trip[shape_id],"Não encontrado")</f>
        <v/>
      </c>
      <c r="B23349" s="43" t="n">
        <v>-23.543475</v>
      </c>
      <c r="C23349" s="43" t="n">
        <v>-46.578979</v>
      </c>
      <c r="D23349" s="43" t="n">
        <v>72</v>
      </c>
      <c r="E23349" s="44" t="n">
        <v>1356.2581</v>
      </c>
    </row>
    <row r="23350">
      <c r="A23350" s="39">
        <f>_xlfn.XLOOKUP(84817,Trip[shape_id],Trip[shape_id],"Não encontrado")</f>
        <v/>
      </c>
      <c r="B23350" s="40" t="n">
        <v>-23.543217</v>
      </c>
      <c r="C23350" s="40" t="n">
        <v>-46.579245</v>
      </c>
      <c r="D23350" s="40" t="n">
        <v>73</v>
      </c>
      <c r="E23350" s="41" t="n">
        <v>1395.681</v>
      </c>
    </row>
    <row r="23351">
      <c r="A23351" s="42">
        <f>_xlfn.XLOOKUP(84817,Trip[shape_id],Trip[shape_id],"Não encontrado")</f>
        <v/>
      </c>
      <c r="B23351" s="43" t="n">
        <v>-23.54314</v>
      </c>
      <c r="C23351" s="43" t="n">
        <v>-46.579378</v>
      </c>
      <c r="D23351" s="43" t="n">
        <v>74</v>
      </c>
      <c r="E23351" s="44" t="n">
        <v>1411.717</v>
      </c>
    </row>
    <row r="23352">
      <c r="A23352" s="39">
        <f>_xlfn.XLOOKUP(84817,Trip[shape_id],Trip[shape_id],"Não encontrado")</f>
        <v/>
      </c>
      <c r="B23352" s="40" t="n">
        <v>-23.543116</v>
      </c>
      <c r="C23352" s="40" t="n">
        <v>-46.579432</v>
      </c>
      <c r="D23352" s="40" t="n">
        <v>75</v>
      </c>
      <c r="E23352" s="41" t="n">
        <v>1417.8379</v>
      </c>
    </row>
    <row r="23353">
      <c r="A23353" s="42">
        <f>_xlfn.XLOOKUP(84817,Trip[shape_id],Trip[shape_id],"Não encontrado")</f>
        <v/>
      </c>
      <c r="B23353" s="43" t="n">
        <v>-23.543097</v>
      </c>
      <c r="C23353" s="43" t="n">
        <v>-46.579512</v>
      </c>
      <c r="D23353" s="43" t="n">
        <v>76</v>
      </c>
      <c r="E23353" s="44" t="n">
        <v>1426.2732</v>
      </c>
    </row>
    <row r="23354">
      <c r="A23354" s="39">
        <f>_xlfn.XLOOKUP(84817,Trip[shape_id],Trip[shape_id],"Não encontrado")</f>
        <v/>
      </c>
      <c r="B23354" s="40" t="n">
        <v>-23.54308</v>
      </c>
      <c r="C23354" s="40" t="n">
        <v>-46.57959</v>
      </c>
      <c r="D23354" s="40" t="n">
        <v>77</v>
      </c>
      <c r="E23354" s="41" t="n">
        <v>1434.4565</v>
      </c>
    </row>
    <row r="23355">
      <c r="A23355" s="42">
        <f>_xlfn.XLOOKUP(84817,Trip[shape_id],Trip[shape_id],"Não encontrado")</f>
        <v/>
      </c>
      <c r="B23355" s="43" t="n">
        <v>-23.543072</v>
      </c>
      <c r="C23355" s="43" t="n">
        <v>-46.57971</v>
      </c>
      <c r="D23355" s="43" t="n">
        <v>78</v>
      </c>
      <c r="E23355" s="44" t="n">
        <v>1446.7413</v>
      </c>
    </row>
    <row r="23356">
      <c r="A23356" s="39">
        <f>_xlfn.XLOOKUP(84817,Trip[shape_id],Trip[shape_id],"Não encontrado")</f>
        <v/>
      </c>
      <c r="B23356" s="40" t="n">
        <v>-23.543076</v>
      </c>
      <c r="C23356" s="40" t="n">
        <v>-46.579871</v>
      </c>
      <c r="D23356" s="40" t="n">
        <v>79</v>
      </c>
      <c r="E23356" s="41" t="n">
        <v>1463.1865</v>
      </c>
    </row>
    <row r="23357">
      <c r="A23357" s="42">
        <f>_xlfn.XLOOKUP(84817,Trip[shape_id],Trip[shape_id],"Não encontrado")</f>
        <v/>
      </c>
      <c r="B23357" s="43" t="n">
        <v>-23.543085</v>
      </c>
      <c r="C23357" s="43" t="n">
        <v>-46.58014</v>
      </c>
      <c r="D23357" s="43" t="n">
        <v>80</v>
      </c>
      <c r="E23357" s="44" t="n">
        <v>1490.6718</v>
      </c>
    </row>
    <row r="23358">
      <c r="A23358" s="39">
        <f>_xlfn.XLOOKUP(84817,Trip[shape_id],Trip[shape_id],"Não encontrado")</f>
        <v/>
      </c>
      <c r="B23358" s="40" t="n">
        <v>-23.543094</v>
      </c>
      <c r="C23358" s="40" t="n">
        <v>-46.580302</v>
      </c>
      <c r="D23358" s="40" t="n">
        <v>81</v>
      </c>
      <c r="E23358" s="41" t="n">
        <v>1507.2432</v>
      </c>
    </row>
    <row r="23359">
      <c r="A23359" s="42">
        <f>_xlfn.XLOOKUP(84817,Trip[shape_id],Trip[shape_id],"Não encontrado")</f>
        <v/>
      </c>
      <c r="B23359" s="43" t="n">
        <v>-23.543095</v>
      </c>
      <c r="C23359" s="43" t="n">
        <v>-46.580356</v>
      </c>
      <c r="D23359" s="43" t="n">
        <v>82</v>
      </c>
      <c r="E23359" s="44" t="n">
        <v>1512.7588</v>
      </c>
    </row>
    <row r="23360">
      <c r="A23360" s="39">
        <f>_xlfn.XLOOKUP(84817,Trip[shape_id],Trip[shape_id],"Não encontrado")</f>
        <v/>
      </c>
      <c r="B23360" s="40" t="n">
        <v>-23.5431</v>
      </c>
      <c r="C23360" s="40" t="n">
        <v>-46.580509</v>
      </c>
      <c r="D23360" s="40" t="n">
        <v>83</v>
      </c>
      <c r="E23360" s="41" t="n">
        <v>1528.3912</v>
      </c>
    </row>
    <row r="23361">
      <c r="A23361" s="42">
        <f>_xlfn.XLOOKUP(84817,Trip[shape_id],Trip[shape_id],"Não encontrado")</f>
        <v/>
      </c>
      <c r="B23361" s="43" t="n">
        <v>-23.543108</v>
      </c>
      <c r="C23361" s="43" t="n">
        <v>-46.58073</v>
      </c>
      <c r="D23361" s="43" t="n">
        <v>84</v>
      </c>
      <c r="E23361" s="44" t="n">
        <v>1550.9742</v>
      </c>
    </row>
    <row r="23362">
      <c r="A23362" s="39">
        <f>_xlfn.XLOOKUP(84817,Trip[shape_id],Trip[shape_id],"Não encontrado")</f>
        <v/>
      </c>
      <c r="B23362" s="40" t="n">
        <v>-23.543118</v>
      </c>
      <c r="C23362" s="40" t="n">
        <v>-46.580916</v>
      </c>
      <c r="D23362" s="40" t="n">
        <v>85</v>
      </c>
      <c r="E23362" s="41" t="n">
        <v>1569.9985</v>
      </c>
    </row>
    <row r="23363">
      <c r="A23363" s="42">
        <f>_xlfn.XLOOKUP(84817,Trip[shape_id],Trip[shape_id],"Não encontrado")</f>
        <v/>
      </c>
      <c r="B23363" s="43" t="n">
        <v>-23.543123</v>
      </c>
      <c r="C23363" s="43" t="n">
        <v>-46.581028</v>
      </c>
      <c r="D23363" s="43" t="n">
        <v>86</v>
      </c>
      <c r="E23363" s="44" t="n">
        <v>1581.4478</v>
      </c>
    </row>
    <row r="23364">
      <c r="A23364" s="39">
        <f>_xlfn.XLOOKUP(84817,Trip[shape_id],Trip[shape_id],"Não encontrado")</f>
        <v/>
      </c>
      <c r="B23364" s="40" t="n">
        <v>-23.543149</v>
      </c>
      <c r="C23364" s="40" t="n">
        <v>-46.581263</v>
      </c>
      <c r="D23364" s="40" t="n">
        <v>87</v>
      </c>
      <c r="E23364" s="41" t="n">
        <v>1605.6154</v>
      </c>
    </row>
    <row r="23365">
      <c r="A23365" s="42">
        <f>_xlfn.XLOOKUP(84817,Trip[shape_id],Trip[shape_id],"Não encontrado")</f>
        <v/>
      </c>
      <c r="B23365" s="43" t="n">
        <v>-23.54317</v>
      </c>
      <c r="C23365" s="43" t="n">
        <v>-46.581364</v>
      </c>
      <c r="D23365" s="43" t="n">
        <v>88</v>
      </c>
      <c r="E23365" s="44" t="n">
        <v>1616.187</v>
      </c>
    </row>
    <row r="23366">
      <c r="A23366" s="39">
        <f>_xlfn.XLOOKUP(84817,Trip[shape_id],Trip[shape_id],"Não encontrado")</f>
        <v/>
      </c>
      <c r="B23366" s="40" t="n">
        <v>-23.543211</v>
      </c>
      <c r="C23366" s="40" t="n">
        <v>-46.581536</v>
      </c>
      <c r="D23366" s="40" t="n">
        <v>89</v>
      </c>
      <c r="E23366" s="41" t="n">
        <v>1634.327</v>
      </c>
    </row>
    <row r="23367">
      <c r="A23367" s="42">
        <f>_xlfn.XLOOKUP(84817,Trip[shape_id],Trip[shape_id],"Não encontrado")</f>
        <v/>
      </c>
      <c r="B23367" s="43" t="n">
        <v>-23.543286</v>
      </c>
      <c r="C23367" s="43" t="n">
        <v>-46.581666</v>
      </c>
      <c r="D23367" s="43" t="n">
        <v>90</v>
      </c>
      <c r="E23367" s="44" t="n">
        <v>1649.9857</v>
      </c>
    </row>
    <row r="23368">
      <c r="A23368" s="39">
        <f>_xlfn.XLOOKUP(84817,Trip[shape_id],Trip[shape_id],"Não encontrado")</f>
        <v/>
      </c>
      <c r="B23368" s="40" t="n">
        <v>-23.543387</v>
      </c>
      <c r="C23368" s="40" t="n">
        <v>-46.581787</v>
      </c>
      <c r="D23368" s="40" t="n">
        <v>91</v>
      </c>
      <c r="E23368" s="41" t="n">
        <v>1666.6523</v>
      </c>
    </row>
    <row r="23369">
      <c r="A23369" s="42">
        <f>_xlfn.XLOOKUP(84817,Trip[shape_id],Trip[shape_id],"Não encontrado")</f>
        <v/>
      </c>
      <c r="B23369" s="43" t="n">
        <v>-23.543467</v>
      </c>
      <c r="C23369" s="43" t="n">
        <v>-46.581883</v>
      </c>
      <c r="D23369" s="43" t="n">
        <v>92</v>
      </c>
      <c r="E23369" s="44" t="n">
        <v>1679.8658</v>
      </c>
    </row>
    <row r="23370">
      <c r="A23370" s="39">
        <f>_xlfn.XLOOKUP(84817,Trip[shape_id],Trip[shape_id],"Não encontrado")</f>
        <v/>
      </c>
      <c r="B23370" s="40" t="n">
        <v>-23.54363</v>
      </c>
      <c r="C23370" s="40" t="n">
        <v>-46.582024</v>
      </c>
      <c r="D23370" s="40" t="n">
        <v>93</v>
      </c>
      <c r="E23370" s="41" t="n">
        <v>1702.9564</v>
      </c>
    </row>
    <row r="23371">
      <c r="A23371" s="42">
        <f>_xlfn.XLOOKUP(84817,Trip[shape_id],Trip[shape_id],"Não encontrado")</f>
        <v/>
      </c>
      <c r="B23371" s="43" t="n">
        <v>-23.543695</v>
      </c>
      <c r="C23371" s="43" t="n">
        <v>-46.582137</v>
      </c>
      <c r="D23371" s="43" t="n">
        <v>94</v>
      </c>
      <c r="E23371" s="44" t="n">
        <v>1716.5562</v>
      </c>
    </row>
    <row r="23372">
      <c r="A23372" s="39">
        <f>_xlfn.XLOOKUP(84817,Trip[shape_id],Trip[shape_id],"Não encontrado")</f>
        <v/>
      </c>
      <c r="B23372" s="40" t="n">
        <v>-23.543847</v>
      </c>
      <c r="C23372" s="40" t="n">
        <v>-46.582357</v>
      </c>
      <c r="D23372" s="40" t="n">
        <v>95</v>
      </c>
      <c r="E23372" s="41" t="n">
        <v>1744.6274</v>
      </c>
    </row>
    <row r="23373">
      <c r="A23373" s="42">
        <f>_xlfn.XLOOKUP(84817,Trip[shape_id],Trip[shape_id],"Não encontrado")</f>
        <v/>
      </c>
      <c r="B23373" s="43" t="n">
        <v>-23.543886</v>
      </c>
      <c r="C23373" s="43" t="n">
        <v>-46.582422</v>
      </c>
      <c r="D23373" s="43" t="n">
        <v>96</v>
      </c>
      <c r="E23373" s="44" t="n">
        <v>1752.5464</v>
      </c>
    </row>
    <row r="23374">
      <c r="A23374" s="39">
        <f>_xlfn.XLOOKUP(84817,Trip[shape_id],Trip[shape_id],"Não encontrado")</f>
        <v/>
      </c>
      <c r="B23374" s="40" t="n">
        <v>-23.543926</v>
      </c>
      <c r="C23374" s="40" t="n">
        <v>-46.582546</v>
      </c>
      <c r="D23374" s="40" t="n">
        <v>97</v>
      </c>
      <c r="E23374" s="41" t="n">
        <v>1765.9603</v>
      </c>
    </row>
    <row r="23375">
      <c r="A23375" s="42">
        <f>_xlfn.XLOOKUP(84817,Trip[shape_id],Trip[shape_id],"Não encontrado")</f>
        <v/>
      </c>
      <c r="B23375" s="43" t="n">
        <v>-23.543936</v>
      </c>
      <c r="C23375" s="43" t="n">
        <v>-46.582701</v>
      </c>
      <c r="D23375" s="43" t="n">
        <v>98</v>
      </c>
      <c r="E23375" s="44" t="n">
        <v>1781.8256</v>
      </c>
    </row>
    <row r="23376">
      <c r="A23376" s="39">
        <f>_xlfn.XLOOKUP(84817,Trip[shape_id],Trip[shape_id],"Não encontrado")</f>
        <v/>
      </c>
      <c r="B23376" s="40" t="n">
        <v>-23.543929</v>
      </c>
      <c r="C23376" s="40" t="n">
        <v>-46.582956</v>
      </c>
      <c r="D23376" s="40" t="n">
        <v>99</v>
      </c>
      <c r="E23376" s="41" t="n">
        <v>1807.8745</v>
      </c>
    </row>
    <row r="23377">
      <c r="A23377" s="42">
        <f>_xlfn.XLOOKUP(84817,Trip[shape_id],Trip[shape_id],"Não encontrado")</f>
        <v/>
      </c>
      <c r="B23377" s="43" t="n">
        <v>-23.543905</v>
      </c>
      <c r="C23377" s="43" t="n">
        <v>-46.583317</v>
      </c>
      <c r="D23377" s="43" t="n">
        <v>100</v>
      </c>
      <c r="E23377" s="44" t="n">
        <v>1844.8309</v>
      </c>
    </row>
    <row r="23378">
      <c r="A23378" s="39">
        <f>_xlfn.XLOOKUP(84817,Trip[shape_id],Trip[shape_id],"Não encontrado")</f>
        <v/>
      </c>
      <c r="B23378" s="40" t="n">
        <v>-23.543917</v>
      </c>
      <c r="C23378" s="40" t="n">
        <v>-46.583437</v>
      </c>
      <c r="D23378" s="40" t="n">
        <v>101</v>
      </c>
      <c r="E23378" s="41" t="n">
        <v>1857.1559</v>
      </c>
    </row>
    <row r="23379">
      <c r="A23379" s="42">
        <f>_xlfn.XLOOKUP(84817,Trip[shape_id],Trip[shape_id],"Não encontrado")</f>
        <v/>
      </c>
      <c r="B23379" s="43" t="n">
        <v>-23.544446</v>
      </c>
      <c r="C23379" s="43" t="n">
        <v>-46.586102</v>
      </c>
      <c r="D23379" s="43" t="n">
        <v>102</v>
      </c>
      <c r="E23379" s="44" t="n">
        <v>2135.5066</v>
      </c>
    </row>
    <row r="23380">
      <c r="A23380" s="39">
        <f>_xlfn.XLOOKUP(84817,Trip[shape_id],Trip[shape_id],"Não encontrado")</f>
        <v/>
      </c>
      <c r="B23380" s="40" t="n">
        <v>-23.544795</v>
      </c>
      <c r="C23380" s="40" t="n">
        <v>-46.587887</v>
      </c>
      <c r="D23380" s="40" t="n">
        <v>103</v>
      </c>
      <c r="E23380" s="41" t="n">
        <v>2321.8203</v>
      </c>
    </row>
    <row r="23381">
      <c r="A23381" s="42">
        <f>_xlfn.XLOOKUP(84817,Trip[shape_id],Trip[shape_id],"Não encontrado")</f>
        <v/>
      </c>
      <c r="B23381" s="43" t="n">
        <v>-23.544904</v>
      </c>
      <c r="C23381" s="43" t="n">
        <v>-46.588416</v>
      </c>
      <c r="D23381" s="43" t="n">
        <v>104</v>
      </c>
      <c r="E23381" s="44" t="n">
        <v>2377.1672</v>
      </c>
    </row>
    <row r="23382">
      <c r="A23382" s="39">
        <f>_xlfn.XLOOKUP(84817,Trip[shape_id],Trip[shape_id],"Não encontrado")</f>
        <v/>
      </c>
      <c r="B23382" s="40" t="n">
        <v>-23.544957</v>
      </c>
      <c r="C23382" s="40" t="n">
        <v>-46.588728</v>
      </c>
      <c r="D23382" s="40" t="n">
        <v>105</v>
      </c>
      <c r="E23382" s="41" t="n">
        <v>2409.5608</v>
      </c>
    </row>
    <row r="23383">
      <c r="A23383" s="42">
        <f>_xlfn.XLOOKUP(84817,Trip[shape_id],Trip[shape_id],"Não encontrado")</f>
        <v/>
      </c>
      <c r="B23383" s="43" t="n">
        <v>-23.545025</v>
      </c>
      <c r="C23383" s="43" t="n">
        <v>-46.589044</v>
      </c>
      <c r="D23383" s="43" t="n">
        <v>106</v>
      </c>
      <c r="E23383" s="44" t="n">
        <v>2442.6938</v>
      </c>
    </row>
    <row r="23384">
      <c r="A23384" s="39">
        <f>_xlfn.XLOOKUP(84817,Trip[shape_id],Trip[shape_id],"Não encontrado")</f>
        <v/>
      </c>
      <c r="B23384" s="40" t="n">
        <v>-23.545485</v>
      </c>
      <c r="C23384" s="40" t="n">
        <v>-46.591358</v>
      </c>
      <c r="D23384" s="40" t="n">
        <v>107</v>
      </c>
      <c r="E23384" s="41" t="n">
        <v>2684.3975</v>
      </c>
    </row>
    <row r="23385">
      <c r="A23385" s="42">
        <f>_xlfn.XLOOKUP(84817,Trip[shape_id],Trip[shape_id],"Não encontrado")</f>
        <v/>
      </c>
      <c r="B23385" s="43" t="n">
        <v>-23.545537</v>
      </c>
      <c r="C23385" s="43" t="n">
        <v>-46.591608</v>
      </c>
      <c r="D23385" s="43" t="n">
        <v>108</v>
      </c>
      <c r="E23385" s="44" t="n">
        <v>2710.5654</v>
      </c>
    </row>
    <row r="23386">
      <c r="A23386" s="39">
        <f>_xlfn.XLOOKUP(84817,Trip[shape_id],Trip[shape_id],"Não encontrado")</f>
        <v/>
      </c>
      <c r="B23386" s="40" t="n">
        <v>-23.545565</v>
      </c>
      <c r="C23386" s="40" t="n">
        <v>-46.591733</v>
      </c>
      <c r="D23386" s="40" t="n">
        <v>109</v>
      </c>
      <c r="E23386" s="41" t="n">
        <v>2723.6997</v>
      </c>
    </row>
    <row r="23387">
      <c r="A23387" s="42">
        <f>_xlfn.XLOOKUP(84817,Trip[shape_id],Trip[shape_id],"Não encontrado")</f>
        <v/>
      </c>
      <c r="B23387" s="43" t="n">
        <v>-23.545588</v>
      </c>
      <c r="C23387" s="43" t="n">
        <v>-46.591894</v>
      </c>
      <c r="D23387" s="43" t="n">
        <v>110</v>
      </c>
      <c r="E23387" s="44" t="n">
        <v>2740.335</v>
      </c>
    </row>
    <row r="23388">
      <c r="A23388" s="39">
        <f>_xlfn.XLOOKUP(84817,Trip[shape_id],Trip[shape_id],"Não encontrado")</f>
        <v/>
      </c>
      <c r="B23388" s="40" t="n">
        <v>-23.545614</v>
      </c>
      <c r="C23388" s="40" t="n">
        <v>-46.592029</v>
      </c>
      <c r="D23388" s="40" t="n">
        <v>111</v>
      </c>
      <c r="E23388" s="41" t="n">
        <v>2754.4167</v>
      </c>
    </row>
    <row r="23389">
      <c r="A23389" s="42">
        <f>_xlfn.XLOOKUP(84817,Trip[shape_id],Trip[shape_id],"Não encontrado")</f>
        <v/>
      </c>
      <c r="B23389" s="43" t="n">
        <v>-23.54582</v>
      </c>
      <c r="C23389" s="43" t="n">
        <v>-46.591991</v>
      </c>
      <c r="D23389" s="43" t="n">
        <v>112</v>
      </c>
      <c r="E23389" s="44" t="n">
        <v>2777.5593</v>
      </c>
    </row>
    <row r="23390">
      <c r="A23390" s="39">
        <f>_xlfn.XLOOKUP(84817,Trip[shape_id],Trip[shape_id],"Não encontrado")</f>
        <v/>
      </c>
      <c r="B23390" s="40" t="n">
        <v>-23.545985</v>
      </c>
      <c r="C23390" s="40" t="n">
        <v>-46.592159</v>
      </c>
      <c r="D23390" s="40" t="n">
        <v>113</v>
      </c>
      <c r="E23390" s="41" t="n">
        <v>2802.623</v>
      </c>
    </row>
    <row r="23391">
      <c r="A23391" s="42">
        <f>_xlfn.XLOOKUP(84817,Trip[shape_id],Trip[shape_id],"Não encontrado")</f>
        <v/>
      </c>
      <c r="B23391" s="43" t="n">
        <v>-23.547045</v>
      </c>
      <c r="C23391" s="43" t="n">
        <v>-46.591203</v>
      </c>
      <c r="D23391" s="43" t="n">
        <v>114</v>
      </c>
      <c r="E23391" s="44" t="n">
        <v>2955.2998</v>
      </c>
    </row>
    <row r="23392">
      <c r="A23392" s="39">
        <f>_xlfn.XLOOKUP(84817,Trip[shape_id],Trip[shape_id],"Não encontrado")</f>
        <v/>
      </c>
      <c r="B23392" s="40" t="n">
        <v>-23.54737</v>
      </c>
      <c r="C23392" s="40" t="n">
        <v>-46.590898</v>
      </c>
      <c r="D23392" s="40" t="n">
        <v>115</v>
      </c>
      <c r="E23392" s="41" t="n">
        <v>3045.3379</v>
      </c>
    </row>
    <row r="23393">
      <c r="A23393" s="42">
        <f>_xlfn.XLOOKUP(84817,Trip[shape_id],Trip[shape_id],"Não encontrado")</f>
        <v/>
      </c>
      <c r="B23393" s="43" t="n">
        <v>-23.547666</v>
      </c>
      <c r="C23393" s="43" t="n">
        <v>-46.590634</v>
      </c>
      <c r="D23393" s="43" t="n">
        <v>116</v>
      </c>
      <c r="E23393" s="44" t="n">
        <v>3045.3379</v>
      </c>
    </row>
    <row r="23394">
      <c r="A23394" s="39">
        <f>_xlfn.XLOOKUP(84817,Trip[shape_id],Trip[shape_id],"Não encontrado")</f>
        <v/>
      </c>
      <c r="B23394" s="40" t="n">
        <v>-23.548008</v>
      </c>
      <c r="C23394" s="40" t="n">
        <v>-46.590309</v>
      </c>
      <c r="D23394" s="40" t="n">
        <v>117</v>
      </c>
      <c r="E23394" s="41" t="n">
        <v>3095.6951</v>
      </c>
    </row>
    <row r="23395">
      <c r="A23395" s="42">
        <f>_xlfn.XLOOKUP(84817,Trip[shape_id],Trip[shape_id],"Não encontrado")</f>
        <v/>
      </c>
      <c r="B23395" s="43" t="n">
        <v>-23.548638</v>
      </c>
      <c r="C23395" s="43" t="n">
        <v>-46.589737</v>
      </c>
      <c r="D23395" s="43" t="n">
        <v>118</v>
      </c>
      <c r="E23395" s="44" t="n">
        <v>3186.6858</v>
      </c>
    </row>
    <row r="23396">
      <c r="A23396" s="39">
        <f>_xlfn.XLOOKUP(84817,Trip[shape_id],Trip[shape_id],"Não encontrado")</f>
        <v/>
      </c>
      <c r="B23396" s="40" t="n">
        <v>-23.549239</v>
      </c>
      <c r="C23396" s="40" t="n">
        <v>-46.589182</v>
      </c>
      <c r="D23396" s="40" t="n">
        <v>119</v>
      </c>
      <c r="E23396" s="41" t="n">
        <v>3274.1023</v>
      </c>
    </row>
    <row r="23397">
      <c r="A23397" s="42">
        <f>_xlfn.XLOOKUP(84817,Trip[shape_id],Trip[shape_id],"Não encontrado")</f>
        <v/>
      </c>
      <c r="B23397" s="43" t="n">
        <v>-23.549574</v>
      </c>
      <c r="C23397" s="43" t="n">
        <v>-46.588875</v>
      </c>
      <c r="D23397" s="43" t="n">
        <v>120</v>
      </c>
      <c r="E23397" s="44" t="n">
        <v>3327.3181</v>
      </c>
    </row>
    <row r="23398">
      <c r="A23398" s="39">
        <f>_xlfn.XLOOKUP(84817,Trip[shape_id],Trip[shape_id],"Não encontrado")</f>
        <v/>
      </c>
      <c r="B23398" s="40" t="n">
        <v>-23.549594</v>
      </c>
      <c r="C23398" s="40" t="n">
        <v>-46.588835</v>
      </c>
      <c r="D23398" s="40" t="n">
        <v>121</v>
      </c>
      <c r="E23398" s="41" t="n">
        <v>3333.1292</v>
      </c>
    </row>
    <row r="23399">
      <c r="A23399" s="42">
        <f>_xlfn.XLOOKUP(84817,Trip[shape_id],Trip[shape_id],"Não encontrado")</f>
        <v/>
      </c>
      <c r="B23399" s="43" t="n">
        <v>-23.549642</v>
      </c>
      <c r="C23399" s="43" t="n">
        <v>-46.588812</v>
      </c>
      <c r="D23399" s="43" t="n">
        <v>122</v>
      </c>
      <c r="E23399" s="44" t="n">
        <v>3395.6318</v>
      </c>
    </row>
    <row r="23400">
      <c r="A23400" s="39">
        <f>_xlfn.XLOOKUP(84817,Trip[shape_id],Trip[shape_id],"Não encontrado")</f>
        <v/>
      </c>
      <c r="B23400" s="40" t="n">
        <v>-23.55007</v>
      </c>
      <c r="C23400" s="40" t="n">
        <v>-46.588413</v>
      </c>
      <c r="D23400" s="40" t="n">
        <v>123</v>
      </c>
      <c r="E23400" s="41" t="n">
        <v>3405.7708</v>
      </c>
    </row>
    <row r="23401">
      <c r="A23401" s="42">
        <f>_xlfn.XLOOKUP(84817,Trip[shape_id],Trip[shape_id],"Não encontrado")</f>
        <v/>
      </c>
      <c r="B23401" s="43" t="n">
        <v>-23.550134</v>
      </c>
      <c r="C23401" s="43" t="n">
        <v>-46.588342</v>
      </c>
      <c r="D23401" s="43" t="n">
        <v>124</v>
      </c>
      <c r="E23401" s="44" t="n">
        <v>3405.7708</v>
      </c>
    </row>
    <row r="23402">
      <c r="A23402" s="39">
        <f>_xlfn.XLOOKUP(84817,Trip[shape_id],Trip[shape_id],"Não encontrado")</f>
        <v/>
      </c>
      <c r="B23402" s="40" t="n">
        <v>-23.550564</v>
      </c>
      <c r="C23402" s="40" t="n">
        <v>-46.588772</v>
      </c>
      <c r="D23402" s="40" t="n">
        <v>125</v>
      </c>
      <c r="E23402" s="41" t="n">
        <v>3470.5437</v>
      </c>
    </row>
    <row r="23403">
      <c r="A23403" s="42">
        <f>_xlfn.XLOOKUP(84817,Trip[shape_id],Trip[shape_id],"Não encontrado")</f>
        <v/>
      </c>
      <c r="B23403" s="43" t="n">
        <v>-23.551097</v>
      </c>
      <c r="C23403" s="43" t="n">
        <v>-46.589305</v>
      </c>
      <c r="D23403" s="43" t="n">
        <v>126</v>
      </c>
      <c r="E23403" s="44" t="n">
        <v>3550.8318</v>
      </c>
    </row>
    <row r="23404">
      <c r="A23404" s="39">
        <f>_xlfn.XLOOKUP(84817,Trip[shape_id],Trip[shape_id],"Não encontrado")</f>
        <v/>
      </c>
      <c r="B23404" s="40" t="n">
        <v>-23.551137</v>
      </c>
      <c r="C23404" s="40" t="n">
        <v>-46.589324</v>
      </c>
      <c r="D23404" s="40" t="n">
        <v>127</v>
      </c>
      <c r="E23404" s="41" t="n">
        <v>3555.6685</v>
      </c>
    </row>
    <row r="23405">
      <c r="A23405" s="42">
        <f>_xlfn.XLOOKUP(84817,Trip[shape_id],Trip[shape_id],"Não encontrado")</f>
        <v/>
      </c>
      <c r="B23405" s="43" t="n">
        <v>-23.551167</v>
      </c>
      <c r="C23405" s="43" t="n">
        <v>-46.589372</v>
      </c>
      <c r="D23405" s="43" t="n">
        <v>128</v>
      </c>
      <c r="E23405" s="44" t="n">
        <v>3561.5894</v>
      </c>
    </row>
    <row r="23406">
      <c r="A23406" s="39">
        <f>_xlfn.XLOOKUP(84817,Trip[shape_id],Trip[shape_id],"Não encontrado")</f>
        <v/>
      </c>
      <c r="B23406" s="40" t="n">
        <v>-23.551268</v>
      </c>
      <c r="C23406" s="40" t="n">
        <v>-46.589472</v>
      </c>
      <c r="D23406" s="40" t="n">
        <v>129</v>
      </c>
      <c r="E23406" s="41" t="n">
        <v>3576.7346</v>
      </c>
    </row>
    <row r="23407">
      <c r="A23407" s="42">
        <f>_xlfn.XLOOKUP(84817,Trip[shape_id],Trip[shape_id],"Não encontrado")</f>
        <v/>
      </c>
      <c r="B23407" s="43" t="n">
        <v>-23.551671</v>
      </c>
      <c r="C23407" s="43" t="n">
        <v>-46.589882</v>
      </c>
      <c r="D23407" s="43" t="n">
        <v>130</v>
      </c>
      <c r="E23407" s="44" t="n">
        <v>3637.927</v>
      </c>
    </row>
    <row r="23408">
      <c r="A23408" s="39">
        <f>_xlfn.XLOOKUP(84817,Trip[shape_id],Trip[shape_id],"Não encontrado")</f>
        <v/>
      </c>
      <c r="B23408" s="40" t="n">
        <v>-23.552051</v>
      </c>
      <c r="C23408" s="40" t="n">
        <v>-46.590263</v>
      </c>
      <c r="D23408" s="40" t="n">
        <v>131</v>
      </c>
      <c r="E23408" s="41" t="n">
        <v>3695.2371</v>
      </c>
    </row>
    <row r="23409">
      <c r="A23409" s="42">
        <f>_xlfn.XLOOKUP(84817,Trip[shape_id],Trip[shape_id],"Não encontrado")</f>
        <v/>
      </c>
      <c r="B23409" s="43" t="n">
        <v>-23.552437</v>
      </c>
      <c r="C23409" s="43" t="n">
        <v>-46.590639</v>
      </c>
      <c r="D23409" s="43" t="n">
        <v>132</v>
      </c>
      <c r="E23409" s="44" t="n">
        <v>3752.6946</v>
      </c>
    </row>
    <row r="23410">
      <c r="A23410" s="39">
        <f>_xlfn.XLOOKUP(84817,Trip[shape_id],Trip[shape_id],"Não encontrado")</f>
        <v/>
      </c>
      <c r="B23410" s="40" t="n">
        <v>-23.552742</v>
      </c>
      <c r="C23410" s="40" t="n">
        <v>-46.590936</v>
      </c>
      <c r="D23410" s="40" t="n">
        <v>133</v>
      </c>
      <c r="E23410" s="41" t="n">
        <v>3798.0881</v>
      </c>
    </row>
    <row r="23411">
      <c r="A23411" s="42">
        <f>_xlfn.XLOOKUP(84817,Trip[shape_id],Trip[shape_id],"Não encontrado")</f>
        <v/>
      </c>
      <c r="B23411" s="43" t="n">
        <v>-23.552889</v>
      </c>
      <c r="C23411" s="43" t="n">
        <v>-46.591047</v>
      </c>
      <c r="D23411" s="43" t="n">
        <v>134</v>
      </c>
      <c r="E23411" s="44" t="n">
        <v>3817.9248</v>
      </c>
    </row>
    <row r="23412">
      <c r="A23412" s="39">
        <f>_xlfn.XLOOKUP(84817,Trip[shape_id],Trip[shape_id],"Não encontrado")</f>
        <v/>
      </c>
      <c r="B23412" s="40" t="n">
        <v>-23.553238</v>
      </c>
      <c r="C23412" s="40" t="n">
        <v>-46.591056</v>
      </c>
      <c r="D23412" s="40" t="n">
        <v>135</v>
      </c>
      <c r="E23412" s="41" t="n">
        <v>3856.5881</v>
      </c>
    </row>
    <row r="23413">
      <c r="A23413" s="42">
        <f>_xlfn.XLOOKUP(84817,Trip[shape_id],Trip[shape_id],"Não encontrado")</f>
        <v/>
      </c>
      <c r="B23413" s="43" t="n">
        <v>-23.553558</v>
      </c>
      <c r="C23413" s="43" t="n">
        <v>-46.591058</v>
      </c>
      <c r="D23413" s="43" t="n">
        <v>136</v>
      </c>
      <c r="E23413" s="44" t="n">
        <v>3892.0293</v>
      </c>
    </row>
    <row r="23414">
      <c r="A23414" s="39">
        <f>_xlfn.XLOOKUP(84817,Trip[shape_id],Trip[shape_id],"Não encontrado")</f>
        <v/>
      </c>
      <c r="B23414" s="40" t="n">
        <v>-23.553683</v>
      </c>
      <c r="C23414" s="40" t="n">
        <v>-46.591065</v>
      </c>
      <c r="D23414" s="40" t="n">
        <v>137</v>
      </c>
      <c r="E23414" s="41" t="n">
        <v>3905.8916</v>
      </c>
    </row>
    <row r="23415">
      <c r="A23415" s="42">
        <f>_xlfn.XLOOKUP(84817,Trip[shape_id],Trip[shape_id],"Não encontrado")</f>
        <v/>
      </c>
      <c r="B23415" s="43" t="n">
        <v>-23.553939</v>
      </c>
      <c r="C23415" s="43" t="n">
        <v>-46.591073</v>
      </c>
      <c r="D23415" s="43" t="n">
        <v>138</v>
      </c>
      <c r="E23415" s="44" t="n">
        <v>3934.2559</v>
      </c>
    </row>
    <row r="23416">
      <c r="A23416" s="39">
        <f>_xlfn.XLOOKUP(84817,Trip[shape_id],Trip[shape_id],"Não encontrado")</f>
        <v/>
      </c>
      <c r="B23416" s="40" t="n">
        <v>-23.55398</v>
      </c>
      <c r="C23416" s="40" t="n">
        <v>-46.591099</v>
      </c>
      <c r="D23416" s="40" t="n">
        <v>139</v>
      </c>
      <c r="E23416" s="41" t="n">
        <v>3939.5159</v>
      </c>
    </row>
    <row r="23417">
      <c r="A23417" s="42">
        <f>_xlfn.XLOOKUP(84817,Trip[shape_id],Trip[shape_id],"Não encontrado")</f>
        <v/>
      </c>
      <c r="B23417" s="43" t="n">
        <v>-23.554259</v>
      </c>
      <c r="C23417" s="43" t="n">
        <v>-46.591287</v>
      </c>
      <c r="D23417" s="43" t="n">
        <v>140</v>
      </c>
      <c r="E23417" s="44" t="n">
        <v>3975.8921</v>
      </c>
    </row>
    <row r="23418">
      <c r="A23418" s="39">
        <f>_xlfn.XLOOKUP(84817,Trip[shape_id],Trip[shape_id],"Não encontrado")</f>
        <v/>
      </c>
      <c r="B23418" s="40" t="n">
        <v>-23.555237</v>
      </c>
      <c r="C23418" s="40" t="n">
        <v>-46.59196</v>
      </c>
      <c r="D23418" s="40" t="n">
        <v>141</v>
      </c>
      <c r="E23418" s="41" t="n">
        <v>4104.1636</v>
      </c>
    </row>
    <row r="23419">
      <c r="A23419" s="42">
        <f>_xlfn.XLOOKUP(84817,Trip[shape_id],Trip[shape_id],"Não encontrado")</f>
        <v/>
      </c>
      <c r="B23419" s="43" t="n">
        <v>-23.554809</v>
      </c>
      <c r="C23419" s="43" t="n">
        <v>-46.592823</v>
      </c>
      <c r="D23419" s="43" t="n">
        <v>142</v>
      </c>
      <c r="E23419" s="44" t="n">
        <v>4204.2158</v>
      </c>
    </row>
    <row r="23420">
      <c r="A23420" s="39">
        <f>_xlfn.XLOOKUP(84817,Trip[shape_id],Trip[shape_id],"Não encontrado")</f>
        <v/>
      </c>
      <c r="B23420" s="40" t="n">
        <v>-23.554704</v>
      </c>
      <c r="C23420" s="40" t="n">
        <v>-46.593014</v>
      </c>
      <c r="D23420" s="40" t="n">
        <v>143</v>
      </c>
      <c r="E23420" s="41" t="n">
        <v>4226.9209</v>
      </c>
    </row>
    <row r="23421">
      <c r="A23421" s="42">
        <f>_xlfn.XLOOKUP(84817,Trip[shape_id],Trip[shape_id],"Não encontrado")</f>
        <v/>
      </c>
      <c r="B23421" s="43" t="n">
        <v>-23.554565</v>
      </c>
      <c r="C23421" s="43" t="n">
        <v>-46.593276</v>
      </c>
      <c r="D23421" s="43" t="n">
        <v>144</v>
      </c>
      <c r="E23421" s="44" t="n">
        <v>4257.7842</v>
      </c>
    </row>
    <row r="23422">
      <c r="A23422" s="39">
        <f>_xlfn.XLOOKUP(84817,Trip[shape_id],Trip[shape_id],"Não encontrado")</f>
        <v/>
      </c>
      <c r="B23422" s="40" t="n">
        <v>-23.554483</v>
      </c>
      <c r="C23422" s="40" t="n">
        <v>-46.593306</v>
      </c>
      <c r="D23422" s="40" t="n">
        <v>145</v>
      </c>
      <c r="E23422" s="41" t="n">
        <v>4267.3682</v>
      </c>
    </row>
    <row r="23423">
      <c r="A23423" s="42">
        <f>_xlfn.XLOOKUP(84817,Trip[shape_id],Trip[shape_id],"Não encontrado")</f>
        <v/>
      </c>
      <c r="B23423" s="43" t="n">
        <v>-23.554421</v>
      </c>
      <c r="C23423" s="43" t="n">
        <v>-46.59334</v>
      </c>
      <c r="D23423" s="43" t="n">
        <v>146</v>
      </c>
      <c r="E23423" s="44" t="n">
        <v>4275.0625</v>
      </c>
    </row>
    <row r="23424">
      <c r="A23424" s="39">
        <f>_xlfn.XLOOKUP(84817,Trip[shape_id],Trip[shape_id],"Não encontrado")</f>
        <v/>
      </c>
      <c r="B23424" s="40" t="n">
        <v>-23.554291</v>
      </c>
      <c r="C23424" s="40" t="n">
        <v>-46.59346</v>
      </c>
      <c r="D23424" s="40" t="n">
        <v>147</v>
      </c>
      <c r="E23424" s="41" t="n">
        <v>4293.9673</v>
      </c>
    </row>
    <row r="23425">
      <c r="A23425" s="42">
        <f>_xlfn.XLOOKUP(84817,Trip[shape_id],Trip[shape_id],"Não encontrado")</f>
        <v/>
      </c>
      <c r="B23425" s="43" t="n">
        <v>-23.554226</v>
      </c>
      <c r="C23425" s="43" t="n">
        <v>-46.593528</v>
      </c>
      <c r="D23425" s="43" t="n">
        <v>148</v>
      </c>
      <c r="E23425" s="44" t="n">
        <v>4303.9688</v>
      </c>
    </row>
    <row r="23426">
      <c r="A23426" s="39">
        <f>_xlfn.XLOOKUP(84817,Trip[shape_id],Trip[shape_id],"Não encontrado")</f>
        <v/>
      </c>
      <c r="B23426" s="40" t="n">
        <v>-23.553948</v>
      </c>
      <c r="C23426" s="40" t="n">
        <v>-46.593874</v>
      </c>
      <c r="D23426" s="40" t="n">
        <v>149</v>
      </c>
      <c r="E23426" s="41" t="n">
        <v>4350.8296</v>
      </c>
    </row>
    <row r="23427">
      <c r="A23427" s="42">
        <f>_xlfn.XLOOKUP(84817,Trip[shape_id],Trip[shape_id],"Não encontrado")</f>
        <v/>
      </c>
      <c r="B23427" s="43" t="n">
        <v>-23.554197</v>
      </c>
      <c r="C23427" s="43" t="n">
        <v>-46.594037</v>
      </c>
      <c r="D23427" s="43" t="n">
        <v>150</v>
      </c>
      <c r="E23427" s="44" t="n">
        <v>4383.0391</v>
      </c>
    </row>
    <row r="23428">
      <c r="A23428" s="39">
        <f>_xlfn.XLOOKUP(84817,Trip[shape_id],Trip[shape_id],"Não encontrado")</f>
        <v/>
      </c>
      <c r="B23428" s="40" t="n">
        <v>-23.554569</v>
      </c>
      <c r="C23428" s="40" t="n">
        <v>-46.594224</v>
      </c>
      <c r="D23428" s="40" t="n">
        <v>151</v>
      </c>
      <c r="E23428" s="41" t="n">
        <v>4428.4478</v>
      </c>
    </row>
    <row r="23429">
      <c r="A23429" s="42">
        <f>_xlfn.XLOOKUP(84817,Trip[shape_id],Trip[shape_id],"Não encontrado")</f>
        <v/>
      </c>
      <c r="B23429" s="43" t="n">
        <v>-23.55498</v>
      </c>
      <c r="C23429" s="43" t="n">
        <v>-46.594449</v>
      </c>
      <c r="D23429" s="43" t="n">
        <v>152</v>
      </c>
      <c r="E23429" s="44" t="n">
        <v>4479.4351</v>
      </c>
    </row>
    <row r="23430">
      <c r="A23430" s="39">
        <f>_xlfn.XLOOKUP(84817,Trip[shape_id],Trip[shape_id],"Não encontrado")</f>
        <v/>
      </c>
      <c r="B23430" s="40" t="n">
        <v>-23.555479</v>
      </c>
      <c r="C23430" s="40" t="n">
        <v>-46.594723</v>
      </c>
      <c r="D23430" s="40" t="n">
        <v>153</v>
      </c>
      <c r="E23430" s="41" t="n">
        <v>4541.3774</v>
      </c>
    </row>
    <row r="23431">
      <c r="A23431" s="42">
        <f>_xlfn.XLOOKUP(84817,Trip[shape_id],Trip[shape_id],"Não encontrado")</f>
        <v/>
      </c>
      <c r="B23431" s="43" t="n">
        <v>-23.555733</v>
      </c>
      <c r="C23431" s="43" t="n">
        <v>-46.594849</v>
      </c>
      <c r="D23431" s="43" t="n">
        <v>154</v>
      </c>
      <c r="E23431" s="44" t="n">
        <v>4572.3101</v>
      </c>
    </row>
    <row r="23432">
      <c r="A23432" s="39">
        <f>_xlfn.XLOOKUP(84817,Trip[shape_id],Trip[shape_id],"Não encontrado")</f>
        <v/>
      </c>
      <c r="B23432" s="40" t="n">
        <v>-23.556308</v>
      </c>
      <c r="C23432" s="40" t="n">
        <v>-46.595161</v>
      </c>
      <c r="D23432" s="40" t="n">
        <v>155</v>
      </c>
      <c r="E23432" s="41" t="n">
        <v>4643.5151</v>
      </c>
    </row>
    <row r="23433">
      <c r="A23433" s="42">
        <f>_xlfn.XLOOKUP(84817,Trip[shape_id],Trip[shape_id],"Não encontrado")</f>
        <v/>
      </c>
      <c r="B23433" s="43" t="n">
        <v>-23.556064</v>
      </c>
      <c r="C23433" s="43" t="n">
        <v>-46.595708</v>
      </c>
      <c r="D23433" s="43" t="n">
        <v>156</v>
      </c>
      <c r="E23433" s="44" t="n">
        <v>4705.5571</v>
      </c>
    </row>
    <row r="23434">
      <c r="A23434" s="39">
        <f>_xlfn.XLOOKUP(84817,Trip[shape_id],Trip[shape_id],"Não encontrado")</f>
        <v/>
      </c>
      <c r="B23434" s="40" t="n">
        <v>-23.55594</v>
      </c>
      <c r="C23434" s="40" t="n">
        <v>-46.595976</v>
      </c>
      <c r="D23434" s="40" t="n">
        <v>157</v>
      </c>
      <c r="E23434" s="41" t="n">
        <v>4736.1724</v>
      </c>
    </row>
    <row r="23435">
      <c r="A23435" s="42">
        <f>_xlfn.XLOOKUP(84817,Trip[shape_id],Trip[shape_id],"Não encontrado")</f>
        <v/>
      </c>
      <c r="B23435" s="43" t="n">
        <v>-23.555928</v>
      </c>
      <c r="C23435" s="43" t="n">
        <v>-46.596042</v>
      </c>
      <c r="D23435" s="43" t="n">
        <v>158</v>
      </c>
      <c r="E23435" s="44" t="n">
        <v>4743.041</v>
      </c>
    </row>
    <row r="23436">
      <c r="A23436" s="39">
        <f>_xlfn.XLOOKUP(84817,Trip[shape_id],Trip[shape_id],"Não encontrado")</f>
        <v/>
      </c>
      <c r="B23436" s="40" t="n">
        <v>-23.555905</v>
      </c>
      <c r="C23436" s="40" t="n">
        <v>-46.596136</v>
      </c>
      <c r="D23436" s="40" t="n">
        <v>159</v>
      </c>
      <c r="E23436" s="41" t="n">
        <v>4752.9707</v>
      </c>
    </row>
    <row r="23437">
      <c r="A23437" s="42">
        <f>_xlfn.XLOOKUP(84817,Trip[shape_id],Trip[shape_id],"Não encontrado")</f>
        <v/>
      </c>
      <c r="B23437" s="43" t="n">
        <v>-23.555825</v>
      </c>
      <c r="C23437" s="43" t="n">
        <v>-46.596926</v>
      </c>
      <c r="D23437" s="43" t="n">
        <v>160</v>
      </c>
      <c r="E23437" s="44" t="n">
        <v>4834.1133</v>
      </c>
    </row>
    <row r="23438">
      <c r="A23438" s="39">
        <f>_xlfn.XLOOKUP(84817,Trip[shape_id],Trip[shape_id],"Não encontrado")</f>
        <v/>
      </c>
      <c r="B23438" s="40" t="n">
        <v>-23.555562</v>
      </c>
      <c r="C23438" s="40" t="n">
        <v>-46.599728</v>
      </c>
      <c r="D23438" s="40" t="n">
        <v>161</v>
      </c>
      <c r="E23438" s="41" t="n">
        <v>5121.6709</v>
      </c>
    </row>
    <row r="23439">
      <c r="A23439" s="42">
        <f>_xlfn.XLOOKUP(84817,Trip[shape_id],Trip[shape_id],"Não encontrado")</f>
        <v/>
      </c>
      <c r="B23439" s="43" t="n">
        <v>-23.555549</v>
      </c>
      <c r="C23439" s="43" t="n">
        <v>-46.599795</v>
      </c>
      <c r="D23439" s="43" t="n">
        <v>162</v>
      </c>
      <c r="E23439" s="44" t="n">
        <v>5128.6621</v>
      </c>
    </row>
    <row r="23440">
      <c r="A23440" s="39">
        <f>_xlfn.XLOOKUP(84817,Trip[shape_id],Trip[shape_id],"Não encontrado")</f>
        <v/>
      </c>
      <c r="B23440" s="40" t="n">
        <v>-23.555527</v>
      </c>
      <c r="C23440" s="40" t="n">
        <v>-46.600031</v>
      </c>
      <c r="D23440" s="40" t="n">
        <v>163</v>
      </c>
      <c r="E23440" s="41" t="n">
        <v>5152.8799</v>
      </c>
    </row>
    <row r="23441">
      <c r="A23441" s="42">
        <f>_xlfn.XLOOKUP(84817,Trip[shape_id],Trip[shape_id],"Não encontrado")</f>
        <v/>
      </c>
      <c r="B23441" s="43" t="n">
        <v>-23.555513</v>
      </c>
      <c r="C23441" s="43" t="n">
        <v>-46.600176</v>
      </c>
      <c r="D23441" s="43" t="n">
        <v>164</v>
      </c>
      <c r="E23441" s="44" t="n">
        <v>5167.7651</v>
      </c>
    </row>
    <row r="23442">
      <c r="A23442" s="39">
        <f>_xlfn.XLOOKUP(84817,Trip[shape_id],Trip[shape_id],"Não encontrado")</f>
        <v/>
      </c>
      <c r="B23442" s="40" t="n">
        <v>-23.55644</v>
      </c>
      <c r="C23442" s="40" t="n">
        <v>-46.600275</v>
      </c>
      <c r="D23442" s="40" t="n">
        <v>165</v>
      </c>
      <c r="E23442" s="41" t="n">
        <v>5270.9282</v>
      </c>
    </row>
    <row r="23443">
      <c r="A23443" s="42">
        <f>_xlfn.XLOOKUP(84817,Trip[shape_id],Trip[shape_id],"Não encontrado")</f>
        <v/>
      </c>
      <c r="B23443" s="43" t="n">
        <v>-23.556476</v>
      </c>
      <c r="C23443" s="43" t="n">
        <v>-46.600281</v>
      </c>
      <c r="D23443" s="43" t="n">
        <v>166</v>
      </c>
      <c r="E23443" s="44" t="n">
        <v>5274.9629</v>
      </c>
    </row>
    <row r="23444">
      <c r="A23444" s="39">
        <f>_xlfn.XLOOKUP(84817,Trip[shape_id],Trip[shape_id],"Não encontrado")</f>
        <v/>
      </c>
      <c r="B23444" s="40" t="n">
        <v>-23.556628</v>
      </c>
      <c r="C23444" s="40" t="n">
        <v>-46.600253</v>
      </c>
      <c r="D23444" s="40" t="n">
        <v>167</v>
      </c>
      <c r="E23444" s="41" t="n">
        <v>5292.0381</v>
      </c>
    </row>
    <row r="23445">
      <c r="A23445" s="42">
        <f>_xlfn.XLOOKUP(84817,Trip[shape_id],Trip[shape_id],"Não encontrado")</f>
        <v/>
      </c>
      <c r="B23445" s="43" t="n">
        <v>-23.556747</v>
      </c>
      <c r="C23445" s="43" t="n">
        <v>-46.600241</v>
      </c>
      <c r="D23445" s="43" t="n">
        <v>168</v>
      </c>
      <c r="E23445" s="44" t="n">
        <v>5305.2744</v>
      </c>
    </row>
    <row r="23446">
      <c r="A23446" s="39">
        <f>_xlfn.XLOOKUP(84817,Trip[shape_id],Trip[shape_id],"Não encontrado")</f>
        <v/>
      </c>
      <c r="B23446" s="40" t="n">
        <v>-23.556807</v>
      </c>
      <c r="C23446" s="40" t="n">
        <v>-46.600242</v>
      </c>
      <c r="D23446" s="40" t="n">
        <v>169</v>
      </c>
      <c r="E23446" s="41" t="n">
        <v>5311.9209</v>
      </c>
    </row>
    <row r="23447">
      <c r="A23447" s="42">
        <f>_xlfn.XLOOKUP(84817,Trip[shape_id],Trip[shape_id],"Não encontrado")</f>
        <v/>
      </c>
      <c r="B23447" s="43" t="n">
        <v>-23.556845</v>
      </c>
      <c r="C23447" s="43" t="n">
        <v>-46.600194</v>
      </c>
      <c r="D23447" s="43" t="n">
        <v>170</v>
      </c>
      <c r="E23447" s="44" t="n">
        <v>5318.3804</v>
      </c>
    </row>
    <row r="23448">
      <c r="A23448" s="39">
        <f>_xlfn.XLOOKUP(84817,Trip[shape_id],Trip[shape_id],"Não encontrado")</f>
        <v/>
      </c>
      <c r="B23448" s="40" t="n">
        <v>-23.556884</v>
      </c>
      <c r="C23448" s="40" t="n">
        <v>-46.600248</v>
      </c>
      <c r="D23448" s="40" t="n">
        <v>171</v>
      </c>
      <c r="E23448" s="41" t="n">
        <v>5325.3843</v>
      </c>
    </row>
    <row r="23449">
      <c r="A23449" s="42">
        <f>_xlfn.XLOOKUP(84817,Trip[shape_id],Trip[shape_id],"Não encontrado")</f>
        <v/>
      </c>
      <c r="B23449" s="43" t="n">
        <v>-23.556963</v>
      </c>
      <c r="C23449" s="43" t="n">
        <v>-46.600256</v>
      </c>
      <c r="D23449" s="43" t="n">
        <v>172</v>
      </c>
      <c r="E23449" s="44" t="n">
        <v>5334.1714</v>
      </c>
    </row>
    <row r="23450">
      <c r="A23450" s="39">
        <f>_xlfn.XLOOKUP(84817,Trip[shape_id],Trip[shape_id],"Não encontrado")</f>
        <v/>
      </c>
      <c r="B23450" s="40" t="n">
        <v>-23.557047</v>
      </c>
      <c r="C23450" s="40" t="n">
        <v>-46.600276</v>
      </c>
      <c r="D23450" s="40" t="n">
        <v>173</v>
      </c>
      <c r="E23450" s="41" t="n">
        <v>5343.6963</v>
      </c>
    </row>
    <row r="23451">
      <c r="A23451" s="42">
        <f>_xlfn.XLOOKUP(84817,Trip[shape_id],Trip[shape_id],"Não encontrado")</f>
        <v/>
      </c>
      <c r="B23451" s="43" t="n">
        <v>-23.557184</v>
      </c>
      <c r="C23451" s="43" t="n">
        <v>-46.600316</v>
      </c>
      <c r="D23451" s="43" t="n">
        <v>174</v>
      </c>
      <c r="E23451" s="44" t="n">
        <v>5359.4097</v>
      </c>
    </row>
    <row r="23452">
      <c r="A23452" s="39">
        <f>_xlfn.XLOOKUP(84817,Trip[shape_id],Trip[shape_id],"Não encontrado")</f>
        <v/>
      </c>
      <c r="B23452" s="40" t="n">
        <v>-23.557248</v>
      </c>
      <c r="C23452" s="40" t="n">
        <v>-46.600359</v>
      </c>
      <c r="D23452" s="40" t="n">
        <v>175</v>
      </c>
      <c r="E23452" s="41" t="n">
        <v>5367.7476</v>
      </c>
    </row>
    <row r="23453">
      <c r="A23453" s="42">
        <f>_xlfn.XLOOKUP(84817,Trip[shape_id],Trip[shape_id],"Não encontrado")</f>
        <v/>
      </c>
      <c r="B23453" s="43" t="n">
        <v>-23.55728</v>
      </c>
      <c r="C23453" s="43" t="n">
        <v>-46.600356</v>
      </c>
      <c r="D23453" s="43" t="n">
        <v>176</v>
      </c>
      <c r="E23453" s="44" t="n">
        <v>5371.3037</v>
      </c>
    </row>
    <row r="23454">
      <c r="A23454" s="39">
        <f>_xlfn.XLOOKUP(84817,Trip[shape_id],Trip[shape_id],"Não encontrado")</f>
        <v/>
      </c>
      <c r="B23454" s="40" t="n">
        <v>-23.557731</v>
      </c>
      <c r="C23454" s="40" t="n">
        <v>-46.600401</v>
      </c>
      <c r="D23454" s="40" t="n">
        <v>177</v>
      </c>
      <c r="E23454" s="41" t="n">
        <v>5444.1685</v>
      </c>
    </row>
    <row r="23455">
      <c r="A23455" s="42">
        <f>_xlfn.XLOOKUP(84817,Trip[shape_id],Trip[shape_id],"Não encontrado")</f>
        <v/>
      </c>
      <c r="B23455" s="43" t="n">
        <v>-23.557935</v>
      </c>
      <c r="C23455" s="43" t="n">
        <v>-46.600423</v>
      </c>
      <c r="D23455" s="43" t="n">
        <v>178</v>
      </c>
      <c r="E23455" s="44" t="n">
        <v>5462.6709</v>
      </c>
    </row>
    <row r="23456">
      <c r="A23456" s="39">
        <f>_xlfn.XLOOKUP(84817,Trip[shape_id],Trip[shape_id],"Não encontrado")</f>
        <v/>
      </c>
      <c r="B23456" s="40" t="n">
        <v>-23.558102</v>
      </c>
      <c r="C23456" s="40" t="n">
        <v>-46.600428</v>
      </c>
      <c r="D23456" s="40" t="n">
        <v>179</v>
      </c>
      <c r="E23456" s="41" t="n">
        <v>5495.7871</v>
      </c>
    </row>
    <row r="23457">
      <c r="A23457" s="42">
        <f>_xlfn.XLOOKUP(84817,Trip[shape_id],Trip[shape_id],"Não encontrado")</f>
        <v/>
      </c>
      <c r="B23457" s="43" t="n">
        <v>-23.558401</v>
      </c>
      <c r="C23457" s="43" t="n">
        <v>-46.600431</v>
      </c>
      <c r="D23457" s="43" t="n">
        <v>180</v>
      </c>
      <c r="E23457" s="44" t="n">
        <v>5533.9429</v>
      </c>
    </row>
    <row r="23458">
      <c r="A23458" s="39">
        <f>_xlfn.XLOOKUP(84817,Trip[shape_id],Trip[shape_id],"Não encontrado")</f>
        <v/>
      </c>
      <c r="B23458" s="40" t="n">
        <v>-23.558744</v>
      </c>
      <c r="C23458" s="40" t="n">
        <v>-46.600396</v>
      </c>
      <c r="D23458" s="40" t="n">
        <v>181</v>
      </c>
      <c r="E23458" s="41" t="n">
        <v>5550.7266</v>
      </c>
    </row>
    <row r="23459">
      <c r="A23459" s="42">
        <f>_xlfn.XLOOKUP(84817,Trip[shape_id],Trip[shape_id],"Não encontrado")</f>
        <v/>
      </c>
      <c r="B23459" s="43" t="n">
        <v>-23.558893</v>
      </c>
      <c r="C23459" s="43" t="n">
        <v>-46.600366</v>
      </c>
      <c r="D23459" s="43" t="n">
        <v>182</v>
      </c>
      <c r="E23459" s="44" t="n">
        <v>5566.8618</v>
      </c>
    </row>
    <row r="23460">
      <c r="A23460" s="39">
        <f>_xlfn.XLOOKUP(84817,Trip[shape_id],Trip[shape_id],"Não encontrado")</f>
        <v/>
      </c>
      <c r="B23460" s="40" t="n">
        <v>-23.559037</v>
      </c>
      <c r="C23460" s="40" t="n">
        <v>-46.600342</v>
      </c>
      <c r="D23460" s="40" t="n">
        <v>183</v>
      </c>
      <c r="E23460" s="41" t="n">
        <v>5566.8618</v>
      </c>
    </row>
    <row r="23461">
      <c r="A23461" s="42">
        <f>_xlfn.XLOOKUP(84817,Trip[shape_id],Trip[shape_id],"Não encontrado")</f>
        <v/>
      </c>
      <c r="B23461" s="43" t="n">
        <v>-23.55927</v>
      </c>
      <c r="C23461" s="43" t="n">
        <v>-46.600261</v>
      </c>
      <c r="D23461" s="43" t="n">
        <v>184</v>
      </c>
      <c r="E23461" s="44" t="n">
        <v>5593.9595</v>
      </c>
    </row>
    <row r="23462">
      <c r="A23462" s="39">
        <f>_xlfn.XLOOKUP(84817,Trip[shape_id],Trip[shape_id],"Não encontrado")</f>
        <v/>
      </c>
      <c r="B23462" s="40" t="n">
        <v>-23.559393</v>
      </c>
      <c r="C23462" s="40" t="n">
        <v>-46.600209</v>
      </c>
      <c r="D23462" s="40" t="n">
        <v>185</v>
      </c>
      <c r="E23462" s="41" t="n">
        <v>5648.1621</v>
      </c>
    </row>
    <row r="23463">
      <c r="A23463" s="42">
        <f>_xlfn.XLOOKUP(84817,Trip[shape_id],Trip[shape_id],"Não encontrado")</f>
        <v/>
      </c>
      <c r="B23463" s="43" t="n">
        <v>-23.559731</v>
      </c>
      <c r="C23463" s="43" t="n">
        <v>-46.600083</v>
      </c>
      <c r="D23463" s="43" t="n">
        <v>186</v>
      </c>
      <c r="E23463" s="44" t="n">
        <v>5694.6689</v>
      </c>
    </row>
    <row r="23464">
      <c r="A23464" s="39">
        <f>_xlfn.XLOOKUP(84817,Trip[shape_id],Trip[shape_id],"Não encontrado")</f>
        <v/>
      </c>
      <c r="B23464" s="40" t="n">
        <v>-23.560094</v>
      </c>
      <c r="C23464" s="40" t="n">
        <v>-46.599854</v>
      </c>
      <c r="D23464" s="40" t="n">
        <v>187</v>
      </c>
      <c r="E23464" s="41" t="n">
        <v>5699.3418</v>
      </c>
    </row>
    <row r="23465">
      <c r="A23465" s="42">
        <f>_xlfn.XLOOKUP(84817,Trip[shape_id],Trip[shape_id],"Não encontrado")</f>
        <v/>
      </c>
      <c r="B23465" s="43" t="n">
        <v>-23.560131</v>
      </c>
      <c r="C23465" s="43" t="n">
        <v>-46.599832</v>
      </c>
      <c r="D23465" s="43" t="n">
        <v>188</v>
      </c>
      <c r="E23465" s="44" t="n">
        <v>5727.9194</v>
      </c>
    </row>
    <row r="23466">
      <c r="A23466" s="39">
        <f>_xlfn.XLOOKUP(84817,Trip[shape_id],Trip[shape_id],"Não encontrado")</f>
        <v/>
      </c>
      <c r="B23466" s="40" t="n">
        <v>-23.560344</v>
      </c>
      <c r="C23466" s="40" t="n">
        <v>-46.599674</v>
      </c>
      <c r="D23466" s="40" t="n">
        <v>189</v>
      </c>
      <c r="E23466" s="41" t="n">
        <v>5727.9194</v>
      </c>
    </row>
    <row r="23467">
      <c r="A23467" s="42">
        <f>_xlfn.XLOOKUP(84817,Trip[shape_id],Trip[shape_id],"Não encontrado")</f>
        <v/>
      </c>
      <c r="B23467" s="43" t="n">
        <v>-23.561218</v>
      </c>
      <c r="C23467" s="43" t="n">
        <v>-46.599013</v>
      </c>
      <c r="D23467" s="43" t="n">
        <v>190</v>
      </c>
      <c r="E23467" s="44" t="n">
        <v>5973.3608</v>
      </c>
    </row>
    <row r="23468">
      <c r="A23468" s="39">
        <f>_xlfn.XLOOKUP(84817,Trip[shape_id],Trip[shape_id],"Não encontrado")</f>
        <v/>
      </c>
      <c r="B23468" s="40" t="n">
        <v>-23.562158</v>
      </c>
      <c r="C23468" s="40" t="n">
        <v>-46.598293</v>
      </c>
      <c r="D23468" s="40" t="n">
        <v>191</v>
      </c>
      <c r="E23468" s="41" t="n">
        <v>5973.3608</v>
      </c>
    </row>
    <row r="23469">
      <c r="A23469" s="42">
        <f>_xlfn.XLOOKUP(84817,Trip[shape_id],Trip[shape_id],"Não encontrado")</f>
        <v/>
      </c>
      <c r="B23469" s="43" t="n">
        <v>-23.562219</v>
      </c>
      <c r="C23469" s="43" t="n">
        <v>-46.598254</v>
      </c>
      <c r="D23469" s="43" t="n">
        <v>192</v>
      </c>
      <c r="E23469" s="44" t="n">
        <v>5981.2026</v>
      </c>
    </row>
    <row r="23470">
      <c r="A23470" s="39">
        <f>_xlfn.XLOOKUP(84817,Trip[shape_id],Trip[shape_id],"Não encontrado")</f>
        <v/>
      </c>
      <c r="B23470" s="40" t="n">
        <v>-23.562317</v>
      </c>
      <c r="C23470" s="40" t="n">
        <v>-46.598139</v>
      </c>
      <c r="D23470" s="40" t="n">
        <v>193</v>
      </c>
      <c r="E23470" s="41" t="n">
        <v>5997.1919</v>
      </c>
    </row>
    <row r="23471">
      <c r="A23471" s="42">
        <f>_xlfn.XLOOKUP(84817,Trip[shape_id],Trip[shape_id],"Não encontrado")</f>
        <v/>
      </c>
      <c r="B23471" s="43" t="n">
        <v>-23.562414</v>
      </c>
      <c r="C23471" s="43" t="n">
        <v>-46.598018</v>
      </c>
      <c r="D23471" s="43" t="n">
        <v>194</v>
      </c>
      <c r="E23471" s="44" t="n">
        <v>6013.5635</v>
      </c>
    </row>
    <row r="23472">
      <c r="A23472" s="39">
        <f>_xlfn.XLOOKUP(84817,Trip[shape_id],Trip[shape_id],"Não encontrado")</f>
        <v/>
      </c>
      <c r="B23472" s="40" t="n">
        <v>-23.562476</v>
      </c>
      <c r="C23472" s="40" t="n">
        <v>-46.597939</v>
      </c>
      <c r="D23472" s="40" t="n">
        <v>195</v>
      </c>
      <c r="E23472" s="41" t="n">
        <v>6024.1558</v>
      </c>
    </row>
    <row r="23473">
      <c r="A23473" s="42">
        <f>_xlfn.XLOOKUP(84817,Trip[shape_id],Trip[shape_id],"Não encontrado")</f>
        <v/>
      </c>
      <c r="B23473" s="43" t="n">
        <v>-23.562622</v>
      </c>
      <c r="C23473" s="43" t="n">
        <v>-46.597859</v>
      </c>
      <c r="D23473" s="43" t="n">
        <v>196</v>
      </c>
      <c r="E23473" s="44" t="n">
        <v>6042.271</v>
      </c>
    </row>
    <row r="23474">
      <c r="A23474" s="39">
        <f>_xlfn.XLOOKUP(84817,Trip[shape_id],Trip[shape_id],"Não encontrado")</f>
        <v/>
      </c>
      <c r="B23474" s="40" t="n">
        <v>-23.562909</v>
      </c>
      <c r="C23474" s="40" t="n">
        <v>-46.597734</v>
      </c>
      <c r="D23474" s="40" t="n">
        <v>197</v>
      </c>
      <c r="E23474" s="41" t="n">
        <v>6076.5229</v>
      </c>
    </row>
    <row r="23475">
      <c r="A23475" s="42">
        <f>_xlfn.XLOOKUP(84817,Trip[shape_id],Trip[shape_id],"Não encontrado")</f>
        <v/>
      </c>
      <c r="B23475" s="43" t="n">
        <v>-23.563073</v>
      </c>
      <c r="C23475" s="43" t="n">
        <v>-46.597601</v>
      </c>
      <c r="D23475" s="43" t="n">
        <v>198</v>
      </c>
      <c r="E23475" s="44" t="n">
        <v>6119.2881</v>
      </c>
    </row>
    <row r="23476">
      <c r="A23476" s="39">
        <f>_xlfn.XLOOKUP(84817,Trip[shape_id],Trip[shape_id],"Não encontrado")</f>
        <v/>
      </c>
      <c r="B23476" s="40" t="n">
        <v>-23.563224</v>
      </c>
      <c r="C23476" s="40" t="n">
        <v>-46.597492</v>
      </c>
      <c r="D23476" s="40" t="n">
        <v>199</v>
      </c>
      <c r="E23476" s="41" t="n">
        <v>6119.2881</v>
      </c>
    </row>
    <row r="23477">
      <c r="A23477" s="42">
        <f>_xlfn.XLOOKUP(84817,Trip[shape_id],Trip[shape_id],"Não encontrado")</f>
        <v/>
      </c>
      <c r="B23477" s="43" t="n">
        <v>-23.563407</v>
      </c>
      <c r="C23477" s="43" t="n">
        <v>-46.597355</v>
      </c>
      <c r="D23477" s="43" t="n">
        <v>200</v>
      </c>
      <c r="E23477" s="44" t="n">
        <v>6159.2891</v>
      </c>
    </row>
    <row r="23478">
      <c r="A23478" s="39">
        <f>_xlfn.XLOOKUP(84817,Trip[shape_id],Trip[shape_id],"Não encontrado")</f>
        <v/>
      </c>
      <c r="B23478" s="40" t="n">
        <v>-23.563519</v>
      </c>
      <c r="C23478" s="40" t="n">
        <v>-46.597266</v>
      </c>
      <c r="D23478" s="40" t="n">
        <v>201</v>
      </c>
      <c r="E23478" s="41" t="n">
        <v>6187.417</v>
      </c>
    </row>
    <row r="23479">
      <c r="A23479" s="42">
        <f>_xlfn.XLOOKUP(84817,Trip[shape_id],Trip[shape_id],"Não encontrado")</f>
        <v/>
      </c>
      <c r="B23479" s="43" t="n">
        <v>-23.563721</v>
      </c>
      <c r="C23479" s="43" t="n">
        <v>-46.597099</v>
      </c>
      <c r="D23479" s="43" t="n">
        <v>202</v>
      </c>
      <c r="E23479" s="44" t="n">
        <v>6218.0649</v>
      </c>
    </row>
    <row r="23480">
      <c r="A23480" s="39">
        <f>_xlfn.XLOOKUP(84817,Trip[shape_id],Trip[shape_id],"Não encontrado")</f>
        <v/>
      </c>
      <c r="B23480" s="40" t="n">
        <v>-23.563936</v>
      </c>
      <c r="C23480" s="40" t="n">
        <v>-46.59691</v>
      </c>
      <c r="D23480" s="40" t="n">
        <v>203</v>
      </c>
      <c r="E23480" s="41" t="n">
        <v>6271.6338</v>
      </c>
    </row>
    <row r="23481">
      <c r="A23481" s="42">
        <f>_xlfn.XLOOKUP(84817,Trip[shape_id],Trip[shape_id],"Não encontrado")</f>
        <v/>
      </c>
      <c r="B23481" s="43" t="n">
        <v>-23.564298</v>
      </c>
      <c r="C23481" s="43" t="n">
        <v>-46.596562</v>
      </c>
      <c r="D23481" s="43" t="n">
        <v>204</v>
      </c>
      <c r="E23481" s="44" t="n">
        <v>6271.6338</v>
      </c>
    </row>
    <row r="23482">
      <c r="A23482" s="39">
        <f>_xlfn.XLOOKUP(84817,Trip[shape_id],Trip[shape_id],"Não encontrado")</f>
        <v/>
      </c>
      <c r="B23482" s="40" t="n">
        <v>-23.564338</v>
      </c>
      <c r="C23482" s="40" t="n">
        <v>-46.59652</v>
      </c>
      <c r="D23482" s="40" t="n">
        <v>205</v>
      </c>
      <c r="E23482" s="41" t="n">
        <v>6344.6851</v>
      </c>
    </row>
    <row r="23483">
      <c r="A23483" s="42">
        <f>_xlfn.XLOOKUP(84817,Trip[shape_id],Trip[shape_id],"Não encontrado")</f>
        <v/>
      </c>
      <c r="B23483" s="43" t="n">
        <v>-23.564752</v>
      </c>
      <c r="C23483" s="43" t="n">
        <v>-46.596043</v>
      </c>
      <c r="D23483" s="43" t="n">
        <v>206</v>
      </c>
      <c r="E23483" s="44" t="n">
        <v>6353.9927</v>
      </c>
    </row>
    <row r="23484">
      <c r="A23484" s="39">
        <f>_xlfn.XLOOKUP(84817,Trip[shape_id],Trip[shape_id],"Não encontrado")</f>
        <v/>
      </c>
      <c r="B23484" s="40" t="n">
        <v>-23.564809</v>
      </c>
      <c r="C23484" s="40" t="n">
        <v>-46.595976</v>
      </c>
      <c r="D23484" s="40" t="n">
        <v>207</v>
      </c>
      <c r="E23484" s="41" t="n">
        <v>6397.8989</v>
      </c>
    </row>
    <row r="23485">
      <c r="A23485" s="42">
        <f>_xlfn.XLOOKUP(84817,Trip[shape_id],Trip[shape_id],"Não encontrado")</f>
        <v/>
      </c>
      <c r="B23485" s="43" t="n">
        <v>-23.565061</v>
      </c>
      <c r="C23485" s="43" t="n">
        <v>-46.595644</v>
      </c>
      <c r="D23485" s="43" t="n">
        <v>208</v>
      </c>
      <c r="E23485" s="44" t="n">
        <v>6463.27</v>
      </c>
    </row>
    <row r="23486">
      <c r="A23486" s="39">
        <f>_xlfn.XLOOKUP(84817,Trip[shape_id],Trip[shape_id],"Não encontrado")</f>
        <v/>
      </c>
      <c r="B23486" s="40" t="n">
        <v>-23.565413</v>
      </c>
      <c r="C23486" s="40" t="n">
        <v>-46.59513</v>
      </c>
      <c r="D23486" s="40" t="n">
        <v>209</v>
      </c>
      <c r="E23486" s="41" t="n">
        <v>6463.27</v>
      </c>
    </row>
    <row r="23487">
      <c r="A23487" s="42">
        <f>_xlfn.XLOOKUP(84817,Trip[shape_id],Trip[shape_id],"Não encontrado")</f>
        <v/>
      </c>
      <c r="B23487" s="43" t="n">
        <v>-23.565459</v>
      </c>
      <c r="C23487" s="43" t="n">
        <v>-46.594957</v>
      </c>
      <c r="D23487" s="43" t="n">
        <v>210</v>
      </c>
      <c r="E23487" s="44" t="n">
        <v>6481.6514</v>
      </c>
    </row>
    <row r="23488">
      <c r="A23488" s="39">
        <f>_xlfn.XLOOKUP(84817,Trip[shape_id],Trip[shape_id],"Não encontrado")</f>
        <v/>
      </c>
      <c r="B23488" s="40" t="n">
        <v>-23.565521</v>
      </c>
      <c r="C23488" s="40" t="n">
        <v>-46.594783</v>
      </c>
      <c r="D23488" s="40" t="n">
        <v>211</v>
      </c>
      <c r="E23488" s="41" t="n">
        <v>6500.6958</v>
      </c>
    </row>
    <row r="23489">
      <c r="A23489" s="42">
        <f>_xlfn.XLOOKUP(84817,Trip[shape_id],Trip[shape_id],"Não encontrado")</f>
        <v/>
      </c>
      <c r="B23489" s="43" t="n">
        <v>-23.565518</v>
      </c>
      <c r="C23489" s="43" t="n">
        <v>-46.594734</v>
      </c>
      <c r="D23489" s="43" t="n">
        <v>212</v>
      </c>
      <c r="E23489" s="44" t="n">
        <v>6505.7085</v>
      </c>
    </row>
    <row r="23490">
      <c r="A23490" s="39">
        <f>_xlfn.XLOOKUP(84817,Trip[shape_id],Trip[shape_id],"Não encontrado")</f>
        <v/>
      </c>
      <c r="B23490" s="40" t="n">
        <v>-23.565566</v>
      </c>
      <c r="C23490" s="40" t="n">
        <v>-46.594708</v>
      </c>
      <c r="D23490" s="40" t="n">
        <v>213</v>
      </c>
      <c r="E23490" s="41" t="n">
        <v>6511.6504</v>
      </c>
    </row>
    <row r="23491">
      <c r="A23491" s="42">
        <f>_xlfn.XLOOKUP(84817,Trip[shape_id],Trip[shape_id],"Não encontrado")</f>
        <v/>
      </c>
      <c r="B23491" s="43" t="n">
        <v>-23.565611</v>
      </c>
      <c r="C23491" s="43" t="n">
        <v>-46.594629</v>
      </c>
      <c r="D23491" s="43" t="n">
        <v>214</v>
      </c>
      <c r="E23491" s="44" t="n">
        <v>6521.1309</v>
      </c>
    </row>
    <row r="23492">
      <c r="A23492" s="39">
        <f>_xlfn.XLOOKUP(84817,Trip[shape_id],Trip[shape_id],"Não encontrado")</f>
        <v/>
      </c>
      <c r="B23492" s="40" t="n">
        <v>-23.565658</v>
      </c>
      <c r="C23492" s="40" t="n">
        <v>-46.594571</v>
      </c>
      <c r="D23492" s="40" t="n">
        <v>215</v>
      </c>
      <c r="E23492" s="41" t="n">
        <v>6529.0146</v>
      </c>
    </row>
    <row r="23493">
      <c r="A23493" s="42">
        <f>_xlfn.XLOOKUP(84817,Trip[shape_id],Trip[shape_id],"Não encontrado")</f>
        <v/>
      </c>
      <c r="B23493" s="43" t="n">
        <v>-23.565756</v>
      </c>
      <c r="C23493" s="43" t="n">
        <v>-46.59443</v>
      </c>
      <c r="D23493" s="43" t="n">
        <v>216</v>
      </c>
      <c r="E23493" s="44" t="n">
        <v>6547.0425</v>
      </c>
    </row>
    <row r="23494">
      <c r="A23494" s="39">
        <f>_xlfn.XLOOKUP(84817,Trip[shape_id],Trip[shape_id],"Não encontrado")</f>
        <v/>
      </c>
      <c r="B23494" s="40" t="n">
        <v>-23.56588</v>
      </c>
      <c r="C23494" s="40" t="n">
        <v>-46.59427</v>
      </c>
      <c r="D23494" s="40" t="n">
        <v>217</v>
      </c>
      <c r="E23494" s="41" t="n">
        <v>6568.3828</v>
      </c>
    </row>
    <row r="23495">
      <c r="A23495" s="42">
        <f>_xlfn.XLOOKUP(84817,Trip[shape_id],Trip[shape_id],"Não encontrado")</f>
        <v/>
      </c>
      <c r="B23495" s="43" t="n">
        <v>-23.566181</v>
      </c>
      <c r="C23495" s="43" t="n">
        <v>-46.593694</v>
      </c>
      <c r="D23495" s="43" t="n">
        <v>218</v>
      </c>
      <c r="E23495" s="44" t="n">
        <v>6683.1719</v>
      </c>
    </row>
    <row r="23496">
      <c r="A23496" s="39">
        <f>_xlfn.XLOOKUP(84817,Trip[shape_id],Trip[shape_id],"Não encontrado")</f>
        <v/>
      </c>
      <c r="B23496" s="40" t="n">
        <v>-23.566393</v>
      </c>
      <c r="C23496" s="40" t="n">
        <v>-46.593293</v>
      </c>
      <c r="D23496" s="40" t="n">
        <v>219</v>
      </c>
      <c r="E23496" s="41" t="n">
        <v>6683.1719</v>
      </c>
    </row>
    <row r="23497">
      <c r="A23497" s="42">
        <f>_xlfn.XLOOKUP(84817,Trip[shape_id],Trip[shape_id],"Não encontrado")</f>
        <v/>
      </c>
      <c r="B23497" s="43" t="n">
        <v>-23.566468</v>
      </c>
      <c r="C23497" s="43" t="n">
        <v>-46.59316</v>
      </c>
      <c r="D23497" s="43" t="n">
        <v>220</v>
      </c>
      <c r="E23497" s="44" t="n">
        <v>6699.0894</v>
      </c>
    </row>
    <row r="23498">
      <c r="A23498" s="39">
        <f>_xlfn.XLOOKUP(84817,Trip[shape_id],Trip[shape_id],"Não encontrado")</f>
        <v/>
      </c>
      <c r="B23498" s="40" t="n">
        <v>-23.567001</v>
      </c>
      <c r="C23498" s="40" t="n">
        <v>-46.592122</v>
      </c>
      <c r="D23498" s="40" t="n">
        <v>221</v>
      </c>
      <c r="E23498" s="41" t="n">
        <v>6939.0474</v>
      </c>
    </row>
    <row r="23499">
      <c r="A23499" s="42">
        <f>_xlfn.XLOOKUP(84817,Trip[shape_id],Trip[shape_id],"Não encontrado")</f>
        <v/>
      </c>
      <c r="B23499" s="43" t="n">
        <v>-23.567536</v>
      </c>
      <c r="C23499" s="43" t="n">
        <v>-46.591115</v>
      </c>
      <c r="D23499" s="43" t="n">
        <v>222</v>
      </c>
      <c r="E23499" s="44" t="n">
        <v>6939.0474</v>
      </c>
    </row>
    <row r="23500">
      <c r="A23500" s="39">
        <f>_xlfn.XLOOKUP(84817,Trip[shape_id],Trip[shape_id],"Não encontrado")</f>
        <v/>
      </c>
      <c r="B23500" s="40" t="n">
        <v>-23.567543</v>
      </c>
      <c r="C23500" s="40" t="n">
        <v>-46.591105</v>
      </c>
      <c r="D23500" s="40" t="n">
        <v>223</v>
      </c>
      <c r="E23500" s="41" t="n">
        <v>6940.3281</v>
      </c>
    </row>
    <row r="23501">
      <c r="A23501" s="42">
        <f>_xlfn.XLOOKUP(84817,Trip[shape_id],Trip[shape_id],"Não encontrado")</f>
        <v/>
      </c>
      <c r="B23501" s="43" t="n">
        <v>-23.567547</v>
      </c>
      <c r="C23501" s="43" t="n">
        <v>-46.591006</v>
      </c>
      <c r="D23501" s="43" t="n">
        <v>224</v>
      </c>
      <c r="E23501" s="44" t="n">
        <v>6950.4443</v>
      </c>
    </row>
    <row r="23502">
      <c r="A23502" s="39">
        <f>_xlfn.XLOOKUP(84817,Trip[shape_id],Trip[shape_id],"Não encontrado")</f>
        <v/>
      </c>
      <c r="B23502" s="40" t="n">
        <v>-23.567618</v>
      </c>
      <c r="C23502" s="40" t="n">
        <v>-46.590798</v>
      </c>
      <c r="D23502" s="40" t="n">
        <v>225</v>
      </c>
      <c r="E23502" s="41" t="n">
        <v>6973.0879</v>
      </c>
    </row>
    <row r="23503">
      <c r="A23503" s="42">
        <f>_xlfn.XLOOKUP(84817,Trip[shape_id],Trip[shape_id],"Não encontrado")</f>
        <v/>
      </c>
      <c r="B23503" s="43" t="n">
        <v>-23.567637</v>
      </c>
      <c r="C23503" s="43" t="n">
        <v>-46.590753</v>
      </c>
      <c r="D23503" s="43" t="n">
        <v>226</v>
      </c>
      <c r="E23503" s="44" t="n">
        <v>6978.1416</v>
      </c>
    </row>
    <row r="23504">
      <c r="A23504" s="39">
        <f>_xlfn.XLOOKUP(84817,Trip[shape_id],Trip[shape_id],"Não encontrado")</f>
        <v/>
      </c>
      <c r="B23504" s="40" t="n">
        <v>-23.567643</v>
      </c>
      <c r="C23504" s="40" t="n">
        <v>-46.590687</v>
      </c>
      <c r="D23504" s="40" t="n">
        <v>227</v>
      </c>
      <c r="E23504" s="41" t="n">
        <v>6984.9126</v>
      </c>
    </row>
    <row r="23505">
      <c r="A23505" s="42">
        <f>_xlfn.XLOOKUP(84817,Trip[shape_id],Trip[shape_id],"Não encontrado")</f>
        <v/>
      </c>
      <c r="B23505" s="43" t="n">
        <v>-23.567651</v>
      </c>
      <c r="C23505" s="43" t="n">
        <v>-46.590674</v>
      </c>
      <c r="D23505" s="43" t="n">
        <v>228</v>
      </c>
      <c r="E23505" s="44" t="n">
        <v>6986.5073</v>
      </c>
    </row>
    <row r="23506">
      <c r="A23506" s="39">
        <f>_xlfn.XLOOKUP(84817,Trip[shape_id],Trip[shape_id],"Não encontrado")</f>
        <v/>
      </c>
      <c r="B23506" s="40" t="n">
        <v>-23.567689</v>
      </c>
      <c r="C23506" s="40" t="n">
        <v>-46.590646</v>
      </c>
      <c r="D23506" s="40" t="n">
        <v>229</v>
      </c>
      <c r="E23506" s="41" t="n">
        <v>6991.5942</v>
      </c>
    </row>
    <row r="23507">
      <c r="A23507" s="42">
        <f>_xlfn.XLOOKUP(84817,Trip[shape_id],Trip[shape_id],"Não encontrado")</f>
        <v/>
      </c>
      <c r="B23507" s="43" t="n">
        <v>-23.56771</v>
      </c>
      <c r="C23507" s="43" t="n">
        <v>-46.590611</v>
      </c>
      <c r="D23507" s="43" t="n">
        <v>230</v>
      </c>
      <c r="E23507" s="44" t="n">
        <v>6995.8579</v>
      </c>
    </row>
    <row r="23508">
      <c r="A23508" s="39">
        <f>_xlfn.XLOOKUP(84817,Trip[shape_id],Trip[shape_id],"Não encontrado")</f>
        <v/>
      </c>
      <c r="B23508" s="40" t="n">
        <v>-23.567738</v>
      </c>
      <c r="C23508" s="40" t="n">
        <v>-46.590562</v>
      </c>
      <c r="D23508" s="40" t="n">
        <v>231</v>
      </c>
      <c r="E23508" s="41" t="n">
        <v>7001.7427</v>
      </c>
    </row>
    <row r="23509">
      <c r="A23509" s="42">
        <f>_xlfn.XLOOKUP(84817,Trip[shape_id],Trip[shape_id],"Não encontrado")</f>
        <v/>
      </c>
      <c r="B23509" s="43" t="n">
        <v>-23.567874</v>
      </c>
      <c r="C23509" s="43" t="n">
        <v>-46.590373</v>
      </c>
      <c r="D23509" s="43" t="n">
        <v>232</v>
      </c>
      <c r="E23509" s="44" t="n">
        <v>7026.2202</v>
      </c>
    </row>
    <row r="23510">
      <c r="A23510" s="39">
        <f>_xlfn.XLOOKUP(84817,Trip[shape_id],Trip[shape_id],"Não encontrado")</f>
        <v/>
      </c>
      <c r="B23510" s="40" t="n">
        <v>-23.568032</v>
      </c>
      <c r="C23510" s="40" t="n">
        <v>-46.590149</v>
      </c>
      <c r="D23510" s="40" t="n">
        <v>233</v>
      </c>
      <c r="E23510" s="41" t="n">
        <v>7055.0151</v>
      </c>
    </row>
    <row r="23511">
      <c r="A23511" s="42">
        <f>_xlfn.XLOOKUP(84817,Trip[shape_id],Trip[shape_id],"Não encontrado")</f>
        <v/>
      </c>
      <c r="B23511" s="43" t="n">
        <v>-23.568508</v>
      </c>
      <c r="C23511" s="43" t="n">
        <v>-46.589206</v>
      </c>
      <c r="D23511" s="43" t="n">
        <v>234</v>
      </c>
      <c r="E23511" s="44" t="n">
        <v>7164.7739</v>
      </c>
    </row>
    <row r="23512">
      <c r="A23512" s="39">
        <f>_xlfn.XLOOKUP(84817,Trip[shape_id],Trip[shape_id],"Não encontrado")</f>
        <v/>
      </c>
      <c r="B23512" s="40" t="n">
        <v>-23.568735</v>
      </c>
      <c r="C23512" s="40" t="n">
        <v>-46.58878</v>
      </c>
      <c r="D23512" s="40" t="n">
        <v>235</v>
      </c>
      <c r="E23512" s="41" t="n">
        <v>7231.0679</v>
      </c>
    </row>
    <row r="23513">
      <c r="A23513" s="42">
        <f>_xlfn.XLOOKUP(84817,Trip[shape_id],Trip[shape_id],"Não encontrado")</f>
        <v/>
      </c>
      <c r="B23513" s="43" t="n">
        <v>-23.568818</v>
      </c>
      <c r="C23513" s="43" t="n">
        <v>-46.588651</v>
      </c>
      <c r="D23513" s="43" t="n">
        <v>236</v>
      </c>
      <c r="E23513" s="44" t="n">
        <v>7251.3481</v>
      </c>
    </row>
    <row r="23514">
      <c r="A23514" s="39">
        <f>_xlfn.XLOOKUP(84817,Trip[shape_id],Trip[shape_id],"Não encontrado")</f>
        <v/>
      </c>
      <c r="B23514" s="40" t="n">
        <v>-23.568929</v>
      </c>
      <c r="C23514" s="40" t="n">
        <v>-46.588493</v>
      </c>
      <c r="D23514" s="40" t="n">
        <v>237</v>
      </c>
      <c r="E23514" s="41" t="n">
        <v>7269.8237</v>
      </c>
    </row>
    <row r="23515">
      <c r="A23515" s="42">
        <f>_xlfn.XLOOKUP(84817,Trip[shape_id],Trip[shape_id],"Não encontrado")</f>
        <v/>
      </c>
      <c r="B23515" s="43" t="n">
        <v>-23.569038</v>
      </c>
      <c r="C23515" s="43" t="n">
        <v>-46.588356</v>
      </c>
      <c r="D23515" s="43" t="n">
        <v>238</v>
      </c>
      <c r="E23515" s="44" t="n">
        <v>7284.5552</v>
      </c>
    </row>
    <row r="23516">
      <c r="A23516" s="39">
        <f>_xlfn.XLOOKUP(84817,Trip[shape_id],Trip[shape_id],"Não encontrado")</f>
        <v/>
      </c>
      <c r="B23516" s="40" t="n">
        <v>-23.569133</v>
      </c>
      <c r="C23516" s="40" t="n">
        <v>-46.588255</v>
      </c>
      <c r="D23516" s="40" t="n">
        <v>239</v>
      </c>
      <c r="E23516" s="41" t="n">
        <v>7308.3516</v>
      </c>
    </row>
    <row r="23517">
      <c r="A23517" s="42">
        <f>_xlfn.XLOOKUP(84817,Trip[shape_id],Trip[shape_id],"Não encontrado")</f>
        <v/>
      </c>
      <c r="B23517" s="43" t="n">
        <v>-23.569299</v>
      </c>
      <c r="C23517" s="43" t="n">
        <v>-46.588107</v>
      </c>
      <c r="D23517" s="43" t="n">
        <v>240</v>
      </c>
      <c r="E23517" s="44" t="n">
        <v>7316.6689</v>
      </c>
    </row>
    <row r="23518">
      <c r="A23518" s="39">
        <f>_xlfn.XLOOKUP(84817,Trip[shape_id],Trip[shape_id],"Não encontrado")</f>
        <v/>
      </c>
      <c r="B23518" s="40" t="n">
        <v>-23.569359</v>
      </c>
      <c r="C23518" s="40" t="n">
        <v>-46.588058</v>
      </c>
      <c r="D23518" s="40" t="n">
        <v>241</v>
      </c>
      <c r="E23518" s="41" t="n">
        <v>7333.3066</v>
      </c>
    </row>
    <row r="23519">
      <c r="A23519" s="42">
        <f>_xlfn.XLOOKUP(84817,Trip[shape_id],Trip[shape_id],"Não encontrado")</f>
        <v/>
      </c>
      <c r="B23519" s="43" t="n">
        <v>-23.569483</v>
      </c>
      <c r="C23519" s="43" t="n">
        <v>-46.587966</v>
      </c>
      <c r="D23519" s="43" t="n">
        <v>242</v>
      </c>
      <c r="E23519" s="44" t="n">
        <v>7354.1982</v>
      </c>
    </row>
    <row r="23520">
      <c r="A23520" s="39">
        <f>_xlfn.XLOOKUP(84817,Trip[shape_id],Trip[shape_id],"Não encontrado")</f>
        <v/>
      </c>
      <c r="B23520" s="40" t="n">
        <v>-23.569646</v>
      </c>
      <c r="C23520" s="40" t="n">
        <v>-46.587863</v>
      </c>
      <c r="D23520" s="40" t="n">
        <v>243</v>
      </c>
      <c r="E23520" s="41" t="n">
        <v>7360.8188</v>
      </c>
    </row>
    <row r="23521">
      <c r="A23521" s="42">
        <f>_xlfn.XLOOKUP(84817,Trip[shape_id],Trip[shape_id],"Não encontrado")</f>
        <v/>
      </c>
      <c r="B23521" s="43" t="n">
        <v>-23.569699</v>
      </c>
      <c r="C23521" s="43" t="n">
        <v>-46.587833</v>
      </c>
      <c r="D23521" s="43" t="n">
        <v>244</v>
      </c>
      <c r="E23521" s="44" t="n">
        <v>7360.8188</v>
      </c>
    </row>
    <row r="23522">
      <c r="A23522" s="39">
        <f>_xlfn.XLOOKUP(84817,Trip[shape_id],Trip[shape_id],"Não encontrado")</f>
        <v/>
      </c>
      <c r="B23522" s="40" t="n">
        <v>-23.569809</v>
      </c>
      <c r="C23522" s="40" t="n">
        <v>-46.587754</v>
      </c>
      <c r="D23522" s="40" t="n">
        <v>245</v>
      </c>
      <c r="E23522" s="41" t="n">
        <v>7375.4292</v>
      </c>
    </row>
    <row r="23523">
      <c r="A23523" s="42">
        <f>_xlfn.XLOOKUP(84817,Trip[shape_id],Trip[shape_id],"Não encontrado")</f>
        <v/>
      </c>
      <c r="B23523" s="43" t="n">
        <v>-23.569899</v>
      </c>
      <c r="C23523" s="43" t="n">
        <v>-46.587689</v>
      </c>
      <c r="D23523" s="43" t="n">
        <v>246</v>
      </c>
      <c r="E23523" s="44" t="n">
        <v>7387.4038</v>
      </c>
    </row>
    <row r="23524">
      <c r="A23524" s="39">
        <f>_xlfn.XLOOKUP(84817,Trip[shape_id],Trip[shape_id],"Não encontrado")</f>
        <v/>
      </c>
      <c r="B23524" s="40" t="n">
        <v>-23.569956</v>
      </c>
      <c r="C23524" s="40" t="n">
        <v>-46.587653</v>
      </c>
      <c r="D23524" s="40" t="n">
        <v>247</v>
      </c>
      <c r="E23524" s="41" t="n">
        <v>7394.7085</v>
      </c>
    </row>
    <row r="23525">
      <c r="A23525" s="42">
        <f>_xlfn.XLOOKUP(84817,Trip[shape_id],Trip[shape_id],"Não encontrado")</f>
        <v/>
      </c>
      <c r="B23525" s="43" t="n">
        <v>-23.570062</v>
      </c>
      <c r="C23525" s="43" t="n">
        <v>-46.587575</v>
      </c>
      <c r="D23525" s="43" t="n">
        <v>248</v>
      </c>
      <c r="E23525" s="44" t="n">
        <v>7408.894</v>
      </c>
    </row>
    <row r="23526">
      <c r="A23526" s="39">
        <f>_xlfn.XLOOKUP(84817,Trip[shape_id],Trip[shape_id],"Não encontrado")</f>
        <v/>
      </c>
      <c r="B23526" s="40" t="n">
        <v>-23.570115</v>
      </c>
      <c r="C23526" s="40" t="n">
        <v>-46.58756</v>
      </c>
      <c r="D23526" s="40" t="n">
        <v>249</v>
      </c>
      <c r="E23526" s="41" t="n">
        <v>7414.9604</v>
      </c>
    </row>
    <row r="23527">
      <c r="A23527" s="42">
        <f>_xlfn.XLOOKUP(84817,Trip[shape_id],Trip[shape_id],"Não encontrado")</f>
        <v/>
      </c>
      <c r="B23527" s="43" t="n">
        <v>-23.570214</v>
      </c>
      <c r="C23527" s="43" t="n">
        <v>-46.587557</v>
      </c>
      <c r="D23527" s="43" t="n">
        <v>250</v>
      </c>
      <c r="E23527" s="44" t="n">
        <v>7425.9287</v>
      </c>
    </row>
    <row r="23528">
      <c r="A23528" s="39">
        <f>_xlfn.XLOOKUP(84817,Trip[shape_id],Trip[shape_id],"Não encontrado")</f>
        <v/>
      </c>
      <c r="B23528" s="40" t="n">
        <v>-23.570263</v>
      </c>
      <c r="C23528" s="40" t="n">
        <v>-46.587556</v>
      </c>
      <c r="D23528" s="40" t="n">
        <v>251</v>
      </c>
      <c r="E23528" s="41" t="n">
        <v>7431.3564</v>
      </c>
    </row>
    <row r="23529">
      <c r="A23529" s="42">
        <f>_xlfn.XLOOKUP(84817,Trip[shape_id],Trip[shape_id],"Não encontrado")</f>
        <v/>
      </c>
      <c r="B23529" s="43" t="n">
        <v>-23.570327</v>
      </c>
      <c r="C23529" s="43" t="n">
        <v>-46.587571</v>
      </c>
      <c r="D23529" s="43" t="n">
        <v>252</v>
      </c>
      <c r="E23529" s="44" t="n">
        <v>7438.6084</v>
      </c>
    </row>
    <row r="23530">
      <c r="A23530" s="39">
        <f>_xlfn.XLOOKUP(84817,Trip[shape_id],Trip[shape_id],"Não encontrado")</f>
        <v/>
      </c>
      <c r="B23530" s="40" t="n">
        <v>-23.570448</v>
      </c>
      <c r="C23530" s="40" t="n">
        <v>-46.587586</v>
      </c>
      <c r="D23530" s="40" t="n">
        <v>253</v>
      </c>
      <c r="E23530" s="41" t="n">
        <v>7452.0967</v>
      </c>
    </row>
    <row r="23531">
      <c r="A23531" s="42">
        <f>_xlfn.XLOOKUP(84817,Trip[shape_id],Trip[shape_id],"Não encontrado")</f>
        <v/>
      </c>
      <c r="B23531" s="43" t="n">
        <v>-23.570555</v>
      </c>
      <c r="C23531" s="43" t="n">
        <v>-46.587571</v>
      </c>
      <c r="D23531" s="43" t="n">
        <v>254</v>
      </c>
      <c r="E23531" s="44" t="n">
        <v>7464.0454</v>
      </c>
    </row>
    <row r="23532">
      <c r="A23532" s="39">
        <f>_xlfn.XLOOKUP(84817,Trip[shape_id],Trip[shape_id],"Não encontrado")</f>
        <v/>
      </c>
      <c r="B23532" s="40" t="n">
        <v>-23.570663</v>
      </c>
      <c r="C23532" s="40" t="n">
        <v>-46.587555</v>
      </c>
      <c r="D23532" s="40" t="n">
        <v>255</v>
      </c>
      <c r="E23532" s="41" t="n">
        <v>7493.5132</v>
      </c>
    </row>
    <row r="23533">
      <c r="A23533" s="42">
        <f>_xlfn.XLOOKUP(84817,Trip[shape_id],Trip[shape_id],"Não encontrado")</f>
        <v/>
      </c>
      <c r="B23533" s="43" t="n">
        <v>-23.57082</v>
      </c>
      <c r="C23533" s="43" t="n">
        <v>-46.58755</v>
      </c>
      <c r="D23533" s="43" t="n">
        <v>256</v>
      </c>
      <c r="E23533" s="44" t="n">
        <v>7537.1572</v>
      </c>
    </row>
    <row r="23534">
      <c r="A23534" s="39">
        <f>_xlfn.XLOOKUP(84817,Trip[shape_id],Trip[shape_id],"Não encontrado")</f>
        <v/>
      </c>
      <c r="B23534" s="40" t="n">
        <v>-23.571214</v>
      </c>
      <c r="C23534" s="40" t="n">
        <v>-46.587558</v>
      </c>
      <c r="D23534" s="40" t="n">
        <v>257</v>
      </c>
      <c r="E23534" s="41" t="n">
        <v>7608.3184</v>
      </c>
    </row>
    <row r="23535">
      <c r="A23535" s="42">
        <f>_xlfn.XLOOKUP(84817,Trip[shape_id],Trip[shape_id],"Não encontrado")</f>
        <v/>
      </c>
      <c r="B23535" s="43" t="n">
        <v>-23.571855</v>
      </c>
      <c r="C23535" s="43" t="n">
        <v>-46.587606</v>
      </c>
      <c r="D23535" s="43" t="n">
        <v>258</v>
      </c>
      <c r="E23535" s="44" t="n">
        <v>7633.9092</v>
      </c>
    </row>
    <row r="23536">
      <c r="A23536" s="39">
        <f>_xlfn.XLOOKUP(84817,Trip[shape_id],Trip[shape_id],"Não encontrado")</f>
        <v/>
      </c>
      <c r="B23536" s="40" t="n">
        <v>-23.572086</v>
      </c>
      <c r="C23536" s="40" t="n">
        <v>-46.587612</v>
      </c>
      <c r="D23536" s="40" t="n">
        <v>259</v>
      </c>
      <c r="E23536" s="41" t="n">
        <v>7686.7349</v>
      </c>
    </row>
    <row r="23537">
      <c r="A23537" s="42">
        <f>_xlfn.XLOOKUP(84817,Trip[shape_id],Trip[shape_id],"Não encontrado")</f>
        <v/>
      </c>
      <c r="B23537" s="43" t="n">
        <v>-23.572562</v>
      </c>
      <c r="C23537" s="43" t="n">
        <v>-46.587645</v>
      </c>
      <c r="D23537" s="43" t="n">
        <v>260</v>
      </c>
      <c r="E23537" s="44" t="n">
        <v>7702.3511</v>
      </c>
    </row>
    <row r="23538">
      <c r="A23538" s="39">
        <f>_xlfn.XLOOKUP(84817,Trip[shape_id],Trip[shape_id],"Não encontrado")</f>
        <v/>
      </c>
      <c r="B23538" s="40" t="n">
        <v>-23.572703</v>
      </c>
      <c r="C23538" s="40" t="n">
        <v>-46.587645</v>
      </c>
      <c r="D23538" s="40" t="n">
        <v>261</v>
      </c>
      <c r="E23538" s="41" t="n">
        <v>7723.2026</v>
      </c>
    </row>
    <row r="23539">
      <c r="A23539" s="42">
        <f>_xlfn.XLOOKUP(84817,Trip[shape_id],Trip[shape_id],"Não encontrado")</f>
        <v/>
      </c>
      <c r="B23539" s="43" t="n">
        <v>-23.572891</v>
      </c>
      <c r="C23539" s="43" t="n">
        <v>-46.587656</v>
      </c>
      <c r="D23539" s="43" t="n">
        <v>262</v>
      </c>
      <c r="E23539" s="44" t="n">
        <v>7735.1646</v>
      </c>
    </row>
    <row r="23540">
      <c r="A23540" s="39">
        <f>_xlfn.XLOOKUP(84817,Trip[shape_id],Trip[shape_id],"Não encontrado")</f>
        <v/>
      </c>
      <c r="B23540" s="40" t="n">
        <v>-23.572999</v>
      </c>
      <c r="C23540" s="40" t="n">
        <v>-46.587655</v>
      </c>
      <c r="D23540" s="40" t="n">
        <v>263</v>
      </c>
      <c r="E23540" s="41" t="n">
        <v>7735.1646</v>
      </c>
    </row>
    <row r="23541">
      <c r="A23541" s="42">
        <f>_xlfn.XLOOKUP(84817,Trip[shape_id],Trip[shape_id],"Não encontrado")</f>
        <v/>
      </c>
      <c r="B23541" s="43" t="n">
        <v>-23.573107</v>
      </c>
      <c r="C23541" s="43" t="n">
        <v>-46.587606</v>
      </c>
      <c r="D23541" s="43" t="n">
        <v>264</v>
      </c>
      <c r="E23541" s="44" t="n">
        <v>7748.1294</v>
      </c>
    </row>
    <row r="23542">
      <c r="A23542" s="39">
        <f>_xlfn.XLOOKUP(84817,Trip[shape_id],Trip[shape_id],"Não encontrado")</f>
        <v/>
      </c>
      <c r="B23542" s="40" t="n">
        <v>-23.573193</v>
      </c>
      <c r="C23542" s="40" t="n">
        <v>-46.58757</v>
      </c>
      <c r="D23542" s="40" t="n">
        <v>265</v>
      </c>
      <c r="E23542" s="41" t="n">
        <v>7758.3389</v>
      </c>
    </row>
    <row r="23543">
      <c r="A23543" s="42">
        <f>_xlfn.XLOOKUP(84817,Trip[shape_id],Trip[shape_id],"Não encontrado")</f>
        <v/>
      </c>
      <c r="B23543" s="43" t="n">
        <v>-23.573274</v>
      </c>
      <c r="C23543" s="43" t="n">
        <v>-46.587547</v>
      </c>
      <c r="D23543" s="43" t="n">
        <v>266</v>
      </c>
      <c r="E23543" s="44" t="n">
        <v>7767.6118</v>
      </c>
    </row>
    <row r="23544">
      <c r="A23544" s="39">
        <f>_xlfn.XLOOKUP(84817,Trip[shape_id],Trip[shape_id],"Não encontrado")</f>
        <v/>
      </c>
      <c r="B23544" s="40" t="n">
        <v>-23.57335</v>
      </c>
      <c r="C23544" s="40" t="n">
        <v>-46.587539</v>
      </c>
      <c r="D23544" s="40" t="n">
        <v>267</v>
      </c>
      <c r="E23544" s="41" t="n">
        <v>7776.0688</v>
      </c>
    </row>
    <row r="23545">
      <c r="A23545" s="42">
        <f>_xlfn.XLOOKUP(84817,Trip[shape_id],Trip[shape_id],"Não encontrado")</f>
        <v/>
      </c>
      <c r="B23545" s="43" t="n">
        <v>-23.573405</v>
      </c>
      <c r="C23545" s="43" t="n">
        <v>-46.587483</v>
      </c>
      <c r="D23545" s="43" t="n">
        <v>268</v>
      </c>
      <c r="E23545" s="44" t="n">
        <v>7784.4219</v>
      </c>
    </row>
    <row r="23546">
      <c r="A23546" s="39">
        <f>_xlfn.XLOOKUP(84817,Trip[shape_id],Trip[shape_id],"Não encontrado")</f>
        <v/>
      </c>
      <c r="B23546" s="40" t="n">
        <v>-23.573452</v>
      </c>
      <c r="C23546" s="40" t="n">
        <v>-46.587522</v>
      </c>
      <c r="D23546" s="40" t="n">
        <v>269</v>
      </c>
      <c r="E23546" s="41" t="n">
        <v>7790.9756</v>
      </c>
    </row>
    <row r="23547">
      <c r="A23547" s="42">
        <f>_xlfn.XLOOKUP(84817,Trip[shape_id],Trip[shape_id],"Não encontrado")</f>
        <v/>
      </c>
      <c r="B23547" s="43" t="n">
        <v>-23.573541</v>
      </c>
      <c r="C23547" s="43" t="n">
        <v>-46.587518</v>
      </c>
      <c r="D23547" s="43" t="n">
        <v>270</v>
      </c>
      <c r="E23547" s="44" t="n">
        <v>7800.8413</v>
      </c>
    </row>
    <row r="23548">
      <c r="A23548" s="39">
        <f>_xlfn.XLOOKUP(84817,Trip[shape_id],Trip[shape_id],"Não encontrado")</f>
        <v/>
      </c>
      <c r="B23548" s="40" t="n">
        <v>-23.57362</v>
      </c>
      <c r="C23548" s="40" t="n">
        <v>-46.587522</v>
      </c>
      <c r="D23548" s="40" t="n">
        <v>271</v>
      </c>
      <c r="E23548" s="41" t="n">
        <v>7809.6006</v>
      </c>
    </row>
    <row r="23549">
      <c r="A23549" s="42">
        <f>_xlfn.XLOOKUP(84817,Trip[shape_id],Trip[shape_id],"Não encontrado")</f>
        <v/>
      </c>
      <c r="B23549" s="43" t="n">
        <v>-23.57381</v>
      </c>
      <c r="C23549" s="43" t="n">
        <v>-46.587573</v>
      </c>
      <c r="D23549" s="43" t="n">
        <v>272</v>
      </c>
      <c r="E23549" s="44" t="n">
        <v>7831.2783</v>
      </c>
    </row>
    <row r="23550">
      <c r="A23550" s="39">
        <f>_xlfn.XLOOKUP(84817,Trip[shape_id],Trip[shape_id],"Não encontrado")</f>
        <v/>
      </c>
      <c r="B23550" s="40" t="n">
        <v>-23.573873</v>
      </c>
      <c r="C23550" s="40" t="n">
        <v>-46.587562</v>
      </c>
      <c r="D23550" s="40" t="n">
        <v>273</v>
      </c>
      <c r="E23550" s="41" t="n">
        <v>7838.3457</v>
      </c>
    </row>
    <row r="23551">
      <c r="A23551" s="42">
        <f>_xlfn.XLOOKUP(84817,Trip[shape_id],Trip[shape_id],"Não encontrado")</f>
        <v/>
      </c>
      <c r="B23551" s="43" t="n">
        <v>-23.574042</v>
      </c>
      <c r="C23551" s="43" t="n">
        <v>-46.587537</v>
      </c>
      <c r="D23551" s="43" t="n">
        <v>274</v>
      </c>
      <c r="E23551" s="44" t="n">
        <v>7857.2358</v>
      </c>
    </row>
    <row r="23552">
      <c r="A23552" s="39">
        <f>_xlfn.XLOOKUP(84817,Trip[shape_id],Trip[shape_id],"Não encontrado")</f>
        <v/>
      </c>
      <c r="B23552" s="40" t="n">
        <v>-23.574068</v>
      </c>
      <c r="C23552" s="40" t="n">
        <v>-46.587533</v>
      </c>
      <c r="D23552" s="40" t="n">
        <v>275</v>
      </c>
      <c r="E23552" s="41" t="n">
        <v>7932.4473</v>
      </c>
    </row>
    <row r="23553">
      <c r="A23553" s="42">
        <f>_xlfn.XLOOKUP(84817,Trip[shape_id],Trip[shape_id],"Não encontrado")</f>
        <v/>
      </c>
      <c r="B23553" s="43" t="n">
        <v>-23.574716</v>
      </c>
      <c r="C23553" s="43" t="n">
        <v>-46.587447</v>
      </c>
      <c r="D23553" s="43" t="n">
        <v>276</v>
      </c>
      <c r="E23553" s="44" t="n">
        <v>7983.604</v>
      </c>
    </row>
    <row r="23554">
      <c r="A23554" s="39">
        <f>_xlfn.XLOOKUP(84817,Trip[shape_id],Trip[shape_id],"Não encontrado")</f>
        <v/>
      </c>
      <c r="B23554" s="40" t="n">
        <v>-23.575174</v>
      </c>
      <c r="C23554" s="40" t="n">
        <v>-46.587382</v>
      </c>
      <c r="D23554" s="40" t="n">
        <v>277</v>
      </c>
      <c r="E23554" s="41" t="n">
        <v>7983.604</v>
      </c>
    </row>
    <row r="23555">
      <c r="A23555" s="42">
        <f>_xlfn.XLOOKUP(84817,Trip[shape_id],Trip[shape_id],"Não encontrado")</f>
        <v/>
      </c>
      <c r="B23555" s="43" t="n">
        <v>-23.57595</v>
      </c>
      <c r="C23555" s="43" t="n">
        <v>-46.587311</v>
      </c>
      <c r="D23555" s="43" t="n">
        <v>278</v>
      </c>
      <c r="E23555" s="44" t="n">
        <v>8078.7412</v>
      </c>
    </row>
    <row r="23556">
      <c r="A23556" s="39">
        <f>_xlfn.XLOOKUP(84817,Trip[shape_id],Trip[shape_id],"Não encontrado")</f>
        <v/>
      </c>
      <c r="B23556" s="40" t="n">
        <v>-23.57603</v>
      </c>
      <c r="C23556" s="40" t="n">
        <v>-46.587304</v>
      </c>
      <c r="D23556" s="40" t="n">
        <v>279</v>
      </c>
      <c r="E23556" s="41" t="n">
        <v>8078.7412</v>
      </c>
    </row>
    <row r="23557">
      <c r="A23557" s="42">
        <f>_xlfn.XLOOKUP(84817,Trip[shape_id],Trip[shape_id],"Não encontrado")</f>
        <v/>
      </c>
      <c r="B23557" s="43" t="n">
        <v>-23.576148</v>
      </c>
      <c r="C23557" s="43" t="n">
        <v>-46.587287</v>
      </c>
      <c r="D23557" s="43" t="n">
        <v>280</v>
      </c>
      <c r="E23557" s="44" t="n">
        <v>8091.9248</v>
      </c>
    </row>
    <row r="23558">
      <c r="A23558" s="39">
        <f>_xlfn.XLOOKUP(84817,Trip[shape_id],Trip[shape_id],"Não encontrado")</f>
        <v/>
      </c>
      <c r="B23558" s="40" t="n">
        <v>-23.577189</v>
      </c>
      <c r="C23558" s="40" t="n">
        <v>-46.587153</v>
      </c>
      <c r="D23558" s="40" t="n">
        <v>281</v>
      </c>
      <c r="E23558" s="41" t="n">
        <v>8239.3408</v>
      </c>
    </row>
    <row r="23559">
      <c r="A23559" s="42">
        <f>_xlfn.XLOOKUP(84817,Trip[shape_id],Trip[shape_id],"Não encontrado")</f>
        <v/>
      </c>
      <c r="B23559" s="43" t="n">
        <v>-23.57747</v>
      </c>
      <c r="C23559" s="43" t="n">
        <v>-46.587119</v>
      </c>
      <c r="D23559" s="43" t="n">
        <v>282</v>
      </c>
      <c r="E23559" s="44" t="n">
        <v>8266.1348</v>
      </c>
    </row>
    <row r="23560">
      <c r="A23560" s="39">
        <f>_xlfn.XLOOKUP(84817,Trip[shape_id],Trip[shape_id],"Não encontrado")</f>
        <v/>
      </c>
      <c r="B23560" s="40" t="n">
        <v>-23.577711</v>
      </c>
      <c r="C23560" s="40" t="n">
        <v>-46.587096</v>
      </c>
      <c r="D23560" s="40" t="n">
        <v>283</v>
      </c>
      <c r="E23560" s="41" t="n">
        <v>8266.1348</v>
      </c>
    </row>
    <row r="23561">
      <c r="A23561" s="42">
        <f>_xlfn.XLOOKUP(84817,Trip[shape_id],Trip[shape_id],"Não encontrado")</f>
        <v/>
      </c>
      <c r="B23561" s="43" t="n">
        <v>-23.578101</v>
      </c>
      <c r="C23561" s="43" t="n">
        <v>-46.587075</v>
      </c>
      <c r="D23561" s="43" t="n">
        <v>284</v>
      </c>
      <c r="E23561" s="44" t="n">
        <v>8332.168</v>
      </c>
    </row>
    <row r="23562">
      <c r="A23562" s="39">
        <f>_xlfn.XLOOKUP(84817,Trip[shape_id],Trip[shape_id],"Não encontrado")</f>
        <v/>
      </c>
      <c r="B23562" s="40" t="n">
        <v>-23.578306</v>
      </c>
      <c r="C23562" s="40" t="n">
        <v>-46.587056</v>
      </c>
      <c r="D23562" s="40" t="n">
        <v>285</v>
      </c>
      <c r="E23562" s="41" t="n">
        <v>8332.168</v>
      </c>
    </row>
    <row r="23563">
      <c r="A23563" s="42">
        <f>_xlfn.XLOOKUP(84817,Trip[shape_id],Trip[shape_id],"Não encontrado")</f>
        <v/>
      </c>
      <c r="B23563" s="43" t="n">
        <v>-23.578527</v>
      </c>
      <c r="C23563" s="43" t="n">
        <v>-46.587032</v>
      </c>
      <c r="D23563" s="43" t="n">
        <v>286</v>
      </c>
      <c r="E23563" s="44" t="n">
        <v>8356.766600000001</v>
      </c>
    </row>
    <row r="23564">
      <c r="A23564" s="39">
        <f>_xlfn.XLOOKUP(84817,Trip[shape_id],Trip[shape_id],"Não encontrado")</f>
        <v/>
      </c>
      <c r="B23564" s="40" t="n">
        <v>-23.578682</v>
      </c>
      <c r="C23564" s="40" t="n">
        <v>-46.58702</v>
      </c>
      <c r="D23564" s="40" t="n">
        <v>287</v>
      </c>
      <c r="E23564" s="41" t="n">
        <v>8423.549800000001</v>
      </c>
    </row>
    <row r="23565">
      <c r="A23565" s="42">
        <f>_xlfn.XLOOKUP(84817,Trip[shape_id],Trip[shape_id],"Não encontrado")</f>
        <v/>
      </c>
      <c r="B23565" s="43" t="n">
        <v>-23.579129</v>
      </c>
      <c r="C23565" s="43" t="n">
        <v>-46.586995</v>
      </c>
      <c r="D23565" s="43" t="n">
        <v>288</v>
      </c>
      <c r="E23565" s="44" t="n">
        <v>8423.549800000001</v>
      </c>
    </row>
    <row r="23566">
      <c r="A23566" s="39">
        <f>_xlfn.XLOOKUP(84817,Trip[shape_id],Trip[shape_id],"Não encontrado")</f>
        <v/>
      </c>
      <c r="B23566" s="40" t="n">
        <v>-23.579544</v>
      </c>
      <c r="C23566" s="40" t="n">
        <v>-46.586942</v>
      </c>
      <c r="D23566" s="40" t="n">
        <v>289</v>
      </c>
      <c r="E23566" s="41" t="n">
        <v>8469.829100000001</v>
      </c>
    </row>
    <row r="23567">
      <c r="A23567" s="42">
        <f>_xlfn.XLOOKUP(84817,Trip[shape_id],Trip[shape_id],"Não encontrado")</f>
        <v/>
      </c>
      <c r="B23567" s="43" t="n">
        <v>-23.579593</v>
      </c>
      <c r="C23567" s="43" t="n">
        <v>-46.586935</v>
      </c>
      <c r="D23567" s="43" t="n">
        <v>290</v>
      </c>
      <c r="E23567" s="44" t="n">
        <v>8475.3037</v>
      </c>
    </row>
    <row r="23568">
      <c r="A23568" s="39">
        <f>_xlfn.XLOOKUP(84817,Trip[shape_id],Trip[shape_id],"Não encontrado")</f>
        <v/>
      </c>
      <c r="B23568" s="40" t="n">
        <v>-23.579689</v>
      </c>
      <c r="C23568" s="40" t="n">
        <v>-46.586892</v>
      </c>
      <c r="D23568" s="40" t="n">
        <v>291</v>
      </c>
      <c r="E23568" s="41" t="n">
        <v>8486.8066</v>
      </c>
    </row>
    <row r="23569">
      <c r="A23569" s="42">
        <f>_xlfn.XLOOKUP(84817,Trip[shape_id],Trip[shape_id],"Não encontrado")</f>
        <v/>
      </c>
      <c r="B23569" s="43" t="n">
        <v>-23.579771</v>
      </c>
      <c r="C23569" s="43" t="n">
        <v>-46.586863</v>
      </c>
      <c r="D23569" s="43" t="n">
        <v>292</v>
      </c>
      <c r="E23569" s="44" t="n">
        <v>8496.358399999999</v>
      </c>
    </row>
    <row r="23570">
      <c r="A23570" s="39">
        <f>_xlfn.XLOOKUP(84817,Trip[shape_id],Trip[shape_id],"Não encontrado")</f>
        <v/>
      </c>
      <c r="B23570" s="40" t="n">
        <v>-23.579841</v>
      </c>
      <c r="C23570" s="40" t="n">
        <v>-46.586847</v>
      </c>
      <c r="D23570" s="40" t="n">
        <v>293</v>
      </c>
      <c r="E23570" s="41" t="n">
        <v>8504.2803</v>
      </c>
    </row>
    <row r="23571">
      <c r="A23571" s="42">
        <f>_xlfn.XLOOKUP(84817,Trip[shape_id],Trip[shape_id],"Não encontrado")</f>
        <v/>
      </c>
      <c r="B23571" s="43" t="n">
        <v>-23.579913</v>
      </c>
      <c r="C23571" s="43" t="n">
        <v>-46.586832</v>
      </c>
      <c r="D23571" s="43" t="n">
        <v>294</v>
      </c>
      <c r="E23571" s="44" t="n">
        <v>8512.3994</v>
      </c>
    </row>
    <row r="23572">
      <c r="A23572" s="39">
        <f>_xlfn.XLOOKUP(84817,Trip[shape_id],Trip[shape_id],"Não encontrado")</f>
        <v/>
      </c>
      <c r="B23572" s="40" t="n">
        <v>-23.579976</v>
      </c>
      <c r="C23572" s="40" t="n">
        <v>-46.586825</v>
      </c>
      <c r="D23572" s="40" t="n">
        <v>295</v>
      </c>
      <c r="E23572" s="41" t="n">
        <v>8519.4131</v>
      </c>
    </row>
    <row r="23573">
      <c r="A23573" s="42">
        <f>_xlfn.XLOOKUP(84817,Trip[shape_id],Trip[shape_id],"Não encontrado")</f>
        <v/>
      </c>
      <c r="B23573" s="43" t="n">
        <v>-23.580044</v>
      </c>
      <c r="C23573" s="43" t="n">
        <v>-46.586815</v>
      </c>
      <c r="D23573" s="43" t="n">
        <v>296</v>
      </c>
      <c r="E23573" s="44" t="n">
        <v>8527.012699999999</v>
      </c>
    </row>
    <row r="23574">
      <c r="A23574" s="39">
        <f>_xlfn.XLOOKUP(84817,Trip[shape_id],Trip[shape_id],"Não encontrado")</f>
        <v/>
      </c>
      <c r="B23574" s="40" t="n">
        <v>-23.580132</v>
      </c>
      <c r="C23574" s="40" t="n">
        <v>-46.586815</v>
      </c>
      <c r="D23574" s="40" t="n">
        <v>297</v>
      </c>
      <c r="E23574" s="41" t="n">
        <v>8536.7588</v>
      </c>
    </row>
    <row r="23575">
      <c r="A23575" s="42">
        <f>_xlfn.XLOOKUP(84817,Trip[shape_id],Trip[shape_id],"Não encontrado")</f>
        <v/>
      </c>
      <c r="B23575" s="43" t="n">
        <v>-23.580239</v>
      </c>
      <c r="C23575" s="43" t="n">
        <v>-46.586828</v>
      </c>
      <c r="D23575" s="43" t="n">
        <v>298</v>
      </c>
      <c r="E23575" s="44" t="n">
        <v>8548.6836</v>
      </c>
    </row>
    <row r="23576">
      <c r="A23576" s="39">
        <f>_xlfn.XLOOKUP(84817,Trip[shape_id],Trip[shape_id],"Não encontrado")</f>
        <v/>
      </c>
      <c r="B23576" s="40" t="n">
        <v>-23.580517</v>
      </c>
      <c r="C23576" s="40" t="n">
        <v>-46.586819</v>
      </c>
      <c r="D23576" s="40" t="n">
        <v>299</v>
      </c>
      <c r="E23576" s="41" t="n">
        <v>8579.4863</v>
      </c>
    </row>
    <row r="23577">
      <c r="A23577" s="42">
        <f>_xlfn.XLOOKUP(84817,Trip[shape_id],Trip[shape_id],"Não encontrado")</f>
        <v/>
      </c>
      <c r="B23577" s="43" t="n">
        <v>-23.581043</v>
      </c>
      <c r="C23577" s="43" t="n">
        <v>-46.58676</v>
      </c>
      <c r="D23577" s="43" t="n">
        <v>300</v>
      </c>
      <c r="E23577" s="44" t="n">
        <v>8638.0527</v>
      </c>
    </row>
    <row r="23578">
      <c r="A23578" s="39">
        <f>_xlfn.XLOOKUP(84817,Trip[shape_id],Trip[shape_id],"Não encontrado")</f>
        <v/>
      </c>
      <c r="B23578" s="40" t="n">
        <v>-23.581538</v>
      </c>
      <c r="C23578" s="40" t="n">
        <v>-46.586703</v>
      </c>
      <c r="D23578" s="40" t="n">
        <v>301</v>
      </c>
      <c r="E23578" s="41" t="n">
        <v>8693.1826</v>
      </c>
    </row>
    <row r="23579">
      <c r="A23579" s="42">
        <f>_xlfn.XLOOKUP(84817,Trip[shape_id],Trip[shape_id],"Não encontrado")</f>
        <v/>
      </c>
      <c r="B23579" s="43" t="n">
        <v>-23.582309</v>
      </c>
      <c r="C23579" s="43" t="n">
        <v>-46.586608</v>
      </c>
      <c r="D23579" s="43" t="n">
        <v>302</v>
      </c>
      <c r="E23579" s="44" t="n">
        <v>8821.979499999999</v>
      </c>
    </row>
    <row r="23580">
      <c r="A23580" s="39">
        <f>_xlfn.XLOOKUP(84817,Trip[shape_id],Trip[shape_id],"Não encontrado")</f>
        <v/>
      </c>
      <c r="B23580" s="40" t="n">
        <v>-23.582693</v>
      </c>
      <c r="C23580" s="40" t="n">
        <v>-46.586556</v>
      </c>
      <c r="D23580" s="40" t="n">
        <v>303</v>
      </c>
      <c r="E23580" s="41" t="n">
        <v>8821.979499999999</v>
      </c>
    </row>
    <row r="23581">
      <c r="A23581" s="42">
        <f>_xlfn.XLOOKUP(84817,Trip[shape_id],Trip[shape_id],"Não encontrado")</f>
        <v/>
      </c>
      <c r="B23581" s="43" t="n">
        <v>-23.583321</v>
      </c>
      <c r="C23581" s="43" t="n">
        <v>-46.586466</v>
      </c>
      <c r="D23581" s="43" t="n">
        <v>304</v>
      </c>
      <c r="E23581" s="44" t="n">
        <v>8925.5869</v>
      </c>
    </row>
    <row r="23582">
      <c r="A23582" s="39">
        <f>_xlfn.XLOOKUP(84817,Trip[shape_id],Trip[shape_id],"Não encontrado")</f>
        <v/>
      </c>
      <c r="B23582" s="40" t="n">
        <v>-23.583621</v>
      </c>
      <c r="C23582" s="40" t="n">
        <v>-46.586428</v>
      </c>
      <c r="D23582" s="40" t="n">
        <v>305</v>
      </c>
      <c r="E23582" s="41" t="n">
        <v>8929.137699999999</v>
      </c>
    </row>
    <row r="23583">
      <c r="A23583" s="42">
        <f>_xlfn.XLOOKUP(84817,Trip[shape_id],Trip[shape_id],"Não encontrado")</f>
        <v/>
      </c>
      <c r="B23583" s="43" t="n">
        <v>-23.583653</v>
      </c>
      <c r="C23583" s="43" t="n">
        <v>-46.586426</v>
      </c>
      <c r="D23583" s="43" t="n">
        <v>306</v>
      </c>
      <c r="E23583" s="44" t="n">
        <v>8929.137699999999</v>
      </c>
    </row>
    <row r="23584">
      <c r="A23584" s="39">
        <f>_xlfn.XLOOKUP(84817,Trip[shape_id],Trip[shape_id],"Não encontrado")</f>
        <v/>
      </c>
      <c r="B23584" s="40" t="n">
        <v>-23.583783</v>
      </c>
      <c r="C23584" s="40" t="n">
        <v>-46.586425</v>
      </c>
      <c r="D23584" s="40" t="n">
        <v>307</v>
      </c>
      <c r="E23584" s="41" t="n">
        <v>8961.791999999999</v>
      </c>
    </row>
    <row r="23585">
      <c r="A23585" s="42">
        <f>_xlfn.XLOOKUP(84817,Trip[shape_id],Trip[shape_id],"Não encontrado")</f>
        <v/>
      </c>
      <c r="B23585" s="43" t="n">
        <v>-23.583947</v>
      </c>
      <c r="C23585" s="43" t="n">
        <v>-46.586443</v>
      </c>
      <c r="D23585" s="43" t="n">
        <v>308</v>
      </c>
      <c r="E23585" s="44" t="n">
        <v>8961.791999999999</v>
      </c>
    </row>
    <row r="23586">
      <c r="A23586" s="39">
        <f>_xlfn.XLOOKUP(84817,Trip[shape_id],Trip[shape_id],"Não encontrado")</f>
        <v/>
      </c>
      <c r="B23586" s="40" t="n">
        <v>-23.584188</v>
      </c>
      <c r="C23586" s="40" t="n">
        <v>-46.586472</v>
      </c>
      <c r="D23586" s="40" t="n">
        <v>309</v>
      </c>
      <c r="E23586" s="41" t="n">
        <v>9000.4023</v>
      </c>
    </row>
    <row r="23587">
      <c r="A23587" s="42">
        <f>_xlfn.XLOOKUP(84817,Trip[shape_id],Trip[shape_id],"Não encontrado")</f>
        <v/>
      </c>
      <c r="B23587" s="43" t="n">
        <v>-23.584294</v>
      </c>
      <c r="C23587" s="43" t="n">
        <v>-46.586466</v>
      </c>
      <c r="D23587" s="43" t="n">
        <v>310</v>
      </c>
      <c r="E23587" s="44" t="n">
        <v>9000.4023</v>
      </c>
    </row>
    <row r="23588">
      <c r="A23588" s="39">
        <f>_xlfn.XLOOKUP(84817,Trip[shape_id],Trip[shape_id],"Não encontrado")</f>
        <v/>
      </c>
      <c r="B23588" s="40" t="n">
        <v>-23.584477</v>
      </c>
      <c r="C23588" s="40" t="n">
        <v>-46.586443</v>
      </c>
      <c r="D23588" s="40" t="n">
        <v>311</v>
      </c>
      <c r="E23588" s="41" t="n">
        <v>9020.805700000001</v>
      </c>
    </row>
    <row r="23589">
      <c r="A23589" s="42">
        <f>_xlfn.XLOOKUP(84817,Trip[shape_id],Trip[shape_id],"Não encontrado")</f>
        <v/>
      </c>
      <c r="B23589" s="43" t="n">
        <v>-23.584567</v>
      </c>
      <c r="C23589" s="43" t="n">
        <v>-46.586376</v>
      </c>
      <c r="D23589" s="43" t="n">
        <v>312</v>
      </c>
      <c r="E23589" s="44" t="n">
        <v>9032.8945</v>
      </c>
    </row>
    <row r="23590">
      <c r="A23590" s="39">
        <f>_xlfn.XLOOKUP(84817,Trip[shape_id],Trip[shape_id],"Não encontrado")</f>
        <v/>
      </c>
      <c r="B23590" s="40" t="n">
        <v>-23.584879</v>
      </c>
      <c r="C23590" s="40" t="n">
        <v>-46.586076</v>
      </c>
      <c r="D23590" s="40" t="n">
        <v>313</v>
      </c>
      <c r="E23590" s="41" t="n">
        <v>9079.065399999999</v>
      </c>
    </row>
    <row r="23591">
      <c r="A23591" s="42">
        <f>_xlfn.XLOOKUP(84817,Trip[shape_id],Trip[shape_id],"Não encontrado")</f>
        <v/>
      </c>
      <c r="B23591" s="43" t="n">
        <v>-23.585306</v>
      </c>
      <c r="C23591" s="43" t="n">
        <v>-46.58559</v>
      </c>
      <c r="D23591" s="43" t="n">
        <v>314</v>
      </c>
      <c r="E23591" s="44" t="n">
        <v>9147.603499999999</v>
      </c>
    </row>
    <row r="23592">
      <c r="A23592" s="39">
        <f>_xlfn.XLOOKUP(84817,Trip[shape_id],Trip[shape_id],"Não encontrado")</f>
        <v/>
      </c>
      <c r="B23592" s="40" t="n">
        <v>-23.585395</v>
      </c>
      <c r="C23592" s="40" t="n">
        <v>-46.585487</v>
      </c>
      <c r="D23592" s="40" t="n">
        <v>315</v>
      </c>
      <c r="E23592" s="41" t="n">
        <v>9183.499</v>
      </c>
    </row>
    <row r="23593">
      <c r="A23593" s="42">
        <f>_xlfn.XLOOKUP(84817,Trip[shape_id],Trip[shape_id],"Não encontrado")</f>
        <v/>
      </c>
      <c r="B23593" s="43" t="n">
        <v>-23.585532</v>
      </c>
      <c r="C23593" s="43" t="n">
        <v>-46.585338</v>
      </c>
      <c r="D23593" s="43" t="n">
        <v>316</v>
      </c>
      <c r="E23593" s="44" t="n">
        <v>9210.1533</v>
      </c>
    </row>
    <row r="23594">
      <c r="A23594" s="39">
        <f>_xlfn.XLOOKUP(84817,Trip[shape_id],Trip[shape_id],"Não encontrado")</f>
        <v/>
      </c>
      <c r="B23594" s="40" t="n">
        <v>-23.585725</v>
      </c>
      <c r="C23594" s="40" t="n">
        <v>-46.585182</v>
      </c>
      <c r="D23594" s="40" t="n">
        <v>317</v>
      </c>
      <c r="E23594" s="41" t="n">
        <v>9220.010700000001</v>
      </c>
    </row>
    <row r="23595">
      <c r="A23595" s="42">
        <f>_xlfn.XLOOKUP(84817,Trip[shape_id],Trip[shape_id],"Não encontrado")</f>
        <v/>
      </c>
      <c r="B23595" s="43" t="n">
        <v>-23.5858</v>
      </c>
      <c r="C23595" s="43" t="n">
        <v>-46.58513</v>
      </c>
      <c r="D23595" s="43" t="n">
        <v>318</v>
      </c>
      <c r="E23595" s="44" t="n">
        <v>9220.010700000001</v>
      </c>
    </row>
    <row r="23596">
      <c r="A23596" s="39">
        <f>_xlfn.XLOOKUP(84817,Trip[shape_id],Trip[shape_id],"Não encontrado")</f>
        <v/>
      </c>
      <c r="B23596" s="40" t="n">
        <v>-23.586147</v>
      </c>
      <c r="C23596" s="40" t="n">
        <v>-46.584976</v>
      </c>
      <c r="D23596" s="40" t="n">
        <v>319</v>
      </c>
      <c r="E23596" s="41" t="n">
        <v>9274.864299999999</v>
      </c>
    </row>
    <row r="23597">
      <c r="A23597" s="42">
        <f>_xlfn.XLOOKUP(84817,Trip[shape_id],Trip[shape_id],"Não encontrado")</f>
        <v/>
      </c>
      <c r="B23597" s="43" t="n">
        <v>-23.58626</v>
      </c>
      <c r="C23597" s="43" t="n">
        <v>-46.584931</v>
      </c>
      <c r="D23597" s="43" t="n">
        <v>320</v>
      </c>
      <c r="E23597" s="44" t="n">
        <v>9297.2109</v>
      </c>
    </row>
    <row r="23598">
      <c r="A23598" s="39">
        <f>_xlfn.XLOOKUP(84817,Trip[shape_id],Trip[shape_id],"Não encontrado")</f>
        <v/>
      </c>
      <c r="B23598" s="40" t="n">
        <v>-23.586456</v>
      </c>
      <c r="C23598" s="40" t="n">
        <v>-46.584879</v>
      </c>
      <c r="D23598" s="40" t="n">
        <v>321</v>
      </c>
      <c r="E23598" s="41" t="n">
        <v>9297.2109</v>
      </c>
    </row>
    <row r="23599">
      <c r="A23599" s="42">
        <f>_xlfn.XLOOKUP(84817,Trip[shape_id],Trip[shape_id],"Não encontrado")</f>
        <v/>
      </c>
      <c r="B23599" s="43" t="n">
        <v>-23.586498</v>
      </c>
      <c r="C23599" s="43" t="n">
        <v>-46.584946</v>
      </c>
      <c r="D23599" s="43" t="n">
        <v>322</v>
      </c>
      <c r="E23599" s="44" t="n">
        <v>9305.481400000001</v>
      </c>
    </row>
    <row r="23600">
      <c r="A23600" s="39">
        <f>_xlfn.XLOOKUP(84817,Trip[shape_id],Trip[shape_id],"Não encontrado")</f>
        <v/>
      </c>
      <c r="B23600" s="40" t="n">
        <v>-23.586844</v>
      </c>
      <c r="C23600" s="40" t="n">
        <v>-46.58531</v>
      </c>
      <c r="D23600" s="40" t="n">
        <v>323</v>
      </c>
      <c r="E23600" s="41" t="n">
        <v>9358.857400000001</v>
      </c>
    </row>
    <row r="23601">
      <c r="A23601" s="42">
        <f>_xlfn.XLOOKUP(84817,Trip[shape_id],Trip[shape_id],"Não encontrado")</f>
        <v/>
      </c>
      <c r="B23601" s="43" t="n">
        <v>-23.587162</v>
      </c>
      <c r="C23601" s="43" t="n">
        <v>-46.585636</v>
      </c>
      <c r="D23601" s="43" t="n">
        <v>324</v>
      </c>
      <c r="E23601" s="44" t="n">
        <v>9407.3105</v>
      </c>
    </row>
    <row r="23602">
      <c r="A23602" s="39">
        <f>_xlfn.XLOOKUP(84817,Trip[shape_id],Trip[shape_id],"Não encontrado")</f>
        <v/>
      </c>
      <c r="B23602" s="40" t="n">
        <v>-23.587889</v>
      </c>
      <c r="C23602" s="40" t="n">
        <v>-46.586387</v>
      </c>
      <c r="D23602" s="40" t="n">
        <v>325</v>
      </c>
      <c r="E23602" s="41" t="n">
        <v>9518.483399999999</v>
      </c>
    </row>
    <row r="23603">
      <c r="A23603" s="42">
        <f>_xlfn.XLOOKUP(84817,Trip[shape_id],Trip[shape_id],"Não encontrado")</f>
        <v/>
      </c>
      <c r="B23603" s="43" t="n">
        <v>-23.58816</v>
      </c>
      <c r="C23603" s="43" t="n">
        <v>-46.586671</v>
      </c>
      <c r="D23603" s="43" t="n">
        <v>326</v>
      </c>
      <c r="E23603" s="44" t="n">
        <v>9560.2109</v>
      </c>
    </row>
    <row r="23604">
      <c r="A23604" s="39">
        <f>_xlfn.XLOOKUP(84817,Trip[shape_id],Trip[shape_id],"Não encontrado")</f>
        <v/>
      </c>
      <c r="B23604" s="40" t="n">
        <v>-23.588429</v>
      </c>
      <c r="C23604" s="40" t="n">
        <v>-46.586371</v>
      </c>
      <c r="D23604" s="40" t="n">
        <v>327</v>
      </c>
      <c r="E23604" s="41" t="n">
        <v>9602.934600000001</v>
      </c>
    </row>
    <row r="23605">
      <c r="A23605" s="42">
        <f>_xlfn.XLOOKUP(84817,Trip[shape_id],Trip[shape_id],"Não encontrado")</f>
        <v/>
      </c>
      <c r="B23605" s="43" t="n">
        <v>-23.5886</v>
      </c>
      <c r="C23605" s="43" t="n">
        <v>-46.586175</v>
      </c>
      <c r="D23605" s="43" t="n">
        <v>328</v>
      </c>
      <c r="E23605" s="44" t="n">
        <v>9630.483399999999</v>
      </c>
    </row>
    <row r="23606">
      <c r="A23606" s="39">
        <f>_xlfn.XLOOKUP(84817,Trip[shape_id],Trip[shape_id],"Não encontrado")</f>
        <v/>
      </c>
      <c r="B23606" s="40" t="n">
        <v>-23.589038</v>
      </c>
      <c r="C23606" s="40" t="n">
        <v>-46.585681</v>
      </c>
      <c r="D23606" s="40" t="n">
        <v>329</v>
      </c>
      <c r="E23606" s="41" t="n">
        <v>9700.453100000001</v>
      </c>
    </row>
    <row r="23607">
      <c r="A23607" s="42">
        <f>_xlfn.XLOOKUP(84817,Trip[shape_id],Trip[shape_id],"Não encontrado")</f>
        <v/>
      </c>
      <c r="B23607" s="43" t="n">
        <v>-23.589465</v>
      </c>
      <c r="C23607" s="43" t="n">
        <v>-46.585195</v>
      </c>
      <c r="D23607" s="43" t="n">
        <v>330</v>
      </c>
      <c r="E23607" s="44" t="n">
        <v>9768.9902</v>
      </c>
    </row>
    <row r="23608">
      <c r="A23608" s="39">
        <f>_xlfn.XLOOKUP(84817,Trip[shape_id],Trip[shape_id],"Não encontrado")</f>
        <v/>
      </c>
      <c r="B23608" s="40" t="n">
        <v>-23.589038</v>
      </c>
      <c r="C23608" s="40" t="n">
        <v>-46.584767</v>
      </c>
      <c r="D23608" s="40" t="n">
        <v>331</v>
      </c>
      <c r="E23608" s="41" t="n">
        <v>9833.372100000001</v>
      </c>
    </row>
    <row r="23609">
      <c r="A23609" s="42">
        <f>_xlfn.XLOOKUP(84817,Trip[shape_id],Trip[shape_id],"Não encontrado")</f>
        <v/>
      </c>
      <c r="B23609" s="43" t="n">
        <v>-23.588955</v>
      </c>
      <c r="C23609" s="43" t="n">
        <v>-46.584677</v>
      </c>
      <c r="D23609" s="43" t="n">
        <v>332</v>
      </c>
      <c r="E23609" s="44" t="n">
        <v>9846.368200000001</v>
      </c>
    </row>
    <row r="23610">
      <c r="A23610" s="39">
        <f>_xlfn.XLOOKUP(84817,Trip[shape_id],Trip[shape_id],"Não encontrado")</f>
        <v/>
      </c>
      <c r="B23610" s="40" t="n">
        <v>-23.588791</v>
      </c>
      <c r="C23610" s="40" t="n">
        <v>-46.584499</v>
      </c>
      <c r="D23610" s="40" t="n">
        <v>333</v>
      </c>
      <c r="E23610" s="41" t="n">
        <v>9872.0586</v>
      </c>
    </row>
    <row r="23611">
      <c r="A23611" s="42">
        <f>_xlfn.XLOOKUP(84817,Trip[shape_id],Trip[shape_id],"Não encontrado")</f>
        <v/>
      </c>
      <c r="B23611" s="43" t="n">
        <v>-23.588753</v>
      </c>
      <c r="C23611" s="43" t="n">
        <v>-46.584356</v>
      </c>
      <c r="D23611" s="43" t="n">
        <v>334</v>
      </c>
      <c r="E23611" s="44" t="n">
        <v>9887.249</v>
      </c>
    </row>
    <row r="23612">
      <c r="A23612" s="39">
        <f>_xlfn.XLOOKUP(84817,Trip[shape_id],Trip[shape_id],"Não encontrado")</f>
        <v/>
      </c>
      <c r="B23612" s="40" t="n">
        <v>-23.588715</v>
      </c>
      <c r="C23612" s="40" t="n">
        <v>-46.584177</v>
      </c>
      <c r="D23612" s="40" t="n">
        <v>335</v>
      </c>
      <c r="E23612" s="41" t="n">
        <v>9905.998</v>
      </c>
    </row>
    <row r="23613">
      <c r="A23613" s="42">
        <f>_xlfn.XLOOKUP(84817,Trip[shape_id],Trip[shape_id],"Não encontrado")</f>
        <v/>
      </c>
      <c r="B23613" s="43" t="n">
        <v>-23.58871</v>
      </c>
      <c r="C23613" s="43" t="n">
        <v>-46.584056</v>
      </c>
      <c r="D23613" s="43" t="n">
        <v>336</v>
      </c>
      <c r="E23613" s="44" t="n">
        <v>9918.3613</v>
      </c>
    </row>
    <row r="23614">
      <c r="A23614" s="39">
        <f>_xlfn.XLOOKUP(84817,Trip[shape_id],Trip[shape_id],"Não encontrado")</f>
        <v/>
      </c>
      <c r="B23614" s="40" t="n">
        <v>-23.588722</v>
      </c>
      <c r="C23614" s="40" t="n">
        <v>-46.583843</v>
      </c>
      <c r="D23614" s="40" t="n">
        <v>337</v>
      </c>
      <c r="E23614" s="41" t="n">
        <v>9940.143599999999</v>
      </c>
    </row>
    <row r="23615">
      <c r="A23615" s="42">
        <f>_xlfn.XLOOKUP(84817,Trip[shape_id],Trip[shape_id],"Não encontrado")</f>
        <v/>
      </c>
      <c r="B23615" s="43" t="n">
        <v>-23.588773</v>
      </c>
      <c r="C23615" s="43" t="n">
        <v>-46.583481</v>
      </c>
      <c r="D23615" s="43" t="n">
        <v>338</v>
      </c>
      <c r="E23615" s="44" t="n">
        <v>9977.5234</v>
      </c>
    </row>
    <row r="23616">
      <c r="A23616" s="39">
        <f>_xlfn.XLOOKUP(84817,Trip[shape_id],Trip[shape_id],"Não encontrado")</f>
        <v/>
      </c>
      <c r="B23616" s="40" t="n">
        <v>-23.588809</v>
      </c>
      <c r="C23616" s="40" t="n">
        <v>-46.583194</v>
      </c>
      <c r="D23616" s="40" t="n">
        <v>339</v>
      </c>
      <c r="E23616" s="41" t="n">
        <v>10045.836</v>
      </c>
    </row>
    <row r="23617">
      <c r="A23617" s="42">
        <f>_xlfn.XLOOKUP(84817,Trip[shape_id],Trip[shape_id],"Não encontrado")</f>
        <v/>
      </c>
      <c r="B23617" s="43" t="n">
        <v>-23.588874</v>
      </c>
      <c r="C23617" s="43" t="n">
        <v>-46.582821</v>
      </c>
      <c r="D23617" s="43" t="n">
        <v>340</v>
      </c>
      <c r="E23617" s="44" t="n">
        <v>10088.319</v>
      </c>
    </row>
    <row r="23618">
      <c r="A23618" s="39">
        <f>_xlfn.XLOOKUP(84817,Trip[shape_id],Trip[shape_id],"Não encontrado")</f>
        <v/>
      </c>
      <c r="B23618" s="40" t="n">
        <v>-23.58894</v>
      </c>
      <c r="C23618" s="40" t="n">
        <v>-46.582411</v>
      </c>
      <c r="D23618" s="40" t="n">
        <v>341</v>
      </c>
      <c r="E23618" s="41" t="n">
        <v>10088.319</v>
      </c>
    </row>
    <row r="23619">
      <c r="A23619" s="42">
        <f>_xlfn.XLOOKUP(84817,Trip[shape_id],Trip[shape_id],"Não encontrado")</f>
        <v/>
      </c>
      <c r="B23619" s="43" t="n">
        <v>-23.589021</v>
      </c>
      <c r="C23619" s="43" t="n">
        <v>-46.581817</v>
      </c>
      <c r="D23619" s="43" t="n">
        <v>342</v>
      </c>
      <c r="E23619" s="44" t="n">
        <v>10149.61</v>
      </c>
    </row>
    <row r="23620">
      <c r="A23620" s="39">
        <f>_xlfn.XLOOKUP(84817,Trip[shape_id],Trip[shape_id],"Não encontrado")</f>
        <v/>
      </c>
      <c r="B23620" s="40" t="n">
        <v>-23.589094</v>
      </c>
      <c r="C23620" s="40" t="n">
        <v>-46.581379</v>
      </c>
      <c r="D23620" s="40" t="n">
        <v>343</v>
      </c>
      <c r="E23620" s="41" t="n">
        <v>10195.043</v>
      </c>
    </row>
    <row r="23621">
      <c r="A23621" s="42">
        <f>_xlfn.XLOOKUP(84817,Trip[shape_id],Trip[shape_id],"Não encontrado")</f>
        <v/>
      </c>
      <c r="B23621" s="43" t="n">
        <v>-23.589137</v>
      </c>
      <c r="C23621" s="43" t="n">
        <v>-46.581106</v>
      </c>
      <c r="D23621" s="43" t="n">
        <v>344</v>
      </c>
      <c r="E23621" s="44" t="n">
        <v>10300.013</v>
      </c>
    </row>
    <row r="23622">
      <c r="A23622" s="39">
        <f>_xlfn.XLOOKUP(84817,Trip[shape_id],Trip[shape_id],"Não encontrado")</f>
        <v/>
      </c>
      <c r="B23622" s="40" t="n">
        <v>-23.589252</v>
      </c>
      <c r="C23622" s="40" t="n">
        <v>-46.580365</v>
      </c>
      <c r="D23622" s="40" t="n">
        <v>345</v>
      </c>
      <c r="E23622" s="41" t="n">
        <v>10300.013</v>
      </c>
    </row>
    <row r="23623">
      <c r="A23623" s="42">
        <f>_xlfn.XLOOKUP(84817,Trip[shape_id],Trip[shape_id],"Não encontrado")</f>
        <v/>
      </c>
      <c r="B23623" s="43" t="n">
        <v>-23.58931</v>
      </c>
      <c r="C23623" s="43" t="n">
        <v>-46.579987</v>
      </c>
      <c r="D23623" s="43" t="n">
        <v>346</v>
      </c>
      <c r="E23623" s="44" t="n">
        <v>10339.127</v>
      </c>
    </row>
    <row r="23624">
      <c r="A23624" s="39">
        <f>_xlfn.XLOOKUP(84817,Trip[shape_id],Trip[shape_id],"Não encontrado")</f>
        <v/>
      </c>
      <c r="B23624" s="40" t="n">
        <v>-23.589333</v>
      </c>
      <c r="C23624" s="40" t="n">
        <v>-46.579805</v>
      </c>
      <c r="D23624" s="40" t="n">
        <v>347</v>
      </c>
      <c r="E23624" s="41" t="n">
        <v>10357.878</v>
      </c>
    </row>
    <row r="23625">
      <c r="A23625" s="42">
        <f>_xlfn.XLOOKUP(84817,Trip[shape_id],Trip[shape_id],"Não encontrado")</f>
        <v/>
      </c>
      <c r="B23625" s="43" t="n">
        <v>-23.589369</v>
      </c>
      <c r="C23625" s="43" t="n">
        <v>-46.57959</v>
      </c>
      <c r="D23625" s="43" t="n">
        <v>348</v>
      </c>
      <c r="E23625" s="44" t="n">
        <v>10380.183</v>
      </c>
    </row>
    <row r="23626">
      <c r="A23626" s="39">
        <f>_xlfn.XLOOKUP(84817,Trip[shape_id],Trip[shape_id],"Não encontrado")</f>
        <v/>
      </c>
      <c r="B23626" s="40" t="n">
        <v>-23.589479</v>
      </c>
      <c r="C23626" s="40" t="n">
        <v>-46.578837</v>
      </c>
      <c r="D23626" s="40" t="n">
        <v>349</v>
      </c>
      <c r="E23626" s="41" t="n">
        <v>10458.002</v>
      </c>
    </row>
    <row r="23627">
      <c r="A23627" s="42">
        <f>_xlfn.XLOOKUP(84817,Trip[shape_id],Trip[shape_id],"Não encontrado")</f>
        <v/>
      </c>
      <c r="B23627" s="43" t="n">
        <v>-23.58954</v>
      </c>
      <c r="C23627" s="43" t="n">
        <v>-46.57846</v>
      </c>
      <c r="D23627" s="43" t="n">
        <v>350</v>
      </c>
      <c r="E23627" s="44" t="n">
        <v>10497.071</v>
      </c>
    </row>
    <row r="23628">
      <c r="A23628" s="39">
        <f>_xlfn.XLOOKUP(84817,Trip[shape_id],Trip[shape_id],"Não encontrado")</f>
        <v/>
      </c>
      <c r="B23628" s="40" t="n">
        <v>-23.589578</v>
      </c>
      <c r="C23628" s="40" t="n">
        <v>-46.578174</v>
      </c>
      <c r="D23628" s="40" t="n">
        <v>351</v>
      </c>
      <c r="E23628" s="41" t="n">
        <v>10526.565</v>
      </c>
    </row>
    <row r="23629">
      <c r="A23629" s="42">
        <f>_xlfn.XLOOKUP(84817,Trip[shape_id],Trip[shape_id],"Não encontrado")</f>
        <v/>
      </c>
      <c r="B23629" s="43" t="n">
        <v>-23.589666</v>
      </c>
      <c r="C23629" s="43" t="n">
        <v>-46.577672</v>
      </c>
      <c r="D23629" s="43" t="n">
        <v>352</v>
      </c>
      <c r="E23629" s="44" t="n">
        <v>10578.725</v>
      </c>
    </row>
    <row r="23630">
      <c r="A23630" s="39">
        <f>_xlfn.XLOOKUP(84817,Trip[shape_id],Trip[shape_id],"Não encontrado")</f>
        <v/>
      </c>
      <c r="B23630" s="40" t="n">
        <v>-23.589838</v>
      </c>
      <c r="C23630" s="40" t="n">
        <v>-46.576557</v>
      </c>
      <c r="D23630" s="40" t="n">
        <v>353</v>
      </c>
      <c r="E23630" s="41" t="n">
        <v>10694.118</v>
      </c>
    </row>
    <row r="23631">
      <c r="A23631" s="42">
        <f>_xlfn.XLOOKUP(84817,Trip[shape_id],Trip[shape_id],"Não encontrado")</f>
        <v/>
      </c>
      <c r="B23631" s="43" t="n">
        <v>-23.589813</v>
      </c>
      <c r="C23631" s="43" t="n">
        <v>-46.576545</v>
      </c>
      <c r="D23631" s="43" t="n">
        <v>354</v>
      </c>
      <c r="E23631" s="44" t="n">
        <v>10702.215</v>
      </c>
    </row>
    <row r="23632">
      <c r="A23632" s="39">
        <f>_xlfn.XLOOKUP(84817,Trip[shape_id],Trip[shape_id],"Não encontrado")</f>
        <v/>
      </c>
      <c r="B23632" s="40" t="n">
        <v>-23.589774</v>
      </c>
      <c r="C23632" s="40" t="n">
        <v>-46.576519</v>
      </c>
      <c r="D23632" s="40" t="n">
        <v>355</v>
      </c>
      <c r="E23632" s="41" t="n">
        <v>10708.281</v>
      </c>
    </row>
    <row r="23633">
      <c r="A23633" s="42">
        <f>_xlfn.XLOOKUP(84817,Trip[shape_id],Trip[shape_id],"Não encontrado")</f>
        <v/>
      </c>
      <c r="B23633" s="43" t="n">
        <v>-23.589743</v>
      </c>
      <c r="C23633" s="43" t="n">
        <v>-46.57647</v>
      </c>
      <c r="D23633" s="43" t="n">
        <v>356</v>
      </c>
      <c r="E23633" s="44" t="n">
        <v>10708.281</v>
      </c>
    </row>
    <row r="23634">
      <c r="A23634" s="39">
        <f>_xlfn.XLOOKUP(84817,Trip[shape_id],Trip[shape_id],"Não encontrado")</f>
        <v/>
      </c>
      <c r="B23634" s="40" t="n">
        <v>-23.589728</v>
      </c>
      <c r="C23634" s="40" t="n">
        <v>-46.576442</v>
      </c>
      <c r="D23634" s="40" t="n">
        <v>357</v>
      </c>
      <c r="E23634" s="41" t="n">
        <v>10716.146</v>
      </c>
    </row>
    <row r="23635">
      <c r="A23635" s="42">
        <f>_xlfn.XLOOKUP(84817,Trip[shape_id],Trip[shape_id],"Não encontrado")</f>
        <v/>
      </c>
      <c r="B23635" s="43" t="n">
        <v>-23.589714</v>
      </c>
      <c r="C23635" s="43" t="n">
        <v>-46.5764</v>
      </c>
      <c r="D23635" s="43" t="n">
        <v>358</v>
      </c>
      <c r="E23635" s="44" t="n">
        <v>10720.804</v>
      </c>
    </row>
    <row r="23636">
      <c r="A23636" s="39">
        <f>_xlfn.XLOOKUP(84817,Trip[shape_id],Trip[shape_id],"Não encontrado")</f>
        <v/>
      </c>
      <c r="B23636" s="40" t="n">
        <v>-23.589707</v>
      </c>
      <c r="C23636" s="40" t="n">
        <v>-46.576355</v>
      </c>
      <c r="D23636" s="40" t="n">
        <v>359</v>
      </c>
      <c r="E23636" s="41" t="n">
        <v>10724.596</v>
      </c>
    </row>
    <row r="23637">
      <c r="A23637" s="42">
        <f>_xlfn.XLOOKUP(84817,Trip[shape_id],Trip[shape_id],"Não encontrado")</f>
        <v/>
      </c>
      <c r="B23637" s="43" t="n">
        <v>-23.58971</v>
      </c>
      <c r="C23637" s="43" t="n">
        <v>-46.576318</v>
      </c>
      <c r="D23637" s="43" t="n">
        <v>360</v>
      </c>
      <c r="E23637" s="44" t="n">
        <v>10724.596</v>
      </c>
    </row>
    <row r="23638">
      <c r="A23638" s="39">
        <f>_xlfn.XLOOKUP(84817,Trip[shape_id],Trip[shape_id],"Não encontrado")</f>
        <v/>
      </c>
      <c r="B23638" s="40" t="n">
        <v>-23.58973</v>
      </c>
      <c r="C23638" s="40" t="n">
        <v>-46.576244</v>
      </c>
      <c r="D23638" s="40" t="n">
        <v>361</v>
      </c>
      <c r="E23638" s="41" t="n">
        <v>10736.362</v>
      </c>
    </row>
    <row r="23639">
      <c r="A23639" s="42">
        <f>_xlfn.XLOOKUP(84817,Trip[shape_id],Trip[shape_id],"Não encontrado")</f>
        <v/>
      </c>
      <c r="B23639" s="43" t="n">
        <v>-23.589746</v>
      </c>
      <c r="C23639" s="43" t="n">
        <v>-46.57621</v>
      </c>
      <c r="D23639" s="43" t="n">
        <v>362</v>
      </c>
      <c r="E23639" s="44" t="n">
        <v>10739.726</v>
      </c>
    </row>
    <row r="23640">
      <c r="A23640" s="39">
        <f>_xlfn.XLOOKUP(84817,Trip[shape_id],Trip[shape_id],"Não encontrado")</f>
        <v/>
      </c>
      <c r="B23640" s="40" t="n">
        <v>-23.589762</v>
      </c>
      <c r="C23640" s="40" t="n">
        <v>-46.576182</v>
      </c>
      <c r="D23640" s="40" t="n">
        <v>363</v>
      </c>
      <c r="E23640" s="41" t="n">
        <v>10739.726</v>
      </c>
    </row>
    <row r="23641">
      <c r="A23641" s="42">
        <f>_xlfn.XLOOKUP(84817,Trip[shape_id],Trip[shape_id],"Não encontrado")</f>
        <v/>
      </c>
      <c r="B23641" s="43" t="n">
        <v>-23.589797</v>
      </c>
      <c r="C23641" s="43" t="n">
        <v>-46.576164</v>
      </c>
      <c r="D23641" s="43" t="n">
        <v>364</v>
      </c>
      <c r="E23641" s="44" t="n">
        <v>10749.929</v>
      </c>
    </row>
    <row r="23642">
      <c r="A23642" s="39">
        <f>_xlfn.XLOOKUP(84817,Trip[shape_id],Trip[shape_id],"Não encontrado")</f>
        <v/>
      </c>
      <c r="B23642" s="40" t="n">
        <v>-23.589846</v>
      </c>
      <c r="C23642" s="40" t="n">
        <v>-46.576141</v>
      </c>
      <c r="D23642" s="40" t="n">
        <v>365</v>
      </c>
      <c r="E23642" s="41" t="n">
        <v>10755.47</v>
      </c>
    </row>
    <row r="23643">
      <c r="A23643" s="42">
        <f>_xlfn.XLOOKUP(84817,Trip[shape_id],Trip[shape_id],"Não encontrado")</f>
        <v/>
      </c>
      <c r="B23643" s="43" t="n">
        <v>-23.589896</v>
      </c>
      <c r="C23643" s="43" t="n">
        <v>-46.576139</v>
      </c>
      <c r="D23643" s="43" t="n">
        <v>366</v>
      </c>
      <c r="E23643" s="44" t="n">
        <v>10755.47</v>
      </c>
    </row>
    <row r="23644">
      <c r="A23644" s="39">
        <f>_xlfn.XLOOKUP(84817,Trip[shape_id],Trip[shape_id],"Não encontrado")</f>
        <v/>
      </c>
      <c r="B23644" s="40" t="n">
        <v>-23.590047</v>
      </c>
      <c r="C23644" s="40" t="n">
        <v>-46.575197</v>
      </c>
      <c r="D23644" s="40" t="n">
        <v>367</v>
      </c>
      <c r="E23644" s="41" t="n">
        <v>10853.064</v>
      </c>
    </row>
    <row r="23645">
      <c r="A23645" s="42">
        <f>_xlfn.XLOOKUP(84817,Trip[shape_id],Trip[shape_id],"Não encontrado")</f>
        <v/>
      </c>
      <c r="B23645" s="43" t="n">
        <v>-23.590186</v>
      </c>
      <c r="C23645" s="43" t="n">
        <v>-46.574315</v>
      </c>
      <c r="D23645" s="43" t="n">
        <v>368</v>
      </c>
      <c r="E23645" s="44" t="n">
        <v>10944.398</v>
      </c>
    </row>
    <row r="23646">
      <c r="A23646" s="39">
        <f>_xlfn.XLOOKUP(84817,Trip[shape_id],Trip[shape_id],"Não encontrado")</f>
        <v/>
      </c>
      <c r="B23646" s="40" t="n">
        <v>-23.590202</v>
      </c>
      <c r="C23646" s="40" t="n">
        <v>-46.574188</v>
      </c>
      <c r="D23646" s="40" t="n">
        <v>369</v>
      </c>
      <c r="E23646" s="41" t="n">
        <v>10957.481</v>
      </c>
    </row>
    <row r="23647">
      <c r="A23647" s="42">
        <f>_xlfn.XLOOKUP(84817,Trip[shape_id],Trip[shape_id],"Não encontrado")</f>
        <v/>
      </c>
      <c r="B23647" s="43" t="n">
        <v>-23.59032</v>
      </c>
      <c r="C23647" s="43" t="n">
        <v>-46.573374</v>
      </c>
      <c r="D23647" s="43" t="n">
        <v>370</v>
      </c>
      <c r="E23647" s="44" t="n">
        <v>11041.589</v>
      </c>
    </row>
    <row r="23648">
      <c r="A23648" s="39">
        <f>_xlfn.XLOOKUP(84817,Trip[shape_id],Trip[shape_id],"Não encontrado")</f>
        <v/>
      </c>
      <c r="B23648" s="40" t="n">
        <v>-23.590352</v>
      </c>
      <c r="C23648" s="40" t="n">
        <v>-46.573199</v>
      </c>
      <c r="D23648" s="40" t="n">
        <v>371</v>
      </c>
      <c r="E23648" s="41" t="n">
        <v>11059.8</v>
      </c>
    </row>
    <row r="23649">
      <c r="A23649" s="42">
        <f>_xlfn.XLOOKUP(84817,Trip[shape_id],Trip[shape_id],"Não encontrado")</f>
        <v/>
      </c>
      <c r="B23649" s="43" t="n">
        <v>-23.590394</v>
      </c>
      <c r="C23649" s="43" t="n">
        <v>-46.57293</v>
      </c>
      <c r="D23649" s="43" t="n">
        <v>372</v>
      </c>
      <c r="E23649" s="44" t="n">
        <v>11162.172</v>
      </c>
    </row>
    <row r="23650">
      <c r="A23650" s="39">
        <f>_xlfn.XLOOKUP(84817,Trip[shape_id],Trip[shape_id],"Não encontrado")</f>
        <v/>
      </c>
      <c r="B23650" s="40" t="n">
        <v>-23.590494</v>
      </c>
      <c r="C23650" s="40" t="n">
        <v>-46.572208</v>
      </c>
      <c r="D23650" s="40" t="n">
        <v>373</v>
      </c>
      <c r="E23650" s="41" t="n">
        <v>11162.172</v>
      </c>
    </row>
    <row r="23651">
      <c r="A23651" s="42">
        <f>_xlfn.XLOOKUP(84817,Trip[shape_id],Trip[shape_id],"Não encontrado")</f>
        <v/>
      </c>
      <c r="B23651" s="43" t="n">
        <v>-23.59051</v>
      </c>
      <c r="C23651" s="43" t="n">
        <v>-46.572096</v>
      </c>
      <c r="D23651" s="43" t="n">
        <v>374</v>
      </c>
      <c r="E23651" s="44" t="n">
        <v>11173.74</v>
      </c>
    </row>
    <row r="23652">
      <c r="A23652" s="39">
        <f>_xlfn.XLOOKUP(84817,Trip[shape_id],Trip[shape_id],"Não encontrado")</f>
        <v/>
      </c>
      <c r="B23652" s="40" t="n">
        <v>-23.590565</v>
      </c>
      <c r="C23652" s="40" t="n">
        <v>-46.571706</v>
      </c>
      <c r="D23652" s="40" t="n">
        <v>375</v>
      </c>
      <c r="E23652" s="41" t="n">
        <v>11214.012</v>
      </c>
    </row>
    <row r="23653">
      <c r="A23653" s="42">
        <f>_xlfn.XLOOKUP(84817,Trip[shape_id],Trip[shape_id],"Não encontrado")</f>
        <v/>
      </c>
      <c r="B23653" s="43" t="n">
        <v>-23.590616</v>
      </c>
      <c r="C23653" s="43" t="n">
        <v>-46.571316</v>
      </c>
      <c r="D23653" s="43" t="n">
        <v>376</v>
      </c>
      <c r="E23653" s="44" t="n">
        <v>11254.219</v>
      </c>
    </row>
    <row r="23654">
      <c r="A23654" s="39">
        <f>_xlfn.XLOOKUP(84817,Trip[shape_id],Trip[shape_id],"Não encontrado")</f>
        <v/>
      </c>
      <c r="B23654" s="40" t="n">
        <v>-23.590637</v>
      </c>
      <c r="C23654" s="40" t="n">
        <v>-46.571185</v>
      </c>
      <c r="D23654" s="40" t="n">
        <v>377</v>
      </c>
      <c r="E23654" s="41" t="n">
        <v>11270.723</v>
      </c>
    </row>
    <row r="23655">
      <c r="A23655" s="42">
        <f>_xlfn.XLOOKUP(84817,Trip[shape_id],Trip[shape_id],"Não encontrado")</f>
        <v/>
      </c>
      <c r="B23655" s="43" t="n">
        <v>-23.590646</v>
      </c>
      <c r="C23655" s="43" t="n">
        <v>-46.571158</v>
      </c>
      <c r="D23655" s="43" t="n">
        <v>378</v>
      </c>
      <c r="E23655" s="44" t="n">
        <v>11270.723</v>
      </c>
    </row>
    <row r="23656">
      <c r="A23656" s="39">
        <f>_xlfn.XLOOKUP(84817,Trip[shape_id],Trip[shape_id],"Não encontrado")</f>
        <v/>
      </c>
      <c r="B23656" s="40" t="n">
        <v>-23.590665</v>
      </c>
      <c r="C23656" s="40" t="n">
        <v>-46.571079</v>
      </c>
      <c r="D23656" s="40" t="n">
        <v>379</v>
      </c>
      <c r="E23656" s="41" t="n">
        <v>11291.168</v>
      </c>
    </row>
    <row r="23657">
      <c r="A23657" s="42">
        <f>_xlfn.XLOOKUP(84817,Trip[shape_id],Trip[shape_id],"Não encontrado")</f>
        <v/>
      </c>
      <c r="B23657" s="43" t="n">
        <v>-23.590688</v>
      </c>
      <c r="C23657" s="43" t="n">
        <v>-46.570963</v>
      </c>
      <c r="D23657" s="43" t="n">
        <v>380</v>
      </c>
      <c r="E23657" s="44" t="n">
        <v>11297.624</v>
      </c>
    </row>
    <row r="23658">
      <c r="A23658" s="39">
        <f>_xlfn.XLOOKUP(84817,Trip[shape_id],Trip[shape_id],"Não encontrado")</f>
        <v/>
      </c>
      <c r="B23658" s="40" t="n">
        <v>-23.590709</v>
      </c>
      <c r="C23658" s="40" t="n">
        <v>-46.570904</v>
      </c>
      <c r="D23658" s="40" t="n">
        <v>381</v>
      </c>
      <c r="E23658" s="41" t="n">
        <v>11305.809</v>
      </c>
    </row>
    <row r="23659">
      <c r="A23659" s="42">
        <f>_xlfn.XLOOKUP(84817,Trip[shape_id],Trip[shape_id],"Não encontrado")</f>
        <v/>
      </c>
      <c r="B23659" s="43" t="n">
        <v>-23.590714</v>
      </c>
      <c r="C23659" s="43" t="n">
        <v>-46.570824</v>
      </c>
      <c r="D23659" s="43" t="n">
        <v>382</v>
      </c>
      <c r="E23659" s="44" t="n">
        <v>11371.481</v>
      </c>
    </row>
    <row r="23660">
      <c r="A23660" s="39">
        <f>_xlfn.XLOOKUP(84817,Trip[shape_id],Trip[shape_id],"Não encontrado")</f>
        <v/>
      </c>
      <c r="B23660" s="40" t="n">
        <v>-23.590815</v>
      </c>
      <c r="C23660" s="40" t="n">
        <v>-46.57019</v>
      </c>
      <c r="D23660" s="40" t="n">
        <v>383</v>
      </c>
      <c r="E23660" s="41" t="n">
        <v>11382.626</v>
      </c>
    </row>
    <row r="23661">
      <c r="A23661" s="42">
        <f>_xlfn.XLOOKUP(84817,Trip[shape_id],Trip[shape_id],"Não encontrado")</f>
        <v/>
      </c>
      <c r="B23661" s="43" t="n">
        <v>-23.590835</v>
      </c>
      <c r="C23661" s="43" t="n">
        <v>-46.570083</v>
      </c>
      <c r="D23661" s="43" t="n">
        <v>384</v>
      </c>
      <c r="E23661" s="44" t="n">
        <v>11399.57</v>
      </c>
    </row>
    <row r="23662">
      <c r="A23662" s="39">
        <f>_xlfn.XLOOKUP(84817,Trip[shape_id],Trip[shape_id],"Não encontrado")</f>
        <v/>
      </c>
      <c r="B23662" s="40" t="n">
        <v>-23.590836</v>
      </c>
      <c r="C23662" s="40" t="n">
        <v>-46.569917</v>
      </c>
      <c r="D23662" s="40" t="n">
        <v>385</v>
      </c>
      <c r="E23662" s="41" t="n">
        <v>11399.57</v>
      </c>
    </row>
    <row r="23663">
      <c r="A23663" s="42">
        <f>_xlfn.XLOOKUP(84817,Trip[shape_id],Trip[shape_id],"Não encontrado")</f>
        <v/>
      </c>
      <c r="B23663" s="43" t="n">
        <v>-23.590921</v>
      </c>
      <c r="C23663" s="43" t="n">
        <v>-46.569766</v>
      </c>
      <c r="D23663" s="43" t="n">
        <v>386</v>
      </c>
      <c r="E23663" s="44" t="n">
        <v>11430.02</v>
      </c>
    </row>
    <row r="23664">
      <c r="A23664" s="39">
        <f>_xlfn.XLOOKUP(84817,Trip[shape_id],Trip[shape_id],"Não encontrado")</f>
        <v/>
      </c>
      <c r="B23664" s="40" t="n">
        <v>-23.590943</v>
      </c>
      <c r="C23664" s="40" t="n">
        <v>-46.569647</v>
      </c>
      <c r="D23664" s="40" t="n">
        <v>387</v>
      </c>
      <c r="E23664" s="41" t="n">
        <v>11430.02</v>
      </c>
    </row>
    <row r="23665">
      <c r="A23665" s="42">
        <f>_xlfn.XLOOKUP(84817,Trip[shape_id],Trip[shape_id],"Não encontrado")</f>
        <v/>
      </c>
      <c r="B23665" s="43" t="n">
        <v>-23.59098</v>
      </c>
      <c r="C23665" s="43" t="n">
        <v>-46.569432</v>
      </c>
      <c r="D23665" s="43" t="n">
        <v>388</v>
      </c>
      <c r="E23665" s="44" t="n">
        <v>11452.344</v>
      </c>
    </row>
    <row r="23666">
      <c r="A23666" s="39">
        <f>_xlfn.XLOOKUP(84817,Trip[shape_id],Trip[shape_id],"Não encontrado")</f>
        <v/>
      </c>
      <c r="B23666" s="40" t="n">
        <v>-23.591072</v>
      </c>
      <c r="C23666" s="40" t="n">
        <v>-46.56884</v>
      </c>
      <c r="D23666" s="40" t="n">
        <v>389</v>
      </c>
      <c r="E23666" s="41" t="n">
        <v>11513.623</v>
      </c>
    </row>
    <row r="23667">
      <c r="A23667" s="42">
        <f>_xlfn.XLOOKUP(84817,Trip[shape_id],Trip[shape_id],"Não encontrado")</f>
        <v/>
      </c>
      <c r="B23667" s="43" t="n">
        <v>-23.591088</v>
      </c>
      <c r="C23667" s="43" t="n">
        <v>-46.568731</v>
      </c>
      <c r="D23667" s="43" t="n">
        <v>390</v>
      </c>
      <c r="E23667" s="44" t="n">
        <v>11524.889</v>
      </c>
    </row>
    <row r="23668">
      <c r="A23668" s="39">
        <f>_xlfn.XLOOKUP(84817,Trip[shape_id],Trip[shape_id],"Não encontrado")</f>
        <v/>
      </c>
      <c r="B23668" s="40" t="n">
        <v>-23.591167</v>
      </c>
      <c r="C23668" s="40" t="n">
        <v>-46.568242</v>
      </c>
      <c r="D23668" s="40" t="n">
        <v>391</v>
      </c>
      <c r="E23668" s="41" t="n">
        <v>11575.563</v>
      </c>
    </row>
    <row r="23669">
      <c r="A23669" s="42">
        <f>_xlfn.XLOOKUP(84817,Trip[shape_id],Trip[shape_id],"Não encontrado")</f>
        <v/>
      </c>
      <c r="B23669" s="43" t="n">
        <v>-23.5912</v>
      </c>
      <c r="C23669" s="43" t="n">
        <v>-46.568004</v>
      </c>
      <c r="D23669" s="43" t="n">
        <v>392</v>
      </c>
      <c r="E23669" s="44" t="n">
        <v>11600.129</v>
      </c>
    </row>
    <row r="23670">
      <c r="A23670" s="39">
        <f>_xlfn.XLOOKUP(84817,Trip[shape_id],Trip[shape_id],"Não encontrado")</f>
        <v/>
      </c>
      <c r="B23670" s="40" t="n">
        <v>-23.591266</v>
      </c>
      <c r="C23670" s="40" t="n">
        <v>-46.567666</v>
      </c>
      <c r="D23670" s="40" t="n">
        <v>393</v>
      </c>
      <c r="E23670" s="41" t="n">
        <v>11635.395</v>
      </c>
    </row>
    <row r="23671">
      <c r="A23671" s="42">
        <f>_xlfn.XLOOKUP(84817,Trip[shape_id],Trip[shape_id],"Não encontrado")</f>
        <v/>
      </c>
      <c r="B23671" s="43" t="n">
        <v>-23.5913</v>
      </c>
      <c r="C23671" s="43" t="n">
        <v>-46.567562</v>
      </c>
      <c r="D23671" s="43" t="n">
        <v>394</v>
      </c>
      <c r="E23671" s="44" t="n">
        <v>11646.658</v>
      </c>
    </row>
    <row r="23672">
      <c r="A23672" s="39">
        <f>_xlfn.XLOOKUP(84817,Trip[shape_id],Trip[shape_id],"Não encontrado")</f>
        <v/>
      </c>
      <c r="B23672" s="40" t="n">
        <v>-23.591339</v>
      </c>
      <c r="C23672" s="40" t="n">
        <v>-46.56745</v>
      </c>
      <c r="D23672" s="40" t="n">
        <v>395</v>
      </c>
      <c r="E23672" s="41" t="n">
        <v>11658.879</v>
      </c>
    </row>
    <row r="23673">
      <c r="A23673" s="42">
        <f>_xlfn.XLOOKUP(84817,Trip[shape_id],Trip[shape_id],"Não encontrado")</f>
        <v/>
      </c>
      <c r="B23673" s="43" t="n">
        <v>-23.591369</v>
      </c>
      <c r="C23673" s="43" t="n">
        <v>-46.567373</v>
      </c>
      <c r="D23673" s="43" t="n">
        <v>396</v>
      </c>
      <c r="E23673" s="44" t="n">
        <v>11667.412</v>
      </c>
    </row>
    <row r="23674">
      <c r="A23674" s="39">
        <f>_xlfn.XLOOKUP(84817,Trip[shape_id],Trip[shape_id],"Não encontrado")</f>
        <v/>
      </c>
      <c r="B23674" s="40" t="n">
        <v>-23.591433</v>
      </c>
      <c r="C23674" s="40" t="n">
        <v>-46.567215</v>
      </c>
      <c r="D23674" s="40" t="n">
        <v>397</v>
      </c>
      <c r="E23674" s="41" t="n">
        <v>11685.028</v>
      </c>
    </row>
    <row r="23675">
      <c r="A23675" s="42">
        <f>_xlfn.XLOOKUP(84817,Trip[shape_id],Trip[shape_id],"Não encontrado")</f>
        <v/>
      </c>
      <c r="B23675" s="43" t="n">
        <v>-23.59149</v>
      </c>
      <c r="C23675" s="43" t="n">
        <v>-46.567118</v>
      </c>
      <c r="D23675" s="43" t="n">
        <v>398</v>
      </c>
      <c r="E23675" s="44" t="n">
        <v>11696.771</v>
      </c>
    </row>
    <row r="23676">
      <c r="A23676" s="39">
        <f>_xlfn.XLOOKUP(84817,Trip[shape_id],Trip[shape_id],"Não encontrado")</f>
        <v/>
      </c>
      <c r="B23676" s="40" t="n">
        <v>-23.591522</v>
      </c>
      <c r="C23676" s="40" t="n">
        <v>-46.567045</v>
      </c>
      <c r="D23676" s="40" t="n">
        <v>399</v>
      </c>
      <c r="E23676" s="41" t="n">
        <v>11705.021</v>
      </c>
    </row>
    <row r="23677">
      <c r="A23677" s="42">
        <f>_xlfn.XLOOKUP(84817,Trip[shape_id],Trip[shape_id],"Não encontrado")</f>
        <v/>
      </c>
      <c r="B23677" s="43" t="n">
        <v>-23.59155</v>
      </c>
      <c r="C23677" s="43" t="n">
        <v>-46.566997</v>
      </c>
      <c r="D23677" s="43" t="n">
        <v>400</v>
      </c>
      <c r="E23677" s="44" t="n">
        <v>11710.819</v>
      </c>
    </row>
    <row r="23678">
      <c r="A23678" s="39">
        <f>_xlfn.XLOOKUP(84817,Trip[shape_id],Trip[shape_id],"Não encontrado")</f>
        <v/>
      </c>
      <c r="B23678" s="40" t="n">
        <v>-23.591573</v>
      </c>
      <c r="C23678" s="40" t="n">
        <v>-46.566958</v>
      </c>
      <c r="D23678" s="40" t="n">
        <v>401</v>
      </c>
      <c r="E23678" s="41" t="n">
        <v>11720.125</v>
      </c>
    </row>
    <row r="23679">
      <c r="A23679" s="42">
        <f>_xlfn.XLOOKUP(84817,Trip[shape_id],Trip[shape_id],"Não encontrado")</f>
        <v/>
      </c>
      <c r="B23679" s="43" t="n">
        <v>-23.591595</v>
      </c>
      <c r="C23679" s="43" t="n">
        <v>-46.56692</v>
      </c>
      <c r="D23679" s="43" t="n">
        <v>402</v>
      </c>
      <c r="E23679" s="44" t="n">
        <v>11732.417</v>
      </c>
    </row>
    <row r="23680">
      <c r="A23680" s="39">
        <f>_xlfn.XLOOKUP(84817,Trip[shape_id],Trip[shape_id],"Não encontrado")</f>
        <v/>
      </c>
      <c r="B23680" s="40" t="n">
        <v>-23.591654</v>
      </c>
      <c r="C23680" s="40" t="n">
        <v>-46.566818</v>
      </c>
      <c r="D23680" s="40" t="n">
        <v>403</v>
      </c>
      <c r="E23680" s="41" t="n">
        <v>11732.417</v>
      </c>
    </row>
    <row r="23681">
      <c r="A23681" s="42">
        <f>_xlfn.XLOOKUP(84817,Trip[shape_id],Trip[shape_id],"Não encontrado")</f>
        <v/>
      </c>
      <c r="B23681" s="43" t="n">
        <v>-23.591768</v>
      </c>
      <c r="C23681" s="43" t="n">
        <v>-46.566646</v>
      </c>
      <c r="D23681" s="43" t="n">
        <v>404</v>
      </c>
      <c r="E23681" s="44" t="n">
        <v>11754.041</v>
      </c>
    </row>
    <row r="23682">
      <c r="A23682" s="39">
        <f>_xlfn.XLOOKUP(84817,Trip[shape_id],Trip[shape_id],"Não encontrado")</f>
        <v/>
      </c>
      <c r="B23682" s="40" t="n">
        <v>-23.591952</v>
      </c>
      <c r="C23682" s="40" t="n">
        <v>-46.56643</v>
      </c>
      <c r="D23682" s="40" t="n">
        <v>405</v>
      </c>
      <c r="E23682" s="41" t="n">
        <v>11796.084</v>
      </c>
    </row>
    <row r="23683">
      <c r="A23683" s="42">
        <f>_xlfn.XLOOKUP(84817,Trip[shape_id],Trip[shape_id],"Não encontrado")</f>
        <v/>
      </c>
      <c r="B23683" s="43" t="n">
        <v>-23.592022</v>
      </c>
      <c r="C23683" s="43" t="n">
        <v>-46.56634</v>
      </c>
      <c r="D23683" s="43" t="n">
        <v>406</v>
      </c>
      <c r="E23683" s="44" t="n">
        <v>11813.048</v>
      </c>
    </row>
    <row r="23684">
      <c r="A23684" s="39">
        <f>_xlfn.XLOOKUP(84817,Trip[shape_id],Trip[shape_id],"Não encontrado")</f>
        <v/>
      </c>
      <c r="B23684" s="40" t="n">
        <v>-23.592125</v>
      </c>
      <c r="C23684" s="40" t="n">
        <v>-46.566217</v>
      </c>
      <c r="D23684" s="40" t="n">
        <v>407</v>
      </c>
      <c r="E23684" s="41" t="n">
        <v>11823.104</v>
      </c>
    </row>
    <row r="23685">
      <c r="A23685" s="42">
        <f>_xlfn.XLOOKUP(84817,Trip[shape_id],Trip[shape_id],"Não encontrado")</f>
        <v/>
      </c>
      <c r="B23685" s="43" t="n">
        <v>-23.592178</v>
      </c>
      <c r="C23685" s="43" t="n">
        <v>-46.566137</v>
      </c>
      <c r="D23685" s="43" t="n">
        <v>408</v>
      </c>
      <c r="E23685" s="44" t="n">
        <v>11829.228</v>
      </c>
    </row>
    <row r="23686">
      <c r="A23686" s="39">
        <f>_xlfn.XLOOKUP(84817,Trip[shape_id],Trip[shape_id],"Não encontrado")</f>
        <v/>
      </c>
      <c r="B23686" s="40" t="n">
        <v>-23.59222</v>
      </c>
      <c r="C23686" s="40" t="n">
        <v>-46.566098</v>
      </c>
      <c r="D23686" s="40" t="n">
        <v>409</v>
      </c>
      <c r="E23686" s="41" t="n">
        <v>11829.228</v>
      </c>
    </row>
    <row r="23687">
      <c r="A23687" s="42">
        <f>_xlfn.XLOOKUP(84817,Trip[shape_id],Trip[shape_id],"Não encontrado")</f>
        <v/>
      </c>
      <c r="B23687" s="43" t="n">
        <v>-23.592365</v>
      </c>
      <c r="C23687" s="43" t="n">
        <v>-46.565884</v>
      </c>
      <c r="D23687" s="43" t="n">
        <v>410</v>
      </c>
      <c r="E23687" s="44" t="n">
        <v>11866.986</v>
      </c>
    </row>
    <row r="23688">
      <c r="A23688" s="39">
        <f>_xlfn.XLOOKUP(84817,Trip[shape_id],Trip[shape_id],"Não encontrado")</f>
        <v/>
      </c>
      <c r="B23688" s="40" t="n">
        <v>-23.592412</v>
      </c>
      <c r="C23688" s="40" t="n">
        <v>-46.565793</v>
      </c>
      <c r="D23688" s="40" t="n">
        <v>411</v>
      </c>
      <c r="E23688" s="41" t="n">
        <v>11894.825</v>
      </c>
    </row>
    <row r="23689">
      <c r="A23689" s="42">
        <f>_xlfn.XLOOKUP(84817,Trip[shape_id],Trip[shape_id],"Não encontrado")</f>
        <v/>
      </c>
      <c r="B23689" s="43" t="n">
        <v>-23.592538</v>
      </c>
      <c r="C23689" s="43" t="n">
        <v>-46.565557</v>
      </c>
      <c r="D23689" s="43" t="n">
        <v>412</v>
      </c>
      <c r="E23689" s="44" t="n">
        <v>11899.792</v>
      </c>
    </row>
    <row r="23690">
      <c r="A23690" s="39">
        <f>_xlfn.XLOOKUP(84817,Trip[shape_id],Trip[shape_id],"Não encontrado")</f>
        <v/>
      </c>
      <c r="B23690" s="40" t="n">
        <v>-23.592559</v>
      </c>
      <c r="C23690" s="40" t="n">
        <v>-46.565514</v>
      </c>
      <c r="D23690" s="40" t="n">
        <v>413</v>
      </c>
      <c r="E23690" s="41" t="n">
        <v>11901.045</v>
      </c>
    </row>
    <row r="23691">
      <c r="A23691" s="42">
        <f>_xlfn.XLOOKUP(84817,Trip[shape_id],Trip[shape_id],"Não encontrado")</f>
        <v/>
      </c>
      <c r="B23691" s="43" t="n">
        <v>-23.592564</v>
      </c>
      <c r="C23691" s="43" t="n">
        <v>-46.565503</v>
      </c>
      <c r="D23691" s="43" t="n">
        <v>414</v>
      </c>
      <c r="E23691" s="44" t="n">
        <v>11907.73</v>
      </c>
    </row>
    <row r="23692">
      <c r="A23692" s="39">
        <f>_xlfn.XLOOKUP(84817,Trip[shape_id],Trip[shape_id],"Não encontrado")</f>
        <v/>
      </c>
      <c r="B23692" s="40" t="n">
        <v>-23.592586</v>
      </c>
      <c r="C23692" s="40" t="n">
        <v>-46.565442</v>
      </c>
      <c r="D23692" s="40" t="n">
        <v>415</v>
      </c>
      <c r="E23692" s="41" t="n">
        <v>11922.5</v>
      </c>
    </row>
    <row r="23693">
      <c r="A23693" s="42">
        <f>_xlfn.XLOOKUP(84817,Trip[shape_id],Trip[shape_id],"Não encontrado")</f>
        <v/>
      </c>
      <c r="B23693" s="43" t="n">
        <v>-23.592634</v>
      </c>
      <c r="C23693" s="43" t="n">
        <v>-46.565307</v>
      </c>
      <c r="D23693" s="43" t="n">
        <v>416</v>
      </c>
      <c r="E23693" s="44" t="n">
        <v>11929.933</v>
      </c>
    </row>
    <row r="23694">
      <c r="A23694" s="39">
        <f>_xlfn.XLOOKUP(84817,Trip[shape_id],Trip[shape_id],"Não encontrado")</f>
        <v/>
      </c>
      <c r="B23694" s="40" t="n">
        <v>-23.592658</v>
      </c>
      <c r="C23694" s="40" t="n">
        <v>-46.565239</v>
      </c>
      <c r="D23694" s="40" t="n">
        <v>417</v>
      </c>
      <c r="E23694" s="41" t="n">
        <v>11934.684</v>
      </c>
    </row>
    <row r="23695">
      <c r="A23695" s="42">
        <f>_xlfn.XLOOKUP(84817,Trip[shape_id],Trip[shape_id],"Não encontrado")</f>
        <v/>
      </c>
      <c r="B23695" s="43" t="n">
        <v>-23.592672</v>
      </c>
      <c r="C23695" s="43" t="n">
        <v>-46.565195</v>
      </c>
      <c r="D23695" s="43" t="n">
        <v>418</v>
      </c>
      <c r="E23695" s="44" t="n">
        <v>11969.56</v>
      </c>
    </row>
    <row r="23696">
      <c r="A23696" s="39">
        <f>_xlfn.XLOOKUP(84817,Trip[shape_id],Trip[shape_id],"Não encontrado")</f>
        <v/>
      </c>
      <c r="B23696" s="40" t="n">
        <v>-23.592772</v>
      </c>
      <c r="C23696" s="40" t="n">
        <v>-46.564871</v>
      </c>
      <c r="D23696" s="40" t="n">
        <v>419</v>
      </c>
      <c r="E23696" s="41" t="n">
        <v>11996.562</v>
      </c>
    </row>
    <row r="23697">
      <c r="A23697" s="42">
        <f>_xlfn.XLOOKUP(84817,Trip[shape_id],Trip[shape_id],"Não encontrado")</f>
        <v/>
      </c>
      <c r="B23697" s="43" t="n">
        <v>-23.592849</v>
      </c>
      <c r="C23697" s="43" t="n">
        <v>-46.56462</v>
      </c>
      <c r="D23697" s="43" t="n">
        <v>420</v>
      </c>
      <c r="E23697" s="44" t="n">
        <v>12006.522</v>
      </c>
    </row>
    <row r="23698">
      <c r="A23698" s="39">
        <f>_xlfn.XLOOKUP(84817,Trip[shape_id],Trip[shape_id],"Não encontrado")</f>
        <v/>
      </c>
      <c r="B23698" s="40" t="n">
        <v>-23.592879</v>
      </c>
      <c r="C23698" s="40" t="n">
        <v>-46.564528</v>
      </c>
      <c r="D23698" s="40" t="n">
        <v>421</v>
      </c>
      <c r="E23698" s="41" t="n">
        <v>12026.808</v>
      </c>
    </row>
    <row r="23699">
      <c r="A23699" s="42">
        <f>_xlfn.XLOOKUP(84817,Trip[shape_id],Trip[shape_id],"Não encontrado")</f>
        <v/>
      </c>
      <c r="B23699" s="43" t="n">
        <v>-23.592941</v>
      </c>
      <c r="C23699" s="43" t="n">
        <v>-46.564341</v>
      </c>
      <c r="D23699" s="43" t="n">
        <v>422</v>
      </c>
      <c r="E23699" s="44" t="n">
        <v>12026.808</v>
      </c>
    </row>
    <row r="23700">
      <c r="A23700" s="39">
        <f>_xlfn.XLOOKUP(84817,Trip[shape_id],Trip[shape_id],"Não encontrado")</f>
        <v/>
      </c>
      <c r="B23700" s="40" t="n">
        <v>-23.59296</v>
      </c>
      <c r="C23700" s="40" t="n">
        <v>-46.564283</v>
      </c>
      <c r="D23700" s="40" t="n">
        <v>423</v>
      </c>
      <c r="E23700" s="41" t="n">
        <v>12058.076</v>
      </c>
    </row>
    <row r="23701">
      <c r="A23701" s="42">
        <f>_xlfn.XLOOKUP(84817,Trip[shape_id],Trip[shape_id],"Não encontrado")</f>
        <v/>
      </c>
      <c r="B23701" s="43" t="n">
        <v>-23.593032</v>
      </c>
      <c r="C23701" s="43" t="n">
        <v>-46.564051</v>
      </c>
      <c r="D23701" s="43" t="n">
        <v>424</v>
      </c>
      <c r="E23701" s="44" t="n">
        <v>12132.509</v>
      </c>
    </row>
    <row r="23702">
      <c r="A23702" s="39">
        <f>_xlfn.XLOOKUP(84817,Trip[shape_id],Trip[shape_id],"Não encontrado")</f>
        <v/>
      </c>
      <c r="B23702" s="40" t="n">
        <v>-23.593244</v>
      </c>
      <c r="C23702" s="40" t="n">
        <v>-46.563359</v>
      </c>
      <c r="D23702" s="40" t="n">
        <v>425</v>
      </c>
      <c r="E23702" s="41" t="n">
        <v>12168.519</v>
      </c>
    </row>
    <row r="23703">
      <c r="A23703" s="42">
        <f>_xlfn.XLOOKUP(84817,Trip[shape_id],Trip[shape_id],"Não encontrado")</f>
        <v/>
      </c>
      <c r="B23703" s="43" t="n">
        <v>-23.593354</v>
      </c>
      <c r="C23703" s="43" t="n">
        <v>-46.563027</v>
      </c>
      <c r="D23703" s="43" t="n">
        <v>426</v>
      </c>
      <c r="E23703" s="44" t="n">
        <v>12189.796</v>
      </c>
    </row>
    <row r="23704">
      <c r="A23704" s="39">
        <f>_xlfn.XLOOKUP(84817,Trip[shape_id],Trip[shape_id],"Não encontrado")</f>
        <v/>
      </c>
      <c r="B23704" s="40" t="n">
        <v>-23.593437</v>
      </c>
      <c r="C23704" s="40" t="n">
        <v>-46.562839</v>
      </c>
      <c r="D23704" s="40" t="n">
        <v>427</v>
      </c>
      <c r="E23704" s="41" t="n">
        <v>12196.681</v>
      </c>
    </row>
    <row r="23705">
      <c r="A23705" s="42">
        <f>_xlfn.XLOOKUP(84817,Trip[shape_id],Trip[shape_id],"Não encontrado")</f>
        <v/>
      </c>
      <c r="B23705" s="43" t="n">
        <v>-23.593473</v>
      </c>
      <c r="C23705" s="43" t="n">
        <v>-46.562784</v>
      </c>
      <c r="D23705" s="43" t="n">
        <v>428</v>
      </c>
      <c r="E23705" s="44" t="n">
        <v>12207.146</v>
      </c>
    </row>
    <row r="23706">
      <c r="A23706" s="39">
        <f>_xlfn.XLOOKUP(84817,Trip[shape_id],Trip[shape_id],"Não encontrado")</f>
        <v/>
      </c>
      <c r="B23706" s="40" t="n">
        <v>-23.593523</v>
      </c>
      <c r="C23706" s="40" t="n">
        <v>-46.562697</v>
      </c>
      <c r="D23706" s="40" t="n">
        <v>429</v>
      </c>
      <c r="E23706" s="41" t="n">
        <v>12222.534</v>
      </c>
    </row>
    <row r="23707">
      <c r="A23707" s="42">
        <f>_xlfn.XLOOKUP(84817,Trip[shape_id],Trip[shape_id],"Não encontrado")</f>
        <v/>
      </c>
      <c r="B23707" s="43" t="n">
        <v>-23.593619</v>
      </c>
      <c r="C23707" s="43" t="n">
        <v>-46.562588</v>
      </c>
      <c r="D23707" s="43" t="n">
        <v>430</v>
      </c>
      <c r="E23707" s="44" t="n">
        <v>12238.296</v>
      </c>
    </row>
    <row r="23708">
      <c r="A23708" s="39">
        <f>_xlfn.XLOOKUP(84817,Trip[shape_id],Trip[shape_id],"Não encontrado")</f>
        <v/>
      </c>
      <c r="B23708" s="40" t="n">
        <v>-23.593716</v>
      </c>
      <c r="C23708" s="40" t="n">
        <v>-46.562475</v>
      </c>
      <c r="D23708" s="40" t="n">
        <v>431</v>
      </c>
      <c r="E23708" s="41" t="n">
        <v>12248.959</v>
      </c>
    </row>
    <row r="23709">
      <c r="A23709" s="42">
        <f>_xlfn.XLOOKUP(84817,Trip[shape_id],Trip[shape_id],"Não encontrado")</f>
        <v/>
      </c>
      <c r="B23709" s="43" t="n">
        <v>-23.593779</v>
      </c>
      <c r="C23709" s="43" t="n">
        <v>-46.562396</v>
      </c>
      <c r="D23709" s="43" t="n">
        <v>432</v>
      </c>
      <c r="E23709" s="44" t="n">
        <v>12265.621</v>
      </c>
    </row>
    <row r="23710">
      <c r="A23710" s="39">
        <f>_xlfn.XLOOKUP(84817,Trip[shape_id],Trip[shape_id],"Não encontrado")</f>
        <v/>
      </c>
      <c r="B23710" s="40" t="n">
        <v>-23.593902</v>
      </c>
      <c r="C23710" s="40" t="n">
        <v>-46.562302</v>
      </c>
      <c r="D23710" s="40" t="n">
        <v>433</v>
      </c>
      <c r="E23710" s="41" t="n">
        <v>12265.621</v>
      </c>
    </row>
    <row r="23711">
      <c r="A23711" s="42">
        <f>_xlfn.XLOOKUP(84817,Trip[shape_id],Trip[shape_id],"Não encontrado")</f>
        <v/>
      </c>
      <c r="B23711" s="43" t="n">
        <v>-23.59389</v>
      </c>
      <c r="C23711" s="43" t="n">
        <v>-46.562222</v>
      </c>
      <c r="D23711" s="43" t="n">
        <v>434</v>
      </c>
      <c r="E23711" s="44" t="n">
        <v>12273.894</v>
      </c>
    </row>
    <row r="23712">
      <c r="A23712" s="39">
        <f>_xlfn.XLOOKUP(84817,Trip[shape_id],Trip[shape_id],"Não encontrado")</f>
        <v/>
      </c>
      <c r="B23712" s="40" t="n">
        <v>-23.593911</v>
      </c>
      <c r="C23712" s="40" t="n">
        <v>-46.562121</v>
      </c>
      <c r="D23712" s="40" t="n">
        <v>435</v>
      </c>
      <c r="E23712" s="41" t="n">
        <v>12284.462</v>
      </c>
    </row>
    <row r="23713">
      <c r="A23713" s="42">
        <f>_xlfn.XLOOKUP(84817,Trip[shape_id],Trip[shape_id],"Não encontrado")</f>
        <v/>
      </c>
      <c r="B23713" s="43" t="n">
        <v>-23.593929</v>
      </c>
      <c r="C23713" s="43" t="n">
        <v>-46.562034</v>
      </c>
      <c r="D23713" s="43" t="n">
        <v>436</v>
      </c>
      <c r="E23713" s="44" t="n">
        <v>12317.472</v>
      </c>
    </row>
    <row r="23714">
      <c r="A23714" s="39">
        <f>_xlfn.XLOOKUP(84817,Trip[shape_id],Trip[shape_id],"Não encontrado")</f>
        <v/>
      </c>
      <c r="B23714" s="40" t="n">
        <v>-23.593939</v>
      </c>
      <c r="C23714" s="40" t="n">
        <v>-46.5618</v>
      </c>
      <c r="D23714" s="40" t="n">
        <v>437</v>
      </c>
      <c r="E23714" s="41" t="n">
        <v>12325.256</v>
      </c>
    </row>
    <row r="23715">
      <c r="A23715" s="42">
        <f>_xlfn.XLOOKUP(84817,Trip[shape_id],Trip[shape_id],"Não encontrado")</f>
        <v/>
      </c>
      <c r="B23715" s="43" t="n">
        <v>-23.593922</v>
      </c>
      <c r="C23715" s="43" t="n">
        <v>-46.561726</v>
      </c>
      <c r="D23715" s="43" t="n">
        <v>438</v>
      </c>
      <c r="E23715" s="44" t="n">
        <v>12349.872</v>
      </c>
    </row>
    <row r="23716">
      <c r="A23716" s="39">
        <f>_xlfn.XLOOKUP(84817,Trip[shape_id],Trip[shape_id],"Não encontrado")</f>
        <v/>
      </c>
      <c r="B23716" s="40" t="n">
        <v>-23.593825</v>
      </c>
      <c r="C23716" s="40" t="n">
        <v>-46.561509</v>
      </c>
      <c r="D23716" s="40" t="n">
        <v>439</v>
      </c>
      <c r="E23716" s="41" t="n">
        <v>12349.872</v>
      </c>
    </row>
    <row r="23717">
      <c r="A23717" s="42">
        <f>_xlfn.XLOOKUP(84817,Trip[shape_id],Trip[shape_id],"Não encontrado")</f>
        <v/>
      </c>
      <c r="B23717" s="43" t="n">
        <v>-23.593356</v>
      </c>
      <c r="C23717" s="43" t="n">
        <v>-46.560471</v>
      </c>
      <c r="D23717" s="43" t="n">
        <v>440</v>
      </c>
      <c r="E23717" s="44" t="n">
        <v>12510.615</v>
      </c>
    </row>
    <row r="23718">
      <c r="A23718" s="39">
        <f>_xlfn.XLOOKUP(84817,Trip[shape_id],Trip[shape_id],"Não encontrado")</f>
        <v/>
      </c>
      <c r="B23718" s="40" t="n">
        <v>-23.593186</v>
      </c>
      <c r="C23718" s="40" t="n">
        <v>-46.560095</v>
      </c>
      <c r="D23718" s="40" t="n">
        <v>441</v>
      </c>
      <c r="E23718" s="41" t="n">
        <v>12510.615</v>
      </c>
    </row>
    <row r="23719">
      <c r="A23719" s="42">
        <f>_xlfn.XLOOKUP(84817,Trip[shape_id],Trip[shape_id],"Não encontrado")</f>
        <v/>
      </c>
      <c r="B23719" s="43" t="n">
        <v>-23.593043</v>
      </c>
      <c r="C23719" s="43" t="n">
        <v>-46.559778</v>
      </c>
      <c r="D23719" s="43" t="n">
        <v>442</v>
      </c>
      <c r="E23719" s="44" t="n">
        <v>12556.86</v>
      </c>
    </row>
    <row r="23720">
      <c r="A23720" s="39">
        <f>_xlfn.XLOOKUP(84817,Trip[shape_id],Trip[shape_id],"Não encontrado")</f>
        <v/>
      </c>
      <c r="B23720" s="40" t="n">
        <v>-23.592984</v>
      </c>
      <c r="C23720" s="40" t="n">
        <v>-46.559701</v>
      </c>
      <c r="D23720" s="40" t="n">
        <v>443</v>
      </c>
      <c r="E23720" s="41" t="n">
        <v>12556.86</v>
      </c>
    </row>
    <row r="23721">
      <c r="A23721" s="42">
        <f>_xlfn.XLOOKUP(84817,Trip[shape_id],Trip[shape_id],"Não encontrado")</f>
        <v/>
      </c>
      <c r="B23721" s="43" t="n">
        <v>-23.59309</v>
      </c>
      <c r="C23721" s="43" t="n">
        <v>-46.559591</v>
      </c>
      <c r="D23721" s="43" t="n">
        <v>444</v>
      </c>
      <c r="E23721" s="44" t="n">
        <v>12588.494</v>
      </c>
    </row>
    <row r="23722">
      <c r="A23722" s="39">
        <f>_xlfn.XLOOKUP(84817,Trip[shape_id],Trip[shape_id],"Não encontrado")</f>
        <v/>
      </c>
      <c r="B23722" s="40" t="n">
        <v>-23.593182</v>
      </c>
      <c r="C23722" s="40" t="n">
        <v>-46.559478</v>
      </c>
      <c r="D23722" s="40" t="n">
        <v>445</v>
      </c>
      <c r="E23722" s="41" t="n">
        <v>12610.531</v>
      </c>
    </row>
    <row r="23723">
      <c r="A23723" s="42">
        <f>_xlfn.XLOOKUP(84817,Trip[shape_id],Trip[shape_id],"Não encontrado")</f>
        <v/>
      </c>
      <c r="B23723" s="43" t="n">
        <v>-23.593326</v>
      </c>
      <c r="C23723" s="43" t="n">
        <v>-46.559329</v>
      </c>
      <c r="D23723" s="43" t="n">
        <v>446</v>
      </c>
      <c r="E23723" s="44" t="n">
        <v>12628.664</v>
      </c>
    </row>
    <row r="23724">
      <c r="A23724" s="39">
        <f>_xlfn.XLOOKUP(84817,Trip[shape_id],Trip[shape_id],"Não encontrado")</f>
        <v/>
      </c>
      <c r="B23724" s="40" t="n">
        <v>-23.59345</v>
      </c>
      <c r="C23724" s="40" t="n">
        <v>-46.559213</v>
      </c>
      <c r="D23724" s="40" t="n">
        <v>447</v>
      </c>
      <c r="E23724" s="41" t="n">
        <v>12651.687</v>
      </c>
    </row>
    <row r="23725">
      <c r="A23725" s="42">
        <f>_xlfn.XLOOKUP(84817,Trip[shape_id],Trip[shape_id],"Não encontrado")</f>
        <v/>
      </c>
      <c r="B23725" s="43" t="n">
        <v>-23.59361</v>
      </c>
      <c r="C23725" s="43" t="n">
        <v>-46.559069</v>
      </c>
      <c r="D23725" s="43" t="n">
        <v>448</v>
      </c>
      <c r="E23725" s="44" t="n">
        <v>12671.687</v>
      </c>
    </row>
    <row r="23726">
      <c r="A23726" s="39">
        <f>_xlfn.XLOOKUP(84817,Trip[shape_id],Trip[shape_id],"Não encontrado")</f>
        <v/>
      </c>
      <c r="B23726" s="40" t="n">
        <v>-23.59374</v>
      </c>
      <c r="C23726" s="40" t="n">
        <v>-46.558933</v>
      </c>
      <c r="D23726" s="40" t="n">
        <v>449</v>
      </c>
      <c r="E23726" s="41" t="n">
        <v>12678.259</v>
      </c>
    </row>
    <row r="23727">
      <c r="A23727" s="42">
        <f>_xlfn.XLOOKUP(84817,Trip[shape_id],Trip[shape_id],"Não encontrado")</f>
        <v/>
      </c>
      <c r="B23727" s="43" t="n">
        <v>-23.593759</v>
      </c>
      <c r="C23727" s="43" t="n">
        <v>-46.558872</v>
      </c>
      <c r="D23727" s="43" t="n">
        <v>450</v>
      </c>
      <c r="E23727" s="44" t="n">
        <v>12714.864</v>
      </c>
    </row>
    <row r="23728">
      <c r="A23728" s="39">
        <f>_xlfn.XLOOKUP(84817,Trip[shape_id],Trip[shape_id],"Não encontrado")</f>
        <v/>
      </c>
      <c r="B23728" s="40" t="n">
        <v>-23.593884</v>
      </c>
      <c r="C23728" s="40" t="n">
        <v>-46.55854</v>
      </c>
      <c r="D23728" s="40" t="n">
        <v>451</v>
      </c>
      <c r="E23728" s="41" t="n">
        <v>12714.864</v>
      </c>
    </row>
    <row r="23729">
      <c r="A23729" s="42">
        <f>_xlfn.XLOOKUP(84817,Trip[shape_id],Trip[shape_id],"Não encontrado")</f>
        <v/>
      </c>
      <c r="B23729" s="43" t="n">
        <v>-23.593636</v>
      </c>
      <c r="C23729" s="43" t="n">
        <v>-46.558472</v>
      </c>
      <c r="D23729" s="43" t="n">
        <v>452</v>
      </c>
      <c r="E23729" s="44" t="n">
        <v>12743.194</v>
      </c>
    </row>
    <row r="23730">
      <c r="A23730" s="39">
        <f>_xlfn.XLOOKUP(84817,Trip[shape_id],Trip[shape_id],"Não encontrado")</f>
        <v/>
      </c>
      <c r="B23730" s="40" t="n">
        <v>-23.593387</v>
      </c>
      <c r="C23730" s="40" t="n">
        <v>-46.55838</v>
      </c>
      <c r="D23730" s="40" t="n">
        <v>453</v>
      </c>
      <c r="E23730" s="41" t="n">
        <v>12772.326</v>
      </c>
    </row>
    <row r="23731">
      <c r="A23731" s="42">
        <f>_xlfn.XLOOKUP(84817,Trip[shape_id],Trip[shape_id],"Não encontrado")</f>
        <v/>
      </c>
      <c r="B23731" s="43" t="n">
        <v>-23.593385</v>
      </c>
      <c r="C23731" s="43" t="n">
        <v>-46.558329</v>
      </c>
      <c r="D23731" s="43" t="n">
        <v>454</v>
      </c>
      <c r="E23731" s="44" t="n">
        <v>12784.814</v>
      </c>
    </row>
    <row r="23732">
      <c r="A23732" s="39">
        <f>_xlfn.XLOOKUP(84817,Trip[shape_id],Trip[shape_id],"Não encontrado")</f>
        <v/>
      </c>
      <c r="B23732" s="40" t="n">
        <v>-23.593358</v>
      </c>
      <c r="C23732" s="40" t="n">
        <v>-46.558264</v>
      </c>
      <c r="D23732" s="40" t="n">
        <v>455</v>
      </c>
      <c r="E23732" s="41" t="n">
        <v>12784.814</v>
      </c>
    </row>
    <row r="23733">
      <c r="A23733" s="42">
        <f>_xlfn.XLOOKUP(84817,Trip[shape_id],Trip[shape_id],"Não encontrado")</f>
        <v/>
      </c>
      <c r="B23733" s="43" t="n">
        <v>-23.593327</v>
      </c>
      <c r="C23733" s="43" t="n">
        <v>-46.558246</v>
      </c>
      <c r="D23733" s="43" t="n">
        <v>456</v>
      </c>
      <c r="E23733" s="44" t="n">
        <v>12788.708</v>
      </c>
    </row>
    <row r="23734">
      <c r="A23734" s="39">
        <f>_xlfn.XLOOKUP(84817,Trip[shape_id],Trip[shape_id],"Não encontrado")</f>
        <v/>
      </c>
      <c r="B23734" s="40" t="n">
        <v>-23.593287</v>
      </c>
      <c r="C23734" s="40" t="n">
        <v>-46.558229</v>
      </c>
      <c r="D23734" s="40" t="n">
        <v>457</v>
      </c>
      <c r="E23734" s="41" t="n">
        <v>12793.466</v>
      </c>
    </row>
    <row r="23735">
      <c r="A23735" s="42">
        <f>_xlfn.XLOOKUP(84817,Trip[shape_id],Trip[shape_id],"Não encontrado")</f>
        <v/>
      </c>
      <c r="B23735" s="43" t="n">
        <v>-23.593252</v>
      </c>
      <c r="C23735" s="43" t="n">
        <v>-46.558224</v>
      </c>
      <c r="D23735" s="43" t="n">
        <v>458</v>
      </c>
      <c r="E23735" s="44" t="n">
        <v>12797.376</v>
      </c>
    </row>
    <row r="23736">
      <c r="A23736" s="39">
        <f>_xlfn.XLOOKUP(84817,Trip[shape_id],Trip[shape_id],"Não encontrado")</f>
        <v/>
      </c>
      <c r="B23736" s="40" t="n">
        <v>-23.5932</v>
      </c>
      <c r="C23736" s="40" t="n">
        <v>-46.558239</v>
      </c>
      <c r="D23736" s="40" t="n">
        <v>459</v>
      </c>
      <c r="E23736" s="41" t="n">
        <v>12803.335</v>
      </c>
    </row>
    <row r="23737">
      <c r="A23737" s="42">
        <f>_xlfn.XLOOKUP(84817,Trip[shape_id],Trip[shape_id],"Não encontrado")</f>
        <v/>
      </c>
      <c r="B23737" s="43" t="n">
        <v>-23.593171</v>
      </c>
      <c r="C23737" s="43" t="n">
        <v>-46.558263</v>
      </c>
      <c r="D23737" s="43" t="n">
        <v>460</v>
      </c>
      <c r="E23737" s="44" t="n">
        <v>12807.373</v>
      </c>
    </row>
    <row r="23738">
      <c r="A23738" s="39">
        <f>_xlfn.XLOOKUP(84817,Trip[shape_id],Trip[shape_id],"Não encontrado")</f>
        <v/>
      </c>
      <c r="B23738" s="40" t="n">
        <v>-23.593151</v>
      </c>
      <c r="C23738" s="40" t="n">
        <v>-46.558288</v>
      </c>
      <c r="D23738" s="40" t="n">
        <v>461</v>
      </c>
      <c r="E23738" s="41" t="n">
        <v>12810.753</v>
      </c>
    </row>
    <row r="23739">
      <c r="A23739" s="42">
        <f>_xlfn.XLOOKUP(84817,Trip[shape_id],Trip[shape_id],"Não encontrado")</f>
        <v/>
      </c>
      <c r="B23739" s="43" t="n">
        <v>-23.593132</v>
      </c>
      <c r="C23739" s="43" t="n">
        <v>-46.558329</v>
      </c>
      <c r="D23739" s="43" t="n">
        <v>462</v>
      </c>
      <c r="E23739" s="44" t="n">
        <v>12819.849</v>
      </c>
    </row>
    <row r="23740">
      <c r="A23740" s="39">
        <f>_xlfn.XLOOKUP(84817,Trip[shape_id],Trip[shape_id],"Não encontrado")</f>
        <v/>
      </c>
      <c r="B23740" s="40" t="n">
        <v>-23.593128</v>
      </c>
      <c r="C23740" s="40" t="n">
        <v>-46.558372</v>
      </c>
      <c r="D23740" s="40" t="n">
        <v>463</v>
      </c>
      <c r="E23740" s="41" t="n">
        <v>12824.525</v>
      </c>
    </row>
    <row r="23741">
      <c r="A23741" s="42">
        <f>_xlfn.XLOOKUP(84817,Trip[shape_id],Trip[shape_id],"Não encontrado")</f>
        <v/>
      </c>
      <c r="B23741" s="43" t="n">
        <v>-23.593136</v>
      </c>
      <c r="C23741" s="43" t="n">
        <v>-46.558417</v>
      </c>
      <c r="D23741" s="43" t="n">
        <v>464</v>
      </c>
      <c r="E23741" s="44" t="n">
        <v>12829.689</v>
      </c>
    </row>
    <row r="23742">
      <c r="A23742" s="39">
        <f>_xlfn.XLOOKUP(84817,Trip[shape_id],Trip[shape_id],"Não encontrado")</f>
        <v/>
      </c>
      <c r="B23742" s="40" t="n">
        <v>-23.593159</v>
      </c>
      <c r="C23742" s="40" t="n">
        <v>-46.558461</v>
      </c>
      <c r="D23742" s="40" t="n">
        <v>465</v>
      </c>
      <c r="E23742" s="41" t="n">
        <v>12829.689</v>
      </c>
    </row>
    <row r="23743">
      <c r="A23743" s="42">
        <f>_xlfn.XLOOKUP(84817,Trip[shape_id],Trip[shape_id],"Não encontrado")</f>
        <v/>
      </c>
      <c r="B23743" s="43" t="n">
        <v>-23.592779</v>
      </c>
      <c r="C23743" s="43" t="n">
        <v>-46.558771</v>
      </c>
      <c r="D23743" s="43" t="n">
        <v>466</v>
      </c>
      <c r="E23743" s="44" t="n">
        <v>12882.343</v>
      </c>
    </row>
    <row r="23744">
      <c r="A23744" s="39">
        <f>_xlfn.XLOOKUP(84817,Trip[shape_id],Trip[shape_id],"Não encontrado")</f>
        <v/>
      </c>
      <c r="B23744" s="40" t="n">
        <v>-23.592491</v>
      </c>
      <c r="C23744" s="40" t="n">
        <v>-46.559011</v>
      </c>
      <c r="D23744" s="40" t="n">
        <v>467</v>
      </c>
      <c r="E23744" s="41" t="n">
        <v>12922.561</v>
      </c>
    </row>
    <row r="23745">
      <c r="A23745" s="42">
        <f>_xlfn.XLOOKUP(84817,Trip[shape_id],Trip[shape_id],"Não encontrado")</f>
        <v/>
      </c>
      <c r="B23745" s="43" t="n">
        <v>-23.592062</v>
      </c>
      <c r="C23745" s="43" t="n">
        <v>-46.559371</v>
      </c>
      <c r="D23745" s="43" t="n">
        <v>468</v>
      </c>
      <c r="E23745" s="44" t="n">
        <v>12982.624</v>
      </c>
    </row>
    <row r="23746">
      <c r="A23746" s="39">
        <f>_xlfn.XLOOKUP(84817,Trip[shape_id],Trip[shape_id],"Não encontrado")</f>
        <v/>
      </c>
      <c r="B23746" s="40" t="n">
        <v>-23.591665</v>
      </c>
      <c r="C23746" s="40" t="n">
        <v>-46.559693</v>
      </c>
      <c r="D23746" s="40" t="n">
        <v>469</v>
      </c>
      <c r="E23746" s="41" t="n">
        <v>13037.519</v>
      </c>
    </row>
    <row r="23747">
      <c r="A23747" s="42">
        <f>_xlfn.XLOOKUP(84817,Trip[shape_id],Trip[shape_id],"Não encontrado")</f>
        <v/>
      </c>
      <c r="B23747" s="43" t="n">
        <v>-23.591219</v>
      </c>
      <c r="C23747" s="43" t="n">
        <v>-46.560063</v>
      </c>
      <c r="D23747" s="43" t="n">
        <v>470</v>
      </c>
      <c r="E23747" s="44" t="n">
        <v>13099.697</v>
      </c>
    </row>
    <row r="23748">
      <c r="A23748" s="39">
        <f>_xlfn.XLOOKUP(84817,Trip[shape_id],Trip[shape_id],"Não encontrado")</f>
        <v/>
      </c>
      <c r="B23748" s="40" t="n">
        <v>-23.590961</v>
      </c>
      <c r="C23748" s="40" t="n">
        <v>-46.560257</v>
      </c>
      <c r="D23748" s="40" t="n">
        <v>471</v>
      </c>
      <c r="E23748" s="41" t="n">
        <v>13134.462</v>
      </c>
    </row>
    <row r="23749">
      <c r="A23749" s="42">
        <f>_xlfn.XLOOKUP(84817,Trip[shape_id],Trip[shape_id],"Não encontrado")</f>
        <v/>
      </c>
      <c r="B23749" s="43" t="n">
        <v>-23.590649</v>
      </c>
      <c r="C23749" s="43" t="n">
        <v>-46.560507</v>
      </c>
      <c r="D23749" s="43" t="n">
        <v>472</v>
      </c>
      <c r="E23749" s="44" t="n">
        <v>13177.418</v>
      </c>
    </row>
    <row r="23750">
      <c r="A23750" s="39">
        <f>_xlfn.XLOOKUP(84817,Trip[shape_id],Trip[shape_id],"Não encontrado")</f>
        <v/>
      </c>
      <c r="B23750" s="40" t="n">
        <v>-23.590231</v>
      </c>
      <c r="C23750" s="40" t="n">
        <v>-46.56088</v>
      </c>
      <c r="D23750" s="40" t="n">
        <v>473</v>
      </c>
      <c r="E23750" s="41" t="n">
        <v>13237.357</v>
      </c>
    </row>
    <row r="23751">
      <c r="A23751" s="42">
        <f>_xlfn.XLOOKUP(84817,Trip[shape_id],Trip[shape_id],"Não encontrado")</f>
        <v/>
      </c>
      <c r="B23751" s="43" t="n">
        <v>-23.589835</v>
      </c>
      <c r="C23751" s="43" t="n">
        <v>-46.561218</v>
      </c>
      <c r="D23751" s="43" t="n">
        <v>474</v>
      </c>
      <c r="E23751" s="44" t="n">
        <v>13293.158</v>
      </c>
    </row>
    <row r="23752">
      <c r="A23752" s="39">
        <f>_xlfn.XLOOKUP(84817,Trip[shape_id],Trip[shape_id],"Não encontrado")</f>
        <v/>
      </c>
      <c r="B23752" s="40" t="n">
        <v>-23.589827</v>
      </c>
      <c r="C23752" s="40" t="n">
        <v>-46.561224</v>
      </c>
      <c r="D23752" s="40" t="n">
        <v>475</v>
      </c>
      <c r="E23752" s="41" t="n">
        <v>13294.231</v>
      </c>
    </row>
    <row r="23753">
      <c r="A23753" s="42">
        <f>_xlfn.XLOOKUP(84817,Trip[shape_id],Trip[shape_id],"Não encontrado")</f>
        <v/>
      </c>
      <c r="B23753" s="43" t="n">
        <v>-23.589607</v>
      </c>
      <c r="C23753" s="43" t="n">
        <v>-46.561397</v>
      </c>
      <c r="D23753" s="43" t="n">
        <v>476</v>
      </c>
      <c r="E23753" s="44" t="n">
        <v>13324.323</v>
      </c>
    </row>
    <row r="23754">
      <c r="A23754" s="39">
        <f>_xlfn.XLOOKUP(84817,Trip[shape_id],Trip[shape_id],"Não encontrado")</f>
        <v/>
      </c>
      <c r="B23754" s="40" t="n">
        <v>-23.589387</v>
      </c>
      <c r="C23754" s="40" t="n">
        <v>-46.561573</v>
      </c>
      <c r="D23754" s="40" t="n">
        <v>477</v>
      </c>
      <c r="E23754" s="41" t="n">
        <v>13354.596</v>
      </c>
    </row>
    <row r="23755">
      <c r="A23755" s="42">
        <f>_xlfn.XLOOKUP(84817,Trip[shape_id],Trip[shape_id],"Não encontrado")</f>
        <v/>
      </c>
      <c r="B23755" s="43" t="n">
        <v>-23.588879</v>
      </c>
      <c r="C23755" s="43" t="n">
        <v>-46.562013</v>
      </c>
      <c r="D23755" s="43" t="n">
        <v>478</v>
      </c>
      <c r="E23755" s="44" t="n">
        <v>13426.585</v>
      </c>
    </row>
    <row r="23756">
      <c r="A23756" s="39">
        <f>_xlfn.XLOOKUP(84817,Trip[shape_id],Trip[shape_id],"Não encontrado")</f>
        <v/>
      </c>
      <c r="B23756" s="40" t="n">
        <v>-23.588505</v>
      </c>
      <c r="C23756" s="40" t="n">
        <v>-46.56232</v>
      </c>
      <c r="D23756" s="40" t="n">
        <v>479</v>
      </c>
      <c r="E23756" s="41" t="n">
        <v>13478.524</v>
      </c>
    </row>
    <row r="23757">
      <c r="A23757" s="42">
        <f>_xlfn.XLOOKUP(84817,Trip[shape_id],Trip[shape_id],"Não encontrado")</f>
        <v/>
      </c>
      <c r="B23757" s="43" t="n">
        <v>-23.588095</v>
      </c>
      <c r="C23757" s="43" t="n">
        <v>-46.562652</v>
      </c>
      <c r="D23757" s="43" t="n">
        <v>480</v>
      </c>
      <c r="E23757" s="44" t="n">
        <v>13535.185</v>
      </c>
    </row>
    <row r="23758">
      <c r="A23758" s="39">
        <f>_xlfn.XLOOKUP(84817,Trip[shape_id],Trip[shape_id],"Não encontrado")</f>
        <v/>
      </c>
      <c r="B23758" s="40" t="n">
        <v>-23.587984</v>
      </c>
      <c r="C23758" s="40" t="n">
        <v>-46.562751</v>
      </c>
      <c r="D23758" s="40" t="n">
        <v>481</v>
      </c>
      <c r="E23758" s="41" t="n">
        <v>13551.098</v>
      </c>
    </row>
    <row r="23759">
      <c r="A23759" s="42">
        <f>_xlfn.XLOOKUP(84817,Trip[shape_id],Trip[shape_id],"Não encontrado")</f>
        <v/>
      </c>
      <c r="B23759" s="43" t="n">
        <v>-23.587785</v>
      </c>
      <c r="C23759" s="43" t="n">
        <v>-46.56291</v>
      </c>
      <c r="D23759" s="43" t="n">
        <v>482</v>
      </c>
      <c r="E23759" s="44" t="n">
        <v>13578.469</v>
      </c>
    </row>
    <row r="23760">
      <c r="A23760" s="39">
        <f>_xlfn.XLOOKUP(84817,Trip[shape_id],Trip[shape_id],"Não encontrado")</f>
        <v/>
      </c>
      <c r="B23760" s="40" t="n">
        <v>-23.587467</v>
      </c>
      <c r="C23760" s="40" t="n">
        <v>-46.563177</v>
      </c>
      <c r="D23760" s="40" t="n">
        <v>483</v>
      </c>
      <c r="E23760" s="41" t="n">
        <v>13623.001</v>
      </c>
    </row>
    <row r="23761">
      <c r="A23761" s="42">
        <f>_xlfn.XLOOKUP(84817,Trip[shape_id],Trip[shape_id],"Não encontrado")</f>
        <v/>
      </c>
      <c r="B23761" s="43" t="n">
        <v>-23.587359</v>
      </c>
      <c r="C23761" s="43" t="n">
        <v>-46.563252</v>
      </c>
      <c r="D23761" s="43" t="n">
        <v>484</v>
      </c>
      <c r="E23761" s="44" t="n">
        <v>13637.202</v>
      </c>
    </row>
    <row r="23762">
      <c r="A23762" s="39">
        <f>_xlfn.XLOOKUP(84817,Trip[shape_id],Trip[shape_id],"Não encontrado")</f>
        <v/>
      </c>
      <c r="B23762" s="40" t="n">
        <v>-23.587237</v>
      </c>
      <c r="C23762" s="40" t="n">
        <v>-46.563335</v>
      </c>
      <c r="D23762" s="40" t="n">
        <v>485</v>
      </c>
      <c r="E23762" s="41" t="n">
        <v>13653.15</v>
      </c>
    </row>
    <row r="23763">
      <c r="A23763" s="42">
        <f>_xlfn.XLOOKUP(84817,Trip[shape_id],Trip[shape_id],"Não encontrado")</f>
        <v/>
      </c>
      <c r="B23763" s="43" t="n">
        <v>-23.587053</v>
      </c>
      <c r="C23763" s="43" t="n">
        <v>-46.563437</v>
      </c>
      <c r="D23763" s="43" t="n">
        <v>486</v>
      </c>
      <c r="E23763" s="44" t="n">
        <v>13676.034</v>
      </c>
    </row>
    <row r="23764">
      <c r="A23764" s="39">
        <f>_xlfn.XLOOKUP(84817,Trip[shape_id],Trip[shape_id],"Não encontrado")</f>
        <v/>
      </c>
      <c r="B23764" s="40" t="n">
        <v>-23.58645</v>
      </c>
      <c r="C23764" s="40" t="n">
        <v>-46.563699</v>
      </c>
      <c r="D23764" s="40" t="n">
        <v>487</v>
      </c>
      <c r="E23764" s="41" t="n">
        <v>13747.974</v>
      </c>
    </row>
    <row r="23765">
      <c r="A23765" s="42">
        <f>_xlfn.XLOOKUP(84817,Trip[shape_id],Trip[shape_id],"Não encontrado")</f>
        <v/>
      </c>
      <c r="B23765" s="43" t="n">
        <v>-23.585482</v>
      </c>
      <c r="C23765" s="43" t="n">
        <v>-46.564126</v>
      </c>
      <c r="D23765" s="43" t="n">
        <v>488</v>
      </c>
      <c r="E23765" s="44" t="n">
        <v>13863.703</v>
      </c>
    </row>
    <row r="23766">
      <c r="A23766" s="39">
        <f>_xlfn.XLOOKUP(84817,Trip[shape_id],Trip[shape_id],"Não encontrado")</f>
        <v/>
      </c>
      <c r="B23766" s="40" t="n">
        <v>-23.584705</v>
      </c>
      <c r="C23766" s="40" t="n">
        <v>-46.56449</v>
      </c>
      <c r="D23766" s="40" t="n">
        <v>489</v>
      </c>
      <c r="E23766" s="41" t="n">
        <v>13957.437</v>
      </c>
    </row>
    <row r="23767">
      <c r="A23767" s="42">
        <f>_xlfn.XLOOKUP(84817,Trip[shape_id],Trip[shape_id],"Não encontrado")</f>
        <v/>
      </c>
      <c r="B23767" s="43" t="n">
        <v>-23.584749</v>
      </c>
      <c r="C23767" s="43" t="n">
        <v>-46.564577</v>
      </c>
      <c r="D23767" s="43" t="n">
        <v>490</v>
      </c>
      <c r="E23767" s="44" t="n">
        <v>13967.566</v>
      </c>
    </row>
    <row r="23768">
      <c r="A23768" s="39">
        <f>_xlfn.XLOOKUP(84817,Trip[shape_id],Trip[shape_id],"Não encontrado")</f>
        <v/>
      </c>
      <c r="B23768" s="40" t="n">
        <v>-23.584931</v>
      </c>
      <c r="C23768" s="40" t="n">
        <v>-46.565084</v>
      </c>
      <c r="D23768" s="40" t="n">
        <v>491</v>
      </c>
      <c r="E23768" s="41" t="n">
        <v>14023.105</v>
      </c>
    </row>
    <row r="23769">
      <c r="A23769" s="42">
        <f>_xlfn.XLOOKUP(84817,Trip[shape_id],Trip[shape_id],"Não encontrado")</f>
        <v/>
      </c>
      <c r="B23769" s="43" t="n">
        <v>-23.58376</v>
      </c>
      <c r="C23769" s="43" t="n">
        <v>-46.565525</v>
      </c>
      <c r="D23769" s="43" t="n">
        <v>492</v>
      </c>
      <c r="E23769" s="44" t="n">
        <v>14160.387</v>
      </c>
    </row>
    <row r="23770">
      <c r="A23770" s="39">
        <f>_xlfn.XLOOKUP(84817,Trip[shape_id],Trip[shape_id],"Não encontrado")</f>
        <v/>
      </c>
      <c r="B23770" s="40" t="n">
        <v>-23.58292</v>
      </c>
      <c r="C23770" s="40" t="n">
        <v>-46.565847</v>
      </c>
      <c r="D23770" s="40" t="n">
        <v>493</v>
      </c>
      <c r="E23770" s="41" t="n">
        <v>14259.055</v>
      </c>
    </row>
    <row r="23771">
      <c r="A23771" s="42">
        <f>_xlfn.XLOOKUP(84817,Trip[shape_id],Trip[shape_id],"Não encontrado")</f>
        <v/>
      </c>
      <c r="B23771" s="43" t="n">
        <v>-23.582763</v>
      </c>
      <c r="C23771" s="43" t="n">
        <v>-46.565919</v>
      </c>
      <c r="D23771" s="43" t="n">
        <v>494</v>
      </c>
      <c r="E23771" s="44" t="n">
        <v>14277.932</v>
      </c>
    </row>
    <row r="23772">
      <c r="A23772" s="39">
        <f>_xlfn.XLOOKUP(84817,Trip[shape_id],Trip[shape_id],"Não encontrado")</f>
        <v/>
      </c>
      <c r="B23772" s="40" t="n">
        <v>-23.582687</v>
      </c>
      <c r="C23772" s="40" t="n">
        <v>-46.565067</v>
      </c>
      <c r="D23772" s="40" t="n">
        <v>495</v>
      </c>
      <c r="E23772" s="41" t="n">
        <v>14365.308</v>
      </c>
    </row>
    <row r="23773">
      <c r="A23773" s="42">
        <f>_xlfn.XLOOKUP(84817,Trip[shape_id],Trip[shape_id],"Não encontrado")</f>
        <v/>
      </c>
      <c r="B23773" s="43" t="n">
        <v>-23.582598</v>
      </c>
      <c r="C23773" s="43" t="n">
        <v>-46.56415</v>
      </c>
      <c r="D23773" s="43" t="n">
        <v>496</v>
      </c>
      <c r="E23773" s="44" t="n">
        <v>14459.43</v>
      </c>
    </row>
    <row r="23774">
      <c r="A23774" s="39">
        <f>_xlfn.XLOOKUP(84817,Trip[shape_id],Trip[shape_id],"Não encontrado")</f>
        <v/>
      </c>
      <c r="B23774" s="40" t="n">
        <v>-23.582538</v>
      </c>
      <c r="C23774" s="40" t="n">
        <v>-46.563469</v>
      </c>
      <c r="D23774" s="40" t="n">
        <v>497</v>
      </c>
      <c r="E23774" s="41" t="n">
        <v>14552.549</v>
      </c>
    </row>
    <row r="23775">
      <c r="A23775" s="42">
        <f>_xlfn.XLOOKUP(84817,Trip[shape_id],Trip[shape_id],"Não encontrado")</f>
        <v/>
      </c>
      <c r="B23775" s="43" t="n">
        <v>-23.582517</v>
      </c>
      <c r="C23775" s="43" t="n">
        <v>-46.563242</v>
      </c>
      <c r="D23775" s="43" t="n">
        <v>498</v>
      </c>
      <c r="E23775" s="44" t="n">
        <v>14552.549</v>
      </c>
    </row>
    <row r="23776">
      <c r="A23776" s="39">
        <f>_xlfn.XLOOKUP(84817,Trip[shape_id],Trip[shape_id],"Não encontrado")</f>
        <v/>
      </c>
      <c r="B23776" s="40" t="n">
        <v>-23.582466</v>
      </c>
      <c r="C23776" s="40" t="n">
        <v>-46.562876</v>
      </c>
      <c r="D23776" s="40" t="n">
        <v>499</v>
      </c>
      <c r="E23776" s="41" t="n">
        <v>14590.334</v>
      </c>
    </row>
    <row r="23777">
      <c r="A23777" s="42">
        <f>_xlfn.XLOOKUP(84817,Trip[shape_id],Trip[shape_id],"Não encontrado")</f>
        <v/>
      </c>
      <c r="B23777" s="43" t="n">
        <v>-23.582787</v>
      </c>
      <c r="C23777" s="43" t="n">
        <v>-46.562804</v>
      </c>
      <c r="D23777" s="43" t="n">
        <v>500</v>
      </c>
      <c r="E23777" s="44" t="n">
        <v>14626.637</v>
      </c>
    </row>
    <row r="23778">
      <c r="A23778" s="39">
        <f>_xlfn.XLOOKUP(84817,Trip[shape_id],Trip[shape_id],"Não encontrado")</f>
        <v/>
      </c>
      <c r="B23778" s="40" t="n">
        <v>-23.582801</v>
      </c>
      <c r="C23778" s="40" t="n">
        <v>-46.562899</v>
      </c>
      <c r="D23778" s="40" t="n">
        <v>501</v>
      </c>
      <c r="E23778" s="41" t="n">
        <v>14636.457</v>
      </c>
    </row>
    <row r="23779">
      <c r="A23779" s="42">
        <f>_xlfn.XLOOKUP(84817,Trip[shape_id],Trip[shape_id],"Não encontrado")</f>
        <v/>
      </c>
      <c r="B23779" s="43" t="n">
        <v>-23.583269</v>
      </c>
      <c r="C23779" s="43" t="n">
        <v>-46.562798</v>
      </c>
      <c r="D23779" s="43" t="n">
        <v>502</v>
      </c>
      <c r="E23779" s="44" t="n">
        <v>14694.27</v>
      </c>
    </row>
    <row r="23780">
      <c r="A23780" s="39">
        <f>_xlfn.XLOOKUP(84817,Trip[shape_id],Trip[shape_id],"Não encontrado")</f>
        <v/>
      </c>
      <c r="B23780" s="40" t="n">
        <v>-23.583311</v>
      </c>
      <c r="C23780" s="40" t="n">
        <v>-46.562781</v>
      </c>
      <c r="D23780" s="40" t="n">
        <v>503</v>
      </c>
      <c r="E23780" s="41" t="n">
        <v>14731.145</v>
      </c>
    </row>
    <row r="23781">
      <c r="A23781" s="42">
        <f>_xlfn.XLOOKUP(84817,Trip[shape_id],Trip[shape_id],"Não encontrado")</f>
        <v/>
      </c>
      <c r="B23781" s="43" t="n">
        <v>-23.583622</v>
      </c>
      <c r="C23781" s="43" t="n">
        <v>-46.562652</v>
      </c>
      <c r="D23781" s="43" t="n">
        <v>504</v>
      </c>
      <c r="E23781" s="44" t="n">
        <v>14757.163</v>
      </c>
    </row>
    <row r="23782">
      <c r="A23782" s="39">
        <f>_xlfn.XLOOKUP(84817,Trip[shape_id],Trip[shape_id],"Não encontrado")</f>
        <v/>
      </c>
      <c r="B23782" s="40" t="n">
        <v>-23.58384</v>
      </c>
      <c r="C23782" s="40" t="n">
        <v>-46.562557</v>
      </c>
      <c r="D23782" s="40" t="n">
        <v>505</v>
      </c>
      <c r="E23782" s="41" t="n">
        <v>14757.163</v>
      </c>
    </row>
    <row r="23783">
      <c r="A23783" s="42">
        <f>_xlfn.XLOOKUP(84817,Trip[shape_id],Trip[shape_id],"Não encontrado")</f>
        <v/>
      </c>
      <c r="B23783" s="43" t="n">
        <v>-23.584726</v>
      </c>
      <c r="C23783" s="43" t="n">
        <v>-46.562158</v>
      </c>
      <c r="D23783" s="43" t="n">
        <v>506</v>
      </c>
      <c r="E23783" s="44" t="n">
        <v>14863.406</v>
      </c>
    </row>
    <row r="23784">
      <c r="A23784" s="39">
        <f>_xlfn.XLOOKUP(84817,Trip[shape_id],Trip[shape_id],"Não encontrado")</f>
        <v/>
      </c>
      <c r="B23784" s="40" t="n">
        <v>-23.585836</v>
      </c>
      <c r="C23784" s="40" t="n">
        <v>-46.561666</v>
      </c>
      <c r="D23784" s="40" t="n">
        <v>507</v>
      </c>
      <c r="E23784" s="41" t="n">
        <v>15002.526</v>
      </c>
    </row>
    <row r="23785">
      <c r="A23785" s="42">
        <f>_xlfn.XLOOKUP(84817,Trip[shape_id],Trip[shape_id],"Não encontrado")</f>
        <v/>
      </c>
      <c r="B23785" s="43" t="n">
        <v>-23.585889</v>
      </c>
      <c r="C23785" s="43" t="n">
        <v>-46.561643</v>
      </c>
      <c r="D23785" s="43" t="n">
        <v>508</v>
      </c>
      <c r="E23785" s="44" t="n">
        <v>15002.526</v>
      </c>
    </row>
    <row r="23786">
      <c r="A23786" s="39">
        <f>_xlfn.XLOOKUP(84817,Trip[shape_id],Trip[shape_id],"Não encontrado")</f>
        <v/>
      </c>
      <c r="B23786" s="40" t="n">
        <v>-23.586116</v>
      </c>
      <c r="C23786" s="40" t="n">
        <v>-46.561504</v>
      </c>
      <c r="D23786" s="40" t="n">
        <v>509</v>
      </c>
      <c r="E23786" s="41" t="n">
        <v>15047.129</v>
      </c>
    </row>
    <row r="23787">
      <c r="A23787" s="42">
        <f>_xlfn.XLOOKUP(84817,Trip[shape_id],Trip[shape_id],"Não encontrado")</f>
        <v/>
      </c>
      <c r="B23787" s="43" t="n">
        <v>-23.586232</v>
      </c>
      <c r="C23787" s="43" t="n">
        <v>-46.561415</v>
      </c>
      <c r="D23787" s="43" t="n">
        <v>510</v>
      </c>
      <c r="E23787" s="44" t="n">
        <v>15061.611</v>
      </c>
    </row>
    <row r="23788">
      <c r="A23788" s="39">
        <f>_xlfn.XLOOKUP(84817,Trip[shape_id],Trip[shape_id],"Não encontrado")</f>
        <v/>
      </c>
      <c r="B23788" s="40" t="n">
        <v>-23.586343</v>
      </c>
      <c r="C23788" s="40" t="n">
        <v>-46.56134</v>
      </c>
      <c r="D23788" s="40" t="n">
        <v>511</v>
      </c>
      <c r="E23788" s="41" t="n">
        <v>15089.85</v>
      </c>
    </row>
    <row r="23789">
      <c r="A23789" s="42">
        <f>_xlfn.XLOOKUP(84817,Trip[shape_id],Trip[shape_id],"Não encontrado")</f>
        <v/>
      </c>
      <c r="B23789" s="43" t="n">
        <v>-23.586551</v>
      </c>
      <c r="C23789" s="43" t="n">
        <v>-46.56118</v>
      </c>
      <c r="D23789" s="43" t="n">
        <v>512</v>
      </c>
      <c r="E23789" s="44" t="n">
        <v>15089.85</v>
      </c>
    </row>
    <row r="23790">
      <c r="A23790" s="39">
        <f>_xlfn.XLOOKUP(84817,Trip[shape_id],Trip[shape_id],"Não encontrado")</f>
        <v/>
      </c>
      <c r="B23790" s="40" t="n">
        <v>-23.586805</v>
      </c>
      <c r="C23790" s="40" t="n">
        <v>-46.560961</v>
      </c>
      <c r="D23790" s="40" t="n">
        <v>513</v>
      </c>
      <c r="E23790" s="41" t="n">
        <v>15134.651</v>
      </c>
    </row>
    <row r="23791">
      <c r="A23791" s="42">
        <f>_xlfn.XLOOKUP(84817,Trip[shape_id],Trip[shape_id],"Não encontrado")</f>
        <v/>
      </c>
      <c r="B23791" s="43" t="n">
        <v>-23.586856</v>
      </c>
      <c r="C23791" s="43" t="n">
        <v>-46.560894</v>
      </c>
      <c r="D23791" s="43" t="n">
        <v>514</v>
      </c>
      <c r="E23791" s="44" t="n">
        <v>15134.651</v>
      </c>
    </row>
    <row r="23792">
      <c r="A23792" s="39">
        <f>_xlfn.XLOOKUP(84817,Trip[shape_id],Trip[shape_id],"Não encontrado")</f>
        <v/>
      </c>
      <c r="B23792" s="40" t="n">
        <v>-23.586931</v>
      </c>
      <c r="C23792" s="40" t="n">
        <v>-46.56078</v>
      </c>
      <c r="D23792" s="40" t="n">
        <v>515</v>
      </c>
      <c r="E23792" s="41" t="n">
        <v>15159.069</v>
      </c>
    </row>
    <row r="23793">
      <c r="A23793" s="42">
        <f>_xlfn.XLOOKUP(84817,Trip[shape_id],Trip[shape_id],"Não encontrado")</f>
        <v/>
      </c>
      <c r="B23793" s="43" t="n">
        <v>-23.586981</v>
      </c>
      <c r="C23793" s="43" t="n">
        <v>-46.560697</v>
      </c>
      <c r="D23793" s="43" t="n">
        <v>516</v>
      </c>
      <c r="E23793" s="44" t="n">
        <v>15219.349</v>
      </c>
    </row>
    <row r="23794">
      <c r="A23794" s="39">
        <f>_xlfn.XLOOKUP(84817,Trip[shape_id],Trip[shape_id],"Não encontrado")</f>
        <v/>
      </c>
      <c r="B23794" s="40" t="n">
        <v>-23.587232</v>
      </c>
      <c r="C23794" s="40" t="n">
        <v>-46.560173</v>
      </c>
      <c r="D23794" s="40" t="n">
        <v>517</v>
      </c>
      <c r="E23794" s="41" t="n">
        <v>15219.349</v>
      </c>
    </row>
    <row r="23795">
      <c r="A23795" s="42">
        <f>_xlfn.XLOOKUP(84817,Trip[shape_id],Trip[shape_id],"Não encontrado")</f>
        <v/>
      </c>
      <c r="B23795" s="43" t="n">
        <v>-23.587396</v>
      </c>
      <c r="C23795" s="43" t="n">
        <v>-46.559823</v>
      </c>
      <c r="D23795" s="43" t="n">
        <v>518</v>
      </c>
      <c r="E23795" s="44" t="n">
        <v>15259.427</v>
      </c>
    </row>
    <row r="23796">
      <c r="A23796" s="39">
        <f>_xlfn.XLOOKUP(84817,Trip[shape_id],Trip[shape_id],"Não encontrado")</f>
        <v/>
      </c>
      <c r="B23796" s="40" t="n">
        <v>-23.58771</v>
      </c>
      <c r="C23796" s="40" t="n">
        <v>-46.560201</v>
      </c>
      <c r="D23796" s="40" t="n">
        <v>519</v>
      </c>
      <c r="E23796" s="41" t="n">
        <v>15311.37</v>
      </c>
    </row>
    <row r="23797">
      <c r="A23797" s="42">
        <f>_xlfn.XLOOKUP(84817,Trip[shape_id],Trip[shape_id],"Não encontrado")</f>
        <v/>
      </c>
      <c r="B23797" s="43" t="n">
        <v>-23.588473</v>
      </c>
      <c r="C23797" s="43" t="n">
        <v>-46.559559</v>
      </c>
      <c r="D23797" s="43" t="n">
        <v>520</v>
      </c>
      <c r="E23797" s="44" t="n">
        <v>15523.627</v>
      </c>
    </row>
    <row r="23798">
      <c r="A23798" s="39">
        <f>_xlfn.XLOOKUP(84817,Trip[shape_id],Trip[shape_id],"Não encontrado")</f>
        <v/>
      </c>
      <c r="B23798" s="40" t="n">
        <v>-23.589216</v>
      </c>
      <c r="C23798" s="40" t="n">
        <v>-46.558915</v>
      </c>
      <c r="D23798" s="40" t="n">
        <v>521</v>
      </c>
      <c r="E23798" s="41" t="n">
        <v>15523.627</v>
      </c>
    </row>
    <row r="23799">
      <c r="A23799" s="42">
        <f>_xlfn.XLOOKUP(84817,Trip[shape_id],Trip[shape_id],"Não encontrado")</f>
        <v/>
      </c>
      <c r="B23799" s="43" t="n">
        <v>-23.590904</v>
      </c>
      <c r="C23799" s="43" t="n">
        <v>-46.557534</v>
      </c>
      <c r="D23799" s="43" t="n">
        <v>522</v>
      </c>
      <c r="E23799" s="44" t="n">
        <v>15757.764</v>
      </c>
    </row>
    <row r="23800">
      <c r="A23800" s="39">
        <f>_xlfn.XLOOKUP(84817,Trip[shape_id],Trip[shape_id],"Não encontrado")</f>
        <v/>
      </c>
      <c r="B23800" s="40" t="n">
        <v>-23.591403</v>
      </c>
      <c r="C23800" s="40" t="n">
        <v>-46.557109</v>
      </c>
      <c r="D23800" s="40" t="n">
        <v>523</v>
      </c>
      <c r="E23800" s="41" t="n">
        <v>15828.021</v>
      </c>
    </row>
    <row r="23801">
      <c r="A23801" s="42">
        <f>_xlfn.XLOOKUP(84817,Trip[shape_id],Trip[shape_id],"Não encontrado")</f>
        <v/>
      </c>
      <c r="B23801" s="43" t="n">
        <v>-23.591729</v>
      </c>
      <c r="C23801" s="43" t="n">
        <v>-46.556829</v>
      </c>
      <c r="D23801" s="43" t="n">
        <v>524</v>
      </c>
      <c r="E23801" s="44" t="n">
        <v>15905.302</v>
      </c>
    </row>
    <row r="23802">
      <c r="A23802" s="39">
        <f>_xlfn.XLOOKUP(84817,Trip[shape_id],Trip[shape_id],"Não encontrado")</f>
        <v/>
      </c>
      <c r="B23802" s="40" t="n">
        <v>-23.591944</v>
      </c>
      <c r="C23802" s="40" t="n">
        <v>-46.556631</v>
      </c>
      <c r="D23802" s="40" t="n">
        <v>525</v>
      </c>
      <c r="E23802" s="41" t="n">
        <v>15905.302</v>
      </c>
    </row>
    <row r="23803">
      <c r="A23803" s="42">
        <f>_xlfn.XLOOKUP(84817,Trip[shape_id],Trip[shape_id],"Não encontrado")</f>
        <v/>
      </c>
      <c r="B23803" s="43" t="n">
        <v>-23.592569</v>
      </c>
      <c r="C23803" s="43" t="n">
        <v>-46.557553</v>
      </c>
      <c r="D23803" s="43" t="n">
        <v>526</v>
      </c>
      <c r="E23803" s="44" t="n">
        <v>16022.126</v>
      </c>
    </row>
    <row r="23804">
      <c r="A23804" s="39">
        <f>_xlfn.XLOOKUP(84817,Trip[shape_id],Trip[shape_id],"Não encontrado")</f>
        <v/>
      </c>
      <c r="B23804" s="40" t="n">
        <v>-23.592841</v>
      </c>
      <c r="C23804" s="40" t="n">
        <v>-46.557941</v>
      </c>
      <c r="D23804" s="40" t="n">
        <v>527</v>
      </c>
      <c r="E23804" s="41" t="n">
        <v>16071.884</v>
      </c>
    </row>
    <row r="23805">
      <c r="A23805" s="42">
        <f>_xlfn.XLOOKUP(84817,Trip[shape_id],Trip[shape_id],"Não encontrado")</f>
        <v/>
      </c>
      <c r="B23805" s="43" t="n">
        <v>-23.592999</v>
      </c>
      <c r="C23805" s="43" t="n">
        <v>-46.558142</v>
      </c>
      <c r="D23805" s="43" t="n">
        <v>528</v>
      </c>
      <c r="E23805" s="44" t="n">
        <v>16098.849</v>
      </c>
    </row>
    <row r="23806">
      <c r="A23806" s="39">
        <f>_xlfn.XLOOKUP(84817,Trip[shape_id],Trip[shape_id],"Não encontrado")</f>
        <v/>
      </c>
      <c r="B23806" s="40" t="n">
        <v>-23.593151</v>
      </c>
      <c r="C23806" s="40" t="n">
        <v>-46.558288</v>
      </c>
      <c r="D23806" s="40" t="n">
        <v>529</v>
      </c>
      <c r="E23806" s="41" t="n">
        <v>16121.331</v>
      </c>
    </row>
    <row r="23807">
      <c r="A23807" s="42">
        <f>_xlfn.XLOOKUP(84817,Trip[shape_id],Trip[shape_id],"Não encontrado")</f>
        <v/>
      </c>
      <c r="B23807" s="43" t="n">
        <v>-23.593132</v>
      </c>
      <c r="C23807" s="43" t="n">
        <v>-46.558329</v>
      </c>
      <c r="D23807" s="43" t="n">
        <v>530</v>
      </c>
      <c r="E23807" s="44" t="n">
        <v>16130.427</v>
      </c>
    </row>
    <row r="23808">
      <c r="A23808" s="39">
        <f>_xlfn.XLOOKUP(84817,Trip[shape_id],Trip[shape_id],"Não encontrado")</f>
        <v/>
      </c>
      <c r="B23808" s="40" t="n">
        <v>-23.593128</v>
      </c>
      <c r="C23808" s="40" t="n">
        <v>-46.558372</v>
      </c>
      <c r="D23808" s="40" t="n">
        <v>531</v>
      </c>
      <c r="E23808" s="41" t="n">
        <v>16135.104</v>
      </c>
    </row>
    <row r="23809">
      <c r="A23809" s="42">
        <f>_xlfn.XLOOKUP(84817,Trip[shape_id],Trip[shape_id],"Não encontrado")</f>
        <v/>
      </c>
      <c r="B23809" s="43" t="n">
        <v>-23.593136</v>
      </c>
      <c r="C23809" s="43" t="n">
        <v>-46.558417</v>
      </c>
      <c r="D23809" s="43" t="n">
        <v>532</v>
      </c>
      <c r="E23809" s="44" t="n">
        <v>16140.268</v>
      </c>
    </row>
    <row r="23810">
      <c r="A23810" s="39">
        <f>_xlfn.XLOOKUP(84817,Trip[shape_id],Trip[shape_id],"Não encontrado")</f>
        <v/>
      </c>
      <c r="B23810" s="40" t="n">
        <v>-23.593159</v>
      </c>
      <c r="C23810" s="40" t="n">
        <v>-46.558461</v>
      </c>
      <c r="D23810" s="40" t="n">
        <v>533</v>
      </c>
      <c r="E23810" s="41" t="n">
        <v>16140.268</v>
      </c>
    </row>
    <row r="23811">
      <c r="A23811" s="42">
        <f>_xlfn.XLOOKUP(84817,Trip[shape_id],Trip[shape_id],"Não encontrado")</f>
        <v/>
      </c>
      <c r="B23811" s="43" t="n">
        <v>-23.59319</v>
      </c>
      <c r="C23811" s="43" t="n">
        <v>-46.558487</v>
      </c>
      <c r="D23811" s="43" t="n">
        <v>534</v>
      </c>
      <c r="E23811" s="44" t="n">
        <v>16148.31</v>
      </c>
    </row>
    <row r="23812">
      <c r="A23812" s="39">
        <f>_xlfn.XLOOKUP(84817,Trip[shape_id],Trip[shape_id],"Não encontrado")</f>
        <v/>
      </c>
      <c r="B23812" s="40" t="n">
        <v>-23.59322</v>
      </c>
      <c r="C23812" s="40" t="n">
        <v>-46.558503</v>
      </c>
      <c r="D23812" s="40" t="n">
        <v>535</v>
      </c>
      <c r="E23812" s="41" t="n">
        <v>16152.11</v>
      </c>
    </row>
    <row r="23813">
      <c r="A23813" s="42">
        <f>_xlfn.XLOOKUP(84817,Trip[shape_id],Trip[shape_id],"Não encontrado")</f>
        <v/>
      </c>
      <c r="B23813" s="43" t="n">
        <v>-23.593254</v>
      </c>
      <c r="C23813" s="43" t="n">
        <v>-46.558508</v>
      </c>
      <c r="D23813" s="43" t="n">
        <v>536</v>
      </c>
      <c r="E23813" s="44" t="n">
        <v>16155.33</v>
      </c>
    </row>
    <row r="23814">
      <c r="A23814" s="39">
        <f>_xlfn.XLOOKUP(84817,Trip[shape_id],Trip[shape_id],"Não encontrado")</f>
        <v/>
      </c>
      <c r="B23814" s="40" t="n">
        <v>-23.593283</v>
      </c>
      <c r="C23814" s="40" t="n">
        <v>-46.558506</v>
      </c>
      <c r="D23814" s="40" t="n">
        <v>537</v>
      </c>
      <c r="E23814" s="41" t="n">
        <v>16158.671</v>
      </c>
    </row>
    <row r="23815">
      <c r="A23815" s="42">
        <f>_xlfn.XLOOKUP(84817,Trip[shape_id],Trip[shape_id],"Não encontrado")</f>
        <v/>
      </c>
      <c r="B23815" s="43" t="n">
        <v>-23.593312</v>
      </c>
      <c r="C23815" s="43" t="n">
        <v>-46.558497</v>
      </c>
      <c r="D23815" s="43" t="n">
        <v>538</v>
      </c>
      <c r="E23815" s="44" t="n">
        <v>16161.4</v>
      </c>
    </row>
    <row r="23816">
      <c r="A23816" s="39">
        <f>_xlfn.XLOOKUP(84817,Trip[shape_id],Trip[shape_id],"Não encontrado")</f>
        <v/>
      </c>
      <c r="B23816" s="40" t="n">
        <v>-23.593333</v>
      </c>
      <c r="C23816" s="40" t="n">
        <v>-46.558483</v>
      </c>
      <c r="D23816" s="40" t="n">
        <v>539</v>
      </c>
      <c r="E23816" s="41" t="n">
        <v>16165.014</v>
      </c>
    </row>
    <row r="23817">
      <c r="A23817" s="42">
        <f>_xlfn.XLOOKUP(84817,Trip[shape_id],Trip[shape_id],"Não encontrado")</f>
        <v/>
      </c>
      <c r="B23817" s="43" t="n">
        <v>-23.593357</v>
      </c>
      <c r="C23817" s="43" t="n">
        <v>-46.558459</v>
      </c>
      <c r="D23817" s="43" t="n">
        <v>540</v>
      </c>
      <c r="E23817" s="44" t="n">
        <v>16173.735</v>
      </c>
    </row>
    <row r="23818">
      <c r="A23818" s="39">
        <f>_xlfn.XLOOKUP(84817,Trip[shape_id],Trip[shape_id],"Não encontrado")</f>
        <v/>
      </c>
      <c r="B23818" s="40" t="n">
        <v>-23.593387</v>
      </c>
      <c r="C23818" s="40" t="n">
        <v>-46.55838</v>
      </c>
      <c r="D23818" s="40" t="n">
        <v>541</v>
      </c>
      <c r="E23818" s="41" t="n">
        <v>16173.735</v>
      </c>
    </row>
    <row r="23819">
      <c r="A23819" s="42">
        <f>_xlfn.XLOOKUP(84817,Trip[shape_id],Trip[shape_id],"Não encontrado")</f>
        <v/>
      </c>
      <c r="B23819" s="43" t="n">
        <v>-23.593385</v>
      </c>
      <c r="C23819" s="43" t="n">
        <v>-46.558329</v>
      </c>
      <c r="D23819" s="43" t="n">
        <v>542</v>
      </c>
      <c r="E23819" s="44" t="n">
        <v>16186.224</v>
      </c>
    </row>
    <row r="23820">
      <c r="A23820" s="39">
        <f>_xlfn.XLOOKUP(84817,Trip[shape_id],Trip[shape_id],"Não encontrado")</f>
        <v/>
      </c>
      <c r="B23820" s="40" t="n">
        <v>-23.593358</v>
      </c>
      <c r="C23820" s="40" t="n">
        <v>-46.558264</v>
      </c>
      <c r="D23820" s="40" t="n">
        <v>543</v>
      </c>
      <c r="E23820" s="41" t="n">
        <v>16186.224</v>
      </c>
    </row>
    <row r="23821">
      <c r="A23821" s="42">
        <f>_xlfn.XLOOKUP(84817,Trip[shape_id],Trip[shape_id],"Não encontrado")</f>
        <v/>
      </c>
      <c r="B23821" s="43" t="n">
        <v>-23.593418</v>
      </c>
      <c r="C23821" s="43" t="n">
        <v>-46.558169</v>
      </c>
      <c r="D23821" s="43" t="n">
        <v>544</v>
      </c>
      <c r="E23821" s="44" t="n">
        <v>16316.29</v>
      </c>
    </row>
    <row r="23822">
      <c r="A23822" s="39">
        <f>_xlfn.XLOOKUP(84817,Trip[shape_id],Trip[shape_id],"Não encontrado")</f>
        <v/>
      </c>
      <c r="B23822" s="40" t="n">
        <v>-23.593831</v>
      </c>
      <c r="C23822" s="40" t="n">
        <v>-46.5571</v>
      </c>
      <c r="D23822" s="40" t="n">
        <v>545</v>
      </c>
      <c r="E23822" s="41" t="n">
        <v>16333.241</v>
      </c>
    </row>
    <row r="23823">
      <c r="A23823" s="42">
        <f>_xlfn.XLOOKUP(84817,Trip[shape_id],Trip[shape_id],"Não encontrado")</f>
        <v/>
      </c>
      <c r="B23823" s="43" t="n">
        <v>-23.593872</v>
      </c>
      <c r="C23823" s="43" t="n">
        <v>-46.55694</v>
      </c>
      <c r="D23823" s="43" t="n">
        <v>546</v>
      </c>
      <c r="E23823" s="44" t="n">
        <v>16339.144</v>
      </c>
    </row>
    <row r="23824">
      <c r="A23824" s="39">
        <f>_xlfn.XLOOKUP(84817,Trip[shape_id],Trip[shape_id],"Não encontrado")</f>
        <v/>
      </c>
      <c r="B23824" s="40" t="n">
        <v>-23.593881</v>
      </c>
      <c r="C23824" s="40" t="n">
        <v>-46.556883</v>
      </c>
      <c r="D23824" s="40" t="n">
        <v>547</v>
      </c>
      <c r="E23824" s="41" t="n">
        <v>16339.144</v>
      </c>
    </row>
    <row r="23825">
      <c r="A23825" s="42">
        <f>_xlfn.XLOOKUP(84817,Trip[shape_id],Trip[shape_id],"Não encontrado")</f>
        <v/>
      </c>
      <c r="B23825" s="43" t="n">
        <v>-23.593888</v>
      </c>
      <c r="C23825" s="43" t="n">
        <v>-46.556829</v>
      </c>
      <c r="D23825" s="43" t="n">
        <v>548</v>
      </c>
      <c r="E23825" s="44" t="n">
        <v>16354.47</v>
      </c>
    </row>
    <row r="23826">
      <c r="A23826" s="39">
        <f>_xlfn.XLOOKUP(84817,Trip[shape_id],Trip[shape_id],"Não encontrado")</f>
        <v/>
      </c>
      <c r="B23826" s="40" t="n">
        <v>-23.593898</v>
      </c>
      <c r="C23826" s="40" t="n">
        <v>-46.556734</v>
      </c>
      <c r="D23826" s="40" t="n">
        <v>549</v>
      </c>
      <c r="E23826" s="41" t="n">
        <v>16369.067</v>
      </c>
    </row>
    <row r="23827">
      <c r="A23827" s="42">
        <f>_xlfn.XLOOKUP(84817,Trip[shape_id],Trip[shape_id],"Não encontrado")</f>
        <v/>
      </c>
      <c r="B23827" s="43" t="n">
        <v>-23.5939</v>
      </c>
      <c r="C23827" s="43" t="n">
        <v>-46.556591</v>
      </c>
      <c r="D23827" s="43" t="n">
        <v>550</v>
      </c>
      <c r="E23827" s="44" t="n">
        <v>16376.521</v>
      </c>
    </row>
    <row r="23828">
      <c r="A23828" s="39">
        <f>_xlfn.XLOOKUP(84817,Trip[shape_id],Trip[shape_id],"Não encontrado")</f>
        <v/>
      </c>
      <c r="B23828" s="40" t="n">
        <v>-23.593898</v>
      </c>
      <c r="C23828" s="40" t="n">
        <v>-46.556518</v>
      </c>
      <c r="D23828" s="40" t="n">
        <v>551</v>
      </c>
      <c r="E23828" s="41" t="n">
        <v>16381.466</v>
      </c>
    </row>
    <row r="23829">
      <c r="A23829" s="42">
        <f>_xlfn.XLOOKUP(84817,Trip[shape_id],Trip[shape_id],"Não encontrado")</f>
        <v/>
      </c>
      <c r="B23829" s="43" t="n">
        <v>-23.593884</v>
      </c>
      <c r="C23829" s="43" t="n">
        <v>-46.556472</v>
      </c>
      <c r="D23829" s="43" t="n">
        <v>552</v>
      </c>
      <c r="E23829" s="44" t="n">
        <v>16381.466</v>
      </c>
    </row>
    <row r="23830">
      <c r="A23830" s="39">
        <f>_xlfn.XLOOKUP(84817,Trip[shape_id],Trip[shape_id],"Não encontrado")</f>
        <v/>
      </c>
      <c r="B23830" s="40" t="n">
        <v>-23.594341</v>
      </c>
      <c r="C23830" s="40" t="n">
        <v>-46.556077</v>
      </c>
      <c r="D23830" s="40" t="n">
        <v>553</v>
      </c>
      <c r="E23830" s="41" t="n">
        <v>16446.174</v>
      </c>
    </row>
    <row r="23831">
      <c r="A23831" s="42">
        <f>_xlfn.XLOOKUP(84817,Trip[shape_id],Trip[shape_id],"Não encontrado")</f>
        <v/>
      </c>
      <c r="B23831" s="43" t="n">
        <v>-23.594726</v>
      </c>
      <c r="C23831" s="43" t="n">
        <v>-46.555761</v>
      </c>
      <c r="D23831" s="43" t="n">
        <v>554</v>
      </c>
      <c r="E23831" s="44" t="n">
        <v>16519.186</v>
      </c>
    </row>
    <row r="23832">
      <c r="A23832" s="39">
        <f>_xlfn.XLOOKUP(84817,Trip[shape_id],Trip[shape_id],"Não encontrado")</f>
        <v/>
      </c>
      <c r="B23832" s="40" t="n">
        <v>-23.594865</v>
      </c>
      <c r="C23832" s="40" t="n">
        <v>-46.555643</v>
      </c>
      <c r="D23832" s="40" t="n">
        <v>555</v>
      </c>
      <c r="E23832" s="41" t="n">
        <v>16519.186</v>
      </c>
    </row>
    <row r="23833">
      <c r="A23833" s="42">
        <f>_xlfn.XLOOKUP(84817,Trip[shape_id],Trip[shape_id],"Não encontrado")</f>
        <v/>
      </c>
      <c r="B23833" s="43" t="n">
        <v>-23.594954</v>
      </c>
      <c r="C23833" s="43" t="n">
        <v>-46.55557</v>
      </c>
      <c r="D23833" s="43" t="n">
        <v>556</v>
      </c>
      <c r="E23833" s="44" t="n">
        <v>16531.543</v>
      </c>
    </row>
    <row r="23834">
      <c r="A23834" s="39">
        <f>_xlfn.XLOOKUP(84817,Trip[shape_id],Trip[shape_id],"Não encontrado")</f>
        <v/>
      </c>
      <c r="B23834" s="40" t="n">
        <v>-23.595039</v>
      </c>
      <c r="C23834" s="40" t="n">
        <v>-46.555528</v>
      </c>
      <c r="D23834" s="40" t="n">
        <v>557</v>
      </c>
      <c r="E23834" s="41" t="n">
        <v>16541.887</v>
      </c>
    </row>
    <row r="23835">
      <c r="A23835" s="42">
        <f>_xlfn.XLOOKUP(84817,Trip[shape_id],Trip[shape_id],"Não encontrado")</f>
        <v/>
      </c>
      <c r="B23835" s="43" t="n">
        <v>-23.595096</v>
      </c>
      <c r="C23835" s="43" t="n">
        <v>-46.555513</v>
      </c>
      <c r="D23835" s="43" t="n">
        <v>558</v>
      </c>
      <c r="E23835" s="44" t="n">
        <v>16548.383</v>
      </c>
    </row>
    <row r="23836">
      <c r="A23836" s="39">
        <f>_xlfn.XLOOKUP(84817,Trip[shape_id],Trip[shape_id],"Não encontrado")</f>
        <v/>
      </c>
      <c r="B23836" s="40" t="n">
        <v>-23.595171</v>
      </c>
      <c r="C23836" s="40" t="n">
        <v>-46.555457</v>
      </c>
      <c r="D23836" s="40" t="n">
        <v>559</v>
      </c>
      <c r="E23836" s="41" t="n">
        <v>16558.465</v>
      </c>
    </row>
    <row r="23837">
      <c r="A23837" s="42">
        <f>_xlfn.XLOOKUP(84817,Trip[shape_id],Trip[shape_id],"Não encontrado")</f>
        <v/>
      </c>
      <c r="B23837" s="43" t="n">
        <v>-23.595235</v>
      </c>
      <c r="C23837" s="43" t="n">
        <v>-46.555396</v>
      </c>
      <c r="D23837" s="43" t="n">
        <v>560</v>
      </c>
      <c r="E23837" s="44" t="n">
        <v>16567.9</v>
      </c>
    </row>
    <row r="23838">
      <c r="A23838" s="39">
        <f>_xlfn.XLOOKUP(84817,Trip[shape_id],Trip[shape_id],"Não encontrado")</f>
        <v/>
      </c>
      <c r="B23838" s="40" t="n">
        <v>-23.595264</v>
      </c>
      <c r="C23838" s="40" t="n">
        <v>-46.555314</v>
      </c>
      <c r="D23838" s="40" t="n">
        <v>561</v>
      </c>
      <c r="E23838" s="41" t="n">
        <v>16595.871</v>
      </c>
    </row>
    <row r="23839">
      <c r="A23839" s="42">
        <f>_xlfn.XLOOKUP(84817,Trip[shape_id],Trip[shape_id],"Não encontrado")</f>
        <v/>
      </c>
      <c r="B23839" s="43" t="n">
        <v>-23.595338</v>
      </c>
      <c r="C23839" s="43" t="n">
        <v>-46.555146</v>
      </c>
      <c r="D23839" s="43" t="n">
        <v>562</v>
      </c>
      <c r="E23839" s="44" t="n">
        <v>16595.871</v>
      </c>
    </row>
    <row r="23840">
      <c r="A23840" s="39">
        <f>_xlfn.XLOOKUP(84817,Trip[shape_id],Trip[shape_id],"Não encontrado")</f>
        <v/>
      </c>
      <c r="B23840" s="40" t="n">
        <v>-23.595225</v>
      </c>
      <c r="C23840" s="40" t="n">
        <v>-46.555083</v>
      </c>
      <c r="D23840" s="40" t="n">
        <v>563</v>
      </c>
      <c r="E23840" s="41" t="n">
        <v>16609.941</v>
      </c>
    </row>
    <row r="23841">
      <c r="A23841" s="42">
        <f>_xlfn.XLOOKUP(84817,Trip[shape_id],Trip[shape_id],"Não encontrado")</f>
        <v/>
      </c>
      <c r="B23841" s="43" t="n">
        <v>-23.594553</v>
      </c>
      <c r="C23841" s="43" t="n">
        <v>-46.554703</v>
      </c>
      <c r="D23841" s="43" t="n">
        <v>564</v>
      </c>
      <c r="E23841" s="44" t="n">
        <v>16693.867</v>
      </c>
    </row>
    <row r="23842">
      <c r="A23842" s="39">
        <f>_xlfn.XLOOKUP(84817,Trip[shape_id],Trip[shape_id],"Não encontrado")</f>
        <v/>
      </c>
      <c r="B23842" s="40" t="n">
        <v>-23.594061</v>
      </c>
      <c r="C23842" s="40" t="n">
        <v>-46.554377</v>
      </c>
      <c r="D23842" s="40" t="n">
        <v>565</v>
      </c>
      <c r="E23842" s="41" t="n">
        <v>16757.713</v>
      </c>
    </row>
    <row r="23843">
      <c r="A23843" s="42">
        <f>_xlfn.XLOOKUP(84817,Trip[shape_id],Trip[shape_id],"Não encontrado")</f>
        <v/>
      </c>
      <c r="B23843" s="43" t="n">
        <v>-23.594115</v>
      </c>
      <c r="C23843" s="43" t="n">
        <v>-46.554219</v>
      </c>
      <c r="D23843" s="43" t="n">
        <v>566</v>
      </c>
      <c r="E23843" s="44" t="n">
        <v>16812.6</v>
      </c>
    </row>
    <row r="23844">
      <c r="A23844" s="39">
        <f>_xlfn.XLOOKUP(84817,Trip[shape_id],Trip[shape_id],"Não encontrado")</f>
        <v/>
      </c>
      <c r="B23844" s="40" t="n">
        <v>-23.594262</v>
      </c>
      <c r="C23844" s="40" t="n">
        <v>-46.553886</v>
      </c>
      <c r="D23844" s="40" t="n">
        <v>567</v>
      </c>
      <c r="E23844" s="41" t="n">
        <v>16812.6</v>
      </c>
    </row>
    <row r="23845">
      <c r="A23845" s="42">
        <f>_xlfn.XLOOKUP(84817,Trip[shape_id],Trip[shape_id],"Não encontrado")</f>
        <v/>
      </c>
      <c r="B23845" s="43" t="n">
        <v>-23.594299</v>
      </c>
      <c r="C23845" s="43" t="n">
        <v>-46.553822</v>
      </c>
      <c r="D23845" s="43" t="n">
        <v>568</v>
      </c>
      <c r="E23845" s="44" t="n">
        <v>16837.033</v>
      </c>
    </row>
    <row r="23846">
      <c r="A23846" s="39">
        <f>_xlfn.XLOOKUP(84817,Trip[shape_id],Trip[shape_id],"Não encontrado")</f>
        <v/>
      </c>
      <c r="B23846" s="40" t="n">
        <v>-23.594327</v>
      </c>
      <c r="C23846" s="40" t="n">
        <v>-46.553661</v>
      </c>
      <c r="D23846" s="40" t="n">
        <v>569</v>
      </c>
      <c r="E23846" s="41" t="n">
        <v>16846.789</v>
      </c>
    </row>
    <row r="23847">
      <c r="A23847" s="42">
        <f>_xlfn.XLOOKUP(84817,Trip[shape_id],Trip[shape_id],"Não encontrado")</f>
        <v/>
      </c>
      <c r="B23847" s="43" t="n">
        <v>-23.594311</v>
      </c>
      <c r="C23847" s="43" t="n">
        <v>-46.553567</v>
      </c>
      <c r="D23847" s="43" t="n">
        <v>570</v>
      </c>
      <c r="E23847" s="44" t="n">
        <v>16846.789</v>
      </c>
    </row>
    <row r="23848">
      <c r="A23848" s="39">
        <f>_xlfn.XLOOKUP(84817,Trip[shape_id],Trip[shape_id],"Não encontrado")</f>
        <v/>
      </c>
      <c r="B23848" s="40" t="n">
        <v>-23.594268</v>
      </c>
      <c r="C23848" s="40" t="n">
        <v>-46.553369</v>
      </c>
      <c r="D23848" s="40" t="n">
        <v>571</v>
      </c>
      <c r="E23848" s="41" t="n">
        <v>16873.912</v>
      </c>
    </row>
    <row r="23849">
      <c r="A23849" s="42">
        <f>_xlfn.XLOOKUP(84817,Trip[shape_id],Trip[shape_id],"Não encontrado")</f>
        <v/>
      </c>
      <c r="B23849" s="43" t="n">
        <v>-23.594241</v>
      </c>
      <c r="C23849" s="43" t="n">
        <v>-46.553314</v>
      </c>
      <c r="D23849" s="43" t="n">
        <v>572</v>
      </c>
      <c r="E23849" s="44" t="n">
        <v>16873.912</v>
      </c>
    </row>
    <row r="23850">
      <c r="A23850" s="39">
        <f>_xlfn.XLOOKUP(84817,Trip[shape_id],Trip[shape_id],"Não encontrado")</f>
        <v/>
      </c>
      <c r="B23850" s="40" t="n">
        <v>-23.593751</v>
      </c>
      <c r="C23850" s="40" t="n">
        <v>-46.552887</v>
      </c>
      <c r="D23850" s="40" t="n">
        <v>573</v>
      </c>
      <c r="E23850" s="41" t="n">
        <v>17006.246</v>
      </c>
    </row>
    <row r="23851">
      <c r="A23851" s="42">
        <f>_xlfn.XLOOKUP(84817,Trip[shape_id],Trip[shape_id],"Não encontrado")</f>
        <v/>
      </c>
      <c r="B23851" s="43" t="n">
        <v>-23.593311</v>
      </c>
      <c r="C23851" s="43" t="n">
        <v>-46.5525</v>
      </c>
      <c r="D23851" s="43" t="n">
        <v>574</v>
      </c>
      <c r="E23851" s="44" t="n">
        <v>17006.246</v>
      </c>
    </row>
    <row r="23852">
      <c r="A23852" s="39">
        <f>_xlfn.XLOOKUP(84817,Trip[shape_id],Trip[shape_id],"Não encontrado")</f>
        <v/>
      </c>
      <c r="B23852" s="40" t="n">
        <v>-23.593063</v>
      </c>
      <c r="C23852" s="40" t="n">
        <v>-46.552277</v>
      </c>
      <c r="D23852" s="40" t="n">
        <v>575</v>
      </c>
      <c r="E23852" s="41" t="n">
        <v>17041.918</v>
      </c>
    </row>
    <row r="23853">
      <c r="A23853" s="42">
        <f>_xlfn.XLOOKUP(84817,Trip[shape_id],Trip[shape_id],"Não encontrado")</f>
        <v/>
      </c>
      <c r="B23853" s="43" t="n">
        <v>-23.592399</v>
      </c>
      <c r="C23853" s="43" t="n">
        <v>-46.55168</v>
      </c>
      <c r="D23853" s="43" t="n">
        <v>576</v>
      </c>
      <c r="E23853" s="44" t="n">
        <v>17221.072</v>
      </c>
    </row>
    <row r="23854">
      <c r="A23854" s="39">
        <f>_xlfn.XLOOKUP(84817,Trip[shape_id],Trip[shape_id],"Não encontrado")</f>
        <v/>
      </c>
      <c r="B23854" s="40" t="n">
        <v>-23.591816</v>
      </c>
      <c r="C23854" s="40" t="n">
        <v>-46.551159</v>
      </c>
      <c r="D23854" s="40" t="n">
        <v>577</v>
      </c>
      <c r="E23854" s="41" t="n">
        <v>17221.072</v>
      </c>
    </row>
    <row r="23855">
      <c r="A23855" s="42">
        <f>_xlfn.XLOOKUP(84817,Trip[shape_id],Trip[shape_id],"Não encontrado")</f>
        <v/>
      </c>
      <c r="B23855" s="43" t="n">
        <v>-23.591766</v>
      </c>
      <c r="C23855" s="43" t="n">
        <v>-46.551117</v>
      </c>
      <c r="D23855" s="43" t="n">
        <v>578</v>
      </c>
      <c r="E23855" s="44" t="n">
        <v>17228.074</v>
      </c>
    </row>
    <row r="23856">
      <c r="A23856" s="39">
        <f>_xlfn.XLOOKUP(84817,Trip[shape_id],Trip[shape_id],"Não encontrado")</f>
        <v/>
      </c>
      <c r="B23856" s="40" t="n">
        <v>-23.591262</v>
      </c>
      <c r="C23856" s="40" t="n">
        <v>-46.550676</v>
      </c>
      <c r="D23856" s="40" t="n">
        <v>579</v>
      </c>
      <c r="E23856" s="41" t="n">
        <v>17311.078</v>
      </c>
    </row>
    <row r="23857">
      <c r="A23857" s="42">
        <f>_xlfn.XLOOKUP(84817,Trip[shape_id],Trip[shape_id],"Não encontrado")</f>
        <v/>
      </c>
      <c r="B23857" s="43" t="n">
        <v>-23.591183</v>
      </c>
      <c r="C23857" s="43" t="n">
        <v>-46.550606</v>
      </c>
      <c r="D23857" s="43" t="n">
        <v>580</v>
      </c>
      <c r="E23857" s="44" t="n">
        <v>17311.078</v>
      </c>
    </row>
    <row r="23858">
      <c r="A23858" s="39">
        <f>_xlfn.XLOOKUP(84817,Trip[shape_id],Trip[shape_id],"Não encontrado")</f>
        <v/>
      </c>
      <c r="B23858" s="40" t="n">
        <v>-23.591224</v>
      </c>
      <c r="C23858" s="40" t="n">
        <v>-46.550531</v>
      </c>
      <c r="D23858" s="40" t="n">
        <v>581</v>
      </c>
      <c r="E23858" s="41" t="n">
        <v>17321.232</v>
      </c>
    </row>
    <row r="23859">
      <c r="A23859" s="42">
        <f>_xlfn.XLOOKUP(84817,Trip[shape_id],Trip[shape_id],"Não encontrado")</f>
        <v/>
      </c>
      <c r="B23859" s="43" t="n">
        <v>-23.591229</v>
      </c>
      <c r="C23859" s="43" t="n">
        <v>-46.55052</v>
      </c>
      <c r="D23859" s="43" t="n">
        <v>582</v>
      </c>
      <c r="E23859" s="44" t="n">
        <v>17321.232</v>
      </c>
    </row>
    <row r="23860">
      <c r="A23860" s="39">
        <f>_xlfn.XLOOKUP(84817,Trip[shape_id],Trip[shape_id],"Não encontrado")</f>
        <v/>
      </c>
      <c r="B23860" s="40" t="n">
        <v>-23.591277</v>
      </c>
      <c r="C23860" s="40" t="n">
        <v>-46.550387</v>
      </c>
      <c r="D23860" s="40" t="n">
        <v>583</v>
      </c>
      <c r="E23860" s="41" t="n">
        <v>17364.604</v>
      </c>
    </row>
    <row r="23861">
      <c r="A23861" s="42">
        <f>_xlfn.XLOOKUP(84817,Trip[shape_id],Trip[shape_id],"Não encontrado")</f>
        <v/>
      </c>
      <c r="B23861" s="43" t="n">
        <v>-23.591371</v>
      </c>
      <c r="C23861" s="43" t="n">
        <v>-46.550124</v>
      </c>
      <c r="D23861" s="43" t="n">
        <v>584</v>
      </c>
      <c r="E23861" s="44" t="n">
        <v>17364.604</v>
      </c>
    </row>
    <row r="23862">
      <c r="A23862" s="39">
        <f>_xlfn.XLOOKUP(84817,Trip[shape_id],Trip[shape_id],"Não encontrado")</f>
        <v/>
      </c>
      <c r="B23862" s="40" t="n">
        <v>-23.591399</v>
      </c>
      <c r="C23862" s="40" t="n">
        <v>-46.550047</v>
      </c>
      <c r="D23862" s="40" t="n">
        <v>585</v>
      </c>
      <c r="E23862" s="41" t="n">
        <v>17373.053</v>
      </c>
    </row>
    <row r="23863">
      <c r="A23863" s="42">
        <f>_xlfn.XLOOKUP(84817,Trip[shape_id],Trip[shape_id],"Não encontrado")</f>
        <v/>
      </c>
      <c r="B23863" s="43" t="n">
        <v>-23.591575</v>
      </c>
      <c r="C23863" s="43" t="n">
        <v>-46.549556</v>
      </c>
      <c r="D23863" s="43" t="n">
        <v>586</v>
      </c>
      <c r="E23863" s="44" t="n">
        <v>17426.826</v>
      </c>
    </row>
    <row r="23864">
      <c r="A23864" s="39">
        <f>_xlfn.XLOOKUP(84817,Trip[shape_id],Trip[shape_id],"Não encontrado")</f>
        <v/>
      </c>
      <c r="B23864" s="40" t="n">
        <v>-23.591612</v>
      </c>
      <c r="C23864" s="40" t="n">
        <v>-46.54945</v>
      </c>
      <c r="D23864" s="40" t="n">
        <v>587</v>
      </c>
      <c r="E23864" s="41" t="n">
        <v>17446.395</v>
      </c>
    </row>
    <row r="23865">
      <c r="A23865" s="42">
        <f>_xlfn.XLOOKUP(84817,Trip[shape_id],Trip[shape_id],"Não encontrado")</f>
        <v/>
      </c>
      <c r="B23865" s="43" t="n">
        <v>-23.591633</v>
      </c>
      <c r="C23865" s="43" t="n">
        <v>-46.549375</v>
      </c>
      <c r="D23865" s="43" t="n">
        <v>588</v>
      </c>
      <c r="E23865" s="44" t="n">
        <v>17458.381</v>
      </c>
    </row>
    <row r="23866">
      <c r="A23866" s="39">
        <f>_xlfn.XLOOKUP(84817,Trip[shape_id],Trip[shape_id],"Não encontrado")</f>
        <v/>
      </c>
      <c r="B23866" s="40" t="n">
        <v>-23.591659</v>
      </c>
      <c r="C23866" s="40" t="n">
        <v>-46.549261</v>
      </c>
      <c r="D23866" s="40" t="n">
        <v>589</v>
      </c>
      <c r="E23866" s="41" t="n">
        <v>17464.586</v>
      </c>
    </row>
    <row r="23867">
      <c r="A23867" s="42">
        <f>_xlfn.XLOOKUP(84817,Trip[shape_id],Trip[shape_id],"Não encontrado")</f>
        <v/>
      </c>
      <c r="B23867" s="43" t="n">
        <v>-23.591668</v>
      </c>
      <c r="C23867" s="43" t="n">
        <v>-46.549201</v>
      </c>
      <c r="D23867" s="43" t="n">
        <v>590</v>
      </c>
      <c r="E23867" s="44" t="n">
        <v>17464.586</v>
      </c>
    </row>
    <row r="23868">
      <c r="A23868" s="39">
        <f>_xlfn.XLOOKUP(84817,Trip[shape_id],Trip[shape_id],"Não encontrado")</f>
        <v/>
      </c>
      <c r="B23868" s="40" t="n">
        <v>-23.59169</v>
      </c>
      <c r="C23868" s="40" t="n">
        <v>-46.549</v>
      </c>
      <c r="D23868" s="40" t="n">
        <v>591</v>
      </c>
      <c r="E23868" s="41" t="n">
        <v>17485.246</v>
      </c>
    </row>
    <row r="23869">
      <c r="A23869" s="42">
        <f>_xlfn.XLOOKUP(84817,Trip[shape_id],Trip[shape_id],"Não encontrado")</f>
        <v/>
      </c>
      <c r="B23869" s="43" t="n">
        <v>-23.591742</v>
      </c>
      <c r="C23869" s="43" t="n">
        <v>-46.548441</v>
      </c>
      <c r="D23869" s="43" t="n">
        <v>592</v>
      </c>
      <c r="E23869" s="44" t="n">
        <v>17542.594</v>
      </c>
    </row>
    <row r="23870">
      <c r="A23870" s="39">
        <f>_xlfn.XLOOKUP(84817,Trip[shape_id],Trip[shape_id],"Não encontrado")</f>
        <v/>
      </c>
      <c r="B23870" s="40" t="n">
        <v>-23.591753</v>
      </c>
      <c r="C23870" s="40" t="n">
        <v>-46.548311</v>
      </c>
      <c r="D23870" s="40" t="n">
        <v>593</v>
      </c>
      <c r="E23870" s="41" t="n">
        <v>17581.348</v>
      </c>
    </row>
    <row r="23871">
      <c r="A23871" s="42">
        <f>_xlfn.XLOOKUP(84817,Trip[shape_id],Trip[shape_id],"Não encontrado")</f>
        <v/>
      </c>
      <c r="B23871" s="43" t="n">
        <v>-23.591783</v>
      </c>
      <c r="C23871" s="43" t="n">
        <v>-46.548064</v>
      </c>
      <c r="D23871" s="43" t="n">
        <v>594</v>
      </c>
      <c r="E23871" s="44" t="n">
        <v>17599.465</v>
      </c>
    </row>
    <row r="23872">
      <c r="A23872" s="39">
        <f>_xlfn.XLOOKUP(84817,Trip[shape_id],Trip[shape_id],"Não encontrado")</f>
        <v/>
      </c>
      <c r="B23872" s="40" t="n">
        <v>-23.591833</v>
      </c>
      <c r="C23872" s="40" t="n">
        <v>-46.547895</v>
      </c>
      <c r="D23872" s="40" t="n">
        <v>595</v>
      </c>
      <c r="E23872" s="41" t="n">
        <v>17610.291</v>
      </c>
    </row>
    <row r="23873">
      <c r="A23873" s="42">
        <f>_xlfn.XLOOKUP(84817,Trip[shape_id],Trip[shape_id],"Não encontrado")</f>
        <v/>
      </c>
      <c r="B23873" s="43" t="n">
        <v>-23.59188</v>
      </c>
      <c r="C23873" s="43" t="n">
        <v>-46.547802</v>
      </c>
      <c r="D23873" s="43" t="n">
        <v>596</v>
      </c>
      <c r="E23873" s="44" t="n">
        <v>17610.291</v>
      </c>
    </row>
    <row r="23874">
      <c r="A23874" s="39">
        <f>_xlfn.XLOOKUP(84817,Trip[shape_id],Trip[shape_id],"Não encontrado")</f>
        <v/>
      </c>
      <c r="B23874" s="40" t="n">
        <v>-23.591899</v>
      </c>
      <c r="C23874" s="40" t="n">
        <v>-46.547762</v>
      </c>
      <c r="D23874" s="40" t="n">
        <v>597</v>
      </c>
      <c r="E23874" s="41" t="n">
        <v>17634.658</v>
      </c>
    </row>
    <row r="23875">
      <c r="A23875" s="42">
        <f>_xlfn.XLOOKUP(84817,Trip[shape_id],Trip[shape_id],"Não encontrado")</f>
        <v/>
      </c>
      <c r="B23875" s="43" t="n">
        <v>-23.592001</v>
      </c>
      <c r="C23875" s="43" t="n">
        <v>-46.547603</v>
      </c>
      <c r="D23875" s="43" t="n">
        <v>598</v>
      </c>
      <c r="E23875" s="44" t="n">
        <v>17659.619</v>
      </c>
    </row>
    <row r="23876">
      <c r="A23876" s="39">
        <f>_xlfn.XLOOKUP(84817,Trip[shape_id],Trip[shape_id],"Não encontrado")</f>
        <v/>
      </c>
      <c r="B23876" s="40" t="n">
        <v>-23.592163</v>
      </c>
      <c r="C23876" s="40" t="n">
        <v>-46.547433</v>
      </c>
      <c r="D23876" s="40" t="n">
        <v>599</v>
      </c>
      <c r="E23876" s="41" t="n">
        <v>17659.619</v>
      </c>
    </row>
    <row r="23877">
      <c r="A23877" s="42">
        <f>_xlfn.XLOOKUP(84817,Trip[shape_id],Trip[shape_id],"Não encontrado")</f>
        <v/>
      </c>
      <c r="B23877" s="43" t="n">
        <v>-23.592811</v>
      </c>
      <c r="C23877" s="43" t="n">
        <v>-46.546735</v>
      </c>
      <c r="D23877" s="43" t="n">
        <v>600</v>
      </c>
      <c r="E23877" s="44" t="n">
        <v>17765.494</v>
      </c>
    </row>
    <row r="23878">
      <c r="A23878" s="39">
        <f>_xlfn.XLOOKUP(84817,Trip[shape_id],Trip[shape_id],"Não encontrado")</f>
        <v/>
      </c>
      <c r="B23878" s="40" t="n">
        <v>-23.592837</v>
      </c>
      <c r="C23878" s="40" t="n">
        <v>-46.546698</v>
      </c>
      <c r="D23878" s="40" t="n">
        <v>601</v>
      </c>
      <c r="E23878" s="41" t="n">
        <v>17774.73</v>
      </c>
    </row>
    <row r="23879">
      <c r="A23879" s="42">
        <f>_xlfn.XLOOKUP(84817,Trip[shape_id],Trip[shape_id],"Não encontrado")</f>
        <v/>
      </c>
      <c r="B23879" s="43" t="n">
        <v>-23.592885</v>
      </c>
      <c r="C23879" s="43" t="n">
        <v>-46.546624</v>
      </c>
      <c r="D23879" s="43" t="n">
        <v>602</v>
      </c>
      <c r="E23879" s="44" t="n">
        <v>17779.789</v>
      </c>
    </row>
    <row r="23880">
      <c r="A23880" s="39">
        <f>_xlfn.XLOOKUP(84817,Trip[shape_id],Trip[shape_id],"Não encontrado")</f>
        <v/>
      </c>
      <c r="B23880" s="40" t="n">
        <v>-23.592902</v>
      </c>
      <c r="C23880" s="40" t="n">
        <v>-46.546578</v>
      </c>
      <c r="D23880" s="40" t="n">
        <v>603</v>
      </c>
      <c r="E23880" s="41" t="n">
        <v>17791.844</v>
      </c>
    </row>
    <row r="23881">
      <c r="A23881" s="42">
        <f>_xlfn.XLOOKUP(84817,Trip[shape_id],Trip[shape_id],"Não encontrado")</f>
        <v/>
      </c>
      <c r="B23881" s="43" t="n">
        <v>-23.59295</v>
      </c>
      <c r="C23881" s="43" t="n">
        <v>-46.546472</v>
      </c>
      <c r="D23881" s="43" t="n">
        <v>604</v>
      </c>
      <c r="E23881" s="44" t="n">
        <v>17799.52</v>
      </c>
    </row>
    <row r="23882">
      <c r="A23882" s="39">
        <f>_xlfn.XLOOKUP(84817,Trip[shape_id],Trip[shape_id],"Não encontrado")</f>
        <v/>
      </c>
      <c r="B23882" s="40" t="n">
        <v>-23.59297</v>
      </c>
      <c r="C23882" s="40" t="n">
        <v>-46.5464</v>
      </c>
      <c r="D23882" s="40" t="n">
        <v>605</v>
      </c>
      <c r="E23882" s="41" t="n">
        <v>17799.52</v>
      </c>
    </row>
    <row r="23883">
      <c r="A23883" s="42">
        <f>_xlfn.XLOOKUP(84817,Trip[shape_id],Trip[shape_id],"Não encontrado")</f>
        <v/>
      </c>
      <c r="B23883" s="43" t="n">
        <v>-23.59295</v>
      </c>
      <c r="C23883" s="43" t="n">
        <v>-46.546196</v>
      </c>
      <c r="D23883" s="43" t="n">
        <v>606</v>
      </c>
      <c r="E23883" s="44" t="n">
        <v>17866.068</v>
      </c>
    </row>
    <row r="23884">
      <c r="A23884" s="39">
        <f>_xlfn.XLOOKUP(84817,Trip[shape_id],Trip[shape_id],"Não encontrado")</f>
        <v/>
      </c>
      <c r="B23884" s="40" t="n">
        <v>-23.592838</v>
      </c>
      <c r="C23884" s="40" t="n">
        <v>-46.545766</v>
      </c>
      <c r="D23884" s="40" t="n">
        <v>607</v>
      </c>
      <c r="E23884" s="41" t="n">
        <v>17894.336</v>
      </c>
    </row>
    <row r="23885">
      <c r="A23885" s="42">
        <f>_xlfn.XLOOKUP(84817,Trip[shape_id],Trip[shape_id],"Não encontrado")</f>
        <v/>
      </c>
      <c r="B23885" s="43" t="n">
        <v>-23.59279</v>
      </c>
      <c r="C23885" s="43" t="n">
        <v>-46.545494</v>
      </c>
      <c r="D23885" s="43" t="n">
        <v>608</v>
      </c>
      <c r="E23885" s="44" t="n">
        <v>17899.672</v>
      </c>
    </row>
    <row r="23886">
      <c r="A23886" s="39">
        <f>_xlfn.XLOOKUP(84817,Trip[shape_id],Trip[shape_id],"Não encontrado")</f>
        <v/>
      </c>
      <c r="B23886" s="40" t="n">
        <v>-23.592795</v>
      </c>
      <c r="C23886" s="40" t="n">
        <v>-46.545442</v>
      </c>
      <c r="D23886" s="40" t="n">
        <v>609</v>
      </c>
      <c r="E23886" s="41" t="n">
        <v>17899.672</v>
      </c>
    </row>
    <row r="23887">
      <c r="A23887" s="42">
        <f>_xlfn.XLOOKUP(84817,Trip[shape_id],Trip[shape_id],"Não encontrado")</f>
        <v/>
      </c>
      <c r="B23887" s="43" t="n">
        <v>-23.592805</v>
      </c>
      <c r="C23887" s="43" t="n">
        <v>-46.545327</v>
      </c>
      <c r="D23887" s="43" t="n">
        <v>610</v>
      </c>
      <c r="E23887" s="44" t="n">
        <v>17929.939</v>
      </c>
    </row>
    <row r="23888">
      <c r="A23888" s="39">
        <f>_xlfn.XLOOKUP(84817,Trip[shape_id],Trip[shape_id],"Não encontrado")</f>
        <v/>
      </c>
      <c r="B23888" s="40" t="n">
        <v>-23.592851</v>
      </c>
      <c r="C23888" s="40" t="n">
        <v>-46.545153</v>
      </c>
      <c r="D23888" s="40" t="n">
        <v>611</v>
      </c>
      <c r="E23888" s="41" t="n">
        <v>17944.779</v>
      </c>
    </row>
    <row r="23889">
      <c r="A23889" s="42">
        <f>_xlfn.XLOOKUP(84817,Trip[shape_id],Trip[shape_id],"Não encontrado")</f>
        <v/>
      </c>
      <c r="B23889" s="43" t="n">
        <v>-23.592911</v>
      </c>
      <c r="C23889" s="43" t="n">
        <v>-46.545023</v>
      </c>
      <c r="D23889" s="43" t="n">
        <v>612</v>
      </c>
      <c r="E23889" s="44" t="n">
        <v>17957.096</v>
      </c>
    </row>
    <row r="23890">
      <c r="A23890" s="39">
        <f>_xlfn.XLOOKUP(84817,Trip[shape_id],Trip[shape_id],"Não encontrado")</f>
        <v/>
      </c>
      <c r="B23890" s="40" t="n">
        <v>-23.592989</v>
      </c>
      <c r="C23890" s="40" t="n">
        <v>-46.544937</v>
      </c>
      <c r="D23890" s="40" t="n">
        <v>613</v>
      </c>
      <c r="E23890" s="41" t="n">
        <v>17963.137</v>
      </c>
    </row>
    <row r="23891">
      <c r="A23891" s="42">
        <f>_xlfn.XLOOKUP(84817,Trip[shape_id],Trip[shape_id],"Não encontrado")</f>
        <v/>
      </c>
      <c r="B23891" s="43" t="n">
        <v>-23.593033</v>
      </c>
      <c r="C23891" s="43" t="n">
        <v>-46.544902</v>
      </c>
      <c r="D23891" s="43" t="n">
        <v>614</v>
      </c>
      <c r="E23891" s="44" t="n">
        <v>17963.137</v>
      </c>
    </row>
    <row r="23892">
      <c r="A23892" s="39">
        <f>_xlfn.XLOOKUP(84817,Trip[shape_id],Trip[shape_id],"Não encontrado")</f>
        <v/>
      </c>
      <c r="B23892" s="40" t="n">
        <v>-23.594154</v>
      </c>
      <c r="C23892" s="40" t="n">
        <v>-46.544039</v>
      </c>
      <c r="D23892" s="40" t="n">
        <v>615</v>
      </c>
      <c r="E23892" s="41" t="n">
        <v>18150.367</v>
      </c>
    </row>
    <row r="23893">
      <c r="A23893" s="42">
        <f>_xlfn.XLOOKUP(84817,Trip[shape_id],Trip[shape_id],"Não encontrado")</f>
        <v/>
      </c>
      <c r="B23893" s="43" t="n">
        <v>-23.594414</v>
      </c>
      <c r="C23893" s="43" t="n">
        <v>-46.543844</v>
      </c>
      <c r="D23893" s="43" t="n">
        <v>616</v>
      </c>
      <c r="E23893" s="44" t="n">
        <v>18150.367</v>
      </c>
    </row>
    <row r="23894">
      <c r="A23894" s="39">
        <f>_xlfn.XLOOKUP(84817,Trip[shape_id],Trip[shape_id],"Não encontrado")</f>
        <v/>
      </c>
      <c r="B23894" s="40" t="n">
        <v>-23.594671</v>
      </c>
      <c r="C23894" s="40" t="n">
        <v>-46.543655</v>
      </c>
      <c r="D23894" s="40" t="n">
        <v>617</v>
      </c>
      <c r="E23894" s="41" t="n">
        <v>18184.752</v>
      </c>
    </row>
    <row r="23895">
      <c r="A23895" s="42">
        <f>_xlfn.XLOOKUP(84817,Trip[shape_id],Trip[shape_id],"Não encontrado")</f>
        <v/>
      </c>
      <c r="B23895" s="43" t="n">
        <v>-23.594926</v>
      </c>
      <c r="C23895" s="43" t="n">
        <v>-46.543485</v>
      </c>
      <c r="D23895" s="43" t="n">
        <v>618</v>
      </c>
      <c r="E23895" s="44" t="n">
        <v>18217.898</v>
      </c>
    </row>
    <row r="23896">
      <c r="A23896" s="39">
        <f>_xlfn.XLOOKUP(84817,Trip[shape_id],Trip[shape_id],"Não encontrado")</f>
        <v/>
      </c>
      <c r="B23896" s="40" t="n">
        <v>-23.595101</v>
      </c>
      <c r="C23896" s="40" t="n">
        <v>-46.543362</v>
      </c>
      <c r="D23896" s="40" t="n">
        <v>619</v>
      </c>
      <c r="E23896" s="41" t="n">
        <v>18278.309</v>
      </c>
    </row>
    <row r="23897">
      <c r="A23897" s="42">
        <f>_xlfn.XLOOKUP(84817,Trip[shape_id],Trip[shape_id],"Não encontrado")</f>
        <v/>
      </c>
      <c r="B23897" s="43" t="n">
        <v>-23.59539</v>
      </c>
      <c r="C23897" s="43" t="n">
        <v>-46.543174</v>
      </c>
      <c r="D23897" s="43" t="n">
        <v>620</v>
      </c>
      <c r="E23897" s="44" t="n">
        <v>18289.361</v>
      </c>
    </row>
    <row r="23898">
      <c r="A23898" s="39">
        <f>_xlfn.XLOOKUP(84817,Trip[shape_id],Trip[shape_id],"Não encontrado")</f>
        <v/>
      </c>
      <c r="B23898" s="40" t="n">
        <v>-23.595479</v>
      </c>
      <c r="C23898" s="40" t="n">
        <v>-46.543125</v>
      </c>
      <c r="D23898" s="40" t="n">
        <v>621</v>
      </c>
      <c r="E23898" s="41" t="n">
        <v>18289.361</v>
      </c>
    </row>
    <row r="23899">
      <c r="A23899" s="42">
        <f>_xlfn.XLOOKUP(84817,Trip[shape_id],Trip[shape_id],"Não encontrado")</f>
        <v/>
      </c>
      <c r="B23899" s="43" t="n">
        <v>-23.595949</v>
      </c>
      <c r="C23899" s="43" t="n">
        <v>-46.542877</v>
      </c>
      <c r="D23899" s="43" t="n">
        <v>622</v>
      </c>
      <c r="E23899" s="44" t="n">
        <v>18354.16</v>
      </c>
    </row>
    <row r="23900">
      <c r="A23900" s="39">
        <f>_xlfn.XLOOKUP(84817,Trip[shape_id],Trip[shape_id],"Não encontrado")</f>
        <v/>
      </c>
      <c r="B23900" s="40" t="n">
        <v>-23.595998</v>
      </c>
      <c r="C23900" s="40" t="n">
        <v>-46.542835</v>
      </c>
      <c r="D23900" s="40" t="n">
        <v>623</v>
      </c>
      <c r="E23900" s="41" t="n">
        <v>18354.16</v>
      </c>
    </row>
    <row r="23901">
      <c r="A23901" s="42">
        <f>_xlfn.XLOOKUP(84817,Trip[shape_id],Trip[shape_id],"Não encontrado")</f>
        <v/>
      </c>
      <c r="B23901" s="43" t="n">
        <v>-23.596044</v>
      </c>
      <c r="C23901" s="43" t="n">
        <v>-46.542801</v>
      </c>
      <c r="D23901" s="43" t="n">
        <v>624</v>
      </c>
      <c r="E23901" s="44" t="n">
        <v>18364.695</v>
      </c>
    </row>
    <row r="23902">
      <c r="A23902" s="39">
        <f>_xlfn.XLOOKUP(84817,Trip[shape_id],Trip[shape_id],"Não encontrado")</f>
        <v/>
      </c>
      <c r="B23902" s="40" t="n">
        <v>-23.596068</v>
      </c>
      <c r="C23902" s="40" t="n">
        <v>-46.542767</v>
      </c>
      <c r="D23902" s="40" t="n">
        <v>625</v>
      </c>
      <c r="E23902" s="41" t="n">
        <v>18364.695</v>
      </c>
    </row>
    <row r="23903">
      <c r="A23903" s="42">
        <f>_xlfn.XLOOKUP(84817,Trip[shape_id],Trip[shape_id],"Não encontrado")</f>
        <v/>
      </c>
      <c r="B23903" s="43" t="n">
        <v>-23.596122</v>
      </c>
      <c r="C23903" s="43" t="n">
        <v>-46.542703</v>
      </c>
      <c r="D23903" s="43" t="n">
        <v>626</v>
      </c>
      <c r="E23903" s="44" t="n">
        <v>18394.543</v>
      </c>
    </row>
    <row r="23904">
      <c r="A23904" s="39">
        <f>_xlfn.XLOOKUP(84817,Trip[shape_id],Trip[shape_id],"Não encontrado")</f>
        <v/>
      </c>
      <c r="B23904" s="40" t="n">
        <v>-23.59623</v>
      </c>
      <c r="C23904" s="40" t="n">
        <v>-46.542534</v>
      </c>
      <c r="D23904" s="40" t="n">
        <v>627</v>
      </c>
      <c r="E23904" s="41" t="n">
        <v>18424.76</v>
      </c>
    </row>
    <row r="23905">
      <c r="A23905" s="42">
        <f>_xlfn.XLOOKUP(84817,Trip[shape_id],Trip[shape_id],"Não encontrado")</f>
        <v/>
      </c>
      <c r="B23905" s="43" t="n">
        <v>-23.596379</v>
      </c>
      <c r="C23905" s="43" t="n">
        <v>-46.542286</v>
      </c>
      <c r="D23905" s="43" t="n">
        <v>628</v>
      </c>
      <c r="E23905" s="44" t="n">
        <v>18424.76</v>
      </c>
    </row>
    <row r="23906">
      <c r="A23906" s="39">
        <f>_xlfn.XLOOKUP(84817,Trip[shape_id],Trip[shape_id],"Não encontrado")</f>
        <v/>
      </c>
      <c r="B23906" s="40" t="n">
        <v>-23.596442</v>
      </c>
      <c r="C23906" s="40" t="n">
        <v>-46.542167</v>
      </c>
      <c r="D23906" s="40" t="n">
        <v>629</v>
      </c>
      <c r="E23906" s="41" t="n">
        <v>18453.377</v>
      </c>
    </row>
    <row r="23907">
      <c r="A23907" s="42">
        <f>_xlfn.XLOOKUP(84817,Trip[shape_id],Trip[shape_id],"Não encontrado")</f>
        <v/>
      </c>
      <c r="B23907" s="43" t="n">
        <v>-23.596518</v>
      </c>
      <c r="C23907" s="43" t="n">
        <v>-46.54205</v>
      </c>
      <c r="D23907" s="43" t="n">
        <v>630</v>
      </c>
      <c r="E23907" s="44" t="n">
        <v>18453.377</v>
      </c>
    </row>
    <row r="23908">
      <c r="A23908" s="39">
        <f>_xlfn.XLOOKUP(84817,Trip[shape_id],Trip[shape_id],"Não encontrado")</f>
        <v/>
      </c>
      <c r="B23908" s="40" t="n">
        <v>-23.596678</v>
      </c>
      <c r="C23908" s="40" t="n">
        <v>-46.54184</v>
      </c>
      <c r="D23908" s="40" t="n">
        <v>631</v>
      </c>
      <c r="E23908" s="41" t="n">
        <v>18487.582</v>
      </c>
    </row>
    <row r="23909">
      <c r="A23909" s="42">
        <f>_xlfn.XLOOKUP(84817,Trip[shape_id],Trip[shape_id],"Não encontrado")</f>
        <v/>
      </c>
      <c r="B23909" s="43" t="n">
        <v>-23.596714</v>
      </c>
      <c r="C23909" s="43" t="n">
        <v>-46.541791</v>
      </c>
      <c r="D23909" s="43" t="n">
        <v>632</v>
      </c>
      <c r="E23909" s="44" t="n">
        <v>18487.582</v>
      </c>
    </row>
    <row r="23910">
      <c r="A23910" s="39">
        <f>_xlfn.XLOOKUP(84817,Trip[shape_id],Trip[shape_id],"Não encontrado")</f>
        <v/>
      </c>
      <c r="B23910" s="40" t="n">
        <v>-23.596751</v>
      </c>
      <c r="C23910" s="40" t="n">
        <v>-46.541757</v>
      </c>
      <c r="D23910" s="40" t="n">
        <v>633</v>
      </c>
      <c r="E23910" s="41" t="n">
        <v>18492.951</v>
      </c>
    </row>
    <row r="23911">
      <c r="A23911" s="42">
        <f>_xlfn.XLOOKUP(84817,Trip[shape_id],Trip[shape_id],"Não encontrado")</f>
        <v/>
      </c>
      <c r="B23911" s="43" t="n">
        <v>-23.596889</v>
      </c>
      <c r="C23911" s="43" t="n">
        <v>-46.541599</v>
      </c>
      <c r="D23911" s="43" t="n">
        <v>634</v>
      </c>
      <c r="E23911" s="44" t="n">
        <v>18533.836</v>
      </c>
    </row>
    <row r="23912">
      <c r="A23912" s="39">
        <f>_xlfn.XLOOKUP(84817,Trip[shape_id],Trip[shape_id],"Não encontrado")</f>
        <v/>
      </c>
      <c r="B23912" s="40" t="n">
        <v>-23.597027</v>
      </c>
      <c r="C23912" s="40" t="n">
        <v>-46.541494</v>
      </c>
      <c r="D23912" s="40" t="n">
        <v>635</v>
      </c>
      <c r="E23912" s="41" t="n">
        <v>18533.836</v>
      </c>
    </row>
    <row r="23913">
      <c r="A23913" s="42">
        <f>_xlfn.XLOOKUP(84817,Trip[shape_id],Trip[shape_id],"Não encontrado")</f>
        <v/>
      </c>
      <c r="B23913" s="43" t="n">
        <v>-23.597247</v>
      </c>
      <c r="C23913" s="43" t="n">
        <v>-46.54133</v>
      </c>
      <c r="D23913" s="43" t="n">
        <v>636</v>
      </c>
      <c r="E23913" s="44" t="n">
        <v>18563.396</v>
      </c>
    </row>
    <row r="23914">
      <c r="A23914" s="39">
        <f>_xlfn.XLOOKUP(84817,Trip[shape_id],Trip[shape_id],"Não encontrado")</f>
        <v/>
      </c>
      <c r="B23914" s="40" t="n">
        <v>-23.597522</v>
      </c>
      <c r="C23914" s="40" t="n">
        <v>-46.541117</v>
      </c>
      <c r="D23914" s="40" t="n">
        <v>637</v>
      </c>
      <c r="E23914" s="41" t="n">
        <v>18600.816</v>
      </c>
    </row>
    <row r="23915">
      <c r="A23915" s="42">
        <f>_xlfn.XLOOKUP(84817,Trip[shape_id],Trip[shape_id],"Não encontrado")</f>
        <v/>
      </c>
      <c r="B23915" s="43" t="n">
        <v>-23.597604</v>
      </c>
      <c r="C23915" s="43" t="n">
        <v>-46.541035</v>
      </c>
      <c r="D23915" s="43" t="n">
        <v>638</v>
      </c>
      <c r="E23915" s="44" t="n">
        <v>18622.68</v>
      </c>
    </row>
    <row r="23916">
      <c r="A23916" s="39">
        <f>_xlfn.XLOOKUP(84817,Trip[shape_id],Trip[shape_id],"Não encontrado")</f>
        <v/>
      </c>
      <c r="B23916" s="40" t="n">
        <v>-23.597655</v>
      </c>
      <c r="C23916" s="40" t="n">
        <v>-46.54096</v>
      </c>
      <c r="D23916" s="40" t="n">
        <v>639</v>
      </c>
      <c r="E23916" s="41" t="n">
        <v>18635.348</v>
      </c>
    </row>
    <row r="23917">
      <c r="A23917" s="42">
        <f>_xlfn.XLOOKUP(84817,Trip[shape_id],Trip[shape_id],"Não encontrado")</f>
        <v/>
      </c>
      <c r="B23917" s="43" t="n">
        <v>-23.597724</v>
      </c>
      <c r="C23917" s="43" t="n">
        <v>-46.540861</v>
      </c>
      <c r="D23917" s="43" t="n">
        <v>640</v>
      </c>
      <c r="E23917" s="44" t="n">
        <v>18649.283</v>
      </c>
    </row>
    <row r="23918">
      <c r="A23918" s="39">
        <f>_xlfn.XLOOKUP(84817,Trip[shape_id],Trip[shape_id],"Não encontrado")</f>
        <v/>
      </c>
      <c r="B23918" s="40" t="n">
        <v>-23.597784</v>
      </c>
      <c r="C23918" s="40" t="n">
        <v>-46.540741</v>
      </c>
      <c r="D23918" s="40" t="n">
        <v>641</v>
      </c>
      <c r="E23918" s="41" t="n">
        <v>18666.617</v>
      </c>
    </row>
    <row r="23919">
      <c r="A23919" s="42">
        <f>_xlfn.XLOOKUP(84817,Trip[shape_id],Trip[shape_id],"Não encontrado")</f>
        <v/>
      </c>
      <c r="B23919" s="43" t="n">
        <v>-23.59785</v>
      </c>
      <c r="C23919" s="43" t="n">
        <v>-46.540587</v>
      </c>
      <c r="D23919" s="43" t="n">
        <v>642</v>
      </c>
      <c r="E23919" s="44" t="n">
        <v>18666.617</v>
      </c>
    </row>
    <row r="23920">
      <c r="A23920" s="39">
        <f>_xlfn.XLOOKUP(84817,Trip[shape_id],Trip[shape_id],"Não encontrado")</f>
        <v/>
      </c>
      <c r="B23920" s="40" t="n">
        <v>-23.598207</v>
      </c>
      <c r="C23920" s="40" t="n">
        <v>-46.539485</v>
      </c>
      <c r="D23920" s="40" t="n">
        <v>643</v>
      </c>
      <c r="E23920" s="41" t="n">
        <v>18785.84</v>
      </c>
    </row>
    <row r="23921">
      <c r="A23921" s="42">
        <f>_xlfn.XLOOKUP(84817,Trip[shape_id],Trip[shape_id],"Não encontrado")</f>
        <v/>
      </c>
      <c r="B23921" s="43" t="n">
        <v>-23.598291</v>
      </c>
      <c r="C23921" s="43" t="n">
        <v>-46.539213</v>
      </c>
      <c r="D23921" s="43" t="n">
        <v>644</v>
      </c>
      <c r="E23921" s="44" t="n">
        <v>18826.361</v>
      </c>
    </row>
    <row r="23922">
      <c r="A23922" s="39">
        <f>_xlfn.XLOOKUP(84817,Trip[shape_id],Trip[shape_id],"Não encontrado")</f>
        <v/>
      </c>
      <c r="B23922" s="40" t="n">
        <v>-23.598327</v>
      </c>
      <c r="C23922" s="40" t="n">
        <v>-46.53911</v>
      </c>
      <c r="D23922" s="40" t="n">
        <v>645</v>
      </c>
      <c r="E23922" s="41" t="n">
        <v>18826.361</v>
      </c>
    </row>
    <row r="23923">
      <c r="A23923" s="42">
        <f>_xlfn.XLOOKUP(84817,Trip[shape_id],Trip[shape_id],"Não encontrado")</f>
        <v/>
      </c>
      <c r="B23923" s="43" t="n">
        <v>-23.598345</v>
      </c>
      <c r="C23923" s="43" t="n">
        <v>-46.539051</v>
      </c>
      <c r="D23923" s="43" t="n">
        <v>646</v>
      </c>
      <c r="E23923" s="44" t="n">
        <v>18832.703</v>
      </c>
    </row>
    <row r="23924">
      <c r="A23924" s="39">
        <f>_xlfn.XLOOKUP(84817,Trip[shape_id],Trip[shape_id],"Não encontrado")</f>
        <v/>
      </c>
      <c r="B23924" s="40" t="n">
        <v>-23.598436</v>
      </c>
      <c r="C23924" s="40" t="n">
        <v>-46.53886</v>
      </c>
      <c r="D23924" s="40" t="n">
        <v>647</v>
      </c>
      <c r="E23924" s="41" t="n">
        <v>18869.088</v>
      </c>
    </row>
    <row r="23925">
      <c r="A23925" s="42">
        <f>_xlfn.XLOOKUP(84817,Trip[shape_id],Trip[shape_id],"Não encontrado")</f>
        <v/>
      </c>
      <c r="B23925" s="43" t="n">
        <v>-23.598502</v>
      </c>
      <c r="C23925" s="43" t="n">
        <v>-46.538738</v>
      </c>
      <c r="D23925" s="43" t="n">
        <v>648</v>
      </c>
      <c r="E23925" s="44" t="n">
        <v>18881.045</v>
      </c>
    </row>
    <row r="23926">
      <c r="A23926" s="39">
        <f>_xlfn.XLOOKUP(84817,Trip[shape_id],Trip[shape_id],"Não encontrado")</f>
        <v/>
      </c>
      <c r="B23926" s="40" t="n">
        <v>-23.59857</v>
      </c>
      <c r="C23926" s="40" t="n">
        <v>-46.538647</v>
      </c>
      <c r="D23926" s="40" t="n">
        <v>649</v>
      </c>
      <c r="E23926" s="41" t="n">
        <v>18881.045</v>
      </c>
    </row>
    <row r="23927">
      <c r="A23927" s="42">
        <f>_xlfn.XLOOKUP(84817,Trip[shape_id],Trip[shape_id],"Não encontrado")</f>
        <v/>
      </c>
      <c r="B23927" s="43" t="n">
        <v>-23.599227</v>
      </c>
      <c r="C23927" s="43" t="n">
        <v>-46.538856</v>
      </c>
      <c r="D23927" s="43" t="n">
        <v>650</v>
      </c>
      <c r="E23927" s="44" t="n">
        <v>18956.871</v>
      </c>
    </row>
    <row r="23928">
      <c r="A23928" s="39">
        <f>_xlfn.XLOOKUP(84817,Trip[shape_id],Trip[shape_id],"Não encontrado")</f>
        <v/>
      </c>
      <c r="B23928" s="40" t="n">
        <v>-23.599827</v>
      </c>
      <c r="C23928" s="40" t="n">
        <v>-46.539044</v>
      </c>
      <c r="D23928" s="40" t="n">
        <v>651</v>
      </c>
      <c r="E23928" s="41" t="n">
        <v>19026.037</v>
      </c>
    </row>
    <row r="23929">
      <c r="A23929" s="42">
        <f>_xlfn.XLOOKUP(84817,Trip[shape_id],Trip[shape_id],"Não encontrado")</f>
        <v/>
      </c>
      <c r="B23929" s="43" t="n">
        <v>-23.599981</v>
      </c>
      <c r="C23929" s="43" t="n">
        <v>-46.539089</v>
      </c>
      <c r="D23929" s="43" t="n">
        <v>652</v>
      </c>
      <c r="E23929" s="44" t="n">
        <v>19043.701</v>
      </c>
    </row>
    <row r="23930">
      <c r="A23930" s="39">
        <f>_xlfn.XLOOKUP(84817,Trip[shape_id],Trip[shape_id],"Não encontrado")</f>
        <v/>
      </c>
      <c r="B23930" s="40" t="n">
        <v>-23.600584</v>
      </c>
      <c r="C23930" s="40" t="n">
        <v>-46.539254</v>
      </c>
      <c r="D23930" s="40" t="n">
        <v>653</v>
      </c>
      <c r="E23930" s="41" t="n">
        <v>19112.576</v>
      </c>
    </row>
    <row r="23931">
      <c r="A23931" s="42">
        <f>_xlfn.XLOOKUP(84817,Trip[shape_id],Trip[shape_id],"Não encontrado")</f>
        <v/>
      </c>
      <c r="B23931" s="43" t="n">
        <v>-23.600633</v>
      </c>
      <c r="C23931" s="43" t="n">
        <v>-46.539218</v>
      </c>
      <c r="D23931" s="43" t="n">
        <v>654</v>
      </c>
      <c r="E23931" s="44" t="n">
        <v>19144.609</v>
      </c>
    </row>
    <row r="23932">
      <c r="A23932" s="39">
        <f>_xlfn.XLOOKUP(84817,Trip[shape_id],Trip[shape_id],"Não encontrado")</f>
        <v/>
      </c>
      <c r="B23932" s="40" t="n">
        <v>-23.600858</v>
      </c>
      <c r="C23932" s="40" t="n">
        <v>-46.539166</v>
      </c>
      <c r="D23932" s="40" t="n">
        <v>655</v>
      </c>
      <c r="E23932" s="41" t="n">
        <v>19170.504</v>
      </c>
    </row>
    <row r="23933">
      <c r="A23933" s="42">
        <f>_xlfn.XLOOKUP(84817,Trip[shape_id],Trip[shape_id],"Não encontrado")</f>
        <v/>
      </c>
      <c r="B23933" s="43" t="n">
        <v>-23.601083</v>
      </c>
      <c r="C23933" s="43" t="n">
        <v>-46.539097</v>
      </c>
      <c r="D23933" s="43" t="n">
        <v>656</v>
      </c>
      <c r="E23933" s="44" t="n">
        <v>19216.971</v>
      </c>
    </row>
    <row r="23934">
      <c r="A23934" s="39">
        <f>_xlfn.XLOOKUP(84817,Trip[shape_id],Trip[shape_id],"Não encontrado")</f>
        <v/>
      </c>
      <c r="B23934" s="40" t="n">
        <v>-23.601459</v>
      </c>
      <c r="C23934" s="40" t="n">
        <v>-46.538895</v>
      </c>
      <c r="D23934" s="40" t="n">
        <v>657</v>
      </c>
      <c r="E23934" s="41" t="n">
        <v>19238.631</v>
      </c>
    </row>
    <row r="23935">
      <c r="A23935" s="42">
        <f>_xlfn.XLOOKUP(84817,Trip[shape_id],Trip[shape_id],"Não encontrado")</f>
        <v/>
      </c>
      <c r="B23935" s="43" t="n">
        <v>-23.60163</v>
      </c>
      <c r="C23935" s="43" t="n">
        <v>-46.538792</v>
      </c>
      <c r="D23935" s="43" t="n">
        <v>658</v>
      </c>
      <c r="E23935" s="44" t="n">
        <v>19246.957</v>
      </c>
    </row>
    <row r="23936">
      <c r="A23936" s="39">
        <f>_xlfn.XLOOKUP(84817,Trip[shape_id],Trip[shape_id],"Não encontrado")</f>
        <v/>
      </c>
      <c r="B23936" s="40" t="n">
        <v>-23.601695</v>
      </c>
      <c r="C23936" s="40" t="n">
        <v>-46.538751</v>
      </c>
      <c r="D23936" s="40" t="n">
        <v>659</v>
      </c>
      <c r="E23936" s="41" t="n">
        <v>19263.945</v>
      </c>
    </row>
    <row r="23937">
      <c r="A23937" s="42">
        <f>_xlfn.XLOOKUP(84817,Trip[shape_id],Trip[shape_id],"Não encontrado")</f>
        <v/>
      </c>
      <c r="B23937" s="43" t="n">
        <v>-23.601829</v>
      </c>
      <c r="C23937" s="43" t="n">
        <v>-46.53867</v>
      </c>
      <c r="D23937" s="43" t="n">
        <v>660</v>
      </c>
      <c r="E23937" s="44" t="n">
        <v>19263.945</v>
      </c>
    </row>
    <row r="23938">
      <c r="A23938" s="39">
        <f>_xlfn.XLOOKUP(84817,Trip[shape_id],Trip[shape_id],"Não encontrado")</f>
        <v/>
      </c>
      <c r="B23938" s="40" t="n">
        <v>-23.601733</v>
      </c>
      <c r="C23938" s="40" t="n">
        <v>-46.538887</v>
      </c>
      <c r="D23938" s="40" t="n">
        <v>661</v>
      </c>
      <c r="E23938" s="41" t="n">
        <v>19288.512</v>
      </c>
    </row>
    <row r="23939">
      <c r="A23939" s="42">
        <f>_xlfn.XLOOKUP(84817,Trip[shape_id],Trip[shape_id],"Não encontrado")</f>
        <v/>
      </c>
      <c r="B23939" s="43" t="n">
        <v>-23.601689</v>
      </c>
      <c r="C23939" s="43" t="n">
        <v>-46.539018</v>
      </c>
      <c r="D23939" s="43" t="n">
        <v>662</v>
      </c>
      <c r="E23939" s="44" t="n">
        <v>19302.742</v>
      </c>
    </row>
    <row r="23940">
      <c r="A23940" s="39">
        <f>_xlfn.XLOOKUP(84817,Trip[shape_id],Trip[shape_id],"Não encontrado")</f>
        <v/>
      </c>
      <c r="B23940" s="40" t="n">
        <v>-23.601642</v>
      </c>
      <c r="C23940" s="40" t="n">
        <v>-46.539223</v>
      </c>
      <c r="D23940" s="40" t="n">
        <v>663</v>
      </c>
      <c r="E23940" s="41" t="n">
        <v>19324.303</v>
      </c>
    </row>
    <row r="23941">
      <c r="A23941" s="42">
        <f>_xlfn.XLOOKUP(84817,Trip[shape_id],Trip[shape_id],"Não encontrado")</f>
        <v/>
      </c>
      <c r="B23941" s="43" t="n">
        <v>-23.601638</v>
      </c>
      <c r="C23941" s="43" t="n">
        <v>-46.539335</v>
      </c>
      <c r="D23941" s="43" t="n">
        <v>664</v>
      </c>
      <c r="E23941" s="44" t="n">
        <v>19335.742</v>
      </c>
    </row>
    <row r="23942">
      <c r="A23942" s="39">
        <f>_xlfn.XLOOKUP(84817,Trip[shape_id],Trip[shape_id],"Não encontrado")</f>
        <v/>
      </c>
      <c r="B23942" s="40" t="n">
        <v>-23.601636</v>
      </c>
      <c r="C23942" s="40" t="n">
        <v>-46.539373</v>
      </c>
      <c r="D23942" s="40" t="n">
        <v>665</v>
      </c>
      <c r="E23942" s="41" t="n">
        <v>19339.627</v>
      </c>
    </row>
    <row r="23943">
      <c r="A23943" s="42">
        <f>_xlfn.XLOOKUP(84817,Trip[shape_id],Trip[shape_id],"Não encontrado")</f>
        <v/>
      </c>
      <c r="B23943" s="43" t="n">
        <v>-23.601638</v>
      </c>
      <c r="C23943" s="43" t="n">
        <v>-46.539406</v>
      </c>
      <c r="D23943" s="43" t="n">
        <v>666</v>
      </c>
      <c r="E23943" s="44" t="n">
        <v>19343.004</v>
      </c>
    </row>
    <row r="23944">
      <c r="A23944" s="39">
        <f>_xlfn.XLOOKUP(84817,Trip[shape_id],Trip[shape_id],"Não encontrado")</f>
        <v/>
      </c>
      <c r="B23944" s="40" t="n">
        <v>-23.601654</v>
      </c>
      <c r="C23944" s="40" t="n">
        <v>-46.539576</v>
      </c>
      <c r="D23944" s="40" t="n">
        <v>667</v>
      </c>
      <c r="E23944" s="41" t="n">
        <v>19360.445</v>
      </c>
    </row>
    <row r="23945">
      <c r="A23945" s="42">
        <f>_xlfn.XLOOKUP(85855,Trip[shape_id],Trip[shape_id],"Não encontrado")</f>
        <v/>
      </c>
      <c r="B23945" s="43" t="n">
        <v>-23.51283</v>
      </c>
      <c r="C23945" s="43" t="n">
        <v>-46.565676</v>
      </c>
      <c r="D23945" s="43" t="n">
        <v>1</v>
      </c>
      <c r="E23945" s="44" t="n">
        <v>0</v>
      </c>
    </row>
    <row r="23946">
      <c r="A23946" s="39">
        <f>_xlfn.XLOOKUP(85855,Trip[shape_id],Trip[shape_id],"Não encontrado")</f>
        <v/>
      </c>
      <c r="B23946" s="40" t="n">
        <v>-23.512806</v>
      </c>
      <c r="C23946" s="40" t="n">
        <v>-46.566393</v>
      </c>
      <c r="D23946" s="40" t="n">
        <v>2</v>
      </c>
      <c r="E23946" s="41" t="n">
        <v>73.27628300000001</v>
      </c>
    </row>
    <row r="23947">
      <c r="A23947" s="42">
        <f>_xlfn.XLOOKUP(85855,Trip[shape_id],Trip[shape_id],"Não encontrado")</f>
        <v/>
      </c>
      <c r="B23947" s="43" t="n">
        <v>-23.512786</v>
      </c>
      <c r="C23947" s="43" t="n">
        <v>-46.567116</v>
      </c>
      <c r="D23947" s="43" t="n">
        <v>3</v>
      </c>
      <c r="E23947" s="44" t="n">
        <v>147.1503</v>
      </c>
    </row>
    <row r="23948">
      <c r="A23948" s="39">
        <f>_xlfn.XLOOKUP(85855,Trip[shape_id],Trip[shape_id],"Não encontrado")</f>
        <v/>
      </c>
      <c r="B23948" s="40" t="n">
        <v>-23.512282</v>
      </c>
      <c r="C23948" s="40" t="n">
        <v>-46.567111</v>
      </c>
      <c r="D23948" s="40" t="n">
        <v>4</v>
      </c>
      <c r="E23948" s="41" t="n">
        <v>202.97134</v>
      </c>
    </row>
    <row r="23949">
      <c r="A23949" s="42">
        <f>_xlfn.XLOOKUP(85855,Trip[shape_id],Trip[shape_id],"Não encontrado")</f>
        <v/>
      </c>
      <c r="B23949" s="43" t="n">
        <v>-23.512189</v>
      </c>
      <c r="C23949" s="43" t="n">
        <v>-46.566913</v>
      </c>
      <c r="D23949" s="43" t="n">
        <v>5</v>
      </c>
      <c r="E23949" s="44" t="n">
        <v>281.49646</v>
      </c>
    </row>
    <row r="23950">
      <c r="A23950" s="39">
        <f>_xlfn.XLOOKUP(85855,Trip[shape_id],Trip[shape_id],"Não encontrado")</f>
        <v/>
      </c>
      <c r="B23950" s="40" t="n">
        <v>-23.51196</v>
      </c>
      <c r="C23950" s="40" t="n">
        <v>-46.566426</v>
      </c>
      <c r="D23950" s="40" t="n">
        <v>6</v>
      </c>
      <c r="E23950" s="41" t="n">
        <v>281.49646</v>
      </c>
    </row>
    <row r="23951">
      <c r="A23951" s="42">
        <f>_xlfn.XLOOKUP(85855,Trip[shape_id],Trip[shape_id],"Não encontrado")</f>
        <v/>
      </c>
      <c r="B23951" s="43" t="n">
        <v>-23.511727</v>
      </c>
      <c r="C23951" s="43" t="n">
        <v>-46.56594</v>
      </c>
      <c r="D23951" s="43" t="n">
        <v>7</v>
      </c>
      <c r="E23951" s="44" t="n">
        <v>357.30588</v>
      </c>
    </row>
    <row r="23952">
      <c r="A23952" s="39">
        <f>_xlfn.XLOOKUP(85855,Trip[shape_id],Trip[shape_id],"Não encontrado")</f>
        <v/>
      </c>
      <c r="B23952" s="40" t="n">
        <v>-23.511645</v>
      </c>
      <c r="C23952" s="40" t="n">
        <v>-46.565767</v>
      </c>
      <c r="D23952" s="40" t="n">
        <v>8</v>
      </c>
      <c r="E23952" s="41" t="n">
        <v>357.30588</v>
      </c>
    </row>
    <row r="23953">
      <c r="A23953" s="42">
        <f>_xlfn.XLOOKUP(85855,Trip[shape_id],Trip[shape_id],"Não encontrado")</f>
        <v/>
      </c>
      <c r="B23953" s="43" t="n">
        <v>-23.511307</v>
      </c>
      <c r="C23953" s="43" t="n">
        <v>-46.565087</v>
      </c>
      <c r="D23953" s="43" t="n">
        <v>9</v>
      </c>
      <c r="E23953" s="44" t="n">
        <v>436.20193</v>
      </c>
    </row>
    <row r="23954">
      <c r="A23954" s="39">
        <f>_xlfn.XLOOKUP(85855,Trip[shape_id],Trip[shape_id],"Não encontrado")</f>
        <v/>
      </c>
      <c r="B23954" s="40" t="n">
        <v>-23.511191</v>
      </c>
      <c r="C23954" s="40" t="n">
        <v>-46.564823</v>
      </c>
      <c r="D23954" s="40" t="n">
        <v>10</v>
      </c>
      <c r="E23954" s="41" t="n">
        <v>476.97552</v>
      </c>
    </row>
    <row r="23955">
      <c r="A23955" s="42">
        <f>_xlfn.XLOOKUP(85855,Trip[shape_id],Trip[shape_id],"Não encontrado")</f>
        <v/>
      </c>
      <c r="B23955" s="43" t="n">
        <v>-23.511165</v>
      </c>
      <c r="C23955" s="43" t="n">
        <v>-46.56472</v>
      </c>
      <c r="D23955" s="43" t="n">
        <v>11</v>
      </c>
      <c r="E23955" s="44" t="n">
        <v>491.14301</v>
      </c>
    </row>
    <row r="23956">
      <c r="A23956" s="39">
        <f>_xlfn.XLOOKUP(85855,Trip[shape_id],Trip[shape_id],"Não encontrado")</f>
        <v/>
      </c>
      <c r="B23956" s="40" t="n">
        <v>-23.511178</v>
      </c>
      <c r="C23956" s="40" t="n">
        <v>-46.564582</v>
      </c>
      <c r="D23956" s="40" t="n">
        <v>12</v>
      </c>
      <c r="E23956" s="41" t="n">
        <v>503.58627</v>
      </c>
    </row>
    <row r="23957">
      <c r="A23957" s="42">
        <f>_xlfn.XLOOKUP(85855,Trip[shape_id],Trip[shape_id],"Não encontrado")</f>
        <v/>
      </c>
      <c r="B23957" s="43" t="n">
        <v>-23.51123</v>
      </c>
      <c r="C23957" s="43" t="n">
        <v>-46.564474</v>
      </c>
      <c r="D23957" s="43" t="n">
        <v>13</v>
      </c>
      <c r="E23957" s="44" t="n">
        <v>516.36603</v>
      </c>
    </row>
    <row r="23958">
      <c r="A23958" s="39">
        <f>_xlfn.XLOOKUP(85855,Trip[shape_id],Trip[shape_id],"Não encontrado")</f>
        <v/>
      </c>
      <c r="B23958" s="40" t="n">
        <v>-23.511285</v>
      </c>
      <c r="C23958" s="40" t="n">
        <v>-46.564364</v>
      </c>
      <c r="D23958" s="40" t="n">
        <v>14</v>
      </c>
      <c r="E23958" s="41" t="n">
        <v>516.36603</v>
      </c>
    </row>
    <row r="23959">
      <c r="A23959" s="42">
        <f>_xlfn.XLOOKUP(85855,Trip[shape_id],Trip[shape_id],"Não encontrado")</f>
        <v/>
      </c>
      <c r="B23959" s="43" t="n">
        <v>-23.51146</v>
      </c>
      <c r="C23959" s="43" t="n">
        <v>-46.563969</v>
      </c>
      <c r="D23959" s="43" t="n">
        <v>15</v>
      </c>
      <c r="E23959" s="44" t="n">
        <v>582.87219</v>
      </c>
    </row>
    <row r="23960">
      <c r="A23960" s="39">
        <f>_xlfn.XLOOKUP(85855,Trip[shape_id],Trip[shape_id],"Não encontrado")</f>
        <v/>
      </c>
      <c r="B23960" s="40" t="n">
        <v>-23.511541</v>
      </c>
      <c r="C23960" s="40" t="n">
        <v>-46.563775</v>
      </c>
      <c r="D23960" s="40" t="n">
        <v>16</v>
      </c>
      <c r="E23960" s="41" t="n">
        <v>582.87219</v>
      </c>
    </row>
    <row r="23961">
      <c r="A23961" s="42">
        <f>_xlfn.XLOOKUP(85855,Trip[shape_id],Trip[shape_id],"Não encontrado")</f>
        <v/>
      </c>
      <c r="B23961" s="43" t="n">
        <v>-23.511647</v>
      </c>
      <c r="C23961" s="43" t="n">
        <v>-46.563539</v>
      </c>
      <c r="D23961" s="43" t="n">
        <v>17</v>
      </c>
      <c r="E23961" s="44" t="n">
        <v>609.68231</v>
      </c>
    </row>
    <row r="23962">
      <c r="A23962" s="39">
        <f>_xlfn.XLOOKUP(85855,Trip[shape_id],Trip[shape_id],"Não encontrado")</f>
        <v/>
      </c>
      <c r="B23962" s="40" t="n">
        <v>-23.512092</v>
      </c>
      <c r="C23962" s="40" t="n">
        <v>-46.563297</v>
      </c>
      <c r="D23962" s="40" t="n">
        <v>18</v>
      </c>
      <c r="E23962" s="41" t="n">
        <v>664.81683</v>
      </c>
    </row>
    <row r="23963">
      <c r="A23963" s="42">
        <f>_xlfn.XLOOKUP(85855,Trip[shape_id],Trip[shape_id],"Não encontrado")</f>
        <v/>
      </c>
      <c r="B23963" s="43" t="n">
        <v>-23.512133</v>
      </c>
      <c r="C23963" s="43" t="n">
        <v>-46.563216</v>
      </c>
      <c r="D23963" s="43" t="n">
        <v>19</v>
      </c>
      <c r="E23963" s="44" t="n">
        <v>674.25378</v>
      </c>
    </row>
    <row r="23964">
      <c r="A23964" s="39">
        <f>_xlfn.XLOOKUP(85855,Trip[shape_id],Trip[shape_id],"Não encontrado")</f>
        <v/>
      </c>
      <c r="B23964" s="40" t="n">
        <v>-23.511986</v>
      </c>
      <c r="C23964" s="40" t="n">
        <v>-46.563153</v>
      </c>
      <c r="D23964" s="40" t="n">
        <v>20</v>
      </c>
      <c r="E23964" s="41" t="n">
        <v>691.75946</v>
      </c>
    </row>
    <row r="23965">
      <c r="A23965" s="42">
        <f>_xlfn.XLOOKUP(85855,Trip[shape_id],Trip[shape_id],"Não encontrado")</f>
        <v/>
      </c>
      <c r="B23965" s="43" t="n">
        <v>-23.511758</v>
      </c>
      <c r="C23965" s="43" t="n">
        <v>-46.563082</v>
      </c>
      <c r="D23965" s="43" t="n">
        <v>21</v>
      </c>
      <c r="E23965" s="44" t="n">
        <v>718.03119</v>
      </c>
    </row>
    <row r="23966">
      <c r="A23966" s="39">
        <f>_xlfn.XLOOKUP(85855,Trip[shape_id],Trip[shape_id],"Não encontrado")</f>
        <v/>
      </c>
      <c r="B23966" s="40" t="n">
        <v>-23.511621</v>
      </c>
      <c r="C23966" s="40" t="n">
        <v>-46.563043</v>
      </c>
      <c r="D23966" s="40" t="n">
        <v>22</v>
      </c>
      <c r="E23966" s="41" t="n">
        <v>740.78033</v>
      </c>
    </row>
    <row r="23967">
      <c r="A23967" s="42">
        <f>_xlfn.XLOOKUP(85855,Trip[shape_id],Trip[shape_id],"Não encontrado")</f>
        <v/>
      </c>
      <c r="B23967" s="43" t="n">
        <v>-23.511564</v>
      </c>
      <c r="C23967" s="43" t="n">
        <v>-46.563012</v>
      </c>
      <c r="D23967" s="43" t="n">
        <v>23</v>
      </c>
      <c r="E23967" s="44" t="n">
        <v>745.3215300000001</v>
      </c>
    </row>
    <row r="23968">
      <c r="A23968" s="39">
        <f>_xlfn.XLOOKUP(85855,Trip[shape_id],Trip[shape_id],"Não encontrado")</f>
        <v/>
      </c>
      <c r="B23968" s="40" t="n">
        <v>-23.511523</v>
      </c>
      <c r="C23968" s="40" t="n">
        <v>-46.563012</v>
      </c>
      <c r="D23968" s="40" t="n">
        <v>24</v>
      </c>
      <c r="E23968" s="41" t="n">
        <v>760.0416300000001</v>
      </c>
    </row>
    <row r="23969">
      <c r="A23969" s="42">
        <f>_xlfn.XLOOKUP(85855,Trip[shape_id],Trip[shape_id],"Não encontrado")</f>
        <v/>
      </c>
      <c r="B23969" s="43" t="n">
        <v>-23.511393</v>
      </c>
      <c r="C23969" s="43" t="n">
        <v>-46.562982</v>
      </c>
      <c r="D23969" s="43" t="n">
        <v>25</v>
      </c>
      <c r="E23969" s="44" t="n">
        <v>776.11707</v>
      </c>
    </row>
    <row r="23970">
      <c r="A23970" s="39">
        <f>_xlfn.XLOOKUP(85855,Trip[shape_id],Trip[shape_id],"Não encontrado")</f>
        <v/>
      </c>
      <c r="B23970" s="40" t="n">
        <v>-23.51125</v>
      </c>
      <c r="C23970" s="40" t="n">
        <v>-46.562955</v>
      </c>
      <c r="D23970" s="40" t="n">
        <v>26</v>
      </c>
      <c r="E23970" s="41" t="n">
        <v>870.5316800000001</v>
      </c>
    </row>
    <row r="23971">
      <c r="A23971" s="42">
        <f>_xlfn.XLOOKUP(85855,Trip[shape_id],Trip[shape_id],"Não encontrado")</f>
        <v/>
      </c>
      <c r="B23971" s="43" t="n">
        <v>-23.510422</v>
      </c>
      <c r="C23971" s="43" t="n">
        <v>-46.562735</v>
      </c>
      <c r="D23971" s="43" t="n">
        <v>27</v>
      </c>
      <c r="E23971" s="44" t="n">
        <v>870.5316800000001</v>
      </c>
    </row>
    <row r="23972">
      <c r="A23972" s="39">
        <f>_xlfn.XLOOKUP(85855,Trip[shape_id],Trip[shape_id],"Não encontrado")</f>
        <v/>
      </c>
      <c r="B23972" s="40" t="n">
        <v>-23.509754</v>
      </c>
      <c r="C23972" s="40" t="n">
        <v>-46.562517</v>
      </c>
      <c r="D23972" s="40" t="n">
        <v>28</v>
      </c>
      <c r="E23972" s="41" t="n">
        <v>947.79126</v>
      </c>
    </row>
    <row r="23973">
      <c r="A23973" s="42">
        <f>_xlfn.XLOOKUP(85855,Trip[shape_id],Trip[shape_id],"Não encontrado")</f>
        <v/>
      </c>
      <c r="B23973" s="43" t="n">
        <v>-23.509506</v>
      </c>
      <c r="C23973" s="43" t="n">
        <v>-46.562449</v>
      </c>
      <c r="D23973" s="43" t="n">
        <v>29</v>
      </c>
      <c r="E23973" s="44" t="n">
        <v>1014.7423</v>
      </c>
    </row>
    <row r="23974">
      <c r="A23974" s="39">
        <f>_xlfn.XLOOKUP(85855,Trip[shape_id],Trip[shape_id],"Não encontrado")</f>
        <v/>
      </c>
      <c r="B23974" s="40" t="n">
        <v>-23.509168</v>
      </c>
      <c r="C23974" s="40" t="n">
        <v>-46.562356</v>
      </c>
      <c r="D23974" s="40" t="n">
        <v>30</v>
      </c>
      <c r="E23974" s="41" t="n">
        <v>1021.6461</v>
      </c>
    </row>
    <row r="23975">
      <c r="A23975" s="42">
        <f>_xlfn.XLOOKUP(85855,Trip[shape_id],Trip[shape_id],"Não encontrado")</f>
        <v/>
      </c>
      <c r="B23975" s="43" t="n">
        <v>-23.509106</v>
      </c>
      <c r="C23975" s="43" t="n">
        <v>-46.562363</v>
      </c>
      <c r="D23975" s="43" t="n">
        <v>31</v>
      </c>
      <c r="E23975" s="44" t="n">
        <v>1033.0869</v>
      </c>
    </row>
    <row r="23976">
      <c r="A23976" s="39">
        <f>_xlfn.XLOOKUP(85855,Trip[shape_id],Trip[shape_id],"Não encontrado")</f>
        <v/>
      </c>
      <c r="B23976" s="40" t="n">
        <v>-23.509011</v>
      </c>
      <c r="C23976" s="40" t="n">
        <v>-46.562407</v>
      </c>
      <c r="D23976" s="40" t="n">
        <v>32</v>
      </c>
      <c r="E23976" s="41" t="n">
        <v>1033.0869</v>
      </c>
    </row>
    <row r="23977">
      <c r="A23977" s="42">
        <f>_xlfn.XLOOKUP(85855,Trip[shape_id],Trip[shape_id],"Não encontrado")</f>
        <v/>
      </c>
      <c r="B23977" s="43" t="n">
        <v>-23.508927</v>
      </c>
      <c r="C23977" s="43" t="n">
        <v>-46.562496</v>
      </c>
      <c r="D23977" s="43" t="n">
        <v>33</v>
      </c>
      <c r="E23977" s="44" t="n">
        <v>1056.6476</v>
      </c>
    </row>
    <row r="23978">
      <c r="A23978" s="39">
        <f>_xlfn.XLOOKUP(85855,Trip[shape_id],Trip[shape_id],"Não encontrado")</f>
        <v/>
      </c>
      <c r="B23978" s="40" t="n">
        <v>-23.508869</v>
      </c>
      <c r="C23978" s="40" t="n">
        <v>-46.562578</v>
      </c>
      <c r="D23978" s="40" t="n">
        <v>34</v>
      </c>
      <c r="E23978" s="41" t="n">
        <v>1131.5444</v>
      </c>
    </row>
    <row r="23979">
      <c r="A23979" s="42">
        <f>_xlfn.XLOOKUP(85855,Trip[shape_id],Trip[shape_id],"Não encontrado")</f>
        <v/>
      </c>
      <c r="B23979" s="43" t="n">
        <v>-23.50846</v>
      </c>
      <c r="C23979" s="43" t="n">
        <v>-46.563162</v>
      </c>
      <c r="D23979" s="43" t="n">
        <v>35</v>
      </c>
      <c r="E23979" s="44" t="n">
        <v>1131.5444</v>
      </c>
    </row>
    <row r="23980">
      <c r="A23980" s="39">
        <f>_xlfn.XLOOKUP(85855,Trip[shape_id],Trip[shape_id],"Não encontrado")</f>
        <v/>
      </c>
      <c r="B23980" s="40" t="n">
        <v>-23.508557</v>
      </c>
      <c r="C23980" s="40" t="n">
        <v>-46.563514</v>
      </c>
      <c r="D23980" s="40" t="n">
        <v>36</v>
      </c>
      <c r="E23980" s="41" t="n">
        <v>1169.0664</v>
      </c>
    </row>
    <row r="23981">
      <c r="A23981" s="42">
        <f>_xlfn.XLOOKUP(85855,Trip[shape_id],Trip[shape_id],"Não encontrado")</f>
        <v/>
      </c>
      <c r="B23981" s="43" t="n">
        <v>-23.5087</v>
      </c>
      <c r="C23981" s="43" t="n">
        <v>-46.564219</v>
      </c>
      <c r="D23981" s="43" t="n">
        <v>37</v>
      </c>
      <c r="E23981" s="44" t="n">
        <v>1242.7924</v>
      </c>
    </row>
    <row r="23982">
      <c r="A23982" s="39">
        <f>_xlfn.XLOOKUP(85855,Trip[shape_id],Trip[shape_id],"Não encontrado")</f>
        <v/>
      </c>
      <c r="B23982" s="40" t="n">
        <v>-23.508606</v>
      </c>
      <c r="C23982" s="40" t="n">
        <v>-46.565072</v>
      </c>
      <c r="D23982" s="40" t="n">
        <v>38</v>
      </c>
      <c r="E23982" s="41" t="n">
        <v>1330.5327</v>
      </c>
    </row>
    <row r="23983">
      <c r="A23983" s="42">
        <f>_xlfn.XLOOKUP(85855,Trip[shape_id],Trip[shape_id],"Não encontrado")</f>
        <v/>
      </c>
      <c r="B23983" s="43" t="n">
        <v>-23.508586</v>
      </c>
      <c r="C23983" s="43" t="n">
        <v>-46.565249</v>
      </c>
      <c r="D23983" s="43" t="n">
        <v>39</v>
      </c>
      <c r="E23983" s="44" t="n">
        <v>1348.7457</v>
      </c>
    </row>
    <row r="23984">
      <c r="A23984" s="39">
        <f>_xlfn.XLOOKUP(85855,Trip[shape_id],Trip[shape_id],"Não encontrado")</f>
        <v/>
      </c>
      <c r="B23984" s="40" t="n">
        <v>-23.508469</v>
      </c>
      <c r="C23984" s="40" t="n">
        <v>-46.566193</v>
      </c>
      <c r="D23984" s="40" t="n">
        <v>40</v>
      </c>
      <c r="E23984" s="41" t="n">
        <v>1446.0276</v>
      </c>
    </row>
    <row r="23985">
      <c r="A23985" s="42">
        <f>_xlfn.XLOOKUP(85855,Trip[shape_id],Trip[shape_id],"Não encontrado")</f>
        <v/>
      </c>
      <c r="B23985" s="43" t="n">
        <v>-23.508092</v>
      </c>
      <c r="C23985" s="43" t="n">
        <v>-46.566157</v>
      </c>
      <c r="D23985" s="43" t="n">
        <v>41</v>
      </c>
      <c r="E23985" s="44" t="n">
        <v>1487.9424</v>
      </c>
    </row>
    <row r="23986">
      <c r="A23986" s="39">
        <f>_xlfn.XLOOKUP(85855,Trip[shape_id],Trip[shape_id],"Não encontrado")</f>
        <v/>
      </c>
      <c r="B23986" s="40" t="n">
        <v>-23.50807</v>
      </c>
      <c r="C23986" s="40" t="n">
        <v>-46.566908</v>
      </c>
      <c r="D23986" s="40" t="n">
        <v>42</v>
      </c>
      <c r="E23986" s="41" t="n">
        <v>1564.6843</v>
      </c>
    </row>
    <row r="23987">
      <c r="A23987" s="42">
        <f>_xlfn.XLOOKUP(85855,Trip[shape_id],Trip[shape_id],"Não encontrado")</f>
        <v/>
      </c>
      <c r="B23987" s="43" t="n">
        <v>-23.508048</v>
      </c>
      <c r="C23987" s="43" t="n">
        <v>-46.567697</v>
      </c>
      <c r="D23987" s="43" t="n">
        <v>43</v>
      </c>
      <c r="E23987" s="44" t="n">
        <v>1645.3055</v>
      </c>
    </row>
    <row r="23988">
      <c r="A23988" s="39">
        <f>_xlfn.XLOOKUP(85855,Trip[shape_id],Trip[shape_id],"Não encontrado")</f>
        <v/>
      </c>
      <c r="B23988" s="40" t="n">
        <v>-23.508041</v>
      </c>
      <c r="C23988" s="40" t="n">
        <v>-46.567836</v>
      </c>
      <c r="D23988" s="40" t="n">
        <v>44</v>
      </c>
      <c r="E23988" s="41" t="n">
        <v>1659.5236</v>
      </c>
    </row>
    <row r="23989">
      <c r="A23989" s="42">
        <f>_xlfn.XLOOKUP(85855,Trip[shape_id],Trip[shape_id],"Não encontrado")</f>
        <v/>
      </c>
      <c r="B23989" s="43" t="n">
        <v>-23.509297</v>
      </c>
      <c r="C23989" s="43" t="n">
        <v>-46.567882</v>
      </c>
      <c r="D23989" s="43" t="n">
        <v>45</v>
      </c>
      <c r="E23989" s="44" t="n">
        <v>1798.7063</v>
      </c>
    </row>
    <row r="23990">
      <c r="A23990" s="39">
        <f>_xlfn.XLOOKUP(85855,Trip[shape_id],Trip[shape_id],"Não encontrado")</f>
        <v/>
      </c>
      <c r="B23990" s="40" t="n">
        <v>-23.510282</v>
      </c>
      <c r="C23990" s="40" t="n">
        <v>-46.567908</v>
      </c>
      <c r="D23990" s="40" t="n">
        <v>46</v>
      </c>
      <c r="E23990" s="41" t="n">
        <v>1907.8285</v>
      </c>
    </row>
    <row r="23991">
      <c r="A23991" s="42">
        <f>_xlfn.XLOOKUP(85855,Trip[shape_id],Trip[shape_id],"Não encontrado")</f>
        <v/>
      </c>
      <c r="B23991" s="43" t="n">
        <v>-23.510631</v>
      </c>
      <c r="C23991" s="43" t="n">
        <v>-46.567929</v>
      </c>
      <c r="D23991" s="43" t="n">
        <v>47</v>
      </c>
      <c r="E23991" s="44" t="n">
        <v>1946.54</v>
      </c>
    </row>
    <row r="23992">
      <c r="A23992" s="39">
        <f>_xlfn.XLOOKUP(85855,Trip[shape_id],Trip[shape_id],"Não encontrado")</f>
        <v/>
      </c>
      <c r="B23992" s="40" t="n">
        <v>-23.510916</v>
      </c>
      <c r="C23992" s="40" t="n">
        <v>-46.567946</v>
      </c>
      <c r="D23992" s="40" t="n">
        <v>48</v>
      </c>
      <c r="E23992" s="41" t="n">
        <v>1978.1517</v>
      </c>
    </row>
    <row r="23993">
      <c r="A23993" s="42">
        <f>_xlfn.XLOOKUP(85855,Trip[shape_id],Trip[shape_id],"Não encontrado")</f>
        <v/>
      </c>
      <c r="B23993" s="43" t="n">
        <v>-23.511741</v>
      </c>
      <c r="C23993" s="43" t="n">
        <v>-46.567958</v>
      </c>
      <c r="D23993" s="43" t="n">
        <v>49</v>
      </c>
      <c r="E23993" s="44" t="n">
        <v>2069.5298</v>
      </c>
    </row>
    <row r="23994">
      <c r="A23994" s="39">
        <f>_xlfn.XLOOKUP(85855,Trip[shape_id],Trip[shape_id],"Não encontrado")</f>
        <v/>
      </c>
      <c r="B23994" s="40" t="n">
        <v>-23.512765</v>
      </c>
      <c r="C23994" s="40" t="n">
        <v>-46.568006</v>
      </c>
      <c r="D23994" s="40" t="n">
        <v>50</v>
      </c>
      <c r="E23994" s="41" t="n">
        <v>2183.0449</v>
      </c>
    </row>
    <row r="23995">
      <c r="A23995" s="42">
        <f>_xlfn.XLOOKUP(85855,Trip[shape_id],Trip[shape_id],"Não encontrado")</f>
        <v/>
      </c>
      <c r="B23995" s="43" t="n">
        <v>-23.513975</v>
      </c>
      <c r="C23995" s="43" t="n">
        <v>-46.568048</v>
      </c>
      <c r="D23995" s="43" t="n">
        <v>51</v>
      </c>
      <c r="E23995" s="44" t="n">
        <v>2317.1226</v>
      </c>
    </row>
    <row r="23996">
      <c r="A23996" s="39">
        <f>_xlfn.XLOOKUP(85855,Trip[shape_id],Trip[shape_id],"Não encontrado")</f>
        <v/>
      </c>
      <c r="B23996" s="40" t="n">
        <v>-23.515477</v>
      </c>
      <c r="C23996" s="40" t="n">
        <v>-46.568088</v>
      </c>
      <c r="D23996" s="40" t="n">
        <v>52</v>
      </c>
      <c r="E23996" s="41" t="n">
        <v>2483.521</v>
      </c>
    </row>
    <row r="23997">
      <c r="A23997" s="42">
        <f>_xlfn.XLOOKUP(85855,Trip[shape_id],Trip[shape_id],"Não encontrado")</f>
        <v/>
      </c>
      <c r="B23997" s="43" t="n">
        <v>-23.515613</v>
      </c>
      <c r="C23997" s="43" t="n">
        <v>-46.568088</v>
      </c>
      <c r="D23997" s="43" t="n">
        <v>53</v>
      </c>
      <c r="E23997" s="44" t="n">
        <v>2498.583</v>
      </c>
    </row>
    <row r="23998">
      <c r="A23998" s="39">
        <f>_xlfn.XLOOKUP(85855,Trip[shape_id],Trip[shape_id],"Não encontrado")</f>
        <v/>
      </c>
      <c r="B23998" s="40" t="n">
        <v>-23.515887</v>
      </c>
      <c r="C23998" s="40" t="n">
        <v>-46.568099</v>
      </c>
      <c r="D23998" s="40" t="n">
        <v>54</v>
      </c>
      <c r="E23998" s="41" t="n">
        <v>2528.9497</v>
      </c>
    </row>
    <row r="23999">
      <c r="A23999" s="42">
        <f>_xlfn.XLOOKUP(85855,Trip[shape_id],Trip[shape_id],"Não encontrado")</f>
        <v/>
      </c>
      <c r="B23999" s="43" t="n">
        <v>-23.51642</v>
      </c>
      <c r="C23999" s="43" t="n">
        <v>-46.568115</v>
      </c>
      <c r="D23999" s="43" t="n">
        <v>55</v>
      </c>
      <c r="E23999" s="44" t="n">
        <v>2588.0027</v>
      </c>
    </row>
    <row r="24000">
      <c r="A24000" s="39">
        <f>_xlfn.XLOOKUP(85855,Trip[shape_id],Trip[shape_id],"Não encontrado")</f>
        <v/>
      </c>
      <c r="B24000" s="40" t="n">
        <v>-23.516497</v>
      </c>
      <c r="C24000" s="40" t="n">
        <v>-46.568297</v>
      </c>
      <c r="D24000" s="40" t="n">
        <v>56</v>
      </c>
      <c r="E24000" s="41" t="n">
        <v>2608.4529</v>
      </c>
    </row>
    <row r="24001">
      <c r="A24001" s="42">
        <f>_xlfn.XLOOKUP(85855,Trip[shape_id],Trip[shape_id],"Não encontrado")</f>
        <v/>
      </c>
      <c r="B24001" s="43" t="n">
        <v>-23.516559</v>
      </c>
      <c r="C24001" s="43" t="n">
        <v>-46.568355</v>
      </c>
      <c r="D24001" s="43" t="n">
        <v>57</v>
      </c>
      <c r="E24001" s="44" t="n">
        <v>2617.5215</v>
      </c>
    </row>
    <row r="24002">
      <c r="A24002" s="39">
        <f>_xlfn.XLOOKUP(85855,Trip[shape_id],Trip[shape_id],"Não encontrado")</f>
        <v/>
      </c>
      <c r="B24002" s="40" t="n">
        <v>-23.516611</v>
      </c>
      <c r="C24002" s="40" t="n">
        <v>-46.568402</v>
      </c>
      <c r="D24002" s="40" t="n">
        <v>58</v>
      </c>
      <c r="E24002" s="41" t="n">
        <v>2625.019</v>
      </c>
    </row>
    <row r="24003">
      <c r="A24003" s="42">
        <f>_xlfn.XLOOKUP(85855,Trip[shape_id],Trip[shape_id],"Não encontrado")</f>
        <v/>
      </c>
      <c r="B24003" s="43" t="n">
        <v>-23.516656</v>
      </c>
      <c r="C24003" s="43" t="n">
        <v>-46.568442</v>
      </c>
      <c r="D24003" s="43" t="n">
        <v>59</v>
      </c>
      <c r="E24003" s="44" t="n">
        <v>2631.4626</v>
      </c>
    </row>
    <row r="24004">
      <c r="A24004" s="39">
        <f>_xlfn.XLOOKUP(85855,Trip[shape_id],Trip[shape_id],"Não encontrado")</f>
        <v/>
      </c>
      <c r="B24004" s="40" t="n">
        <v>-23.516687</v>
      </c>
      <c r="C24004" s="40" t="n">
        <v>-46.568447</v>
      </c>
      <c r="D24004" s="40" t="n">
        <v>60</v>
      </c>
      <c r="E24004" s="41" t="n">
        <v>2634.9348</v>
      </c>
    </row>
    <row r="24005">
      <c r="A24005" s="42">
        <f>_xlfn.XLOOKUP(85855,Trip[shape_id],Trip[shape_id],"Não encontrado")</f>
        <v/>
      </c>
      <c r="B24005" s="43" t="n">
        <v>-23.516775</v>
      </c>
      <c r="C24005" s="43" t="n">
        <v>-46.568458</v>
      </c>
      <c r="D24005" s="43" t="n">
        <v>61</v>
      </c>
      <c r="E24005" s="44" t="n">
        <v>2644.7451</v>
      </c>
    </row>
    <row r="24006">
      <c r="A24006" s="39">
        <f>_xlfn.XLOOKUP(85855,Trip[shape_id],Trip[shape_id],"Não encontrado")</f>
        <v/>
      </c>
      <c r="B24006" s="40" t="n">
        <v>-23.516824</v>
      </c>
      <c r="C24006" s="40" t="n">
        <v>-46.568466</v>
      </c>
      <c r="D24006" s="40" t="n">
        <v>62</v>
      </c>
      <c r="E24006" s="41" t="n">
        <v>2650.2324</v>
      </c>
    </row>
    <row r="24007">
      <c r="A24007" s="42">
        <f>_xlfn.XLOOKUP(85855,Trip[shape_id],Trip[shape_id],"Não encontrado")</f>
        <v/>
      </c>
      <c r="B24007" s="43" t="n">
        <v>-23.516908</v>
      </c>
      <c r="C24007" s="43" t="n">
        <v>-46.568477</v>
      </c>
      <c r="D24007" s="43" t="n">
        <v>63</v>
      </c>
      <c r="E24007" s="44" t="n">
        <v>2659.6035</v>
      </c>
    </row>
    <row r="24008">
      <c r="A24008" s="39">
        <f>_xlfn.XLOOKUP(85855,Trip[shape_id],Trip[shape_id],"Não encontrado")</f>
        <v/>
      </c>
      <c r="B24008" s="40" t="n">
        <v>-23.517493</v>
      </c>
      <c r="C24008" s="40" t="n">
        <v>-46.568506</v>
      </c>
      <c r="D24008" s="40" t="n">
        <v>64</v>
      </c>
      <c r="E24008" s="41" t="n">
        <v>2724.4607</v>
      </c>
    </row>
    <row r="24009">
      <c r="A24009" s="42">
        <f>_xlfn.XLOOKUP(85855,Trip[shape_id],Trip[shape_id],"Não encontrado")</f>
        <v/>
      </c>
      <c r="B24009" s="43" t="n">
        <v>-23.517946</v>
      </c>
      <c r="C24009" s="43" t="n">
        <v>-46.568523</v>
      </c>
      <c r="D24009" s="43" t="n">
        <v>65</v>
      </c>
      <c r="E24009" s="44" t="n">
        <v>2774.6611</v>
      </c>
    </row>
    <row r="24010">
      <c r="A24010" s="39">
        <f>_xlfn.XLOOKUP(85855,Trip[shape_id],Trip[shape_id],"Não encontrado")</f>
        <v/>
      </c>
      <c r="B24010" s="40" t="n">
        <v>-23.518136</v>
      </c>
      <c r="C24010" s="40" t="n">
        <v>-46.568407</v>
      </c>
      <c r="D24010" s="40" t="n">
        <v>66</v>
      </c>
      <c r="E24010" s="41" t="n">
        <v>2809.0579</v>
      </c>
    </row>
    <row r="24011">
      <c r="A24011" s="42">
        <f>_xlfn.XLOOKUP(85855,Trip[shape_id],Trip[shape_id],"Não encontrado")</f>
        <v/>
      </c>
      <c r="B24011" s="43" t="n">
        <v>-23.518188</v>
      </c>
      <c r="C24011" s="43" t="n">
        <v>-46.568324</v>
      </c>
      <c r="D24011" s="43" t="n">
        <v>67</v>
      </c>
      <c r="E24011" s="44" t="n">
        <v>2826.449</v>
      </c>
    </row>
    <row r="24012">
      <c r="A24012" s="39">
        <f>_xlfn.XLOOKUP(85855,Trip[shape_id],Trip[shape_id],"Não encontrado")</f>
        <v/>
      </c>
      <c r="B24012" s="40" t="n">
        <v>-23.51828</v>
      </c>
      <c r="C24012" s="40" t="n">
        <v>-46.568186</v>
      </c>
      <c r="D24012" s="40" t="n">
        <v>68</v>
      </c>
      <c r="E24012" s="41" t="n">
        <v>2826.449</v>
      </c>
    </row>
    <row r="24013">
      <c r="A24013" s="42">
        <f>_xlfn.XLOOKUP(85855,Trip[shape_id],Trip[shape_id],"Não encontrado")</f>
        <v/>
      </c>
      <c r="B24013" s="43" t="n">
        <v>-23.518284</v>
      </c>
      <c r="C24013" s="43" t="n">
        <v>-46.568046</v>
      </c>
      <c r="D24013" s="43" t="n">
        <v>69</v>
      </c>
      <c r="E24013" s="44" t="n">
        <v>2840.7539</v>
      </c>
    </row>
    <row r="24014">
      <c r="A24014" s="39">
        <f>_xlfn.XLOOKUP(85855,Trip[shape_id],Trip[shape_id],"Não encontrado")</f>
        <v/>
      </c>
      <c r="B24014" s="40" t="n">
        <v>-23.518167</v>
      </c>
      <c r="C24014" s="40" t="n">
        <v>-46.567808</v>
      </c>
      <c r="D24014" s="40" t="n">
        <v>70</v>
      </c>
      <c r="E24014" s="41" t="n">
        <v>2896.1226</v>
      </c>
    </row>
    <row r="24015">
      <c r="A24015" s="42">
        <f>_xlfn.XLOOKUP(85855,Trip[shape_id],Trip[shape_id],"Não encontrado")</f>
        <v/>
      </c>
      <c r="B24015" s="43" t="n">
        <v>-23.517941</v>
      </c>
      <c r="C24015" s="43" t="n">
        <v>-46.567689</v>
      </c>
      <c r="D24015" s="43" t="n">
        <v>71</v>
      </c>
      <c r="E24015" s="44" t="n">
        <v>2896.1226</v>
      </c>
    </row>
    <row r="24016">
      <c r="A24016" s="39">
        <f>_xlfn.XLOOKUP(85855,Trip[shape_id],Trip[shape_id],"Não encontrado")</f>
        <v/>
      </c>
      <c r="B24016" s="40" t="n">
        <v>-23.518241</v>
      </c>
      <c r="C24016" s="40" t="n">
        <v>-46.567392</v>
      </c>
      <c r="D24016" s="40" t="n">
        <v>72</v>
      </c>
      <c r="E24016" s="41" t="n">
        <v>2998.616</v>
      </c>
    </row>
    <row r="24017">
      <c r="A24017" s="42">
        <f>_xlfn.XLOOKUP(85855,Trip[shape_id],Trip[shape_id],"Não encontrado")</f>
        <v/>
      </c>
      <c r="B24017" s="43" t="n">
        <v>-23.518625</v>
      </c>
      <c r="C24017" s="43" t="n">
        <v>-46.567013</v>
      </c>
      <c r="D24017" s="43" t="n">
        <v>73</v>
      </c>
      <c r="E24017" s="44" t="n">
        <v>2998.616</v>
      </c>
    </row>
    <row r="24018">
      <c r="A24018" s="39">
        <f>_xlfn.XLOOKUP(85855,Trip[shape_id],Trip[shape_id],"Não encontrado")</f>
        <v/>
      </c>
      <c r="B24018" s="40" t="n">
        <v>-23.518746</v>
      </c>
      <c r="C24018" s="40" t="n">
        <v>-46.566913</v>
      </c>
      <c r="D24018" s="40" t="n">
        <v>74</v>
      </c>
      <c r="E24018" s="41" t="n">
        <v>3029.2358</v>
      </c>
    </row>
    <row r="24019">
      <c r="A24019" s="42">
        <f>_xlfn.XLOOKUP(85855,Trip[shape_id],Trip[shape_id],"Não encontrado")</f>
        <v/>
      </c>
      <c r="B24019" s="43" t="n">
        <v>-23.518841</v>
      </c>
      <c r="C24019" s="43" t="n">
        <v>-46.566826</v>
      </c>
      <c r="D24019" s="43" t="n">
        <v>75</v>
      </c>
      <c r="E24019" s="44" t="n">
        <v>3039.6768</v>
      </c>
    </row>
    <row r="24020">
      <c r="A24020" s="39">
        <f>_xlfn.XLOOKUP(85855,Trip[shape_id],Trip[shape_id],"Não encontrado")</f>
        <v/>
      </c>
      <c r="B24020" s="40" t="n">
        <v>-23.518907</v>
      </c>
      <c r="C24020" s="40" t="n">
        <v>-46.566753</v>
      </c>
      <c r="D24020" s="40" t="n">
        <v>76</v>
      </c>
      <c r="E24020" s="41" t="n">
        <v>3039.6768</v>
      </c>
    </row>
    <row r="24021">
      <c r="A24021" s="42">
        <f>_xlfn.XLOOKUP(85855,Trip[shape_id],Trip[shape_id],"Não encontrado")</f>
        <v/>
      </c>
      <c r="B24021" s="43" t="n">
        <v>-23.519101</v>
      </c>
      <c r="C24021" s="43" t="n">
        <v>-46.566597</v>
      </c>
      <c r="D24021" s="43" t="n">
        <v>77</v>
      </c>
      <c r="E24021" s="44" t="n">
        <v>3066.425</v>
      </c>
    </row>
    <row r="24022">
      <c r="A24022" s="39">
        <f>_xlfn.XLOOKUP(85855,Trip[shape_id],Trip[shape_id],"Não encontrado")</f>
        <v/>
      </c>
      <c r="B24022" s="40" t="n">
        <v>-23.519475</v>
      </c>
      <c r="C24022" s="40" t="n">
        <v>-46.566261</v>
      </c>
      <c r="D24022" s="40" t="n">
        <v>78</v>
      </c>
      <c r="E24022" s="41" t="n">
        <v>3178.1687</v>
      </c>
    </row>
    <row r="24023">
      <c r="A24023" s="42">
        <f>_xlfn.XLOOKUP(85855,Trip[shape_id],Trip[shape_id],"Não encontrado")</f>
        <v/>
      </c>
      <c r="B24023" s="43" t="n">
        <v>-23.519878</v>
      </c>
      <c r="C24023" s="43" t="n">
        <v>-46.565899</v>
      </c>
      <c r="D24023" s="43" t="n">
        <v>79</v>
      </c>
      <c r="E24023" s="44" t="n">
        <v>3178.1687</v>
      </c>
    </row>
    <row r="24024">
      <c r="A24024" s="39">
        <f>_xlfn.XLOOKUP(85855,Trip[shape_id],Trip[shape_id],"Não encontrado")</f>
        <v/>
      </c>
      <c r="B24024" s="40" t="n">
        <v>-23.520516</v>
      </c>
      <c r="C24024" s="40" t="n">
        <v>-46.565312</v>
      </c>
      <c r="D24024" s="40" t="n">
        <v>80</v>
      </c>
      <c r="E24024" s="41" t="n">
        <v>3270.832</v>
      </c>
    </row>
    <row r="24025">
      <c r="A24025" s="42">
        <f>_xlfn.XLOOKUP(85855,Trip[shape_id],Trip[shape_id],"Não encontrado")</f>
        <v/>
      </c>
      <c r="B24025" s="43" t="n">
        <v>-23.520869</v>
      </c>
      <c r="C24025" s="43" t="n">
        <v>-46.56495</v>
      </c>
      <c r="D24025" s="43" t="n">
        <v>81</v>
      </c>
      <c r="E24025" s="44" t="n">
        <v>3324.6389</v>
      </c>
    </row>
    <row r="24026">
      <c r="A24026" s="39">
        <f>_xlfn.XLOOKUP(85855,Trip[shape_id],Trip[shape_id],"Não encontrado")</f>
        <v/>
      </c>
      <c r="B24026" s="40" t="n">
        <v>-23.521094</v>
      </c>
      <c r="C24026" s="40" t="n">
        <v>-46.564721</v>
      </c>
      <c r="D24026" s="40" t="n">
        <v>82</v>
      </c>
      <c r="E24026" s="41" t="n">
        <v>3358.8132</v>
      </c>
    </row>
    <row r="24027">
      <c r="A24027" s="42">
        <f>_xlfn.XLOOKUP(85855,Trip[shape_id],Trip[shape_id],"Não encontrado")</f>
        <v/>
      </c>
      <c r="B24027" s="43" t="n">
        <v>-23.521677</v>
      </c>
      <c r="C24027" s="43" t="n">
        <v>-46.564183</v>
      </c>
      <c r="D24027" s="43" t="n">
        <v>83</v>
      </c>
      <c r="E24027" s="44" t="n">
        <v>3443.594</v>
      </c>
    </row>
    <row r="24028">
      <c r="A24028" s="39">
        <f>_xlfn.XLOOKUP(85855,Trip[shape_id],Trip[shape_id],"Não encontrado")</f>
        <v/>
      </c>
      <c r="B24028" s="40" t="n">
        <v>-23.522117</v>
      </c>
      <c r="C24028" s="40" t="n">
        <v>-46.563791</v>
      </c>
      <c r="D24028" s="40" t="n">
        <v>84</v>
      </c>
      <c r="E24028" s="41" t="n">
        <v>3506.6597</v>
      </c>
    </row>
    <row r="24029">
      <c r="A24029" s="42">
        <f>_xlfn.XLOOKUP(85855,Trip[shape_id],Trip[shape_id],"Não encontrado")</f>
        <v/>
      </c>
      <c r="B24029" s="43" t="n">
        <v>-23.521569</v>
      </c>
      <c r="C24029" s="43" t="n">
        <v>-46.562757</v>
      </c>
      <c r="D24029" s="43" t="n">
        <v>85</v>
      </c>
      <c r="E24029" s="44" t="n">
        <v>3628.4548</v>
      </c>
    </row>
    <row r="24030">
      <c r="A24030" s="39">
        <f>_xlfn.XLOOKUP(85855,Trip[shape_id],Trip[shape_id],"Não encontrado")</f>
        <v/>
      </c>
      <c r="B24030" s="40" t="n">
        <v>-23.52129</v>
      </c>
      <c r="C24030" s="40" t="n">
        <v>-46.562221</v>
      </c>
      <c r="D24030" s="40" t="n">
        <v>86</v>
      </c>
      <c r="E24030" s="41" t="n">
        <v>3691.3127</v>
      </c>
    </row>
    <row r="24031">
      <c r="A24031" s="42">
        <f>_xlfn.XLOOKUP(85855,Trip[shape_id],Trip[shape_id],"Não encontrado")</f>
        <v/>
      </c>
      <c r="B24031" s="43" t="n">
        <v>-23.521235</v>
      </c>
      <c r="C24031" s="43" t="n">
        <v>-46.562121</v>
      </c>
      <c r="D24031" s="43" t="n">
        <v>87</v>
      </c>
      <c r="E24031" s="44" t="n">
        <v>3703.2034</v>
      </c>
    </row>
    <row r="24032">
      <c r="A24032" s="39">
        <f>_xlfn.XLOOKUP(85855,Trip[shape_id],Trip[shape_id],"Não encontrado")</f>
        <v/>
      </c>
      <c r="B24032" s="40" t="n">
        <v>-23.521081</v>
      </c>
      <c r="C24032" s="40" t="n">
        <v>-46.561825</v>
      </c>
      <c r="D24032" s="40" t="n">
        <v>88</v>
      </c>
      <c r="E24032" s="41" t="n">
        <v>3737.9119</v>
      </c>
    </row>
    <row r="24033">
      <c r="A24033" s="42">
        <f>_xlfn.XLOOKUP(85855,Trip[shape_id],Trip[shape_id],"Não encontrado")</f>
        <v/>
      </c>
      <c r="B24033" s="43" t="n">
        <v>-23.521805</v>
      </c>
      <c r="C24033" s="43" t="n">
        <v>-46.561712</v>
      </c>
      <c r="D24033" s="43" t="n">
        <v>89</v>
      </c>
      <c r="E24033" s="44" t="n">
        <v>3818.9219</v>
      </c>
    </row>
    <row r="24034">
      <c r="A24034" s="39">
        <f>_xlfn.XLOOKUP(85855,Trip[shape_id],Trip[shape_id],"Não encontrado")</f>
        <v/>
      </c>
      <c r="B24034" s="40" t="n">
        <v>-23.52265</v>
      </c>
      <c r="C24034" s="40" t="n">
        <v>-46.56161</v>
      </c>
      <c r="D24034" s="40" t="n">
        <v>90</v>
      </c>
      <c r="E24034" s="41" t="n">
        <v>3913.0847</v>
      </c>
    </row>
    <row r="24035">
      <c r="A24035" s="42">
        <f>_xlfn.XLOOKUP(85855,Trip[shape_id],Trip[shape_id],"Não encontrado")</f>
        <v/>
      </c>
      <c r="B24035" s="43" t="n">
        <v>-23.522621</v>
      </c>
      <c r="C24035" s="43" t="n">
        <v>-46.562112</v>
      </c>
      <c r="D24035" s="43" t="n">
        <v>91</v>
      </c>
      <c r="E24035" s="44" t="n">
        <v>3964.4514</v>
      </c>
    </row>
    <row r="24036">
      <c r="A24036" s="39">
        <f>_xlfn.XLOOKUP(85855,Trip[shape_id],Trip[shape_id],"Não encontrado")</f>
        <v/>
      </c>
      <c r="B24036" s="40" t="n">
        <v>-23.522606</v>
      </c>
      <c r="C24036" s="40" t="n">
        <v>-46.562427</v>
      </c>
      <c r="D24036" s="40" t="n">
        <v>92</v>
      </c>
      <c r="E24036" s="41" t="n">
        <v>3996.6631</v>
      </c>
    </row>
    <row r="24037">
      <c r="A24037" s="42">
        <f>_xlfn.XLOOKUP(85855,Trip[shape_id],Trip[shape_id],"Não encontrado")</f>
        <v/>
      </c>
      <c r="B24037" s="43" t="n">
        <v>-23.522616</v>
      </c>
      <c r="C24037" s="43" t="n">
        <v>-46.562654</v>
      </c>
      <c r="D24037" s="43" t="n">
        <v>93</v>
      </c>
      <c r="E24037" s="44" t="n">
        <v>4019.8713</v>
      </c>
    </row>
    <row r="24038">
      <c r="A24038" s="39">
        <f>_xlfn.XLOOKUP(85855,Trip[shape_id],Trip[shape_id],"Não encontrado")</f>
        <v/>
      </c>
      <c r="B24038" s="40" t="n">
        <v>-23.522629</v>
      </c>
      <c r="C24038" s="40" t="n">
        <v>-46.563126</v>
      </c>
      <c r="D24038" s="40" t="n">
        <v>94</v>
      </c>
      <c r="E24038" s="41" t="n">
        <v>4068.095</v>
      </c>
    </row>
    <row r="24039">
      <c r="A24039" s="42">
        <f>_xlfn.XLOOKUP(85855,Trip[shape_id],Trip[shape_id],"Não encontrado")</f>
        <v/>
      </c>
      <c r="B24039" s="43" t="n">
        <v>-23.522723</v>
      </c>
      <c r="C24039" s="43" t="n">
        <v>-46.563865</v>
      </c>
      <c r="D24039" s="43" t="n">
        <v>95</v>
      </c>
      <c r="E24039" s="44" t="n">
        <v>4144.2788</v>
      </c>
    </row>
    <row r="24040">
      <c r="A24040" s="39">
        <f>_xlfn.XLOOKUP(85855,Trip[shape_id],Trip[shape_id],"Não encontrado")</f>
        <v/>
      </c>
      <c r="B24040" s="40" t="n">
        <v>-23.522791</v>
      </c>
      <c r="C24040" s="40" t="n">
        <v>-46.564194</v>
      </c>
      <c r="D24040" s="40" t="n">
        <v>96</v>
      </c>
      <c r="E24040" s="41" t="n">
        <v>4178.7114</v>
      </c>
    </row>
    <row r="24041">
      <c r="A24041" s="42">
        <f>_xlfn.XLOOKUP(85855,Trip[shape_id],Trip[shape_id],"Não encontrado")</f>
        <v/>
      </c>
      <c r="B24041" s="43" t="n">
        <v>-23.522865</v>
      </c>
      <c r="C24041" s="43" t="n">
        <v>-46.564554</v>
      </c>
      <c r="D24041" s="43" t="n">
        <v>97</v>
      </c>
      <c r="E24041" s="44" t="n">
        <v>4216.3784</v>
      </c>
    </row>
    <row r="24042">
      <c r="A24042" s="39">
        <f>_xlfn.XLOOKUP(85855,Trip[shape_id],Trip[shape_id],"Não encontrado")</f>
        <v/>
      </c>
      <c r="B24042" s="40" t="n">
        <v>-23.523042</v>
      </c>
      <c r="C24042" s="40" t="n">
        <v>-46.565217</v>
      </c>
      <c r="D24042" s="40" t="n">
        <v>98</v>
      </c>
      <c r="E24042" s="41" t="n">
        <v>4286.8667</v>
      </c>
    </row>
    <row r="24043">
      <c r="A24043" s="42">
        <f>_xlfn.XLOOKUP(85855,Trip[shape_id],Trip[shape_id],"Não encontrado")</f>
        <v/>
      </c>
      <c r="B24043" s="43" t="n">
        <v>-23.523183</v>
      </c>
      <c r="C24043" s="43" t="n">
        <v>-46.56555</v>
      </c>
      <c r="D24043" s="43" t="n">
        <v>99</v>
      </c>
      <c r="E24043" s="44" t="n">
        <v>4324.2876</v>
      </c>
    </row>
    <row r="24044">
      <c r="A24044" s="39">
        <f>_xlfn.XLOOKUP(85855,Trip[shape_id],Trip[shape_id],"Não encontrado")</f>
        <v/>
      </c>
      <c r="B24044" s="40" t="n">
        <v>-23.523387</v>
      </c>
      <c r="C24044" s="40" t="n">
        <v>-46.566033</v>
      </c>
      <c r="D24044" s="40" t="n">
        <v>100</v>
      </c>
      <c r="E24044" s="41" t="n">
        <v>4378.5415</v>
      </c>
    </row>
    <row r="24045">
      <c r="A24045" s="42">
        <f>_xlfn.XLOOKUP(85855,Trip[shape_id],Trip[shape_id],"Não encontrado")</f>
        <v/>
      </c>
      <c r="B24045" s="43" t="n">
        <v>-23.523765</v>
      </c>
      <c r="C24045" s="43" t="n">
        <v>-46.56674</v>
      </c>
      <c r="D24045" s="43" t="n">
        <v>101</v>
      </c>
      <c r="E24045" s="44" t="n">
        <v>4462.0015</v>
      </c>
    </row>
    <row r="24046">
      <c r="A24046" s="39">
        <f>_xlfn.XLOOKUP(85855,Trip[shape_id],Trip[shape_id],"Não encontrado")</f>
        <v/>
      </c>
      <c r="B24046" s="40" t="n">
        <v>-23.52417</v>
      </c>
      <c r="C24046" s="40" t="n">
        <v>-46.567501</v>
      </c>
      <c r="D24046" s="40" t="n">
        <v>102</v>
      </c>
      <c r="E24046" s="41" t="n">
        <v>4551.7319</v>
      </c>
    </row>
    <row r="24047">
      <c r="A24047" s="42">
        <f>_xlfn.XLOOKUP(85855,Trip[shape_id],Trip[shape_id],"Não encontrado")</f>
        <v/>
      </c>
      <c r="B24047" s="43" t="n">
        <v>-23.524571</v>
      </c>
      <c r="C24047" s="43" t="n">
        <v>-46.568241</v>
      </c>
      <c r="D24047" s="43" t="n">
        <v>103</v>
      </c>
      <c r="E24047" s="44" t="n">
        <v>4639.3862</v>
      </c>
    </row>
    <row r="24048">
      <c r="A24048" s="39">
        <f>_xlfn.XLOOKUP(85855,Trip[shape_id],Trip[shape_id],"Não encontrado")</f>
        <v/>
      </c>
      <c r="B24048" s="40" t="n">
        <v>-23.524648</v>
      </c>
      <c r="C24048" s="40" t="n">
        <v>-46.568387</v>
      </c>
      <c r="D24048" s="40" t="n">
        <v>104</v>
      </c>
      <c r="E24048" s="41" t="n">
        <v>4656.5625</v>
      </c>
    </row>
    <row r="24049">
      <c r="A24049" s="42">
        <f>_xlfn.XLOOKUP(85855,Trip[shape_id],Trip[shape_id],"Não encontrado")</f>
        <v/>
      </c>
      <c r="B24049" s="43" t="n">
        <v>-23.524858</v>
      </c>
      <c r="C24049" s="43" t="n">
        <v>-46.568778</v>
      </c>
      <c r="D24049" s="43" t="n">
        <v>105</v>
      </c>
      <c r="E24049" s="44" t="n">
        <v>4702.772</v>
      </c>
    </row>
    <row r="24050">
      <c r="A24050" s="39">
        <f>_xlfn.XLOOKUP(85855,Trip[shape_id],Trip[shape_id],"Não encontrado")</f>
        <v/>
      </c>
      <c r="B24050" s="40" t="n">
        <v>-23.525009</v>
      </c>
      <c r="C24050" s="40" t="n">
        <v>-46.569126</v>
      </c>
      <c r="D24050" s="40" t="n">
        <v>106</v>
      </c>
      <c r="E24050" s="41" t="n">
        <v>4742.0483</v>
      </c>
    </row>
    <row r="24051">
      <c r="A24051" s="42">
        <f>_xlfn.XLOOKUP(85855,Trip[shape_id],Trip[shape_id],"Não encontrado")</f>
        <v/>
      </c>
      <c r="B24051" s="43" t="n">
        <v>-23.52513</v>
      </c>
      <c r="C24051" s="43" t="n">
        <v>-46.569414</v>
      </c>
      <c r="D24051" s="43" t="n">
        <v>107</v>
      </c>
      <c r="E24051" s="44" t="n">
        <v>4774.3687</v>
      </c>
    </row>
    <row r="24052">
      <c r="A24052" s="39">
        <f>_xlfn.XLOOKUP(85855,Trip[shape_id],Trip[shape_id],"Não encontrado")</f>
        <v/>
      </c>
      <c r="B24052" s="40" t="n">
        <v>-23.525201</v>
      </c>
      <c r="C24052" s="40" t="n">
        <v>-46.569569</v>
      </c>
      <c r="D24052" s="40" t="n">
        <v>108</v>
      </c>
      <c r="E24052" s="41" t="n">
        <v>4792.043</v>
      </c>
    </row>
    <row r="24053">
      <c r="A24053" s="42">
        <f>_xlfn.XLOOKUP(85855,Trip[shape_id],Trip[shape_id],"Não encontrado")</f>
        <v/>
      </c>
      <c r="B24053" s="43" t="n">
        <v>-23.525288</v>
      </c>
      <c r="C24053" s="43" t="n">
        <v>-46.569865</v>
      </c>
      <c r="D24053" s="43" t="n">
        <v>109</v>
      </c>
      <c r="E24053" s="44" t="n">
        <v>4823.7695</v>
      </c>
    </row>
    <row r="24054">
      <c r="A24054" s="39">
        <f>_xlfn.XLOOKUP(85855,Trip[shape_id],Trip[shape_id],"Não encontrado")</f>
        <v/>
      </c>
      <c r="B24054" s="40" t="n">
        <v>-23.523754</v>
      </c>
      <c r="C24054" s="40" t="n">
        <v>-46.569816</v>
      </c>
      <c r="D24054" s="40" t="n">
        <v>110</v>
      </c>
      <c r="E24054" s="41" t="n">
        <v>4993.7358</v>
      </c>
    </row>
    <row r="24055">
      <c r="A24055" s="42">
        <f>_xlfn.XLOOKUP(85855,Trip[shape_id],Trip[shape_id],"Não encontrado")</f>
        <v/>
      </c>
      <c r="B24055" s="43" t="n">
        <v>-23.522741</v>
      </c>
      <c r="C24055" s="43" t="n">
        <v>-46.569777</v>
      </c>
      <c r="D24055" s="43" t="n">
        <v>111</v>
      </c>
      <c r="E24055" s="44" t="n">
        <v>5154.6694</v>
      </c>
    </row>
    <row r="24056">
      <c r="A24056" s="39">
        <f>_xlfn.XLOOKUP(85855,Trip[shape_id],Trip[shape_id],"Não encontrado")</f>
        <v/>
      </c>
      <c r="B24056" s="40" t="n">
        <v>-23.522302</v>
      </c>
      <c r="C24056" s="40" t="n">
        <v>-46.569755</v>
      </c>
      <c r="D24056" s="40" t="n">
        <v>112</v>
      </c>
      <c r="E24056" s="41" t="n">
        <v>5154.6694</v>
      </c>
    </row>
    <row r="24057">
      <c r="A24057" s="42">
        <f>_xlfn.XLOOKUP(85855,Trip[shape_id],Trip[shape_id],"Não encontrado")</f>
        <v/>
      </c>
      <c r="B24057" s="43" t="n">
        <v>-23.521105</v>
      </c>
      <c r="C24057" s="43" t="n">
        <v>-46.569736</v>
      </c>
      <c r="D24057" s="43" t="n">
        <v>113</v>
      </c>
      <c r="E24057" s="44" t="n">
        <v>5287.2529</v>
      </c>
    </row>
    <row r="24058">
      <c r="A24058" s="39">
        <f>_xlfn.XLOOKUP(85855,Trip[shape_id],Trip[shape_id],"Não encontrado")</f>
        <v/>
      </c>
      <c r="B24058" s="40" t="n">
        <v>-23.521017</v>
      </c>
      <c r="C24058" s="40" t="n">
        <v>-46.569869</v>
      </c>
      <c r="D24058" s="40" t="n">
        <v>114</v>
      </c>
      <c r="E24058" s="41" t="n">
        <v>5303.9707</v>
      </c>
    </row>
    <row r="24059">
      <c r="A24059" s="42">
        <f>_xlfn.XLOOKUP(85855,Trip[shape_id],Trip[shape_id],"Não encontrado")</f>
        <v/>
      </c>
      <c r="B24059" s="43" t="n">
        <v>-23.520863</v>
      </c>
      <c r="C24059" s="43" t="n">
        <v>-46.570039</v>
      </c>
      <c r="D24059" s="43" t="n">
        <v>115</v>
      </c>
      <c r="E24059" s="44" t="n">
        <v>5328.3081</v>
      </c>
    </row>
    <row r="24060">
      <c r="A24060" s="39">
        <f>_xlfn.XLOOKUP(85855,Trip[shape_id],Trip[shape_id],"Não encontrado")</f>
        <v/>
      </c>
      <c r="B24060" s="40" t="n">
        <v>-23.52057</v>
      </c>
      <c r="C24060" s="40" t="n">
        <v>-46.57026</v>
      </c>
      <c r="D24060" s="40" t="n">
        <v>116</v>
      </c>
      <c r="E24060" s="41" t="n">
        <v>5367.8354</v>
      </c>
    </row>
    <row r="24061">
      <c r="A24061" s="42">
        <f>_xlfn.XLOOKUP(85855,Trip[shape_id],Trip[shape_id],"Não encontrado")</f>
        <v/>
      </c>
      <c r="B24061" s="43" t="n">
        <v>-23.520271</v>
      </c>
      <c r="C24061" s="43" t="n">
        <v>-46.570372</v>
      </c>
      <c r="D24061" s="43" t="n">
        <v>117</v>
      </c>
      <c r="E24061" s="44" t="n">
        <v>5402.8701</v>
      </c>
    </row>
    <row r="24062">
      <c r="A24062" s="39">
        <f>_xlfn.XLOOKUP(85855,Trip[shape_id],Trip[shape_id],"Não encontrado")</f>
        <v/>
      </c>
      <c r="B24062" s="40" t="n">
        <v>-23.520116</v>
      </c>
      <c r="C24062" s="40" t="n">
        <v>-46.570416</v>
      </c>
      <c r="D24062" s="40" t="n">
        <v>118</v>
      </c>
      <c r="E24062" s="41" t="n">
        <v>5420.6147</v>
      </c>
    </row>
    <row r="24063">
      <c r="A24063" s="42">
        <f>_xlfn.XLOOKUP(85855,Trip[shape_id],Trip[shape_id],"Não encontrado")</f>
        <v/>
      </c>
      <c r="B24063" s="43" t="n">
        <v>-23.519994</v>
      </c>
      <c r="C24063" s="43" t="n">
        <v>-46.570454</v>
      </c>
      <c r="D24063" s="43" t="n">
        <v>119</v>
      </c>
      <c r="E24063" s="44" t="n">
        <v>5434.6724</v>
      </c>
    </row>
    <row r="24064">
      <c r="A24064" s="39">
        <f>_xlfn.XLOOKUP(85855,Trip[shape_id],Trip[shape_id],"Não encontrado")</f>
        <v/>
      </c>
      <c r="B24064" s="40" t="n">
        <v>-23.519811</v>
      </c>
      <c r="C24064" s="40" t="n">
        <v>-46.570405</v>
      </c>
      <c r="D24064" s="40" t="n">
        <v>120</v>
      </c>
      <c r="E24064" s="41" t="n">
        <v>5477.3955</v>
      </c>
    </row>
    <row r="24065">
      <c r="A24065" s="42">
        <f>_xlfn.XLOOKUP(85855,Trip[shape_id],Trip[shape_id],"Não encontrado")</f>
        <v/>
      </c>
      <c r="B24065" s="43" t="n">
        <v>-23.519614</v>
      </c>
      <c r="C24065" s="43" t="n">
        <v>-46.570394</v>
      </c>
      <c r="D24065" s="43" t="n">
        <v>121</v>
      </c>
      <c r="E24065" s="44" t="n">
        <v>5509.0811</v>
      </c>
    </row>
    <row r="24066">
      <c r="A24066" s="39">
        <f>_xlfn.XLOOKUP(85855,Trip[shape_id],Trip[shape_id],"Não encontrado")</f>
        <v/>
      </c>
      <c r="B24066" s="40" t="n">
        <v>-23.519328</v>
      </c>
      <c r="C24066" s="40" t="n">
        <v>-46.570386</v>
      </c>
      <c r="D24066" s="40" t="n">
        <v>122</v>
      </c>
      <c r="E24066" s="41" t="n">
        <v>5567.9102</v>
      </c>
    </row>
    <row r="24067">
      <c r="A24067" s="42">
        <f>_xlfn.XLOOKUP(85855,Trip[shape_id],Trip[shape_id],"Não encontrado")</f>
        <v/>
      </c>
      <c r="B24067" s="43" t="n">
        <v>-23.518797</v>
      </c>
      <c r="C24067" s="43" t="n">
        <v>-46.570371</v>
      </c>
      <c r="D24067" s="43" t="n">
        <v>123</v>
      </c>
      <c r="E24067" s="44" t="n">
        <v>5567.9102</v>
      </c>
    </row>
    <row r="24068">
      <c r="A24068" s="39">
        <f>_xlfn.XLOOKUP(85855,Trip[shape_id],Trip[shape_id],"Não encontrado")</f>
        <v/>
      </c>
      <c r="B24068" s="40" t="n">
        <v>-23.518143</v>
      </c>
      <c r="C24068" s="40" t="n">
        <v>-46.570347</v>
      </c>
      <c r="D24068" s="40" t="n">
        <v>124</v>
      </c>
      <c r="E24068" s="41" t="n">
        <v>5640.3828</v>
      </c>
    </row>
    <row r="24069">
      <c r="A24069" s="42">
        <f>_xlfn.XLOOKUP(85855,Trip[shape_id],Trip[shape_id],"Não encontrado")</f>
        <v/>
      </c>
      <c r="B24069" s="43" t="n">
        <v>-23.517437</v>
      </c>
      <c r="C24069" s="43" t="n">
        <v>-46.570324</v>
      </c>
      <c r="D24069" s="43" t="n">
        <v>125</v>
      </c>
      <c r="E24069" s="44" t="n">
        <v>5718.6084</v>
      </c>
    </row>
    <row r="24070">
      <c r="A24070" s="39">
        <f>_xlfn.XLOOKUP(85855,Trip[shape_id],Trip[shape_id],"Não encontrado")</f>
        <v/>
      </c>
      <c r="B24070" s="40" t="n">
        <v>-23.516743</v>
      </c>
      <c r="C24070" s="40" t="n">
        <v>-46.5703</v>
      </c>
      <c r="D24070" s="40" t="n">
        <v>126</v>
      </c>
      <c r="E24070" s="41" t="n">
        <v>5795.5088</v>
      </c>
    </row>
    <row r="24071">
      <c r="A24071" s="42">
        <f>_xlfn.XLOOKUP(85855,Trip[shape_id],Trip[shape_id],"Não encontrado")</f>
        <v/>
      </c>
      <c r="B24071" s="43" t="n">
        <v>-23.516081</v>
      </c>
      <c r="C24071" s="43" t="n">
        <v>-46.570281</v>
      </c>
      <c r="D24071" s="43" t="n">
        <v>127</v>
      </c>
      <c r="E24071" s="44" t="n">
        <v>5868.8521</v>
      </c>
    </row>
    <row r="24072">
      <c r="A24072" s="39">
        <f>_xlfn.XLOOKUP(85855,Trip[shape_id],Trip[shape_id],"Não encontrado")</f>
        <v/>
      </c>
      <c r="B24072" s="40" t="n">
        <v>-23.515758</v>
      </c>
      <c r="C24072" s="40" t="n">
        <v>-46.570266</v>
      </c>
      <c r="D24072" s="40" t="n">
        <v>128</v>
      </c>
      <c r="E24072" s="41" t="n">
        <v>5999.3765</v>
      </c>
    </row>
    <row r="24073">
      <c r="A24073" s="42">
        <f>_xlfn.XLOOKUP(85855,Trip[shape_id],Trip[shape_id],"Não encontrado")</f>
        <v/>
      </c>
      <c r="B24073" s="43" t="n">
        <v>-23.514903</v>
      </c>
      <c r="C24073" s="43" t="n">
        <v>-46.570244</v>
      </c>
      <c r="D24073" s="43" t="n">
        <v>129</v>
      </c>
      <c r="E24073" s="44" t="n">
        <v>5999.3765</v>
      </c>
    </row>
    <row r="24074">
      <c r="A24074" s="39">
        <f>_xlfn.XLOOKUP(85855,Trip[shape_id],Trip[shape_id],"Não encontrado")</f>
        <v/>
      </c>
      <c r="B24074" s="40" t="n">
        <v>-23.514512</v>
      </c>
      <c r="C24074" s="40" t="n">
        <v>-46.570621</v>
      </c>
      <c r="D24074" s="40" t="n">
        <v>130</v>
      </c>
      <c r="E24074" s="41" t="n">
        <v>6057.3223</v>
      </c>
    </row>
    <row r="24075">
      <c r="A24075" s="42">
        <f>_xlfn.XLOOKUP(85855,Trip[shape_id],Trip[shape_id],"Não encontrado")</f>
        <v/>
      </c>
      <c r="B24075" s="43" t="n">
        <v>-23.514432</v>
      </c>
      <c r="C24075" s="43" t="n">
        <v>-46.570696</v>
      </c>
      <c r="D24075" s="43" t="n">
        <v>131</v>
      </c>
      <c r="E24075" s="44" t="n">
        <v>6069.0347</v>
      </c>
    </row>
    <row r="24076">
      <c r="A24076" s="39">
        <f>_xlfn.XLOOKUP(85855,Trip[shape_id],Trip[shape_id],"Não encontrado")</f>
        <v/>
      </c>
      <c r="B24076" s="40" t="n">
        <v>-23.514251</v>
      </c>
      <c r="C24076" s="40" t="n">
        <v>-46.570874</v>
      </c>
      <c r="D24076" s="40" t="n">
        <v>132</v>
      </c>
      <c r="E24076" s="41" t="n">
        <v>6096.0962</v>
      </c>
    </row>
    <row r="24077">
      <c r="A24077" s="42">
        <f>_xlfn.XLOOKUP(85855,Trip[shape_id],Trip[shape_id],"Não encontrado")</f>
        <v/>
      </c>
      <c r="B24077" s="43" t="n">
        <v>-23.513972</v>
      </c>
      <c r="C24077" s="43" t="n">
        <v>-46.571143</v>
      </c>
      <c r="D24077" s="43" t="n">
        <v>133</v>
      </c>
      <c r="E24077" s="44" t="n">
        <v>6137.4429</v>
      </c>
    </row>
    <row r="24078">
      <c r="A24078" s="39">
        <f>_xlfn.XLOOKUP(85855,Trip[shape_id],Trip[shape_id],"Não encontrado")</f>
        <v/>
      </c>
      <c r="B24078" s="40" t="n">
        <v>-23.512669</v>
      </c>
      <c r="C24078" s="40" t="n">
        <v>-46.571084</v>
      </c>
      <c r="D24078" s="40" t="n">
        <v>134</v>
      </c>
      <c r="E24078" s="41" t="n">
        <v>6281.8774</v>
      </c>
    </row>
    <row r="24079">
      <c r="A24079" s="42">
        <f>_xlfn.XLOOKUP(85855,Trip[shape_id],Trip[shape_id],"Não encontrado")</f>
        <v/>
      </c>
      <c r="B24079" s="43" t="n">
        <v>-23.511658</v>
      </c>
      <c r="C24079" s="43" t="n">
        <v>-46.571045</v>
      </c>
      <c r="D24079" s="43" t="n">
        <v>135</v>
      </c>
      <c r="E24079" s="44" t="n">
        <v>6393.918</v>
      </c>
    </row>
    <row r="24080">
      <c r="A24080" s="39">
        <f>_xlfn.XLOOKUP(85855,Trip[shape_id],Trip[shape_id],"Não encontrado")</f>
        <v/>
      </c>
      <c r="B24080" s="40" t="n">
        <v>-23.510613</v>
      </c>
      <c r="C24080" s="40" t="n">
        <v>-46.571019</v>
      </c>
      <c r="D24080" s="40" t="n">
        <v>136</v>
      </c>
      <c r="E24080" s="41" t="n">
        <v>6509.6836</v>
      </c>
    </row>
    <row r="24081">
      <c r="A24081" s="42">
        <f>_xlfn.XLOOKUP(85855,Trip[shape_id],Trip[shape_id],"Não encontrado")</f>
        <v/>
      </c>
      <c r="B24081" s="43" t="n">
        <v>-23.509913</v>
      </c>
      <c r="C24081" s="43" t="n">
        <v>-46.571009</v>
      </c>
      <c r="D24081" s="43" t="n">
        <v>137</v>
      </c>
      <c r="E24081" s="44" t="n">
        <v>6587.2163</v>
      </c>
    </row>
    <row r="24082">
      <c r="A24082" s="39">
        <f>_xlfn.XLOOKUP(85855,Trip[shape_id],Trip[shape_id],"Não encontrado")</f>
        <v/>
      </c>
      <c r="B24082" s="40" t="n">
        <v>-23.509654</v>
      </c>
      <c r="C24082" s="40" t="n">
        <v>-46.571</v>
      </c>
      <c r="D24082" s="40" t="n">
        <v>138</v>
      </c>
      <c r="E24082" s="41" t="n">
        <v>6615.9155</v>
      </c>
    </row>
    <row r="24083">
      <c r="A24083" s="42">
        <f>_xlfn.XLOOKUP(85855,Trip[shape_id],Trip[shape_id],"Não encontrado")</f>
        <v/>
      </c>
      <c r="B24083" s="43" t="n">
        <v>-23.509336</v>
      </c>
      <c r="C24083" s="43" t="n">
        <v>-46.570997</v>
      </c>
      <c r="D24083" s="43" t="n">
        <v>139</v>
      </c>
      <c r="E24083" s="44" t="n">
        <v>6728.2432</v>
      </c>
    </row>
    <row r="24084">
      <c r="A24084" s="39">
        <f>_xlfn.XLOOKUP(85855,Trip[shape_id],Trip[shape_id],"Não encontrado")</f>
        <v/>
      </c>
      <c r="B24084" s="40" t="n">
        <v>-23.50864</v>
      </c>
      <c r="C24084" s="40" t="n">
        <v>-46.570978</v>
      </c>
      <c r="D24084" s="40" t="n">
        <v>140</v>
      </c>
      <c r="E24084" s="41" t="n">
        <v>6761.7207</v>
      </c>
    </row>
    <row r="24085">
      <c r="A24085" s="42">
        <f>_xlfn.XLOOKUP(85855,Trip[shape_id],Trip[shape_id],"Não encontrado")</f>
        <v/>
      </c>
      <c r="B24085" s="43" t="n">
        <v>-23.508338</v>
      </c>
      <c r="C24085" s="43" t="n">
        <v>-46.570964</v>
      </c>
      <c r="D24085" s="43" t="n">
        <v>141</v>
      </c>
      <c r="E24085" s="44" t="n">
        <v>6788.4136</v>
      </c>
    </row>
    <row r="24086">
      <c r="A24086" s="39">
        <f>_xlfn.XLOOKUP(85855,Trip[shape_id],Trip[shape_id],"Não encontrado")</f>
        <v/>
      </c>
      <c r="B24086" s="40" t="n">
        <v>-23.508097</v>
      </c>
      <c r="C24086" s="40" t="n">
        <v>-46.570961</v>
      </c>
      <c r="D24086" s="40" t="n">
        <v>142</v>
      </c>
      <c r="E24086" s="41" t="n">
        <v>6788.4136</v>
      </c>
    </row>
    <row r="24087">
      <c r="A24087" s="42">
        <f>_xlfn.XLOOKUP(85855,Trip[shape_id],Trip[shape_id],"Não encontrado")</f>
        <v/>
      </c>
      <c r="B24087" s="43" t="n">
        <v>-23.508072</v>
      </c>
      <c r="C24087" s="43" t="n">
        <v>-46.570966</v>
      </c>
      <c r="D24087" s="43" t="n">
        <v>143</v>
      </c>
      <c r="E24087" s="44" t="n">
        <v>6802.2383</v>
      </c>
    </row>
    <row r="24088">
      <c r="A24088" s="39">
        <f>_xlfn.XLOOKUP(85855,Trip[shape_id],Trip[shape_id],"Não encontrado")</f>
        <v/>
      </c>
      <c r="B24088" s="40" t="n">
        <v>-23.507976</v>
      </c>
      <c r="C24088" s="40" t="n">
        <v>-46.570994</v>
      </c>
      <c r="D24088" s="40" t="n">
        <v>144</v>
      </c>
      <c r="E24088" s="41" t="n">
        <v>6814.4941</v>
      </c>
    </row>
    <row r="24089">
      <c r="A24089" s="42">
        <f>_xlfn.XLOOKUP(85855,Trip[shape_id],Trip[shape_id],"Não encontrado")</f>
        <v/>
      </c>
      <c r="B24089" s="43" t="n">
        <v>-23.507872</v>
      </c>
      <c r="C24089" s="43" t="n">
        <v>-46.571035</v>
      </c>
      <c r="D24089" s="43" t="n">
        <v>145</v>
      </c>
      <c r="E24089" s="44" t="n">
        <v>6862.1167</v>
      </c>
    </row>
    <row r="24090">
      <c r="A24090" s="39">
        <f>_xlfn.XLOOKUP(85855,Trip[shape_id],Trip[shape_id],"Não encontrado")</f>
        <v/>
      </c>
      <c r="B24090" s="40" t="n">
        <v>-23.507458</v>
      </c>
      <c r="C24090" s="40" t="n">
        <v>-46.571161</v>
      </c>
      <c r="D24090" s="40" t="n">
        <v>146</v>
      </c>
      <c r="E24090" s="41" t="n">
        <v>6884.834</v>
      </c>
    </row>
    <row r="24091">
      <c r="A24091" s="42">
        <f>_xlfn.XLOOKUP(85855,Trip[shape_id],Trip[shape_id],"Não encontrado")</f>
        <v/>
      </c>
      <c r="B24091" s="43" t="n">
        <v>-23.507263</v>
      </c>
      <c r="C24091" s="43" t="n">
        <v>-46.57123</v>
      </c>
      <c r="D24091" s="43" t="n">
        <v>147</v>
      </c>
      <c r="E24091" s="44" t="n">
        <v>6884.834</v>
      </c>
    </row>
    <row r="24092">
      <c r="A24092" s="39">
        <f>_xlfn.XLOOKUP(85855,Trip[shape_id],Trip[shape_id],"Não encontrado")</f>
        <v/>
      </c>
      <c r="B24092" s="40" t="n">
        <v>-23.506959</v>
      </c>
      <c r="C24092" s="40" t="n">
        <v>-46.571396</v>
      </c>
      <c r="D24092" s="40" t="n">
        <v>148</v>
      </c>
      <c r="E24092" s="41" t="n">
        <v>6922.5303</v>
      </c>
    </row>
    <row r="24093">
      <c r="A24093" s="42">
        <f>_xlfn.XLOOKUP(85855,Trip[shape_id],Trip[shape_id],"Não encontrado")</f>
        <v/>
      </c>
      <c r="B24093" s="43" t="n">
        <v>-23.506826</v>
      </c>
      <c r="C24093" s="43" t="n">
        <v>-46.571473</v>
      </c>
      <c r="D24093" s="43" t="n">
        <v>149</v>
      </c>
      <c r="E24093" s="44" t="n">
        <v>6939.2285</v>
      </c>
    </row>
    <row r="24094">
      <c r="A24094" s="39">
        <f>_xlfn.XLOOKUP(85855,Trip[shape_id],Trip[shape_id],"Não encontrado")</f>
        <v/>
      </c>
      <c r="B24094" s="40" t="n">
        <v>-23.506484</v>
      </c>
      <c r="C24094" s="40" t="n">
        <v>-46.571689</v>
      </c>
      <c r="D24094" s="40" t="n">
        <v>150</v>
      </c>
      <c r="E24094" s="41" t="n">
        <v>6983.062</v>
      </c>
    </row>
    <row r="24095">
      <c r="A24095" s="42">
        <f>_xlfn.XLOOKUP(85855,Trip[shape_id],Trip[shape_id],"Não encontrado")</f>
        <v/>
      </c>
      <c r="B24095" s="43" t="n">
        <v>-23.506347</v>
      </c>
      <c r="C24095" s="43" t="n">
        <v>-46.571771</v>
      </c>
      <c r="D24095" s="43" t="n">
        <v>151</v>
      </c>
      <c r="E24095" s="44" t="n">
        <v>7000.3931</v>
      </c>
    </row>
    <row r="24096">
      <c r="A24096" s="39">
        <f>_xlfn.XLOOKUP(85855,Trip[shape_id],Trip[shape_id],"Não encontrado")</f>
        <v/>
      </c>
      <c r="B24096" s="40" t="n">
        <v>-23.506206</v>
      </c>
      <c r="C24096" s="40" t="n">
        <v>-46.571875</v>
      </c>
      <c r="D24096" s="40" t="n">
        <v>152</v>
      </c>
      <c r="E24096" s="41" t="n">
        <v>7019.2793</v>
      </c>
    </row>
    <row r="24097">
      <c r="A24097" s="42">
        <f>_xlfn.XLOOKUP(85855,Trip[shape_id],Trip[shape_id],"Não encontrado")</f>
        <v/>
      </c>
      <c r="B24097" s="43" t="n">
        <v>-23.505985</v>
      </c>
      <c r="C24097" s="43" t="n">
        <v>-46.572064</v>
      </c>
      <c r="D24097" s="43" t="n">
        <v>153</v>
      </c>
      <c r="E24097" s="44" t="n">
        <v>7050.4517</v>
      </c>
    </row>
    <row r="24098">
      <c r="A24098" s="39">
        <f>_xlfn.XLOOKUP(85855,Trip[shape_id],Trip[shape_id],"Não encontrado")</f>
        <v/>
      </c>
      <c r="B24098" s="40" t="n">
        <v>-23.505765</v>
      </c>
      <c r="C24098" s="40" t="n">
        <v>-46.572268</v>
      </c>
      <c r="D24098" s="40" t="n">
        <v>154</v>
      </c>
      <c r="E24098" s="41" t="n">
        <v>7082.5107</v>
      </c>
    </row>
    <row r="24099">
      <c r="A24099" s="42">
        <f>_xlfn.XLOOKUP(85855,Trip[shape_id],Trip[shape_id],"Não encontrado")</f>
        <v/>
      </c>
      <c r="B24099" s="43" t="n">
        <v>-23.505616</v>
      </c>
      <c r="C24099" s="43" t="n">
        <v>-46.572404</v>
      </c>
      <c r="D24099" s="43" t="n">
        <v>155</v>
      </c>
      <c r="E24099" s="44" t="n">
        <v>7104.0806</v>
      </c>
    </row>
    <row r="24100">
      <c r="A24100" s="39">
        <f>_xlfn.XLOOKUP(85855,Trip[shape_id],Trip[shape_id],"Não encontrado")</f>
        <v/>
      </c>
      <c r="B24100" s="40" t="n">
        <v>-23.505476</v>
      </c>
      <c r="C24100" s="40" t="n">
        <v>-46.572531</v>
      </c>
      <c r="D24100" s="40" t="n">
        <v>156</v>
      </c>
      <c r="E24100" s="41" t="n">
        <v>7124.2959</v>
      </c>
    </row>
    <row r="24101">
      <c r="A24101" s="42">
        <f>_xlfn.XLOOKUP(85855,Trip[shape_id],Trip[shape_id],"Não encontrado")</f>
        <v/>
      </c>
      <c r="B24101" s="43" t="n">
        <v>-23.50543</v>
      </c>
      <c r="C24101" s="43" t="n">
        <v>-46.572566</v>
      </c>
      <c r="D24101" s="43" t="n">
        <v>157</v>
      </c>
      <c r="E24101" s="44" t="n">
        <v>7130.5195</v>
      </c>
    </row>
    <row r="24102">
      <c r="A24102" s="39">
        <f>_xlfn.XLOOKUP(85855,Trip[shape_id],Trip[shape_id],"Não encontrado")</f>
        <v/>
      </c>
      <c r="B24102" s="40" t="n">
        <v>-23.5054</v>
      </c>
      <c r="C24102" s="40" t="n">
        <v>-46.572596</v>
      </c>
      <c r="D24102" s="40" t="n">
        <v>158</v>
      </c>
      <c r="E24102" s="41" t="n">
        <v>7135.0391</v>
      </c>
    </row>
    <row r="24103">
      <c r="A24103" s="42">
        <f>_xlfn.XLOOKUP(85855,Trip[shape_id],Trip[shape_id],"Não encontrado")</f>
        <v/>
      </c>
      <c r="B24103" s="43" t="n">
        <v>-23.505376</v>
      </c>
      <c r="C24103" s="43" t="n">
        <v>-46.572693</v>
      </c>
      <c r="D24103" s="43" t="n">
        <v>159</v>
      </c>
      <c r="E24103" s="44" t="n">
        <v>7145.2964</v>
      </c>
    </row>
    <row r="24104">
      <c r="A24104" s="39">
        <f>_xlfn.XLOOKUP(85855,Trip[shape_id],Trip[shape_id],"Não encontrado")</f>
        <v/>
      </c>
      <c r="B24104" s="40" t="n">
        <v>-23.505365</v>
      </c>
      <c r="C24104" s="40" t="n">
        <v>-46.572765</v>
      </c>
      <c r="D24104" s="40" t="n">
        <v>160</v>
      </c>
      <c r="E24104" s="41" t="n">
        <v>7152.7505</v>
      </c>
    </row>
    <row r="24105">
      <c r="A24105" s="42">
        <f>_xlfn.XLOOKUP(85855,Trip[shape_id],Trip[shape_id],"Não encontrado")</f>
        <v/>
      </c>
      <c r="B24105" s="43" t="n">
        <v>-23.505358</v>
      </c>
      <c r="C24105" s="43" t="n">
        <v>-46.572848</v>
      </c>
      <c r="D24105" s="43" t="n">
        <v>161</v>
      </c>
      <c r="E24105" s="44" t="n">
        <v>7161.2627</v>
      </c>
    </row>
    <row r="24106">
      <c r="A24106" s="39">
        <f>_xlfn.XLOOKUP(85855,Trip[shape_id],Trip[shape_id],"Não encontrado")</f>
        <v/>
      </c>
      <c r="B24106" s="40" t="n">
        <v>-23.50541</v>
      </c>
      <c r="C24106" s="40" t="n">
        <v>-46.57297</v>
      </c>
      <c r="D24106" s="40" t="n">
        <v>162</v>
      </c>
      <c r="E24106" s="41" t="n">
        <v>7174.9897</v>
      </c>
    </row>
    <row r="24107">
      <c r="A24107" s="42">
        <f>_xlfn.XLOOKUP(85855,Trip[shape_id],Trip[shape_id],"Não encontrado")</f>
        <v/>
      </c>
      <c r="B24107" s="43" t="n">
        <v>-23.505437</v>
      </c>
      <c r="C24107" s="43" t="n">
        <v>-46.573064</v>
      </c>
      <c r="D24107" s="43" t="n">
        <v>163</v>
      </c>
      <c r="E24107" s="44" t="n">
        <v>7185.0454</v>
      </c>
    </row>
    <row r="24108">
      <c r="A24108" s="39">
        <f>_xlfn.XLOOKUP(85855,Trip[shape_id],Trip[shape_id],"Não encontrado")</f>
        <v/>
      </c>
      <c r="B24108" s="40" t="n">
        <v>-23.505436</v>
      </c>
      <c r="C24108" s="40" t="n">
        <v>-46.573144</v>
      </c>
      <c r="D24108" s="40" t="n">
        <v>164</v>
      </c>
      <c r="E24108" s="41" t="n">
        <v>7193.2168</v>
      </c>
    </row>
    <row r="24109">
      <c r="A24109" s="42">
        <f>_xlfn.XLOOKUP(85855,Trip[shape_id],Trip[shape_id],"Não encontrado")</f>
        <v/>
      </c>
      <c r="B24109" s="43" t="n">
        <v>-23.505425</v>
      </c>
      <c r="C24109" s="43" t="n">
        <v>-46.573201</v>
      </c>
      <c r="D24109" s="43" t="n">
        <v>165</v>
      </c>
      <c r="E24109" s="44" t="n">
        <v>7199.165</v>
      </c>
    </row>
    <row r="24110">
      <c r="A24110" s="39">
        <f>_xlfn.XLOOKUP(85855,Trip[shape_id],Trip[shape_id],"Não encontrado")</f>
        <v/>
      </c>
      <c r="B24110" s="40" t="n">
        <v>-23.505398</v>
      </c>
      <c r="C24110" s="40" t="n">
        <v>-46.573261</v>
      </c>
      <c r="D24110" s="40" t="n">
        <v>166</v>
      </c>
      <c r="E24110" s="41" t="n">
        <v>7205.9844</v>
      </c>
    </row>
    <row r="24111">
      <c r="A24111" s="42">
        <f>_xlfn.XLOOKUP(85855,Trip[shape_id],Trip[shape_id],"Não encontrado")</f>
        <v/>
      </c>
      <c r="B24111" s="43" t="n">
        <v>-23.505288</v>
      </c>
      <c r="C24111" s="43" t="n">
        <v>-46.573682</v>
      </c>
      <c r="D24111" s="43" t="n">
        <v>167</v>
      </c>
      <c r="E24111" s="44" t="n">
        <v>7250.6763</v>
      </c>
    </row>
    <row r="24112">
      <c r="A24112" s="39">
        <f>_xlfn.XLOOKUP(85855,Trip[shape_id],Trip[shape_id],"Não encontrado")</f>
        <v/>
      </c>
      <c r="B24112" s="40" t="n">
        <v>-23.50524</v>
      </c>
      <c r="C24112" s="40" t="n">
        <v>-46.573923</v>
      </c>
      <c r="D24112" s="40" t="n">
        <v>168</v>
      </c>
      <c r="E24112" s="41" t="n">
        <v>7275.8589</v>
      </c>
    </row>
    <row r="24113">
      <c r="A24113" s="42">
        <f>_xlfn.XLOOKUP(85855,Trip[shape_id],Trip[shape_id],"Não encontrado")</f>
        <v/>
      </c>
      <c r="B24113" s="43" t="n">
        <v>-23.505161</v>
      </c>
      <c r="C24113" s="43" t="n">
        <v>-46.574364</v>
      </c>
      <c r="D24113" s="43" t="n">
        <v>169</v>
      </c>
      <c r="E24113" s="44" t="n">
        <v>7321.7432</v>
      </c>
    </row>
    <row r="24114">
      <c r="A24114" s="39">
        <f>_xlfn.XLOOKUP(85855,Trip[shape_id],Trip[shape_id],"Não encontrado")</f>
        <v/>
      </c>
      <c r="B24114" s="40" t="n">
        <v>-23.505191</v>
      </c>
      <c r="C24114" s="40" t="n">
        <v>-46.574606</v>
      </c>
      <c r="D24114" s="40" t="n">
        <v>170</v>
      </c>
      <c r="E24114" s="41" t="n">
        <v>7346.6826</v>
      </c>
    </row>
    <row r="24115">
      <c r="A24115" s="42">
        <f>_xlfn.XLOOKUP(85855,Trip[shape_id],Trip[shape_id],"Não encontrado")</f>
        <v/>
      </c>
      <c r="B24115" s="43" t="n">
        <v>-23.50522</v>
      </c>
      <c r="C24115" s="43" t="n">
        <v>-46.574843</v>
      </c>
      <c r="D24115" s="43" t="n">
        <v>171</v>
      </c>
      <c r="E24115" s="44" t="n">
        <v>7371.1016</v>
      </c>
    </row>
    <row r="24116">
      <c r="A24116" s="39">
        <f>_xlfn.XLOOKUP(85855,Trip[shape_id],Trip[shape_id],"Não encontrado")</f>
        <v/>
      </c>
      <c r="B24116" s="40" t="n">
        <v>-23.505247</v>
      </c>
      <c r="C24116" s="40" t="n">
        <v>-46.575063</v>
      </c>
      <c r="D24116" s="40" t="n">
        <v>172</v>
      </c>
      <c r="E24116" s="41" t="n">
        <v>7393.77</v>
      </c>
    </row>
    <row r="24117">
      <c r="A24117" s="42">
        <f>_xlfn.XLOOKUP(85855,Trip[shape_id],Trip[shape_id],"Não encontrado")</f>
        <v/>
      </c>
      <c r="B24117" s="43" t="n">
        <v>-23.505322</v>
      </c>
      <c r="C24117" s="43" t="n">
        <v>-46.575348</v>
      </c>
      <c r="D24117" s="43" t="n">
        <v>173</v>
      </c>
      <c r="E24117" s="44" t="n">
        <v>7424.041</v>
      </c>
    </row>
    <row r="24118">
      <c r="A24118" s="39">
        <f>_xlfn.XLOOKUP(85855,Trip[shape_id],Trip[shape_id],"Não encontrado")</f>
        <v/>
      </c>
      <c r="B24118" s="40" t="n">
        <v>-23.505369</v>
      </c>
      <c r="C24118" s="40" t="n">
        <v>-46.575529</v>
      </c>
      <c r="D24118" s="40" t="n">
        <v>174</v>
      </c>
      <c r="E24118" s="41" t="n">
        <v>7443.2466</v>
      </c>
    </row>
    <row r="24119">
      <c r="A24119" s="42">
        <f>_xlfn.XLOOKUP(85855,Trip[shape_id],Trip[shape_id],"Não encontrado")</f>
        <v/>
      </c>
      <c r="B24119" s="43" t="n">
        <v>-23.505522</v>
      </c>
      <c r="C24119" s="43" t="n">
        <v>-46.575885</v>
      </c>
      <c r="D24119" s="43" t="n">
        <v>175</v>
      </c>
      <c r="E24119" s="44" t="n">
        <v>7483.3618</v>
      </c>
    </row>
    <row r="24120">
      <c r="A24120" s="39">
        <f>_xlfn.XLOOKUP(85855,Trip[shape_id],Trip[shape_id],"Não encontrado")</f>
        <v/>
      </c>
      <c r="B24120" s="40" t="n">
        <v>-23.505645</v>
      </c>
      <c r="C24120" s="40" t="n">
        <v>-46.576128</v>
      </c>
      <c r="D24120" s="40" t="n">
        <v>176</v>
      </c>
      <c r="E24120" s="41" t="n">
        <v>7511.6738</v>
      </c>
    </row>
    <row r="24121">
      <c r="A24121" s="42">
        <f>_xlfn.XLOOKUP(85855,Trip[shape_id],Trip[shape_id],"Não encontrado")</f>
        <v/>
      </c>
      <c r="B24121" s="43" t="n">
        <v>-23.505819</v>
      </c>
      <c r="C24121" s="43" t="n">
        <v>-46.576464</v>
      </c>
      <c r="D24121" s="43" t="n">
        <v>177</v>
      </c>
      <c r="E24121" s="44" t="n">
        <v>7551.0322</v>
      </c>
    </row>
    <row r="24122">
      <c r="A24122" s="39">
        <f>_xlfn.XLOOKUP(85855,Trip[shape_id],Trip[shape_id],"Não encontrado")</f>
        <v/>
      </c>
      <c r="B24122" s="40" t="n">
        <v>-23.505945</v>
      </c>
      <c r="C24122" s="40" t="n">
        <v>-46.576706</v>
      </c>
      <c r="D24122" s="40" t="n">
        <v>178</v>
      </c>
      <c r="E24122" s="41" t="n">
        <v>7579.4165</v>
      </c>
    </row>
    <row r="24123">
      <c r="A24123" s="42">
        <f>_xlfn.XLOOKUP(85855,Trip[shape_id],Trip[shape_id],"Não encontrado")</f>
        <v/>
      </c>
      <c r="B24123" s="43" t="n">
        <v>-23.506051</v>
      </c>
      <c r="C24123" s="43" t="n">
        <v>-46.576912</v>
      </c>
      <c r="D24123" s="43" t="n">
        <v>179</v>
      </c>
      <c r="E24123" s="44" t="n">
        <v>7603.5103</v>
      </c>
    </row>
    <row r="24124">
      <c r="A24124" s="39">
        <f>_xlfn.XLOOKUP(85855,Trip[shape_id],Trip[shape_id],"Não encontrado")</f>
        <v/>
      </c>
      <c r="B24124" s="40" t="n">
        <v>-23.506092</v>
      </c>
      <c r="C24124" s="40" t="n">
        <v>-46.576987</v>
      </c>
      <c r="D24124" s="40" t="n">
        <v>180</v>
      </c>
      <c r="E24124" s="41" t="n">
        <v>7612.4155</v>
      </c>
    </row>
    <row r="24125">
      <c r="A24125" s="42">
        <f>_xlfn.XLOOKUP(85855,Trip[shape_id],Trip[shape_id],"Não encontrado")</f>
        <v/>
      </c>
      <c r="B24125" s="43" t="n">
        <v>-23.506108</v>
      </c>
      <c r="C24125" s="43" t="n">
        <v>-46.576995</v>
      </c>
      <c r="D24125" s="43" t="n">
        <v>181</v>
      </c>
      <c r="E24125" s="44" t="n">
        <v>7614.3682</v>
      </c>
    </row>
    <row r="24126">
      <c r="A24126" s="39">
        <f>_xlfn.XLOOKUP(85855,Trip[shape_id],Trip[shape_id],"Não encontrado")</f>
        <v/>
      </c>
      <c r="B24126" s="40" t="n">
        <v>-23.506121</v>
      </c>
      <c r="C24126" s="40" t="n">
        <v>-46.577006</v>
      </c>
      <c r="D24126" s="40" t="n">
        <v>182</v>
      </c>
      <c r="E24126" s="41" t="n">
        <v>7616.1929</v>
      </c>
    </row>
    <row r="24127">
      <c r="A24127" s="42">
        <f>_xlfn.XLOOKUP(85855,Trip[shape_id],Trip[shape_id],"Não encontrado")</f>
        <v/>
      </c>
      <c r="B24127" s="43" t="n">
        <v>-23.506166</v>
      </c>
      <c r="C24127" s="43" t="n">
        <v>-46.577049</v>
      </c>
      <c r="D24127" s="43" t="n">
        <v>183</v>
      </c>
      <c r="E24127" s="44" t="n">
        <v>7622.835</v>
      </c>
    </row>
    <row r="24128">
      <c r="A24128" s="39">
        <f>_xlfn.XLOOKUP(85855,Trip[shape_id],Trip[shape_id],"Não encontrado")</f>
        <v/>
      </c>
      <c r="B24128" s="40" t="n">
        <v>-23.506212</v>
      </c>
      <c r="C24128" s="40" t="n">
        <v>-46.577101</v>
      </c>
      <c r="D24128" s="40" t="n">
        <v>184</v>
      </c>
      <c r="E24128" s="41" t="n">
        <v>7630.1943</v>
      </c>
    </row>
    <row r="24129">
      <c r="A24129" s="42">
        <f>_xlfn.XLOOKUP(85855,Trip[shape_id],Trip[shape_id],"Não encontrado")</f>
        <v/>
      </c>
      <c r="B24129" s="43" t="n">
        <v>-23.506251</v>
      </c>
      <c r="C24129" s="43" t="n">
        <v>-46.577145</v>
      </c>
      <c r="D24129" s="43" t="n">
        <v>185</v>
      </c>
      <c r="E24129" s="44" t="n">
        <v>7636.4268</v>
      </c>
    </row>
    <row r="24130">
      <c r="A24130" s="39">
        <f>_xlfn.XLOOKUP(85855,Trip[shape_id],Trip[shape_id],"Não encontrado")</f>
        <v/>
      </c>
      <c r="B24130" s="40" t="n">
        <v>-23.506355</v>
      </c>
      <c r="C24130" s="40" t="n">
        <v>-46.577279</v>
      </c>
      <c r="D24130" s="40" t="n">
        <v>186</v>
      </c>
      <c r="E24130" s="41" t="n">
        <v>7654.3149</v>
      </c>
    </row>
    <row r="24131">
      <c r="A24131" s="42">
        <f>_xlfn.XLOOKUP(85855,Trip[shape_id],Trip[shape_id],"Não encontrado")</f>
        <v/>
      </c>
      <c r="B24131" s="43" t="n">
        <v>-23.50643</v>
      </c>
      <c r="C24131" s="43" t="n">
        <v>-46.577431</v>
      </c>
      <c r="D24131" s="43" t="n">
        <v>187</v>
      </c>
      <c r="E24131" s="44" t="n">
        <v>7671.9224</v>
      </c>
    </row>
    <row r="24132">
      <c r="A24132" s="39">
        <f>_xlfn.XLOOKUP(85855,Trip[shape_id],Trip[shape_id],"Não encontrado")</f>
        <v/>
      </c>
      <c r="B24132" s="40" t="n">
        <v>-23.506483</v>
      </c>
      <c r="C24132" s="40" t="n">
        <v>-46.577569</v>
      </c>
      <c r="D24132" s="40" t="n">
        <v>188</v>
      </c>
      <c r="E24132" s="41" t="n">
        <v>7687.1909</v>
      </c>
    </row>
    <row r="24133">
      <c r="A24133" s="42">
        <f>_xlfn.XLOOKUP(85855,Trip[shape_id],Trip[shape_id],"Não encontrado")</f>
        <v/>
      </c>
      <c r="B24133" s="43" t="n">
        <v>-23.506469</v>
      </c>
      <c r="C24133" s="43" t="n">
        <v>-46.577604</v>
      </c>
      <c r="D24133" s="43" t="n">
        <v>189</v>
      </c>
      <c r="E24133" s="44" t="n">
        <v>7691.0869</v>
      </c>
    </row>
    <row r="24134">
      <c r="A24134" s="39">
        <f>_xlfn.XLOOKUP(85855,Trip[shape_id],Trip[shape_id],"Não encontrado")</f>
        <v/>
      </c>
      <c r="B24134" s="40" t="n">
        <v>-23.506461</v>
      </c>
      <c r="C24134" s="40" t="n">
        <v>-46.577638</v>
      </c>
      <c r="D24134" s="40" t="n">
        <v>190</v>
      </c>
      <c r="E24134" s="41" t="n">
        <v>7694.6704</v>
      </c>
    </row>
    <row r="24135">
      <c r="A24135" s="42">
        <f>_xlfn.XLOOKUP(85855,Trip[shape_id],Trip[shape_id],"Não encontrado")</f>
        <v/>
      </c>
      <c r="B24135" s="43" t="n">
        <v>-23.506463</v>
      </c>
      <c r="C24135" s="43" t="n">
        <v>-46.577667</v>
      </c>
      <c r="D24135" s="43" t="n">
        <v>191</v>
      </c>
      <c r="E24135" s="44" t="n">
        <v>7697.6396</v>
      </c>
    </row>
    <row r="24136">
      <c r="A24136" s="39">
        <f>_xlfn.XLOOKUP(85855,Trip[shape_id],Trip[shape_id],"Não encontrado")</f>
        <v/>
      </c>
      <c r="B24136" s="40" t="n">
        <v>-23.506469</v>
      </c>
      <c r="C24136" s="40" t="n">
        <v>-46.577702</v>
      </c>
      <c r="D24136" s="40" t="n">
        <v>192</v>
      </c>
      <c r="E24136" s="41" t="n">
        <v>7701.2759</v>
      </c>
    </row>
    <row r="24137">
      <c r="A24137" s="42">
        <f>_xlfn.XLOOKUP(85855,Trip[shape_id],Trip[shape_id],"Não encontrado")</f>
        <v/>
      </c>
      <c r="B24137" s="43" t="n">
        <v>-23.506463</v>
      </c>
      <c r="C24137" s="43" t="n">
        <v>-46.577667</v>
      </c>
      <c r="D24137" s="43" t="n">
        <v>193</v>
      </c>
      <c r="E24137" s="44" t="n">
        <v>7707.8813</v>
      </c>
    </row>
    <row r="24138">
      <c r="A24138" s="39">
        <f>_xlfn.XLOOKUP(85855,Trip[shape_id],Trip[shape_id],"Não encontrado")</f>
        <v/>
      </c>
      <c r="B24138" s="40" t="n">
        <v>-23.506461</v>
      </c>
      <c r="C24138" s="40" t="n">
        <v>-46.577638</v>
      </c>
      <c r="D24138" s="40" t="n">
        <v>194</v>
      </c>
      <c r="E24138" s="41" t="n">
        <v>7711.4648</v>
      </c>
    </row>
    <row r="24139">
      <c r="A24139" s="42">
        <f>_xlfn.XLOOKUP(85855,Trip[shape_id],Trip[shape_id],"Não encontrado")</f>
        <v/>
      </c>
      <c r="B24139" s="43" t="n">
        <v>-23.506469</v>
      </c>
      <c r="C24139" s="43" t="n">
        <v>-46.577604</v>
      </c>
      <c r="D24139" s="43" t="n">
        <v>195</v>
      </c>
      <c r="E24139" s="44" t="n">
        <v>7715.3608</v>
      </c>
    </row>
    <row r="24140">
      <c r="A24140" s="39">
        <f>_xlfn.XLOOKUP(85855,Trip[shape_id],Trip[shape_id],"Não encontrado")</f>
        <v/>
      </c>
      <c r="B24140" s="40" t="n">
        <v>-23.506483</v>
      </c>
      <c r="C24140" s="40" t="n">
        <v>-46.577569</v>
      </c>
      <c r="D24140" s="40" t="n">
        <v>196</v>
      </c>
      <c r="E24140" s="41" t="n">
        <v>7715.3608</v>
      </c>
    </row>
    <row r="24141">
      <c r="A24141" s="42">
        <f>_xlfn.XLOOKUP(85855,Trip[shape_id],Trip[shape_id],"Não encontrado")</f>
        <v/>
      </c>
      <c r="B24141" s="43" t="n">
        <v>-23.50652</v>
      </c>
      <c r="C24141" s="43" t="n">
        <v>-46.577551</v>
      </c>
      <c r="D24141" s="43" t="n">
        <v>197</v>
      </c>
      <c r="E24141" s="44" t="n">
        <v>7719.8525</v>
      </c>
    </row>
    <row r="24142">
      <c r="A24142" s="39">
        <f>_xlfn.XLOOKUP(85855,Trip[shape_id],Trip[shape_id],"Não encontrado")</f>
        <v/>
      </c>
      <c r="B24142" s="40" t="n">
        <v>-23.50654</v>
      </c>
      <c r="C24142" s="40" t="n">
        <v>-46.577551</v>
      </c>
      <c r="D24142" s="40" t="n">
        <v>198</v>
      </c>
      <c r="E24142" s="41" t="n">
        <v>7722.0669</v>
      </c>
    </row>
    <row r="24143">
      <c r="A24143" s="42">
        <f>_xlfn.XLOOKUP(85855,Trip[shape_id],Trip[shape_id],"Não encontrado")</f>
        <v/>
      </c>
      <c r="B24143" s="43" t="n">
        <v>-23.50657</v>
      </c>
      <c r="C24143" s="43" t="n">
        <v>-46.577554</v>
      </c>
      <c r="D24143" s="43" t="n">
        <v>199</v>
      </c>
      <c r="E24143" s="44" t="n">
        <v>7725.4043</v>
      </c>
    </row>
    <row r="24144">
      <c r="A24144" s="39">
        <f>_xlfn.XLOOKUP(85855,Trip[shape_id],Trip[shape_id],"Não encontrado")</f>
        <v/>
      </c>
      <c r="B24144" s="40" t="n">
        <v>-23.50662</v>
      </c>
      <c r="C24144" s="40" t="n">
        <v>-46.577567</v>
      </c>
      <c r="D24144" s="40" t="n">
        <v>200</v>
      </c>
      <c r="E24144" s="41" t="n">
        <v>7731.0996</v>
      </c>
    </row>
    <row r="24145">
      <c r="A24145" s="42">
        <f>_xlfn.XLOOKUP(85855,Trip[shape_id],Trip[shape_id],"Não encontrado")</f>
        <v/>
      </c>
      <c r="B24145" s="43" t="n">
        <v>-23.50667</v>
      </c>
      <c r="C24145" s="43" t="n">
        <v>-46.577589</v>
      </c>
      <c r="D24145" s="43" t="n">
        <v>201</v>
      </c>
      <c r="E24145" s="44" t="n">
        <v>7737.0752</v>
      </c>
    </row>
    <row r="24146">
      <c r="A24146" s="39">
        <f>_xlfn.XLOOKUP(85855,Trip[shape_id],Trip[shape_id],"Não encontrado")</f>
        <v/>
      </c>
      <c r="B24146" s="40" t="n">
        <v>-23.50674</v>
      </c>
      <c r="C24146" s="40" t="n">
        <v>-46.577631</v>
      </c>
      <c r="D24146" s="40" t="n">
        <v>202</v>
      </c>
      <c r="E24146" s="41" t="n">
        <v>7745.9351</v>
      </c>
    </row>
    <row r="24147">
      <c r="A24147" s="42">
        <f>_xlfn.XLOOKUP(85855,Trip[shape_id],Trip[shape_id],"Não encontrado")</f>
        <v/>
      </c>
      <c r="B24147" s="43" t="n">
        <v>-23.506851</v>
      </c>
      <c r="C24147" s="43" t="n">
        <v>-46.577702</v>
      </c>
      <c r="D24147" s="43" t="n">
        <v>203</v>
      </c>
      <c r="E24147" s="44" t="n">
        <v>7760.208</v>
      </c>
    </row>
    <row r="24148">
      <c r="A24148" s="39">
        <f>_xlfn.XLOOKUP(85855,Trip[shape_id],Trip[shape_id],"Não encontrado")</f>
        <v/>
      </c>
      <c r="B24148" s="40" t="n">
        <v>-23.50724</v>
      </c>
      <c r="C24148" s="40" t="n">
        <v>-46.577957</v>
      </c>
      <c r="D24148" s="40" t="n">
        <v>204</v>
      </c>
      <c r="E24148" s="41" t="n">
        <v>7810.5508</v>
      </c>
    </row>
    <row r="24149">
      <c r="A24149" s="42">
        <f>_xlfn.XLOOKUP(85855,Trip[shape_id],Trip[shape_id],"Não encontrado")</f>
        <v/>
      </c>
      <c r="B24149" s="43" t="n">
        <v>-23.507525</v>
      </c>
      <c r="C24149" s="43" t="n">
        <v>-46.57814</v>
      </c>
      <c r="D24149" s="43" t="n">
        <v>205</v>
      </c>
      <c r="E24149" s="44" t="n">
        <v>7847.2339</v>
      </c>
    </row>
    <row r="24150">
      <c r="A24150" s="39">
        <f>_xlfn.XLOOKUP(85855,Trip[shape_id],Trip[shape_id],"Não encontrado")</f>
        <v/>
      </c>
      <c r="B24150" s="40" t="n">
        <v>-23.507646</v>
      </c>
      <c r="C24150" s="40" t="n">
        <v>-46.57824</v>
      </c>
      <c r="D24150" s="40" t="n">
        <v>206</v>
      </c>
      <c r="E24150" s="41" t="n">
        <v>7864.083</v>
      </c>
    </row>
    <row r="24151">
      <c r="A24151" s="42">
        <f>_xlfn.XLOOKUP(85855,Trip[shape_id],Trip[shape_id],"Não encontrado")</f>
        <v/>
      </c>
      <c r="B24151" s="43" t="n">
        <v>-23.507757</v>
      </c>
      <c r="C24151" s="43" t="n">
        <v>-46.578378</v>
      </c>
      <c r="D24151" s="43" t="n">
        <v>207</v>
      </c>
      <c r="E24151" s="44" t="n">
        <v>7882.7856</v>
      </c>
    </row>
    <row r="24152">
      <c r="A24152" s="39">
        <f>_xlfn.XLOOKUP(85855,Trip[shape_id],Trip[shape_id],"Não encontrado")</f>
        <v/>
      </c>
      <c r="B24152" s="40" t="n">
        <v>-23.507849</v>
      </c>
      <c r="C24152" s="40" t="n">
        <v>-46.578537</v>
      </c>
      <c r="D24152" s="40" t="n">
        <v>208</v>
      </c>
      <c r="E24152" s="41" t="n">
        <v>7901.957</v>
      </c>
    </row>
    <row r="24153">
      <c r="A24153" s="42">
        <f>_xlfn.XLOOKUP(85855,Trip[shape_id],Trip[shape_id],"Não encontrado")</f>
        <v/>
      </c>
      <c r="B24153" s="43" t="n">
        <v>-23.507906</v>
      </c>
      <c r="C24153" s="43" t="n">
        <v>-46.578687</v>
      </c>
      <c r="D24153" s="43" t="n">
        <v>209</v>
      </c>
      <c r="E24153" s="44" t="n">
        <v>7918.5269</v>
      </c>
    </row>
    <row r="24154">
      <c r="A24154" s="39">
        <f>_xlfn.XLOOKUP(85855,Trip[shape_id],Trip[shape_id],"Não encontrado")</f>
        <v/>
      </c>
      <c r="B24154" s="40" t="n">
        <v>-23.507963</v>
      </c>
      <c r="C24154" s="40" t="n">
        <v>-46.578878</v>
      </c>
      <c r="D24154" s="40" t="n">
        <v>210</v>
      </c>
      <c r="E24154" s="41" t="n">
        <v>7939.0308</v>
      </c>
    </row>
    <row r="24155">
      <c r="A24155" s="42">
        <f>_xlfn.XLOOKUP(85855,Trip[shape_id],Trip[shape_id],"Não encontrado")</f>
        <v/>
      </c>
      <c r="B24155" s="43" t="n">
        <v>-23.508016</v>
      </c>
      <c r="C24155" s="43" t="n">
        <v>-46.579113</v>
      </c>
      <c r="D24155" s="43" t="n">
        <v>211</v>
      </c>
      <c r="E24155" s="44" t="n">
        <v>7963.7397</v>
      </c>
    </row>
    <row r="24156">
      <c r="A24156" s="39">
        <f>_xlfn.XLOOKUP(85855,Trip[shape_id],Trip[shape_id],"Não encontrado")</f>
        <v/>
      </c>
      <c r="B24156" s="40" t="n">
        <v>-23.508042</v>
      </c>
      <c r="C24156" s="40" t="n">
        <v>-46.579309</v>
      </c>
      <c r="D24156" s="40" t="n">
        <v>212</v>
      </c>
      <c r="E24156" s="41" t="n">
        <v>7983.9644</v>
      </c>
    </row>
    <row r="24157">
      <c r="A24157" s="42">
        <f>_xlfn.XLOOKUP(85855,Trip[shape_id],Trip[shape_id],"Não encontrado")</f>
        <v/>
      </c>
      <c r="B24157" s="43" t="n">
        <v>-23.508047</v>
      </c>
      <c r="C24157" s="43" t="n">
        <v>-46.579423</v>
      </c>
      <c r="D24157" s="43" t="n">
        <v>213</v>
      </c>
      <c r="E24157" s="44" t="n">
        <v>7995.6206</v>
      </c>
    </row>
    <row r="24158">
      <c r="A24158" s="39">
        <f>_xlfn.XLOOKUP(85855,Trip[shape_id],Trip[shape_id],"Não encontrado")</f>
        <v/>
      </c>
      <c r="B24158" s="40" t="n">
        <v>-23.508017</v>
      </c>
      <c r="C24158" s="40" t="n">
        <v>-46.579684</v>
      </c>
      <c r="D24158" s="40" t="n">
        <v>214</v>
      </c>
      <c r="E24158" s="41" t="n">
        <v>8022.4844</v>
      </c>
    </row>
    <row r="24159">
      <c r="A24159" s="42">
        <f>_xlfn.XLOOKUP(85855,Trip[shape_id],Trip[shape_id],"Não encontrado")</f>
        <v/>
      </c>
      <c r="B24159" s="43" t="n">
        <v>-23.507944</v>
      </c>
      <c r="C24159" s="43" t="n">
        <v>-46.579971</v>
      </c>
      <c r="D24159" s="43" t="n">
        <v>215</v>
      </c>
      <c r="E24159" s="44" t="n">
        <v>8052.8916</v>
      </c>
    </row>
    <row r="24160">
      <c r="A24160" s="39">
        <f>_xlfn.XLOOKUP(85855,Trip[shape_id],Trip[shape_id],"Não encontrado")</f>
        <v/>
      </c>
      <c r="B24160" s="40" t="n">
        <v>-23.50793</v>
      </c>
      <c r="C24160" s="40" t="n">
        <v>-46.580152</v>
      </c>
      <c r="D24160" s="40" t="n">
        <v>216</v>
      </c>
      <c r="E24160" s="41" t="n">
        <v>8071.4429</v>
      </c>
    </row>
    <row r="24161">
      <c r="A24161" s="42">
        <f>_xlfn.XLOOKUP(85855,Trip[shape_id],Trip[shape_id],"Não encontrado")</f>
        <v/>
      </c>
      <c r="B24161" s="43" t="n">
        <v>-23.507972</v>
      </c>
      <c r="C24161" s="43" t="n">
        <v>-46.580313</v>
      </c>
      <c r="D24161" s="43" t="n">
        <v>217</v>
      </c>
      <c r="E24161" s="44" t="n">
        <v>8088.5322</v>
      </c>
    </row>
    <row r="24162">
      <c r="A24162" s="39">
        <f>_xlfn.XLOOKUP(85855,Trip[shape_id],Trip[shape_id],"Não encontrado")</f>
        <v/>
      </c>
      <c r="B24162" s="40" t="n">
        <v>-23.508076</v>
      </c>
      <c r="C24162" s="40" t="n">
        <v>-46.580417</v>
      </c>
      <c r="D24162" s="40" t="n">
        <v>218</v>
      </c>
      <c r="E24162" s="41" t="n">
        <v>8104.2007</v>
      </c>
    </row>
    <row r="24163">
      <c r="A24163" s="42">
        <f>_xlfn.XLOOKUP(85855,Trip[shape_id],Trip[shape_id],"Não encontrado")</f>
        <v/>
      </c>
      <c r="B24163" s="43" t="n">
        <v>-23.508116</v>
      </c>
      <c r="C24163" s="43" t="n">
        <v>-46.580447</v>
      </c>
      <c r="D24163" s="43" t="n">
        <v>219</v>
      </c>
      <c r="E24163" s="44" t="n">
        <v>8109.5869</v>
      </c>
    </row>
    <row r="24164">
      <c r="A24164" s="39">
        <f>_xlfn.XLOOKUP(85855,Trip[shape_id],Trip[shape_id],"Não encontrado")</f>
        <v/>
      </c>
      <c r="B24164" s="40" t="n">
        <v>-23.508234</v>
      </c>
      <c r="C24164" s="40" t="n">
        <v>-46.580533</v>
      </c>
      <c r="D24164" s="40" t="n">
        <v>220</v>
      </c>
      <c r="E24164" s="41" t="n">
        <v>8125.333</v>
      </c>
    </row>
    <row r="24165">
      <c r="A24165" s="42">
        <f>_xlfn.XLOOKUP(85855,Trip[shape_id],Trip[shape_id],"Não encontrado")</f>
        <v/>
      </c>
      <c r="B24165" s="43" t="n">
        <v>-23.508294</v>
      </c>
      <c r="C24165" s="43" t="n">
        <v>-46.580563</v>
      </c>
      <c r="D24165" s="43" t="n">
        <v>221</v>
      </c>
      <c r="E24165" s="44" t="n">
        <v>8132.6509</v>
      </c>
    </row>
    <row r="24166">
      <c r="A24166" s="39">
        <f>_xlfn.XLOOKUP(85855,Trip[shape_id],Trip[shape_id],"Não encontrado")</f>
        <v/>
      </c>
      <c r="B24166" s="40" t="n">
        <v>-23.50842</v>
      </c>
      <c r="C24166" s="40" t="n">
        <v>-46.580604</v>
      </c>
      <c r="D24166" s="40" t="n">
        <v>222</v>
      </c>
      <c r="E24166" s="41" t="n">
        <v>8147.2202</v>
      </c>
    </row>
    <row r="24167">
      <c r="A24167" s="42">
        <f>_xlfn.XLOOKUP(85855,Trip[shape_id],Trip[shape_id],"Não encontrado")</f>
        <v/>
      </c>
      <c r="B24167" s="43" t="n">
        <v>-23.508555</v>
      </c>
      <c r="C24167" s="43" t="n">
        <v>-46.580569</v>
      </c>
      <c r="D24167" s="43" t="n">
        <v>223</v>
      </c>
      <c r="E24167" s="44" t="n">
        <v>8162.5928</v>
      </c>
    </row>
    <row r="24168">
      <c r="A24168" s="39">
        <f>_xlfn.XLOOKUP(85855,Trip[shape_id],Trip[shape_id],"Não encontrado")</f>
        <v/>
      </c>
      <c r="B24168" s="40" t="n">
        <v>-23.508878</v>
      </c>
      <c r="C24168" s="40" t="n">
        <v>-46.580468</v>
      </c>
      <c r="D24168" s="40" t="n">
        <v>224</v>
      </c>
      <c r="E24168" s="41" t="n">
        <v>8199.823200000001</v>
      </c>
    </row>
    <row r="24169">
      <c r="A24169" s="42">
        <f>_xlfn.XLOOKUP(85855,Trip[shape_id],Trip[shape_id],"Não encontrado")</f>
        <v/>
      </c>
      <c r="B24169" s="43" t="n">
        <v>-23.509161</v>
      </c>
      <c r="C24169" s="43" t="n">
        <v>-46.580403</v>
      </c>
      <c r="D24169" s="43" t="n">
        <v>225</v>
      </c>
      <c r="E24169" s="44" t="n">
        <v>8231.8613</v>
      </c>
    </row>
    <row r="24170">
      <c r="A24170" s="39">
        <f>_xlfn.XLOOKUP(85855,Trip[shape_id],Trip[shape_id],"Não encontrado")</f>
        <v/>
      </c>
      <c r="B24170" s="40" t="n">
        <v>-23.509226</v>
      </c>
      <c r="C24170" s="40" t="n">
        <v>-46.58039</v>
      </c>
      <c r="D24170" s="40" t="n">
        <v>226</v>
      </c>
      <c r="E24170" s="41" t="n">
        <v>8239.180700000001</v>
      </c>
    </row>
    <row r="24171">
      <c r="A24171" s="42">
        <f>_xlfn.XLOOKUP(85855,Trip[shape_id],Trip[shape_id],"Não encontrado")</f>
        <v/>
      </c>
      <c r="B24171" s="43" t="n">
        <v>-23.509334</v>
      </c>
      <c r="C24171" s="43" t="n">
        <v>-46.580383</v>
      </c>
      <c r="D24171" s="43" t="n">
        <v>227</v>
      </c>
      <c r="E24171" s="44" t="n">
        <v>8251.1631</v>
      </c>
    </row>
    <row r="24172">
      <c r="A24172" s="39">
        <f>_xlfn.XLOOKUP(85855,Trip[shape_id],Trip[shape_id],"Não encontrado")</f>
        <v/>
      </c>
      <c r="B24172" s="40" t="n">
        <v>-23.509473</v>
      </c>
      <c r="C24172" s="40" t="n">
        <v>-46.580398</v>
      </c>
      <c r="D24172" s="40" t="n">
        <v>228</v>
      </c>
      <c r="E24172" s="41" t="n">
        <v>8266.6338</v>
      </c>
    </row>
    <row r="24173">
      <c r="A24173" s="42">
        <f>_xlfn.XLOOKUP(85855,Trip[shape_id],Trip[shape_id],"Não encontrado")</f>
        <v/>
      </c>
      <c r="B24173" s="43" t="n">
        <v>-23.509531</v>
      </c>
      <c r="C24173" s="43" t="n">
        <v>-46.580413</v>
      </c>
      <c r="D24173" s="43" t="n">
        <v>229</v>
      </c>
      <c r="E24173" s="44" t="n">
        <v>8273.237300000001</v>
      </c>
    </row>
    <row r="24174">
      <c r="A24174" s="39">
        <f>_xlfn.XLOOKUP(85855,Trip[shape_id],Trip[shape_id],"Não encontrado")</f>
        <v/>
      </c>
      <c r="B24174" s="40" t="n">
        <v>-23.509773</v>
      </c>
      <c r="C24174" s="40" t="n">
        <v>-46.580476</v>
      </c>
      <c r="D24174" s="40" t="n">
        <v>230</v>
      </c>
      <c r="E24174" s="41" t="n">
        <v>8300.800800000001</v>
      </c>
    </row>
    <row r="24175">
      <c r="A24175" s="42">
        <f>_xlfn.XLOOKUP(85855,Trip[shape_id],Trip[shape_id],"Não encontrado")</f>
        <v/>
      </c>
      <c r="B24175" s="43" t="n">
        <v>-23.510003</v>
      </c>
      <c r="C24175" s="43" t="n">
        <v>-46.580613</v>
      </c>
      <c r="D24175" s="43" t="n">
        <v>231</v>
      </c>
      <c r="E24175" s="44" t="n">
        <v>8329.863300000001</v>
      </c>
    </row>
    <row r="24176">
      <c r="A24176" s="39">
        <f>_xlfn.XLOOKUP(85855,Trip[shape_id],Trip[shape_id],"Não encontrado")</f>
        <v/>
      </c>
      <c r="B24176" s="40" t="n">
        <v>-23.510128</v>
      </c>
      <c r="C24176" s="40" t="n">
        <v>-46.580703</v>
      </c>
      <c r="D24176" s="40" t="n">
        <v>232</v>
      </c>
      <c r="E24176" s="41" t="n">
        <v>8346.481400000001</v>
      </c>
    </row>
    <row r="24177">
      <c r="A24177" s="42">
        <f>_xlfn.XLOOKUP(85855,Trip[shape_id],Trip[shape_id],"Não encontrado")</f>
        <v/>
      </c>
      <c r="B24177" s="43" t="n">
        <v>-23.51021</v>
      </c>
      <c r="C24177" s="43" t="n">
        <v>-46.580751</v>
      </c>
      <c r="D24177" s="43" t="n">
        <v>233</v>
      </c>
      <c r="E24177" s="44" t="n">
        <v>8356.801799999999</v>
      </c>
    </row>
    <row r="24178">
      <c r="A24178" s="39">
        <f>_xlfn.XLOOKUP(85855,Trip[shape_id],Trip[shape_id],"Não encontrado")</f>
        <v/>
      </c>
      <c r="B24178" s="40" t="n">
        <v>-23.510322</v>
      </c>
      <c r="C24178" s="40" t="n">
        <v>-46.580814</v>
      </c>
      <c r="D24178" s="40" t="n">
        <v>234</v>
      </c>
      <c r="E24178" s="41" t="n">
        <v>8370.7754</v>
      </c>
    </row>
    <row r="24179">
      <c r="A24179" s="42">
        <f>_xlfn.XLOOKUP(85855,Trip[shape_id],Trip[shape_id],"Não encontrado")</f>
        <v/>
      </c>
      <c r="B24179" s="43" t="n">
        <v>-23.510383</v>
      </c>
      <c r="C24179" s="43" t="n">
        <v>-46.580849</v>
      </c>
      <c r="D24179" s="43" t="n">
        <v>235</v>
      </c>
      <c r="E24179" s="44" t="n">
        <v>8378.418900000001</v>
      </c>
    </row>
    <row r="24180">
      <c r="A24180" s="39">
        <f>_xlfn.XLOOKUP(85855,Trip[shape_id],Trip[shape_id],"Não encontrado")</f>
        <v/>
      </c>
      <c r="B24180" s="40" t="n">
        <v>-23.510535</v>
      </c>
      <c r="C24180" s="40" t="n">
        <v>-46.580908</v>
      </c>
      <c r="D24180" s="40" t="n">
        <v>236</v>
      </c>
      <c r="E24180" s="41" t="n">
        <v>8396.2988</v>
      </c>
    </row>
    <row r="24181">
      <c r="A24181" s="42">
        <f>_xlfn.XLOOKUP(85855,Trip[shape_id],Trip[shape_id],"Não encontrado")</f>
        <v/>
      </c>
      <c r="B24181" s="43" t="n">
        <v>-23.510624</v>
      </c>
      <c r="C24181" s="43" t="n">
        <v>-46.580942</v>
      </c>
      <c r="D24181" s="43" t="n">
        <v>237</v>
      </c>
      <c r="E24181" s="44" t="n">
        <v>8406.75</v>
      </c>
    </row>
    <row r="24182">
      <c r="A24182" s="39">
        <f>_xlfn.XLOOKUP(85855,Trip[shape_id],Trip[shape_id],"Não encontrado")</f>
        <v/>
      </c>
      <c r="B24182" s="40" t="n">
        <v>-23.510813</v>
      </c>
      <c r="C24182" s="40" t="n">
        <v>-46.580984</v>
      </c>
      <c r="D24182" s="40" t="n">
        <v>238</v>
      </c>
      <c r="E24182" s="41" t="n">
        <v>8428.117200000001</v>
      </c>
    </row>
    <row r="24183">
      <c r="A24183" s="42">
        <f>_xlfn.XLOOKUP(85855,Trip[shape_id],Trip[shape_id],"Não encontrado")</f>
        <v/>
      </c>
      <c r="B24183" s="43" t="n">
        <v>-23.510879</v>
      </c>
      <c r="C24183" s="43" t="n">
        <v>-46.580997</v>
      </c>
      <c r="D24183" s="43" t="n">
        <v>239</v>
      </c>
      <c r="E24183" s="44" t="n">
        <v>8435.546899999999</v>
      </c>
    </row>
    <row r="24184">
      <c r="A24184" s="39">
        <f>_xlfn.XLOOKUP(85855,Trip[shape_id],Trip[shape_id],"Não encontrado")</f>
        <v/>
      </c>
      <c r="B24184" s="40" t="n">
        <v>-23.510984</v>
      </c>
      <c r="C24184" s="40" t="n">
        <v>-46.580999</v>
      </c>
      <c r="D24184" s="40" t="n">
        <v>240</v>
      </c>
      <c r="E24184" s="41" t="n">
        <v>8447.1777</v>
      </c>
    </row>
    <row r="24185">
      <c r="A24185" s="42">
        <f>_xlfn.XLOOKUP(85855,Trip[shape_id],Trip[shape_id],"Não encontrado")</f>
        <v/>
      </c>
      <c r="B24185" s="43" t="n">
        <v>-23.511046</v>
      </c>
      <c r="C24185" s="43" t="n">
        <v>-46.581</v>
      </c>
      <c r="D24185" s="43" t="n">
        <v>241</v>
      </c>
      <c r="E24185" s="44" t="n">
        <v>8454.044900000001</v>
      </c>
    </row>
    <row r="24186">
      <c r="A24186" s="39">
        <f>_xlfn.XLOOKUP(85855,Trip[shape_id],Trip[shape_id],"Não encontrado")</f>
        <v/>
      </c>
      <c r="B24186" s="40" t="n">
        <v>-23.511242</v>
      </c>
      <c r="C24186" s="40" t="n">
        <v>-46.580996</v>
      </c>
      <c r="D24186" s="40" t="n">
        <v>242</v>
      </c>
      <c r="E24186" s="41" t="n">
        <v>8475.7559</v>
      </c>
    </row>
    <row r="24187">
      <c r="A24187" s="42">
        <f>_xlfn.XLOOKUP(85855,Trip[shape_id],Trip[shape_id],"Não encontrado")</f>
        <v/>
      </c>
      <c r="B24187" s="43" t="n">
        <v>-23.511381</v>
      </c>
      <c r="C24187" s="43" t="n">
        <v>-46.580991</v>
      </c>
      <c r="D24187" s="43" t="n">
        <v>243</v>
      </c>
      <c r="E24187" s="44" t="n">
        <v>8491.1592</v>
      </c>
    </row>
    <row r="24188">
      <c r="A24188" s="39">
        <f>_xlfn.XLOOKUP(85855,Trip[shape_id],Trip[shape_id],"Não encontrado")</f>
        <v/>
      </c>
      <c r="B24188" s="40" t="n">
        <v>-23.511606</v>
      </c>
      <c r="C24188" s="40" t="n">
        <v>-46.580928</v>
      </c>
      <c r="D24188" s="40" t="n">
        <v>244</v>
      </c>
      <c r="E24188" s="41" t="n">
        <v>8516.895500000001</v>
      </c>
    </row>
    <row r="24189">
      <c r="A24189" s="42">
        <f>_xlfn.XLOOKUP(85855,Trip[shape_id],Trip[shape_id],"Não encontrado")</f>
        <v/>
      </c>
      <c r="B24189" s="43" t="n">
        <v>-23.5118</v>
      </c>
      <c r="C24189" s="43" t="n">
        <v>-46.58084</v>
      </c>
      <c r="D24189" s="43" t="n">
        <v>245</v>
      </c>
      <c r="E24189" s="44" t="n">
        <v>8540.1855</v>
      </c>
    </row>
    <row r="24190">
      <c r="A24190" s="39">
        <f>_xlfn.XLOOKUP(85855,Trip[shape_id],Trip[shape_id],"Não encontrado")</f>
        <v/>
      </c>
      <c r="B24190" s="40" t="n">
        <v>-23.511943</v>
      </c>
      <c r="C24190" s="40" t="n">
        <v>-46.580776</v>
      </c>
      <c r="D24190" s="40" t="n">
        <v>246</v>
      </c>
      <c r="E24190" s="41" t="n">
        <v>8557.319299999999</v>
      </c>
    </row>
    <row r="24191">
      <c r="A24191" s="42">
        <f>_xlfn.XLOOKUP(85855,Trip[shape_id],Trip[shape_id],"Não encontrado")</f>
        <v/>
      </c>
      <c r="B24191" s="43" t="n">
        <v>-23.512243</v>
      </c>
      <c r="C24191" s="43" t="n">
        <v>-46.580561</v>
      </c>
      <c r="D24191" s="43" t="n">
        <v>247</v>
      </c>
      <c r="E24191" s="44" t="n">
        <v>8597.1445</v>
      </c>
    </row>
    <row r="24192">
      <c r="A24192" s="39">
        <f>_xlfn.XLOOKUP(85855,Trip[shape_id],Trip[shape_id],"Não encontrado")</f>
        <v/>
      </c>
      <c r="B24192" s="40" t="n">
        <v>-23.512364</v>
      </c>
      <c r="C24192" s="40" t="n">
        <v>-46.580477</v>
      </c>
      <c r="D24192" s="40" t="n">
        <v>248</v>
      </c>
      <c r="E24192" s="41" t="n">
        <v>8613.0566</v>
      </c>
    </row>
    <row r="24193">
      <c r="A24193" s="42">
        <f>_xlfn.XLOOKUP(85855,Trip[shape_id],Trip[shape_id],"Não encontrado")</f>
        <v/>
      </c>
      <c r="B24193" s="43" t="n">
        <v>-23.512519</v>
      </c>
      <c r="C24193" s="43" t="n">
        <v>-46.580427</v>
      </c>
      <c r="D24193" s="43" t="n">
        <v>249</v>
      </c>
      <c r="E24193" s="44" t="n">
        <v>8630.9668</v>
      </c>
    </row>
    <row r="24194">
      <c r="A24194" s="39">
        <f>_xlfn.XLOOKUP(85855,Trip[shape_id],Trip[shape_id],"Não encontrado")</f>
        <v/>
      </c>
      <c r="B24194" s="40" t="n">
        <v>-23.512692</v>
      </c>
      <c r="C24194" s="40" t="n">
        <v>-46.58044</v>
      </c>
      <c r="D24194" s="40" t="n">
        <v>250</v>
      </c>
      <c r="E24194" s="41" t="n">
        <v>8650.1729</v>
      </c>
    </row>
    <row r="24195">
      <c r="A24195" s="42">
        <f>_xlfn.XLOOKUP(85855,Trip[shape_id],Trip[shape_id],"Não encontrado")</f>
        <v/>
      </c>
      <c r="B24195" s="43" t="n">
        <v>-23.51288</v>
      </c>
      <c r="C24195" s="43" t="n">
        <v>-46.580505</v>
      </c>
      <c r="D24195" s="43" t="n">
        <v>251</v>
      </c>
      <c r="E24195" s="44" t="n">
        <v>8672.026400000001</v>
      </c>
    </row>
    <row r="24196">
      <c r="A24196" s="39">
        <f>_xlfn.XLOOKUP(85855,Trip[shape_id],Trip[shape_id],"Não encontrado")</f>
        <v/>
      </c>
      <c r="B24196" s="40" t="n">
        <v>-23.51299</v>
      </c>
      <c r="C24196" s="40" t="n">
        <v>-46.580569</v>
      </c>
      <c r="D24196" s="40" t="n">
        <v>252</v>
      </c>
      <c r="E24196" s="41" t="n">
        <v>8685.8516</v>
      </c>
    </row>
    <row r="24197">
      <c r="A24197" s="42">
        <f>_xlfn.XLOOKUP(85855,Trip[shape_id],Trip[shape_id],"Não encontrado")</f>
        <v/>
      </c>
      <c r="B24197" s="43" t="n">
        <v>-23.513081</v>
      </c>
      <c r="C24197" s="43" t="n">
        <v>-46.580706</v>
      </c>
      <c r="D24197" s="43" t="n">
        <v>253</v>
      </c>
      <c r="E24197" s="44" t="n">
        <v>8703.0957</v>
      </c>
    </row>
    <row r="24198">
      <c r="A24198" s="39">
        <f>_xlfn.XLOOKUP(85855,Trip[shape_id],Trip[shape_id],"Não encontrado")</f>
        <v/>
      </c>
      <c r="B24198" s="40" t="n">
        <v>-23.513205</v>
      </c>
      <c r="C24198" s="40" t="n">
        <v>-46.580894</v>
      </c>
      <c r="D24198" s="40" t="n">
        <v>254</v>
      </c>
      <c r="E24198" s="41" t="n">
        <v>8726.7021</v>
      </c>
    </row>
    <row r="24199">
      <c r="A24199" s="42">
        <f>_xlfn.XLOOKUP(85855,Trip[shape_id],Trip[shape_id],"Não encontrado")</f>
        <v/>
      </c>
      <c r="B24199" s="43" t="n">
        <v>-23.513426</v>
      </c>
      <c r="C24199" s="43" t="n">
        <v>-46.58119</v>
      </c>
      <c r="D24199" s="43" t="n">
        <v>255</v>
      </c>
      <c r="E24199" s="44" t="n">
        <v>8765.5996</v>
      </c>
    </row>
    <row r="24200">
      <c r="A24200" s="39">
        <f>_xlfn.XLOOKUP(85855,Trip[shape_id],Trip[shape_id],"Não encontrado")</f>
        <v/>
      </c>
      <c r="B24200" s="40" t="n">
        <v>-23.51355</v>
      </c>
      <c r="C24200" s="40" t="n">
        <v>-46.581303</v>
      </c>
      <c r="D24200" s="40" t="n">
        <v>256</v>
      </c>
      <c r="E24200" s="41" t="n">
        <v>8783.5381</v>
      </c>
    </row>
    <row r="24201">
      <c r="A24201" s="42">
        <f>_xlfn.XLOOKUP(85855,Trip[shape_id],Trip[shape_id],"Não encontrado")</f>
        <v/>
      </c>
      <c r="B24201" s="43" t="n">
        <v>-23.513633</v>
      </c>
      <c r="C24201" s="43" t="n">
        <v>-46.58138</v>
      </c>
      <c r="D24201" s="43" t="n">
        <v>257</v>
      </c>
      <c r="E24201" s="44" t="n">
        <v>8795.635700000001</v>
      </c>
    </row>
    <row r="24202">
      <c r="A24202" s="39">
        <f>_xlfn.XLOOKUP(85855,Trip[shape_id],Trip[shape_id],"Não encontrado")</f>
        <v/>
      </c>
      <c r="B24202" s="40" t="n">
        <v>-23.513891</v>
      </c>
      <c r="C24202" s="40" t="n">
        <v>-46.581542</v>
      </c>
      <c r="D24202" s="40" t="n">
        <v>258</v>
      </c>
      <c r="E24202" s="41" t="n">
        <v>8828.6543</v>
      </c>
    </row>
    <row r="24203">
      <c r="A24203" s="42">
        <f>_xlfn.XLOOKUP(85855,Trip[shape_id],Trip[shape_id],"Não encontrado")</f>
        <v/>
      </c>
      <c r="B24203" s="43" t="n">
        <v>-23.514167</v>
      </c>
      <c r="C24203" s="43" t="n">
        <v>-46.581677</v>
      </c>
      <c r="D24203" s="43" t="n">
        <v>259</v>
      </c>
      <c r="E24203" s="44" t="n">
        <v>8862.1875</v>
      </c>
    </row>
    <row r="24204">
      <c r="A24204" s="39">
        <f>_xlfn.XLOOKUP(85855,Trip[shape_id],Trip[shape_id],"Não encontrado")</f>
        <v/>
      </c>
      <c r="B24204" s="40" t="n">
        <v>-23.514289</v>
      </c>
      <c r="C24204" s="40" t="n">
        <v>-46.581745</v>
      </c>
      <c r="D24204" s="40" t="n">
        <v>260</v>
      </c>
      <c r="E24204" s="41" t="n">
        <v>8877.3799</v>
      </c>
    </row>
    <row r="24205">
      <c r="A24205" s="42">
        <f>_xlfn.XLOOKUP(85855,Trip[shape_id],Trip[shape_id],"Não encontrado")</f>
        <v/>
      </c>
      <c r="B24205" s="43" t="n">
        <v>-23.514412</v>
      </c>
      <c r="C24205" s="43" t="n">
        <v>-46.581899</v>
      </c>
      <c r="D24205" s="43" t="n">
        <v>261</v>
      </c>
      <c r="E24205" s="44" t="n">
        <v>8898.1875</v>
      </c>
    </row>
    <row r="24206">
      <c r="A24206" s="39">
        <f>_xlfn.XLOOKUP(85855,Trip[shape_id],Trip[shape_id],"Não encontrado")</f>
        <v/>
      </c>
      <c r="B24206" s="40" t="n">
        <v>-23.514454</v>
      </c>
      <c r="C24206" s="40" t="n">
        <v>-46.581967</v>
      </c>
      <c r="D24206" s="40" t="n">
        <v>262</v>
      </c>
      <c r="E24206" s="41" t="n">
        <v>8906.545899999999</v>
      </c>
    </row>
    <row r="24207">
      <c r="A24207" s="42">
        <f>_xlfn.XLOOKUP(85855,Trip[shape_id],Trip[shape_id],"Não encontrado")</f>
        <v/>
      </c>
      <c r="B24207" s="43" t="n">
        <v>-23.514455</v>
      </c>
      <c r="C24207" s="43" t="n">
        <v>-46.582123</v>
      </c>
      <c r="D24207" s="43" t="n">
        <v>263</v>
      </c>
      <c r="E24207" s="44" t="n">
        <v>8922.478499999999</v>
      </c>
    </row>
    <row r="24208">
      <c r="A24208" s="39">
        <f>_xlfn.XLOOKUP(85855,Trip[shape_id],Trip[shape_id],"Não encontrado")</f>
        <v/>
      </c>
      <c r="B24208" s="40" t="n">
        <v>-23.514437</v>
      </c>
      <c r="C24208" s="40" t="n">
        <v>-46.582277</v>
      </c>
      <c r="D24208" s="40" t="n">
        <v>264</v>
      </c>
      <c r="E24208" s="41" t="n">
        <v>8938.332</v>
      </c>
    </row>
    <row r="24209">
      <c r="A24209" s="42">
        <f>_xlfn.XLOOKUP(85855,Trip[shape_id],Trip[shape_id],"Não encontrado")</f>
        <v/>
      </c>
      <c r="B24209" s="43" t="n">
        <v>-23.514392</v>
      </c>
      <c r="C24209" s="43" t="n">
        <v>-46.582356</v>
      </c>
      <c r="D24209" s="43" t="n">
        <v>265</v>
      </c>
      <c r="E24209" s="44" t="n">
        <v>8947.815399999999</v>
      </c>
    </row>
    <row r="24210">
      <c r="A24210" s="39">
        <f>_xlfn.XLOOKUP(85855,Trip[shape_id],Trip[shape_id],"Não encontrado")</f>
        <v/>
      </c>
      <c r="B24210" s="40" t="n">
        <v>-23.514321</v>
      </c>
      <c r="C24210" s="40" t="n">
        <v>-46.582468</v>
      </c>
      <c r="D24210" s="40" t="n">
        <v>266</v>
      </c>
      <c r="E24210" s="41" t="n">
        <v>8961.6963</v>
      </c>
    </row>
    <row r="24211">
      <c r="A24211" s="42">
        <f>_xlfn.XLOOKUP(85855,Trip[shape_id],Trip[shape_id],"Não encontrado")</f>
        <v/>
      </c>
      <c r="B24211" s="43" t="n">
        <v>-23.513555</v>
      </c>
      <c r="C24211" s="43" t="n">
        <v>-46.583624</v>
      </c>
      <c r="D24211" s="43" t="n">
        <v>267</v>
      </c>
      <c r="E24211" s="44" t="n">
        <v>9107.078100000001</v>
      </c>
    </row>
    <row r="24212">
      <c r="A24212" s="39">
        <f>_xlfn.XLOOKUP(85855,Trip[shape_id],Trip[shape_id],"Não encontrado")</f>
        <v/>
      </c>
      <c r="B24212" s="40" t="n">
        <v>-23.513169</v>
      </c>
      <c r="C24212" s="40" t="n">
        <v>-46.584198</v>
      </c>
      <c r="D24212" s="40" t="n">
        <v>268</v>
      </c>
      <c r="E24212" s="41" t="n">
        <v>9179.632799999999</v>
      </c>
    </row>
    <row r="24213">
      <c r="A24213" s="42">
        <f>_xlfn.XLOOKUP(85855,Trip[shape_id],Trip[shape_id],"Não encontrado")</f>
        <v/>
      </c>
      <c r="B24213" s="43" t="n">
        <v>-23.512884</v>
      </c>
      <c r="C24213" s="43" t="n">
        <v>-46.584619</v>
      </c>
      <c r="D24213" s="43" t="n">
        <v>269</v>
      </c>
      <c r="E24213" s="44" t="n">
        <v>9232.9717</v>
      </c>
    </row>
    <row r="24214">
      <c r="A24214" s="39">
        <f>_xlfn.XLOOKUP(85855,Trip[shape_id],Trip[shape_id],"Não encontrado")</f>
        <v/>
      </c>
      <c r="B24214" s="40" t="n">
        <v>-23.512611</v>
      </c>
      <c r="C24214" s="40" t="n">
        <v>-46.585036</v>
      </c>
      <c r="D24214" s="40" t="n">
        <v>270</v>
      </c>
      <c r="E24214" s="41" t="n">
        <v>9285.2012</v>
      </c>
    </row>
    <row r="24215">
      <c r="A24215" s="42">
        <f>_xlfn.XLOOKUP(85855,Trip[shape_id],Trip[shape_id],"Não encontrado")</f>
        <v/>
      </c>
      <c r="B24215" s="43" t="n">
        <v>-23.512624</v>
      </c>
      <c r="C24215" s="43" t="n">
        <v>-46.585075</v>
      </c>
      <c r="D24215" s="43" t="n">
        <v>271</v>
      </c>
      <c r="E24215" s="44" t="n">
        <v>9289.4375</v>
      </c>
    </row>
    <row r="24216">
      <c r="A24216" s="39">
        <f>_xlfn.XLOOKUP(85855,Trip[shape_id],Trip[shape_id],"Não encontrado")</f>
        <v/>
      </c>
      <c r="B24216" s="40" t="n">
        <v>-23.512639</v>
      </c>
      <c r="C24216" s="40" t="n">
        <v>-46.585108</v>
      </c>
      <c r="D24216" s="40" t="n">
        <v>272</v>
      </c>
      <c r="E24216" s="41" t="n">
        <v>9293.194299999999</v>
      </c>
    </row>
    <row r="24217">
      <c r="A24217" s="42">
        <f>_xlfn.XLOOKUP(85855,Trip[shape_id],Trip[shape_id],"Não encontrado")</f>
        <v/>
      </c>
      <c r="B24217" s="43" t="n">
        <v>-23.5127</v>
      </c>
      <c r="C24217" s="43" t="n">
        <v>-46.585175</v>
      </c>
      <c r="D24217" s="43" t="n">
        <v>273</v>
      </c>
      <c r="E24217" s="44" t="n">
        <v>9302.8105</v>
      </c>
    </row>
    <row r="24218">
      <c r="A24218" s="39">
        <f>_xlfn.XLOOKUP(85855,Trip[shape_id],Trip[shape_id],"Não encontrado")</f>
        <v/>
      </c>
      <c r="B24218" s="40" t="n">
        <v>-23.512599</v>
      </c>
      <c r="C24218" s="40" t="n">
        <v>-46.585303</v>
      </c>
      <c r="D24218" s="40" t="n">
        <v>274</v>
      </c>
      <c r="E24218" s="41" t="n">
        <v>9320.015600000001</v>
      </c>
    </row>
    <row r="24219">
      <c r="A24219" s="42">
        <f>_xlfn.XLOOKUP(85855,Trip[shape_id],Trip[shape_id],"Não encontrado")</f>
        <v/>
      </c>
      <c r="B24219" s="43" t="n">
        <v>-23.512656</v>
      </c>
      <c r="C24219" s="43" t="n">
        <v>-46.585324</v>
      </c>
      <c r="D24219" s="43" t="n">
        <v>275</v>
      </c>
      <c r="E24219" s="44" t="n">
        <v>9326.6826</v>
      </c>
    </row>
    <row r="24220">
      <c r="A24220" s="39">
        <f>_xlfn.XLOOKUP(85855,Trip[shape_id],Trip[shape_id],"Não encontrado")</f>
        <v/>
      </c>
      <c r="B24220" s="40" t="n">
        <v>-23.512682</v>
      </c>
      <c r="C24220" s="40" t="n">
        <v>-46.585338</v>
      </c>
      <c r="D24220" s="40" t="n">
        <v>276</v>
      </c>
      <c r="E24220" s="41" t="n">
        <v>9329.8984</v>
      </c>
    </row>
    <row r="24221">
      <c r="A24221" s="42">
        <f>_xlfn.XLOOKUP(85855,Trip[shape_id],Trip[shape_id],"Não encontrado")</f>
        <v/>
      </c>
      <c r="B24221" s="43" t="n">
        <v>-23.512721</v>
      </c>
      <c r="C24221" s="43" t="n">
        <v>-46.585359</v>
      </c>
      <c r="D24221" s="43" t="n">
        <v>277</v>
      </c>
      <c r="E24221" s="44" t="n">
        <v>9334.7207</v>
      </c>
    </row>
    <row r="24222">
      <c r="A24222" s="39">
        <f>_xlfn.XLOOKUP(85855,Trip[shape_id],Trip[shape_id],"Não encontrado")</f>
        <v/>
      </c>
      <c r="B24222" s="40" t="n">
        <v>-23.512982</v>
      </c>
      <c r="C24222" s="40" t="n">
        <v>-46.58557</v>
      </c>
      <c r="D24222" s="40" t="n">
        <v>278</v>
      </c>
      <c r="E24222" s="41" t="n">
        <v>9370.7754</v>
      </c>
    </row>
    <row r="24223">
      <c r="A24223" s="42">
        <f>_xlfn.XLOOKUP(85855,Trip[shape_id],Trip[shape_id],"Não encontrado")</f>
        <v/>
      </c>
      <c r="B24223" s="43" t="n">
        <v>-23.513844</v>
      </c>
      <c r="C24223" s="43" t="n">
        <v>-46.586249</v>
      </c>
      <c r="D24223" s="43" t="n">
        <v>279</v>
      </c>
      <c r="E24223" s="44" t="n">
        <v>9488.771500000001</v>
      </c>
    </row>
    <row r="24224">
      <c r="A24224" s="39">
        <f>_xlfn.XLOOKUP(85855,Trip[shape_id],Trip[shape_id],"Não encontrado")</f>
        <v/>
      </c>
      <c r="B24224" s="40" t="n">
        <v>-23.514679</v>
      </c>
      <c r="C24224" s="40" t="n">
        <v>-46.586906</v>
      </c>
      <c r="D24224" s="40" t="n">
        <v>280</v>
      </c>
      <c r="E24224" s="41" t="n">
        <v>9603.0273</v>
      </c>
    </row>
    <row r="24225">
      <c r="A24225" s="42">
        <f>_xlfn.XLOOKUP(85855,Trip[shape_id],Trip[shape_id],"Não encontrado")</f>
        <v/>
      </c>
      <c r="B24225" s="43" t="n">
        <v>-23.515064</v>
      </c>
      <c r="C24225" s="43" t="n">
        <v>-46.587206</v>
      </c>
      <c r="D24225" s="43" t="n">
        <v>281</v>
      </c>
      <c r="E24225" s="44" t="n">
        <v>9655.5332</v>
      </c>
    </row>
    <row r="24226">
      <c r="A24226" s="39">
        <f>_xlfn.XLOOKUP(85855,Trip[shape_id],Trip[shape_id],"Não encontrado")</f>
        <v/>
      </c>
      <c r="B24226" s="40" t="n">
        <v>-23.515458</v>
      </c>
      <c r="C24226" s="40" t="n">
        <v>-46.587517</v>
      </c>
      <c r="D24226" s="40" t="n">
        <v>282</v>
      </c>
      <c r="E24226" s="41" t="n">
        <v>9709.5049</v>
      </c>
    </row>
    <row r="24227">
      <c r="A24227" s="42">
        <f>_xlfn.XLOOKUP(85855,Trip[shape_id],Trip[shape_id],"Não encontrado")</f>
        <v/>
      </c>
      <c r="B24227" s="43" t="n">
        <v>-23.516308</v>
      </c>
      <c r="C24227" s="43" t="n">
        <v>-46.588181</v>
      </c>
      <c r="D24227" s="43" t="n">
        <v>283</v>
      </c>
      <c r="E24227" s="44" t="n">
        <v>9825.5254</v>
      </c>
    </row>
    <row r="24228">
      <c r="A24228" s="39">
        <f>_xlfn.XLOOKUP(85855,Trip[shape_id],Trip[shape_id],"Não encontrado")</f>
        <v/>
      </c>
      <c r="B24228" s="40" t="n">
        <v>-23.517513</v>
      </c>
      <c r="C24228" s="40" t="n">
        <v>-46.589133</v>
      </c>
      <c r="D24228" s="40" t="n">
        <v>284</v>
      </c>
      <c r="E24228" s="41" t="n">
        <v>9990.640600000001</v>
      </c>
    </row>
    <row r="24229">
      <c r="A24229" s="42">
        <f>_xlfn.XLOOKUP(85855,Trip[shape_id],Trip[shape_id],"Não encontrado")</f>
        <v/>
      </c>
      <c r="B24229" s="43" t="n">
        <v>-23.518729</v>
      </c>
      <c r="C24229" s="43" t="n">
        <v>-46.590084</v>
      </c>
      <c r="D24229" s="43" t="n">
        <v>285</v>
      </c>
      <c r="E24229" s="44" t="n">
        <v>10156.683</v>
      </c>
    </row>
    <row r="24230">
      <c r="A24230" s="39">
        <f>_xlfn.XLOOKUP(85855,Trip[shape_id],Trip[shape_id],"Não encontrado")</f>
        <v/>
      </c>
      <c r="B24230" s="40" t="n">
        <v>-23.519959</v>
      </c>
      <c r="C24230" s="40" t="n">
        <v>-46.591054</v>
      </c>
      <c r="D24230" s="40" t="n">
        <v>286</v>
      </c>
      <c r="E24230" s="41" t="n">
        <v>10325.117</v>
      </c>
    </row>
    <row r="24231">
      <c r="A24231" s="42">
        <f>_xlfn.XLOOKUP(85855,Trip[shape_id],Trip[shape_id],"Não encontrado")</f>
        <v/>
      </c>
      <c r="B24231" s="43" t="n">
        <v>-23.520714</v>
      </c>
      <c r="C24231" s="43" t="n">
        <v>-46.591639</v>
      </c>
      <c r="D24231" s="43" t="n">
        <v>287</v>
      </c>
      <c r="E24231" s="44" t="n">
        <v>10427.885</v>
      </c>
    </row>
    <row r="24232">
      <c r="A24232" s="39">
        <f>_xlfn.XLOOKUP(85855,Trip[shape_id],Trip[shape_id],"Não encontrado")</f>
        <v/>
      </c>
      <c r="B24232" s="40" t="n">
        <v>-23.520741</v>
      </c>
      <c r="C24232" s="40" t="n">
        <v>-46.591658</v>
      </c>
      <c r="D24232" s="40" t="n">
        <v>288</v>
      </c>
      <c r="E24232" s="41" t="n">
        <v>10431.449</v>
      </c>
    </row>
    <row r="24233">
      <c r="A24233" s="42">
        <f>_xlfn.XLOOKUP(85855,Trip[shape_id],Trip[shape_id],"Não encontrado")</f>
        <v/>
      </c>
      <c r="B24233" s="43" t="n">
        <v>-23.520805</v>
      </c>
      <c r="C24233" s="43" t="n">
        <v>-46.591718</v>
      </c>
      <c r="D24233" s="43" t="n">
        <v>289</v>
      </c>
      <c r="E24233" s="44" t="n">
        <v>10440.818</v>
      </c>
    </row>
    <row r="24234">
      <c r="A24234" s="39">
        <f>_xlfn.XLOOKUP(85855,Trip[shape_id],Trip[shape_id],"Não encontrado")</f>
        <v/>
      </c>
      <c r="B24234" s="40" t="n">
        <v>-23.521174</v>
      </c>
      <c r="C24234" s="40" t="n">
        <v>-46.592015</v>
      </c>
      <c r="D24234" s="40" t="n">
        <v>290</v>
      </c>
      <c r="E24234" s="41" t="n">
        <v>10491.711</v>
      </c>
    </row>
    <row r="24235">
      <c r="A24235" s="42">
        <f>_xlfn.XLOOKUP(85855,Trip[shape_id],Trip[shape_id],"Não encontrado")</f>
        <v/>
      </c>
      <c r="B24235" s="43" t="n">
        <v>-23.522395</v>
      </c>
      <c r="C24235" s="43" t="n">
        <v>-46.592974</v>
      </c>
      <c r="D24235" s="43" t="n">
        <v>291</v>
      </c>
      <c r="E24235" s="44" t="n">
        <v>10658.679</v>
      </c>
    </row>
    <row r="24236">
      <c r="A24236" s="39">
        <f>_xlfn.XLOOKUP(85855,Trip[shape_id],Trip[shape_id],"Não encontrado")</f>
        <v/>
      </c>
      <c r="B24236" s="40" t="n">
        <v>-23.523613</v>
      </c>
      <c r="C24236" s="40" t="n">
        <v>-46.593932</v>
      </c>
      <c r="D24236" s="40" t="n">
        <v>292</v>
      </c>
      <c r="E24236" s="41" t="n">
        <v>10825.316</v>
      </c>
    </row>
    <row r="24237">
      <c r="A24237" s="42">
        <f>_xlfn.XLOOKUP(85855,Trip[shape_id],Trip[shape_id],"Não encontrado")</f>
        <v/>
      </c>
      <c r="B24237" s="43" t="n">
        <v>-23.524229</v>
      </c>
      <c r="C24237" s="43" t="n">
        <v>-46.59441</v>
      </c>
      <c r="D24237" s="43" t="n">
        <v>293</v>
      </c>
      <c r="E24237" s="44" t="n">
        <v>10909.204</v>
      </c>
    </row>
    <row r="24238">
      <c r="A24238" s="39">
        <f>_xlfn.XLOOKUP(85855,Trip[shape_id],Trip[shape_id],"Não encontrado")</f>
        <v/>
      </c>
      <c r="B24238" s="40" t="n">
        <v>-23.524315</v>
      </c>
      <c r="C24238" s="40" t="n">
        <v>-46.594473</v>
      </c>
      <c r="D24238" s="40" t="n">
        <v>294</v>
      </c>
      <c r="E24238" s="41" t="n">
        <v>10920.698</v>
      </c>
    </row>
    <row r="24239">
      <c r="A24239" s="42">
        <f>_xlfn.XLOOKUP(85855,Trip[shape_id],Trip[shape_id],"Não encontrado")</f>
        <v/>
      </c>
      <c r="B24239" s="43" t="n">
        <v>-23.52486</v>
      </c>
      <c r="C24239" s="43" t="n">
        <v>-46.594896</v>
      </c>
      <c r="D24239" s="43" t="n">
        <v>295</v>
      </c>
      <c r="E24239" s="44" t="n">
        <v>10994.923</v>
      </c>
    </row>
    <row r="24240">
      <c r="A24240" s="39">
        <f>_xlfn.XLOOKUP(85855,Trip[shape_id],Trip[shape_id],"Não encontrado")</f>
        <v/>
      </c>
      <c r="B24240" s="40" t="n">
        <v>-23.525114</v>
      </c>
      <c r="C24240" s="40" t="n">
        <v>-46.5951</v>
      </c>
      <c r="D24240" s="40" t="n">
        <v>296</v>
      </c>
      <c r="E24240" s="41" t="n">
        <v>11029.928</v>
      </c>
    </row>
    <row r="24241">
      <c r="A24241" s="42">
        <f>_xlfn.XLOOKUP(85855,Trip[shape_id],Trip[shape_id],"Não encontrado")</f>
        <v/>
      </c>
      <c r="B24241" s="43" t="n">
        <v>-23.525353</v>
      </c>
      <c r="C24241" s="43" t="n">
        <v>-46.595283</v>
      </c>
      <c r="D24241" s="43" t="n">
        <v>297</v>
      </c>
      <c r="E24241" s="44" t="n">
        <v>11062.33</v>
      </c>
    </row>
    <row r="24242">
      <c r="A24242" s="39">
        <f>_xlfn.XLOOKUP(85855,Trip[shape_id],Trip[shape_id],"Não encontrado")</f>
        <v/>
      </c>
      <c r="B24242" s="40" t="n">
        <v>-23.525898</v>
      </c>
      <c r="C24242" s="40" t="n">
        <v>-46.595689</v>
      </c>
      <c r="D24242" s="40" t="n">
        <v>298</v>
      </c>
      <c r="E24242" s="41" t="n">
        <v>11135.558</v>
      </c>
    </row>
    <row r="24243">
      <c r="A24243" s="42">
        <f>_xlfn.XLOOKUP(85855,Trip[shape_id],Trip[shape_id],"Não encontrado")</f>
        <v/>
      </c>
      <c r="B24243" s="43" t="n">
        <v>-23.526124</v>
      </c>
      <c r="C24243" s="43" t="n">
        <v>-46.595862</v>
      </c>
      <c r="D24243" s="43" t="n">
        <v>299</v>
      </c>
      <c r="E24243" s="44" t="n">
        <v>11166.194</v>
      </c>
    </row>
    <row r="24244">
      <c r="A24244" s="39">
        <f>_xlfn.XLOOKUP(85855,Trip[shape_id],Trip[shape_id],"Não encontrado")</f>
        <v/>
      </c>
      <c r="B24244" s="40" t="n">
        <v>-23.526216</v>
      </c>
      <c r="C24244" s="40" t="n">
        <v>-46.595889</v>
      </c>
      <c r="D24244" s="40" t="n">
        <v>300</v>
      </c>
      <c r="E24244" s="41" t="n">
        <v>11176.75</v>
      </c>
    </row>
    <row r="24245">
      <c r="A24245" s="42">
        <f>_xlfn.XLOOKUP(85855,Trip[shape_id],Trip[shape_id],"Não encontrado")</f>
        <v/>
      </c>
      <c r="B24245" s="43" t="n">
        <v>-23.526526</v>
      </c>
      <c r="C24245" s="43" t="n">
        <v>-46.596139</v>
      </c>
      <c r="D24245" s="43" t="n">
        <v>301</v>
      </c>
      <c r="E24245" s="44" t="n">
        <v>11219.535</v>
      </c>
    </row>
    <row r="24246">
      <c r="A24246" s="39">
        <f>_xlfn.XLOOKUP(85855,Trip[shape_id],Trip[shape_id],"Não encontrado")</f>
        <v/>
      </c>
      <c r="B24246" s="40" t="n">
        <v>-23.526643</v>
      </c>
      <c r="C24246" s="40" t="n">
        <v>-46.596232</v>
      </c>
      <c r="D24246" s="40" t="n">
        <v>302</v>
      </c>
      <c r="E24246" s="41" t="n">
        <v>11235.601</v>
      </c>
    </row>
    <row r="24247">
      <c r="A24247" s="42">
        <f>_xlfn.XLOOKUP(85855,Trip[shape_id],Trip[shape_id],"Não encontrado")</f>
        <v/>
      </c>
      <c r="B24247" s="43" t="n">
        <v>-23.526732</v>
      </c>
      <c r="C24247" s="43" t="n">
        <v>-46.596303</v>
      </c>
      <c r="D24247" s="43" t="n">
        <v>303</v>
      </c>
      <c r="E24247" s="44" t="n">
        <v>11247.837</v>
      </c>
    </row>
    <row r="24248">
      <c r="A24248" s="39">
        <f>_xlfn.XLOOKUP(85855,Trip[shape_id],Trip[shape_id],"Não encontrado")</f>
        <v/>
      </c>
      <c r="B24248" s="40" t="n">
        <v>-23.527097</v>
      </c>
      <c r="C24248" s="40" t="n">
        <v>-46.596582</v>
      </c>
      <c r="D24248" s="40" t="n">
        <v>304</v>
      </c>
      <c r="E24248" s="41" t="n">
        <v>11297.293</v>
      </c>
    </row>
    <row r="24249">
      <c r="A24249" s="42">
        <f>_xlfn.XLOOKUP(85855,Trip[shape_id],Trip[shape_id],"Não encontrado")</f>
        <v/>
      </c>
      <c r="B24249" s="43" t="n">
        <v>-23.527759</v>
      </c>
      <c r="C24249" s="43" t="n">
        <v>-46.597103</v>
      </c>
      <c r="D24249" s="43" t="n">
        <v>305</v>
      </c>
      <c r="E24249" s="44" t="n">
        <v>11387.881</v>
      </c>
    </row>
    <row r="24250">
      <c r="A24250" s="39">
        <f>_xlfn.XLOOKUP(85855,Trip[shape_id],Trip[shape_id],"Não encontrado")</f>
        <v/>
      </c>
      <c r="B24250" s="40" t="n">
        <v>-23.528379</v>
      </c>
      <c r="C24250" s="40" t="n">
        <v>-46.597587</v>
      </c>
      <c r="D24250" s="40" t="n">
        <v>306</v>
      </c>
      <c r="E24250" s="41" t="n">
        <v>11472.485</v>
      </c>
    </row>
    <row r="24251">
      <c r="A24251" s="42">
        <f>_xlfn.XLOOKUP(85855,Trip[shape_id],Trip[shape_id],"Não encontrado")</f>
        <v/>
      </c>
      <c r="B24251" s="43" t="n">
        <v>-23.528566</v>
      </c>
      <c r="C24251" s="43" t="n">
        <v>-46.59774</v>
      </c>
      <c r="D24251" s="43" t="n">
        <v>307</v>
      </c>
      <c r="E24251" s="44" t="n">
        <v>11498.429</v>
      </c>
    </row>
    <row r="24252">
      <c r="A24252" s="39">
        <f>_xlfn.XLOOKUP(85855,Trip[shape_id],Trip[shape_id],"Não encontrado")</f>
        <v/>
      </c>
      <c r="B24252" s="40" t="n">
        <v>-23.528724</v>
      </c>
      <c r="C24252" s="40" t="n">
        <v>-46.597872</v>
      </c>
      <c r="D24252" s="40" t="n">
        <v>308</v>
      </c>
      <c r="E24252" s="41" t="n">
        <v>11520.518</v>
      </c>
    </row>
    <row r="24253">
      <c r="A24253" s="42">
        <f>_xlfn.XLOOKUP(85855,Trip[shape_id],Trip[shape_id],"Não encontrado")</f>
        <v/>
      </c>
      <c r="B24253" s="43" t="n">
        <v>-23.529023</v>
      </c>
      <c r="C24253" s="43" t="n">
        <v>-46.598144</v>
      </c>
      <c r="D24253" s="43" t="n">
        <v>309</v>
      </c>
      <c r="E24253" s="44" t="n">
        <v>11563.739</v>
      </c>
    </row>
    <row r="24254">
      <c r="A24254" s="39">
        <f>_xlfn.XLOOKUP(85855,Trip[shape_id],Trip[shape_id],"Não encontrado")</f>
        <v/>
      </c>
      <c r="B24254" s="40" t="n">
        <v>-23.52912</v>
      </c>
      <c r="C24254" s="40" t="n">
        <v>-46.59822</v>
      </c>
      <c r="D24254" s="40" t="n">
        <v>310</v>
      </c>
      <c r="E24254" s="41" t="n">
        <v>11576.992</v>
      </c>
    </row>
    <row r="24255">
      <c r="A24255" s="42">
        <f>_xlfn.XLOOKUP(85855,Trip[shape_id],Trip[shape_id],"Não encontrado")</f>
        <v/>
      </c>
      <c r="B24255" s="43" t="n">
        <v>-23.529237</v>
      </c>
      <c r="C24255" s="43" t="n">
        <v>-46.598319</v>
      </c>
      <c r="D24255" s="43" t="n">
        <v>311</v>
      </c>
      <c r="E24255" s="44" t="n">
        <v>11593.427</v>
      </c>
    </row>
    <row r="24256">
      <c r="A24256" s="39">
        <f>_xlfn.XLOOKUP(85855,Trip[shape_id],Trip[shape_id],"Não encontrado")</f>
        <v/>
      </c>
      <c r="B24256" s="40" t="n">
        <v>-23.529285</v>
      </c>
      <c r="C24256" s="40" t="n">
        <v>-46.598387</v>
      </c>
      <c r="D24256" s="40" t="n">
        <v>312</v>
      </c>
      <c r="E24256" s="41" t="n">
        <v>11602.172</v>
      </c>
    </row>
    <row r="24257">
      <c r="A24257" s="42">
        <f>_xlfn.XLOOKUP(85855,Trip[shape_id],Trip[shape_id],"Não encontrado")</f>
        <v/>
      </c>
      <c r="B24257" s="43" t="n">
        <v>-23.529288</v>
      </c>
      <c r="C24257" s="43" t="n">
        <v>-46.598472</v>
      </c>
      <c r="D24257" s="43" t="n">
        <v>313</v>
      </c>
      <c r="E24257" s="44" t="n">
        <v>11610.858</v>
      </c>
    </row>
    <row r="24258">
      <c r="A24258" s="39">
        <f>_xlfn.XLOOKUP(85855,Trip[shape_id],Trip[shape_id],"Não encontrado")</f>
        <v/>
      </c>
      <c r="B24258" s="40" t="n">
        <v>-23.529239</v>
      </c>
      <c r="C24258" s="40" t="n">
        <v>-46.598577</v>
      </c>
      <c r="D24258" s="40" t="n">
        <v>314</v>
      </c>
      <c r="E24258" s="41" t="n">
        <v>11622.876</v>
      </c>
    </row>
    <row r="24259">
      <c r="A24259" s="42">
        <f>_xlfn.XLOOKUP(85855,Trip[shape_id],Trip[shape_id],"Não encontrado")</f>
        <v/>
      </c>
      <c r="B24259" s="43" t="n">
        <v>-23.528743</v>
      </c>
      <c r="C24259" s="43" t="n">
        <v>-46.599218</v>
      </c>
      <c r="D24259" s="43" t="n">
        <v>315</v>
      </c>
      <c r="E24259" s="44" t="n">
        <v>11708.33</v>
      </c>
    </row>
    <row r="24260">
      <c r="A24260" s="39">
        <f>_xlfn.XLOOKUP(85855,Trip[shape_id],Trip[shape_id],"Não encontrado")</f>
        <v/>
      </c>
      <c r="B24260" s="40" t="n">
        <v>-23.528458</v>
      </c>
      <c r="C24260" s="40" t="n">
        <v>-46.599586</v>
      </c>
      <c r="D24260" s="40" t="n">
        <v>316</v>
      </c>
      <c r="E24260" s="41" t="n">
        <v>11757.407</v>
      </c>
    </row>
    <row r="24261">
      <c r="A24261" s="42">
        <f>_xlfn.XLOOKUP(85855,Trip[shape_id],Trip[shape_id],"Não encontrado")</f>
        <v/>
      </c>
      <c r="B24261" s="43" t="n">
        <v>-23.528309</v>
      </c>
      <c r="C24261" s="43" t="n">
        <v>-46.599699</v>
      </c>
      <c r="D24261" s="43" t="n">
        <v>317</v>
      </c>
      <c r="E24261" s="44" t="n">
        <v>11777.544</v>
      </c>
    </row>
    <row r="24262">
      <c r="A24262" s="39">
        <f>_xlfn.XLOOKUP(85855,Trip[shape_id],Trip[shape_id],"Não encontrado")</f>
        <v/>
      </c>
      <c r="B24262" s="40" t="n">
        <v>-23.528126</v>
      </c>
      <c r="C24262" s="40" t="n">
        <v>-46.599777</v>
      </c>
      <c r="D24262" s="40" t="n">
        <v>318</v>
      </c>
      <c r="E24262" s="41" t="n">
        <v>11799.32</v>
      </c>
    </row>
    <row r="24263">
      <c r="A24263" s="42">
        <f>_xlfn.XLOOKUP(85855,Trip[shape_id],Trip[shape_id],"Não encontrado")</f>
        <v/>
      </c>
      <c r="B24263" s="43" t="n">
        <v>-23.527985</v>
      </c>
      <c r="C24263" s="43" t="n">
        <v>-46.599802</v>
      </c>
      <c r="D24263" s="43" t="n">
        <v>319</v>
      </c>
      <c r="E24263" s="44" t="n">
        <v>11815.144</v>
      </c>
    </row>
    <row r="24264">
      <c r="A24264" s="39">
        <f>_xlfn.XLOOKUP(85855,Trip[shape_id],Trip[shape_id],"Não encontrado")</f>
        <v/>
      </c>
      <c r="B24264" s="40" t="n">
        <v>-23.527894</v>
      </c>
      <c r="C24264" s="40" t="n">
        <v>-46.599808</v>
      </c>
      <c r="D24264" s="40" t="n">
        <v>320</v>
      </c>
      <c r="E24264" s="41" t="n">
        <v>11825.24</v>
      </c>
    </row>
    <row r="24265">
      <c r="A24265" s="42">
        <f>_xlfn.XLOOKUP(85855,Trip[shape_id],Trip[shape_id],"Não encontrado")</f>
        <v/>
      </c>
      <c r="B24265" s="43" t="n">
        <v>-23.527745</v>
      </c>
      <c r="C24265" s="43" t="n">
        <v>-46.599789</v>
      </c>
      <c r="D24265" s="43" t="n">
        <v>321</v>
      </c>
      <c r="E24265" s="44" t="n">
        <v>11841.855</v>
      </c>
    </row>
    <row r="24266">
      <c r="A24266" s="39">
        <f>_xlfn.XLOOKUP(85855,Trip[shape_id],Trip[shape_id],"Não encontrado")</f>
        <v/>
      </c>
      <c r="B24266" s="40" t="n">
        <v>-23.527674</v>
      </c>
      <c r="C24266" s="40" t="n">
        <v>-46.599789</v>
      </c>
      <c r="D24266" s="40" t="n">
        <v>322</v>
      </c>
      <c r="E24266" s="41" t="n">
        <v>11849.719</v>
      </c>
    </row>
    <row r="24267">
      <c r="A24267" s="42">
        <f>_xlfn.XLOOKUP(85855,Trip[shape_id],Trip[shape_id],"Não encontrado")</f>
        <v/>
      </c>
      <c r="B24267" s="43" t="n">
        <v>-23.527614</v>
      </c>
      <c r="C24267" s="43" t="n">
        <v>-46.599822</v>
      </c>
      <c r="D24267" s="43" t="n">
        <v>323</v>
      </c>
      <c r="E24267" s="44" t="n">
        <v>11857.17</v>
      </c>
    </row>
    <row r="24268">
      <c r="A24268" s="39">
        <f>_xlfn.XLOOKUP(85855,Trip[shape_id],Trip[shape_id],"Não encontrado")</f>
        <v/>
      </c>
      <c r="B24268" s="40" t="n">
        <v>-23.527592</v>
      </c>
      <c r="C24268" s="40" t="n">
        <v>-46.599857</v>
      </c>
      <c r="D24268" s="40" t="n">
        <v>324</v>
      </c>
      <c r="E24268" s="41" t="n">
        <v>11861.496</v>
      </c>
    </row>
    <row r="24269">
      <c r="A24269" s="42">
        <f>_xlfn.XLOOKUP(85855,Trip[shape_id],Trip[shape_id],"Não encontrado")</f>
        <v/>
      </c>
      <c r="B24269" s="43" t="n">
        <v>-23.52757</v>
      </c>
      <c r="C24269" s="43" t="n">
        <v>-46.599932</v>
      </c>
      <c r="D24269" s="43" t="n">
        <v>325</v>
      </c>
      <c r="E24269" s="44" t="n">
        <v>11869.533</v>
      </c>
    </row>
    <row r="24270">
      <c r="A24270" s="39">
        <f>_xlfn.XLOOKUP(85855,Trip[shape_id],Trip[shape_id],"Não encontrado")</f>
        <v/>
      </c>
      <c r="B24270" s="40" t="n">
        <v>-23.527651</v>
      </c>
      <c r="C24270" s="40" t="n">
        <v>-46.600094</v>
      </c>
      <c r="D24270" s="40" t="n">
        <v>326</v>
      </c>
      <c r="E24270" s="41" t="n">
        <v>11888.353</v>
      </c>
    </row>
    <row r="24271">
      <c r="A24271" s="42">
        <f>_xlfn.XLOOKUP(85855,Trip[shape_id],Trip[shape_id],"Não encontrado")</f>
        <v/>
      </c>
      <c r="B24271" s="43" t="n">
        <v>-23.528398</v>
      </c>
      <c r="C24271" s="43" t="n">
        <v>-46.602242</v>
      </c>
      <c r="D24271" s="43" t="n">
        <v>327</v>
      </c>
      <c r="E24271" s="44" t="n">
        <v>12122.788</v>
      </c>
    </row>
    <row r="24272">
      <c r="A24272" s="39">
        <f>_xlfn.XLOOKUP(85855,Trip[shape_id],Trip[shape_id],"Não encontrado")</f>
        <v/>
      </c>
      <c r="B24272" s="40" t="n">
        <v>-23.529372</v>
      </c>
      <c r="C24272" s="40" t="n">
        <v>-46.602176</v>
      </c>
      <c r="D24272" s="40" t="n">
        <v>328</v>
      </c>
      <c r="E24272" s="41" t="n">
        <v>12230.87</v>
      </c>
    </row>
    <row r="24273">
      <c r="A24273" s="42">
        <f>_xlfn.XLOOKUP(85855,Trip[shape_id],Trip[shape_id],"Não encontrado")</f>
        <v/>
      </c>
      <c r="B24273" s="43" t="n">
        <v>-23.529477</v>
      </c>
      <c r="C24273" s="43" t="n">
        <v>-46.602804</v>
      </c>
      <c r="D24273" s="43" t="n">
        <v>329</v>
      </c>
      <c r="E24273" s="44" t="n">
        <v>12296.046</v>
      </c>
    </row>
    <row r="24274">
      <c r="A24274" s="39">
        <f>_xlfn.XLOOKUP(85855,Trip[shape_id],Trip[shape_id],"Não encontrado")</f>
        <v/>
      </c>
      <c r="B24274" s="40" t="n">
        <v>-23.529498</v>
      </c>
      <c r="C24274" s="40" t="n">
        <v>-46.602899</v>
      </c>
      <c r="D24274" s="40" t="n">
        <v>330</v>
      </c>
      <c r="E24274" s="41" t="n">
        <v>12306.022</v>
      </c>
    </row>
    <row r="24275">
      <c r="A24275" s="42">
        <f>_xlfn.XLOOKUP(85855,Trip[shape_id],Trip[shape_id],"Não encontrado")</f>
        <v/>
      </c>
      <c r="B24275" s="43" t="n">
        <v>-23.529528</v>
      </c>
      <c r="C24275" s="43" t="n">
        <v>-46.603054</v>
      </c>
      <c r="D24275" s="43" t="n">
        <v>331</v>
      </c>
      <c r="E24275" s="44" t="n">
        <v>12322.195</v>
      </c>
    </row>
    <row r="24276">
      <c r="A24276" s="39">
        <f>_xlfn.XLOOKUP(85855,Trip[shape_id],Trip[shape_id],"Não encontrado")</f>
        <v/>
      </c>
      <c r="B24276" s="40" t="n">
        <v>-23.529429</v>
      </c>
      <c r="C24276" s="40" t="n">
        <v>-46.603094</v>
      </c>
      <c r="D24276" s="40" t="n">
        <v>332</v>
      </c>
      <c r="E24276" s="41" t="n">
        <v>12520.421</v>
      </c>
    </row>
    <row r="24277">
      <c r="A24277" s="42">
        <f>_xlfn.XLOOKUP(85855,Trip[shape_id],Trip[shape_id],"Não encontrado")</f>
        <v/>
      </c>
      <c r="B24277" s="43" t="n">
        <v>-23.528233</v>
      </c>
      <c r="C24277" s="43" t="n">
        <v>-46.60438</v>
      </c>
      <c r="D24277" s="43" t="n">
        <v>333</v>
      </c>
      <c r="E24277" s="44" t="n">
        <v>12520.421</v>
      </c>
    </row>
    <row r="24278">
      <c r="A24278" s="39">
        <f>_xlfn.XLOOKUP(85855,Trip[shape_id],Trip[shape_id],"Não encontrado")</f>
        <v/>
      </c>
      <c r="B24278" s="40" t="n">
        <v>-23.5279</v>
      </c>
      <c r="C24278" s="40" t="n">
        <v>-46.604736</v>
      </c>
      <c r="D24278" s="40" t="n">
        <v>334</v>
      </c>
      <c r="E24278" s="41" t="n">
        <v>12586.26</v>
      </c>
    </row>
    <row r="24279">
      <c r="A24279" s="42">
        <f>_xlfn.XLOOKUP(85855,Trip[shape_id],Trip[shape_id],"Não encontrado")</f>
        <v/>
      </c>
      <c r="B24279" s="43" t="n">
        <v>-23.52781</v>
      </c>
      <c r="C24279" s="43" t="n">
        <v>-46.604833</v>
      </c>
      <c r="D24279" s="43" t="n">
        <v>335</v>
      </c>
      <c r="E24279" s="44" t="n">
        <v>12586.26</v>
      </c>
    </row>
    <row r="24280">
      <c r="A24280" s="39">
        <f>_xlfn.XLOOKUP(85855,Trip[shape_id],Trip[shape_id],"Não encontrado")</f>
        <v/>
      </c>
      <c r="B24280" s="40" t="n">
        <v>-23.527586</v>
      </c>
      <c r="C24280" s="40" t="n">
        <v>-46.605075</v>
      </c>
      <c r="D24280" s="40" t="n">
        <v>336</v>
      </c>
      <c r="E24280" s="41" t="n">
        <v>12621.276</v>
      </c>
    </row>
    <row r="24281">
      <c r="A24281" s="42">
        <f>_xlfn.XLOOKUP(85855,Trip[shape_id],Trip[shape_id],"Não encontrado")</f>
        <v/>
      </c>
      <c r="B24281" s="43" t="n">
        <v>-23.527528</v>
      </c>
      <c r="C24281" s="43" t="n">
        <v>-46.605134</v>
      </c>
      <c r="D24281" s="43" t="n">
        <v>337</v>
      </c>
      <c r="E24281" s="44" t="n">
        <v>12638.73</v>
      </c>
    </row>
    <row r="24282">
      <c r="A24282" s="39">
        <f>_xlfn.XLOOKUP(85855,Trip[shape_id],Trip[shape_id],"Não encontrado")</f>
        <v/>
      </c>
      <c r="B24282" s="40" t="n">
        <v>-23.527472</v>
      </c>
      <c r="C24282" s="40" t="n">
        <v>-46.605193</v>
      </c>
      <c r="D24282" s="40" t="n">
        <v>338</v>
      </c>
      <c r="E24282" s="41" t="n">
        <v>12638.73</v>
      </c>
    </row>
    <row r="24283">
      <c r="A24283" s="42">
        <f>_xlfn.XLOOKUP(85855,Trip[shape_id],Trip[shape_id],"Não encontrado")</f>
        <v/>
      </c>
      <c r="B24283" s="43" t="n">
        <v>-23.526906</v>
      </c>
      <c r="C24283" s="43" t="n">
        <v>-46.605801</v>
      </c>
      <c r="D24283" s="43" t="n">
        <v>339</v>
      </c>
      <c r="E24283" s="44" t="n">
        <v>12726.96</v>
      </c>
    </row>
    <row r="24284">
      <c r="A24284" s="39">
        <f>_xlfn.XLOOKUP(85855,Trip[shape_id],Trip[shape_id],"Não encontrado")</f>
        <v/>
      </c>
      <c r="B24284" s="40" t="n">
        <v>-23.526819</v>
      </c>
      <c r="C24284" s="40" t="n">
        <v>-46.605885</v>
      </c>
      <c r="D24284" s="40" t="n">
        <v>340</v>
      </c>
      <c r="E24284" s="41" t="n">
        <v>12793.318</v>
      </c>
    </row>
    <row r="24285">
      <c r="A24285" s="42">
        <f>_xlfn.XLOOKUP(85855,Trip[shape_id],Trip[shape_id],"Não encontrado")</f>
        <v/>
      </c>
      <c r="B24285" s="43" t="n">
        <v>-23.526473</v>
      </c>
      <c r="C24285" s="43" t="n">
        <v>-46.60625</v>
      </c>
      <c r="D24285" s="43" t="n">
        <v>341</v>
      </c>
      <c r="E24285" s="44" t="n">
        <v>12793.318</v>
      </c>
    </row>
    <row r="24286">
      <c r="A24286" s="39">
        <f>_xlfn.XLOOKUP(85855,Trip[shape_id],Trip[shape_id],"Não encontrado")</f>
        <v/>
      </c>
      <c r="B24286" s="40" t="n">
        <v>-23.526287</v>
      </c>
      <c r="C24286" s="40" t="n">
        <v>-46.60644</v>
      </c>
      <c r="D24286" s="40" t="n">
        <v>342</v>
      </c>
      <c r="E24286" s="41" t="n">
        <v>12821.617</v>
      </c>
    </row>
    <row r="24287">
      <c r="A24287" s="42">
        <f>_xlfn.XLOOKUP(85855,Trip[shape_id],Trip[shape_id],"Não encontrado")</f>
        <v/>
      </c>
      <c r="B24287" s="43" t="n">
        <v>-23.526514</v>
      </c>
      <c r="C24287" s="43" t="n">
        <v>-46.60682</v>
      </c>
      <c r="D24287" s="43" t="n">
        <v>343</v>
      </c>
      <c r="E24287" s="44" t="n">
        <v>12867.855</v>
      </c>
    </row>
    <row r="24288">
      <c r="A24288" s="39">
        <f>_xlfn.XLOOKUP(85855,Trip[shape_id],Trip[shape_id],"Não encontrado")</f>
        <v/>
      </c>
      <c r="B24288" s="40" t="n">
        <v>-23.526739</v>
      </c>
      <c r="C24288" s="40" t="n">
        <v>-46.60719</v>
      </c>
      <c r="D24288" s="40" t="n">
        <v>344</v>
      </c>
      <c r="E24288" s="41" t="n">
        <v>12913.117</v>
      </c>
    </row>
    <row r="24289">
      <c r="A24289" s="42">
        <f>_xlfn.XLOOKUP(85855,Trip[shape_id],Trip[shape_id],"Não encontrado")</f>
        <v/>
      </c>
      <c r="B24289" s="43" t="n">
        <v>-23.526841</v>
      </c>
      <c r="C24289" s="43" t="n">
        <v>-46.607368</v>
      </c>
      <c r="D24289" s="43" t="n">
        <v>345</v>
      </c>
      <c r="E24289" s="44" t="n">
        <v>12934.52</v>
      </c>
    </row>
    <row r="24290">
      <c r="A24290" s="39">
        <f>_xlfn.XLOOKUP(85855,Trip[shape_id],Trip[shape_id],"Não encontrado")</f>
        <v/>
      </c>
      <c r="B24290" s="40" t="n">
        <v>-23.526859</v>
      </c>
      <c r="C24290" s="40" t="n">
        <v>-46.607385</v>
      </c>
      <c r="D24290" s="40" t="n">
        <v>346</v>
      </c>
      <c r="E24290" s="41" t="n">
        <v>12937.163</v>
      </c>
    </row>
    <row r="24291">
      <c r="A24291" s="42">
        <f>_xlfn.XLOOKUP(85855,Trip[shape_id],Trip[shape_id],"Não encontrado")</f>
        <v/>
      </c>
      <c r="B24291" s="43" t="n">
        <v>-23.527166</v>
      </c>
      <c r="C24291" s="43" t="n">
        <v>-46.607688</v>
      </c>
      <c r="D24291" s="43" t="n">
        <v>347</v>
      </c>
      <c r="E24291" s="44" t="n">
        <v>12983.136</v>
      </c>
    </row>
    <row r="24292">
      <c r="A24292" s="39">
        <f>_xlfn.XLOOKUP(85855,Trip[shape_id],Trip[shape_id],"Não encontrado")</f>
        <v/>
      </c>
      <c r="B24292" s="40" t="n">
        <v>-23.527386</v>
      </c>
      <c r="C24292" s="40" t="n">
        <v>-46.607906</v>
      </c>
      <c r="D24292" s="40" t="n">
        <v>348</v>
      </c>
      <c r="E24292" s="41" t="n">
        <v>13016.14</v>
      </c>
    </row>
    <row r="24293">
      <c r="A24293" s="42">
        <f>_xlfn.XLOOKUP(85855,Trip[shape_id],Trip[shape_id],"Não encontrado")</f>
        <v/>
      </c>
      <c r="B24293" s="43" t="n">
        <v>-23.528035</v>
      </c>
      <c r="C24293" s="43" t="n">
        <v>-46.60855</v>
      </c>
      <c r="D24293" s="43" t="n">
        <v>349</v>
      </c>
      <c r="E24293" s="44" t="n">
        <v>13113.563</v>
      </c>
    </row>
    <row r="24294">
      <c r="A24294" s="39">
        <f>_xlfn.XLOOKUP(85855,Trip[shape_id],Trip[shape_id],"Não encontrado")</f>
        <v/>
      </c>
      <c r="B24294" s="40" t="n">
        <v>-23.528246</v>
      </c>
      <c r="C24294" s="40" t="n">
        <v>-46.608762</v>
      </c>
      <c r="D24294" s="40" t="n">
        <v>350</v>
      </c>
      <c r="E24294" s="41" t="n">
        <v>13145.419</v>
      </c>
    </row>
    <row r="24295">
      <c r="A24295" s="42">
        <f>_xlfn.XLOOKUP(85855,Trip[shape_id],Trip[shape_id],"Não encontrado")</f>
        <v/>
      </c>
      <c r="B24295" s="43" t="n">
        <v>-23.52829</v>
      </c>
      <c r="C24295" s="43" t="n">
        <v>-46.60879</v>
      </c>
      <c r="D24295" s="43" t="n">
        <v>351</v>
      </c>
      <c r="E24295" s="44" t="n">
        <v>13151.068</v>
      </c>
    </row>
    <row r="24296">
      <c r="A24296" s="39">
        <f>_xlfn.XLOOKUP(85855,Trip[shape_id],Trip[shape_id],"Não encontrado")</f>
        <v/>
      </c>
      <c r="B24296" s="40" t="n">
        <v>-23.528334</v>
      </c>
      <c r="C24296" s="40" t="n">
        <v>-46.60885</v>
      </c>
      <c r="D24296" s="40" t="n">
        <v>352</v>
      </c>
      <c r="E24296" s="41" t="n">
        <v>13158.897</v>
      </c>
    </row>
    <row r="24297">
      <c r="A24297" s="42">
        <f>_xlfn.XLOOKUP(85855,Trip[shape_id],Trip[shape_id],"Não encontrado")</f>
        <v/>
      </c>
      <c r="B24297" s="43" t="n">
        <v>-23.528533</v>
      </c>
      <c r="C24297" s="43" t="n">
        <v>-46.609047</v>
      </c>
      <c r="D24297" s="43" t="n">
        <v>353</v>
      </c>
      <c r="E24297" s="44" t="n">
        <v>13188.738</v>
      </c>
    </row>
    <row r="24298">
      <c r="A24298" s="39">
        <f>_xlfn.XLOOKUP(85855,Trip[shape_id],Trip[shape_id],"Não encontrado")</f>
        <v/>
      </c>
      <c r="B24298" s="40" t="n">
        <v>-23.528615</v>
      </c>
      <c r="C24298" s="40" t="n">
        <v>-46.609128</v>
      </c>
      <c r="D24298" s="40" t="n">
        <v>354</v>
      </c>
      <c r="E24298" s="41" t="n">
        <v>13201.021</v>
      </c>
    </row>
    <row r="24299">
      <c r="A24299" s="42">
        <f>_xlfn.XLOOKUP(85855,Trip[shape_id],Trip[shape_id],"Não encontrado")</f>
        <v/>
      </c>
      <c r="B24299" s="43" t="n">
        <v>-23.528838</v>
      </c>
      <c r="C24299" s="43" t="n">
        <v>-46.609352</v>
      </c>
      <c r="D24299" s="43" t="n">
        <v>355</v>
      </c>
      <c r="E24299" s="44" t="n">
        <v>13234.685</v>
      </c>
    </row>
    <row r="24300">
      <c r="A24300" s="39">
        <f>_xlfn.XLOOKUP(85855,Trip[shape_id],Trip[shape_id],"Não encontrado")</f>
        <v/>
      </c>
      <c r="B24300" s="40" t="n">
        <v>-23.529113</v>
      </c>
      <c r="C24300" s="40" t="n">
        <v>-46.609623</v>
      </c>
      <c r="D24300" s="40" t="n">
        <v>356</v>
      </c>
      <c r="E24300" s="41" t="n">
        <v>13275.836</v>
      </c>
    </row>
    <row r="24301">
      <c r="A24301" s="42">
        <f>_xlfn.XLOOKUP(85855,Trip[shape_id],Trip[shape_id],"Não encontrado")</f>
        <v/>
      </c>
      <c r="B24301" s="43" t="n">
        <v>-23.529492</v>
      </c>
      <c r="C24301" s="43" t="n">
        <v>-46.610001</v>
      </c>
      <c r="D24301" s="43" t="n">
        <v>357</v>
      </c>
      <c r="E24301" s="44" t="n">
        <v>13332.861</v>
      </c>
    </row>
    <row r="24302">
      <c r="A24302" s="39">
        <f>_xlfn.XLOOKUP(85855,Trip[shape_id],Trip[shape_id],"Não encontrado")</f>
        <v/>
      </c>
      <c r="B24302" s="40" t="n">
        <v>-23.529971</v>
      </c>
      <c r="C24302" s="40" t="n">
        <v>-46.610479</v>
      </c>
      <c r="D24302" s="40" t="n">
        <v>358</v>
      </c>
      <c r="E24302" s="41" t="n">
        <v>13404.951</v>
      </c>
    </row>
    <row r="24303">
      <c r="A24303" s="42">
        <f>_xlfn.XLOOKUP(85855,Trip[shape_id],Trip[shape_id],"Não encontrado")</f>
        <v/>
      </c>
      <c r="B24303" s="43" t="n">
        <v>-23.530378</v>
      </c>
      <c r="C24303" s="43" t="n">
        <v>-46.610886</v>
      </c>
      <c r="D24303" s="43" t="n">
        <v>359</v>
      </c>
      <c r="E24303" s="44" t="n">
        <v>13466.264</v>
      </c>
    </row>
    <row r="24304">
      <c r="A24304" s="39">
        <f>_xlfn.XLOOKUP(85855,Trip[shape_id],Trip[shape_id],"Não encontrado")</f>
        <v/>
      </c>
      <c r="B24304" s="40" t="n">
        <v>-23.530898</v>
      </c>
      <c r="C24304" s="40" t="n">
        <v>-46.611409</v>
      </c>
      <c r="D24304" s="40" t="n">
        <v>360</v>
      </c>
      <c r="E24304" s="41" t="n">
        <v>13544.807</v>
      </c>
    </row>
    <row r="24305">
      <c r="A24305" s="42">
        <f>_xlfn.XLOOKUP(85855,Trip[shape_id],Trip[shape_id],"Não encontrado")</f>
        <v/>
      </c>
      <c r="B24305" s="43" t="n">
        <v>-23.531912</v>
      </c>
      <c r="C24305" s="43" t="n">
        <v>-46.612427</v>
      </c>
      <c r="D24305" s="43" t="n">
        <v>361</v>
      </c>
      <c r="E24305" s="44" t="n">
        <v>13697.837</v>
      </c>
    </row>
    <row r="24306">
      <c r="A24306" s="39">
        <f>_xlfn.XLOOKUP(85855,Trip[shape_id],Trip[shape_id],"Não encontrado")</f>
        <v/>
      </c>
      <c r="B24306" s="40" t="n">
        <v>-23.53232</v>
      </c>
      <c r="C24306" s="40" t="n">
        <v>-46.612839</v>
      </c>
      <c r="D24306" s="40" t="n">
        <v>362</v>
      </c>
      <c r="E24306" s="41" t="n">
        <v>13759.577</v>
      </c>
    </row>
    <row r="24307">
      <c r="A24307" s="42">
        <f>_xlfn.XLOOKUP(85855,Trip[shape_id],Trip[shape_id],"Não encontrado")</f>
        <v/>
      </c>
      <c r="B24307" s="43" t="n">
        <v>-23.532471</v>
      </c>
      <c r="C24307" s="43" t="n">
        <v>-46.61299</v>
      </c>
      <c r="D24307" s="43" t="n">
        <v>363</v>
      </c>
      <c r="E24307" s="44" t="n">
        <v>13782.324</v>
      </c>
    </row>
    <row r="24308">
      <c r="A24308" s="39">
        <f>_xlfn.XLOOKUP(85855,Trip[shape_id],Trip[shape_id],"Não encontrado")</f>
        <v/>
      </c>
      <c r="B24308" s="40" t="n">
        <v>-23.532606</v>
      </c>
      <c r="C24308" s="40" t="n">
        <v>-46.613125</v>
      </c>
      <c r="D24308" s="40" t="n">
        <v>364</v>
      </c>
      <c r="E24308" s="41" t="n">
        <v>13802.661</v>
      </c>
    </row>
    <row r="24309">
      <c r="A24309" s="42">
        <f>_xlfn.XLOOKUP(85855,Trip[shape_id],Trip[shape_id],"Não encontrado")</f>
        <v/>
      </c>
      <c r="B24309" s="43" t="n">
        <v>-23.532916</v>
      </c>
      <c r="C24309" s="43" t="n">
        <v>-46.613439</v>
      </c>
      <c r="D24309" s="43" t="n">
        <v>365</v>
      </c>
      <c r="E24309" s="44" t="n">
        <v>13849.639</v>
      </c>
    </row>
    <row r="24310">
      <c r="A24310" s="39">
        <f>_xlfn.XLOOKUP(85855,Trip[shape_id],Trip[shape_id],"Não encontrado")</f>
        <v/>
      </c>
      <c r="B24310" s="40" t="n">
        <v>-23.533346</v>
      </c>
      <c r="C24310" s="40" t="n">
        <v>-46.61387</v>
      </c>
      <c r="D24310" s="40" t="n">
        <v>366</v>
      </c>
      <c r="E24310" s="41" t="n">
        <v>13914.484</v>
      </c>
    </row>
    <row r="24311">
      <c r="A24311" s="42">
        <f>_xlfn.XLOOKUP(85855,Trip[shape_id],Trip[shape_id],"Não encontrado")</f>
        <v/>
      </c>
      <c r="B24311" s="43" t="n">
        <v>-23.534093</v>
      </c>
      <c r="C24311" s="43" t="n">
        <v>-46.614621</v>
      </c>
      <c r="D24311" s="43" t="n">
        <v>367</v>
      </c>
      <c r="E24311" s="44" t="n">
        <v>14027.292</v>
      </c>
    </row>
    <row r="24312">
      <c r="A24312" s="39">
        <f>_xlfn.XLOOKUP(85855,Trip[shape_id],Trip[shape_id],"Não encontrado")</f>
        <v/>
      </c>
      <c r="B24312" s="40" t="n">
        <v>-23.534158</v>
      </c>
      <c r="C24312" s="40" t="n">
        <v>-46.614665</v>
      </c>
      <c r="D24312" s="40" t="n">
        <v>368</v>
      </c>
      <c r="E24312" s="41" t="n">
        <v>14035.777</v>
      </c>
    </row>
    <row r="24313">
      <c r="A24313" s="42">
        <f>_xlfn.XLOOKUP(85855,Trip[shape_id],Trip[shape_id],"Não encontrado")</f>
        <v/>
      </c>
      <c r="B24313" s="43" t="n">
        <v>-23.534181</v>
      </c>
      <c r="C24313" s="43" t="n">
        <v>-46.614709</v>
      </c>
      <c r="D24313" s="43" t="n">
        <v>369</v>
      </c>
      <c r="E24313" s="44" t="n">
        <v>14040.942</v>
      </c>
    </row>
    <row r="24314">
      <c r="A24314" s="39">
        <f>_xlfn.XLOOKUP(85855,Trip[shape_id],Trip[shape_id],"Não encontrado")</f>
        <v/>
      </c>
      <c r="B24314" s="40" t="n">
        <v>-23.5343</v>
      </c>
      <c r="C24314" s="40" t="n">
        <v>-46.614828</v>
      </c>
      <c r="D24314" s="40" t="n">
        <v>370</v>
      </c>
      <c r="E24314" s="41" t="n">
        <v>14058.869</v>
      </c>
    </row>
    <row r="24315">
      <c r="A24315" s="42">
        <f>_xlfn.XLOOKUP(85855,Trip[shape_id],Trip[shape_id],"Não encontrado")</f>
        <v/>
      </c>
      <c r="B24315" s="43" t="n">
        <v>-23.534806</v>
      </c>
      <c r="C24315" s="43" t="n">
        <v>-46.615337</v>
      </c>
      <c r="D24315" s="43" t="n">
        <v>371</v>
      </c>
      <c r="E24315" s="44" t="n">
        <v>14135.303</v>
      </c>
    </row>
    <row r="24316">
      <c r="A24316" s="39">
        <f>_xlfn.XLOOKUP(85855,Trip[shape_id],Trip[shape_id],"Não encontrado")</f>
        <v/>
      </c>
      <c r="B24316" s="40" t="n">
        <v>-23.534982</v>
      </c>
      <c r="C24316" s="40" t="n">
        <v>-46.61552</v>
      </c>
      <c r="D24316" s="40" t="n">
        <v>372</v>
      </c>
      <c r="E24316" s="41" t="n">
        <v>14162.306</v>
      </c>
    </row>
    <row r="24317">
      <c r="A24317" s="42">
        <f>_xlfn.XLOOKUP(85855,Trip[shape_id],Trip[shape_id],"Não encontrado")</f>
        <v/>
      </c>
      <c r="B24317" s="43" t="n">
        <v>-23.53539</v>
      </c>
      <c r="C24317" s="43" t="n">
        <v>-46.615919</v>
      </c>
      <c r="D24317" s="43" t="n">
        <v>373</v>
      </c>
      <c r="E24317" s="44" t="n">
        <v>14223.148</v>
      </c>
    </row>
    <row r="24318">
      <c r="A24318" s="39">
        <f>_xlfn.XLOOKUP(85855,Trip[shape_id],Trip[shape_id],"Não encontrado")</f>
        <v/>
      </c>
      <c r="B24318" s="40" t="n">
        <v>-23.535452</v>
      </c>
      <c r="C24318" s="40" t="n">
        <v>-46.615944</v>
      </c>
      <c r="D24318" s="40" t="n">
        <v>374</v>
      </c>
      <c r="E24318" s="41" t="n">
        <v>14230.474</v>
      </c>
    </row>
    <row r="24319">
      <c r="A24319" s="42">
        <f>_xlfn.XLOOKUP(85855,Trip[shape_id],Trip[shape_id],"Não encontrado")</f>
        <v/>
      </c>
      <c r="B24319" s="43" t="n">
        <v>-23.535473</v>
      </c>
      <c r="C24319" s="43" t="n">
        <v>-46.616003</v>
      </c>
      <c r="D24319" s="43" t="n">
        <v>375</v>
      </c>
      <c r="E24319" s="44" t="n">
        <v>14236.932</v>
      </c>
    </row>
    <row r="24320">
      <c r="A24320" s="39">
        <f>_xlfn.XLOOKUP(85855,Trip[shape_id],Trip[shape_id],"Não encontrado")</f>
        <v/>
      </c>
      <c r="B24320" s="40" t="n">
        <v>-23.535584</v>
      </c>
      <c r="C24320" s="40" t="n">
        <v>-46.616111</v>
      </c>
      <c r="D24320" s="40" t="n">
        <v>376</v>
      </c>
      <c r="E24320" s="41" t="n">
        <v>14253.447</v>
      </c>
    </row>
    <row r="24321">
      <c r="A24321" s="42">
        <f>_xlfn.XLOOKUP(85855,Trip[shape_id],Trip[shape_id],"Não encontrado")</f>
        <v/>
      </c>
      <c r="B24321" s="43" t="n">
        <v>-23.535547</v>
      </c>
      <c r="C24321" s="43" t="n">
        <v>-46.616751</v>
      </c>
      <c r="D24321" s="43" t="n">
        <v>377</v>
      </c>
      <c r="E24321" s="44" t="n">
        <v>14318.929</v>
      </c>
    </row>
    <row r="24322">
      <c r="A24322" s="39">
        <f>_xlfn.XLOOKUP(85855,Trip[shape_id],Trip[shape_id],"Não encontrado")</f>
        <v/>
      </c>
      <c r="B24322" s="40" t="n">
        <v>-23.535468</v>
      </c>
      <c r="C24322" s="40" t="n">
        <v>-46.617803</v>
      </c>
      <c r="D24322" s="40" t="n">
        <v>378</v>
      </c>
      <c r="E24322" s="41" t="n">
        <v>14426.708</v>
      </c>
    </row>
    <row r="24323">
      <c r="A24323" s="42">
        <f>_xlfn.XLOOKUP(85855,Trip[shape_id],Trip[shape_id],"Não encontrado")</f>
        <v/>
      </c>
      <c r="B24323" s="43" t="n">
        <v>-23.535377</v>
      </c>
      <c r="C24323" s="43" t="n">
        <v>-46.618966</v>
      </c>
      <c r="D24323" s="43" t="n">
        <v>379</v>
      </c>
      <c r="E24323" s="44" t="n">
        <v>14545.894</v>
      </c>
    </row>
    <row r="24324">
      <c r="A24324" s="39">
        <f>_xlfn.XLOOKUP(85855,Trip[shape_id],Trip[shape_id],"Não encontrado")</f>
        <v/>
      </c>
      <c r="B24324" s="40" t="n">
        <v>-23.535928</v>
      </c>
      <c r="C24324" s="40" t="n">
        <v>-46.618992</v>
      </c>
      <c r="D24324" s="40" t="n">
        <v>380</v>
      </c>
      <c r="E24324" s="41" t="n">
        <v>14606.976</v>
      </c>
    </row>
    <row r="24325">
      <c r="A24325" s="42">
        <f>_xlfn.XLOOKUP(85855,Trip[shape_id],Trip[shape_id],"Não encontrado")</f>
        <v/>
      </c>
      <c r="B24325" s="43" t="n">
        <v>-23.536573</v>
      </c>
      <c r="C24325" s="43" t="n">
        <v>-46.619008</v>
      </c>
      <c r="D24325" s="43" t="n">
        <v>381</v>
      </c>
      <c r="E24325" s="44" t="n">
        <v>14678.429</v>
      </c>
    </row>
    <row r="24326">
      <c r="A24326" s="39">
        <f>_xlfn.XLOOKUP(85855,Trip[shape_id],Trip[shape_id],"Não encontrado")</f>
        <v/>
      </c>
      <c r="B24326" s="40" t="n">
        <v>-23.536858</v>
      </c>
      <c r="C24326" s="40" t="n">
        <v>-46.619018</v>
      </c>
      <c r="D24326" s="40" t="n">
        <v>382</v>
      </c>
      <c r="E24326" s="41" t="n">
        <v>14710.01</v>
      </c>
    </row>
    <row r="24327">
      <c r="A24327" s="42">
        <f>_xlfn.XLOOKUP(85855,Trip[shape_id],Trip[shape_id],"Não encontrado")</f>
        <v/>
      </c>
      <c r="B24327" s="43" t="n">
        <v>-23.536922</v>
      </c>
      <c r="C24327" s="43" t="n">
        <v>-46.619014</v>
      </c>
      <c r="D24327" s="43" t="n">
        <v>383</v>
      </c>
      <c r="E24327" s="44" t="n">
        <v>14717.109</v>
      </c>
    </row>
    <row r="24328">
      <c r="A24328" s="39">
        <f>_xlfn.XLOOKUP(85855,Trip[shape_id],Trip[shape_id],"Não encontrado")</f>
        <v/>
      </c>
      <c r="B24328" s="40" t="n">
        <v>-23.536962</v>
      </c>
      <c r="C24328" s="40" t="n">
        <v>-46.619021</v>
      </c>
      <c r="D24328" s="40" t="n">
        <v>384</v>
      </c>
      <c r="E24328" s="41" t="n">
        <v>14721.598</v>
      </c>
    </row>
    <row r="24329">
      <c r="A24329" s="42">
        <f>_xlfn.XLOOKUP(85855,Trip[shape_id],Trip[shape_id],"Não encontrado")</f>
        <v/>
      </c>
      <c r="B24329" s="43" t="n">
        <v>-23.53708</v>
      </c>
      <c r="C24329" s="43" t="n">
        <v>-46.619025</v>
      </c>
      <c r="D24329" s="43" t="n">
        <v>385</v>
      </c>
      <c r="E24329" s="44" t="n">
        <v>14734.673</v>
      </c>
    </row>
    <row r="24330">
      <c r="A24330" s="39">
        <f>_xlfn.XLOOKUP(85855,Trip[shape_id],Trip[shape_id],"Não encontrado")</f>
        <v/>
      </c>
      <c r="B24330" s="40" t="n">
        <v>-23.537236</v>
      </c>
      <c r="C24330" s="40" t="n">
        <v>-46.619029</v>
      </c>
      <c r="D24330" s="40" t="n">
        <v>386</v>
      </c>
      <c r="E24330" s="41" t="n">
        <v>14751.955</v>
      </c>
    </row>
    <row r="24331">
      <c r="A24331" s="42">
        <f>_xlfn.XLOOKUP(85855,Trip[shape_id],Trip[shape_id],"Não encontrado")</f>
        <v/>
      </c>
      <c r="B24331" s="43" t="n">
        <v>-23.537943</v>
      </c>
      <c r="C24331" s="43" t="n">
        <v>-46.619048</v>
      </c>
      <c r="D24331" s="43" t="n">
        <v>387</v>
      </c>
      <c r="E24331" s="44" t="n">
        <v>14830.28</v>
      </c>
    </row>
    <row r="24332">
      <c r="A24332" s="39">
        <f>_xlfn.XLOOKUP(85855,Trip[shape_id],Trip[shape_id],"Não encontrado")</f>
        <v/>
      </c>
      <c r="B24332" s="40" t="n">
        <v>-23.53882</v>
      </c>
      <c r="C24332" s="40" t="n">
        <v>-46.619077</v>
      </c>
      <c r="D24332" s="40" t="n">
        <v>388</v>
      </c>
      <c r="E24332" s="41" t="n">
        <v>14927.454</v>
      </c>
    </row>
    <row r="24333">
      <c r="A24333" s="42">
        <f>_xlfn.XLOOKUP(85855,Trip[shape_id],Trip[shape_id],"Não encontrado")</f>
        <v/>
      </c>
      <c r="B24333" s="43" t="n">
        <v>-23.539504</v>
      </c>
      <c r="C24333" s="43" t="n">
        <v>-46.619094</v>
      </c>
      <c r="D24333" s="43" t="n">
        <v>389</v>
      </c>
      <c r="E24333" s="44" t="n">
        <v>15003.229</v>
      </c>
    </row>
    <row r="24334">
      <c r="A24334" s="39">
        <f>_xlfn.XLOOKUP(85855,Trip[shape_id],Trip[shape_id],"Não encontrado")</f>
        <v/>
      </c>
      <c r="B24334" s="40" t="n">
        <v>-23.540664</v>
      </c>
      <c r="C24334" s="40" t="n">
        <v>-46.618269</v>
      </c>
      <c r="D24334" s="40" t="n">
        <v>390</v>
      </c>
      <c r="E24334" s="41" t="n">
        <v>15156.856</v>
      </c>
    </row>
    <row r="24335">
      <c r="A24335" s="42">
        <f>_xlfn.XLOOKUP(85855,Trip[shape_id],Trip[shape_id],"Não encontrado")</f>
        <v/>
      </c>
      <c r="B24335" s="43" t="n">
        <v>-23.54107</v>
      </c>
      <c r="C24335" s="43" t="n">
        <v>-46.617972</v>
      </c>
      <c r="D24335" s="43" t="n">
        <v>391</v>
      </c>
      <c r="E24335" s="44" t="n">
        <v>15211.093</v>
      </c>
    </row>
    <row r="24336">
      <c r="A24336" s="39">
        <f>_xlfn.XLOOKUP(85855,Trip[shape_id],Trip[shape_id],"Não encontrado")</f>
        <v/>
      </c>
      <c r="B24336" s="40" t="n">
        <v>-23.541441</v>
      </c>
      <c r="C24336" s="40" t="n">
        <v>-46.61771</v>
      </c>
      <c r="D24336" s="40" t="n">
        <v>392</v>
      </c>
      <c r="E24336" s="41" t="n">
        <v>15260.123</v>
      </c>
    </row>
    <row r="24337">
      <c r="A24337" s="42">
        <f>_xlfn.XLOOKUP(85855,Trip[shape_id],Trip[shape_id],"Não encontrado")</f>
        <v/>
      </c>
      <c r="B24337" s="43" t="n">
        <v>-23.541743</v>
      </c>
      <c r="C24337" s="43" t="n">
        <v>-46.617505</v>
      </c>
      <c r="D24337" s="43" t="n">
        <v>393</v>
      </c>
      <c r="E24337" s="44" t="n">
        <v>15299.58</v>
      </c>
    </row>
    <row r="24338">
      <c r="A24338" s="39">
        <f>_xlfn.XLOOKUP(85855,Trip[shape_id],Trip[shape_id],"Não encontrado")</f>
        <v/>
      </c>
      <c r="B24338" s="40" t="n">
        <v>-23.541827</v>
      </c>
      <c r="C24338" s="40" t="n">
        <v>-46.617401</v>
      </c>
      <c r="D24338" s="40" t="n">
        <v>394</v>
      </c>
      <c r="E24338" s="41" t="n">
        <v>15313.698</v>
      </c>
    </row>
    <row r="24339">
      <c r="A24339" s="42">
        <f>_xlfn.XLOOKUP(85855,Trip[shape_id],Trip[shape_id],"Não encontrado")</f>
        <v/>
      </c>
      <c r="B24339" s="43" t="n">
        <v>-23.541908</v>
      </c>
      <c r="C24339" s="43" t="n">
        <v>-46.617317</v>
      </c>
      <c r="D24339" s="43" t="n">
        <v>395</v>
      </c>
      <c r="E24339" s="44" t="n">
        <v>15326.109</v>
      </c>
    </row>
    <row r="24340">
      <c r="A24340" s="39">
        <f>_xlfn.XLOOKUP(85855,Trip[shape_id],Trip[shape_id],"Não encontrado")</f>
        <v/>
      </c>
      <c r="B24340" s="40" t="n">
        <v>-23.541945</v>
      </c>
      <c r="C24340" s="40" t="n">
        <v>-46.617294</v>
      </c>
      <c r="D24340" s="40" t="n">
        <v>396</v>
      </c>
      <c r="E24340" s="41" t="n">
        <v>15330.832</v>
      </c>
    </row>
    <row r="24341">
      <c r="A24341" s="42">
        <f>_xlfn.XLOOKUP(85855,Trip[shape_id],Trip[shape_id],"Não encontrado")</f>
        <v/>
      </c>
      <c r="B24341" s="43" t="n">
        <v>-23.541978</v>
      </c>
      <c r="C24341" s="43" t="n">
        <v>-46.61727</v>
      </c>
      <c r="D24341" s="43" t="n">
        <v>397</v>
      </c>
      <c r="E24341" s="44" t="n">
        <v>15335.232</v>
      </c>
    </row>
    <row r="24342">
      <c r="A24342" s="39">
        <f>_xlfn.XLOOKUP(85855,Trip[shape_id],Trip[shape_id],"Não encontrado")</f>
        <v/>
      </c>
      <c r="B24342" s="40" t="n">
        <v>-23.542015</v>
      </c>
      <c r="C24342" s="40" t="n">
        <v>-46.617245</v>
      </c>
      <c r="D24342" s="40" t="n">
        <v>398</v>
      </c>
      <c r="E24342" s="41" t="n">
        <v>15340.06</v>
      </c>
    </row>
    <row r="24343">
      <c r="A24343" s="42">
        <f>_xlfn.XLOOKUP(85855,Trip[shape_id],Trip[shape_id],"Não encontrado")</f>
        <v/>
      </c>
      <c r="B24343" s="43" t="n">
        <v>-23.542068</v>
      </c>
      <c r="C24343" s="43" t="n">
        <v>-46.61721</v>
      </c>
      <c r="D24343" s="43" t="n">
        <v>399</v>
      </c>
      <c r="E24343" s="44" t="n">
        <v>15346.932</v>
      </c>
    </row>
    <row r="24344">
      <c r="A24344" s="39">
        <f>_xlfn.XLOOKUP(85855,Trip[shape_id],Trip[shape_id],"Não encontrado")</f>
        <v/>
      </c>
      <c r="B24344" s="40" t="n">
        <v>-23.542114</v>
      </c>
      <c r="C24344" s="40" t="n">
        <v>-46.61718</v>
      </c>
      <c r="D24344" s="40" t="n">
        <v>400</v>
      </c>
      <c r="E24344" s="41" t="n">
        <v>15352.876</v>
      </c>
    </row>
    <row r="24345">
      <c r="A24345" s="42">
        <f>_xlfn.XLOOKUP(85855,Trip[shape_id],Trip[shape_id],"Não encontrado")</f>
        <v/>
      </c>
      <c r="B24345" s="43" t="n">
        <v>-23.542367</v>
      </c>
      <c r="C24345" s="43" t="n">
        <v>-46.617011</v>
      </c>
      <c r="D24345" s="43" t="n">
        <v>401</v>
      </c>
      <c r="E24345" s="44" t="n">
        <v>15385.783</v>
      </c>
    </row>
    <row r="24346">
      <c r="A24346" s="39">
        <f>_xlfn.XLOOKUP(85855,Trip[shape_id],Trip[shape_id],"Não encontrado")</f>
        <v/>
      </c>
      <c r="B24346" s="40" t="n">
        <v>-23.542498</v>
      </c>
      <c r="C24346" s="40" t="n">
        <v>-46.61706</v>
      </c>
      <c r="D24346" s="40" t="n">
        <v>402</v>
      </c>
      <c r="E24346" s="41" t="n">
        <v>15401.13</v>
      </c>
    </row>
    <row r="24347">
      <c r="A24347" s="42">
        <f>_xlfn.XLOOKUP(85855,Trip[shape_id],Trip[shape_id],"Não encontrado")</f>
        <v/>
      </c>
      <c r="B24347" s="43" t="n">
        <v>-23.543027</v>
      </c>
      <c r="C24347" s="43" t="n">
        <v>-46.617912</v>
      </c>
      <c r="D24347" s="43" t="n">
        <v>403</v>
      </c>
      <c r="E24347" s="44" t="n">
        <v>15506.015</v>
      </c>
    </row>
    <row r="24348">
      <c r="A24348" s="39">
        <f>_xlfn.XLOOKUP(85855,Trip[shape_id],Trip[shape_id],"Não encontrado")</f>
        <v/>
      </c>
      <c r="B24348" s="40" t="n">
        <v>-23.543114</v>
      </c>
      <c r="C24348" s="40" t="n">
        <v>-46.618052</v>
      </c>
      <c r="D24348" s="40" t="n">
        <v>404</v>
      </c>
      <c r="E24348" s="41" t="n">
        <v>15523.254</v>
      </c>
    </row>
    <row r="24349">
      <c r="A24349" s="42">
        <f>_xlfn.XLOOKUP(85855,Trip[shape_id],Trip[shape_id],"Não encontrado")</f>
        <v/>
      </c>
      <c r="B24349" s="43" t="n">
        <v>-23.543193</v>
      </c>
      <c r="C24349" s="43" t="n">
        <v>-46.618264</v>
      </c>
      <c r="D24349" s="43" t="n">
        <v>405</v>
      </c>
      <c r="E24349" s="44" t="n">
        <v>15546.603</v>
      </c>
    </row>
    <row r="24350">
      <c r="A24350" s="39">
        <f>_xlfn.XLOOKUP(85855,Trip[shape_id],Trip[shape_id],"Não encontrado")</f>
        <v/>
      </c>
      <c r="B24350" s="40" t="n">
        <v>-23.543271</v>
      </c>
      <c r="C24350" s="40" t="n">
        <v>-46.618587</v>
      </c>
      <c r="D24350" s="40" t="n">
        <v>406</v>
      </c>
      <c r="E24350" s="41" t="n">
        <v>15580.696</v>
      </c>
    </row>
    <row r="24351">
      <c r="A24351" s="42">
        <f>_xlfn.XLOOKUP(85855,Trip[shape_id],Trip[shape_id],"Não encontrado")</f>
        <v/>
      </c>
      <c r="B24351" s="43" t="n">
        <v>-23.543339</v>
      </c>
      <c r="C24351" s="43" t="n">
        <v>-46.618903</v>
      </c>
      <c r="D24351" s="43" t="n">
        <v>407</v>
      </c>
      <c r="E24351" s="44" t="n">
        <v>15613.829</v>
      </c>
    </row>
    <row r="24352">
      <c r="A24352" s="39">
        <f>_xlfn.XLOOKUP(85855,Trip[shape_id],Trip[shape_id],"Não encontrado")</f>
        <v/>
      </c>
      <c r="B24352" s="40" t="n">
        <v>-23.543439</v>
      </c>
      <c r="C24352" s="40" t="n">
        <v>-46.619338</v>
      </c>
      <c r="D24352" s="40" t="n">
        <v>408</v>
      </c>
      <c r="E24352" s="41" t="n">
        <v>15659.605</v>
      </c>
    </row>
    <row r="24353">
      <c r="A24353" s="42">
        <f>_xlfn.XLOOKUP(85855,Trip[shape_id],Trip[shape_id],"Não encontrado")</f>
        <v/>
      </c>
      <c r="B24353" s="43" t="n">
        <v>-23.543487</v>
      </c>
      <c r="C24353" s="43" t="n">
        <v>-46.619528</v>
      </c>
      <c r="D24353" s="43" t="n">
        <v>409</v>
      </c>
      <c r="E24353" s="44" t="n">
        <v>15679.721</v>
      </c>
    </row>
    <row r="24354">
      <c r="A24354" s="39">
        <f>_xlfn.XLOOKUP(85855,Trip[shape_id],Trip[shape_id],"Não encontrado")</f>
        <v/>
      </c>
      <c r="B24354" s="40" t="n">
        <v>-23.543508</v>
      </c>
      <c r="C24354" s="40" t="n">
        <v>-46.61963</v>
      </c>
      <c r="D24354" s="40" t="n">
        <v>410</v>
      </c>
      <c r="E24354" s="41" t="n">
        <v>15690.392</v>
      </c>
    </row>
    <row r="24355">
      <c r="A24355" s="42">
        <f>_xlfn.XLOOKUP(85855,Trip[shape_id],Trip[shape_id],"Não encontrado")</f>
        <v/>
      </c>
      <c r="B24355" s="43" t="n">
        <v>-23.543697</v>
      </c>
      <c r="C24355" s="43" t="n">
        <v>-46.620435</v>
      </c>
      <c r="D24355" s="43" t="n">
        <v>411</v>
      </c>
      <c r="E24355" s="44" t="n">
        <v>15775.211</v>
      </c>
    </row>
    <row r="24356">
      <c r="A24356" s="39">
        <f>_xlfn.XLOOKUP(85855,Trip[shape_id],Trip[shape_id],"Não encontrado")</f>
        <v/>
      </c>
      <c r="B24356" s="40" t="n">
        <v>-23.543903</v>
      </c>
      <c r="C24356" s="40" t="n">
        <v>-46.62133</v>
      </c>
      <c r="D24356" s="40" t="n">
        <v>412</v>
      </c>
      <c r="E24356" s="41" t="n">
        <v>15869.401</v>
      </c>
    </row>
    <row r="24357">
      <c r="A24357" s="42">
        <f>_xlfn.XLOOKUP(85855,Trip[shape_id],Trip[shape_id],"Não encontrado")</f>
        <v/>
      </c>
      <c r="B24357" s="43" t="n">
        <v>-23.544003</v>
      </c>
      <c r="C24357" s="43" t="n">
        <v>-46.621423</v>
      </c>
      <c r="D24357" s="43" t="n">
        <v>413</v>
      </c>
      <c r="E24357" s="44" t="n">
        <v>15883.99</v>
      </c>
    </row>
    <row r="24358">
      <c r="A24358" s="39">
        <f>_xlfn.XLOOKUP(85855,Trip[shape_id],Trip[shape_id],"Não encontrado")</f>
        <v/>
      </c>
      <c r="B24358" s="40" t="n">
        <v>-23.544053</v>
      </c>
      <c r="C24358" s="40" t="n">
        <v>-46.62149</v>
      </c>
      <c r="D24358" s="40" t="n">
        <v>414</v>
      </c>
      <c r="E24358" s="41" t="n">
        <v>15892.792</v>
      </c>
    </row>
    <row r="24359">
      <c r="A24359" s="42">
        <f>_xlfn.XLOOKUP(85855,Trip[shape_id],Trip[shape_id],"Não encontrado")</f>
        <v/>
      </c>
      <c r="B24359" s="43" t="n">
        <v>-23.544166</v>
      </c>
      <c r="C24359" s="43" t="n">
        <v>-46.621656</v>
      </c>
      <c r="D24359" s="43" t="n">
        <v>415</v>
      </c>
      <c r="E24359" s="44" t="n">
        <v>15913.861</v>
      </c>
    </row>
    <row r="24360">
      <c r="A24360" s="39">
        <f>_xlfn.XLOOKUP(85855,Trip[shape_id],Trip[shape_id],"Não encontrado")</f>
        <v/>
      </c>
      <c r="B24360" s="40" t="n">
        <v>-23.544249</v>
      </c>
      <c r="C24360" s="40" t="n">
        <v>-46.6218</v>
      </c>
      <c r="D24360" s="40" t="n">
        <v>416</v>
      </c>
      <c r="E24360" s="41" t="n">
        <v>15931.202</v>
      </c>
    </row>
    <row r="24361">
      <c r="A24361" s="42">
        <f>_xlfn.XLOOKUP(85855,Trip[shape_id],Trip[shape_id],"Não encontrado")</f>
        <v/>
      </c>
      <c r="B24361" s="43" t="n">
        <v>-23.544287</v>
      </c>
      <c r="C24361" s="43" t="n">
        <v>-46.621905</v>
      </c>
      <c r="D24361" s="43" t="n">
        <v>417</v>
      </c>
      <c r="E24361" s="44" t="n">
        <v>15942.72</v>
      </c>
    </row>
    <row r="24362">
      <c r="A24362" s="39">
        <f>_xlfn.XLOOKUP(85855,Trip[shape_id],Trip[shape_id],"Não encontrado")</f>
        <v/>
      </c>
      <c r="B24362" s="40" t="n">
        <v>-23.544308</v>
      </c>
      <c r="C24362" s="40" t="n">
        <v>-46.621993</v>
      </c>
      <c r="D24362" s="40" t="n">
        <v>418</v>
      </c>
      <c r="E24362" s="41" t="n">
        <v>15952.001</v>
      </c>
    </row>
    <row r="24363">
      <c r="A24363" s="42">
        <f>_xlfn.XLOOKUP(85855,Trip[shape_id],Trip[shape_id],"Não encontrado")</f>
        <v/>
      </c>
      <c r="B24363" s="43" t="n">
        <v>-23.544322</v>
      </c>
      <c r="C24363" s="43" t="n">
        <v>-46.622087</v>
      </c>
      <c r="D24363" s="43" t="n">
        <v>419</v>
      </c>
      <c r="E24363" s="44" t="n">
        <v>15961.724</v>
      </c>
    </row>
    <row r="24364">
      <c r="A24364" s="39">
        <f>_xlfn.XLOOKUP(85855,Trip[shape_id],Trip[shape_id],"Não encontrado")</f>
        <v/>
      </c>
      <c r="B24364" s="40" t="n">
        <v>-23.544368</v>
      </c>
      <c r="C24364" s="40" t="n">
        <v>-46.622444</v>
      </c>
      <c r="D24364" s="40" t="n">
        <v>420</v>
      </c>
      <c r="E24364" s="41" t="n">
        <v>15998.53</v>
      </c>
    </row>
    <row r="24365">
      <c r="A24365" s="42">
        <f>_xlfn.XLOOKUP(85855,Trip[shape_id],Trip[shape_id],"Não encontrado")</f>
        <v/>
      </c>
      <c r="B24365" s="43" t="n">
        <v>-23.544467</v>
      </c>
      <c r="C24365" s="43" t="n">
        <v>-46.62319</v>
      </c>
      <c r="D24365" s="43" t="n">
        <v>421</v>
      </c>
      <c r="E24365" s="44" t="n">
        <v>16075.487</v>
      </c>
    </row>
    <row r="24366">
      <c r="A24366" s="39">
        <f>_xlfn.XLOOKUP(85855,Trip[shape_id],Trip[shape_id],"Não encontrado")</f>
        <v/>
      </c>
      <c r="B24366" s="40" t="n">
        <v>-23.544541</v>
      </c>
      <c r="C24366" s="40" t="n">
        <v>-46.623859</v>
      </c>
      <c r="D24366" s="40" t="n">
        <v>422</v>
      </c>
      <c r="E24366" s="41" t="n">
        <v>16144.286</v>
      </c>
    </row>
    <row r="24367">
      <c r="A24367" s="42">
        <f>_xlfn.XLOOKUP(85855,Trip[shape_id],Trip[shape_id],"Não encontrado")</f>
        <v/>
      </c>
      <c r="B24367" s="43" t="n">
        <v>-23.544628</v>
      </c>
      <c r="C24367" s="43" t="n">
        <v>-46.624538</v>
      </c>
      <c r="D24367" s="43" t="n">
        <v>423</v>
      </c>
      <c r="E24367" s="44" t="n">
        <v>16214.283</v>
      </c>
    </row>
    <row r="24368">
      <c r="A24368" s="39">
        <f>_xlfn.XLOOKUP(85855,Trip[shape_id],Trip[shape_id],"Não encontrado")</f>
        <v/>
      </c>
      <c r="B24368" s="40" t="n">
        <v>-23.544666</v>
      </c>
      <c r="C24368" s="40" t="n">
        <v>-46.624751</v>
      </c>
      <c r="D24368" s="40" t="n">
        <v>424</v>
      </c>
      <c r="E24368" s="41" t="n">
        <v>16236.436</v>
      </c>
    </row>
    <row r="24369">
      <c r="A24369" s="42">
        <f>_xlfn.XLOOKUP(85855,Trip[shape_id],Trip[shape_id],"Não encontrado")</f>
        <v/>
      </c>
      <c r="B24369" s="43" t="n">
        <v>-23.544663</v>
      </c>
      <c r="C24369" s="43" t="n">
        <v>-46.624819</v>
      </c>
      <c r="D24369" s="43" t="n">
        <v>425</v>
      </c>
      <c r="E24369" s="44" t="n">
        <v>16243.387</v>
      </c>
    </row>
    <row r="24370">
      <c r="A24370" s="39">
        <f>_xlfn.XLOOKUP(85855,Trip[shape_id],Trip[shape_id],"Não encontrado")</f>
        <v/>
      </c>
      <c r="B24370" s="40" t="n">
        <v>-23.544654</v>
      </c>
      <c r="C24370" s="40" t="n">
        <v>-46.624877</v>
      </c>
      <c r="D24370" s="40" t="n">
        <v>426</v>
      </c>
      <c r="E24370" s="41" t="n">
        <v>16249.393</v>
      </c>
    </row>
    <row r="24371">
      <c r="A24371" s="42">
        <f>_xlfn.XLOOKUP(85855,Trip[shape_id],Trip[shape_id],"Não encontrado")</f>
        <v/>
      </c>
      <c r="B24371" s="43" t="n">
        <v>-23.544623</v>
      </c>
      <c r="C24371" s="43" t="n">
        <v>-46.624972</v>
      </c>
      <c r="D24371" s="43" t="n">
        <v>427</v>
      </c>
      <c r="E24371" s="44" t="n">
        <v>16259.682</v>
      </c>
    </row>
    <row r="24372">
      <c r="A24372" s="39">
        <f>_xlfn.XLOOKUP(85855,Trip[shape_id],Trip[shape_id],"Não encontrado")</f>
        <v/>
      </c>
      <c r="B24372" s="40" t="n">
        <v>-23.544831</v>
      </c>
      <c r="C24372" s="40" t="n">
        <v>-46.626119</v>
      </c>
      <c r="D24372" s="40" t="n">
        <v>428</v>
      </c>
      <c r="E24372" s="41" t="n">
        <v>16399.521</v>
      </c>
    </row>
    <row r="24373">
      <c r="A24373" s="42">
        <f>_xlfn.XLOOKUP(85855,Trip[shape_id],Trip[shape_id],"Não encontrado")</f>
        <v/>
      </c>
      <c r="B24373" s="43" t="n">
        <v>-23.544845</v>
      </c>
      <c r="C24373" s="43" t="n">
        <v>-46.626319</v>
      </c>
      <c r="D24373" s="43" t="n">
        <v>429</v>
      </c>
      <c r="E24373" s="44" t="n">
        <v>16399.521</v>
      </c>
    </row>
    <row r="24374">
      <c r="A24374" s="39">
        <f>_xlfn.XLOOKUP(85855,Trip[shape_id],Trip[shape_id],"Não encontrado")</f>
        <v/>
      </c>
      <c r="B24374" s="40" t="n">
        <v>-23.544856</v>
      </c>
      <c r="C24374" s="40" t="n">
        <v>-46.626517</v>
      </c>
      <c r="D24374" s="40" t="n">
        <v>430</v>
      </c>
      <c r="E24374" s="41" t="n">
        <v>16419.775</v>
      </c>
    </row>
    <row r="24375">
      <c r="A24375" s="42">
        <f>_xlfn.XLOOKUP(85855,Trip[shape_id],Trip[shape_id],"Não encontrado")</f>
        <v/>
      </c>
      <c r="B24375" s="43" t="n">
        <v>-23.544468</v>
      </c>
      <c r="C24375" s="43" t="n">
        <v>-46.626603</v>
      </c>
      <c r="D24375" s="43" t="n">
        <v>431</v>
      </c>
      <c r="E24375" s="44" t="n">
        <v>16463.635</v>
      </c>
    </row>
    <row r="24376">
      <c r="A24376" s="39">
        <f>_xlfn.XLOOKUP(85855,Trip[shape_id],Trip[shape_id],"Não encontrado")</f>
        <v/>
      </c>
      <c r="B24376" s="40" t="n">
        <v>-23.544182</v>
      </c>
      <c r="C24376" s="40" t="n">
        <v>-46.626665</v>
      </c>
      <c r="D24376" s="40" t="n">
        <v>432</v>
      </c>
      <c r="E24376" s="41" t="n">
        <v>16495.936</v>
      </c>
    </row>
    <row r="24377">
      <c r="A24377" s="42">
        <f>_xlfn.XLOOKUP(85855,Trip[shape_id],Trip[shape_id],"Não encontrado")</f>
        <v/>
      </c>
      <c r="B24377" s="43" t="n">
        <v>-23.543939</v>
      </c>
      <c r="C24377" s="43" t="n">
        <v>-46.626716</v>
      </c>
      <c r="D24377" s="43" t="n">
        <v>433</v>
      </c>
      <c r="E24377" s="44" t="n">
        <v>16523.348</v>
      </c>
    </row>
    <row r="24378">
      <c r="A24378" s="39">
        <f>_xlfn.XLOOKUP(85855,Trip[shape_id],Trip[shape_id],"Não encontrado")</f>
        <v/>
      </c>
      <c r="B24378" s="40" t="n">
        <v>-23.543773</v>
      </c>
      <c r="C24378" s="40" t="n">
        <v>-46.626781</v>
      </c>
      <c r="D24378" s="40" t="n">
        <v>434</v>
      </c>
      <c r="E24378" s="41" t="n">
        <v>16542.895</v>
      </c>
    </row>
    <row r="24379">
      <c r="A24379" s="42">
        <f>_xlfn.XLOOKUP(85855,Trip[shape_id],Trip[shape_id],"Não encontrado")</f>
        <v/>
      </c>
      <c r="B24379" s="43" t="n">
        <v>-23.543675</v>
      </c>
      <c r="C24379" s="43" t="n">
        <v>-46.626834</v>
      </c>
      <c r="D24379" s="43" t="n">
        <v>435</v>
      </c>
      <c r="E24379" s="44" t="n">
        <v>16555.023</v>
      </c>
    </row>
    <row r="24380">
      <c r="A24380" s="39">
        <f>_xlfn.XLOOKUP(85855,Trip[shape_id],Trip[shape_id],"Não encontrado")</f>
        <v/>
      </c>
      <c r="B24380" s="40" t="n">
        <v>-23.543588</v>
      </c>
      <c r="C24380" s="40" t="n">
        <v>-46.626889</v>
      </c>
      <c r="D24380" s="40" t="n">
        <v>436</v>
      </c>
      <c r="E24380" s="41" t="n">
        <v>16566.176</v>
      </c>
    </row>
    <row r="24381">
      <c r="A24381" s="42">
        <f>_xlfn.XLOOKUP(85855,Trip[shape_id],Trip[shape_id],"Não encontrado")</f>
        <v/>
      </c>
      <c r="B24381" s="43" t="n">
        <v>-23.543482</v>
      </c>
      <c r="C24381" s="43" t="n">
        <v>-46.626985</v>
      </c>
      <c r="D24381" s="43" t="n">
        <v>437</v>
      </c>
      <c r="E24381" s="44" t="n">
        <v>16581.471</v>
      </c>
    </row>
    <row r="24382">
      <c r="A24382" s="39">
        <f>_xlfn.XLOOKUP(85855,Trip[shape_id],Trip[shape_id],"Não encontrado")</f>
        <v/>
      </c>
      <c r="B24382" s="40" t="n">
        <v>-23.543352</v>
      </c>
      <c r="C24382" s="40" t="n">
        <v>-46.627124</v>
      </c>
      <c r="D24382" s="40" t="n">
        <v>438</v>
      </c>
      <c r="E24382" s="41" t="n">
        <v>16601.688</v>
      </c>
    </row>
    <row r="24383">
      <c r="A24383" s="42">
        <f>_xlfn.XLOOKUP(85855,Trip[shape_id],Trip[shape_id],"Não encontrado")</f>
        <v/>
      </c>
      <c r="B24383" s="43" t="n">
        <v>-23.54327</v>
      </c>
      <c r="C24383" s="43" t="n">
        <v>-46.627242</v>
      </c>
      <c r="D24383" s="43" t="n">
        <v>439</v>
      </c>
      <c r="E24383" s="44" t="n">
        <v>16616.775</v>
      </c>
    </row>
    <row r="24384">
      <c r="A24384" s="39">
        <f>_xlfn.XLOOKUP(85855,Trip[shape_id],Trip[shape_id],"Não encontrado")</f>
        <v/>
      </c>
      <c r="B24384" s="40" t="n">
        <v>-23.543201</v>
      </c>
      <c r="C24384" s="40" t="n">
        <v>-46.627369</v>
      </c>
      <c r="D24384" s="40" t="n">
        <v>440</v>
      </c>
      <c r="E24384" s="41" t="n">
        <v>16631.828</v>
      </c>
    </row>
    <row r="24385">
      <c r="A24385" s="42">
        <f>_xlfn.XLOOKUP(85855,Trip[shape_id],Trip[shape_id],"Não encontrado")</f>
        <v/>
      </c>
      <c r="B24385" s="43" t="n">
        <v>-23.543147</v>
      </c>
      <c r="C24385" s="43" t="n">
        <v>-46.627514</v>
      </c>
      <c r="D24385" s="43" t="n">
        <v>441</v>
      </c>
      <c r="E24385" s="44" t="n">
        <v>16647.797</v>
      </c>
    </row>
    <row r="24386">
      <c r="A24386" s="39">
        <f>_xlfn.XLOOKUP(85855,Trip[shape_id],Trip[shape_id],"Não encontrado")</f>
        <v/>
      </c>
      <c r="B24386" s="40" t="n">
        <v>-23.543096</v>
      </c>
      <c r="C24386" s="40" t="n">
        <v>-46.627691</v>
      </c>
      <c r="D24386" s="40" t="n">
        <v>442</v>
      </c>
      <c r="E24386" s="41" t="n">
        <v>16666.732</v>
      </c>
    </row>
    <row r="24387">
      <c r="A24387" s="42">
        <f>_xlfn.XLOOKUP(85855,Trip[shape_id],Trip[shape_id],"Não encontrado")</f>
        <v/>
      </c>
      <c r="B24387" s="43" t="n">
        <v>-23.543074</v>
      </c>
      <c r="C24387" s="43" t="n">
        <v>-46.627845</v>
      </c>
      <c r="D24387" s="43" t="n">
        <v>443</v>
      </c>
      <c r="E24387" s="44" t="n">
        <v>16682.645</v>
      </c>
    </row>
    <row r="24388">
      <c r="A24388" s="39">
        <f>_xlfn.XLOOKUP(85855,Trip[shape_id],Trip[shape_id],"Não encontrado")</f>
        <v/>
      </c>
      <c r="B24388" s="40" t="n">
        <v>-23.543073</v>
      </c>
      <c r="C24388" s="40" t="n">
        <v>-46.628006</v>
      </c>
      <c r="D24388" s="40" t="n">
        <v>444</v>
      </c>
      <c r="E24388" s="41" t="n">
        <v>16699.084</v>
      </c>
    </row>
    <row r="24389">
      <c r="A24389" s="42">
        <f>_xlfn.XLOOKUP(85855,Trip[shape_id],Trip[shape_id],"Não encontrado")</f>
        <v/>
      </c>
      <c r="B24389" s="43" t="n">
        <v>-23.543081</v>
      </c>
      <c r="C24389" s="43" t="n">
        <v>-46.628182</v>
      </c>
      <c r="D24389" s="43" t="n">
        <v>445</v>
      </c>
      <c r="E24389" s="44" t="n">
        <v>16717.076</v>
      </c>
    </row>
    <row r="24390">
      <c r="A24390" s="39">
        <f>_xlfn.XLOOKUP(85855,Trip[shape_id],Trip[shape_id],"Não encontrado")</f>
        <v/>
      </c>
      <c r="B24390" s="40" t="n">
        <v>-23.543093</v>
      </c>
      <c r="C24390" s="40" t="n">
        <v>-46.628297</v>
      </c>
      <c r="D24390" s="40" t="n">
        <v>446</v>
      </c>
      <c r="E24390" s="41" t="n">
        <v>16728.895</v>
      </c>
    </row>
    <row r="24391">
      <c r="A24391" s="42">
        <f>_xlfn.XLOOKUP(85855,Trip[shape_id],Trip[shape_id],"Não encontrado")</f>
        <v/>
      </c>
      <c r="B24391" s="43" t="n">
        <v>-23.543121</v>
      </c>
      <c r="C24391" s="43" t="n">
        <v>-46.628435</v>
      </c>
      <c r="D24391" s="43" t="n">
        <v>447</v>
      </c>
      <c r="E24391" s="44" t="n">
        <v>16743.322</v>
      </c>
    </row>
    <row r="24392">
      <c r="A24392" s="39">
        <f>_xlfn.XLOOKUP(85855,Trip[shape_id],Trip[shape_id],"Não encontrado")</f>
        <v/>
      </c>
      <c r="B24392" s="40" t="n">
        <v>-23.543158</v>
      </c>
      <c r="C24392" s="40" t="n">
        <v>-46.628582</v>
      </c>
      <c r="D24392" s="40" t="n">
        <v>448</v>
      </c>
      <c r="E24392" s="41" t="n">
        <v>16758.881</v>
      </c>
    </row>
    <row r="24393">
      <c r="A24393" s="42">
        <f>_xlfn.XLOOKUP(85855,Trip[shape_id],Trip[shape_id],"Não encontrado")</f>
        <v/>
      </c>
      <c r="B24393" s="43" t="n">
        <v>-23.543241</v>
      </c>
      <c r="C24393" s="43" t="n">
        <v>-46.628783</v>
      </c>
      <c r="D24393" s="43" t="n">
        <v>449</v>
      </c>
      <c r="E24393" s="44" t="n">
        <v>16781.369</v>
      </c>
    </row>
    <row r="24394">
      <c r="A24394" s="39">
        <f>_xlfn.XLOOKUP(85855,Trip[shape_id],Trip[shape_id],"Não encontrado")</f>
        <v/>
      </c>
      <c r="B24394" s="40" t="n">
        <v>-23.543294</v>
      </c>
      <c r="C24394" s="40" t="n">
        <v>-46.628902</v>
      </c>
      <c r="D24394" s="40" t="n">
        <v>450</v>
      </c>
      <c r="E24394" s="41" t="n">
        <v>16794.863</v>
      </c>
    </row>
    <row r="24395">
      <c r="A24395" s="42">
        <f>_xlfn.XLOOKUP(85855,Trip[shape_id],Trip[shape_id],"Não encontrado")</f>
        <v/>
      </c>
      <c r="B24395" s="43" t="n">
        <v>-23.543358</v>
      </c>
      <c r="C24395" s="43" t="n">
        <v>-46.629017</v>
      </c>
      <c r="D24395" s="43" t="n">
        <v>451</v>
      </c>
      <c r="E24395" s="44" t="n">
        <v>16808.58</v>
      </c>
    </row>
    <row r="24396">
      <c r="A24396" s="39">
        <f>_xlfn.XLOOKUP(85855,Trip[shape_id],Trip[shape_id],"Não encontrado")</f>
        <v/>
      </c>
      <c r="B24396" s="40" t="n">
        <v>-23.543429</v>
      </c>
      <c r="C24396" s="40" t="n">
        <v>-46.629118</v>
      </c>
      <c r="D24396" s="40" t="n">
        <v>452</v>
      </c>
      <c r="E24396" s="41" t="n">
        <v>16821.549</v>
      </c>
    </row>
    <row r="24397">
      <c r="A24397" s="42">
        <f>_xlfn.XLOOKUP(85855,Trip[shape_id],Trip[shape_id],"Não encontrado")</f>
        <v/>
      </c>
      <c r="B24397" s="43" t="n">
        <v>-23.543537</v>
      </c>
      <c r="C24397" s="43" t="n">
        <v>-46.629258</v>
      </c>
      <c r="D24397" s="43" t="n">
        <v>453</v>
      </c>
      <c r="E24397" s="44" t="n">
        <v>16840.188</v>
      </c>
    </row>
    <row r="24398">
      <c r="A24398" s="39">
        <f>_xlfn.XLOOKUP(85855,Trip[shape_id],Trip[shape_id],"Não encontrado")</f>
        <v/>
      </c>
      <c r="B24398" s="40" t="n">
        <v>-23.543676</v>
      </c>
      <c r="C24398" s="40" t="n">
        <v>-46.629391</v>
      </c>
      <c r="D24398" s="40" t="n">
        <v>454</v>
      </c>
      <c r="E24398" s="41" t="n">
        <v>16860.717</v>
      </c>
    </row>
    <row r="24399">
      <c r="A24399" s="42">
        <f>_xlfn.XLOOKUP(85855,Trip[shape_id],Trip[shape_id],"Não encontrado")</f>
        <v/>
      </c>
      <c r="B24399" s="43" t="n">
        <v>-23.544192</v>
      </c>
      <c r="C24399" s="43" t="n">
        <v>-46.629874</v>
      </c>
      <c r="D24399" s="43" t="n">
        <v>455</v>
      </c>
      <c r="E24399" s="44" t="n">
        <v>16936.203</v>
      </c>
    </row>
    <row r="24400">
      <c r="A24400" s="39">
        <f>_xlfn.XLOOKUP(85855,Trip[shape_id],Trip[shape_id],"Não encontrado")</f>
        <v/>
      </c>
      <c r="B24400" s="40" t="n">
        <v>-23.54451</v>
      </c>
      <c r="C24400" s="40" t="n">
        <v>-46.630166</v>
      </c>
      <c r="D24400" s="40" t="n">
        <v>456</v>
      </c>
      <c r="E24400" s="41" t="n">
        <v>16982.348</v>
      </c>
    </row>
    <row r="24401">
      <c r="A24401" s="42">
        <f>_xlfn.XLOOKUP(85855,Trip[shape_id],Trip[shape_id],"Não encontrado")</f>
        <v/>
      </c>
      <c r="B24401" s="43" t="n">
        <v>-23.5448</v>
      </c>
      <c r="C24401" s="43" t="n">
        <v>-46.630436</v>
      </c>
      <c r="D24401" s="43" t="n">
        <v>457</v>
      </c>
      <c r="E24401" s="44" t="n">
        <v>17024.676</v>
      </c>
    </row>
    <row r="24402">
      <c r="A24402" s="39">
        <f>_xlfn.XLOOKUP(85855,Trip[shape_id],Trip[shape_id],"Não encontrado")</f>
        <v/>
      </c>
      <c r="B24402" s="40" t="n">
        <v>-23.544841</v>
      </c>
      <c r="C24402" s="40" t="n">
        <v>-46.630483</v>
      </c>
      <c r="D24402" s="40" t="n">
        <v>458</v>
      </c>
      <c r="E24402" s="41" t="n">
        <v>17031.283</v>
      </c>
    </row>
    <row r="24403">
      <c r="A24403" s="42">
        <f>_xlfn.XLOOKUP(85855,Trip[shape_id],Trip[shape_id],"Não encontrado")</f>
        <v/>
      </c>
      <c r="B24403" s="43" t="n">
        <v>-23.544933</v>
      </c>
      <c r="C24403" s="43" t="n">
        <v>-46.630629</v>
      </c>
      <c r="D24403" s="43" t="n">
        <v>459</v>
      </c>
      <c r="E24403" s="44" t="n">
        <v>17049.34</v>
      </c>
    </row>
    <row r="24404">
      <c r="A24404" s="39">
        <f>_xlfn.XLOOKUP(85855,Trip[shape_id],Trip[shape_id],"Não encontrado")</f>
        <v/>
      </c>
      <c r="B24404" s="40" t="n">
        <v>-23.54498</v>
      </c>
      <c r="C24404" s="40" t="n">
        <v>-46.630738</v>
      </c>
      <c r="D24404" s="40" t="n">
        <v>460</v>
      </c>
      <c r="E24404" s="41" t="n">
        <v>17061.627</v>
      </c>
    </row>
    <row r="24405">
      <c r="A24405" s="42">
        <f>_xlfn.XLOOKUP(85855,Trip[shape_id],Trip[shape_id],"Não encontrado")</f>
        <v/>
      </c>
      <c r="B24405" s="43" t="n">
        <v>-23.545115</v>
      </c>
      <c r="C24405" s="43" t="n">
        <v>-46.630976</v>
      </c>
      <c r="D24405" s="43" t="n">
        <v>461</v>
      </c>
      <c r="E24405" s="44" t="n">
        <v>17090.16</v>
      </c>
    </row>
    <row r="24406">
      <c r="A24406" s="39">
        <f>_xlfn.XLOOKUP(85855,Trip[shape_id],Trip[shape_id],"Não encontrado")</f>
        <v/>
      </c>
      <c r="B24406" s="40" t="n">
        <v>-23.545154</v>
      </c>
      <c r="C24406" s="40" t="n">
        <v>-46.631008</v>
      </c>
      <c r="D24406" s="40" t="n">
        <v>462</v>
      </c>
      <c r="E24406" s="41" t="n">
        <v>17095.576</v>
      </c>
    </row>
    <row r="24407">
      <c r="A24407" s="42">
        <f>_xlfn.XLOOKUP(85855,Trip[shape_id],Trip[shape_id],"Não encontrado")</f>
        <v/>
      </c>
      <c r="B24407" s="43" t="n">
        <v>-23.545259</v>
      </c>
      <c r="C24407" s="43" t="n">
        <v>-46.631066</v>
      </c>
      <c r="D24407" s="43" t="n">
        <v>463</v>
      </c>
      <c r="E24407" s="44" t="n">
        <v>17108.627</v>
      </c>
    </row>
    <row r="24408">
      <c r="A24408" s="39">
        <f>_xlfn.XLOOKUP(85855,Trip[shape_id],Trip[shape_id],"Não encontrado")</f>
        <v/>
      </c>
      <c r="B24408" s="40" t="n">
        <v>-23.545329</v>
      </c>
      <c r="C24408" s="40" t="n">
        <v>-46.631104</v>
      </c>
      <c r="D24408" s="40" t="n">
        <v>464</v>
      </c>
      <c r="E24408" s="41" t="n">
        <v>17117.297</v>
      </c>
    </row>
    <row r="24409">
      <c r="A24409" s="42">
        <f>_xlfn.XLOOKUP(85855,Trip[shape_id],Trip[shape_id],"Não encontrado")</f>
        <v/>
      </c>
      <c r="B24409" s="43" t="n">
        <v>-23.545404</v>
      </c>
      <c r="C24409" s="43" t="n">
        <v>-46.631132</v>
      </c>
      <c r="D24409" s="43" t="n">
        <v>465</v>
      </c>
      <c r="E24409" s="44" t="n">
        <v>17126.082</v>
      </c>
    </row>
    <row r="24410">
      <c r="A24410" s="39">
        <f>_xlfn.XLOOKUP(85855,Trip[shape_id],Trip[shape_id],"Não encontrado")</f>
        <v/>
      </c>
      <c r="B24410" s="40" t="n">
        <v>-23.5455</v>
      </c>
      <c r="C24410" s="40" t="n">
        <v>-46.631165</v>
      </c>
      <c r="D24410" s="40" t="n">
        <v>466</v>
      </c>
      <c r="E24410" s="41" t="n">
        <v>17137.234</v>
      </c>
    </row>
    <row r="24411">
      <c r="A24411" s="42">
        <f>_xlfn.XLOOKUP(85855,Trip[shape_id],Trip[shape_id],"Não encontrado")</f>
        <v/>
      </c>
      <c r="B24411" s="43" t="n">
        <v>-23.545642</v>
      </c>
      <c r="C24411" s="43" t="n">
        <v>-46.631195</v>
      </c>
      <c r="D24411" s="43" t="n">
        <v>467</v>
      </c>
      <c r="E24411" s="44" t="n">
        <v>17153.256</v>
      </c>
    </row>
    <row r="24412">
      <c r="A24412" s="39">
        <f>_xlfn.XLOOKUP(85855,Trip[shape_id],Trip[shape_id],"Não encontrado")</f>
        <v/>
      </c>
      <c r="B24412" s="40" t="n">
        <v>-23.545707</v>
      </c>
      <c r="C24412" s="40" t="n">
        <v>-46.631204</v>
      </c>
      <c r="D24412" s="40" t="n">
        <v>468</v>
      </c>
      <c r="E24412" s="41" t="n">
        <v>17160.514</v>
      </c>
    </row>
    <row r="24413">
      <c r="A24413" s="42">
        <f>_xlfn.XLOOKUP(85855,Trip[shape_id],Trip[shape_id],"Não encontrado")</f>
        <v/>
      </c>
      <c r="B24413" s="43" t="n">
        <v>-23.545795</v>
      </c>
      <c r="C24413" s="43" t="n">
        <v>-46.631214</v>
      </c>
      <c r="D24413" s="43" t="n">
        <v>469</v>
      </c>
      <c r="E24413" s="44" t="n">
        <v>17170.313</v>
      </c>
    </row>
    <row r="24414">
      <c r="A24414" s="39">
        <f>_xlfn.XLOOKUP(85855,Trip[shape_id],Trip[shape_id],"Não encontrado")</f>
        <v/>
      </c>
      <c r="B24414" s="40" t="n">
        <v>-23.545861</v>
      </c>
      <c r="C24414" s="40" t="n">
        <v>-46.631221</v>
      </c>
      <c r="D24414" s="40" t="n">
        <v>470</v>
      </c>
      <c r="E24414" s="41" t="n">
        <v>17177.658</v>
      </c>
    </row>
    <row r="24415">
      <c r="A24415" s="42">
        <f>_xlfn.XLOOKUP(85855,Trip[shape_id],Trip[shape_id],"Não encontrado")</f>
        <v/>
      </c>
      <c r="B24415" s="43" t="n">
        <v>-23.545942</v>
      </c>
      <c r="C24415" s="43" t="n">
        <v>-46.631215</v>
      </c>
      <c r="D24415" s="43" t="n">
        <v>471</v>
      </c>
      <c r="E24415" s="44" t="n">
        <v>17186.65</v>
      </c>
    </row>
    <row r="24416">
      <c r="A24416" s="39">
        <f>_xlfn.XLOOKUP(85855,Trip[shape_id],Trip[shape_id],"Não encontrado")</f>
        <v/>
      </c>
      <c r="B24416" s="40" t="n">
        <v>-23.546017</v>
      </c>
      <c r="C24416" s="40" t="n">
        <v>-46.631206</v>
      </c>
      <c r="D24416" s="40" t="n">
        <v>472</v>
      </c>
      <c r="E24416" s="41" t="n">
        <v>17195.008</v>
      </c>
    </row>
    <row r="24417">
      <c r="A24417" s="42">
        <f>_xlfn.XLOOKUP(85855,Trip[shape_id],Trip[shape_id],"Não encontrado")</f>
        <v/>
      </c>
      <c r="B24417" s="43" t="n">
        <v>-23.546087</v>
      </c>
      <c r="C24417" s="43" t="n">
        <v>-46.631196</v>
      </c>
      <c r="D24417" s="43" t="n">
        <v>473</v>
      </c>
      <c r="E24417" s="44" t="n">
        <v>17202.826</v>
      </c>
    </row>
    <row r="24418">
      <c r="A24418" s="39">
        <f>_xlfn.XLOOKUP(85855,Trip[shape_id],Trip[shape_id],"Não encontrado")</f>
        <v/>
      </c>
      <c r="B24418" s="40" t="n">
        <v>-23.546185</v>
      </c>
      <c r="C24418" s="40" t="n">
        <v>-46.631172</v>
      </c>
      <c r="D24418" s="40" t="n">
        <v>474</v>
      </c>
      <c r="E24418" s="41" t="n">
        <v>17213.953</v>
      </c>
    </row>
    <row r="24419">
      <c r="A24419" s="42">
        <f>_xlfn.XLOOKUP(85855,Trip[shape_id],Trip[shape_id],"Não encontrado")</f>
        <v/>
      </c>
      <c r="B24419" s="43" t="n">
        <v>-23.546213</v>
      </c>
      <c r="C24419" s="43" t="n">
        <v>-46.631169</v>
      </c>
      <c r="D24419" s="43" t="n">
        <v>475</v>
      </c>
      <c r="E24419" s="44" t="n">
        <v>17242.377</v>
      </c>
    </row>
    <row r="24420">
      <c r="A24420" s="39">
        <f>_xlfn.XLOOKUP(85855,Trip[shape_id],Trip[shape_id],"Não encontrado")</f>
        <v/>
      </c>
      <c r="B24420" s="40" t="n">
        <v>-23.546433</v>
      </c>
      <c r="C24420" s="40" t="n">
        <v>-46.631102</v>
      </c>
      <c r="D24420" s="40" t="n">
        <v>476</v>
      </c>
      <c r="E24420" s="41" t="n">
        <v>17259.305</v>
      </c>
    </row>
    <row r="24421">
      <c r="A24421" s="42">
        <f>_xlfn.XLOOKUP(85855,Trip[shape_id],Trip[shape_id],"Não encontrado")</f>
        <v/>
      </c>
      <c r="B24421" s="43" t="n">
        <v>-23.546574</v>
      </c>
      <c r="C24421" s="43" t="n">
        <v>-46.631038</v>
      </c>
      <c r="D24421" s="43" t="n">
        <v>477</v>
      </c>
      <c r="E24421" s="44" t="n">
        <v>17275.201</v>
      </c>
    </row>
    <row r="24422">
      <c r="A24422" s="39">
        <f>_xlfn.XLOOKUP(85855,Trip[shape_id],Trip[shape_id],"Não encontrado")</f>
        <v/>
      </c>
      <c r="B24422" s="40" t="n">
        <v>-23.546704</v>
      </c>
      <c r="C24422" s="40" t="n">
        <v>-46.630972</v>
      </c>
      <c r="D24422" s="40" t="n">
        <v>478</v>
      </c>
      <c r="E24422" s="41" t="n">
        <v>17275.201</v>
      </c>
    </row>
    <row r="24423">
      <c r="A24423" s="42">
        <f>_xlfn.XLOOKUP(85855,Trip[shape_id],Trip[shape_id],"Não encontrado")</f>
        <v/>
      </c>
      <c r="B24423" s="43" t="n">
        <v>-23.546835</v>
      </c>
      <c r="C24423" s="43" t="n">
        <v>-46.630882</v>
      </c>
      <c r="D24423" s="43" t="n">
        <v>479</v>
      </c>
      <c r="E24423" s="44" t="n">
        <v>17292.375</v>
      </c>
    </row>
    <row r="24424">
      <c r="A24424" s="39">
        <f>_xlfn.XLOOKUP(85855,Trip[shape_id],Trip[shape_id],"Não encontrado")</f>
        <v/>
      </c>
      <c r="B24424" s="40" t="n">
        <v>-23.546967</v>
      </c>
      <c r="C24424" s="40" t="n">
        <v>-46.63079</v>
      </c>
      <c r="D24424" s="40" t="n">
        <v>480</v>
      </c>
      <c r="E24424" s="41" t="n">
        <v>17309.752</v>
      </c>
    </row>
    <row r="24425">
      <c r="A24425" s="42">
        <f>_xlfn.XLOOKUP(85855,Trip[shape_id],Trip[shape_id],"Não encontrado")</f>
        <v/>
      </c>
      <c r="B24425" s="43" t="n">
        <v>-23.547087</v>
      </c>
      <c r="C24425" s="43" t="n">
        <v>-46.630714</v>
      </c>
      <c r="D24425" s="43" t="n">
        <v>481</v>
      </c>
      <c r="E24425" s="44" t="n">
        <v>17325.143</v>
      </c>
    </row>
    <row r="24426">
      <c r="A24426" s="39">
        <f>_xlfn.XLOOKUP(85855,Trip[shape_id],Trip[shape_id],"Não encontrado")</f>
        <v/>
      </c>
      <c r="B24426" s="40" t="n">
        <v>-23.547113</v>
      </c>
      <c r="C24426" s="40" t="n">
        <v>-46.630694</v>
      </c>
      <c r="D24426" s="40" t="n">
        <v>482</v>
      </c>
      <c r="E24426" s="41" t="n">
        <v>17328.672</v>
      </c>
    </row>
    <row r="24427">
      <c r="A24427" s="42">
        <f>_xlfn.XLOOKUP(85855,Trip[shape_id],Trip[shape_id],"Não encontrado")</f>
        <v/>
      </c>
      <c r="B24427" s="43" t="n">
        <v>-23.547185</v>
      </c>
      <c r="C24427" s="43" t="n">
        <v>-46.630643</v>
      </c>
      <c r="D24427" s="43" t="n">
        <v>483</v>
      </c>
      <c r="E24427" s="44" t="n">
        <v>17338.195</v>
      </c>
    </row>
    <row r="24428">
      <c r="A24428" s="39">
        <f>_xlfn.XLOOKUP(85855,Trip[shape_id],Trip[shape_id],"Não encontrado")</f>
        <v/>
      </c>
      <c r="B24428" s="40" t="n">
        <v>-23.547553</v>
      </c>
      <c r="C24428" s="40" t="n">
        <v>-46.630397</v>
      </c>
      <c r="D24428" s="40" t="n">
        <v>484</v>
      </c>
      <c r="E24428" s="41" t="n">
        <v>17386.07</v>
      </c>
    </row>
    <row r="24429">
      <c r="A24429" s="42">
        <f>_xlfn.XLOOKUP(85855,Trip[shape_id],Trip[shape_id],"Não encontrado")</f>
        <v/>
      </c>
      <c r="B24429" s="43" t="n">
        <v>-23.547602</v>
      </c>
      <c r="C24429" s="43" t="n">
        <v>-46.630362</v>
      </c>
      <c r="D24429" s="43" t="n">
        <v>485</v>
      </c>
      <c r="E24429" s="44" t="n">
        <v>17392.568</v>
      </c>
    </row>
    <row r="24430">
      <c r="A24430" s="39">
        <f>_xlfn.XLOOKUP(85855,Trip[shape_id],Trip[shape_id],"Não encontrado")</f>
        <v/>
      </c>
      <c r="B24430" s="40" t="n">
        <v>-23.547648</v>
      </c>
      <c r="C24430" s="40" t="n">
        <v>-46.630334</v>
      </c>
      <c r="D24430" s="40" t="n">
        <v>486</v>
      </c>
      <c r="E24430" s="41" t="n">
        <v>17398.41</v>
      </c>
    </row>
    <row r="24431">
      <c r="A24431" s="42">
        <f>_xlfn.XLOOKUP(85855,Trip[shape_id],Trip[shape_id],"Não encontrado")</f>
        <v/>
      </c>
      <c r="B24431" s="43" t="n">
        <v>-23.548332</v>
      </c>
      <c r="C24431" s="43" t="n">
        <v>-46.629862</v>
      </c>
      <c r="D24431" s="43" t="n">
        <v>487</v>
      </c>
      <c r="E24431" s="44" t="n">
        <v>17500.18</v>
      </c>
    </row>
    <row r="24432">
      <c r="A24432" s="39">
        <f>_xlfn.XLOOKUP(85855,Trip[shape_id],Trip[shape_id],"Não encontrado")</f>
        <v/>
      </c>
      <c r="B24432" s="40" t="n">
        <v>-23.548416</v>
      </c>
      <c r="C24432" s="40" t="n">
        <v>-46.629788</v>
      </c>
      <c r="D24432" s="40" t="n">
        <v>488</v>
      </c>
      <c r="E24432" s="41" t="n">
        <v>17500.18</v>
      </c>
    </row>
    <row r="24433">
      <c r="A24433" s="42">
        <f>_xlfn.XLOOKUP(85855,Trip[shape_id],Trip[shape_id],"Não encontrado")</f>
        <v/>
      </c>
      <c r="B24433" s="43" t="n">
        <v>-23.548546</v>
      </c>
      <c r="C24433" s="43" t="n">
        <v>-46.629701</v>
      </c>
      <c r="D24433" s="43" t="n">
        <v>489</v>
      </c>
      <c r="E24433" s="44" t="n">
        <v>17517.098</v>
      </c>
    </row>
    <row r="24434">
      <c r="A24434" s="39">
        <f>_xlfn.XLOOKUP(85855,Trip[shape_id],Trip[shape_id],"Não encontrado")</f>
        <v/>
      </c>
      <c r="B24434" s="40" t="n">
        <v>-23.549058</v>
      </c>
      <c r="C24434" s="40" t="n">
        <v>-46.629332</v>
      </c>
      <c r="D24434" s="40" t="n">
        <v>490</v>
      </c>
      <c r="E24434" s="41" t="n">
        <v>17585.178</v>
      </c>
    </row>
    <row r="24435">
      <c r="A24435" s="42">
        <f>_xlfn.XLOOKUP(85855,Trip[shape_id],Trip[shape_id],"Não encontrado")</f>
        <v/>
      </c>
      <c r="B24435" s="43" t="n">
        <v>-23.549206</v>
      </c>
      <c r="C24435" s="43" t="n">
        <v>-46.629229</v>
      </c>
      <c r="D24435" s="43" t="n">
        <v>491</v>
      </c>
      <c r="E24435" s="44" t="n">
        <v>17626.996</v>
      </c>
    </row>
    <row r="24436">
      <c r="A24436" s="39">
        <f>_xlfn.XLOOKUP(85855,Trip[shape_id],Trip[shape_id],"Não encontrado")</f>
        <v/>
      </c>
      <c r="B24436" s="40" t="n">
        <v>-23.549383</v>
      </c>
      <c r="C24436" s="40" t="n">
        <v>-46.629124</v>
      </c>
      <c r="D24436" s="40" t="n">
        <v>492</v>
      </c>
      <c r="E24436" s="41" t="n">
        <v>17626.996</v>
      </c>
    </row>
    <row r="24437">
      <c r="A24437" s="42">
        <f>_xlfn.XLOOKUP(85855,Trip[shape_id],Trip[shape_id],"Não encontrado")</f>
        <v/>
      </c>
      <c r="B24437" s="43" t="n">
        <v>-23.5494</v>
      </c>
      <c r="C24437" s="43" t="n">
        <v>-46.628883</v>
      </c>
      <c r="D24437" s="43" t="n">
        <v>493</v>
      </c>
      <c r="E24437" s="44" t="n">
        <v>17670.432</v>
      </c>
    </row>
    <row r="24438">
      <c r="A24438" s="39">
        <f>_xlfn.XLOOKUP(85855,Trip[shape_id],Trip[shape_id],"Não encontrado")</f>
        <v/>
      </c>
      <c r="B24438" s="40" t="n">
        <v>-23.549415</v>
      </c>
      <c r="C24438" s="40" t="n">
        <v>-46.6287</v>
      </c>
      <c r="D24438" s="40" t="n">
        <v>494</v>
      </c>
      <c r="E24438" s="41" t="n">
        <v>17690.344</v>
      </c>
    </row>
    <row r="24439">
      <c r="A24439" s="42">
        <f>_xlfn.XLOOKUP(85855,Trip[shape_id],Trip[shape_id],"Não encontrado")</f>
        <v/>
      </c>
      <c r="B24439" s="43" t="n">
        <v>-23.549417</v>
      </c>
      <c r="C24439" s="43" t="n">
        <v>-46.628505</v>
      </c>
      <c r="D24439" s="43" t="n">
        <v>495</v>
      </c>
      <c r="E24439" s="44" t="n">
        <v>17698.422</v>
      </c>
    </row>
    <row r="24440">
      <c r="A24440" s="39">
        <f>_xlfn.XLOOKUP(85855,Trip[shape_id],Trip[shape_id],"Não encontrado")</f>
        <v/>
      </c>
      <c r="B24440" s="40" t="n">
        <v>-23.549413</v>
      </c>
      <c r="C24440" s="40" t="n">
        <v>-46.628426</v>
      </c>
      <c r="D24440" s="40" t="n">
        <v>496</v>
      </c>
      <c r="E24440" s="41" t="n">
        <v>17708.732</v>
      </c>
    </row>
    <row r="24441">
      <c r="A24441" s="42">
        <f>_xlfn.XLOOKUP(85855,Trip[shape_id],Trip[shape_id],"Não encontrado")</f>
        <v/>
      </c>
      <c r="B24441" s="43" t="n">
        <v>-23.5494</v>
      </c>
      <c r="C24441" s="43" t="n">
        <v>-46.628326</v>
      </c>
      <c r="D24441" s="43" t="n">
        <v>497</v>
      </c>
      <c r="E24441" s="44" t="n">
        <v>17708.732</v>
      </c>
    </row>
    <row r="24442">
      <c r="A24442" s="39">
        <f>_xlfn.XLOOKUP(85855,Trip[shape_id],Trip[shape_id],"Não encontrado")</f>
        <v/>
      </c>
      <c r="B24442" s="40" t="n">
        <v>-23.549366</v>
      </c>
      <c r="C24442" s="40" t="n">
        <v>-46.628144</v>
      </c>
      <c r="D24442" s="40" t="n">
        <v>498</v>
      </c>
      <c r="E24442" s="41" t="n">
        <v>17747.258</v>
      </c>
    </row>
    <row r="24443">
      <c r="A24443" s="42">
        <f>_xlfn.XLOOKUP(85855,Trip[shape_id],Trip[shape_id],"Não encontrado")</f>
        <v/>
      </c>
      <c r="B24443" s="43" t="n">
        <v>-23.549308</v>
      </c>
      <c r="C24443" s="43" t="n">
        <v>-46.627963</v>
      </c>
      <c r="D24443" s="43" t="n">
        <v>499</v>
      </c>
      <c r="E24443" s="44" t="n">
        <v>17767.889</v>
      </c>
    </row>
    <row r="24444">
      <c r="A24444" s="39">
        <f>_xlfn.XLOOKUP(85855,Trip[shape_id],Trip[shape_id],"Não encontrado")</f>
        <v/>
      </c>
      <c r="B24444" s="40" t="n">
        <v>-23.549229</v>
      </c>
      <c r="C24444" s="40" t="n">
        <v>-46.62778</v>
      </c>
      <c r="D24444" s="40" t="n">
        <v>500</v>
      </c>
      <c r="E24444" s="41" t="n">
        <v>17767.889</v>
      </c>
    </row>
    <row r="24445">
      <c r="A24445" s="42">
        <f>_xlfn.XLOOKUP(85855,Trip[shape_id],Trip[shape_id],"Não encontrado")</f>
        <v/>
      </c>
      <c r="B24445" s="43" t="n">
        <v>-23.549162</v>
      </c>
      <c r="C24445" s="43" t="n">
        <v>-46.627649</v>
      </c>
      <c r="D24445" s="43" t="n">
        <v>501</v>
      </c>
      <c r="E24445" s="44" t="n">
        <v>17783.186</v>
      </c>
    </row>
    <row r="24446">
      <c r="A24446" s="39">
        <f>_xlfn.XLOOKUP(85855,Trip[shape_id],Trip[shape_id],"Não encontrado")</f>
        <v/>
      </c>
      <c r="B24446" s="40" t="n">
        <v>-23.549091</v>
      </c>
      <c r="C24446" s="40" t="n">
        <v>-46.627499</v>
      </c>
      <c r="D24446" s="40" t="n">
        <v>502</v>
      </c>
      <c r="E24446" s="41" t="n">
        <v>17822.295</v>
      </c>
    </row>
    <row r="24447">
      <c r="A24447" s="42">
        <f>_xlfn.XLOOKUP(85855,Trip[shape_id],Trip[shape_id],"Não encontrado")</f>
        <v/>
      </c>
      <c r="B24447" s="43" t="n">
        <v>-23.548988</v>
      </c>
      <c r="C24447" s="43" t="n">
        <v>-46.627316</v>
      </c>
      <c r="D24447" s="43" t="n">
        <v>503</v>
      </c>
      <c r="E24447" s="44" t="n">
        <v>17869.537</v>
      </c>
    </row>
    <row r="24448">
      <c r="A24448" s="39">
        <f>_xlfn.XLOOKUP(85855,Trip[shape_id],Trip[shape_id],"Não encontrado")</f>
        <v/>
      </c>
      <c r="B24448" s="40" t="n">
        <v>-23.548742</v>
      </c>
      <c r="C24448" s="40" t="n">
        <v>-46.626938</v>
      </c>
      <c r="D24448" s="40" t="n">
        <v>504</v>
      </c>
      <c r="E24448" s="41" t="n">
        <v>17930.49</v>
      </c>
    </row>
    <row r="24449">
      <c r="A24449" s="42">
        <f>_xlfn.XLOOKUP(85855,Trip[shape_id],Trip[shape_id],"Não encontrado")</f>
        <v/>
      </c>
      <c r="B24449" s="43" t="n">
        <v>-23.548433</v>
      </c>
      <c r="C24449" s="43" t="n">
        <v>-46.626444</v>
      </c>
      <c r="D24449" s="43" t="n">
        <v>505</v>
      </c>
      <c r="E24449" s="44" t="n">
        <v>17930.49</v>
      </c>
    </row>
    <row r="24450">
      <c r="A24450" s="39">
        <f>_xlfn.XLOOKUP(85855,Trip[shape_id],Trip[shape_id],"Não encontrado")</f>
        <v/>
      </c>
      <c r="B24450" s="40" t="n">
        <v>-23.548148</v>
      </c>
      <c r="C24450" s="40" t="n">
        <v>-46.626009</v>
      </c>
      <c r="D24450" s="40" t="n">
        <v>506</v>
      </c>
      <c r="E24450" s="41" t="n">
        <v>17984.979</v>
      </c>
    </row>
    <row r="24451">
      <c r="A24451" s="42">
        <f>_xlfn.XLOOKUP(85855,Trip[shape_id],Trip[shape_id],"Não encontrado")</f>
        <v/>
      </c>
      <c r="B24451" s="43" t="n">
        <v>-23.547832</v>
      </c>
      <c r="C24451" s="43" t="n">
        <v>-46.625503</v>
      </c>
      <c r="D24451" s="43" t="n">
        <v>507</v>
      </c>
      <c r="E24451" s="44" t="n">
        <v>18125.299</v>
      </c>
    </row>
    <row r="24452">
      <c r="A24452" s="39">
        <f>_xlfn.XLOOKUP(85855,Trip[shape_id],Trip[shape_id],"Não encontrado")</f>
        <v/>
      </c>
      <c r="B24452" s="40" t="n">
        <v>-23.547427</v>
      </c>
      <c r="C24452" s="40" t="n">
        <v>-46.624879</v>
      </c>
      <c r="D24452" s="40" t="n">
        <v>508</v>
      </c>
      <c r="E24452" s="41" t="n">
        <v>18156.998</v>
      </c>
    </row>
    <row r="24453">
      <c r="A24453" s="42">
        <f>_xlfn.XLOOKUP(85855,Trip[shape_id],Trip[shape_id],"Não encontrado")</f>
        <v/>
      </c>
      <c r="B24453" s="43" t="n">
        <v>-23.547272</v>
      </c>
      <c r="C24453" s="43" t="n">
        <v>-46.624618</v>
      </c>
      <c r="D24453" s="43" t="n">
        <v>509</v>
      </c>
      <c r="E24453" s="44" t="n">
        <v>18192.184</v>
      </c>
    </row>
    <row r="24454">
      <c r="A24454" s="39">
        <f>_xlfn.XLOOKUP(85855,Trip[shape_id],Trip[shape_id],"Não encontrado")</f>
        <v/>
      </c>
      <c r="B24454" s="40" t="n">
        <v>-23.547119</v>
      </c>
      <c r="C24454" s="40" t="n">
        <v>-46.624316</v>
      </c>
      <c r="D24454" s="40" t="n">
        <v>510</v>
      </c>
      <c r="E24454" s="41" t="n">
        <v>18192.184</v>
      </c>
    </row>
    <row r="24455">
      <c r="A24455" s="42">
        <f>_xlfn.XLOOKUP(85855,Trip[shape_id],Trip[shape_id],"Não encontrado")</f>
        <v/>
      </c>
      <c r="B24455" s="43" t="n">
        <v>-23.546995</v>
      </c>
      <c r="C24455" s="43" t="n">
        <v>-46.624259</v>
      </c>
      <c r="D24455" s="43" t="n">
        <v>511</v>
      </c>
      <c r="E24455" s="44" t="n">
        <v>18325.932</v>
      </c>
    </row>
    <row r="24456">
      <c r="A24456" s="39">
        <f>_xlfn.XLOOKUP(85855,Trip[shape_id],Trip[shape_id],"Não encontrado")</f>
        <v/>
      </c>
      <c r="B24456" s="40" t="n">
        <v>-23.546542</v>
      </c>
      <c r="C24456" s="40" t="n">
        <v>-46.623204</v>
      </c>
      <c r="D24456" s="40" t="n">
        <v>512</v>
      </c>
      <c r="E24456" s="41" t="n">
        <v>18325.932</v>
      </c>
    </row>
    <row r="24457">
      <c r="A24457" s="42">
        <f>_xlfn.XLOOKUP(85855,Trip[shape_id],Trip[shape_id],"Não encontrado")</f>
        <v/>
      </c>
      <c r="B24457" s="43" t="n">
        <v>-23.546347</v>
      </c>
      <c r="C24457" s="43" t="n">
        <v>-46.622766</v>
      </c>
      <c r="D24457" s="43" t="n">
        <v>513</v>
      </c>
      <c r="E24457" s="44" t="n">
        <v>18375.596</v>
      </c>
    </row>
    <row r="24458">
      <c r="A24458" s="39">
        <f>_xlfn.XLOOKUP(85855,Trip[shape_id],Trip[shape_id],"Não encontrado")</f>
        <v/>
      </c>
      <c r="B24458" s="40" t="n">
        <v>-23.546335</v>
      </c>
      <c r="C24458" s="40" t="n">
        <v>-46.622708</v>
      </c>
      <c r="D24458" s="40" t="n">
        <v>514</v>
      </c>
      <c r="E24458" s="41" t="n">
        <v>18454.221</v>
      </c>
    </row>
    <row r="24459">
      <c r="A24459" s="42">
        <f>_xlfn.XLOOKUP(85855,Trip[shape_id],Trip[shape_id],"Não encontrado")</f>
        <v/>
      </c>
      <c r="B24459" s="43" t="n">
        <v>-23.546041</v>
      </c>
      <c r="C24459" s="43" t="n">
        <v>-46.622073</v>
      </c>
      <c r="D24459" s="43" t="n">
        <v>515</v>
      </c>
      <c r="E24459" s="44" t="n">
        <v>18467.904</v>
      </c>
    </row>
    <row r="24460">
      <c r="A24460" s="39">
        <f>_xlfn.XLOOKUP(85855,Trip[shape_id],Trip[shape_id],"Não encontrado")</f>
        <v/>
      </c>
      <c r="B24460" s="40" t="n">
        <v>-23.545986</v>
      </c>
      <c r="C24460" s="40" t="n">
        <v>-46.621953</v>
      </c>
      <c r="D24460" s="40" t="n">
        <v>516</v>
      </c>
      <c r="E24460" s="41" t="n">
        <v>18467.904</v>
      </c>
    </row>
    <row r="24461">
      <c r="A24461" s="42">
        <f>_xlfn.XLOOKUP(85855,Trip[shape_id],Trip[shape_id],"Não encontrado")</f>
        <v/>
      </c>
      <c r="B24461" s="43" t="n">
        <v>-23.545453</v>
      </c>
      <c r="C24461" s="43" t="n">
        <v>-46.620885</v>
      </c>
      <c r="D24461" s="43" t="n">
        <v>517</v>
      </c>
      <c r="E24461" s="44" t="n">
        <v>18591.906</v>
      </c>
    </row>
    <row r="24462">
      <c r="A24462" s="39">
        <f>_xlfn.XLOOKUP(85855,Trip[shape_id],Trip[shape_id],"Não encontrado")</f>
        <v/>
      </c>
      <c r="B24462" s="40" t="n">
        <v>-23.545549</v>
      </c>
      <c r="C24462" s="40" t="n">
        <v>-46.620792</v>
      </c>
      <c r="D24462" s="40" t="n">
        <v>518</v>
      </c>
      <c r="E24462" s="41" t="n">
        <v>18606.162</v>
      </c>
    </row>
    <row r="24463">
      <c r="A24463" s="42">
        <f>_xlfn.XLOOKUP(85855,Trip[shape_id],Trip[shape_id],"Não encontrado")</f>
        <v/>
      </c>
      <c r="B24463" s="43" t="n">
        <v>-23.545489</v>
      </c>
      <c r="C24463" s="43" t="n">
        <v>-46.62066</v>
      </c>
      <c r="D24463" s="43" t="n">
        <v>519</v>
      </c>
      <c r="E24463" s="44" t="n">
        <v>18621.189</v>
      </c>
    </row>
    <row r="24464">
      <c r="A24464" s="39">
        <f>_xlfn.XLOOKUP(85855,Trip[shape_id],Trip[shape_id],"Não encontrado")</f>
        <v/>
      </c>
      <c r="B24464" s="40" t="n">
        <v>-23.545264</v>
      </c>
      <c r="C24464" s="40" t="n">
        <v>-46.620247</v>
      </c>
      <c r="D24464" s="40" t="n">
        <v>520</v>
      </c>
      <c r="E24464" s="41" t="n">
        <v>18670.172</v>
      </c>
    </row>
    <row r="24465">
      <c r="A24465" s="42">
        <f>_xlfn.XLOOKUP(85855,Trip[shape_id],Trip[shape_id],"Não encontrado")</f>
        <v/>
      </c>
      <c r="B24465" s="43" t="n">
        <v>-23.545167</v>
      </c>
      <c r="C24465" s="43" t="n">
        <v>-46.620191</v>
      </c>
      <c r="D24465" s="43" t="n">
        <v>521</v>
      </c>
      <c r="E24465" s="44" t="n">
        <v>18714.445</v>
      </c>
    </row>
    <row r="24466">
      <c r="A24466" s="39">
        <f>_xlfn.XLOOKUP(85855,Trip[shape_id],Trip[shape_id],"Não encontrado")</f>
        <v/>
      </c>
      <c r="B24466" s="40" t="n">
        <v>-23.545011</v>
      </c>
      <c r="C24466" s="40" t="n">
        <v>-46.619926</v>
      </c>
      <c r="D24466" s="40" t="n">
        <v>522</v>
      </c>
      <c r="E24466" s="41" t="n">
        <v>18714.445</v>
      </c>
    </row>
    <row r="24467">
      <c r="A24467" s="42">
        <f>_xlfn.XLOOKUP(85855,Trip[shape_id],Trip[shape_id],"Não encontrado")</f>
        <v/>
      </c>
      <c r="B24467" s="43" t="n">
        <v>-23.544907</v>
      </c>
      <c r="C24467" s="43" t="n">
        <v>-46.619745</v>
      </c>
      <c r="D24467" s="43" t="n">
        <v>523</v>
      </c>
      <c r="E24467" s="44" t="n">
        <v>18746.748</v>
      </c>
    </row>
    <row r="24468">
      <c r="A24468" s="39">
        <f>_xlfn.XLOOKUP(85855,Trip[shape_id],Trip[shape_id],"Não encontrado")</f>
        <v/>
      </c>
      <c r="B24468" s="40" t="n">
        <v>-23.544903</v>
      </c>
      <c r="C24468" s="40" t="n">
        <v>-46.619642</v>
      </c>
      <c r="D24468" s="40" t="n">
        <v>524</v>
      </c>
      <c r="E24468" s="41" t="n">
        <v>18746.748</v>
      </c>
    </row>
    <row r="24469">
      <c r="A24469" s="42">
        <f>_xlfn.XLOOKUP(85855,Trip[shape_id],Trip[shape_id],"Não encontrado")</f>
        <v/>
      </c>
      <c r="B24469" s="43" t="n">
        <v>-23.544851</v>
      </c>
      <c r="C24469" s="43" t="n">
        <v>-46.619587</v>
      </c>
      <c r="D24469" s="43" t="n">
        <v>525</v>
      </c>
      <c r="E24469" s="44" t="n">
        <v>18754.791</v>
      </c>
    </row>
    <row r="24470">
      <c r="A24470" s="39">
        <f>_xlfn.XLOOKUP(85855,Trip[shape_id],Trip[shape_id],"Não encontrado")</f>
        <v/>
      </c>
      <c r="B24470" s="40" t="n">
        <v>-23.544799</v>
      </c>
      <c r="C24470" s="40" t="n">
        <v>-46.619554</v>
      </c>
      <c r="D24470" s="40" t="n">
        <v>526</v>
      </c>
      <c r="E24470" s="41" t="n">
        <v>18779.146</v>
      </c>
    </row>
    <row r="24471">
      <c r="A24471" s="42">
        <f>_xlfn.XLOOKUP(85855,Trip[shape_id],Trip[shape_id],"Não encontrado")</f>
        <v/>
      </c>
      <c r="B24471" s="43" t="n">
        <v>-23.544699</v>
      </c>
      <c r="C24471" s="43" t="n">
        <v>-46.619419</v>
      </c>
      <c r="D24471" s="43" t="n">
        <v>527</v>
      </c>
      <c r="E24471" s="44" t="n">
        <v>18797.678</v>
      </c>
    </row>
    <row r="24472">
      <c r="A24472" s="39">
        <f>_xlfn.XLOOKUP(85855,Trip[shape_id],Trip[shape_id],"Não encontrado")</f>
        <v/>
      </c>
      <c r="B24472" s="40" t="n">
        <v>-23.544609</v>
      </c>
      <c r="C24472" s="40" t="n">
        <v>-46.619266</v>
      </c>
      <c r="D24472" s="40" t="n">
        <v>528</v>
      </c>
      <c r="E24472" s="41" t="n">
        <v>18797.678</v>
      </c>
    </row>
    <row r="24473">
      <c r="A24473" s="42">
        <f>_xlfn.XLOOKUP(85855,Trip[shape_id],Trip[shape_id],"Não encontrado")</f>
        <v/>
      </c>
      <c r="B24473" s="43" t="n">
        <v>-23.543666</v>
      </c>
      <c r="C24473" s="43" t="n">
        <v>-46.617743</v>
      </c>
      <c r="D24473" s="43" t="n">
        <v>529</v>
      </c>
      <c r="E24473" s="44" t="n">
        <v>18985.002</v>
      </c>
    </row>
    <row r="24474">
      <c r="A24474" s="39">
        <f>_xlfn.XLOOKUP(85855,Trip[shape_id],Trip[shape_id],"Não encontrado")</f>
        <v/>
      </c>
      <c r="B24474" s="40" t="n">
        <v>-23.543005</v>
      </c>
      <c r="C24474" s="40" t="n">
        <v>-46.61665</v>
      </c>
      <c r="D24474" s="40" t="n">
        <v>530</v>
      </c>
      <c r="E24474" s="41" t="n">
        <v>19118.473</v>
      </c>
    </row>
    <row r="24475">
      <c r="A24475" s="42">
        <f>_xlfn.XLOOKUP(85855,Trip[shape_id],Trip[shape_id],"Não encontrado")</f>
        <v/>
      </c>
      <c r="B24475" s="43" t="n">
        <v>-23.542814</v>
      </c>
      <c r="C24475" s="43" t="n">
        <v>-46.616351</v>
      </c>
      <c r="D24475" s="43" t="n">
        <v>531</v>
      </c>
      <c r="E24475" s="44" t="n">
        <v>19155.615</v>
      </c>
    </row>
    <row r="24476">
      <c r="A24476" s="39">
        <f>_xlfn.XLOOKUP(85855,Trip[shape_id],Trip[shape_id],"Não encontrado")</f>
        <v/>
      </c>
      <c r="B24476" s="40" t="n">
        <v>-23.542466</v>
      </c>
      <c r="C24476" s="40" t="n">
        <v>-46.61579</v>
      </c>
      <c r="D24476" s="40" t="n">
        <v>532</v>
      </c>
      <c r="E24476" s="41" t="n">
        <v>19224.656</v>
      </c>
    </row>
    <row r="24477">
      <c r="A24477" s="42">
        <f>_xlfn.XLOOKUP(85855,Trip[shape_id],Trip[shape_id],"Não encontrado")</f>
        <v/>
      </c>
      <c r="B24477" s="43" t="n">
        <v>-23.542351</v>
      </c>
      <c r="C24477" s="43" t="n">
        <v>-46.615887</v>
      </c>
      <c r="D24477" s="43" t="n">
        <v>533</v>
      </c>
      <c r="E24477" s="44" t="n">
        <v>19240.791</v>
      </c>
    </row>
    <row r="24478">
      <c r="A24478" s="39">
        <f>_xlfn.XLOOKUP(85855,Trip[shape_id],Trip[shape_id],"Não encontrado")</f>
        <v/>
      </c>
      <c r="B24478" s="40" t="n">
        <v>-23.542202</v>
      </c>
      <c r="C24478" s="40" t="n">
        <v>-46.616024</v>
      </c>
      <c r="D24478" s="40" t="n">
        <v>534</v>
      </c>
      <c r="E24478" s="41" t="n">
        <v>19262.424</v>
      </c>
    </row>
    <row r="24479">
      <c r="A24479" s="42">
        <f>_xlfn.XLOOKUP(85855,Trip[shape_id],Trip[shape_id],"Não encontrado")</f>
        <v/>
      </c>
      <c r="B24479" s="43" t="n">
        <v>-23.541313</v>
      </c>
      <c r="C24479" s="43" t="n">
        <v>-46.616646</v>
      </c>
      <c r="D24479" s="43" t="n">
        <v>535</v>
      </c>
      <c r="E24479" s="44" t="n">
        <v>19379.59</v>
      </c>
    </row>
    <row r="24480">
      <c r="A24480" s="39">
        <f>_xlfn.XLOOKUP(85855,Trip[shape_id],Trip[shape_id],"Não encontrado")</f>
        <v/>
      </c>
      <c r="B24480" s="40" t="n">
        <v>-23.540576</v>
      </c>
      <c r="C24480" s="40" t="n">
        <v>-46.617195</v>
      </c>
      <c r="D24480" s="40" t="n">
        <v>536</v>
      </c>
      <c r="E24480" s="41" t="n">
        <v>19478.609</v>
      </c>
    </row>
    <row r="24481">
      <c r="A24481" s="42">
        <f>_xlfn.XLOOKUP(85855,Trip[shape_id],Trip[shape_id],"Não encontrado")</f>
        <v/>
      </c>
      <c r="B24481" s="43" t="n">
        <v>-23.540213</v>
      </c>
      <c r="C24481" s="43" t="n">
        <v>-46.617465</v>
      </c>
      <c r="D24481" s="43" t="n">
        <v>537</v>
      </c>
      <c r="E24481" s="44" t="n">
        <v>19533.65</v>
      </c>
    </row>
    <row r="24482">
      <c r="A24482" s="39">
        <f>_xlfn.XLOOKUP(85855,Trip[shape_id],Trip[shape_id],"Não encontrado")</f>
        <v/>
      </c>
      <c r="B24482" s="40" t="n">
        <v>-23.540184</v>
      </c>
      <c r="C24482" s="40" t="n">
        <v>-46.617518</v>
      </c>
      <c r="D24482" s="40" t="n">
        <v>538</v>
      </c>
      <c r="E24482" s="41" t="n">
        <v>19533.65</v>
      </c>
    </row>
    <row r="24483">
      <c r="A24483" s="42">
        <f>_xlfn.XLOOKUP(85855,Trip[shape_id],Trip[shape_id],"Não encontrado")</f>
        <v/>
      </c>
      <c r="B24483" s="43" t="n">
        <v>-23.540116</v>
      </c>
      <c r="C24483" s="43" t="n">
        <v>-46.617545</v>
      </c>
      <c r="D24483" s="43" t="n">
        <v>539</v>
      </c>
      <c r="E24483" s="44" t="n">
        <v>19561.564</v>
      </c>
    </row>
    <row r="24484">
      <c r="A24484" s="39">
        <f>_xlfn.XLOOKUP(85855,Trip[shape_id],Trip[shape_id],"Não encontrado")</f>
        <v/>
      </c>
      <c r="B24484" s="40" t="n">
        <v>-23.53994</v>
      </c>
      <c r="C24484" s="40" t="n">
        <v>-46.617584</v>
      </c>
      <c r="D24484" s="40" t="n">
        <v>540</v>
      </c>
      <c r="E24484" s="41" t="n">
        <v>19717.168</v>
      </c>
    </row>
    <row r="24485">
      <c r="A24485" s="42">
        <f>_xlfn.XLOOKUP(85855,Trip[shape_id],Trip[shape_id],"Não encontrado")</f>
        <v/>
      </c>
      <c r="B24485" s="43" t="n">
        <v>-23.538536</v>
      </c>
      <c r="C24485" s="43" t="n">
        <v>-46.617641</v>
      </c>
      <c r="D24485" s="43" t="n">
        <v>541</v>
      </c>
      <c r="E24485" s="44" t="n">
        <v>19717.168</v>
      </c>
    </row>
    <row r="24486">
      <c r="A24486" s="39">
        <f>_xlfn.XLOOKUP(85855,Trip[shape_id],Trip[shape_id],"Não encontrado")</f>
        <v/>
      </c>
      <c r="B24486" s="40" t="n">
        <v>-23.5379</v>
      </c>
      <c r="C24486" s="40" t="n">
        <v>-46.617667</v>
      </c>
      <c r="D24486" s="40" t="n">
        <v>542</v>
      </c>
      <c r="E24486" s="41" t="n">
        <v>19787.656</v>
      </c>
    </row>
    <row r="24487">
      <c r="A24487" s="42">
        <f>_xlfn.XLOOKUP(85855,Trip[shape_id],Trip[shape_id],"Não encontrado")</f>
        <v/>
      </c>
      <c r="B24487" s="43" t="n">
        <v>-23.537832</v>
      </c>
      <c r="C24487" s="43" t="n">
        <v>-46.616214</v>
      </c>
      <c r="D24487" s="43" t="n">
        <v>543</v>
      </c>
      <c r="E24487" s="44" t="n">
        <v>19936.215</v>
      </c>
    </row>
    <row r="24488">
      <c r="A24488" s="39">
        <f>_xlfn.XLOOKUP(85855,Trip[shape_id],Trip[shape_id],"Não encontrado")</f>
        <v/>
      </c>
      <c r="B24488" s="40" t="n">
        <v>-23.537798</v>
      </c>
      <c r="C24488" s="40" t="n">
        <v>-46.615385</v>
      </c>
      <c r="D24488" s="40" t="n">
        <v>544</v>
      </c>
      <c r="E24488" s="41" t="n">
        <v>20020.949</v>
      </c>
    </row>
    <row r="24489">
      <c r="A24489" s="42">
        <f>_xlfn.XLOOKUP(85855,Trip[shape_id],Trip[shape_id],"Não encontrado")</f>
        <v/>
      </c>
      <c r="B24489" s="43" t="n">
        <v>-23.53777</v>
      </c>
      <c r="C24489" s="43" t="n">
        <v>-46.614668</v>
      </c>
      <c r="D24489" s="43" t="n">
        <v>545</v>
      </c>
      <c r="E24489" s="44" t="n">
        <v>20100.855</v>
      </c>
    </row>
    <row r="24490">
      <c r="A24490" s="39">
        <f>_xlfn.XLOOKUP(85855,Trip[shape_id],Trip[shape_id],"Não encontrado")</f>
        <v/>
      </c>
      <c r="B24490" s="40" t="n">
        <v>-23.53776</v>
      </c>
      <c r="C24490" s="40" t="n">
        <v>-46.614604</v>
      </c>
      <c r="D24490" s="40" t="n">
        <v>546</v>
      </c>
      <c r="E24490" s="41" t="n">
        <v>20106.693</v>
      </c>
    </row>
    <row r="24491">
      <c r="A24491" s="42">
        <f>_xlfn.XLOOKUP(85855,Trip[shape_id],Trip[shape_id],"Não encontrado")</f>
        <v/>
      </c>
      <c r="B24491" s="43" t="n">
        <v>-23.537764</v>
      </c>
      <c r="C24491" s="43" t="n">
        <v>-46.614547</v>
      </c>
      <c r="D24491" s="43" t="n">
        <v>547</v>
      </c>
      <c r="E24491" s="44" t="n">
        <v>20166.283</v>
      </c>
    </row>
    <row r="24492">
      <c r="A24492" s="39">
        <f>_xlfn.XLOOKUP(85855,Trip[shape_id],Trip[shape_id],"Não encontrado")</f>
        <v/>
      </c>
      <c r="B24492" s="40" t="n">
        <v>-23.53774</v>
      </c>
      <c r="C24492" s="40" t="n">
        <v>-46.613964</v>
      </c>
      <c r="D24492" s="40" t="n">
        <v>548</v>
      </c>
      <c r="E24492" s="41" t="n">
        <v>20166.283</v>
      </c>
    </row>
    <row r="24493">
      <c r="A24493" s="42">
        <f>_xlfn.XLOOKUP(85855,Trip[shape_id],Trip[shape_id],"Não encontrado")</f>
        <v/>
      </c>
      <c r="B24493" s="43" t="n">
        <v>-23.537613</v>
      </c>
      <c r="C24493" s="43" t="n">
        <v>-46.613957</v>
      </c>
      <c r="D24493" s="43" t="n">
        <v>549</v>
      </c>
      <c r="E24493" s="44" t="n">
        <v>20180.367</v>
      </c>
    </row>
    <row r="24494">
      <c r="A24494" s="39">
        <f>_xlfn.XLOOKUP(85855,Trip[shape_id],Trip[shape_id],"Não encontrado")</f>
        <v/>
      </c>
      <c r="B24494" s="40" t="n">
        <v>-23.537128</v>
      </c>
      <c r="C24494" s="40" t="n">
        <v>-46.61397</v>
      </c>
      <c r="D24494" s="40" t="n">
        <v>550</v>
      </c>
      <c r="E24494" s="41" t="n">
        <v>20310.99</v>
      </c>
    </row>
    <row r="24495">
      <c r="A24495" s="42">
        <f>_xlfn.XLOOKUP(85855,Trip[shape_id],Trip[shape_id],"Não encontrado")</f>
        <v/>
      </c>
      <c r="B24495" s="43" t="n">
        <v>-23.536633</v>
      </c>
      <c r="C24495" s="43" t="n">
        <v>-46.614498</v>
      </c>
      <c r="D24495" s="43" t="n">
        <v>551</v>
      </c>
      <c r="E24495" s="44" t="n">
        <v>20343.146</v>
      </c>
    </row>
    <row r="24496">
      <c r="A24496" s="39">
        <f>_xlfn.XLOOKUP(85855,Trip[shape_id],Trip[shape_id],"Não encontrado")</f>
        <v/>
      </c>
      <c r="B24496" s="40" t="n">
        <v>-23.536388</v>
      </c>
      <c r="C24496" s="40" t="n">
        <v>-46.614329</v>
      </c>
      <c r="D24496" s="40" t="n">
        <v>552</v>
      </c>
      <c r="E24496" s="41" t="n">
        <v>20387.166</v>
      </c>
    </row>
    <row r="24497">
      <c r="A24497" s="42">
        <f>_xlfn.XLOOKUP(85855,Trip[shape_id],Trip[shape_id],"Não encontrado")</f>
        <v/>
      </c>
      <c r="B24497" s="43" t="n">
        <v>-23.536056</v>
      </c>
      <c r="C24497" s="43" t="n">
        <v>-46.614092</v>
      </c>
      <c r="D24497" s="43" t="n">
        <v>553</v>
      </c>
      <c r="E24497" s="44" t="n">
        <v>20387.166</v>
      </c>
    </row>
    <row r="24498">
      <c r="A24498" s="39">
        <f>_xlfn.XLOOKUP(85855,Trip[shape_id],Trip[shape_id],"Não encontrado")</f>
        <v/>
      </c>
      <c r="B24498" s="40" t="n">
        <v>-23.53597</v>
      </c>
      <c r="C24498" s="40" t="n">
        <v>-46.614069</v>
      </c>
      <c r="D24498" s="40" t="n">
        <v>554</v>
      </c>
      <c r="E24498" s="41" t="n">
        <v>20407.158</v>
      </c>
    </row>
    <row r="24499">
      <c r="A24499" s="42">
        <f>_xlfn.XLOOKUP(85855,Trip[shape_id],Trip[shape_id],"Não encontrado")</f>
        <v/>
      </c>
      <c r="B24499" s="43" t="n">
        <v>-23.535891</v>
      </c>
      <c r="C24499" s="43" t="n">
        <v>-46.614018</v>
      </c>
      <c r="D24499" s="43" t="n">
        <v>555</v>
      </c>
      <c r="E24499" s="44" t="n">
        <v>20493.893</v>
      </c>
    </row>
    <row r="24500">
      <c r="A24500" s="39">
        <f>_xlfn.XLOOKUP(85855,Trip[shape_id],Trip[shape_id],"Não encontrado")</f>
        <v/>
      </c>
      <c r="B24500" s="40" t="n">
        <v>-23.535243</v>
      </c>
      <c r="C24500" s="40" t="n">
        <v>-46.613541</v>
      </c>
      <c r="D24500" s="40" t="n">
        <v>556</v>
      </c>
      <c r="E24500" s="41" t="n">
        <v>20493.893</v>
      </c>
    </row>
    <row r="24501">
      <c r="A24501" s="42">
        <f>_xlfn.XLOOKUP(85855,Trip[shape_id],Trip[shape_id],"Não encontrado")</f>
        <v/>
      </c>
      <c r="B24501" s="43" t="n">
        <v>-23.534375</v>
      </c>
      <c r="C24501" s="43" t="n">
        <v>-46.612907</v>
      </c>
      <c r="D24501" s="43" t="n">
        <v>557</v>
      </c>
      <c r="E24501" s="44" t="n">
        <v>20609.793</v>
      </c>
    </row>
    <row r="24502">
      <c r="A24502" s="39">
        <f>_xlfn.XLOOKUP(85855,Trip[shape_id],Trip[shape_id],"Não encontrado")</f>
        <v/>
      </c>
      <c r="B24502" s="40" t="n">
        <v>-23.533758</v>
      </c>
      <c r="C24502" s="40" t="n">
        <v>-46.612449</v>
      </c>
      <c r="D24502" s="40" t="n">
        <v>558</v>
      </c>
      <c r="E24502" s="41" t="n">
        <v>20692.6</v>
      </c>
    </row>
    <row r="24503">
      <c r="A24503" s="42">
        <f>_xlfn.XLOOKUP(85855,Trip[shape_id],Trip[shape_id],"Não encontrado")</f>
        <v/>
      </c>
      <c r="B24503" s="43" t="n">
        <v>-23.533624</v>
      </c>
      <c r="C24503" s="43" t="n">
        <v>-46.612599</v>
      </c>
      <c r="D24503" s="43" t="n">
        <v>559</v>
      </c>
      <c r="E24503" s="44" t="n">
        <v>20713.928</v>
      </c>
    </row>
    <row r="24504">
      <c r="A24504" s="39">
        <f>_xlfn.XLOOKUP(85855,Trip[shape_id],Trip[shape_id],"Não encontrado")</f>
        <v/>
      </c>
      <c r="B24504" s="40" t="n">
        <v>-23.532626</v>
      </c>
      <c r="C24504" s="40" t="n">
        <v>-46.611587</v>
      </c>
      <c r="D24504" s="40" t="n">
        <v>560</v>
      </c>
      <c r="E24504" s="41" t="n">
        <v>20865.242</v>
      </c>
    </row>
    <row r="24505">
      <c r="A24505" s="42">
        <f>_xlfn.XLOOKUP(85855,Trip[shape_id],Trip[shape_id],"Não encontrado")</f>
        <v/>
      </c>
      <c r="B24505" s="43" t="n">
        <v>-23.531625</v>
      </c>
      <c r="C24505" s="43" t="n">
        <v>-46.610566</v>
      </c>
      <c r="D24505" s="43" t="n">
        <v>561</v>
      </c>
      <c r="E24505" s="44" t="n">
        <v>21017.428</v>
      </c>
    </row>
    <row r="24506">
      <c r="A24506" s="39">
        <f>_xlfn.XLOOKUP(85855,Trip[shape_id],Trip[shape_id],"Não encontrado")</f>
        <v/>
      </c>
      <c r="B24506" s="40" t="n">
        <v>-23.530963</v>
      </c>
      <c r="C24506" s="40" t="n">
        <v>-46.609889</v>
      </c>
      <c r="D24506" s="40" t="n">
        <v>562</v>
      </c>
      <c r="E24506" s="41" t="n">
        <v>21164.818</v>
      </c>
    </row>
    <row r="24507">
      <c r="A24507" s="42">
        <f>_xlfn.XLOOKUP(85855,Trip[shape_id],Trip[shape_id],"Não encontrado")</f>
        <v/>
      </c>
      <c r="B24507" s="43" t="n">
        <v>-23.530654</v>
      </c>
      <c r="C24507" s="43" t="n">
        <v>-46.609579</v>
      </c>
      <c r="D24507" s="43" t="n">
        <v>563</v>
      </c>
      <c r="E24507" s="44" t="n">
        <v>21164.818</v>
      </c>
    </row>
    <row r="24508">
      <c r="A24508" s="39">
        <f>_xlfn.XLOOKUP(85855,Trip[shape_id],Trip[shape_id],"Não encontrado")</f>
        <v/>
      </c>
      <c r="B24508" s="40" t="n">
        <v>-23.529882</v>
      </c>
      <c r="C24508" s="40" t="n">
        <v>-46.608793</v>
      </c>
      <c r="D24508" s="40" t="n">
        <v>564</v>
      </c>
      <c r="E24508" s="41" t="n">
        <v>21282.09</v>
      </c>
    </row>
    <row r="24509">
      <c r="A24509" s="42">
        <f>_xlfn.XLOOKUP(85855,Trip[shape_id],Trip[shape_id],"Não encontrado")</f>
        <v/>
      </c>
      <c r="B24509" s="43" t="n">
        <v>-23.529574</v>
      </c>
      <c r="C24509" s="43" t="n">
        <v>-46.60848</v>
      </c>
      <c r="D24509" s="43" t="n">
        <v>565</v>
      </c>
      <c r="E24509" s="44" t="n">
        <v>21356.555</v>
      </c>
    </row>
    <row r="24510">
      <c r="A24510" s="39">
        <f>_xlfn.XLOOKUP(85855,Trip[shape_id],Trip[shape_id],"Não encontrado")</f>
        <v/>
      </c>
      <c r="B24510" s="40" t="n">
        <v>-23.52939</v>
      </c>
      <c r="C24510" s="40" t="n">
        <v>-46.608296</v>
      </c>
      <c r="D24510" s="40" t="n">
        <v>566</v>
      </c>
      <c r="E24510" s="41" t="n">
        <v>21356.555</v>
      </c>
    </row>
    <row r="24511">
      <c r="A24511" s="42">
        <f>_xlfn.XLOOKUP(85855,Trip[shape_id],Trip[shape_id],"Não encontrado")</f>
        <v/>
      </c>
      <c r="B24511" s="43" t="n">
        <v>-23.529313</v>
      </c>
      <c r="C24511" s="43" t="n">
        <v>-46.608215</v>
      </c>
      <c r="D24511" s="43" t="n">
        <v>567</v>
      </c>
      <c r="E24511" s="44" t="n">
        <v>21368.436</v>
      </c>
    </row>
    <row r="24512">
      <c r="A24512" s="39">
        <f>_xlfn.XLOOKUP(85855,Trip[shape_id],Trip[shape_id],"Não encontrado")</f>
        <v/>
      </c>
      <c r="B24512" s="40" t="n">
        <v>-23.528814</v>
      </c>
      <c r="C24512" s="40" t="n">
        <v>-46.607703</v>
      </c>
      <c r="D24512" s="40" t="n">
        <v>568</v>
      </c>
      <c r="E24512" s="41" t="n">
        <v>21444.514</v>
      </c>
    </row>
    <row r="24513">
      <c r="A24513" s="42">
        <f>_xlfn.XLOOKUP(85855,Trip[shape_id],Trip[shape_id],"Não encontrado")</f>
        <v/>
      </c>
      <c r="B24513" s="43" t="n">
        <v>-23.528175</v>
      </c>
      <c r="C24513" s="43" t="n">
        <v>-46.607065</v>
      </c>
      <c r="D24513" s="43" t="n">
        <v>569</v>
      </c>
      <c r="E24513" s="44" t="n">
        <v>21540.707</v>
      </c>
    </row>
    <row r="24514">
      <c r="A24514" s="39">
        <f>_xlfn.XLOOKUP(85855,Trip[shape_id],Trip[shape_id],"Não encontrado")</f>
        <v/>
      </c>
      <c r="B24514" s="40" t="n">
        <v>-23.527981</v>
      </c>
      <c r="C24514" s="40" t="n">
        <v>-46.606858</v>
      </c>
      <c r="D24514" s="40" t="n">
        <v>570</v>
      </c>
      <c r="E24514" s="41" t="n">
        <v>21570.848</v>
      </c>
    </row>
    <row r="24515">
      <c r="A24515" s="42">
        <f>_xlfn.XLOOKUP(85855,Trip[shape_id],Trip[shape_id],"Não encontrado")</f>
        <v/>
      </c>
      <c r="B24515" s="43" t="n">
        <v>-23.526906</v>
      </c>
      <c r="C24515" s="43" t="n">
        <v>-46.605801</v>
      </c>
      <c r="D24515" s="43" t="n">
        <v>571</v>
      </c>
      <c r="E24515" s="44" t="n">
        <v>21731.553</v>
      </c>
    </row>
    <row r="24516">
      <c r="A24516" s="39">
        <f>_xlfn.XLOOKUP(85855,Trip[shape_id],Trip[shape_id],"Não encontrado")</f>
        <v/>
      </c>
      <c r="B24516" s="40" t="n">
        <v>-23.527472</v>
      </c>
      <c r="C24516" s="40" t="n">
        <v>-46.605193</v>
      </c>
      <c r="D24516" s="40" t="n">
        <v>572</v>
      </c>
      <c r="E24516" s="41" t="n">
        <v>21819.783</v>
      </c>
    </row>
    <row r="24517">
      <c r="A24517" s="42">
        <f>_xlfn.XLOOKUP(85855,Trip[shape_id],Trip[shape_id],"Não encontrado")</f>
        <v/>
      </c>
      <c r="B24517" s="43" t="n">
        <v>-23.527528</v>
      </c>
      <c r="C24517" s="43" t="n">
        <v>-46.605134</v>
      </c>
      <c r="D24517" s="43" t="n">
        <v>573</v>
      </c>
      <c r="E24517" s="44" t="n">
        <v>21828.43</v>
      </c>
    </row>
    <row r="24518">
      <c r="A24518" s="39">
        <f>_xlfn.XLOOKUP(85855,Trip[shape_id],Trip[shape_id],"Não encontrado")</f>
        <v/>
      </c>
      <c r="B24518" s="40" t="n">
        <v>-23.527586</v>
      </c>
      <c r="C24518" s="40" t="n">
        <v>-46.605075</v>
      </c>
      <c r="D24518" s="40" t="n">
        <v>574</v>
      </c>
      <c r="E24518" s="41" t="n">
        <v>21837.236</v>
      </c>
    </row>
    <row r="24519">
      <c r="A24519" s="42">
        <f>_xlfn.XLOOKUP(85855,Trip[shape_id],Trip[shape_id],"Não encontrado")</f>
        <v/>
      </c>
      <c r="B24519" s="43" t="n">
        <v>-23.52781</v>
      </c>
      <c r="C24519" s="43" t="n">
        <v>-46.604833</v>
      </c>
      <c r="D24519" s="43" t="n">
        <v>575</v>
      </c>
      <c r="E24519" s="44" t="n">
        <v>21872.254</v>
      </c>
    </row>
    <row r="24520">
      <c r="A24520" s="39">
        <f>_xlfn.XLOOKUP(85855,Trip[shape_id],Trip[shape_id],"Não encontrado")</f>
        <v/>
      </c>
      <c r="B24520" s="40" t="n">
        <v>-23.5279</v>
      </c>
      <c r="C24520" s="40" t="n">
        <v>-46.604736</v>
      </c>
      <c r="D24520" s="40" t="n">
        <v>576</v>
      </c>
      <c r="E24520" s="41" t="n">
        <v>21886.307</v>
      </c>
    </row>
    <row r="24521">
      <c r="A24521" s="42">
        <f>_xlfn.XLOOKUP(85855,Trip[shape_id],Trip[shape_id],"Não encontrado")</f>
        <v/>
      </c>
      <c r="B24521" s="43" t="n">
        <v>-23.528233</v>
      </c>
      <c r="C24521" s="43" t="n">
        <v>-46.60438</v>
      </c>
      <c r="D24521" s="43" t="n">
        <v>577</v>
      </c>
      <c r="E24521" s="44" t="n">
        <v>21938.094</v>
      </c>
    </row>
    <row r="24522">
      <c r="A24522" s="39">
        <f>_xlfn.XLOOKUP(85855,Trip[shape_id],Trip[shape_id],"Não encontrado")</f>
        <v/>
      </c>
      <c r="B24522" s="40" t="n">
        <v>-23.529429</v>
      </c>
      <c r="C24522" s="40" t="n">
        <v>-46.603094</v>
      </c>
      <c r="D24522" s="40" t="n">
        <v>578</v>
      </c>
      <c r="E24522" s="41" t="n">
        <v>22124.619</v>
      </c>
    </row>
    <row r="24523">
      <c r="A24523" s="42">
        <f>_xlfn.XLOOKUP(85855,Trip[shape_id],Trip[shape_id],"Não encontrado")</f>
        <v/>
      </c>
      <c r="B24523" s="43" t="n">
        <v>-23.529528</v>
      </c>
      <c r="C24523" s="43" t="n">
        <v>-46.603054</v>
      </c>
      <c r="D24523" s="43" t="n">
        <v>579</v>
      </c>
      <c r="E24523" s="44" t="n">
        <v>22136.32</v>
      </c>
    </row>
    <row r="24524">
      <c r="A24524" s="39">
        <f>_xlfn.XLOOKUP(85855,Trip[shape_id],Trip[shape_id],"Não encontrado")</f>
        <v/>
      </c>
      <c r="B24524" s="40" t="n">
        <v>-23.529691</v>
      </c>
      <c r="C24524" s="40" t="n">
        <v>-46.60303</v>
      </c>
      <c r="D24524" s="40" t="n">
        <v>580</v>
      </c>
      <c r="E24524" s="41" t="n">
        <v>22154.539</v>
      </c>
    </row>
    <row r="24525">
      <c r="A24525" s="42">
        <f>_xlfn.XLOOKUP(85855,Trip[shape_id],Trip[shape_id],"Não encontrado")</f>
        <v/>
      </c>
      <c r="B24525" s="43" t="n">
        <v>-23.530659</v>
      </c>
      <c r="C24525" s="43" t="n">
        <v>-46.602937</v>
      </c>
      <c r="D24525" s="43" t="n">
        <v>581</v>
      </c>
      <c r="E24525" s="44" t="n">
        <v>22262.166</v>
      </c>
    </row>
    <row r="24526">
      <c r="A24526" s="39">
        <f>_xlfn.XLOOKUP(85855,Trip[shape_id],Trip[shape_id],"Não encontrado")</f>
        <v/>
      </c>
      <c r="B24526" s="40" t="n">
        <v>-23.530681</v>
      </c>
      <c r="C24526" s="40" t="n">
        <v>-46.60223</v>
      </c>
      <c r="D24526" s="40" t="n">
        <v>582</v>
      </c>
      <c r="E24526" s="41" t="n">
        <v>22344.932</v>
      </c>
    </row>
    <row r="24527">
      <c r="A24527" s="42">
        <f>_xlfn.XLOOKUP(85855,Trip[shape_id],Trip[shape_id],"Não encontrado")</f>
        <v/>
      </c>
      <c r="B24527" s="43" t="n">
        <v>-23.530677</v>
      </c>
      <c r="C24527" s="43" t="n">
        <v>-46.602127</v>
      </c>
      <c r="D24527" s="43" t="n">
        <v>583</v>
      </c>
      <c r="E24527" s="44" t="n">
        <v>22344.932</v>
      </c>
    </row>
    <row r="24528">
      <c r="A24528" s="39">
        <f>_xlfn.XLOOKUP(85855,Trip[shape_id],Trip[shape_id],"Não encontrado")</f>
        <v/>
      </c>
      <c r="B24528" s="40" t="n">
        <v>-23.530861</v>
      </c>
      <c r="C24528" s="40" t="n">
        <v>-46.602105</v>
      </c>
      <c r="D24528" s="40" t="n">
        <v>584</v>
      </c>
      <c r="E24528" s="41" t="n">
        <v>22365.434</v>
      </c>
    </row>
    <row r="24529">
      <c r="A24529" s="42">
        <f>_xlfn.XLOOKUP(85855,Trip[shape_id],Trip[shape_id],"Não encontrado")</f>
        <v/>
      </c>
      <c r="B24529" s="43" t="n">
        <v>-23.530822</v>
      </c>
      <c r="C24529" s="43" t="n">
        <v>-46.601949</v>
      </c>
      <c r="D24529" s="43" t="n">
        <v>585</v>
      </c>
      <c r="E24529" s="44" t="n">
        <v>22463.969</v>
      </c>
    </row>
    <row r="24530">
      <c r="A24530" s="39">
        <f>_xlfn.XLOOKUP(85855,Trip[shape_id],Trip[shape_id],"Não encontrado")</f>
        <v/>
      </c>
      <c r="B24530" s="40" t="n">
        <v>-23.530693</v>
      </c>
      <c r="C24530" s="40" t="n">
        <v>-46.601158</v>
      </c>
      <c r="D24530" s="40" t="n">
        <v>586</v>
      </c>
      <c r="E24530" s="41" t="n">
        <v>22495.441</v>
      </c>
    </row>
    <row r="24531">
      <c r="A24531" s="42">
        <f>_xlfn.XLOOKUP(85855,Trip[shape_id],Trip[shape_id],"Não encontrado")</f>
        <v/>
      </c>
      <c r="B24531" s="43" t="n">
        <v>-23.530641</v>
      </c>
      <c r="C24531" s="43" t="n">
        <v>-46.600855</v>
      </c>
      <c r="D24531" s="43" t="n">
        <v>587</v>
      </c>
      <c r="E24531" s="44" t="n">
        <v>22529.402</v>
      </c>
    </row>
    <row r="24532">
      <c r="A24532" s="39">
        <f>_xlfn.XLOOKUP(85855,Trip[shape_id],Trip[shape_id],"Não encontrado")</f>
        <v/>
      </c>
      <c r="B24532" s="40" t="n">
        <v>-23.530603</v>
      </c>
      <c r="C24532" s="40" t="n">
        <v>-46.600525</v>
      </c>
      <c r="D24532" s="40" t="n">
        <v>588</v>
      </c>
      <c r="E24532" s="41" t="n">
        <v>22541.604</v>
      </c>
    </row>
    <row r="24533">
      <c r="A24533" s="42">
        <f>_xlfn.XLOOKUP(85855,Trip[shape_id],Trip[shape_id],"Não encontrado")</f>
        <v/>
      </c>
      <c r="B24533" s="43" t="n">
        <v>-23.530593</v>
      </c>
      <c r="C24533" s="43" t="n">
        <v>-46.600406</v>
      </c>
      <c r="D24533" s="43" t="n">
        <v>589</v>
      </c>
      <c r="E24533" s="44" t="n">
        <v>22541.604</v>
      </c>
    </row>
    <row r="24534">
      <c r="A24534" s="39">
        <f>_xlfn.XLOOKUP(85855,Trip[shape_id],Trip[shape_id],"Não encontrado")</f>
        <v/>
      </c>
      <c r="B24534" s="40" t="n">
        <v>-23.530593</v>
      </c>
      <c r="C24534" s="40" t="n">
        <v>-46.600281</v>
      </c>
      <c r="D24534" s="40" t="n">
        <v>590</v>
      </c>
      <c r="E24534" s="41" t="n">
        <v>22576.633</v>
      </c>
    </row>
    <row r="24535">
      <c r="A24535" s="42">
        <f>_xlfn.XLOOKUP(85855,Trip[shape_id],Trip[shape_id],"Não encontrado")</f>
        <v/>
      </c>
      <c r="B24535" s="43" t="n">
        <v>-23.530597</v>
      </c>
      <c r="C24535" s="43" t="n">
        <v>-46.600063</v>
      </c>
      <c r="D24535" s="43" t="n">
        <v>591</v>
      </c>
      <c r="E24535" s="44" t="n">
        <v>22602.164</v>
      </c>
    </row>
    <row r="24536">
      <c r="A24536" s="39">
        <f>_xlfn.XLOOKUP(85855,Trip[shape_id],Trip[shape_id],"Não encontrado")</f>
        <v/>
      </c>
      <c r="B24536" s="40" t="n">
        <v>-23.5306</v>
      </c>
      <c r="C24536" s="40" t="n">
        <v>-46.599813</v>
      </c>
      <c r="D24536" s="40" t="n">
        <v>592</v>
      </c>
      <c r="E24536" s="41" t="n">
        <v>22629.129</v>
      </c>
    </row>
    <row r="24537">
      <c r="A24537" s="42">
        <f>_xlfn.XLOOKUP(85855,Trip[shape_id],Trip[shape_id],"Não encontrado")</f>
        <v/>
      </c>
      <c r="B24537" s="43" t="n">
        <v>-23.530605</v>
      </c>
      <c r="C24537" s="43" t="n">
        <v>-46.599549</v>
      </c>
      <c r="D24537" s="43" t="n">
        <v>593</v>
      </c>
      <c r="E24537" s="44" t="n">
        <v>22645.576</v>
      </c>
    </row>
    <row r="24538">
      <c r="A24538" s="39">
        <f>_xlfn.XLOOKUP(85855,Trip[shape_id],Trip[shape_id],"Não encontrado")</f>
        <v/>
      </c>
      <c r="B24538" s="40" t="n">
        <v>-23.530588</v>
      </c>
      <c r="C24538" s="40" t="n">
        <v>-46.599389</v>
      </c>
      <c r="D24538" s="40" t="n">
        <v>594</v>
      </c>
      <c r="E24538" s="41" t="n">
        <v>22661.537</v>
      </c>
    </row>
    <row r="24539">
      <c r="A24539" s="42">
        <f>_xlfn.XLOOKUP(85855,Trip[shape_id],Trip[shape_id],"Não encontrado")</f>
        <v/>
      </c>
      <c r="B24539" s="43" t="n">
        <v>-23.530508</v>
      </c>
      <c r="C24539" s="43" t="n">
        <v>-46.599259</v>
      </c>
      <c r="D24539" s="43" t="n">
        <v>595</v>
      </c>
      <c r="E24539" s="44" t="n">
        <v>22661.537</v>
      </c>
    </row>
    <row r="24540">
      <c r="A24540" s="39">
        <f>_xlfn.XLOOKUP(85855,Trip[shape_id],Trip[shape_id],"Não encontrado")</f>
        <v/>
      </c>
      <c r="B24540" s="40" t="n">
        <v>-23.529985</v>
      </c>
      <c r="C24540" s="40" t="n">
        <v>-46.598802</v>
      </c>
      <c r="D24540" s="40" t="n">
        <v>596</v>
      </c>
      <c r="E24540" s="41" t="n">
        <v>22812.648</v>
      </c>
    </row>
    <row r="24541">
      <c r="A24541" s="42">
        <f>_xlfn.XLOOKUP(85855,Trip[shape_id],Trip[shape_id],"Não encontrado")</f>
        <v/>
      </c>
      <c r="B24541" s="43" t="n">
        <v>-23.529433</v>
      </c>
      <c r="C24541" s="43" t="n">
        <v>-46.598348</v>
      </c>
      <c r="D24541" s="43" t="n">
        <v>597</v>
      </c>
      <c r="E24541" s="44" t="n">
        <v>22812.648</v>
      </c>
    </row>
    <row r="24542">
      <c r="A24542" s="39">
        <f>_xlfn.XLOOKUP(85855,Trip[shape_id],Trip[shape_id],"Não encontrado")</f>
        <v/>
      </c>
      <c r="B24542" s="40" t="n">
        <v>-23.529163</v>
      </c>
      <c r="C24542" s="40" t="n">
        <v>-46.598142</v>
      </c>
      <c r="D24542" s="40" t="n">
        <v>598</v>
      </c>
      <c r="E24542" s="41" t="n">
        <v>22897.693</v>
      </c>
    </row>
    <row r="24543">
      <c r="A24543" s="42">
        <f>_xlfn.XLOOKUP(85855,Trip[shape_id],Trip[shape_id],"Não encontrado")</f>
        <v/>
      </c>
      <c r="B24543" s="43" t="n">
        <v>-23.528801</v>
      </c>
      <c r="C24543" s="43" t="n">
        <v>-46.597875</v>
      </c>
      <c r="D24543" s="43" t="n">
        <v>599</v>
      </c>
      <c r="E24543" s="44" t="n">
        <v>22897.693</v>
      </c>
    </row>
    <row r="24544">
      <c r="A24544" s="39">
        <f>_xlfn.XLOOKUP(85855,Trip[shape_id],Trip[shape_id],"Não encontrado")</f>
        <v/>
      </c>
      <c r="B24544" s="40" t="n">
        <v>-23.528639</v>
      </c>
      <c r="C24544" s="40" t="n">
        <v>-46.597752</v>
      </c>
      <c r="D24544" s="40" t="n">
        <v>600</v>
      </c>
      <c r="E24544" s="41" t="n">
        <v>22919.594</v>
      </c>
    </row>
    <row r="24545">
      <c r="A24545" s="42">
        <f>_xlfn.XLOOKUP(85855,Trip[shape_id],Trip[shape_id],"Não encontrado")</f>
        <v/>
      </c>
      <c r="B24545" s="43" t="n">
        <v>-23.528455</v>
      </c>
      <c r="C24545" s="43" t="n">
        <v>-46.597618</v>
      </c>
      <c r="D24545" s="43" t="n">
        <v>601</v>
      </c>
      <c r="E24545" s="44" t="n">
        <v>22944.141</v>
      </c>
    </row>
    <row r="24546">
      <c r="A24546" s="39">
        <f>_xlfn.XLOOKUP(85855,Trip[shape_id],Trip[shape_id],"Não encontrado")</f>
        <v/>
      </c>
      <c r="B24546" s="40" t="n">
        <v>-23.527959</v>
      </c>
      <c r="C24546" s="40" t="n">
        <v>-46.597229</v>
      </c>
      <c r="D24546" s="40" t="n">
        <v>602</v>
      </c>
      <c r="E24546" s="41" t="n">
        <v>23031.947</v>
      </c>
    </row>
    <row r="24547">
      <c r="A24547" s="42">
        <f>_xlfn.XLOOKUP(85855,Trip[shape_id],Trip[shape_id],"Não encontrado")</f>
        <v/>
      </c>
      <c r="B24547" s="43" t="n">
        <v>-23.527812</v>
      </c>
      <c r="C24547" s="43" t="n">
        <v>-46.597115</v>
      </c>
      <c r="D24547" s="43" t="n">
        <v>603</v>
      </c>
      <c r="E24547" s="44" t="n">
        <v>23031.947</v>
      </c>
    </row>
    <row r="24548">
      <c r="A24548" s="39">
        <f>_xlfn.XLOOKUP(85855,Trip[shape_id],Trip[shape_id],"Não encontrado")</f>
        <v/>
      </c>
      <c r="B24548" s="40" t="n">
        <v>-23.527392</v>
      </c>
      <c r="C24548" s="40" t="n">
        <v>-46.596787</v>
      </c>
      <c r="D24548" s="40" t="n">
        <v>604</v>
      </c>
      <c r="E24548" s="41" t="n">
        <v>23177.344</v>
      </c>
    </row>
    <row r="24549">
      <c r="A24549" s="42">
        <f>_xlfn.XLOOKUP(85855,Trip[shape_id],Trip[shape_id],"Não encontrado")</f>
        <v/>
      </c>
      <c r="B24549" s="43" t="n">
        <v>-23.526746</v>
      </c>
      <c r="C24549" s="43" t="n">
        <v>-46.596284</v>
      </c>
      <c r="D24549" s="43" t="n">
        <v>605</v>
      </c>
      <c r="E24549" s="44" t="n">
        <v>23248.953</v>
      </c>
    </row>
    <row r="24550">
      <c r="A24550" s="39">
        <f>_xlfn.XLOOKUP(85855,Trip[shape_id],Trip[shape_id],"Não encontrado")</f>
        <v/>
      </c>
      <c r="B24550" s="40" t="n">
        <v>-23.526231</v>
      </c>
      <c r="C24550" s="40" t="n">
        <v>-46.59586</v>
      </c>
      <c r="D24550" s="40" t="n">
        <v>606</v>
      </c>
      <c r="E24550" s="41" t="n">
        <v>23248.953</v>
      </c>
    </row>
    <row r="24551">
      <c r="A24551" s="42">
        <f>_xlfn.XLOOKUP(85855,Trip[shape_id],Trip[shape_id],"Não encontrado")</f>
        <v/>
      </c>
      <c r="B24551" s="43" t="n">
        <v>-23.526187</v>
      </c>
      <c r="C24551" s="43" t="n">
        <v>-46.595783</v>
      </c>
      <c r="D24551" s="43" t="n">
        <v>607</v>
      </c>
      <c r="E24551" s="44" t="n">
        <v>23258.203</v>
      </c>
    </row>
    <row r="24552">
      <c r="A24552" s="39">
        <f>_xlfn.XLOOKUP(85855,Trip[shape_id],Trip[shape_id],"Não encontrado")</f>
        <v/>
      </c>
      <c r="B24552" s="40" t="n">
        <v>-23.525285</v>
      </c>
      <c r="C24552" s="40" t="n">
        <v>-46.595069</v>
      </c>
      <c r="D24552" s="40" t="n">
        <v>608</v>
      </c>
      <c r="E24552" s="41" t="n">
        <v>23381.881</v>
      </c>
    </row>
    <row r="24553">
      <c r="A24553" s="42">
        <f>_xlfn.XLOOKUP(85855,Trip[shape_id],Trip[shape_id],"Não encontrado")</f>
        <v/>
      </c>
      <c r="B24553" s="43" t="n">
        <v>-23.52459</v>
      </c>
      <c r="C24553" s="43" t="n">
        <v>-46.594506</v>
      </c>
      <c r="D24553" s="43" t="n">
        <v>609</v>
      </c>
      <c r="E24553" s="44" t="n">
        <v>23525.762</v>
      </c>
    </row>
    <row r="24554">
      <c r="A24554" s="39">
        <f>_xlfn.XLOOKUP(85855,Trip[shape_id],Trip[shape_id],"Não encontrado")</f>
        <v/>
      </c>
      <c r="B24554" s="40" t="n">
        <v>-23.52424</v>
      </c>
      <c r="C24554" s="40" t="n">
        <v>-46.594232</v>
      </c>
      <c r="D24554" s="40" t="n">
        <v>610</v>
      </c>
      <c r="E24554" s="41" t="n">
        <v>23599.09</v>
      </c>
    </row>
    <row r="24555">
      <c r="A24555" s="42">
        <f>_xlfn.XLOOKUP(85855,Trip[shape_id],Trip[shape_id],"Não encontrado")</f>
        <v/>
      </c>
      <c r="B24555" s="43" t="n">
        <v>-23.523701</v>
      </c>
      <c r="C24555" s="43" t="n">
        <v>-46.593815</v>
      </c>
      <c r="D24555" s="43" t="n">
        <v>611</v>
      </c>
      <c r="E24555" s="44" t="n">
        <v>23599.09</v>
      </c>
    </row>
    <row r="24556">
      <c r="A24556" s="39">
        <f>_xlfn.XLOOKUP(85855,Trip[shape_id],Trip[shape_id],"Não encontrado")</f>
        <v/>
      </c>
      <c r="B24556" s="40" t="n">
        <v>-23.522471</v>
      </c>
      <c r="C24556" s="40" t="n">
        <v>-46.592852</v>
      </c>
      <c r="D24556" s="40" t="n">
        <v>612</v>
      </c>
      <c r="E24556" s="41" t="n">
        <v>23767.104</v>
      </c>
    </row>
    <row r="24557">
      <c r="A24557" s="42">
        <f>_xlfn.XLOOKUP(85855,Trip[shape_id],Trip[shape_id],"Não encontrado")</f>
        <v/>
      </c>
      <c r="B24557" s="43" t="n">
        <v>-23.521249</v>
      </c>
      <c r="C24557" s="43" t="n">
        <v>-46.591893</v>
      </c>
      <c r="D24557" s="43" t="n">
        <v>613</v>
      </c>
      <c r="E24557" s="44" t="n">
        <v>23934.16</v>
      </c>
    </row>
    <row r="24558">
      <c r="A24558" s="39">
        <f>_xlfn.XLOOKUP(85855,Trip[shape_id],Trip[shape_id],"Não encontrado")</f>
        <v/>
      </c>
      <c r="B24558" s="40" t="n">
        <v>-23.520738</v>
      </c>
      <c r="C24558" s="40" t="n">
        <v>-46.591499</v>
      </c>
      <c r="D24558" s="40" t="n">
        <v>614</v>
      </c>
      <c r="E24558" s="41" t="n">
        <v>24099.814</v>
      </c>
    </row>
    <row r="24559">
      <c r="A24559" s="42">
        <f>_xlfn.XLOOKUP(85855,Trip[shape_id],Trip[shape_id],"Não encontrado")</f>
        <v/>
      </c>
      <c r="B24559" s="43" t="n">
        <v>-23.520032</v>
      </c>
      <c r="C24559" s="43" t="n">
        <v>-46.59095</v>
      </c>
      <c r="D24559" s="43" t="n">
        <v>615</v>
      </c>
      <c r="E24559" s="44" t="n">
        <v>24099.814</v>
      </c>
    </row>
    <row r="24560">
      <c r="A24560" s="39">
        <f>_xlfn.XLOOKUP(85855,Trip[shape_id],Trip[shape_id],"Não encontrado")</f>
        <v/>
      </c>
      <c r="B24560" s="40" t="n">
        <v>-23.519479</v>
      </c>
      <c r="C24560" s="40" t="n">
        <v>-46.590507</v>
      </c>
      <c r="D24560" s="40" t="n">
        <v>616</v>
      </c>
      <c r="E24560" s="41" t="n">
        <v>24268.078</v>
      </c>
    </row>
    <row r="24561">
      <c r="A24561" s="42">
        <f>_xlfn.XLOOKUP(85855,Trip[shape_id],Trip[shape_id],"Não encontrado")</f>
        <v/>
      </c>
      <c r="B24561" s="43" t="n">
        <v>-23.5188</v>
      </c>
      <c r="C24561" s="43" t="n">
        <v>-46.589986</v>
      </c>
      <c r="D24561" s="43" t="n">
        <v>617</v>
      </c>
      <c r="E24561" s="44" t="n">
        <v>24268.078</v>
      </c>
    </row>
    <row r="24562">
      <c r="A24562" s="39">
        <f>_xlfn.XLOOKUP(85855,Trip[shape_id],Trip[shape_id],"Não encontrado")</f>
        <v/>
      </c>
      <c r="B24562" s="40" t="n">
        <v>-23.518642</v>
      </c>
      <c r="C24562" s="40" t="n">
        <v>-46.589855</v>
      </c>
      <c r="D24562" s="40" t="n">
        <v>618</v>
      </c>
      <c r="E24562" s="41" t="n">
        <v>24435.115</v>
      </c>
    </row>
    <row r="24563">
      <c r="A24563" s="42">
        <f>_xlfn.XLOOKUP(85855,Trip[shape_id],Trip[shape_id],"Não encontrado")</f>
        <v/>
      </c>
      <c r="B24563" s="43" t="n">
        <v>-23.517581</v>
      </c>
      <c r="C24563" s="43" t="n">
        <v>-46.589023</v>
      </c>
      <c r="D24563" s="43" t="n">
        <v>619</v>
      </c>
      <c r="E24563" s="44" t="n">
        <v>24435.115</v>
      </c>
    </row>
    <row r="24564">
      <c r="A24564" s="39">
        <f>_xlfn.XLOOKUP(85855,Trip[shape_id],Trip[shape_id],"Não encontrado")</f>
        <v/>
      </c>
      <c r="B24564" s="40" t="n">
        <v>-23.517552</v>
      </c>
      <c r="C24564" s="40" t="n">
        <v>-46.588994</v>
      </c>
      <c r="D24564" s="40" t="n">
        <v>620</v>
      </c>
      <c r="E24564" s="41" t="n">
        <v>24600.111</v>
      </c>
    </row>
    <row r="24565">
      <c r="A24565" s="42">
        <f>_xlfn.XLOOKUP(85855,Trip[shape_id],Trip[shape_id],"Não encontrado")</f>
        <v/>
      </c>
      <c r="B24565" s="43" t="n">
        <v>-23.516379</v>
      </c>
      <c r="C24565" s="43" t="n">
        <v>-46.588069</v>
      </c>
      <c r="D24565" s="43" t="n">
        <v>621</v>
      </c>
      <c r="E24565" s="44" t="n">
        <v>24600.111</v>
      </c>
    </row>
    <row r="24566">
      <c r="A24566" s="39">
        <f>_xlfn.XLOOKUP(85855,Trip[shape_id],Trip[shape_id],"Não encontrado")</f>
        <v/>
      </c>
      <c r="B24566" s="40" t="n">
        <v>-23.515923</v>
      </c>
      <c r="C24566" s="40" t="n">
        <v>-46.587717</v>
      </c>
      <c r="D24566" s="40" t="n">
        <v>622</v>
      </c>
      <c r="E24566" s="41" t="n">
        <v>24714.547</v>
      </c>
    </row>
    <row r="24567">
      <c r="A24567" s="42">
        <f>_xlfn.XLOOKUP(85855,Trip[shape_id],Trip[shape_id],"Não encontrado")</f>
        <v/>
      </c>
      <c r="B24567" s="43" t="n">
        <v>-23.515538</v>
      </c>
      <c r="C24567" s="43" t="n">
        <v>-46.587418</v>
      </c>
      <c r="D24567" s="43" t="n">
        <v>623</v>
      </c>
      <c r="E24567" s="44" t="n">
        <v>24714.547</v>
      </c>
    </row>
    <row r="24568">
      <c r="A24568" s="39">
        <f>_xlfn.XLOOKUP(85855,Trip[shape_id],Trip[shape_id],"Não encontrado")</f>
        <v/>
      </c>
      <c r="B24568" s="40" t="n">
        <v>-23.515141</v>
      </c>
      <c r="C24568" s="40" t="n">
        <v>-46.587092</v>
      </c>
      <c r="D24568" s="40" t="n">
        <v>624</v>
      </c>
      <c r="E24568" s="41" t="n">
        <v>24769.699</v>
      </c>
    </row>
    <row r="24569">
      <c r="A24569" s="42">
        <f>_xlfn.XLOOKUP(85855,Trip[shape_id],Trip[shape_id],"Não encontrado")</f>
        <v/>
      </c>
      <c r="B24569" s="43" t="n">
        <v>-23.514765</v>
      </c>
      <c r="C24569" s="43" t="n">
        <v>-46.586793</v>
      </c>
      <c r="D24569" s="43" t="n">
        <v>625</v>
      </c>
      <c r="E24569" s="44" t="n">
        <v>24821.338</v>
      </c>
    </row>
    <row r="24570">
      <c r="A24570" s="39">
        <f>_xlfn.XLOOKUP(85855,Trip[shape_id],Trip[shape_id],"Não encontrado")</f>
        <v/>
      </c>
      <c r="B24570" s="40" t="n">
        <v>-23.513915</v>
      </c>
      <c r="C24570" s="40" t="n">
        <v>-46.586142</v>
      </c>
      <c r="D24570" s="40" t="n">
        <v>626</v>
      </c>
      <c r="E24570" s="41" t="n">
        <v>24936.588</v>
      </c>
    </row>
    <row r="24571">
      <c r="A24571" s="42">
        <f>_xlfn.XLOOKUP(85855,Trip[shape_id],Trip[shape_id],"Não encontrado")</f>
        <v/>
      </c>
      <c r="B24571" s="43" t="n">
        <v>-23.51328</v>
      </c>
      <c r="C24571" s="43" t="n">
        <v>-46.585639</v>
      </c>
      <c r="D24571" s="43" t="n">
        <v>627</v>
      </c>
      <c r="E24571" s="44" t="n">
        <v>25103.504</v>
      </c>
    </row>
    <row r="24572">
      <c r="A24572" s="39">
        <f>_xlfn.XLOOKUP(85855,Trip[shape_id],Trip[shape_id],"Não encontrado")</f>
        <v/>
      </c>
      <c r="B24572" s="40" t="n">
        <v>-23.5127</v>
      </c>
      <c r="C24572" s="40" t="n">
        <v>-46.585175</v>
      </c>
      <c r="D24572" s="40" t="n">
        <v>628</v>
      </c>
      <c r="E24572" s="41" t="n">
        <v>25103.504</v>
      </c>
    </row>
    <row r="24573">
      <c r="A24573" s="42">
        <f>_xlfn.XLOOKUP(85855,Trip[shape_id],Trip[shape_id],"Não encontrado")</f>
        <v/>
      </c>
      <c r="B24573" s="43" t="n">
        <v>-23.513283</v>
      </c>
      <c r="C24573" s="43" t="n">
        <v>-46.584289</v>
      </c>
      <c r="D24573" s="43" t="n">
        <v>629</v>
      </c>
      <c r="E24573" s="44" t="n">
        <v>25214.666</v>
      </c>
    </row>
    <row r="24574">
      <c r="A24574" s="39">
        <f>_xlfn.XLOOKUP(85855,Trip[shape_id],Trip[shape_id],"Não encontrado")</f>
        <v/>
      </c>
      <c r="B24574" s="40" t="n">
        <v>-23.51341</v>
      </c>
      <c r="C24574" s="40" t="n">
        <v>-46.584088</v>
      </c>
      <c r="D24574" s="40" t="n">
        <v>630</v>
      </c>
      <c r="E24574" s="41" t="n">
        <v>25239.551</v>
      </c>
    </row>
    <row r="24575">
      <c r="A24575" s="42">
        <f>_xlfn.XLOOKUP(85855,Trip[shape_id],Trip[shape_id],"Não encontrado")</f>
        <v/>
      </c>
      <c r="B24575" s="43" t="n">
        <v>-23.513746</v>
      </c>
      <c r="C24575" s="43" t="n">
        <v>-46.583589</v>
      </c>
      <c r="D24575" s="43" t="n">
        <v>631</v>
      </c>
      <c r="E24575" s="44" t="n">
        <v>25328.926</v>
      </c>
    </row>
    <row r="24576">
      <c r="A24576" s="39">
        <f>_xlfn.XLOOKUP(85855,Trip[shape_id],Trip[shape_id],"Não encontrado")</f>
        <v/>
      </c>
      <c r="B24576" s="40" t="n">
        <v>-23.513883</v>
      </c>
      <c r="C24576" s="40" t="n">
        <v>-46.583379</v>
      </c>
      <c r="D24576" s="40" t="n">
        <v>632</v>
      </c>
      <c r="E24576" s="41" t="n">
        <v>25328.926</v>
      </c>
    </row>
    <row r="24577">
      <c r="A24577" s="42">
        <f>_xlfn.XLOOKUP(85855,Trip[shape_id],Trip[shape_id],"Não encontrado")</f>
        <v/>
      </c>
      <c r="B24577" s="43" t="n">
        <v>-23.514519</v>
      </c>
      <c r="C24577" s="43" t="n">
        <v>-46.582457</v>
      </c>
      <c r="D24577" s="43" t="n">
        <v>633</v>
      </c>
      <c r="E24577" s="44" t="n">
        <v>25446.52</v>
      </c>
    </row>
    <row r="24578">
      <c r="A24578" s="39">
        <f>_xlfn.XLOOKUP(85855,Trip[shape_id],Trip[shape_id],"Não encontrado")</f>
        <v/>
      </c>
      <c r="B24578" s="40" t="n">
        <v>-23.514534</v>
      </c>
      <c r="C24578" s="40" t="n">
        <v>-46.582172</v>
      </c>
      <c r="D24578" s="40" t="n">
        <v>634</v>
      </c>
      <c r="E24578" s="41" t="n">
        <v>25485.779</v>
      </c>
    </row>
    <row r="24579">
      <c r="A24579" s="42">
        <f>_xlfn.XLOOKUP(85855,Trip[shape_id],Trip[shape_id],"Não encontrado")</f>
        <v/>
      </c>
      <c r="B24579" s="43" t="n">
        <v>-23.514516</v>
      </c>
      <c r="C24579" s="43" t="n">
        <v>-46.582075</v>
      </c>
      <c r="D24579" s="43" t="n">
        <v>635</v>
      </c>
      <c r="E24579" s="44" t="n">
        <v>25498.771</v>
      </c>
    </row>
    <row r="24580">
      <c r="A24580" s="39">
        <f>_xlfn.XLOOKUP(85855,Trip[shape_id],Trip[shape_id],"Não encontrado")</f>
        <v/>
      </c>
      <c r="B24580" s="40" t="n">
        <v>-23.514454</v>
      </c>
      <c r="C24580" s="40" t="n">
        <v>-46.581967</v>
      </c>
      <c r="D24580" s="40" t="n">
        <v>636</v>
      </c>
      <c r="E24580" s="41" t="n">
        <v>25498.771</v>
      </c>
    </row>
    <row r="24581">
      <c r="A24581" s="42">
        <f>_xlfn.XLOOKUP(85855,Trip[shape_id],Trip[shape_id],"Não encontrado")</f>
        <v/>
      </c>
      <c r="B24581" s="43" t="n">
        <v>-23.514412</v>
      </c>
      <c r="C24581" s="43" t="n">
        <v>-46.581899</v>
      </c>
      <c r="D24581" s="43" t="n">
        <v>637</v>
      </c>
      <c r="E24581" s="44" t="n">
        <v>25527.938</v>
      </c>
    </row>
    <row r="24582">
      <c r="A24582" s="39">
        <f>_xlfn.XLOOKUP(85855,Trip[shape_id],Trip[shape_id],"Não encontrado")</f>
        <v/>
      </c>
      <c r="B24582" s="40" t="n">
        <v>-23.514289</v>
      </c>
      <c r="C24582" s="40" t="n">
        <v>-46.581745</v>
      </c>
      <c r="D24582" s="40" t="n">
        <v>638</v>
      </c>
      <c r="E24582" s="41" t="n">
        <v>25543.129</v>
      </c>
    </row>
    <row r="24583">
      <c r="A24583" s="42">
        <f>_xlfn.XLOOKUP(85855,Trip[shape_id],Trip[shape_id],"Não encontrado")</f>
        <v/>
      </c>
      <c r="B24583" s="43" t="n">
        <v>-23.514167</v>
      </c>
      <c r="C24583" s="43" t="n">
        <v>-46.581677</v>
      </c>
      <c r="D24583" s="43" t="n">
        <v>639</v>
      </c>
      <c r="E24583" s="44" t="n">
        <v>25576.662</v>
      </c>
    </row>
    <row r="24584">
      <c r="A24584" s="39">
        <f>_xlfn.XLOOKUP(85855,Trip[shape_id],Trip[shape_id],"Não encontrado")</f>
        <v/>
      </c>
      <c r="B24584" s="40" t="n">
        <v>-23.513891</v>
      </c>
      <c r="C24584" s="40" t="n">
        <v>-46.581542</v>
      </c>
      <c r="D24584" s="40" t="n">
        <v>640</v>
      </c>
      <c r="E24584" s="41" t="n">
        <v>25609.68</v>
      </c>
    </row>
    <row r="24585">
      <c r="A24585" s="42">
        <f>_xlfn.XLOOKUP(85855,Trip[shape_id],Trip[shape_id],"Não encontrado")</f>
        <v/>
      </c>
      <c r="B24585" s="43" t="n">
        <v>-23.513633</v>
      </c>
      <c r="C24585" s="43" t="n">
        <v>-46.58138</v>
      </c>
      <c r="D24585" s="43" t="n">
        <v>641</v>
      </c>
      <c r="E24585" s="44" t="n">
        <v>25621.777</v>
      </c>
    </row>
    <row r="24586">
      <c r="A24586" s="39">
        <f>_xlfn.XLOOKUP(85855,Trip[shape_id],Trip[shape_id],"Não encontrado")</f>
        <v/>
      </c>
      <c r="B24586" s="40" t="n">
        <v>-23.51355</v>
      </c>
      <c r="C24586" s="40" t="n">
        <v>-46.581303</v>
      </c>
      <c r="D24586" s="40" t="n">
        <v>642</v>
      </c>
      <c r="E24586" s="41" t="n">
        <v>25639.715</v>
      </c>
    </row>
    <row r="24587">
      <c r="A24587" s="42">
        <f>_xlfn.XLOOKUP(85855,Trip[shape_id],Trip[shape_id],"Não encontrado")</f>
        <v/>
      </c>
      <c r="B24587" s="43" t="n">
        <v>-23.513426</v>
      </c>
      <c r="C24587" s="43" t="n">
        <v>-46.58119</v>
      </c>
      <c r="D24587" s="43" t="n">
        <v>643</v>
      </c>
      <c r="E24587" s="44" t="n">
        <v>25678.611</v>
      </c>
    </row>
    <row r="24588">
      <c r="A24588" s="39">
        <f>_xlfn.XLOOKUP(85855,Trip[shape_id],Trip[shape_id],"Não encontrado")</f>
        <v/>
      </c>
      <c r="B24588" s="40" t="n">
        <v>-23.513205</v>
      </c>
      <c r="C24588" s="40" t="n">
        <v>-46.580894</v>
      </c>
      <c r="D24588" s="40" t="n">
        <v>644</v>
      </c>
      <c r="E24588" s="41" t="n">
        <v>25702.217</v>
      </c>
    </row>
    <row r="24589">
      <c r="A24589" s="42">
        <f>_xlfn.XLOOKUP(85855,Trip[shape_id],Trip[shape_id],"Não encontrado")</f>
        <v/>
      </c>
      <c r="B24589" s="43" t="n">
        <v>-23.513081</v>
      </c>
      <c r="C24589" s="43" t="n">
        <v>-46.580706</v>
      </c>
      <c r="D24589" s="43" t="n">
        <v>645</v>
      </c>
      <c r="E24589" s="44" t="n">
        <v>25719.461</v>
      </c>
    </row>
    <row r="24590">
      <c r="A24590" s="39">
        <f>_xlfn.XLOOKUP(85855,Trip[shape_id],Trip[shape_id],"Não encontrado")</f>
        <v/>
      </c>
      <c r="B24590" s="40" t="n">
        <v>-23.51299</v>
      </c>
      <c r="C24590" s="40" t="n">
        <v>-46.580569</v>
      </c>
      <c r="D24590" s="40" t="n">
        <v>646</v>
      </c>
      <c r="E24590" s="41" t="n">
        <v>25719.461</v>
      </c>
    </row>
    <row r="24591">
      <c r="A24591" s="42">
        <f>_xlfn.XLOOKUP(85855,Trip[shape_id],Trip[shape_id],"Não encontrado")</f>
        <v/>
      </c>
      <c r="B24591" s="43" t="n">
        <v>-23.51288</v>
      </c>
      <c r="C24591" s="43" t="n">
        <v>-46.580505</v>
      </c>
      <c r="D24591" s="43" t="n">
        <v>647</v>
      </c>
      <c r="E24591" s="44" t="n">
        <v>25755.141</v>
      </c>
    </row>
    <row r="24592">
      <c r="A24592" s="39">
        <f>_xlfn.XLOOKUP(85855,Trip[shape_id],Trip[shape_id],"Não encontrado")</f>
        <v/>
      </c>
      <c r="B24592" s="40" t="n">
        <v>-23.512692</v>
      </c>
      <c r="C24592" s="40" t="n">
        <v>-46.58044</v>
      </c>
      <c r="D24592" s="40" t="n">
        <v>648</v>
      </c>
      <c r="E24592" s="41" t="n">
        <v>25774.346</v>
      </c>
    </row>
    <row r="24593">
      <c r="A24593" s="42">
        <f>_xlfn.XLOOKUP(85855,Trip[shape_id],Trip[shape_id],"Não encontrado")</f>
        <v/>
      </c>
      <c r="B24593" s="43" t="n">
        <v>-23.512519</v>
      </c>
      <c r="C24593" s="43" t="n">
        <v>-46.580427</v>
      </c>
      <c r="D24593" s="43" t="n">
        <v>649</v>
      </c>
      <c r="E24593" s="44" t="n">
        <v>25792.256</v>
      </c>
    </row>
    <row r="24594">
      <c r="A24594" s="39">
        <f>_xlfn.XLOOKUP(85855,Trip[shape_id],Trip[shape_id],"Não encontrado")</f>
        <v/>
      </c>
      <c r="B24594" s="40" t="n">
        <v>-23.512364</v>
      </c>
      <c r="C24594" s="40" t="n">
        <v>-46.580477</v>
      </c>
      <c r="D24594" s="40" t="n">
        <v>650</v>
      </c>
      <c r="E24594" s="41" t="n">
        <v>25808.168</v>
      </c>
    </row>
    <row r="24595">
      <c r="A24595" s="42">
        <f>_xlfn.XLOOKUP(85855,Trip[shape_id],Trip[shape_id],"Não encontrado")</f>
        <v/>
      </c>
      <c r="B24595" s="43" t="n">
        <v>-23.512243</v>
      </c>
      <c r="C24595" s="43" t="n">
        <v>-46.580561</v>
      </c>
      <c r="D24595" s="43" t="n">
        <v>651</v>
      </c>
      <c r="E24595" s="44" t="n">
        <v>25847.994</v>
      </c>
    </row>
    <row r="24596">
      <c r="A24596" s="39">
        <f>_xlfn.XLOOKUP(85855,Trip[shape_id],Trip[shape_id],"Não encontrado")</f>
        <v/>
      </c>
      <c r="B24596" s="40" t="n">
        <v>-23.511943</v>
      </c>
      <c r="C24596" s="40" t="n">
        <v>-46.580776</v>
      </c>
      <c r="D24596" s="40" t="n">
        <v>652</v>
      </c>
      <c r="E24596" s="41" t="n">
        <v>25865.127</v>
      </c>
    </row>
    <row r="24597">
      <c r="A24597" s="42">
        <f>_xlfn.XLOOKUP(85855,Trip[shape_id],Trip[shape_id],"Não encontrado")</f>
        <v/>
      </c>
      <c r="B24597" s="43" t="n">
        <v>-23.5118</v>
      </c>
      <c r="C24597" s="43" t="n">
        <v>-46.58084</v>
      </c>
      <c r="D24597" s="43" t="n">
        <v>653</v>
      </c>
      <c r="E24597" s="44" t="n">
        <v>25888.416</v>
      </c>
    </row>
    <row r="24598">
      <c r="A24598" s="39">
        <f>_xlfn.XLOOKUP(85855,Trip[shape_id],Trip[shape_id],"Não encontrado")</f>
        <v/>
      </c>
      <c r="B24598" s="40" t="n">
        <v>-23.511606</v>
      </c>
      <c r="C24598" s="40" t="n">
        <v>-46.580928</v>
      </c>
      <c r="D24598" s="40" t="n">
        <v>654</v>
      </c>
      <c r="E24598" s="41" t="n">
        <v>25914.152</v>
      </c>
    </row>
    <row r="24599">
      <c r="A24599" s="42">
        <f>_xlfn.XLOOKUP(85855,Trip[shape_id],Trip[shape_id],"Não encontrado")</f>
        <v/>
      </c>
      <c r="B24599" s="43" t="n">
        <v>-23.511381</v>
      </c>
      <c r="C24599" s="43" t="n">
        <v>-46.580991</v>
      </c>
      <c r="D24599" s="43" t="n">
        <v>655</v>
      </c>
      <c r="E24599" s="44" t="n">
        <v>25914.152</v>
      </c>
    </row>
    <row r="24600">
      <c r="A24600" s="39">
        <f>_xlfn.XLOOKUP(85855,Trip[shape_id],Trip[shape_id],"Não encontrado")</f>
        <v/>
      </c>
      <c r="B24600" s="40" t="n">
        <v>-23.511242</v>
      </c>
      <c r="C24600" s="40" t="n">
        <v>-46.580996</v>
      </c>
      <c r="D24600" s="40" t="n">
        <v>656</v>
      </c>
      <c r="E24600" s="41" t="n">
        <v>25929.555</v>
      </c>
    </row>
    <row r="24601">
      <c r="A24601" s="42">
        <f>_xlfn.XLOOKUP(85855,Trip[shape_id],Trip[shape_id],"Não encontrado")</f>
        <v/>
      </c>
      <c r="B24601" s="43" t="n">
        <v>-23.511046</v>
      </c>
      <c r="C24601" s="43" t="n">
        <v>-46.581</v>
      </c>
      <c r="D24601" s="43" t="n">
        <v>657</v>
      </c>
      <c r="E24601" s="44" t="n">
        <v>25958.133</v>
      </c>
    </row>
    <row r="24602">
      <c r="A24602" s="39">
        <f>_xlfn.XLOOKUP(85855,Trip[shape_id],Trip[shape_id],"Não encontrado")</f>
        <v/>
      </c>
      <c r="B24602" s="40" t="n">
        <v>-23.510984</v>
      </c>
      <c r="C24602" s="40" t="n">
        <v>-46.580999</v>
      </c>
      <c r="D24602" s="40" t="n">
        <v>658</v>
      </c>
      <c r="E24602" s="41" t="n">
        <v>25958.133</v>
      </c>
    </row>
    <row r="24603">
      <c r="A24603" s="42">
        <f>_xlfn.XLOOKUP(85855,Trip[shape_id],Trip[shape_id],"Não encontrado")</f>
        <v/>
      </c>
      <c r="B24603" s="43" t="n">
        <v>-23.510879</v>
      </c>
      <c r="C24603" s="43" t="n">
        <v>-46.580997</v>
      </c>
      <c r="D24603" s="43" t="n">
        <v>659</v>
      </c>
      <c r="E24603" s="44" t="n">
        <v>25977.193</v>
      </c>
    </row>
    <row r="24604">
      <c r="A24604" s="39">
        <f>_xlfn.XLOOKUP(85855,Trip[shape_id],Trip[shape_id],"Não encontrado")</f>
        <v/>
      </c>
      <c r="B24604" s="40" t="n">
        <v>-23.510813</v>
      </c>
      <c r="C24604" s="40" t="n">
        <v>-46.580984</v>
      </c>
      <c r="D24604" s="40" t="n">
        <v>660</v>
      </c>
      <c r="E24604" s="41" t="n">
        <v>25998.561</v>
      </c>
    </row>
    <row r="24605">
      <c r="A24605" s="42">
        <f>_xlfn.XLOOKUP(85855,Trip[shape_id],Trip[shape_id],"Não encontrado")</f>
        <v/>
      </c>
      <c r="B24605" s="43" t="n">
        <v>-23.510624</v>
      </c>
      <c r="C24605" s="43" t="n">
        <v>-46.580942</v>
      </c>
      <c r="D24605" s="43" t="n">
        <v>661</v>
      </c>
      <c r="E24605" s="44" t="n">
        <v>26009.012</v>
      </c>
    </row>
    <row r="24606">
      <c r="A24606" s="39">
        <f>_xlfn.XLOOKUP(85855,Trip[shape_id],Trip[shape_id],"Não encontrado")</f>
        <v/>
      </c>
      <c r="B24606" s="40" t="n">
        <v>-23.510535</v>
      </c>
      <c r="C24606" s="40" t="n">
        <v>-46.580908</v>
      </c>
      <c r="D24606" s="40" t="n">
        <v>662</v>
      </c>
      <c r="E24606" s="41" t="n">
        <v>26026.893</v>
      </c>
    </row>
    <row r="24607">
      <c r="A24607" s="42">
        <f>_xlfn.XLOOKUP(85855,Trip[shape_id],Trip[shape_id],"Não encontrado")</f>
        <v/>
      </c>
      <c r="B24607" s="43" t="n">
        <v>-23.510383</v>
      </c>
      <c r="C24607" s="43" t="n">
        <v>-46.580849</v>
      </c>
      <c r="D24607" s="43" t="n">
        <v>663</v>
      </c>
      <c r="E24607" s="44" t="n">
        <v>26034.535</v>
      </c>
    </row>
    <row r="24608">
      <c r="A24608" s="39">
        <f>_xlfn.XLOOKUP(85855,Trip[shape_id],Trip[shape_id],"Não encontrado")</f>
        <v/>
      </c>
      <c r="B24608" s="40" t="n">
        <v>-23.510322</v>
      </c>
      <c r="C24608" s="40" t="n">
        <v>-46.580814</v>
      </c>
      <c r="D24608" s="40" t="n">
        <v>664</v>
      </c>
      <c r="E24608" s="41" t="n">
        <v>26048.51</v>
      </c>
    </row>
    <row r="24609">
      <c r="A24609" s="42">
        <f>_xlfn.XLOOKUP(85855,Trip[shape_id],Trip[shape_id],"Não encontrado")</f>
        <v/>
      </c>
      <c r="B24609" s="43" t="n">
        <v>-23.51021</v>
      </c>
      <c r="C24609" s="43" t="n">
        <v>-46.580751</v>
      </c>
      <c r="D24609" s="43" t="n">
        <v>665</v>
      </c>
      <c r="E24609" s="44" t="n">
        <v>26058.83</v>
      </c>
    </row>
    <row r="24610">
      <c r="A24610" s="39">
        <f>_xlfn.XLOOKUP(85855,Trip[shape_id],Trip[shape_id],"Não encontrado")</f>
        <v/>
      </c>
      <c r="B24610" s="40" t="n">
        <v>-23.510128</v>
      </c>
      <c r="C24610" s="40" t="n">
        <v>-46.580703</v>
      </c>
      <c r="D24610" s="40" t="n">
        <v>666</v>
      </c>
      <c r="E24610" s="41" t="n">
        <v>26075.447</v>
      </c>
    </row>
    <row r="24611">
      <c r="A24611" s="42">
        <f>_xlfn.XLOOKUP(85855,Trip[shape_id],Trip[shape_id],"Não encontrado")</f>
        <v/>
      </c>
      <c r="B24611" s="43" t="n">
        <v>-23.510003</v>
      </c>
      <c r="C24611" s="43" t="n">
        <v>-46.580613</v>
      </c>
      <c r="D24611" s="43" t="n">
        <v>667</v>
      </c>
      <c r="E24611" s="44" t="n">
        <v>26104.51</v>
      </c>
    </row>
    <row r="24612">
      <c r="A24612" s="39">
        <f>_xlfn.XLOOKUP(85855,Trip[shape_id],Trip[shape_id],"Não encontrado")</f>
        <v/>
      </c>
      <c r="B24612" s="40" t="n">
        <v>-23.509773</v>
      </c>
      <c r="C24612" s="40" t="n">
        <v>-46.580476</v>
      </c>
      <c r="D24612" s="40" t="n">
        <v>668</v>
      </c>
      <c r="E24612" s="41" t="n">
        <v>26132.072</v>
      </c>
    </row>
    <row r="24613">
      <c r="A24613" s="42">
        <f>_xlfn.XLOOKUP(85855,Trip[shape_id],Trip[shape_id],"Não encontrado")</f>
        <v/>
      </c>
      <c r="B24613" s="43" t="n">
        <v>-23.509531</v>
      </c>
      <c r="C24613" s="43" t="n">
        <v>-46.580413</v>
      </c>
      <c r="D24613" s="43" t="n">
        <v>669</v>
      </c>
      <c r="E24613" s="44" t="n">
        <v>26138.676</v>
      </c>
    </row>
    <row r="24614">
      <c r="A24614" s="39">
        <f>_xlfn.XLOOKUP(85855,Trip[shape_id],Trip[shape_id],"Não encontrado")</f>
        <v/>
      </c>
      <c r="B24614" s="40" t="n">
        <v>-23.509473</v>
      </c>
      <c r="C24614" s="40" t="n">
        <v>-46.580398</v>
      </c>
      <c r="D24614" s="40" t="n">
        <v>670</v>
      </c>
      <c r="E24614" s="41" t="n">
        <v>26154.146</v>
      </c>
    </row>
    <row r="24615">
      <c r="A24615" s="42">
        <f>_xlfn.XLOOKUP(85855,Trip[shape_id],Trip[shape_id],"Não encontrado")</f>
        <v/>
      </c>
      <c r="B24615" s="43" t="n">
        <v>-23.509334</v>
      </c>
      <c r="C24615" s="43" t="n">
        <v>-46.580383</v>
      </c>
      <c r="D24615" s="43" t="n">
        <v>671</v>
      </c>
      <c r="E24615" s="44" t="n">
        <v>26166.129</v>
      </c>
    </row>
    <row r="24616">
      <c r="A24616" s="39">
        <f>_xlfn.XLOOKUP(85855,Trip[shape_id],Trip[shape_id],"Não encontrado")</f>
        <v/>
      </c>
      <c r="B24616" s="40" t="n">
        <v>-23.509226</v>
      </c>
      <c r="C24616" s="40" t="n">
        <v>-46.58039</v>
      </c>
      <c r="D24616" s="40" t="n">
        <v>672</v>
      </c>
      <c r="E24616" s="41" t="n">
        <v>26173.449</v>
      </c>
    </row>
    <row r="24617">
      <c r="A24617" s="42">
        <f>_xlfn.XLOOKUP(85855,Trip[shape_id],Trip[shape_id],"Não encontrado")</f>
        <v/>
      </c>
      <c r="B24617" s="43" t="n">
        <v>-23.509161</v>
      </c>
      <c r="C24617" s="43" t="n">
        <v>-46.580403</v>
      </c>
      <c r="D24617" s="43" t="n">
        <v>673</v>
      </c>
      <c r="E24617" s="44" t="n">
        <v>26205.486</v>
      </c>
    </row>
    <row r="24618">
      <c r="A24618" s="39">
        <f>_xlfn.XLOOKUP(85855,Trip[shape_id],Trip[shape_id],"Não encontrado")</f>
        <v/>
      </c>
      <c r="B24618" s="40" t="n">
        <v>-23.508878</v>
      </c>
      <c r="C24618" s="40" t="n">
        <v>-46.580468</v>
      </c>
      <c r="D24618" s="40" t="n">
        <v>674</v>
      </c>
      <c r="E24618" s="41" t="n">
        <v>26242.717</v>
      </c>
    </row>
    <row r="24619">
      <c r="A24619" s="42">
        <f>_xlfn.XLOOKUP(85855,Trip[shape_id],Trip[shape_id],"Não encontrado")</f>
        <v/>
      </c>
      <c r="B24619" s="43" t="n">
        <v>-23.508555</v>
      </c>
      <c r="C24619" s="43" t="n">
        <v>-46.580569</v>
      </c>
      <c r="D24619" s="43" t="n">
        <v>675</v>
      </c>
      <c r="E24619" s="44" t="n">
        <v>26242.717</v>
      </c>
    </row>
    <row r="24620">
      <c r="A24620" s="39">
        <f>_xlfn.XLOOKUP(85855,Trip[shape_id],Trip[shape_id],"Não encontrado")</f>
        <v/>
      </c>
      <c r="B24620" s="40" t="n">
        <v>-23.50842</v>
      </c>
      <c r="C24620" s="40" t="n">
        <v>-46.580604</v>
      </c>
      <c r="D24620" s="40" t="n">
        <v>676</v>
      </c>
      <c r="E24620" s="41" t="n">
        <v>26258.09</v>
      </c>
    </row>
    <row r="24621">
      <c r="A24621" s="42">
        <f>_xlfn.XLOOKUP(85855,Trip[shape_id],Trip[shape_id],"Não encontrado")</f>
        <v/>
      </c>
      <c r="B24621" s="43" t="n">
        <v>-23.508294</v>
      </c>
      <c r="C24621" s="43" t="n">
        <v>-46.580563</v>
      </c>
      <c r="D24621" s="43" t="n">
        <v>677</v>
      </c>
      <c r="E24621" s="44" t="n">
        <v>26279.979</v>
      </c>
    </row>
    <row r="24622">
      <c r="A24622" s="39">
        <f>_xlfn.XLOOKUP(85855,Trip[shape_id],Trip[shape_id],"Não encontrado")</f>
        <v/>
      </c>
      <c r="B24622" s="40" t="n">
        <v>-23.508234</v>
      </c>
      <c r="C24622" s="40" t="n">
        <v>-46.580533</v>
      </c>
      <c r="D24622" s="40" t="n">
        <v>678</v>
      </c>
      <c r="E24622" s="41" t="n">
        <v>26279.979</v>
      </c>
    </row>
    <row r="24623">
      <c r="A24623" s="42">
        <f>_xlfn.XLOOKUP(85855,Trip[shape_id],Trip[shape_id],"Não encontrado")</f>
        <v/>
      </c>
      <c r="B24623" s="43" t="n">
        <v>-23.508116</v>
      </c>
      <c r="C24623" s="43" t="n">
        <v>-46.580447</v>
      </c>
      <c r="D24623" s="43" t="n">
        <v>679</v>
      </c>
      <c r="E24623" s="44" t="n">
        <v>26295.725</v>
      </c>
    </row>
    <row r="24624">
      <c r="A24624" s="39">
        <f>_xlfn.XLOOKUP(85855,Trip[shape_id],Trip[shape_id],"Não encontrado")</f>
        <v/>
      </c>
      <c r="B24624" s="40" t="n">
        <v>-23.508076</v>
      </c>
      <c r="C24624" s="40" t="n">
        <v>-46.580417</v>
      </c>
      <c r="D24624" s="40" t="n">
        <v>680</v>
      </c>
      <c r="E24624" s="41" t="n">
        <v>26316.779</v>
      </c>
    </row>
    <row r="24625">
      <c r="A24625" s="42">
        <f>_xlfn.XLOOKUP(85855,Trip[shape_id],Trip[shape_id],"Não encontrado")</f>
        <v/>
      </c>
      <c r="B24625" s="43" t="n">
        <v>-23.507972</v>
      </c>
      <c r="C24625" s="43" t="n">
        <v>-46.580313</v>
      </c>
      <c r="D24625" s="43" t="n">
        <v>681</v>
      </c>
      <c r="E24625" s="44" t="n">
        <v>26316.779</v>
      </c>
    </row>
    <row r="24626">
      <c r="A24626" s="39">
        <f>_xlfn.XLOOKUP(85855,Trip[shape_id],Trip[shape_id],"Não encontrado")</f>
        <v/>
      </c>
      <c r="B24626" s="40" t="n">
        <v>-23.50793</v>
      </c>
      <c r="C24626" s="40" t="n">
        <v>-46.580152</v>
      </c>
      <c r="D24626" s="40" t="n">
        <v>682</v>
      </c>
      <c r="E24626" s="41" t="n">
        <v>26352.42</v>
      </c>
    </row>
    <row r="24627">
      <c r="A24627" s="42">
        <f>_xlfn.XLOOKUP(85855,Trip[shape_id],Trip[shape_id],"Não encontrado")</f>
        <v/>
      </c>
      <c r="B24627" s="43" t="n">
        <v>-23.507944</v>
      </c>
      <c r="C24627" s="43" t="n">
        <v>-46.579971</v>
      </c>
      <c r="D24627" s="43" t="n">
        <v>683</v>
      </c>
      <c r="E24627" s="44" t="n">
        <v>26382.828</v>
      </c>
    </row>
    <row r="24628">
      <c r="A24628" s="39">
        <f>_xlfn.XLOOKUP(85855,Trip[shape_id],Trip[shape_id],"Não encontrado")</f>
        <v/>
      </c>
      <c r="B24628" s="40" t="n">
        <v>-23.508017</v>
      </c>
      <c r="C24628" s="40" t="n">
        <v>-46.579684</v>
      </c>
      <c r="D24628" s="40" t="n">
        <v>684</v>
      </c>
      <c r="E24628" s="41" t="n">
        <v>26409.691</v>
      </c>
    </row>
    <row r="24629">
      <c r="A24629" s="42">
        <f>_xlfn.XLOOKUP(85855,Trip[shape_id],Trip[shape_id],"Não encontrado")</f>
        <v/>
      </c>
      <c r="B24629" s="43" t="n">
        <v>-23.508047</v>
      </c>
      <c r="C24629" s="43" t="n">
        <v>-46.579423</v>
      </c>
      <c r="D24629" s="43" t="n">
        <v>685</v>
      </c>
      <c r="E24629" s="44" t="n">
        <v>26421.348</v>
      </c>
    </row>
    <row r="24630">
      <c r="A24630" s="39">
        <f>_xlfn.XLOOKUP(85855,Trip[shape_id],Trip[shape_id],"Não encontrado")</f>
        <v/>
      </c>
      <c r="B24630" s="40" t="n">
        <v>-23.508042</v>
      </c>
      <c r="C24630" s="40" t="n">
        <v>-46.579309</v>
      </c>
      <c r="D24630" s="40" t="n">
        <v>686</v>
      </c>
      <c r="E24630" s="41" t="n">
        <v>26441.572</v>
      </c>
    </row>
    <row r="24631">
      <c r="A24631" s="42">
        <f>_xlfn.XLOOKUP(85855,Trip[shape_id],Trip[shape_id],"Não encontrado")</f>
        <v/>
      </c>
      <c r="B24631" s="43" t="n">
        <v>-23.508016</v>
      </c>
      <c r="C24631" s="43" t="n">
        <v>-46.579113</v>
      </c>
      <c r="D24631" s="43" t="n">
        <v>687</v>
      </c>
      <c r="E24631" s="44" t="n">
        <v>26466.281</v>
      </c>
    </row>
    <row r="24632">
      <c r="A24632" s="39">
        <f>_xlfn.XLOOKUP(85855,Trip[shape_id],Trip[shape_id],"Não encontrado")</f>
        <v/>
      </c>
      <c r="B24632" s="40" t="n">
        <v>-23.507963</v>
      </c>
      <c r="C24632" s="40" t="n">
        <v>-46.578878</v>
      </c>
      <c r="D24632" s="40" t="n">
        <v>688</v>
      </c>
      <c r="E24632" s="41" t="n">
        <v>26486.785</v>
      </c>
    </row>
    <row r="24633">
      <c r="A24633" s="42">
        <f>_xlfn.XLOOKUP(85855,Trip[shape_id],Trip[shape_id],"Não encontrado")</f>
        <v/>
      </c>
      <c r="B24633" s="43" t="n">
        <v>-23.507906</v>
      </c>
      <c r="C24633" s="43" t="n">
        <v>-46.578687</v>
      </c>
      <c r="D24633" s="43" t="n">
        <v>689</v>
      </c>
      <c r="E24633" s="44" t="n">
        <v>26503.355</v>
      </c>
    </row>
    <row r="24634">
      <c r="A24634" s="39">
        <f>_xlfn.XLOOKUP(85855,Trip[shape_id],Trip[shape_id],"Não encontrado")</f>
        <v/>
      </c>
      <c r="B24634" s="40" t="n">
        <v>-23.507849</v>
      </c>
      <c r="C24634" s="40" t="n">
        <v>-46.578537</v>
      </c>
      <c r="D24634" s="40" t="n">
        <v>690</v>
      </c>
      <c r="E24634" s="41" t="n">
        <v>26522.527</v>
      </c>
    </row>
    <row r="24635">
      <c r="A24635" s="42">
        <f>_xlfn.XLOOKUP(85855,Trip[shape_id],Trip[shape_id],"Não encontrado")</f>
        <v/>
      </c>
      <c r="B24635" s="43" t="n">
        <v>-23.507757</v>
      </c>
      <c r="C24635" s="43" t="n">
        <v>-46.578378</v>
      </c>
      <c r="D24635" s="43" t="n">
        <v>691</v>
      </c>
      <c r="E24635" s="44" t="n">
        <v>26541.23</v>
      </c>
    </row>
    <row r="24636">
      <c r="A24636" s="39">
        <f>_xlfn.XLOOKUP(85855,Trip[shape_id],Trip[shape_id],"Não encontrado")</f>
        <v/>
      </c>
      <c r="B24636" s="40" t="n">
        <v>-23.507646</v>
      </c>
      <c r="C24636" s="40" t="n">
        <v>-46.57824</v>
      </c>
      <c r="D24636" s="40" t="n">
        <v>692</v>
      </c>
      <c r="E24636" s="41" t="n">
        <v>26558.08</v>
      </c>
    </row>
    <row r="24637">
      <c r="A24637" s="42">
        <f>_xlfn.XLOOKUP(85855,Trip[shape_id],Trip[shape_id],"Não encontrado")</f>
        <v/>
      </c>
      <c r="B24637" s="43" t="n">
        <v>-23.507525</v>
      </c>
      <c r="C24637" s="43" t="n">
        <v>-46.57814</v>
      </c>
      <c r="D24637" s="43" t="n">
        <v>693</v>
      </c>
      <c r="E24637" s="44" t="n">
        <v>26594.764</v>
      </c>
    </row>
    <row r="24638">
      <c r="A24638" s="39">
        <f>_xlfn.XLOOKUP(85855,Trip[shape_id],Trip[shape_id],"Não encontrado")</f>
        <v/>
      </c>
      <c r="B24638" s="40" t="n">
        <v>-23.50724</v>
      </c>
      <c r="C24638" s="40" t="n">
        <v>-46.577957</v>
      </c>
      <c r="D24638" s="40" t="n">
        <v>694</v>
      </c>
      <c r="E24638" s="41" t="n">
        <v>26645.107</v>
      </c>
    </row>
    <row r="24639">
      <c r="A24639" s="42">
        <f>_xlfn.XLOOKUP(85855,Trip[shape_id],Trip[shape_id],"Não encontrado")</f>
        <v/>
      </c>
      <c r="B24639" s="43" t="n">
        <v>-23.506851</v>
      </c>
      <c r="C24639" s="43" t="n">
        <v>-46.577702</v>
      </c>
      <c r="D24639" s="43" t="n">
        <v>695</v>
      </c>
      <c r="E24639" s="44" t="n">
        <v>26645.107</v>
      </c>
    </row>
    <row r="24640">
      <c r="A24640" s="39">
        <f>_xlfn.XLOOKUP(85855,Trip[shape_id],Trip[shape_id],"Não encontrado")</f>
        <v/>
      </c>
      <c r="B24640" s="40" t="n">
        <v>-23.50674</v>
      </c>
      <c r="C24640" s="40" t="n">
        <v>-46.577631</v>
      </c>
      <c r="D24640" s="40" t="n">
        <v>696</v>
      </c>
      <c r="E24640" s="41" t="n">
        <v>26668.24</v>
      </c>
    </row>
    <row r="24641">
      <c r="A24641" s="42">
        <f>_xlfn.XLOOKUP(85855,Trip[shape_id],Trip[shape_id],"Não encontrado")</f>
        <v/>
      </c>
      <c r="B24641" s="43" t="n">
        <v>-23.50667</v>
      </c>
      <c r="C24641" s="43" t="n">
        <v>-46.577589</v>
      </c>
      <c r="D24641" s="43" t="n">
        <v>697</v>
      </c>
      <c r="E24641" s="44" t="n">
        <v>26674.215</v>
      </c>
    </row>
    <row r="24642">
      <c r="A24642" s="39">
        <f>_xlfn.XLOOKUP(85855,Trip[shape_id],Trip[shape_id],"Não encontrado")</f>
        <v/>
      </c>
      <c r="B24642" s="40" t="n">
        <v>-23.50662</v>
      </c>
      <c r="C24642" s="40" t="n">
        <v>-46.577567</v>
      </c>
      <c r="D24642" s="40" t="n">
        <v>698</v>
      </c>
      <c r="E24642" s="41" t="n">
        <v>26674.215</v>
      </c>
    </row>
    <row r="24643">
      <c r="A24643" s="42">
        <f>_xlfn.XLOOKUP(85855,Trip[shape_id],Trip[shape_id],"Não encontrado")</f>
        <v/>
      </c>
      <c r="B24643" s="43" t="n">
        <v>-23.506576</v>
      </c>
      <c r="C24643" s="43" t="n">
        <v>-46.5775</v>
      </c>
      <c r="D24643" s="43" t="n">
        <v>699</v>
      </c>
      <c r="E24643" s="44" t="n">
        <v>26715.91</v>
      </c>
    </row>
    <row r="24644">
      <c r="A24644" s="39">
        <f>_xlfn.XLOOKUP(85855,Trip[shape_id],Trip[shape_id],"Não encontrado")</f>
        <v/>
      </c>
      <c r="B24644" s="40" t="n">
        <v>-23.506355</v>
      </c>
      <c r="C24644" s="40" t="n">
        <v>-46.577279</v>
      </c>
      <c r="D24644" s="40" t="n">
        <v>700</v>
      </c>
      <c r="E24644" s="41" t="n">
        <v>26715.91</v>
      </c>
    </row>
    <row r="24645">
      <c r="A24645" s="42">
        <f>_xlfn.XLOOKUP(85855,Trip[shape_id],Trip[shape_id],"Não encontrado")</f>
        <v/>
      </c>
      <c r="B24645" s="43" t="n">
        <v>-23.506251</v>
      </c>
      <c r="C24645" s="43" t="n">
        <v>-46.577145</v>
      </c>
      <c r="D24645" s="43" t="n">
        <v>701</v>
      </c>
      <c r="E24645" s="44" t="n">
        <v>26740.031</v>
      </c>
    </row>
    <row r="24646">
      <c r="A24646" s="39">
        <f>_xlfn.XLOOKUP(85855,Trip[shape_id],Trip[shape_id],"Não encontrado")</f>
        <v/>
      </c>
      <c r="B24646" s="40" t="n">
        <v>-23.506212</v>
      </c>
      <c r="C24646" s="40" t="n">
        <v>-46.577101</v>
      </c>
      <c r="D24646" s="40" t="n">
        <v>702</v>
      </c>
      <c r="E24646" s="41" t="n">
        <v>26747.391</v>
      </c>
    </row>
    <row r="24647">
      <c r="A24647" s="42">
        <f>_xlfn.XLOOKUP(85855,Trip[shape_id],Trip[shape_id],"Não encontrado")</f>
        <v/>
      </c>
      <c r="B24647" s="43" t="n">
        <v>-23.506166</v>
      </c>
      <c r="C24647" s="43" t="n">
        <v>-46.577049</v>
      </c>
      <c r="D24647" s="43" t="n">
        <v>703</v>
      </c>
      <c r="E24647" s="44" t="n">
        <v>26754.033</v>
      </c>
    </row>
    <row r="24648">
      <c r="A24648" s="39">
        <f>_xlfn.XLOOKUP(85855,Trip[shape_id],Trip[shape_id],"Não encontrado")</f>
        <v/>
      </c>
      <c r="B24648" s="40" t="n">
        <v>-23.506121</v>
      </c>
      <c r="C24648" s="40" t="n">
        <v>-46.577006</v>
      </c>
      <c r="D24648" s="40" t="n">
        <v>704</v>
      </c>
      <c r="E24648" s="41" t="n">
        <v>26755.857</v>
      </c>
    </row>
    <row r="24649">
      <c r="A24649" s="42">
        <f>_xlfn.XLOOKUP(85855,Trip[shape_id],Trip[shape_id],"Não encontrado")</f>
        <v/>
      </c>
      <c r="B24649" s="43" t="n">
        <v>-23.506108</v>
      </c>
      <c r="C24649" s="43" t="n">
        <v>-46.576995</v>
      </c>
      <c r="D24649" s="43" t="n">
        <v>705</v>
      </c>
      <c r="E24649" s="44" t="n">
        <v>26757.811</v>
      </c>
    </row>
    <row r="24650">
      <c r="A24650" s="39">
        <f>_xlfn.XLOOKUP(85855,Trip[shape_id],Trip[shape_id],"Não encontrado")</f>
        <v/>
      </c>
      <c r="B24650" s="40" t="n">
        <v>-23.506092</v>
      </c>
      <c r="C24650" s="40" t="n">
        <v>-46.576987</v>
      </c>
      <c r="D24650" s="40" t="n">
        <v>706</v>
      </c>
      <c r="E24650" s="41" t="n">
        <v>26757.811</v>
      </c>
    </row>
    <row r="24651">
      <c r="A24651" s="42">
        <f>_xlfn.XLOOKUP(85855,Trip[shape_id],Trip[shape_id],"Não encontrado")</f>
        <v/>
      </c>
      <c r="B24651" s="43" t="n">
        <v>-23.506051</v>
      </c>
      <c r="C24651" s="43" t="n">
        <v>-46.576912</v>
      </c>
      <c r="D24651" s="43" t="n">
        <v>707</v>
      </c>
      <c r="E24651" s="44" t="n">
        <v>26790.809</v>
      </c>
    </row>
    <row r="24652">
      <c r="A24652" s="39">
        <f>_xlfn.XLOOKUP(85855,Trip[shape_id],Trip[shape_id],"Não encontrado")</f>
        <v/>
      </c>
      <c r="B24652" s="40" t="n">
        <v>-23.505945</v>
      </c>
      <c r="C24652" s="40" t="n">
        <v>-46.576706</v>
      </c>
      <c r="D24652" s="40" t="n">
        <v>708</v>
      </c>
      <c r="E24652" s="41" t="n">
        <v>26790.809</v>
      </c>
    </row>
    <row r="24653">
      <c r="A24653" s="42">
        <f>_xlfn.XLOOKUP(85855,Trip[shape_id],Trip[shape_id],"Não encontrado")</f>
        <v/>
      </c>
      <c r="B24653" s="43" t="n">
        <v>-23.505819</v>
      </c>
      <c r="C24653" s="43" t="n">
        <v>-46.576464</v>
      </c>
      <c r="D24653" s="43" t="n">
        <v>709</v>
      </c>
      <c r="E24653" s="44" t="n">
        <v>26858.551</v>
      </c>
    </row>
    <row r="24654">
      <c r="A24654" s="39">
        <f>_xlfn.XLOOKUP(85855,Trip[shape_id],Trip[shape_id],"Não encontrado")</f>
        <v/>
      </c>
      <c r="B24654" s="40" t="n">
        <v>-23.505645</v>
      </c>
      <c r="C24654" s="40" t="n">
        <v>-46.576128</v>
      </c>
      <c r="D24654" s="40" t="n">
        <v>710</v>
      </c>
      <c r="E24654" s="41" t="n">
        <v>26886.863</v>
      </c>
    </row>
    <row r="24655">
      <c r="A24655" s="42">
        <f>_xlfn.XLOOKUP(85855,Trip[shape_id],Trip[shape_id],"Não encontrado")</f>
        <v/>
      </c>
      <c r="B24655" s="43" t="n">
        <v>-23.505522</v>
      </c>
      <c r="C24655" s="43" t="n">
        <v>-46.575885</v>
      </c>
      <c r="D24655" s="43" t="n">
        <v>711</v>
      </c>
      <c r="E24655" s="44" t="n">
        <v>26926.979</v>
      </c>
    </row>
    <row r="24656">
      <c r="A24656" s="39">
        <f>_xlfn.XLOOKUP(85855,Trip[shape_id],Trip[shape_id],"Não encontrado")</f>
        <v/>
      </c>
      <c r="B24656" s="40" t="n">
        <v>-23.505369</v>
      </c>
      <c r="C24656" s="40" t="n">
        <v>-46.575529</v>
      </c>
      <c r="D24656" s="40" t="n">
        <v>712</v>
      </c>
      <c r="E24656" s="41" t="n">
        <v>26946.184</v>
      </c>
    </row>
    <row r="24657">
      <c r="A24657" s="42">
        <f>_xlfn.XLOOKUP(85855,Trip[shape_id],Trip[shape_id],"Não encontrado")</f>
        <v/>
      </c>
      <c r="B24657" s="43" t="n">
        <v>-23.505322</v>
      </c>
      <c r="C24657" s="43" t="n">
        <v>-46.575348</v>
      </c>
      <c r="D24657" s="43" t="n">
        <v>713</v>
      </c>
      <c r="E24657" s="44" t="n">
        <v>26976.455</v>
      </c>
    </row>
    <row r="24658">
      <c r="A24658" s="39">
        <f>_xlfn.XLOOKUP(85855,Trip[shape_id],Trip[shape_id],"Não encontrado")</f>
        <v/>
      </c>
      <c r="B24658" s="40" t="n">
        <v>-23.505247</v>
      </c>
      <c r="C24658" s="40" t="n">
        <v>-46.575063</v>
      </c>
      <c r="D24658" s="40" t="n">
        <v>714</v>
      </c>
      <c r="E24658" s="41" t="n">
        <v>26999.123</v>
      </c>
    </row>
    <row r="24659">
      <c r="A24659" s="42">
        <f>_xlfn.XLOOKUP(85855,Trip[shape_id],Trip[shape_id],"Não encontrado")</f>
        <v/>
      </c>
      <c r="B24659" s="43" t="n">
        <v>-23.50522</v>
      </c>
      <c r="C24659" s="43" t="n">
        <v>-46.574843</v>
      </c>
      <c r="D24659" s="43" t="n">
        <v>715</v>
      </c>
      <c r="E24659" s="44" t="n">
        <v>27023.541</v>
      </c>
    </row>
    <row r="24660">
      <c r="A24660" s="39">
        <f>_xlfn.XLOOKUP(85855,Trip[shape_id],Trip[shape_id],"Não encontrado")</f>
        <v/>
      </c>
      <c r="B24660" s="40" t="n">
        <v>-23.505191</v>
      </c>
      <c r="C24660" s="40" t="n">
        <v>-46.574606</v>
      </c>
      <c r="D24660" s="40" t="n">
        <v>716</v>
      </c>
      <c r="E24660" s="41" t="n">
        <v>27048.48</v>
      </c>
    </row>
    <row r="24661">
      <c r="A24661" s="42">
        <f>_xlfn.XLOOKUP(85855,Trip[shape_id],Trip[shape_id],"Não encontrado")</f>
        <v/>
      </c>
      <c r="B24661" s="43" t="n">
        <v>-23.505161</v>
      </c>
      <c r="C24661" s="43" t="n">
        <v>-46.574364</v>
      </c>
      <c r="D24661" s="43" t="n">
        <v>717</v>
      </c>
      <c r="E24661" s="44" t="n">
        <v>27048.48</v>
      </c>
    </row>
    <row r="24662">
      <c r="A24662" s="39">
        <f>_xlfn.XLOOKUP(85855,Trip[shape_id],Trip[shape_id],"Não encontrado")</f>
        <v/>
      </c>
      <c r="B24662" s="40" t="n">
        <v>-23.50524</v>
      </c>
      <c r="C24662" s="40" t="n">
        <v>-46.573923</v>
      </c>
      <c r="D24662" s="40" t="n">
        <v>718</v>
      </c>
      <c r="E24662" s="41" t="n">
        <v>27119.549</v>
      </c>
    </row>
    <row r="24663">
      <c r="A24663" s="42">
        <f>_xlfn.XLOOKUP(85855,Trip[shape_id],Trip[shape_id],"Não encontrado")</f>
        <v/>
      </c>
      <c r="B24663" s="43" t="n">
        <v>-23.505288</v>
      </c>
      <c r="C24663" s="43" t="n">
        <v>-46.573682</v>
      </c>
      <c r="D24663" s="43" t="n">
        <v>719</v>
      </c>
      <c r="E24663" s="44" t="n">
        <v>27164.24</v>
      </c>
    </row>
    <row r="24664">
      <c r="A24664" s="39">
        <f>_xlfn.XLOOKUP(85855,Trip[shape_id],Trip[shape_id],"Não encontrado")</f>
        <v/>
      </c>
      <c r="B24664" s="40" t="n">
        <v>-23.505398</v>
      </c>
      <c r="C24664" s="40" t="n">
        <v>-46.573261</v>
      </c>
      <c r="D24664" s="40" t="n">
        <v>720</v>
      </c>
      <c r="E24664" s="41" t="n">
        <v>27171.061</v>
      </c>
    </row>
    <row r="24665">
      <c r="A24665" s="42">
        <f>_xlfn.XLOOKUP(85855,Trip[shape_id],Trip[shape_id],"Não encontrado")</f>
        <v/>
      </c>
      <c r="B24665" s="43" t="n">
        <v>-23.505425</v>
      </c>
      <c r="C24665" s="43" t="n">
        <v>-46.573201</v>
      </c>
      <c r="D24665" s="43" t="n">
        <v>721</v>
      </c>
      <c r="E24665" s="44" t="n">
        <v>27177.01</v>
      </c>
    </row>
    <row r="24666">
      <c r="A24666" s="39">
        <f>_xlfn.XLOOKUP(85855,Trip[shape_id],Trip[shape_id],"Não encontrado")</f>
        <v/>
      </c>
      <c r="B24666" s="40" t="n">
        <v>-23.505436</v>
      </c>
      <c r="C24666" s="40" t="n">
        <v>-46.573144</v>
      </c>
      <c r="D24666" s="40" t="n">
        <v>722</v>
      </c>
      <c r="E24666" s="41" t="n">
        <v>27185.182</v>
      </c>
    </row>
    <row r="24667">
      <c r="A24667" s="42">
        <f>_xlfn.XLOOKUP(85855,Trip[shape_id],Trip[shape_id],"Não encontrado")</f>
        <v/>
      </c>
      <c r="B24667" s="43" t="n">
        <v>-23.505437</v>
      </c>
      <c r="C24667" s="43" t="n">
        <v>-46.573064</v>
      </c>
      <c r="D24667" s="43" t="n">
        <v>723</v>
      </c>
      <c r="E24667" s="44" t="n">
        <v>27195.238</v>
      </c>
    </row>
    <row r="24668">
      <c r="A24668" s="39">
        <f>_xlfn.XLOOKUP(85855,Trip[shape_id],Trip[shape_id],"Não encontrado")</f>
        <v/>
      </c>
      <c r="B24668" s="40" t="n">
        <v>-23.50541</v>
      </c>
      <c r="C24668" s="40" t="n">
        <v>-46.57297</v>
      </c>
      <c r="D24668" s="40" t="n">
        <v>724</v>
      </c>
      <c r="E24668" s="41" t="n">
        <v>27195.238</v>
      </c>
    </row>
    <row r="24669">
      <c r="A24669" s="42">
        <f>_xlfn.XLOOKUP(85855,Trip[shape_id],Trip[shape_id],"Não encontrado")</f>
        <v/>
      </c>
      <c r="B24669" s="43" t="n">
        <v>-23.505358</v>
      </c>
      <c r="C24669" s="43" t="n">
        <v>-46.572848</v>
      </c>
      <c r="D24669" s="43" t="n">
        <v>725</v>
      </c>
      <c r="E24669" s="44" t="n">
        <v>27208.965</v>
      </c>
    </row>
    <row r="24670">
      <c r="A24670" s="39">
        <f>_xlfn.XLOOKUP(85855,Trip[shape_id],Trip[shape_id],"Não encontrado")</f>
        <v/>
      </c>
      <c r="B24670" s="40" t="n">
        <v>-23.505365</v>
      </c>
      <c r="C24670" s="40" t="n">
        <v>-46.572765</v>
      </c>
      <c r="D24670" s="40" t="n">
        <v>726</v>
      </c>
      <c r="E24670" s="41" t="n">
        <v>27224.93</v>
      </c>
    </row>
    <row r="24671">
      <c r="A24671" s="42">
        <f>_xlfn.XLOOKUP(85855,Trip[shape_id],Trip[shape_id],"Não encontrado")</f>
        <v/>
      </c>
      <c r="B24671" s="43" t="n">
        <v>-23.505376</v>
      </c>
      <c r="C24671" s="43" t="n">
        <v>-46.572693</v>
      </c>
      <c r="D24671" s="43" t="n">
        <v>727</v>
      </c>
      <c r="E24671" s="44" t="n">
        <v>27235.188</v>
      </c>
    </row>
    <row r="24672">
      <c r="A24672" s="39">
        <f>_xlfn.XLOOKUP(85855,Trip[shape_id],Trip[shape_id],"Não encontrado")</f>
        <v/>
      </c>
      <c r="B24672" s="40" t="n">
        <v>-23.5054</v>
      </c>
      <c r="C24672" s="40" t="n">
        <v>-46.572596</v>
      </c>
      <c r="D24672" s="40" t="n">
        <v>728</v>
      </c>
      <c r="E24672" s="41" t="n">
        <v>27235.188</v>
      </c>
    </row>
    <row r="24673">
      <c r="A24673" s="42">
        <f>_xlfn.XLOOKUP(85855,Trip[shape_id],Trip[shape_id],"Não encontrado")</f>
        <v/>
      </c>
      <c r="B24673" s="43" t="n">
        <v>-23.50543</v>
      </c>
      <c r="C24673" s="43" t="n">
        <v>-46.572566</v>
      </c>
      <c r="D24673" s="43" t="n">
        <v>729</v>
      </c>
      <c r="E24673" s="44" t="n">
        <v>27245.93</v>
      </c>
    </row>
    <row r="24674">
      <c r="A24674" s="39">
        <f>_xlfn.XLOOKUP(85855,Trip[shape_id],Trip[shape_id],"Não encontrado")</f>
        <v/>
      </c>
      <c r="B24674" s="40" t="n">
        <v>-23.505476</v>
      </c>
      <c r="C24674" s="40" t="n">
        <v>-46.572531</v>
      </c>
      <c r="D24674" s="40" t="n">
        <v>730</v>
      </c>
      <c r="E24674" s="41" t="n">
        <v>27266.145</v>
      </c>
    </row>
    <row r="24675">
      <c r="A24675" s="42">
        <f>_xlfn.XLOOKUP(85855,Trip[shape_id],Trip[shape_id],"Não encontrado")</f>
        <v/>
      </c>
      <c r="B24675" s="43" t="n">
        <v>-23.505616</v>
      </c>
      <c r="C24675" s="43" t="n">
        <v>-46.572404</v>
      </c>
      <c r="D24675" s="43" t="n">
        <v>731</v>
      </c>
      <c r="E24675" s="44" t="n">
        <v>27266.145</v>
      </c>
    </row>
    <row r="24676">
      <c r="A24676" s="39">
        <f>_xlfn.XLOOKUP(85855,Trip[shape_id],Trip[shape_id],"Não encontrado")</f>
        <v/>
      </c>
      <c r="B24676" s="40" t="n">
        <v>-23.505794</v>
      </c>
      <c r="C24676" s="40" t="n">
        <v>-46.572471</v>
      </c>
      <c r="D24676" s="40" t="n">
        <v>732</v>
      </c>
      <c r="E24676" s="41" t="n">
        <v>27287.012</v>
      </c>
    </row>
    <row r="24677">
      <c r="A24677" s="42">
        <f>_xlfn.XLOOKUP(85855,Trip[shape_id],Trip[shape_id],"Não encontrado")</f>
        <v/>
      </c>
      <c r="B24677" s="43" t="n">
        <v>-23.505863</v>
      </c>
      <c r="C24677" s="43" t="n">
        <v>-46.572387</v>
      </c>
      <c r="D24677" s="43" t="n">
        <v>733</v>
      </c>
      <c r="E24677" s="44" t="n">
        <v>27327.135</v>
      </c>
    </row>
    <row r="24678">
      <c r="A24678" s="39">
        <f>_xlfn.XLOOKUP(85855,Trip[shape_id],Trip[shape_id],"Não encontrado")</f>
        <v/>
      </c>
      <c r="B24678" s="40" t="n">
        <v>-23.506065</v>
      </c>
      <c r="C24678" s="40" t="n">
        <v>-46.572212</v>
      </c>
      <c r="D24678" s="40" t="n">
        <v>734</v>
      </c>
      <c r="E24678" s="41" t="n">
        <v>27353.777</v>
      </c>
    </row>
    <row r="24679">
      <c r="A24679" s="42">
        <f>_xlfn.XLOOKUP(85855,Trip[shape_id],Trip[shape_id],"Não encontrado")</f>
        <v/>
      </c>
      <c r="B24679" s="43" t="n">
        <v>-23.506255</v>
      </c>
      <c r="C24679" s="43" t="n">
        <v>-46.572052</v>
      </c>
      <c r="D24679" s="43" t="n">
        <v>735</v>
      </c>
      <c r="E24679" s="44" t="n">
        <v>27353.777</v>
      </c>
    </row>
    <row r="24680">
      <c r="A24680" s="39">
        <f>_xlfn.XLOOKUP(85855,Trip[shape_id],Trip[shape_id],"Não encontrado")</f>
        <v/>
      </c>
      <c r="B24680" s="40" t="n">
        <v>-23.506385</v>
      </c>
      <c r="C24680" s="40" t="n">
        <v>-46.571943</v>
      </c>
      <c r="D24680" s="40" t="n">
        <v>736</v>
      </c>
      <c r="E24680" s="41" t="n">
        <v>27411.033</v>
      </c>
    </row>
    <row r="24681">
      <c r="A24681" s="42">
        <f>_xlfn.XLOOKUP(85855,Trip[shape_id],Trip[shape_id],"Não encontrado")</f>
        <v/>
      </c>
      <c r="B24681" s="43" t="n">
        <v>-23.506685</v>
      </c>
      <c r="C24681" s="43" t="n">
        <v>-46.571742</v>
      </c>
      <c r="D24681" s="43" t="n">
        <v>737</v>
      </c>
      <c r="E24681" s="44" t="n">
        <v>27443.217</v>
      </c>
    </row>
    <row r="24682">
      <c r="A24682" s="39">
        <f>_xlfn.XLOOKUP(85855,Trip[shape_id],Trip[shape_id],"Não encontrado")</f>
        <v/>
      </c>
      <c r="B24682" s="40" t="n">
        <v>-23.506943</v>
      </c>
      <c r="C24682" s="40" t="n">
        <v>-46.571597</v>
      </c>
      <c r="D24682" s="40" t="n">
        <v>738</v>
      </c>
      <c r="E24682" s="41" t="n">
        <v>27443.217</v>
      </c>
    </row>
    <row r="24683">
      <c r="A24683" s="42">
        <f>_xlfn.XLOOKUP(85855,Trip[shape_id],Trip[shape_id],"Não encontrado")</f>
        <v/>
      </c>
      <c r="B24683" s="43" t="n">
        <v>-23.507231</v>
      </c>
      <c r="C24683" s="43" t="n">
        <v>-46.571451</v>
      </c>
      <c r="D24683" s="43" t="n">
        <v>739</v>
      </c>
      <c r="E24683" s="44" t="n">
        <v>27495.617</v>
      </c>
    </row>
    <row r="24684">
      <c r="A24684" s="39">
        <f>_xlfn.XLOOKUP(85855,Trip[shape_id],Trip[shape_id],"Não encontrado")</f>
        <v/>
      </c>
      <c r="B24684" s="40" t="n">
        <v>-23.507373</v>
      </c>
      <c r="C24684" s="40" t="n">
        <v>-46.571383</v>
      </c>
      <c r="D24684" s="40" t="n">
        <v>740</v>
      </c>
      <c r="E24684" s="41" t="n">
        <v>27495.617</v>
      </c>
    </row>
    <row r="24685">
      <c r="A24685" s="42">
        <f>_xlfn.XLOOKUP(85855,Trip[shape_id],Trip[shape_id],"Não encontrado")</f>
        <v/>
      </c>
      <c r="B24685" s="43" t="n">
        <v>-23.507417</v>
      </c>
      <c r="C24685" s="43" t="n">
        <v>-46.571362</v>
      </c>
      <c r="D24685" s="43" t="n">
        <v>741</v>
      </c>
      <c r="E24685" s="44" t="n">
        <v>27523.553</v>
      </c>
    </row>
    <row r="24686">
      <c r="A24686" s="39">
        <f>_xlfn.XLOOKUP(85855,Trip[shape_id],Trip[shape_id],"Não encontrado")</f>
        <v/>
      </c>
      <c r="B24686" s="40" t="n">
        <v>-23.507613</v>
      </c>
      <c r="C24686" s="40" t="n">
        <v>-46.5713</v>
      </c>
      <c r="D24686" s="40" t="n">
        <v>742</v>
      </c>
      <c r="E24686" s="41" t="n">
        <v>27546.678</v>
      </c>
    </row>
    <row r="24687">
      <c r="A24687" s="42">
        <f>_xlfn.XLOOKUP(85855,Trip[shape_id],Trip[shape_id],"Não encontrado")</f>
        <v/>
      </c>
      <c r="B24687" s="43" t="n">
        <v>-23.507816</v>
      </c>
      <c r="C24687" s="43" t="n">
        <v>-46.571247</v>
      </c>
      <c r="D24687" s="43" t="n">
        <v>743</v>
      </c>
      <c r="E24687" s="44" t="n">
        <v>27568.459</v>
      </c>
    </row>
    <row r="24688">
      <c r="A24688" s="39">
        <f>_xlfn.XLOOKUP(85855,Trip[shape_id],Trip[shape_id],"Não encontrado")</f>
        <v/>
      </c>
      <c r="B24688" s="40" t="n">
        <v>-23.508009</v>
      </c>
      <c r="C24688" s="40" t="n">
        <v>-46.571206</v>
      </c>
      <c r="D24688" s="40" t="n">
        <v>744</v>
      </c>
      <c r="E24688" s="41" t="n">
        <v>27582.428</v>
      </c>
    </row>
    <row r="24689">
      <c r="A24689" s="42">
        <f>_xlfn.XLOOKUP(85855,Trip[shape_id],Trip[shape_id],"Não encontrado")</f>
        <v/>
      </c>
      <c r="B24689" s="43" t="n">
        <v>-23.508135</v>
      </c>
      <c r="C24689" s="43" t="n">
        <v>-46.5712</v>
      </c>
      <c r="D24689" s="43" t="n">
        <v>745</v>
      </c>
      <c r="E24689" s="44" t="n">
        <v>27582.428</v>
      </c>
    </row>
    <row r="24690">
      <c r="A24690" s="39">
        <f>_xlfn.XLOOKUP(85855,Trip[shape_id],Trip[shape_id],"Não encontrado")</f>
        <v/>
      </c>
      <c r="B24690" s="40" t="n">
        <v>-23.508291</v>
      </c>
      <c r="C24690" s="40" t="n">
        <v>-46.571195</v>
      </c>
      <c r="D24690" s="40" t="n">
        <v>746</v>
      </c>
      <c r="E24690" s="41" t="n">
        <v>27599.713</v>
      </c>
    </row>
    <row r="24691">
      <c r="A24691" s="42">
        <f>_xlfn.XLOOKUP(85855,Trip[shape_id],Trip[shape_id],"Não encontrado")</f>
        <v/>
      </c>
      <c r="B24691" s="43" t="n">
        <v>-23.508493</v>
      </c>
      <c r="C24691" s="43" t="n">
        <v>-46.571202</v>
      </c>
      <c r="D24691" s="43" t="n">
        <v>747</v>
      </c>
      <c r="E24691" s="44" t="n">
        <v>27622.096</v>
      </c>
    </row>
    <row r="24692">
      <c r="A24692" s="39">
        <f>_xlfn.XLOOKUP(85855,Trip[shape_id],Trip[shape_id],"Não encontrado")</f>
        <v/>
      </c>
      <c r="B24692" s="40" t="n">
        <v>-23.508856</v>
      </c>
      <c r="C24692" s="40" t="n">
        <v>-46.571209</v>
      </c>
      <c r="D24692" s="40" t="n">
        <v>748</v>
      </c>
      <c r="E24692" s="41" t="n">
        <v>27662.305</v>
      </c>
    </row>
    <row r="24693">
      <c r="A24693" s="42">
        <f>_xlfn.XLOOKUP(85855,Trip[shape_id],Trip[shape_id],"Não encontrado")</f>
        <v/>
      </c>
      <c r="B24693" s="43" t="n">
        <v>-23.509295</v>
      </c>
      <c r="C24693" s="43" t="n">
        <v>-46.571223</v>
      </c>
      <c r="D24693" s="43" t="n">
        <v>749</v>
      </c>
      <c r="E24693" s="44" t="n">
        <v>27710.945</v>
      </c>
    </row>
    <row r="24694">
      <c r="A24694" s="39">
        <f>_xlfn.XLOOKUP(85855,Trip[shape_id],Trip[shape_id],"Não encontrado")</f>
        <v/>
      </c>
      <c r="B24694" s="40" t="n">
        <v>-23.509617</v>
      </c>
      <c r="C24694" s="40" t="n">
        <v>-46.571229</v>
      </c>
      <c r="D24694" s="40" t="n">
        <v>750</v>
      </c>
      <c r="E24694" s="41" t="n">
        <v>27746.613</v>
      </c>
    </row>
    <row r="24695">
      <c r="A24695" s="42">
        <f>_xlfn.XLOOKUP(85855,Trip[shape_id],Trip[shape_id],"Não encontrado")</f>
        <v/>
      </c>
      <c r="B24695" s="43" t="n">
        <v>-23.509973</v>
      </c>
      <c r="C24695" s="43" t="n">
        <v>-46.571237</v>
      </c>
      <c r="D24695" s="43" t="n">
        <v>751</v>
      </c>
      <c r="E24695" s="44" t="n">
        <v>27786.049</v>
      </c>
    </row>
    <row r="24696">
      <c r="A24696" s="39">
        <f>_xlfn.XLOOKUP(85855,Trip[shape_id],Trip[shape_id],"Não encontrado")</f>
        <v/>
      </c>
      <c r="B24696" s="40" t="n">
        <v>-23.510529</v>
      </c>
      <c r="C24696" s="40" t="n">
        <v>-46.57126</v>
      </c>
      <c r="D24696" s="40" t="n">
        <v>752</v>
      </c>
      <c r="E24696" s="41" t="n">
        <v>27847.672</v>
      </c>
    </row>
    <row r="24697">
      <c r="A24697" s="42">
        <f>_xlfn.XLOOKUP(85855,Trip[shape_id],Trip[shape_id],"Não encontrado")</f>
        <v/>
      </c>
      <c r="B24697" s="43" t="n">
        <v>-23.51164</v>
      </c>
      <c r="C24697" s="43" t="n">
        <v>-46.571289</v>
      </c>
      <c r="D24697" s="43" t="n">
        <v>753</v>
      </c>
      <c r="E24697" s="44" t="n">
        <v>27970.752</v>
      </c>
    </row>
    <row r="24698">
      <c r="A24698" s="39">
        <f>_xlfn.XLOOKUP(85855,Trip[shape_id],Trip[shape_id],"Não encontrado")</f>
        <v/>
      </c>
      <c r="B24698" s="40" t="n">
        <v>-23.512674</v>
      </c>
      <c r="C24698" s="40" t="n">
        <v>-46.571321</v>
      </c>
      <c r="D24698" s="40" t="n">
        <v>754</v>
      </c>
      <c r="E24698" s="41" t="n">
        <v>28085.314</v>
      </c>
    </row>
    <row r="24699">
      <c r="A24699" s="42">
        <f>_xlfn.XLOOKUP(85855,Trip[shape_id],Trip[shape_id],"Não encontrado")</f>
        <v/>
      </c>
      <c r="B24699" s="43" t="n">
        <v>-23.513679</v>
      </c>
      <c r="C24699" s="43" t="n">
        <v>-46.571356</v>
      </c>
      <c r="D24699" s="43" t="n">
        <v>755</v>
      </c>
      <c r="E24699" s="44" t="n">
        <v>28196.678</v>
      </c>
    </row>
    <row r="24700">
      <c r="A24700" s="39">
        <f>_xlfn.XLOOKUP(85855,Trip[shape_id],Trip[shape_id],"Não encontrado")</f>
        <v/>
      </c>
      <c r="B24700" s="40" t="n">
        <v>-23.514024</v>
      </c>
      <c r="C24700" s="40" t="n">
        <v>-46.571364</v>
      </c>
      <c r="D24700" s="40" t="n">
        <v>756</v>
      </c>
      <c r="E24700" s="41" t="n">
        <v>28234.896</v>
      </c>
    </row>
    <row r="24701">
      <c r="A24701" s="42">
        <f>_xlfn.XLOOKUP(85855,Trip[shape_id],Trip[shape_id],"Não encontrado")</f>
        <v/>
      </c>
      <c r="B24701" s="43" t="n">
        <v>-23.514325</v>
      </c>
      <c r="C24701" s="43" t="n">
        <v>-46.571376</v>
      </c>
      <c r="D24701" s="43" t="n">
        <v>757</v>
      </c>
      <c r="E24701" s="44" t="n">
        <v>28268.256</v>
      </c>
    </row>
    <row r="24702">
      <c r="A24702" s="39">
        <f>_xlfn.XLOOKUP(85855,Trip[shape_id],Trip[shape_id],"Não encontrado")</f>
        <v/>
      </c>
      <c r="B24702" s="40" t="n">
        <v>-23.514607</v>
      </c>
      <c r="C24702" s="40" t="n">
        <v>-46.571382</v>
      </c>
      <c r="D24702" s="40" t="n">
        <v>758</v>
      </c>
      <c r="E24702" s="41" t="n">
        <v>28299.494</v>
      </c>
    </row>
    <row r="24703">
      <c r="A24703" s="42">
        <f>_xlfn.XLOOKUP(85855,Trip[shape_id],Trip[shape_id],"Não encontrado")</f>
        <v/>
      </c>
      <c r="B24703" s="43" t="n">
        <v>-23.514621</v>
      </c>
      <c r="C24703" s="43" t="n">
        <v>-46.571151</v>
      </c>
      <c r="D24703" s="43" t="n">
        <v>759</v>
      </c>
      <c r="E24703" s="44" t="n">
        <v>28323.137</v>
      </c>
    </row>
    <row r="24704">
      <c r="A24704" s="39">
        <f>_xlfn.XLOOKUP(85855,Trip[shape_id],Trip[shape_id],"Não encontrado")</f>
        <v/>
      </c>
      <c r="B24704" s="40" t="n">
        <v>-23.514255</v>
      </c>
      <c r="C24704" s="40" t="n">
        <v>-46.571144</v>
      </c>
      <c r="D24704" s="40" t="n">
        <v>760</v>
      </c>
      <c r="E24704" s="41" t="n">
        <v>28395.02</v>
      </c>
    </row>
    <row r="24705">
      <c r="A24705" s="42">
        <f>_xlfn.XLOOKUP(85855,Trip[shape_id],Trip[shape_id],"Não encontrado")</f>
        <v/>
      </c>
      <c r="B24705" s="43" t="n">
        <v>-23.513972</v>
      </c>
      <c r="C24705" s="43" t="n">
        <v>-46.571143</v>
      </c>
      <c r="D24705" s="43" t="n">
        <v>761</v>
      </c>
      <c r="E24705" s="44" t="n">
        <v>28395.02</v>
      </c>
    </row>
    <row r="24706">
      <c r="A24706" s="39">
        <f>_xlfn.XLOOKUP(85855,Trip[shape_id],Trip[shape_id],"Não encontrado")</f>
        <v/>
      </c>
      <c r="B24706" s="40" t="n">
        <v>-23.514251</v>
      </c>
      <c r="C24706" s="40" t="n">
        <v>-46.570874</v>
      </c>
      <c r="D24706" s="40" t="n">
        <v>762</v>
      </c>
      <c r="E24706" s="41" t="n">
        <v>28463.428</v>
      </c>
    </row>
    <row r="24707">
      <c r="A24707" s="42">
        <f>_xlfn.XLOOKUP(85855,Trip[shape_id],Trip[shape_id],"Não encontrado")</f>
        <v/>
      </c>
      <c r="B24707" s="43" t="n">
        <v>-23.514432</v>
      </c>
      <c r="C24707" s="43" t="n">
        <v>-46.570696</v>
      </c>
      <c r="D24707" s="43" t="n">
        <v>763</v>
      </c>
      <c r="E24707" s="44" t="n">
        <v>28475.141</v>
      </c>
    </row>
    <row r="24708">
      <c r="A24708" s="39">
        <f>_xlfn.XLOOKUP(85855,Trip[shape_id],Trip[shape_id],"Não encontrado")</f>
        <v/>
      </c>
      <c r="B24708" s="40" t="n">
        <v>-23.514512</v>
      </c>
      <c r="C24708" s="40" t="n">
        <v>-46.570621</v>
      </c>
      <c r="D24708" s="40" t="n">
        <v>764</v>
      </c>
      <c r="E24708" s="41" t="n">
        <v>28533.086</v>
      </c>
    </row>
    <row r="24709">
      <c r="A24709" s="42">
        <f>_xlfn.XLOOKUP(85855,Trip[shape_id],Trip[shape_id],"Não encontrado")</f>
        <v/>
      </c>
      <c r="B24709" s="43" t="n">
        <v>-23.514903</v>
      </c>
      <c r="C24709" s="43" t="n">
        <v>-46.570244</v>
      </c>
      <c r="D24709" s="43" t="n">
        <v>765</v>
      </c>
      <c r="E24709" s="44" t="n">
        <v>28533.086</v>
      </c>
    </row>
    <row r="24710">
      <c r="A24710" s="39">
        <f>_xlfn.XLOOKUP(85855,Trip[shape_id],Trip[shape_id],"Não encontrado")</f>
        <v/>
      </c>
      <c r="B24710" s="40" t="n">
        <v>-23.514964</v>
      </c>
      <c r="C24710" s="40" t="n">
        <v>-46.570187</v>
      </c>
      <c r="D24710" s="40" t="n">
        <v>766</v>
      </c>
      <c r="E24710" s="41" t="n">
        <v>28542.004</v>
      </c>
    </row>
    <row r="24711">
      <c r="A24711" s="42">
        <f>_xlfn.XLOOKUP(85855,Trip[shape_id],Trip[shape_id],"Não encontrado")</f>
        <v/>
      </c>
      <c r="B24711" s="43" t="n">
        <v>-23.514903</v>
      </c>
      <c r="C24711" s="43" t="n">
        <v>-46.570244</v>
      </c>
      <c r="D24711" s="43" t="n">
        <v>767</v>
      </c>
      <c r="E24711" s="44" t="n">
        <v>28550.922</v>
      </c>
    </row>
    <row r="24712">
      <c r="A24712" s="39">
        <f>_xlfn.XLOOKUP(85855,Trip[shape_id],Trip[shape_id],"Não encontrado")</f>
        <v/>
      </c>
      <c r="B24712" s="40" t="n">
        <v>-23.515758</v>
      </c>
      <c r="C24712" s="40" t="n">
        <v>-46.570266</v>
      </c>
      <c r="D24712" s="40" t="n">
        <v>768</v>
      </c>
      <c r="E24712" s="41" t="n">
        <v>28645.641</v>
      </c>
    </row>
    <row r="24713">
      <c r="A24713" s="42">
        <f>_xlfn.XLOOKUP(85855,Trip[shape_id],Trip[shape_id],"Não encontrado")</f>
        <v/>
      </c>
      <c r="B24713" s="43" t="n">
        <v>-23.516081</v>
      </c>
      <c r="C24713" s="43" t="n">
        <v>-46.570281</v>
      </c>
      <c r="D24713" s="43" t="n">
        <v>769</v>
      </c>
      <c r="E24713" s="44" t="n">
        <v>28681.445</v>
      </c>
    </row>
    <row r="24714">
      <c r="A24714" s="39">
        <f>_xlfn.XLOOKUP(85855,Trip[shape_id],Trip[shape_id],"Não encontrado")</f>
        <v/>
      </c>
      <c r="B24714" s="40" t="n">
        <v>-23.516743</v>
      </c>
      <c r="C24714" s="40" t="n">
        <v>-46.5703</v>
      </c>
      <c r="D24714" s="40" t="n">
        <v>770</v>
      </c>
      <c r="E24714" s="41" t="n">
        <v>28754.789</v>
      </c>
    </row>
    <row r="24715">
      <c r="A24715" s="42">
        <f>_xlfn.XLOOKUP(85855,Trip[shape_id],Trip[shape_id],"Não encontrado")</f>
        <v/>
      </c>
      <c r="B24715" s="43" t="n">
        <v>-23.517437</v>
      </c>
      <c r="C24715" s="43" t="n">
        <v>-46.570324</v>
      </c>
      <c r="D24715" s="43" t="n">
        <v>771</v>
      </c>
      <c r="E24715" s="44" t="n">
        <v>28831.689</v>
      </c>
    </row>
    <row r="24716">
      <c r="A24716" s="39">
        <f>_xlfn.XLOOKUP(85855,Trip[shape_id],Trip[shape_id],"Não encontrado")</f>
        <v/>
      </c>
      <c r="B24716" s="40" t="n">
        <v>-23.518143</v>
      </c>
      <c r="C24716" s="40" t="n">
        <v>-46.570347</v>
      </c>
      <c r="D24716" s="40" t="n">
        <v>772</v>
      </c>
      <c r="E24716" s="41" t="n">
        <v>28909.916</v>
      </c>
    </row>
    <row r="24717">
      <c r="A24717" s="42">
        <f>_xlfn.XLOOKUP(85855,Trip[shape_id],Trip[shape_id],"Não encontrado")</f>
        <v/>
      </c>
      <c r="B24717" s="43" t="n">
        <v>-23.518797</v>
      </c>
      <c r="C24717" s="43" t="n">
        <v>-46.570371</v>
      </c>
      <c r="D24717" s="43" t="n">
        <v>773</v>
      </c>
      <c r="E24717" s="44" t="n">
        <v>28982.389</v>
      </c>
    </row>
    <row r="24718">
      <c r="A24718" s="39">
        <f>_xlfn.XLOOKUP(85855,Trip[shape_id],Trip[shape_id],"Não encontrado")</f>
        <v/>
      </c>
      <c r="B24718" s="40" t="n">
        <v>-23.519328</v>
      </c>
      <c r="C24718" s="40" t="n">
        <v>-46.570386</v>
      </c>
      <c r="D24718" s="40" t="n">
        <v>774</v>
      </c>
      <c r="E24718" s="41" t="n">
        <v>29041.217</v>
      </c>
    </row>
    <row r="24719">
      <c r="A24719" s="42">
        <f>_xlfn.XLOOKUP(85855,Trip[shape_id],Trip[shape_id],"Não encontrado")</f>
        <v/>
      </c>
      <c r="B24719" s="43" t="n">
        <v>-23.519614</v>
      </c>
      <c r="C24719" s="43" t="n">
        <v>-46.570394</v>
      </c>
      <c r="D24719" s="43" t="n">
        <v>775</v>
      </c>
      <c r="E24719" s="44" t="n">
        <v>29072.902</v>
      </c>
    </row>
    <row r="24720">
      <c r="A24720" s="39">
        <f>_xlfn.XLOOKUP(85855,Trip[shape_id],Trip[shape_id],"Não encontrado")</f>
        <v/>
      </c>
      <c r="B24720" s="40" t="n">
        <v>-23.519811</v>
      </c>
      <c r="C24720" s="40" t="n">
        <v>-46.570405</v>
      </c>
      <c r="D24720" s="40" t="n">
        <v>776</v>
      </c>
      <c r="E24720" s="41" t="n">
        <v>29094.75</v>
      </c>
    </row>
    <row r="24721">
      <c r="A24721" s="42">
        <f>_xlfn.XLOOKUP(85855,Trip[shape_id],Trip[shape_id],"Não encontrado")</f>
        <v/>
      </c>
      <c r="B24721" s="43" t="n">
        <v>-23.519994</v>
      </c>
      <c r="C24721" s="43" t="n">
        <v>-46.570454</v>
      </c>
      <c r="D24721" s="43" t="n">
        <v>777</v>
      </c>
      <c r="E24721" s="44" t="n">
        <v>29115.625</v>
      </c>
    </row>
    <row r="24722">
      <c r="A24722" s="39">
        <f>_xlfn.XLOOKUP(85855,Trip[shape_id],Trip[shape_id],"Não encontrado")</f>
        <v/>
      </c>
      <c r="B24722" s="40" t="n">
        <v>-23.520116</v>
      </c>
      <c r="C24722" s="40" t="n">
        <v>-46.570416</v>
      </c>
      <c r="D24722" s="40" t="n">
        <v>778</v>
      </c>
      <c r="E24722" s="41" t="n">
        <v>29129.684</v>
      </c>
    </row>
    <row r="24723">
      <c r="A24723" s="42">
        <f>_xlfn.XLOOKUP(85855,Trip[shape_id],Trip[shape_id],"Não encontrado")</f>
        <v/>
      </c>
      <c r="B24723" s="43" t="n">
        <v>-23.520271</v>
      </c>
      <c r="C24723" s="43" t="n">
        <v>-46.570372</v>
      </c>
      <c r="D24723" s="43" t="n">
        <v>779</v>
      </c>
      <c r="E24723" s="44" t="n">
        <v>29182.463</v>
      </c>
    </row>
    <row r="24724">
      <c r="A24724" s="39">
        <f>_xlfn.XLOOKUP(85855,Trip[shape_id],Trip[shape_id],"Não encontrado")</f>
        <v/>
      </c>
      <c r="B24724" s="40" t="n">
        <v>-23.52057</v>
      </c>
      <c r="C24724" s="40" t="n">
        <v>-46.57026</v>
      </c>
      <c r="D24724" s="40" t="n">
        <v>780</v>
      </c>
      <c r="E24724" s="41" t="n">
        <v>29221.99</v>
      </c>
    </row>
    <row r="24725">
      <c r="A24725" s="42">
        <f>_xlfn.XLOOKUP(85855,Trip[shape_id],Trip[shape_id],"Não encontrado")</f>
        <v/>
      </c>
      <c r="B24725" s="43" t="n">
        <v>-23.520863</v>
      </c>
      <c r="C24725" s="43" t="n">
        <v>-46.570039</v>
      </c>
      <c r="D24725" s="43" t="n">
        <v>781</v>
      </c>
      <c r="E24725" s="44" t="n">
        <v>29246.328</v>
      </c>
    </row>
    <row r="24726">
      <c r="A24726" s="39">
        <f>_xlfn.XLOOKUP(85855,Trip[shape_id],Trip[shape_id],"Não encontrado")</f>
        <v/>
      </c>
      <c r="B24726" s="40" t="n">
        <v>-23.521017</v>
      </c>
      <c r="C24726" s="40" t="n">
        <v>-46.569869</v>
      </c>
      <c r="D24726" s="40" t="n">
        <v>782</v>
      </c>
      <c r="E24726" s="41" t="n">
        <v>29263.045</v>
      </c>
    </row>
    <row r="24727">
      <c r="A24727" s="42">
        <f>_xlfn.XLOOKUP(85855,Trip[shape_id],Trip[shape_id],"Não encontrado")</f>
        <v/>
      </c>
      <c r="B24727" s="43" t="n">
        <v>-23.521105</v>
      </c>
      <c r="C24727" s="43" t="n">
        <v>-46.569736</v>
      </c>
      <c r="D24727" s="43" t="n">
        <v>783</v>
      </c>
      <c r="E24727" s="44" t="n">
        <v>29263.045</v>
      </c>
    </row>
    <row r="24728">
      <c r="A24728" s="39">
        <f>_xlfn.XLOOKUP(85855,Trip[shape_id],Trip[shape_id],"Não encontrado")</f>
        <v/>
      </c>
      <c r="B24728" s="40" t="n">
        <v>-23.522302</v>
      </c>
      <c r="C24728" s="40" t="n">
        <v>-46.569755</v>
      </c>
      <c r="D24728" s="40" t="n">
        <v>784</v>
      </c>
      <c r="E24728" s="41" t="n">
        <v>29395.629</v>
      </c>
    </row>
    <row r="24729">
      <c r="A24729" s="42">
        <f>_xlfn.XLOOKUP(85855,Trip[shape_id],Trip[shape_id],"Não encontrado")</f>
        <v/>
      </c>
      <c r="B24729" s="43" t="n">
        <v>-23.522333</v>
      </c>
      <c r="C24729" s="43" t="n">
        <v>-46.569659</v>
      </c>
      <c r="D24729" s="43" t="n">
        <v>785</v>
      </c>
      <c r="E24729" s="44" t="n">
        <v>29419.113</v>
      </c>
    </row>
    <row r="24730">
      <c r="A24730" s="39">
        <f>_xlfn.XLOOKUP(85855,Trip[shape_id],Trip[shape_id],"Não encontrado")</f>
        <v/>
      </c>
      <c r="B24730" s="40" t="n">
        <v>-23.522355</v>
      </c>
      <c r="C24730" s="40" t="n">
        <v>-46.569533</v>
      </c>
      <c r="D24730" s="40" t="n">
        <v>786</v>
      </c>
      <c r="E24730" s="41" t="n">
        <v>29436.34</v>
      </c>
    </row>
    <row r="24731">
      <c r="A24731" s="42">
        <f>_xlfn.XLOOKUP(85855,Trip[shape_id],Trip[shape_id],"Não encontrado")</f>
        <v/>
      </c>
      <c r="B24731" s="43" t="n">
        <v>-23.522369</v>
      </c>
      <c r="C24731" s="43" t="n">
        <v>-46.569365</v>
      </c>
      <c r="D24731" s="43" t="n">
        <v>787</v>
      </c>
      <c r="E24731" s="44" t="n">
        <v>29468.648</v>
      </c>
    </row>
    <row r="24732">
      <c r="A24732" s="39">
        <f>_xlfn.XLOOKUP(85855,Trip[shape_id],Trip[shape_id],"Não encontrado")</f>
        <v/>
      </c>
      <c r="B24732" s="40" t="n">
        <v>-23.522383</v>
      </c>
      <c r="C24732" s="40" t="n">
        <v>-46.569049</v>
      </c>
      <c r="D24732" s="40" t="n">
        <v>788</v>
      </c>
      <c r="E24732" s="41" t="n">
        <v>29468.648</v>
      </c>
    </row>
    <row r="24733">
      <c r="A24733" s="42">
        <f>_xlfn.XLOOKUP(85855,Trip[shape_id],Trip[shape_id],"Não encontrado")</f>
        <v/>
      </c>
      <c r="B24733" s="43" t="n">
        <v>-23.522403</v>
      </c>
      <c r="C24733" s="43" t="n">
        <v>-46.568321</v>
      </c>
      <c r="D24733" s="43" t="n">
        <v>789</v>
      </c>
      <c r="E24733" s="44" t="n">
        <v>29543.027</v>
      </c>
    </row>
    <row r="24734">
      <c r="A24734" s="39">
        <f>_xlfn.XLOOKUP(85855,Trip[shape_id],Trip[shape_id],"Não encontrado")</f>
        <v/>
      </c>
      <c r="B24734" s="40" t="n">
        <v>-23.522411</v>
      </c>
      <c r="C24734" s="40" t="n">
        <v>-46.568171</v>
      </c>
      <c r="D24734" s="40" t="n">
        <v>790</v>
      </c>
      <c r="E24734" s="41" t="n">
        <v>29558.371</v>
      </c>
    </row>
    <row r="24735">
      <c r="A24735" s="42">
        <f>_xlfn.XLOOKUP(85855,Trip[shape_id],Trip[shape_id],"Não encontrado")</f>
        <v/>
      </c>
      <c r="B24735" s="43" t="n">
        <v>-23.521315</v>
      </c>
      <c r="C24735" s="43" t="n">
        <v>-46.568132</v>
      </c>
      <c r="D24735" s="43" t="n">
        <v>791</v>
      </c>
      <c r="E24735" s="44" t="n">
        <v>29679.82</v>
      </c>
    </row>
    <row r="24736">
      <c r="A24736" s="39">
        <f>_xlfn.XLOOKUP(85855,Trip[shape_id],Trip[shape_id],"Não encontrado")</f>
        <v/>
      </c>
      <c r="B24736" s="40" t="n">
        <v>-23.521338</v>
      </c>
      <c r="C24736" s="40" t="n">
        <v>-46.567597</v>
      </c>
      <c r="D24736" s="40" t="n">
        <v>792</v>
      </c>
      <c r="E24736" s="41" t="n">
        <v>29737.545</v>
      </c>
    </row>
    <row r="24737">
      <c r="A24737" s="42">
        <f>_xlfn.XLOOKUP(85855,Trip[shape_id],Trip[shape_id],"Não encontrado")</f>
        <v/>
      </c>
      <c r="B24737" s="43" t="n">
        <v>-23.521329</v>
      </c>
      <c r="C24737" s="43" t="n">
        <v>-46.567569</v>
      </c>
      <c r="D24737" s="43" t="n">
        <v>793</v>
      </c>
      <c r="E24737" s="44" t="n">
        <v>29741.168</v>
      </c>
    </row>
    <row r="24738">
      <c r="A24738" s="39">
        <f>_xlfn.XLOOKUP(85855,Trip[shape_id],Trip[shape_id],"Não encontrado")</f>
        <v/>
      </c>
      <c r="B24738" s="40" t="n">
        <v>-23.521341</v>
      </c>
      <c r="C24738" s="40" t="n">
        <v>-46.567536</v>
      </c>
      <c r="D24738" s="40" t="n">
        <v>794</v>
      </c>
      <c r="E24738" s="41" t="n">
        <v>29755.176</v>
      </c>
    </row>
    <row r="24739">
      <c r="A24739" s="42">
        <f>_xlfn.XLOOKUP(85855,Trip[shape_id],Trip[shape_id],"Não encontrado")</f>
        <v/>
      </c>
      <c r="B24739" s="43" t="n">
        <v>-23.521347</v>
      </c>
      <c r="C24739" s="43" t="n">
        <v>-46.567399</v>
      </c>
      <c r="D24739" s="43" t="n">
        <v>795</v>
      </c>
      <c r="E24739" s="44" t="n">
        <v>29755.176</v>
      </c>
    </row>
    <row r="24740">
      <c r="A24740" s="39">
        <f>_xlfn.XLOOKUP(85855,Trip[shape_id],Trip[shape_id],"Não encontrado")</f>
        <v/>
      </c>
      <c r="B24740" s="40" t="n">
        <v>-23.521321</v>
      </c>
      <c r="C24740" s="40" t="n">
        <v>-46.567055</v>
      </c>
      <c r="D24740" s="40" t="n">
        <v>796</v>
      </c>
      <c r="E24740" s="41" t="n">
        <v>29816.822</v>
      </c>
    </row>
    <row r="24741">
      <c r="A24741" s="42">
        <f>_xlfn.XLOOKUP(85855,Trip[shape_id],Trip[shape_id],"Não encontrado")</f>
        <v/>
      </c>
      <c r="B24741" s="43" t="n">
        <v>-23.521257</v>
      </c>
      <c r="C24741" s="43" t="n">
        <v>-46.566806</v>
      </c>
      <c r="D24741" s="43" t="n">
        <v>797</v>
      </c>
      <c r="E24741" s="44" t="n">
        <v>29833.076</v>
      </c>
    </row>
    <row r="24742">
      <c r="A24742" s="39">
        <f>_xlfn.XLOOKUP(85855,Trip[shape_id],Trip[shape_id],"Não encontrado")</f>
        <v/>
      </c>
      <c r="B24742" s="40" t="n">
        <v>-23.521175</v>
      </c>
      <c r="C24742" s="40" t="n">
        <v>-46.566674</v>
      </c>
      <c r="D24742" s="40" t="n">
        <v>798</v>
      </c>
      <c r="E24742" s="41" t="n">
        <v>29833.076</v>
      </c>
    </row>
    <row r="24743">
      <c r="A24743" s="42">
        <f>_xlfn.XLOOKUP(85855,Trip[shape_id],Trip[shape_id],"Não encontrado")</f>
        <v/>
      </c>
      <c r="B24743" s="43" t="n">
        <v>-23.521041</v>
      </c>
      <c r="C24743" s="43" t="n">
        <v>-46.566478</v>
      </c>
      <c r="D24743" s="43" t="n">
        <v>799</v>
      </c>
      <c r="E24743" s="44" t="n">
        <v>29875.846</v>
      </c>
    </row>
    <row r="24744">
      <c r="A24744" s="39">
        <f>_xlfn.XLOOKUP(85855,Trip[shape_id],Trip[shape_id],"Não encontrado")</f>
        <v/>
      </c>
      <c r="B24744" s="40" t="n">
        <v>-23.520947</v>
      </c>
      <c r="C24744" s="40" t="n">
        <v>-46.566336</v>
      </c>
      <c r="D24744" s="40" t="n">
        <v>800</v>
      </c>
      <c r="E24744" s="41" t="n">
        <v>29909.918</v>
      </c>
    </row>
    <row r="24745">
      <c r="A24745" s="42">
        <f>_xlfn.XLOOKUP(85855,Trip[shape_id],Trip[shape_id],"Não encontrado")</f>
        <v/>
      </c>
      <c r="B24745" s="43" t="n">
        <v>-23.520705</v>
      </c>
      <c r="C24745" s="43" t="n">
        <v>-46.56613</v>
      </c>
      <c r="D24745" s="43" t="n">
        <v>801</v>
      </c>
      <c r="E24745" s="44" t="n">
        <v>29909.918</v>
      </c>
    </row>
    <row r="24746">
      <c r="A24746" s="39">
        <f>_xlfn.XLOOKUP(85855,Trip[shape_id],Trip[shape_id],"Não encontrado")</f>
        <v/>
      </c>
      <c r="B24746" s="40" t="n">
        <v>-23.520571</v>
      </c>
      <c r="C24746" s="40" t="n">
        <v>-46.566055</v>
      </c>
      <c r="D24746" s="40" t="n">
        <v>802</v>
      </c>
      <c r="E24746" s="41" t="n">
        <v>29950.189</v>
      </c>
    </row>
    <row r="24747">
      <c r="A24747" s="42">
        <f>_xlfn.XLOOKUP(85855,Trip[shape_id],Trip[shape_id],"Não encontrado")</f>
        <v/>
      </c>
      <c r="B24747" s="43" t="n">
        <v>-23.520365</v>
      </c>
      <c r="C24747" s="43" t="n">
        <v>-46.565997</v>
      </c>
      <c r="D24747" s="43" t="n">
        <v>803</v>
      </c>
      <c r="E24747" s="44" t="n">
        <v>29970.461</v>
      </c>
    </row>
    <row r="24748">
      <c r="A24748" s="39">
        <f>_xlfn.XLOOKUP(85855,Trip[shape_id],Trip[shape_id],"Não encontrado")</f>
        <v/>
      </c>
      <c r="B24748" s="40" t="n">
        <v>-23.520185</v>
      </c>
      <c r="C24748" s="40" t="n">
        <v>-46.565961</v>
      </c>
      <c r="D24748" s="40" t="n">
        <v>804</v>
      </c>
      <c r="E24748" s="41" t="n">
        <v>30005.047</v>
      </c>
    </row>
    <row r="24749">
      <c r="A24749" s="42">
        <f>_xlfn.XLOOKUP(85855,Trip[shape_id],Trip[shape_id],"Não encontrado")</f>
        <v/>
      </c>
      <c r="B24749" s="43" t="n">
        <v>-23.519878</v>
      </c>
      <c r="C24749" s="43" t="n">
        <v>-46.565899</v>
      </c>
      <c r="D24749" s="43" t="n">
        <v>805</v>
      </c>
      <c r="E24749" s="44" t="n">
        <v>30005.047</v>
      </c>
    </row>
    <row r="24750">
      <c r="A24750" s="39">
        <f>_xlfn.XLOOKUP(85855,Trip[shape_id],Trip[shape_id],"Não encontrado")</f>
        <v/>
      </c>
      <c r="B24750" s="40" t="n">
        <v>-23.520516</v>
      </c>
      <c r="C24750" s="40" t="n">
        <v>-46.565312</v>
      </c>
      <c r="D24750" s="40" t="n">
        <v>806</v>
      </c>
      <c r="E24750" s="41" t="n">
        <v>30097.711</v>
      </c>
    </row>
    <row r="24751">
      <c r="A24751" s="42">
        <f>_xlfn.XLOOKUP(85855,Trip[shape_id],Trip[shape_id],"Não encontrado")</f>
        <v/>
      </c>
      <c r="B24751" s="43" t="n">
        <v>-23.520869</v>
      </c>
      <c r="C24751" s="43" t="n">
        <v>-46.56495</v>
      </c>
      <c r="D24751" s="43" t="n">
        <v>807</v>
      </c>
      <c r="E24751" s="44" t="n">
        <v>30151.518</v>
      </c>
    </row>
    <row r="24752">
      <c r="A24752" s="39">
        <f>_xlfn.XLOOKUP(85855,Trip[shape_id],Trip[shape_id],"Não encontrado")</f>
        <v/>
      </c>
      <c r="B24752" s="40" t="n">
        <v>-23.521094</v>
      </c>
      <c r="C24752" s="40" t="n">
        <v>-46.564721</v>
      </c>
      <c r="D24752" s="40" t="n">
        <v>808</v>
      </c>
      <c r="E24752" s="41" t="n">
        <v>30185.691</v>
      </c>
    </row>
    <row r="24753">
      <c r="A24753" s="42">
        <f>_xlfn.XLOOKUP(85855,Trip[shape_id],Trip[shape_id],"Não encontrado")</f>
        <v/>
      </c>
      <c r="B24753" s="43" t="n">
        <v>-23.521677</v>
      </c>
      <c r="C24753" s="43" t="n">
        <v>-46.564183</v>
      </c>
      <c r="D24753" s="43" t="n">
        <v>809</v>
      </c>
      <c r="E24753" s="44" t="n">
        <v>30270.473</v>
      </c>
    </row>
    <row r="24754">
      <c r="A24754" s="39">
        <f>_xlfn.XLOOKUP(85855,Trip[shape_id],Trip[shape_id],"Não encontrado")</f>
        <v/>
      </c>
      <c r="B24754" s="40" t="n">
        <v>-23.522117</v>
      </c>
      <c r="C24754" s="40" t="n">
        <v>-46.563791</v>
      </c>
      <c r="D24754" s="40" t="n">
        <v>810</v>
      </c>
      <c r="E24754" s="41" t="n">
        <v>30333.539</v>
      </c>
    </row>
    <row r="24755">
      <c r="A24755" s="42">
        <f>_xlfn.XLOOKUP(85855,Trip[shape_id],Trip[shape_id],"Não encontrado")</f>
        <v/>
      </c>
      <c r="B24755" s="43" t="n">
        <v>-23.521569</v>
      </c>
      <c r="C24755" s="43" t="n">
        <v>-46.562757</v>
      </c>
      <c r="D24755" s="43" t="n">
        <v>811</v>
      </c>
      <c r="E24755" s="44" t="n">
        <v>30455.334</v>
      </c>
    </row>
    <row r="24756">
      <c r="A24756" s="39">
        <f>_xlfn.XLOOKUP(85855,Trip[shape_id],Trip[shape_id],"Não encontrado")</f>
        <v/>
      </c>
      <c r="B24756" s="40" t="n">
        <v>-23.52129</v>
      </c>
      <c r="C24756" s="40" t="n">
        <v>-46.562221</v>
      </c>
      <c r="D24756" s="40" t="n">
        <v>812</v>
      </c>
      <c r="E24756" s="41" t="n">
        <v>30518.191</v>
      </c>
    </row>
    <row r="24757">
      <c r="A24757" s="42">
        <f>_xlfn.XLOOKUP(85855,Trip[shape_id],Trip[shape_id],"Não encontrado")</f>
        <v/>
      </c>
      <c r="B24757" s="43" t="n">
        <v>-23.521235</v>
      </c>
      <c r="C24757" s="43" t="n">
        <v>-46.562121</v>
      </c>
      <c r="D24757" s="43" t="n">
        <v>813</v>
      </c>
      <c r="E24757" s="44" t="n">
        <v>30530.082</v>
      </c>
    </row>
    <row r="24758">
      <c r="A24758" s="39">
        <f>_xlfn.XLOOKUP(85855,Trip[shape_id],Trip[shape_id],"Não encontrado")</f>
        <v/>
      </c>
      <c r="B24758" s="40" t="n">
        <v>-23.521081</v>
      </c>
      <c r="C24758" s="40" t="n">
        <v>-46.561825</v>
      </c>
      <c r="D24758" s="40" t="n">
        <v>814</v>
      </c>
      <c r="E24758" s="41" t="n">
        <v>30564.791</v>
      </c>
    </row>
    <row r="24759">
      <c r="A24759" s="42">
        <f>_xlfn.XLOOKUP(85855,Trip[shape_id],Trip[shape_id],"Não encontrado")</f>
        <v/>
      </c>
      <c r="B24759" s="43" t="n">
        <v>-23.52049</v>
      </c>
      <c r="C24759" s="43" t="n">
        <v>-46.561908</v>
      </c>
      <c r="D24759" s="43" t="n">
        <v>815</v>
      </c>
      <c r="E24759" s="44" t="n">
        <v>30630.791</v>
      </c>
    </row>
    <row r="24760">
      <c r="A24760" s="39">
        <f>_xlfn.XLOOKUP(85855,Trip[shape_id],Trip[shape_id],"Não encontrado")</f>
        <v/>
      </c>
      <c r="B24760" s="40" t="n">
        <v>-23.519802</v>
      </c>
      <c r="C24760" s="40" t="n">
        <v>-46.561998</v>
      </c>
      <c r="D24760" s="40" t="n">
        <v>816</v>
      </c>
      <c r="E24760" s="41" t="n">
        <v>30707.541</v>
      </c>
    </row>
    <row r="24761">
      <c r="A24761" s="42">
        <f>_xlfn.XLOOKUP(85855,Trip[shape_id],Trip[shape_id],"Não encontrado")</f>
        <v/>
      </c>
      <c r="B24761" s="43" t="n">
        <v>-23.519232</v>
      </c>
      <c r="C24761" s="43" t="n">
        <v>-46.562078</v>
      </c>
      <c r="D24761" s="43" t="n">
        <v>817</v>
      </c>
      <c r="E24761" s="44" t="n">
        <v>30771.195</v>
      </c>
    </row>
    <row r="24762">
      <c r="A24762" s="39">
        <f>_xlfn.XLOOKUP(85855,Trip[shape_id],Trip[shape_id],"Não encontrado")</f>
        <v/>
      </c>
      <c r="B24762" s="40" t="n">
        <v>-23.518879</v>
      </c>
      <c r="C24762" s="40" t="n">
        <v>-46.562125</v>
      </c>
      <c r="D24762" s="40" t="n">
        <v>818</v>
      </c>
      <c r="E24762" s="41" t="n">
        <v>30848.311</v>
      </c>
    </row>
    <row r="24763">
      <c r="A24763" s="42">
        <f>_xlfn.XLOOKUP(85855,Trip[shape_id],Trip[shape_id],"Não encontrado")</f>
        <v/>
      </c>
      <c r="B24763" s="43" t="n">
        <v>-23.518541</v>
      </c>
      <c r="C24763" s="43" t="n">
        <v>-46.562171</v>
      </c>
      <c r="D24763" s="43" t="n">
        <v>819</v>
      </c>
      <c r="E24763" s="44" t="n">
        <v>30848.311</v>
      </c>
    </row>
    <row r="24764">
      <c r="A24764" s="39">
        <f>_xlfn.XLOOKUP(85855,Trip[shape_id],Trip[shape_id],"Não encontrado")</f>
        <v/>
      </c>
      <c r="B24764" s="40" t="n">
        <v>-23.517669</v>
      </c>
      <c r="C24764" s="40" t="n">
        <v>-46.562348</v>
      </c>
      <c r="D24764" s="40" t="n">
        <v>820</v>
      </c>
      <c r="E24764" s="41" t="n">
        <v>30946.563</v>
      </c>
    </row>
    <row r="24765">
      <c r="A24765" s="42">
        <f>_xlfn.XLOOKUP(85855,Trip[shape_id],Trip[shape_id],"Não encontrado")</f>
        <v/>
      </c>
      <c r="B24765" s="43" t="n">
        <v>-23.51765</v>
      </c>
      <c r="C24765" s="43" t="n">
        <v>-46.562558</v>
      </c>
      <c r="D24765" s="43" t="n">
        <v>821</v>
      </c>
      <c r="E24765" s="44" t="n">
        <v>30968.111</v>
      </c>
    </row>
    <row r="24766">
      <c r="A24766" s="39">
        <f>_xlfn.XLOOKUP(85855,Trip[shape_id],Trip[shape_id],"Não encontrado")</f>
        <v/>
      </c>
      <c r="B24766" s="40" t="n">
        <v>-23.517647</v>
      </c>
      <c r="C24766" s="40" t="n">
        <v>-46.562923</v>
      </c>
      <c r="D24766" s="40" t="n">
        <v>822</v>
      </c>
      <c r="E24766" s="41" t="n">
        <v>31005.389</v>
      </c>
    </row>
    <row r="24767">
      <c r="A24767" s="42">
        <f>_xlfn.XLOOKUP(85855,Trip[shape_id],Trip[shape_id],"Não encontrado")</f>
        <v/>
      </c>
      <c r="B24767" s="43" t="n">
        <v>-23.51762</v>
      </c>
      <c r="C24767" s="43" t="n">
        <v>-46.563853</v>
      </c>
      <c r="D24767" s="43" t="n">
        <v>823</v>
      </c>
      <c r="E24767" s="44" t="n">
        <v>31100.414</v>
      </c>
    </row>
    <row r="24768">
      <c r="A24768" s="39">
        <f>_xlfn.XLOOKUP(85855,Trip[shape_id],Trip[shape_id],"Não encontrado")</f>
        <v/>
      </c>
      <c r="B24768" s="40" t="n">
        <v>-23.517601</v>
      </c>
      <c r="C24768" s="40" t="n">
        <v>-46.56458</v>
      </c>
      <c r="D24768" s="40" t="n">
        <v>824</v>
      </c>
      <c r="E24768" s="41" t="n">
        <v>31174.691</v>
      </c>
    </row>
    <row r="24769">
      <c r="A24769" s="42">
        <f>_xlfn.XLOOKUP(85855,Trip[shape_id],Trip[shape_id],"Não encontrado")</f>
        <v/>
      </c>
      <c r="B24769" s="43" t="n">
        <v>-23.517565</v>
      </c>
      <c r="C24769" s="43" t="n">
        <v>-46.565847</v>
      </c>
      <c r="D24769" s="43" t="n">
        <v>825</v>
      </c>
      <c r="E24769" s="44" t="n">
        <v>31304.148</v>
      </c>
    </row>
    <row r="24770">
      <c r="A24770" s="39">
        <f>_xlfn.XLOOKUP(85855,Trip[shape_id],Trip[shape_id],"Não encontrado")</f>
        <v/>
      </c>
      <c r="B24770" s="40" t="n">
        <v>-23.517559</v>
      </c>
      <c r="C24770" s="40" t="n">
        <v>-46.566051</v>
      </c>
      <c r="D24770" s="40" t="n">
        <v>826</v>
      </c>
      <c r="E24770" s="41" t="n">
        <v>31324.992</v>
      </c>
    </row>
    <row r="24771">
      <c r="A24771" s="42">
        <f>_xlfn.XLOOKUP(85855,Trip[shape_id],Trip[shape_id],"Não encontrado")</f>
        <v/>
      </c>
      <c r="B24771" s="43" t="n">
        <v>-23.517533</v>
      </c>
      <c r="C24771" s="43" t="n">
        <v>-46.566938</v>
      </c>
      <c r="D24771" s="43" t="n">
        <v>827</v>
      </c>
      <c r="E24771" s="44" t="n">
        <v>31415.625</v>
      </c>
    </row>
    <row r="24772">
      <c r="A24772" s="39">
        <f>_xlfn.XLOOKUP(85855,Trip[shape_id],Trip[shape_id],"Não encontrado")</f>
        <v/>
      </c>
      <c r="B24772" s="40" t="n">
        <v>-23.517515</v>
      </c>
      <c r="C24772" s="40" t="n">
        <v>-46.567667</v>
      </c>
      <c r="D24772" s="40" t="n">
        <v>828</v>
      </c>
      <c r="E24772" s="41" t="n">
        <v>31490.104</v>
      </c>
    </row>
    <row r="24773">
      <c r="A24773" s="42">
        <f>_xlfn.XLOOKUP(85855,Trip[shape_id],Trip[shape_id],"Não encontrado")</f>
        <v/>
      </c>
      <c r="B24773" s="43" t="n">
        <v>-23.517144</v>
      </c>
      <c r="C24773" s="43" t="n">
        <v>-46.567659</v>
      </c>
      <c r="D24773" s="43" t="n">
        <v>829</v>
      </c>
      <c r="E24773" s="44" t="n">
        <v>31563.762</v>
      </c>
    </row>
    <row r="24774">
      <c r="A24774" s="39">
        <f>_xlfn.XLOOKUP(85855,Trip[shape_id],Trip[shape_id],"Não encontrado")</f>
        <v/>
      </c>
      <c r="B24774" s="40" t="n">
        <v>-23.51685</v>
      </c>
      <c r="C24774" s="40" t="n">
        <v>-46.567658</v>
      </c>
      <c r="D24774" s="40" t="n">
        <v>830</v>
      </c>
      <c r="E24774" s="41" t="n">
        <v>31563.762</v>
      </c>
    </row>
    <row r="24775">
      <c r="A24775" s="42">
        <f>_xlfn.XLOOKUP(85855,Trip[shape_id],Trip[shape_id],"Não encontrado")</f>
        <v/>
      </c>
      <c r="B24775" s="43" t="n">
        <v>-23.516726</v>
      </c>
      <c r="C24775" s="43" t="n">
        <v>-46.567689</v>
      </c>
      <c r="D24775" s="43" t="n">
        <v>831</v>
      </c>
      <c r="E24775" s="44" t="n">
        <v>31592.814</v>
      </c>
    </row>
    <row r="24776">
      <c r="A24776" s="39">
        <f>_xlfn.XLOOKUP(85855,Trip[shape_id],Trip[shape_id],"Não encontrado")</f>
        <v/>
      </c>
      <c r="B24776" s="40" t="n">
        <v>-23.516594</v>
      </c>
      <c r="C24776" s="40" t="n">
        <v>-46.56772</v>
      </c>
      <c r="D24776" s="40" t="n">
        <v>832</v>
      </c>
      <c r="E24776" s="41" t="n">
        <v>31616.58</v>
      </c>
    </row>
    <row r="24777">
      <c r="A24777" s="42">
        <f>_xlfn.XLOOKUP(85855,Trip[shape_id],Trip[shape_id],"Não encontrado")</f>
        <v/>
      </c>
      <c r="B24777" s="43" t="n">
        <v>-23.516458</v>
      </c>
      <c r="C24777" s="43" t="n">
        <v>-46.5679</v>
      </c>
      <c r="D24777" s="43" t="n">
        <v>833</v>
      </c>
      <c r="E24777" s="44" t="n">
        <v>31626.043</v>
      </c>
    </row>
    <row r="24778">
      <c r="A24778" s="39">
        <f>_xlfn.XLOOKUP(85855,Trip[shape_id],Trip[shape_id],"Não encontrado")</f>
        <v/>
      </c>
      <c r="B24778" s="40" t="n">
        <v>-23.516424</v>
      </c>
      <c r="C24778" s="40" t="n">
        <v>-46.567985</v>
      </c>
      <c r="D24778" s="40" t="n">
        <v>834</v>
      </c>
      <c r="E24778" s="41" t="n">
        <v>31626.043</v>
      </c>
    </row>
    <row r="24779">
      <c r="A24779" s="42">
        <f>_xlfn.XLOOKUP(85855,Trip[shape_id],Trip[shape_id],"Não encontrado")</f>
        <v/>
      </c>
      <c r="B24779" s="43" t="n">
        <v>-23.515475</v>
      </c>
      <c r="C24779" s="43" t="n">
        <v>-46.567953</v>
      </c>
      <c r="D24779" s="43" t="n">
        <v>835</v>
      </c>
      <c r="E24779" s="44" t="n">
        <v>31731.197</v>
      </c>
    </row>
    <row r="24780">
      <c r="A24780" s="39">
        <f>_xlfn.XLOOKUP(85855,Trip[shape_id],Trip[shape_id],"Não encontrado")</f>
        <v/>
      </c>
      <c r="B24780" s="40" t="n">
        <v>-23.513983</v>
      </c>
      <c r="C24780" s="40" t="n">
        <v>-46.567905</v>
      </c>
      <c r="D24780" s="40" t="n">
        <v>836</v>
      </c>
      <c r="E24780" s="41" t="n">
        <v>31896.512</v>
      </c>
    </row>
    <row r="24781">
      <c r="A24781" s="42">
        <f>_xlfn.XLOOKUP(85855,Trip[shape_id],Trip[shape_id],"Não encontrado")</f>
        <v/>
      </c>
      <c r="B24781" s="43" t="n">
        <v>-23.512765</v>
      </c>
      <c r="C24781" s="43" t="n">
        <v>-46.567859</v>
      </c>
      <c r="D24781" s="43" t="n">
        <v>837</v>
      </c>
      <c r="E24781" s="44" t="n">
        <v>32031.488</v>
      </c>
    </row>
    <row r="24782">
      <c r="A24782" s="39">
        <f>_xlfn.XLOOKUP(85855,Trip[shape_id],Trip[shape_id],"Não encontrado")</f>
        <v/>
      </c>
      <c r="B24782" s="40" t="n">
        <v>-23.511741</v>
      </c>
      <c r="C24782" s="40" t="n">
        <v>-46.567821</v>
      </c>
      <c r="D24782" s="40" t="n">
        <v>838</v>
      </c>
      <c r="E24782" s="41" t="n">
        <v>32144.965</v>
      </c>
    </row>
    <row r="24783">
      <c r="A24783" s="42">
        <f>_xlfn.XLOOKUP(85855,Trip[shape_id],Trip[shape_id],"Não encontrado")</f>
        <v/>
      </c>
      <c r="B24783" s="43" t="n">
        <v>-23.510916</v>
      </c>
      <c r="C24783" s="43" t="n">
        <v>-46.567794</v>
      </c>
      <c r="D24783" s="43" t="n">
        <v>839</v>
      </c>
      <c r="E24783" s="44" t="n">
        <v>32236.377</v>
      </c>
    </row>
    <row r="24784">
      <c r="A24784" s="39">
        <f>_xlfn.XLOOKUP(85855,Trip[shape_id],Trip[shape_id],"Não encontrado")</f>
        <v/>
      </c>
      <c r="B24784" s="40" t="n">
        <v>-23.510616</v>
      </c>
      <c r="C24784" s="40" t="n">
        <v>-46.567783</v>
      </c>
      <c r="D24784" s="40" t="n">
        <v>840</v>
      </c>
      <c r="E24784" s="41" t="n">
        <v>32269.621</v>
      </c>
    </row>
    <row r="24785">
      <c r="A24785" s="42">
        <f>_xlfn.XLOOKUP(85855,Trip[shape_id],Trip[shape_id],"Não encontrado")</f>
        <v/>
      </c>
      <c r="B24785" s="43" t="n">
        <v>-23.51028</v>
      </c>
      <c r="C24785" s="43" t="n">
        <v>-46.567772</v>
      </c>
      <c r="D24785" s="43" t="n">
        <v>841</v>
      </c>
      <c r="E24785" s="44" t="n">
        <v>32306.85</v>
      </c>
    </row>
    <row r="24786">
      <c r="A24786" s="39">
        <f>_xlfn.XLOOKUP(85855,Trip[shape_id],Trip[shape_id],"Não encontrado")</f>
        <v/>
      </c>
      <c r="B24786" s="40" t="n">
        <v>-23.510242</v>
      </c>
      <c r="C24786" s="40" t="n">
        <v>-46.567524</v>
      </c>
      <c r="D24786" s="40" t="n">
        <v>842</v>
      </c>
      <c r="E24786" s="41" t="n">
        <v>32332.525</v>
      </c>
    </row>
    <row r="24787">
      <c r="A24787" s="42">
        <f>_xlfn.XLOOKUP(85855,Trip[shape_id],Trip[shape_id],"Não encontrado")</f>
        <v/>
      </c>
      <c r="B24787" s="43" t="n">
        <v>-23.510084</v>
      </c>
      <c r="C24787" s="43" t="n">
        <v>-46.566957</v>
      </c>
      <c r="D24787" s="43" t="n">
        <v>843</v>
      </c>
      <c r="E24787" s="44" t="n">
        <v>32446.584</v>
      </c>
    </row>
    <row r="24788">
      <c r="A24788" s="39">
        <f>_xlfn.XLOOKUP(85855,Trip[shape_id],Trip[shape_id],"Não encontrado")</f>
        <v/>
      </c>
      <c r="B24788" s="40" t="n">
        <v>-23.509879</v>
      </c>
      <c r="C24788" s="40" t="n">
        <v>-46.566482</v>
      </c>
      <c r="D24788" s="40" t="n">
        <v>844</v>
      </c>
      <c r="E24788" s="41" t="n">
        <v>32446.584</v>
      </c>
    </row>
    <row r="24789">
      <c r="A24789" s="42">
        <f>_xlfn.XLOOKUP(85855,Trip[shape_id],Trip[shape_id],"Não encontrado")</f>
        <v/>
      </c>
      <c r="B24789" s="43" t="n">
        <v>-23.509658</v>
      </c>
      <c r="C24789" s="43" t="n">
        <v>-46.566196</v>
      </c>
      <c r="D24789" s="43" t="n">
        <v>845</v>
      </c>
      <c r="E24789" s="44" t="n">
        <v>32522.697</v>
      </c>
    </row>
    <row r="24790">
      <c r="A24790" s="39">
        <f>_xlfn.XLOOKUP(85855,Trip[shape_id],Trip[shape_id],"Não encontrado")</f>
        <v/>
      </c>
      <c r="B24790" s="40" t="n">
        <v>-23.509419</v>
      </c>
      <c r="C24790" s="40" t="n">
        <v>-46.565929</v>
      </c>
      <c r="D24790" s="40" t="n">
        <v>846</v>
      </c>
      <c r="E24790" s="41" t="n">
        <v>32526.65</v>
      </c>
    </row>
    <row r="24791">
      <c r="A24791" s="42">
        <f>_xlfn.XLOOKUP(85855,Trip[shape_id],Trip[shape_id],"Não encontrado")</f>
        <v/>
      </c>
      <c r="B24791" s="43" t="n">
        <v>-23.509391</v>
      </c>
      <c r="C24791" s="43" t="n">
        <v>-46.565905</v>
      </c>
      <c r="D24791" s="43" t="n">
        <v>847</v>
      </c>
      <c r="E24791" s="44" t="n">
        <v>32558.813</v>
      </c>
    </row>
    <row r="24792">
      <c r="A24792" s="39">
        <f>_xlfn.XLOOKUP(85855,Trip[shape_id],Trip[shape_id],"Não encontrado")</f>
        <v/>
      </c>
      <c r="B24792" s="40" t="n">
        <v>-23.509156</v>
      </c>
      <c r="C24792" s="40" t="n">
        <v>-46.56572</v>
      </c>
      <c r="D24792" s="40" t="n">
        <v>848</v>
      </c>
      <c r="E24792" s="41" t="n">
        <v>32578.15</v>
      </c>
    </row>
    <row r="24793">
      <c r="A24793" s="42">
        <f>_xlfn.XLOOKUP(85855,Trip[shape_id],Trip[shape_id],"Não encontrado")</f>
        <v/>
      </c>
      <c r="B24793" s="43" t="n">
        <v>-23.509018</v>
      </c>
      <c r="C24793" s="43" t="n">
        <v>-46.565604</v>
      </c>
      <c r="D24793" s="43" t="n">
        <v>849</v>
      </c>
      <c r="E24793" s="44" t="n">
        <v>32611.303</v>
      </c>
    </row>
    <row r="24794">
      <c r="A24794" s="39">
        <f>_xlfn.XLOOKUP(85855,Trip[shape_id],Trip[shape_id],"Não encontrado")</f>
        <v/>
      </c>
      <c r="B24794" s="40" t="n">
        <v>-23.508778</v>
      </c>
      <c r="C24794" s="40" t="n">
        <v>-46.56541</v>
      </c>
      <c r="D24794" s="40" t="n">
        <v>850</v>
      </c>
      <c r="E24794" s="41" t="n">
        <v>32638.184</v>
      </c>
    </row>
    <row r="24795">
      <c r="A24795" s="42">
        <f>_xlfn.XLOOKUP(85855,Trip[shape_id],Trip[shape_id],"Não encontrado")</f>
        <v/>
      </c>
      <c r="B24795" s="43" t="n">
        <v>-23.508586</v>
      </c>
      <c r="C24795" s="43" t="n">
        <v>-46.565249</v>
      </c>
      <c r="D24795" s="43" t="n">
        <v>851</v>
      </c>
      <c r="E24795" s="44" t="n">
        <v>32638.184</v>
      </c>
    </row>
    <row r="24796">
      <c r="A24796" s="39">
        <f>_xlfn.XLOOKUP(85855,Trip[shape_id],Trip[shape_id],"Não encontrado")</f>
        <v/>
      </c>
      <c r="B24796" s="40" t="n">
        <v>-23.508606</v>
      </c>
      <c r="C24796" s="40" t="n">
        <v>-46.565072</v>
      </c>
      <c r="D24796" s="40" t="n">
        <v>852</v>
      </c>
      <c r="E24796" s="41" t="n">
        <v>32656.396</v>
      </c>
    </row>
    <row r="24797">
      <c r="A24797" s="42">
        <f>_xlfn.XLOOKUP(85855,Trip[shape_id],Trip[shape_id],"Não encontrado")</f>
        <v/>
      </c>
      <c r="B24797" s="43" t="n">
        <v>-23.5087</v>
      </c>
      <c r="C24797" s="43" t="n">
        <v>-46.564219</v>
      </c>
      <c r="D24797" s="43" t="n">
        <v>853</v>
      </c>
      <c r="E24797" s="44" t="n">
        <v>32744.137</v>
      </c>
    </row>
    <row r="24798">
      <c r="A24798" s="39">
        <f>_xlfn.XLOOKUP(85855,Trip[shape_id],Trip[shape_id],"Não encontrado")</f>
        <v/>
      </c>
      <c r="B24798" s="40" t="n">
        <v>-23.508557</v>
      </c>
      <c r="C24798" s="40" t="n">
        <v>-46.563514</v>
      </c>
      <c r="D24798" s="40" t="n">
        <v>854</v>
      </c>
      <c r="E24798" s="41" t="n">
        <v>32855.387</v>
      </c>
    </row>
    <row r="24799">
      <c r="A24799" s="42">
        <f>_xlfn.XLOOKUP(85855,Trip[shape_id],Trip[shape_id],"Não encontrado")</f>
        <v/>
      </c>
      <c r="B24799" s="43" t="n">
        <v>-23.50846</v>
      </c>
      <c r="C24799" s="43" t="n">
        <v>-46.563162</v>
      </c>
      <c r="D24799" s="43" t="n">
        <v>855</v>
      </c>
      <c r="E24799" s="44" t="n">
        <v>32855.387</v>
      </c>
    </row>
    <row r="24800">
      <c r="A24800" s="39">
        <f>_xlfn.XLOOKUP(85855,Trip[shape_id],Trip[shape_id],"Não encontrado")</f>
        <v/>
      </c>
      <c r="B24800" s="40" t="n">
        <v>-23.508869</v>
      </c>
      <c r="C24800" s="40" t="n">
        <v>-46.562578</v>
      </c>
      <c r="D24800" s="40" t="n">
        <v>856</v>
      </c>
      <c r="E24800" s="41" t="n">
        <v>32930.285</v>
      </c>
    </row>
    <row r="24801">
      <c r="A24801" s="42">
        <f>_xlfn.XLOOKUP(85855,Trip[shape_id],Trip[shape_id],"Não encontrado")</f>
        <v/>
      </c>
      <c r="B24801" s="43" t="n">
        <v>-23.508927</v>
      </c>
      <c r="C24801" s="43" t="n">
        <v>-46.562496</v>
      </c>
      <c r="D24801" s="43" t="n">
        <v>857</v>
      </c>
      <c r="E24801" s="44" t="n">
        <v>32940.84</v>
      </c>
    </row>
    <row r="24802">
      <c r="A24802" s="39">
        <f>_xlfn.XLOOKUP(85855,Trip[shape_id],Trip[shape_id],"Não encontrado")</f>
        <v/>
      </c>
      <c r="B24802" s="40" t="n">
        <v>-23.509011</v>
      </c>
      <c r="C24802" s="40" t="n">
        <v>-46.562407</v>
      </c>
      <c r="D24802" s="40" t="n">
        <v>858</v>
      </c>
      <c r="E24802" s="41" t="n">
        <v>32953.848</v>
      </c>
    </row>
    <row r="24803">
      <c r="A24803" s="42">
        <f>_xlfn.XLOOKUP(85855,Trip[shape_id],Trip[shape_id],"Não encontrado")</f>
        <v/>
      </c>
      <c r="B24803" s="43" t="n">
        <v>-23.509106</v>
      </c>
      <c r="C24803" s="43" t="n">
        <v>-46.562363</v>
      </c>
      <c r="D24803" s="43" t="n">
        <v>859</v>
      </c>
      <c r="E24803" s="44" t="n">
        <v>32965.289</v>
      </c>
    </row>
    <row r="24804">
      <c r="A24804" s="39">
        <f>_xlfn.XLOOKUP(85855,Trip[shape_id],Trip[shape_id],"Não encontrado")</f>
        <v/>
      </c>
      <c r="B24804" s="40" t="n">
        <v>-23.509168</v>
      </c>
      <c r="C24804" s="40" t="n">
        <v>-46.562356</v>
      </c>
      <c r="D24804" s="40" t="n">
        <v>860</v>
      </c>
      <c r="E24804" s="41" t="n">
        <v>32972.191</v>
      </c>
    </row>
    <row r="24805">
      <c r="A24805" s="42">
        <f>_xlfn.XLOOKUP(85855,Trip[shape_id],Trip[shape_id],"Não encontrado")</f>
        <v/>
      </c>
      <c r="B24805" s="43" t="n">
        <v>-23.509506</v>
      </c>
      <c r="C24805" s="43" t="n">
        <v>-46.562449</v>
      </c>
      <c r="D24805" s="43" t="n">
        <v>861</v>
      </c>
      <c r="E24805" s="44" t="n">
        <v>33010.813</v>
      </c>
    </row>
    <row r="24806">
      <c r="A24806" s="39">
        <f>_xlfn.XLOOKUP(85855,Trip[shape_id],Trip[shape_id],"Não encontrado")</f>
        <v/>
      </c>
      <c r="B24806" s="40" t="n">
        <v>-23.509754</v>
      </c>
      <c r="C24806" s="40" t="n">
        <v>-46.562517</v>
      </c>
      <c r="D24806" s="40" t="n">
        <v>862</v>
      </c>
      <c r="E24806" s="41" t="n">
        <v>33039.145</v>
      </c>
    </row>
    <row r="24807">
      <c r="A24807" s="42">
        <f>_xlfn.XLOOKUP(85855,Trip[shape_id],Trip[shape_id],"Não encontrado")</f>
        <v/>
      </c>
      <c r="B24807" s="43" t="n">
        <v>-23.510422</v>
      </c>
      <c r="C24807" s="43" t="n">
        <v>-46.562735</v>
      </c>
      <c r="D24807" s="43" t="n">
        <v>863</v>
      </c>
      <c r="E24807" s="44" t="n">
        <v>33116.402</v>
      </c>
    </row>
    <row r="24808">
      <c r="A24808" s="39">
        <f>_xlfn.XLOOKUP(85855,Trip[shape_id],Trip[shape_id],"Não encontrado")</f>
        <v/>
      </c>
      <c r="B24808" s="40" t="n">
        <v>-23.51125</v>
      </c>
      <c r="C24808" s="40" t="n">
        <v>-46.562955</v>
      </c>
      <c r="D24808" s="40" t="n">
        <v>864</v>
      </c>
      <c r="E24808" s="41" t="n">
        <v>33210.816</v>
      </c>
    </row>
    <row r="24809">
      <c r="A24809" s="42">
        <f>_xlfn.XLOOKUP(85855,Trip[shape_id],Trip[shape_id],"Não encontrado")</f>
        <v/>
      </c>
      <c r="B24809" s="43" t="n">
        <v>-23.511393</v>
      </c>
      <c r="C24809" s="43" t="n">
        <v>-46.562982</v>
      </c>
      <c r="D24809" s="43" t="n">
        <v>865</v>
      </c>
      <c r="E24809" s="44" t="n">
        <v>33226.891</v>
      </c>
    </row>
    <row r="24810">
      <c r="A24810" s="39">
        <f>_xlfn.XLOOKUP(85855,Trip[shape_id],Trip[shape_id],"Não encontrado")</f>
        <v/>
      </c>
      <c r="B24810" s="40" t="n">
        <v>-23.511523</v>
      </c>
      <c r="C24810" s="40" t="n">
        <v>-46.563012</v>
      </c>
      <c r="D24810" s="40" t="n">
        <v>866</v>
      </c>
      <c r="E24810" s="41" t="n">
        <v>33241.609</v>
      </c>
    </row>
    <row r="24811">
      <c r="A24811" s="42">
        <f>_xlfn.XLOOKUP(85855,Trip[shape_id],Trip[shape_id],"Não encontrado")</f>
        <v/>
      </c>
      <c r="B24811" s="43" t="n">
        <v>-23.511564</v>
      </c>
      <c r="C24811" s="43" t="n">
        <v>-46.563012</v>
      </c>
      <c r="D24811" s="43" t="n">
        <v>867</v>
      </c>
      <c r="E24811" s="44" t="n">
        <v>33246.152</v>
      </c>
    </row>
    <row r="24812">
      <c r="A24812" s="39">
        <f>_xlfn.XLOOKUP(85855,Trip[shape_id],Trip[shape_id],"Não encontrado")</f>
        <v/>
      </c>
      <c r="B24812" s="40" t="n">
        <v>-23.511621</v>
      </c>
      <c r="C24812" s="40" t="n">
        <v>-46.563043</v>
      </c>
      <c r="D24812" s="40" t="n">
        <v>868</v>
      </c>
      <c r="E24812" s="41" t="n">
        <v>33253.215</v>
      </c>
    </row>
    <row r="24813">
      <c r="A24813" s="42">
        <f>_xlfn.XLOOKUP(85855,Trip[shape_id],Trip[shape_id],"Não encontrado")</f>
        <v/>
      </c>
      <c r="B24813" s="43" t="n">
        <v>-23.511758</v>
      </c>
      <c r="C24813" s="43" t="n">
        <v>-46.563082</v>
      </c>
      <c r="D24813" s="43" t="n">
        <v>869</v>
      </c>
      <c r="E24813" s="44" t="n">
        <v>33268.902</v>
      </c>
    </row>
    <row r="24814">
      <c r="A24814" s="39">
        <f>_xlfn.XLOOKUP(85855,Trip[shape_id],Trip[shape_id],"Não encontrado")</f>
        <v/>
      </c>
      <c r="B24814" s="40" t="n">
        <v>-23.511986</v>
      </c>
      <c r="C24814" s="40" t="n">
        <v>-46.563153</v>
      </c>
      <c r="D24814" s="40" t="n">
        <v>870</v>
      </c>
      <c r="E24814" s="41" t="n">
        <v>33295.176</v>
      </c>
    </row>
    <row r="24815">
      <c r="A24815" s="42">
        <f>_xlfn.XLOOKUP(85855,Trip[shape_id],Trip[shape_id],"Não encontrado")</f>
        <v/>
      </c>
      <c r="B24815" s="43" t="n">
        <v>-23.512133</v>
      </c>
      <c r="C24815" s="43" t="n">
        <v>-46.563216</v>
      </c>
      <c r="D24815" s="43" t="n">
        <v>871</v>
      </c>
      <c r="E24815" s="44" t="n">
        <v>33312.68</v>
      </c>
    </row>
    <row r="24816">
      <c r="A24816" s="39">
        <f>_xlfn.XLOOKUP(85855,Trip[shape_id],Trip[shape_id],"Não encontrado")</f>
        <v/>
      </c>
      <c r="B24816" s="40" t="n">
        <v>-23.512263</v>
      </c>
      <c r="C24816" s="40" t="n">
        <v>-46.563239</v>
      </c>
      <c r="D24816" s="40" t="n">
        <v>872</v>
      </c>
      <c r="E24816" s="41" t="n">
        <v>33327.27</v>
      </c>
    </row>
    <row r="24817">
      <c r="A24817" s="42">
        <f>_xlfn.XLOOKUP(85855,Trip[shape_id],Trip[shape_id],"Não encontrado")</f>
        <v/>
      </c>
      <c r="B24817" s="43" t="n">
        <v>-23.512267</v>
      </c>
      <c r="C24817" s="43" t="n">
        <v>-46.563294</v>
      </c>
      <c r="D24817" s="43" t="n">
        <v>873</v>
      </c>
      <c r="E24817" s="44" t="n">
        <v>33332.906</v>
      </c>
    </row>
    <row r="24818">
      <c r="A24818" s="39">
        <f>_xlfn.XLOOKUP(85855,Trip[shape_id],Trip[shape_id],"Não encontrado")</f>
        <v/>
      </c>
      <c r="B24818" s="40" t="n">
        <v>-23.512299</v>
      </c>
      <c r="C24818" s="40" t="n">
        <v>-46.563363</v>
      </c>
      <c r="D24818" s="40" t="n">
        <v>874</v>
      </c>
      <c r="E24818" s="41" t="n">
        <v>33340.793</v>
      </c>
    </row>
    <row r="24819">
      <c r="A24819" s="42">
        <f>_xlfn.XLOOKUP(85855,Trip[shape_id],Trip[shape_id],"Não encontrado")</f>
        <v/>
      </c>
      <c r="B24819" s="43" t="n">
        <v>-23.512396</v>
      </c>
      <c r="C24819" s="43" t="n">
        <v>-46.563464</v>
      </c>
      <c r="D24819" s="43" t="n">
        <v>875</v>
      </c>
      <c r="E24819" s="44" t="n">
        <v>33355.688</v>
      </c>
    </row>
    <row r="24820">
      <c r="A24820" s="39">
        <f>_xlfn.XLOOKUP(85855,Trip[shape_id],Trip[shape_id],"Não encontrado")</f>
        <v/>
      </c>
      <c r="B24820" s="40" t="n">
        <v>-23.512465</v>
      </c>
      <c r="C24820" s="40" t="n">
        <v>-46.563531</v>
      </c>
      <c r="D24820" s="40" t="n">
        <v>876</v>
      </c>
      <c r="E24820" s="41" t="n">
        <v>33365.945</v>
      </c>
    </row>
    <row r="24821">
      <c r="A24821" s="42">
        <f>_xlfn.XLOOKUP(85855,Trip[shape_id],Trip[shape_id],"Não encontrado")</f>
        <v/>
      </c>
      <c r="B24821" s="43" t="n">
        <v>-23.512657</v>
      </c>
      <c r="C24821" s="43" t="n">
        <v>-46.563712</v>
      </c>
      <c r="D24821" s="43" t="n">
        <v>877</v>
      </c>
      <c r="E24821" s="44" t="n">
        <v>33394.121</v>
      </c>
    </row>
    <row r="24822">
      <c r="A24822" s="39">
        <f>_xlfn.XLOOKUP(85855,Trip[shape_id],Trip[shape_id],"Não encontrado")</f>
        <v/>
      </c>
      <c r="B24822" s="40" t="n">
        <v>-23.512837</v>
      </c>
      <c r="C24822" s="40" t="n">
        <v>-46.563883</v>
      </c>
      <c r="D24822" s="40" t="n">
        <v>878</v>
      </c>
      <c r="E24822" s="41" t="n">
        <v>33420.625</v>
      </c>
    </row>
    <row r="24823">
      <c r="A24823" s="42">
        <f>_xlfn.XLOOKUP(85855,Trip[shape_id],Trip[shape_id],"Não encontrado")</f>
        <v/>
      </c>
      <c r="B24823" s="43" t="n">
        <v>-23.512879</v>
      </c>
      <c r="C24823" s="43" t="n">
        <v>-46.563925</v>
      </c>
      <c r="D24823" s="43" t="n">
        <v>879</v>
      </c>
      <c r="E24823" s="44" t="n">
        <v>33426.953</v>
      </c>
    </row>
    <row r="24824">
      <c r="A24824" s="39">
        <f>_xlfn.XLOOKUP(85855,Trip[shape_id],Trip[shape_id],"Não encontrado")</f>
        <v/>
      </c>
      <c r="B24824" s="40" t="n">
        <v>-23.512851</v>
      </c>
      <c r="C24824" s="40" t="n">
        <v>-46.564946</v>
      </c>
      <c r="D24824" s="40" t="n">
        <v>880</v>
      </c>
      <c r="E24824" s="41" t="n">
        <v>33531.273</v>
      </c>
    </row>
    <row r="24825">
      <c r="A24825" s="42">
        <f>_xlfn.XLOOKUP(85855,Trip[shape_id],Trip[shape_id],"Não encontrado")</f>
        <v/>
      </c>
      <c r="B24825" s="43" t="n">
        <v>-23.51283</v>
      </c>
      <c r="C24825" s="43" t="n">
        <v>-46.565676</v>
      </c>
      <c r="D24825" s="43" t="n">
        <v>881</v>
      </c>
      <c r="E24825" s="44" t="n">
        <v>33605.867</v>
      </c>
    </row>
    <row r="24826">
      <c r="A24826" s="39">
        <f>_xlfn.XLOOKUP(85855,Trip[shape_id],Trip[shape_id],"Não encontrado")</f>
        <v/>
      </c>
      <c r="B24826" s="40" t="n">
        <v>-23.512806</v>
      </c>
      <c r="C24826" s="40" t="n">
        <v>-46.566393</v>
      </c>
      <c r="D24826" s="40" t="n">
        <v>882</v>
      </c>
      <c r="E24826" s="41" t="n">
        <v>33679.145</v>
      </c>
    </row>
    <row r="24827">
      <c r="A24827" s="42">
        <f>_xlfn.XLOOKUP(85855,Trip[shape_id],Trip[shape_id],"Não encontrado")</f>
        <v/>
      </c>
      <c r="B24827" s="43" t="n">
        <v>-23.512786</v>
      </c>
      <c r="C24827" s="43" t="n">
        <v>-46.567116</v>
      </c>
      <c r="D24827" s="43" t="n">
        <v>883</v>
      </c>
      <c r="E24827" s="44" t="n">
        <v>33753.02</v>
      </c>
    </row>
    <row r="24828">
      <c r="A24828" s="39">
        <f>_xlfn.XLOOKUP(86241,Trip[shape_id],Trip[shape_id],"Não encontrado")</f>
        <v/>
      </c>
      <c r="B24828" s="40" t="n">
        <v>-23.622462</v>
      </c>
      <c r="C24828" s="40" t="n">
        <v>-46.702846</v>
      </c>
      <c r="D24828" s="40" t="n">
        <v>1</v>
      </c>
      <c r="E24828" s="41" t="n">
        <v>74.039429</v>
      </c>
    </row>
    <row r="24829">
      <c r="A24829" s="42">
        <f>_xlfn.XLOOKUP(86241,Trip[shape_id],Trip[shape_id],"Não encontrado")</f>
        <v/>
      </c>
      <c r="B24829" s="43" t="n">
        <v>-23.622026</v>
      </c>
      <c r="C24829" s="43" t="n">
        <v>-46.702296</v>
      </c>
      <c r="D24829" s="43" t="n">
        <v>2</v>
      </c>
      <c r="E24829" s="44" t="n">
        <v>106.83522</v>
      </c>
    </row>
    <row r="24830">
      <c r="A24830" s="39">
        <f>_xlfn.XLOOKUP(86241,Trip[shape_id],Trip[shape_id],"Não encontrado")</f>
        <v/>
      </c>
      <c r="B24830" s="40" t="n">
        <v>-23.621825</v>
      </c>
      <c r="C24830" s="40" t="n">
        <v>-46.70206</v>
      </c>
      <c r="D24830" s="40" t="n">
        <v>3</v>
      </c>
      <c r="E24830" s="41" t="n">
        <v>140.62677</v>
      </c>
    </row>
    <row r="24831">
      <c r="A24831" s="42">
        <f>_xlfn.XLOOKUP(86241,Trip[shape_id],Trip[shape_id],"Não encontrado")</f>
        <v/>
      </c>
      <c r="B24831" s="43" t="n">
        <v>-23.621602</v>
      </c>
      <c r="C24831" s="43" t="n">
        <v>-46.701834</v>
      </c>
      <c r="D24831" s="43" t="n">
        <v>4</v>
      </c>
      <c r="E24831" s="44" t="n">
        <v>183.89644</v>
      </c>
    </row>
    <row r="24832">
      <c r="A24832" s="39">
        <f>_xlfn.XLOOKUP(86241,Trip[shape_id],Trip[shape_id],"Não encontrado")</f>
        <v/>
      </c>
      <c r="B24832" s="40" t="n">
        <v>-23.6213</v>
      </c>
      <c r="C24832" s="40" t="n">
        <v>-46.701565</v>
      </c>
      <c r="D24832" s="40" t="n">
        <v>5</v>
      </c>
      <c r="E24832" s="41" t="n">
        <v>212.33224</v>
      </c>
    </row>
    <row r="24833">
      <c r="A24833" s="42">
        <f>_xlfn.XLOOKUP(86241,Trip[shape_id],Trip[shape_id],"Não encontrado")</f>
        <v/>
      </c>
      <c r="B24833" s="43" t="n">
        <v>-23.621098</v>
      </c>
      <c r="C24833" s="43" t="n">
        <v>-46.701393</v>
      </c>
      <c r="D24833" s="43" t="n">
        <v>6</v>
      </c>
      <c r="E24833" s="44" t="n">
        <v>246.31924</v>
      </c>
    </row>
    <row r="24834">
      <c r="A24834" s="39">
        <f>_xlfn.XLOOKUP(86241,Trip[shape_id],Trip[shape_id],"Não encontrado")</f>
        <v/>
      </c>
      <c r="B24834" s="40" t="n">
        <v>-23.620841</v>
      </c>
      <c r="C24834" s="40" t="n">
        <v>-46.701211</v>
      </c>
      <c r="D24834" s="40" t="n">
        <v>7</v>
      </c>
      <c r="E24834" s="41" t="n">
        <v>280.78833</v>
      </c>
    </row>
    <row r="24835">
      <c r="A24835" s="42">
        <f>_xlfn.XLOOKUP(86241,Trip[shape_id],Trip[shape_id],"Não encontrado")</f>
        <v/>
      </c>
      <c r="B24835" s="43" t="n">
        <v>-23.620571</v>
      </c>
      <c r="C24835" s="43" t="n">
        <v>-46.701043</v>
      </c>
      <c r="D24835" s="43" t="n">
        <v>8</v>
      </c>
      <c r="E24835" s="44" t="n">
        <v>313.58554</v>
      </c>
    </row>
    <row r="24836">
      <c r="A24836" s="39">
        <f>_xlfn.XLOOKUP(86241,Trip[shape_id],Trip[shape_id],"Não encontrado")</f>
        <v/>
      </c>
      <c r="B24836" s="40" t="n">
        <v>-23.620301</v>
      </c>
      <c r="C24836" s="40" t="n">
        <v>-46.700911</v>
      </c>
      <c r="D24836" s="40" t="n">
        <v>9</v>
      </c>
      <c r="E24836" s="41" t="n">
        <v>332.8533</v>
      </c>
    </row>
    <row r="24837">
      <c r="A24837" s="42">
        <f>_xlfn.XLOOKUP(86241,Trip[shape_id],Trip[shape_id],"Não encontrado")</f>
        <v/>
      </c>
      <c r="B24837" s="43" t="n">
        <v>-23.620137</v>
      </c>
      <c r="C24837" s="43" t="n">
        <v>-46.700848</v>
      </c>
      <c r="D24837" s="43" t="n">
        <v>10</v>
      </c>
      <c r="E24837" s="44" t="n">
        <v>347.60959</v>
      </c>
    </row>
    <row r="24838">
      <c r="A24838" s="39">
        <f>_xlfn.XLOOKUP(86241,Trip[shape_id],Trip[shape_id],"Não encontrado")</f>
        <v/>
      </c>
      <c r="B24838" s="40" t="n">
        <v>-23.620011</v>
      </c>
      <c r="C24838" s="40" t="n">
        <v>-46.700801</v>
      </c>
      <c r="D24838" s="40" t="n">
        <v>11</v>
      </c>
      <c r="E24838" s="41" t="n">
        <v>365.3548</v>
      </c>
    </row>
    <row r="24839">
      <c r="A24839" s="42">
        <f>_xlfn.XLOOKUP(86241,Trip[shape_id],Trip[shape_id],"Não encontrado")</f>
        <v/>
      </c>
      <c r="B24839" s="43" t="n">
        <v>-23.619859</v>
      </c>
      <c r="C24839" s="43" t="n">
        <v>-46.700746</v>
      </c>
      <c r="D24839" s="43" t="n">
        <v>12</v>
      </c>
      <c r="E24839" s="44" t="n">
        <v>390.79056</v>
      </c>
    </row>
    <row r="24840">
      <c r="A24840" s="39">
        <f>_xlfn.XLOOKUP(86241,Trip[shape_id],Trip[shape_id],"Não encontrado")</f>
        <v/>
      </c>
      <c r="B24840" s="40" t="n">
        <v>-23.619635</v>
      </c>
      <c r="C24840" s="40" t="n">
        <v>-46.700691</v>
      </c>
      <c r="D24840" s="40" t="n">
        <v>13</v>
      </c>
      <c r="E24840" s="41" t="n">
        <v>426.91757</v>
      </c>
    </row>
    <row r="24841">
      <c r="A24841" s="42">
        <f>_xlfn.XLOOKUP(86241,Trip[shape_id],Trip[shape_id],"Não encontrado")</f>
        <v/>
      </c>
      <c r="B24841" s="43" t="n">
        <v>-23.619311</v>
      </c>
      <c r="C24841" s="43" t="n">
        <v>-46.70065</v>
      </c>
      <c r="D24841" s="43" t="n">
        <v>14</v>
      </c>
      <c r="E24841" s="44" t="n">
        <v>480.815</v>
      </c>
    </row>
    <row r="24842">
      <c r="A24842" s="39">
        <f>_xlfn.XLOOKUP(86241,Trip[shape_id],Trip[shape_id],"Não encontrado")</f>
        <v/>
      </c>
      <c r="B24842" s="40" t="n">
        <v>-23.618827</v>
      </c>
      <c r="C24842" s="40" t="n">
        <v>-46.700595</v>
      </c>
      <c r="D24842" s="40" t="n">
        <v>15</v>
      </c>
      <c r="E24842" s="41" t="n">
        <v>515.0639</v>
      </c>
    </row>
    <row r="24843">
      <c r="A24843" s="42">
        <f>_xlfn.XLOOKUP(86241,Trip[shape_id],Trip[shape_id],"Não encontrado")</f>
        <v/>
      </c>
      <c r="B24843" s="43" t="n">
        <v>-23.618519</v>
      </c>
      <c r="C24843" s="43" t="n">
        <v>-46.700565</v>
      </c>
      <c r="D24843" s="43" t="n">
        <v>16</v>
      </c>
      <c r="E24843" s="44" t="n">
        <v>544.25616</v>
      </c>
    </row>
    <row r="24844">
      <c r="A24844" s="39">
        <f>_xlfn.XLOOKUP(86241,Trip[shape_id],Trip[shape_id],"Não encontrado")</f>
        <v/>
      </c>
      <c r="B24844" s="40" t="n">
        <v>-23.618259</v>
      </c>
      <c r="C24844" s="40" t="n">
        <v>-46.700518</v>
      </c>
      <c r="D24844" s="40" t="n">
        <v>17</v>
      </c>
      <c r="E24844" s="41" t="n">
        <v>571.0332</v>
      </c>
    </row>
    <row r="24845">
      <c r="A24845" s="42">
        <f>_xlfn.XLOOKUP(86241,Trip[shape_id],Trip[shape_id],"Não encontrado")</f>
        <v/>
      </c>
      <c r="B24845" s="43" t="n">
        <v>-23.618025</v>
      </c>
      <c r="C24845" s="43" t="n">
        <v>-46.700452</v>
      </c>
      <c r="D24845" s="43" t="n">
        <v>18</v>
      </c>
      <c r="E24845" s="44" t="n">
        <v>603.66565</v>
      </c>
    </row>
    <row r="24846">
      <c r="A24846" s="39">
        <f>_xlfn.XLOOKUP(86241,Trip[shape_id],Trip[shape_id],"Não encontrado")</f>
        <v/>
      </c>
      <c r="B24846" s="40" t="n">
        <v>-23.617742</v>
      </c>
      <c r="C24846" s="40" t="n">
        <v>-46.700363</v>
      </c>
      <c r="D24846" s="40" t="n">
        <v>19</v>
      </c>
      <c r="E24846" s="41" t="n">
        <v>634.88196</v>
      </c>
    </row>
    <row r="24847">
      <c r="A24847" s="42">
        <f>_xlfn.XLOOKUP(86241,Trip[shape_id],Trip[shape_id],"Não encontrado")</f>
        <v/>
      </c>
      <c r="B24847" s="43" t="n">
        <v>-23.617479</v>
      </c>
      <c r="C24847" s="43" t="n">
        <v>-46.700253</v>
      </c>
      <c r="D24847" s="43" t="n">
        <v>20</v>
      </c>
      <c r="E24847" s="44" t="n">
        <v>659.82281</v>
      </c>
    </row>
    <row r="24848">
      <c r="A24848" s="39">
        <f>_xlfn.XLOOKUP(86241,Trip[shape_id],Trip[shape_id],"Não encontrado")</f>
        <v/>
      </c>
      <c r="B24848" s="40" t="n">
        <v>-23.61727</v>
      </c>
      <c r="C24848" s="40" t="n">
        <v>-46.700162</v>
      </c>
      <c r="D24848" s="40" t="n">
        <v>21</v>
      </c>
      <c r="E24848" s="41" t="n">
        <v>705.13818</v>
      </c>
    </row>
    <row r="24849">
      <c r="A24849" s="42">
        <f>_xlfn.XLOOKUP(86241,Trip[shape_id],Trip[shape_id],"Não encontrado")</f>
        <v/>
      </c>
      <c r="B24849" s="43" t="n">
        <v>-23.616912</v>
      </c>
      <c r="C24849" s="43" t="n">
        <v>-46.699947</v>
      </c>
      <c r="D24849" s="43" t="n">
        <v>22</v>
      </c>
      <c r="E24849" s="44" t="n">
        <v>734.68231</v>
      </c>
    </row>
    <row r="24850">
      <c r="A24850" s="39">
        <f>_xlfn.XLOOKUP(86241,Trip[shape_id],Trip[shape_id],"Não encontrado")</f>
        <v/>
      </c>
      <c r="B24850" s="40" t="n">
        <v>-23.616657</v>
      </c>
      <c r="C24850" s="40" t="n">
        <v>-46.699862</v>
      </c>
      <c r="D24850" s="40" t="n">
        <v>23</v>
      </c>
      <c r="E24850" s="41" t="n">
        <v>769.29297</v>
      </c>
    </row>
    <row r="24851">
      <c r="A24851" s="42">
        <f>_xlfn.XLOOKUP(86241,Trip[shape_id],Trip[shape_id],"Não encontrado")</f>
        <v/>
      </c>
      <c r="B24851" s="43" t="n">
        <v>-23.616354</v>
      </c>
      <c r="C24851" s="43" t="n">
        <v>-46.699779</v>
      </c>
      <c r="D24851" s="43" t="n">
        <v>24</v>
      </c>
      <c r="E24851" s="44" t="n">
        <v>818.45227</v>
      </c>
    </row>
    <row r="24852">
      <c r="A24852" s="39">
        <f>_xlfn.XLOOKUP(86241,Trip[shape_id],Trip[shape_id],"Não encontrado")</f>
        <v/>
      </c>
      <c r="B24852" s="40" t="n">
        <v>-23.61592</v>
      </c>
      <c r="C24852" s="40" t="n">
        <v>-46.699678</v>
      </c>
      <c r="D24852" s="40" t="n">
        <v>25</v>
      </c>
      <c r="E24852" s="41" t="n">
        <v>857.41425</v>
      </c>
    </row>
    <row r="24853">
      <c r="A24853" s="42">
        <f>_xlfn.XLOOKUP(86241,Trip[shape_id],Trip[shape_id],"Não encontrado")</f>
        <v/>
      </c>
      <c r="B24853" s="43" t="n">
        <v>-23.615574</v>
      </c>
      <c r="C24853" s="43" t="n">
        <v>-46.699609</v>
      </c>
      <c r="D24853" s="43" t="n">
        <v>26</v>
      </c>
      <c r="E24853" s="44" t="n">
        <v>899.1394</v>
      </c>
    </row>
    <row r="24854">
      <c r="A24854" s="39">
        <f>_xlfn.XLOOKUP(86241,Trip[shape_id],Trip[shape_id],"Não encontrado")</f>
        <v/>
      </c>
      <c r="B24854" s="40" t="n">
        <v>-23.615204</v>
      </c>
      <c r="C24854" s="40" t="n">
        <v>-46.699532</v>
      </c>
      <c r="D24854" s="40" t="n">
        <v>27</v>
      </c>
      <c r="E24854" s="41" t="n">
        <v>946.05096</v>
      </c>
    </row>
    <row r="24855">
      <c r="A24855" s="42">
        <f>_xlfn.XLOOKUP(86241,Trip[shape_id],Trip[shape_id],"Não encontrado")</f>
        <v/>
      </c>
      <c r="B24855" s="43" t="n">
        <v>-23.614789</v>
      </c>
      <c r="C24855" s="43" t="n">
        <v>-46.69944</v>
      </c>
      <c r="D24855" s="43" t="n">
        <v>28</v>
      </c>
      <c r="E24855" s="44" t="n">
        <v>989.36774</v>
      </c>
    </row>
    <row r="24856">
      <c r="A24856" s="39">
        <f>_xlfn.XLOOKUP(86241,Trip[shape_id],Trip[shape_id],"Não encontrado")</f>
        <v/>
      </c>
      <c r="B24856" s="40" t="n">
        <v>-23.614406</v>
      </c>
      <c r="C24856" s="40" t="n">
        <v>-46.699354</v>
      </c>
      <c r="D24856" s="40" t="n">
        <v>29</v>
      </c>
      <c r="E24856" s="41" t="n">
        <v>1028.0406</v>
      </c>
    </row>
    <row r="24857">
      <c r="A24857" s="42">
        <f>_xlfn.XLOOKUP(86241,Trip[shape_id],Trip[shape_id],"Não encontrado")</f>
        <v/>
      </c>
      <c r="B24857" s="43" t="n">
        <v>-23.614063</v>
      </c>
      <c r="C24857" s="43" t="n">
        <v>-46.699283</v>
      </c>
      <c r="D24857" s="43" t="n">
        <v>30</v>
      </c>
      <c r="E24857" s="44" t="n">
        <v>1048.35</v>
      </c>
    </row>
    <row r="24858">
      <c r="A24858" s="39">
        <f>_xlfn.XLOOKUP(86241,Trip[shape_id],Trip[shape_id],"Não encontrado")</f>
        <v/>
      </c>
      <c r="B24858" s="40" t="n">
        <v>-23.613891</v>
      </c>
      <c r="C24858" s="40" t="n">
        <v>-46.699214</v>
      </c>
      <c r="D24858" s="40" t="n">
        <v>31</v>
      </c>
      <c r="E24858" s="41" t="n">
        <v>1059.5637</v>
      </c>
    </row>
    <row r="24859">
      <c r="A24859" s="42">
        <f>_xlfn.XLOOKUP(86241,Trip[shape_id],Trip[shape_id],"Não encontrado")</f>
        <v/>
      </c>
      <c r="B24859" s="43" t="n">
        <v>-23.613805</v>
      </c>
      <c r="C24859" s="43" t="n">
        <v>-46.699156</v>
      </c>
      <c r="D24859" s="43" t="n">
        <v>32</v>
      </c>
      <c r="E24859" s="44" t="n">
        <v>1068.6691</v>
      </c>
    </row>
    <row r="24860">
      <c r="A24860" s="39">
        <f>_xlfn.XLOOKUP(86241,Trip[shape_id],Trip[shape_id],"Não encontrado")</f>
        <v/>
      </c>
      <c r="B24860" s="40" t="n">
        <v>-23.613745</v>
      </c>
      <c r="C24860" s="40" t="n">
        <v>-46.699095</v>
      </c>
      <c r="D24860" s="40" t="n">
        <v>33</v>
      </c>
      <c r="E24860" s="41" t="n">
        <v>1083.5476</v>
      </c>
    </row>
    <row r="24861">
      <c r="A24861" s="42">
        <f>_xlfn.XLOOKUP(86241,Trip[shape_id],Trip[shape_id],"Não encontrado")</f>
        <v/>
      </c>
      <c r="B24861" s="43" t="n">
        <v>-23.613659</v>
      </c>
      <c r="C24861" s="43" t="n">
        <v>-46.698983</v>
      </c>
      <c r="D24861" s="43" t="n">
        <v>34</v>
      </c>
      <c r="E24861" s="44" t="n">
        <v>1092.5515</v>
      </c>
    </row>
    <row r="24862">
      <c r="A24862" s="39">
        <f>_xlfn.XLOOKUP(86241,Trip[shape_id],Trip[shape_id],"Não encontrado")</f>
        <v/>
      </c>
      <c r="B24862" s="40" t="n">
        <v>-23.613621</v>
      </c>
      <c r="C24862" s="40" t="n">
        <v>-46.698905</v>
      </c>
      <c r="D24862" s="40" t="n">
        <v>35</v>
      </c>
      <c r="E24862" s="41" t="n">
        <v>1105.9022</v>
      </c>
    </row>
    <row r="24863">
      <c r="A24863" s="42">
        <f>_xlfn.XLOOKUP(86241,Trip[shape_id],Trip[shape_id],"Não encontrado")</f>
        <v/>
      </c>
      <c r="B24863" s="43" t="n">
        <v>-23.613573</v>
      </c>
      <c r="C24863" s="43" t="n">
        <v>-46.698785</v>
      </c>
      <c r="D24863" s="43" t="n">
        <v>36</v>
      </c>
      <c r="E24863" s="44" t="n">
        <v>1119.8038</v>
      </c>
    </row>
    <row r="24864">
      <c r="A24864" s="39">
        <f>_xlfn.XLOOKUP(86241,Trip[shape_id],Trip[shape_id],"Não encontrado")</f>
        <v/>
      </c>
      <c r="B24864" s="40" t="n">
        <v>-23.613542</v>
      </c>
      <c r="C24864" s="40" t="n">
        <v>-46.698653</v>
      </c>
      <c r="D24864" s="40" t="n">
        <v>37</v>
      </c>
      <c r="E24864" s="41" t="n">
        <v>1131.9603</v>
      </c>
    </row>
    <row r="24865">
      <c r="A24865" s="42">
        <f>_xlfn.XLOOKUP(86241,Trip[shape_id],Trip[shape_id],"Não encontrado")</f>
        <v/>
      </c>
      <c r="B24865" s="43" t="n">
        <v>-23.613527</v>
      </c>
      <c r="C24865" s="43" t="n">
        <v>-46.698535</v>
      </c>
      <c r="D24865" s="43" t="n">
        <v>38</v>
      </c>
      <c r="E24865" s="44" t="n">
        <v>1145.2389</v>
      </c>
    </row>
    <row r="24866">
      <c r="A24866" s="39">
        <f>_xlfn.XLOOKUP(86241,Trip[shape_id],Trip[shape_id],"Não encontrado")</f>
        <v/>
      </c>
      <c r="B24866" s="40" t="n">
        <v>-23.613522</v>
      </c>
      <c r="C24866" s="40" t="n">
        <v>-46.698405</v>
      </c>
      <c r="D24866" s="40" t="n">
        <v>39</v>
      </c>
      <c r="E24866" s="41" t="n">
        <v>1164.6608</v>
      </c>
    </row>
    <row r="24867">
      <c r="A24867" s="42">
        <f>_xlfn.XLOOKUP(86241,Trip[shape_id],Trip[shape_id],"Não encontrado")</f>
        <v/>
      </c>
      <c r="B24867" s="43" t="n">
        <v>-23.613532</v>
      </c>
      <c r="C24867" s="43" t="n">
        <v>-46.698215</v>
      </c>
      <c r="D24867" s="43" t="n">
        <v>40</v>
      </c>
      <c r="E24867" s="44" t="n">
        <v>1190.6418</v>
      </c>
    </row>
    <row r="24868">
      <c r="A24868" s="39">
        <f>_xlfn.XLOOKUP(86241,Trip[shape_id],Trip[shape_id],"Não encontrado")</f>
        <v/>
      </c>
      <c r="B24868" s="40" t="n">
        <v>-23.613585</v>
      </c>
      <c r="C24868" s="40" t="n">
        <v>-46.697967</v>
      </c>
      <c r="D24868" s="40" t="n">
        <v>41</v>
      </c>
      <c r="E24868" s="41" t="n">
        <v>1237.88</v>
      </c>
    </row>
    <row r="24869">
      <c r="A24869" s="42">
        <f>_xlfn.XLOOKUP(86241,Trip[shape_id],Trip[shape_id],"Não encontrado")</f>
        <v/>
      </c>
      <c r="B24869" s="43" t="n">
        <v>-23.613681</v>
      </c>
      <c r="C24869" s="43" t="n">
        <v>-46.697516</v>
      </c>
      <c r="D24869" s="43" t="n">
        <v>42</v>
      </c>
      <c r="E24869" s="44" t="n">
        <v>1264.1108</v>
      </c>
    </row>
    <row r="24870">
      <c r="A24870" s="39">
        <f>_xlfn.XLOOKUP(86241,Trip[shape_id],Trip[shape_id],"Não encontrado")</f>
        <v/>
      </c>
      <c r="B24870" s="40" t="n">
        <v>-23.613732</v>
      </c>
      <c r="C24870" s="40" t="n">
        <v>-46.697265</v>
      </c>
      <c r="D24870" s="40" t="n">
        <v>43</v>
      </c>
      <c r="E24870" s="41" t="n">
        <v>1306.5675</v>
      </c>
    </row>
    <row r="24871">
      <c r="A24871" s="42">
        <f>_xlfn.XLOOKUP(86241,Trip[shape_id],Trip[shape_id],"Não encontrado")</f>
        <v/>
      </c>
      <c r="B24871" s="43" t="n">
        <v>-23.613797</v>
      </c>
      <c r="C24871" s="43" t="n">
        <v>-46.696855</v>
      </c>
      <c r="D24871" s="43" t="n">
        <v>44</v>
      </c>
      <c r="E24871" s="44" t="n">
        <v>1349.6462</v>
      </c>
    </row>
    <row r="24872">
      <c r="A24872" s="39">
        <f>_xlfn.XLOOKUP(86241,Trip[shape_id],Trip[shape_id],"Não encontrado")</f>
        <v/>
      </c>
      <c r="B24872" s="40" t="n">
        <v>-23.613863</v>
      </c>
      <c r="C24872" s="40" t="n">
        <v>-46.696439</v>
      </c>
      <c r="D24872" s="40" t="n">
        <v>45</v>
      </c>
      <c r="E24872" s="41" t="n">
        <v>1378.5551</v>
      </c>
    </row>
    <row r="24873">
      <c r="A24873" s="42">
        <f>_xlfn.XLOOKUP(86241,Trip[shape_id],Trip[shape_id],"Não encontrado")</f>
        <v/>
      </c>
      <c r="B24873" s="43" t="n">
        <v>-23.613896</v>
      </c>
      <c r="C24873" s="43" t="n">
        <v>-46.696158</v>
      </c>
      <c r="D24873" s="43" t="n">
        <v>46</v>
      </c>
      <c r="E24873" s="44" t="n">
        <v>1422.3329</v>
      </c>
    </row>
    <row r="24874">
      <c r="A24874" s="39">
        <f>_xlfn.XLOOKUP(86241,Trip[shape_id],Trip[shape_id],"Não encontrado")</f>
        <v/>
      </c>
      <c r="B24874" s="40" t="n">
        <v>-23.613956</v>
      </c>
      <c r="C24874" s="40" t="n">
        <v>-46.695734</v>
      </c>
      <c r="D24874" s="40" t="n">
        <v>47</v>
      </c>
      <c r="E24874" s="41" t="n">
        <v>1446.1403</v>
      </c>
    </row>
    <row r="24875">
      <c r="A24875" s="42">
        <f>_xlfn.XLOOKUP(86241,Trip[shape_id],Trip[shape_id],"Não encontrado")</f>
        <v/>
      </c>
      <c r="B24875" s="43" t="n">
        <v>-23.613986</v>
      </c>
      <c r="C24875" s="43" t="n">
        <v>-46.695503</v>
      </c>
      <c r="D24875" s="43" t="n">
        <v>48</v>
      </c>
      <c r="E24875" s="44" t="n">
        <v>1446.1403</v>
      </c>
    </row>
    <row r="24876">
      <c r="A24876" s="39">
        <f>_xlfn.XLOOKUP(86241,Trip[shape_id],Trip[shape_id],"Não encontrado")</f>
        <v/>
      </c>
      <c r="B24876" s="40" t="n">
        <v>-23.614058</v>
      </c>
      <c r="C24876" s="40" t="n">
        <v>-46.694957</v>
      </c>
      <c r="D24876" s="40" t="n">
        <v>49</v>
      </c>
      <c r="E24876" s="41" t="n">
        <v>1542.3586</v>
      </c>
    </row>
    <row r="24877">
      <c r="A24877" s="42">
        <f>_xlfn.XLOOKUP(86241,Trip[shape_id],Trip[shape_id],"Não encontrado")</f>
        <v/>
      </c>
      <c r="B24877" s="43" t="n">
        <v>-23.614136</v>
      </c>
      <c r="C24877" s="43" t="n">
        <v>-46.694575</v>
      </c>
      <c r="D24877" s="43" t="n">
        <v>50</v>
      </c>
      <c r="E24877" s="44" t="n">
        <v>1590.1306</v>
      </c>
    </row>
    <row r="24878">
      <c r="A24878" s="39">
        <f>_xlfn.XLOOKUP(86241,Trip[shape_id],Trip[shape_id],"Não encontrado")</f>
        <v/>
      </c>
      <c r="B24878" s="40" t="n">
        <v>-23.614267</v>
      </c>
      <c r="C24878" s="40" t="n">
        <v>-46.694129</v>
      </c>
      <c r="D24878" s="40" t="n">
        <v>51</v>
      </c>
      <c r="E24878" s="41" t="n">
        <v>1666.0951</v>
      </c>
    </row>
    <row r="24879">
      <c r="A24879" s="42">
        <f>_xlfn.XLOOKUP(86241,Trip[shape_id],Trip[shape_id],"Não encontrado")</f>
        <v/>
      </c>
      <c r="B24879" s="43" t="n">
        <v>-23.614473</v>
      </c>
      <c r="C24879" s="43" t="n">
        <v>-46.693419</v>
      </c>
      <c r="D24879" s="43" t="n">
        <v>52</v>
      </c>
      <c r="E24879" s="44" t="n">
        <v>1706.288</v>
      </c>
    </row>
    <row r="24880">
      <c r="A24880" s="39">
        <f>_xlfn.XLOOKUP(86241,Trip[shape_id],Trip[shape_id],"Não encontrado")</f>
        <v/>
      </c>
      <c r="B24880" s="40" t="n">
        <v>-23.614581</v>
      </c>
      <c r="C24880" s="40" t="n">
        <v>-46.693043</v>
      </c>
      <c r="D24880" s="40" t="n">
        <v>53</v>
      </c>
      <c r="E24880" s="41" t="n">
        <v>1747.391</v>
      </c>
    </row>
    <row r="24881">
      <c r="A24881" s="42">
        <f>_xlfn.XLOOKUP(86241,Trip[shape_id],Trip[shape_id],"Não encontrado")</f>
        <v/>
      </c>
      <c r="B24881" s="43" t="n">
        <v>-23.614704</v>
      </c>
      <c r="C24881" s="43" t="n">
        <v>-46.692663</v>
      </c>
      <c r="D24881" s="43" t="n">
        <v>54</v>
      </c>
      <c r="E24881" s="44" t="n">
        <v>1774.0237</v>
      </c>
    </row>
    <row r="24882">
      <c r="A24882" s="39">
        <f>_xlfn.XLOOKUP(86241,Trip[shape_id],Trip[shape_id],"Não encontrado")</f>
        <v/>
      </c>
      <c r="B24882" s="40" t="n">
        <v>-23.614776</v>
      </c>
      <c r="C24882" s="40" t="n">
        <v>-46.692414</v>
      </c>
      <c r="D24882" s="40" t="n">
        <v>55</v>
      </c>
      <c r="E24882" s="41" t="n">
        <v>1807.7401</v>
      </c>
    </row>
    <row r="24883">
      <c r="A24883" s="42">
        <f>_xlfn.XLOOKUP(86241,Trip[shape_id],Trip[shape_id],"Não encontrado")</f>
        <v/>
      </c>
      <c r="B24883" s="43" t="n">
        <v>-23.61484</v>
      </c>
      <c r="C24883" s="43" t="n">
        <v>-46.692091</v>
      </c>
      <c r="D24883" s="43" t="n">
        <v>56</v>
      </c>
      <c r="E24883" s="44" t="n">
        <v>1822.4546</v>
      </c>
    </row>
    <row r="24884">
      <c r="A24884" s="39">
        <f>_xlfn.XLOOKUP(86241,Trip[shape_id],Trip[shape_id],"Não encontrado")</f>
        <v/>
      </c>
      <c r="B24884" s="40" t="n">
        <v>-23.614857</v>
      </c>
      <c r="C24884" s="40" t="n">
        <v>-46.691948</v>
      </c>
      <c r="D24884" s="40" t="n">
        <v>57</v>
      </c>
      <c r="E24884" s="41" t="n">
        <v>1838.3197</v>
      </c>
    </row>
    <row r="24885">
      <c r="A24885" s="42">
        <f>_xlfn.XLOOKUP(86241,Trip[shape_id],Trip[shape_id],"Não encontrado")</f>
        <v/>
      </c>
      <c r="B24885" s="43" t="n">
        <v>-23.614868</v>
      </c>
      <c r="C24885" s="43" t="n">
        <v>-46.691793</v>
      </c>
      <c r="D24885" s="43" t="n">
        <v>58</v>
      </c>
      <c r="E24885" s="44" t="n">
        <v>1855.978</v>
      </c>
    </row>
    <row r="24886">
      <c r="A24886" s="39">
        <f>_xlfn.XLOOKUP(86241,Trip[shape_id],Trip[shape_id],"Não encontrado")</f>
        <v/>
      </c>
      <c r="B24886" s="40" t="n">
        <v>-23.614871</v>
      </c>
      <c r="C24886" s="40" t="n">
        <v>-46.69162</v>
      </c>
      <c r="D24886" s="40" t="n">
        <v>59</v>
      </c>
      <c r="E24886" s="41" t="n">
        <v>1872.0099</v>
      </c>
    </row>
    <row r="24887">
      <c r="A24887" s="42">
        <f>_xlfn.XLOOKUP(86241,Trip[shape_id],Trip[shape_id],"Não encontrado")</f>
        <v/>
      </c>
      <c r="B24887" s="43" t="n">
        <v>-23.614876</v>
      </c>
      <c r="C24887" s="43" t="n">
        <v>-46.691463</v>
      </c>
      <c r="D24887" s="43" t="n">
        <v>60</v>
      </c>
      <c r="E24887" s="44" t="n">
        <v>1889.054</v>
      </c>
    </row>
    <row r="24888">
      <c r="A24888" s="39">
        <f>_xlfn.XLOOKUP(86241,Trip[shape_id],Trip[shape_id],"Não encontrado")</f>
        <v/>
      </c>
      <c r="B24888" s="40" t="n">
        <v>-23.614874</v>
      </c>
      <c r="C24888" s="40" t="n">
        <v>-46.691296</v>
      </c>
      <c r="D24888" s="40" t="n">
        <v>61</v>
      </c>
      <c r="E24888" s="41" t="n">
        <v>1914.7732</v>
      </c>
    </row>
    <row r="24889">
      <c r="A24889" s="42">
        <f>_xlfn.XLOOKUP(86241,Trip[shape_id],Trip[shape_id],"Não encontrado")</f>
        <v/>
      </c>
      <c r="B24889" s="43" t="n">
        <v>-23.614871</v>
      </c>
      <c r="C24889" s="43" t="n">
        <v>-46.691044</v>
      </c>
      <c r="D24889" s="43" t="n">
        <v>62</v>
      </c>
      <c r="E24889" s="44" t="n">
        <v>1928.146</v>
      </c>
    </row>
    <row r="24890">
      <c r="A24890" s="39">
        <f>_xlfn.XLOOKUP(86241,Trip[shape_id],Trip[shape_id],"Não encontrado")</f>
        <v/>
      </c>
      <c r="B24890" s="40" t="n">
        <v>-23.614868</v>
      </c>
      <c r="C24890" s="40" t="n">
        <v>-46.690913</v>
      </c>
      <c r="D24890" s="40" t="n">
        <v>63</v>
      </c>
      <c r="E24890" s="41" t="n">
        <v>1941.4421</v>
      </c>
    </row>
    <row r="24891">
      <c r="A24891" s="42">
        <f>_xlfn.XLOOKUP(86241,Trip[shape_id],Trip[shape_id],"Não encontrado")</f>
        <v/>
      </c>
      <c r="B24891" s="43" t="n">
        <v>-23.614876</v>
      </c>
      <c r="C24891" s="43" t="n">
        <v>-46.690783</v>
      </c>
      <c r="D24891" s="43" t="n">
        <v>64</v>
      </c>
      <c r="E24891" s="44" t="n">
        <v>1953.4293</v>
      </c>
    </row>
    <row r="24892">
      <c r="A24892" s="39">
        <f>_xlfn.XLOOKUP(86241,Trip[shape_id],Trip[shape_id],"Não encontrado")</f>
        <v/>
      </c>
      <c r="B24892" s="40" t="n">
        <v>-23.614893</v>
      </c>
      <c r="C24892" s="40" t="n">
        <v>-46.690667</v>
      </c>
      <c r="D24892" s="40" t="n">
        <v>65</v>
      </c>
      <c r="E24892" s="41" t="n">
        <v>1964.2191</v>
      </c>
    </row>
    <row r="24893">
      <c r="A24893" s="42">
        <f>_xlfn.XLOOKUP(86241,Trip[shape_id],Trip[shape_id],"Não encontrado")</f>
        <v/>
      </c>
      <c r="B24893" s="43" t="n">
        <v>-23.614915</v>
      </c>
      <c r="C24893" s="43" t="n">
        <v>-46.690564</v>
      </c>
      <c r="D24893" s="43" t="n">
        <v>66</v>
      </c>
      <c r="E24893" s="44" t="n">
        <v>2017.2996</v>
      </c>
    </row>
    <row r="24894">
      <c r="A24894" s="39">
        <f>_xlfn.XLOOKUP(86241,Trip[shape_id],Trip[shape_id],"Não encontrado")</f>
        <v/>
      </c>
      <c r="B24894" s="40" t="n">
        <v>-23.615065</v>
      </c>
      <c r="C24894" s="40" t="n">
        <v>-46.69007</v>
      </c>
      <c r="D24894" s="40" t="n">
        <v>67</v>
      </c>
      <c r="E24894" s="41" t="n">
        <v>2107.6079</v>
      </c>
    </row>
    <row r="24895">
      <c r="A24895" s="42">
        <f>_xlfn.XLOOKUP(86241,Trip[shape_id],Trip[shape_id],"Não encontrado")</f>
        <v/>
      </c>
      <c r="B24895" s="43" t="n">
        <v>-23.615327</v>
      </c>
      <c r="C24895" s="43" t="n">
        <v>-46.689232</v>
      </c>
      <c r="D24895" s="43" t="n">
        <v>68</v>
      </c>
      <c r="E24895" s="44" t="n">
        <v>2179.9077</v>
      </c>
    </row>
    <row r="24896">
      <c r="A24896" s="39">
        <f>_xlfn.XLOOKUP(86241,Trip[shape_id],Trip[shape_id],"Não encontrado")</f>
        <v/>
      </c>
      <c r="B24896" s="40" t="n">
        <v>-23.615578</v>
      </c>
      <c r="C24896" s="40" t="n">
        <v>-46.688578</v>
      </c>
      <c r="D24896" s="40" t="n">
        <v>69</v>
      </c>
      <c r="E24896" s="41" t="n">
        <v>2179.9077</v>
      </c>
    </row>
    <row r="24897">
      <c r="A24897" s="42">
        <f>_xlfn.XLOOKUP(86241,Trip[shape_id],Trip[shape_id],"Não encontrado")</f>
        <v/>
      </c>
      <c r="B24897" s="43" t="n">
        <v>-23.615865</v>
      </c>
      <c r="C24897" s="43" t="n">
        <v>-46.687883</v>
      </c>
      <c r="D24897" s="43" t="n">
        <v>70</v>
      </c>
      <c r="E24897" s="44" t="n">
        <v>2324.4614</v>
      </c>
    </row>
    <row r="24898">
      <c r="A24898" s="39">
        <f>_xlfn.XLOOKUP(86241,Trip[shape_id],Trip[shape_id],"Não encontrado")</f>
        <v/>
      </c>
      <c r="B24898" s="40" t="n">
        <v>-23.616123</v>
      </c>
      <c r="C24898" s="40" t="n">
        <v>-46.687291</v>
      </c>
      <c r="D24898" s="40" t="n">
        <v>71</v>
      </c>
      <c r="E24898" s="41" t="n">
        <v>2357.0337</v>
      </c>
    </row>
    <row r="24899">
      <c r="A24899" s="42">
        <f>_xlfn.XLOOKUP(86241,Trip[shape_id],Trip[shape_id],"Não encontrado")</f>
        <v/>
      </c>
      <c r="B24899" s="43" t="n">
        <v>-23.616259</v>
      </c>
      <c r="C24899" s="43" t="n">
        <v>-46.687008</v>
      </c>
      <c r="D24899" s="43" t="n">
        <v>72</v>
      </c>
      <c r="E24899" s="44" t="n">
        <v>2403.0823</v>
      </c>
    </row>
    <row r="24900">
      <c r="A24900" s="39">
        <f>_xlfn.XLOOKUP(86241,Trip[shape_id],Trip[shape_id],"Não encontrado")</f>
        <v/>
      </c>
      <c r="B24900" s="40" t="n">
        <v>-23.61646</v>
      </c>
      <c r="C24900" s="40" t="n">
        <v>-46.686613</v>
      </c>
      <c r="D24900" s="40" t="n">
        <v>73</v>
      </c>
      <c r="E24900" s="41" t="n">
        <v>2441.2329</v>
      </c>
    </row>
    <row r="24901">
      <c r="A24901" s="42">
        <f>_xlfn.XLOOKUP(86241,Trip[shape_id],Trip[shape_id],"Não encontrado")</f>
        <v/>
      </c>
      <c r="B24901" s="43" t="n">
        <v>-23.616635</v>
      </c>
      <c r="C24901" s="43" t="n">
        <v>-46.686291</v>
      </c>
      <c r="D24901" s="43" t="n">
        <v>74</v>
      </c>
      <c r="E24901" s="44" t="n">
        <v>2488.5369</v>
      </c>
    </row>
    <row r="24902">
      <c r="A24902" s="39">
        <f>_xlfn.XLOOKUP(86241,Trip[shape_id],Trip[shape_id],"Não encontrado")</f>
        <v/>
      </c>
      <c r="B24902" s="40" t="n">
        <v>-23.61686</v>
      </c>
      <c r="C24902" s="40" t="n">
        <v>-46.685897</v>
      </c>
      <c r="D24902" s="40" t="n">
        <v>75</v>
      </c>
      <c r="E24902" s="41" t="n">
        <v>2533.9978</v>
      </c>
    </row>
    <row r="24903">
      <c r="A24903" s="42">
        <f>_xlfn.XLOOKUP(86241,Trip[shape_id],Trip[shape_id],"Não encontrado")</f>
        <v/>
      </c>
      <c r="B24903" s="43" t="n">
        <v>-23.617083</v>
      </c>
      <c r="C24903" s="43" t="n">
        <v>-46.685523</v>
      </c>
      <c r="D24903" s="43" t="n">
        <v>76</v>
      </c>
      <c r="E24903" s="44" t="n">
        <v>2596.5247</v>
      </c>
    </row>
    <row r="24904">
      <c r="A24904" s="39">
        <f>_xlfn.XLOOKUP(86241,Trip[shape_id],Trip[shape_id],"Não encontrado")</f>
        <v/>
      </c>
      <c r="B24904" s="40" t="n">
        <v>-23.6174</v>
      </c>
      <c r="C24904" s="40" t="n">
        <v>-46.685016</v>
      </c>
      <c r="D24904" s="40" t="n">
        <v>77</v>
      </c>
      <c r="E24904" s="41" t="n">
        <v>2712.9485</v>
      </c>
    </row>
    <row r="24905">
      <c r="A24905" s="42">
        <f>_xlfn.XLOOKUP(86241,Trip[shape_id],Trip[shape_id],"Não encontrado")</f>
        <v/>
      </c>
      <c r="B24905" s="43" t="n">
        <v>-23.618034</v>
      </c>
      <c r="C24905" s="43" t="n">
        <v>-46.684106</v>
      </c>
      <c r="D24905" s="43" t="n">
        <v>78</v>
      </c>
      <c r="E24905" s="44" t="n">
        <v>2800.0303</v>
      </c>
    </row>
    <row r="24906">
      <c r="A24906" s="39">
        <f>_xlfn.XLOOKUP(86241,Trip[shape_id],Trip[shape_id],"Não encontrado")</f>
        <v/>
      </c>
      <c r="B24906" s="40" t="n">
        <v>-23.618529</v>
      </c>
      <c r="C24906" s="40" t="n">
        <v>-46.683443</v>
      </c>
      <c r="D24906" s="40" t="n">
        <v>79</v>
      </c>
      <c r="E24906" s="41" t="n">
        <v>2800.0303</v>
      </c>
    </row>
    <row r="24907">
      <c r="A24907" s="42">
        <f>_xlfn.XLOOKUP(86241,Trip[shape_id],Trip[shape_id],"Não encontrado")</f>
        <v/>
      </c>
      <c r="B24907" s="43" t="n">
        <v>-23.618816</v>
      </c>
      <c r="C24907" s="43" t="n">
        <v>-46.683073</v>
      </c>
      <c r="D24907" s="43" t="n">
        <v>80</v>
      </c>
      <c r="E24907" s="44" t="n">
        <v>3016.8467</v>
      </c>
    </row>
    <row r="24908">
      <c r="A24908" s="39">
        <f>_xlfn.XLOOKUP(86241,Trip[shape_id],Trip[shape_id],"Não encontrado")</f>
        <v/>
      </c>
      <c r="B24908" s="40" t="n">
        <v>-23.619761</v>
      </c>
      <c r="C24908" s="40" t="n">
        <v>-46.681792</v>
      </c>
      <c r="D24908" s="40" t="n">
        <v>81</v>
      </c>
      <c r="E24908" s="41" t="n">
        <v>3129.5486</v>
      </c>
    </row>
    <row r="24909">
      <c r="A24909" s="42">
        <f>_xlfn.XLOOKUP(86241,Trip[shape_id],Trip[shape_id],"Não encontrado")</f>
        <v/>
      </c>
      <c r="B24909" s="43" t="n">
        <v>-23.620389</v>
      </c>
      <c r="C24909" s="43" t="n">
        <v>-46.680923</v>
      </c>
      <c r="D24909" s="43" t="n">
        <v>82</v>
      </c>
      <c r="E24909" s="44" t="n">
        <v>3154.334</v>
      </c>
    </row>
    <row r="24910">
      <c r="A24910" s="39">
        <f>_xlfn.XLOOKUP(86241,Trip[shape_id],Trip[shape_id],"Não encontrado")</f>
        <v/>
      </c>
      <c r="B24910" s="40" t="n">
        <v>-23.620534</v>
      </c>
      <c r="C24910" s="40" t="n">
        <v>-46.680738</v>
      </c>
      <c r="D24910" s="40" t="n">
        <v>83</v>
      </c>
      <c r="E24910" s="41" t="n">
        <v>3189.1724</v>
      </c>
    </row>
    <row r="24911">
      <c r="A24911" s="42">
        <f>_xlfn.XLOOKUP(86241,Trip[shape_id],Trip[shape_id],"Não encontrado")</f>
        <v/>
      </c>
      <c r="B24911" s="43" t="n">
        <v>-23.62074</v>
      </c>
      <c r="C24911" s="43" t="n">
        <v>-46.68048</v>
      </c>
      <c r="D24911" s="43" t="n">
        <v>84</v>
      </c>
      <c r="E24911" s="44" t="n">
        <v>3236.1118</v>
      </c>
    </row>
    <row r="24912">
      <c r="A24912" s="39">
        <f>_xlfn.XLOOKUP(86241,Trip[shape_id],Trip[shape_id],"Não encontrado")</f>
        <v/>
      </c>
      <c r="B24912" s="40" t="n">
        <v>-23.621015</v>
      </c>
      <c r="C24912" s="40" t="n">
        <v>-46.68013</v>
      </c>
      <c r="D24912" s="40" t="n">
        <v>85</v>
      </c>
      <c r="E24912" s="41" t="n">
        <v>3278.4709</v>
      </c>
    </row>
    <row r="24913">
      <c r="A24913" s="42">
        <f>_xlfn.XLOOKUP(86241,Trip[shape_id],Trip[shape_id],"Não encontrado")</f>
        <v/>
      </c>
      <c r="B24913" s="43" t="n">
        <v>-23.621263</v>
      </c>
      <c r="C24913" s="43" t="n">
        <v>-46.679814</v>
      </c>
      <c r="D24913" s="43" t="n">
        <v>86</v>
      </c>
      <c r="E24913" s="44" t="n">
        <v>3310.7351</v>
      </c>
    </row>
    <row r="24914">
      <c r="A24914" s="39">
        <f>_xlfn.XLOOKUP(86241,Trip[shape_id],Trip[shape_id],"Não encontrado")</f>
        <v/>
      </c>
      <c r="B24914" s="40" t="n">
        <v>-23.621446</v>
      </c>
      <c r="C24914" s="40" t="n">
        <v>-46.679568</v>
      </c>
      <c r="D24914" s="40" t="n">
        <v>87</v>
      </c>
      <c r="E24914" s="41" t="n">
        <v>3326.4409</v>
      </c>
    </row>
    <row r="24915">
      <c r="A24915" s="42">
        <f>_xlfn.XLOOKUP(86241,Trip[shape_id],Trip[shape_id],"Não encontrado")</f>
        <v/>
      </c>
      <c r="B24915" s="43" t="n">
        <v>-23.62153</v>
      </c>
      <c r="C24915" s="43" t="n">
        <v>-46.679444</v>
      </c>
      <c r="D24915" s="43" t="n">
        <v>88</v>
      </c>
      <c r="E24915" s="44" t="n">
        <v>3410.4399</v>
      </c>
    </row>
    <row r="24916">
      <c r="A24916" s="39">
        <f>_xlfn.XLOOKUP(86241,Trip[shape_id],Trip[shape_id],"Não encontrado")</f>
        <v/>
      </c>
      <c r="B24916" s="40" t="n">
        <v>-23.62207</v>
      </c>
      <c r="C24916" s="40" t="n">
        <v>-46.678866</v>
      </c>
      <c r="D24916" s="40" t="n">
        <v>89</v>
      </c>
      <c r="E24916" s="41" t="n">
        <v>3410.4399</v>
      </c>
    </row>
    <row r="24917">
      <c r="A24917" s="42">
        <f>_xlfn.XLOOKUP(86241,Trip[shape_id],Trip[shape_id],"Não encontrado")</f>
        <v/>
      </c>
      <c r="B24917" s="43" t="n">
        <v>-23.622231</v>
      </c>
      <c r="C24917" s="43" t="n">
        <v>-46.678681</v>
      </c>
      <c r="D24917" s="43" t="n">
        <v>90</v>
      </c>
      <c r="E24917" s="44" t="n">
        <v>3477.9387</v>
      </c>
    </row>
    <row r="24918">
      <c r="A24918" s="39">
        <f>_xlfn.XLOOKUP(86241,Trip[shape_id],Trip[shape_id],"Não encontrado")</f>
        <v/>
      </c>
      <c r="B24918" s="40" t="n">
        <v>-23.622504</v>
      </c>
      <c r="C24918" s="40" t="n">
        <v>-46.678402</v>
      </c>
      <c r="D24918" s="40" t="n">
        <v>91</v>
      </c>
      <c r="E24918" s="41" t="n">
        <v>3522.6914</v>
      </c>
    </row>
    <row r="24919">
      <c r="A24919" s="42">
        <f>_xlfn.XLOOKUP(86241,Trip[shape_id],Trip[shape_id],"Não encontrado")</f>
        <v/>
      </c>
      <c r="B24919" s="43" t="n">
        <v>-23.622815</v>
      </c>
      <c r="C24919" s="43" t="n">
        <v>-46.678122</v>
      </c>
      <c r="D24919" s="43" t="n">
        <v>92</v>
      </c>
      <c r="E24919" s="44" t="n">
        <v>3562.6116</v>
      </c>
    </row>
    <row r="24920">
      <c r="A24920" s="39">
        <f>_xlfn.XLOOKUP(86241,Trip[shape_id],Trip[shape_id],"Não encontrado")</f>
        <v/>
      </c>
      <c r="B24920" s="40" t="n">
        <v>-23.623096</v>
      </c>
      <c r="C24920" s="40" t="n">
        <v>-46.677877</v>
      </c>
      <c r="D24920" s="40" t="n">
        <v>93</v>
      </c>
      <c r="E24920" s="41" t="n">
        <v>3594.4285</v>
      </c>
    </row>
    <row r="24921">
      <c r="A24921" s="42">
        <f>_xlfn.XLOOKUP(86241,Trip[shape_id],Trip[shape_id],"Não encontrado")</f>
        <v/>
      </c>
      <c r="B24921" s="43" t="n">
        <v>-23.623335</v>
      </c>
      <c r="C24921" s="43" t="n">
        <v>-46.677704</v>
      </c>
      <c r="D24921" s="43" t="n">
        <v>94</v>
      </c>
      <c r="E24921" s="44" t="n">
        <v>3614.4009</v>
      </c>
    </row>
    <row r="24922">
      <c r="A24922" s="39">
        <f>_xlfn.XLOOKUP(86241,Trip[shape_id],Trip[shape_id],"Não encontrado")</f>
        <v/>
      </c>
      <c r="B24922" s="40" t="n">
        <v>-23.623486</v>
      </c>
      <c r="C24922" s="40" t="n">
        <v>-46.677597</v>
      </c>
      <c r="D24922" s="40" t="n">
        <v>95</v>
      </c>
      <c r="E24922" s="41" t="n">
        <v>3631.3696</v>
      </c>
    </row>
    <row r="24923">
      <c r="A24923" s="42">
        <f>_xlfn.XLOOKUP(86241,Trip[shape_id],Trip[shape_id],"Não encontrado")</f>
        <v/>
      </c>
      <c r="B24923" s="43" t="n">
        <v>-23.623616</v>
      </c>
      <c r="C24923" s="43" t="n">
        <v>-46.677509</v>
      </c>
      <c r="D24923" s="43" t="n">
        <v>96</v>
      </c>
      <c r="E24923" s="44" t="n">
        <v>3658.3584</v>
      </c>
    </row>
    <row r="24924">
      <c r="A24924" s="39">
        <f>_xlfn.XLOOKUP(86241,Trip[shape_id],Trip[shape_id],"Não encontrado")</f>
        <v/>
      </c>
      <c r="B24924" s="40" t="n">
        <v>-23.623825</v>
      </c>
      <c r="C24924" s="40" t="n">
        <v>-46.677373</v>
      </c>
      <c r="D24924" s="40" t="n">
        <v>97</v>
      </c>
      <c r="E24924" s="41" t="n">
        <v>3685.7808</v>
      </c>
    </row>
    <row r="24925">
      <c r="A24925" s="42">
        <f>_xlfn.XLOOKUP(86241,Trip[shape_id],Trip[shape_id],"Não encontrado")</f>
        <v/>
      </c>
      <c r="B24925" s="43" t="n">
        <v>-23.624047</v>
      </c>
      <c r="C24925" s="43" t="n">
        <v>-46.677254</v>
      </c>
      <c r="D24925" s="43" t="n">
        <v>98</v>
      </c>
      <c r="E24925" s="44" t="n">
        <v>3801.0298</v>
      </c>
    </row>
    <row r="24926">
      <c r="A24926" s="39">
        <f>_xlfn.XLOOKUP(86241,Trip[shape_id],Trip[shape_id],"Não encontrado")</f>
        <v/>
      </c>
      <c r="B24926" s="40" t="n">
        <v>-23.624985</v>
      </c>
      <c r="C24926" s="40" t="n">
        <v>-46.676765</v>
      </c>
      <c r="D24926" s="40" t="n">
        <v>99</v>
      </c>
      <c r="E24926" s="41" t="n">
        <v>3865.8809</v>
      </c>
    </row>
    <row r="24927">
      <c r="A24927" s="42">
        <f>_xlfn.XLOOKUP(86241,Trip[shape_id],Trip[shape_id],"Não encontrado")</f>
        <v/>
      </c>
      <c r="B24927" s="43" t="n">
        <v>-23.625512</v>
      </c>
      <c r="C24927" s="43" t="n">
        <v>-46.676488</v>
      </c>
      <c r="D24927" s="43" t="n">
        <v>100</v>
      </c>
      <c r="E24927" s="44" t="n">
        <v>3918.6223</v>
      </c>
    </row>
    <row r="24928">
      <c r="A24928" s="39">
        <f>_xlfn.XLOOKUP(86241,Trip[shape_id],Trip[shape_id],"Não encontrado")</f>
        <v/>
      </c>
      <c r="B24928" s="40" t="n">
        <v>-23.625938</v>
      </c>
      <c r="C24928" s="40" t="n">
        <v>-46.676257</v>
      </c>
      <c r="D24928" s="40" t="n">
        <v>101</v>
      </c>
      <c r="E24928" s="41" t="n">
        <v>3982.7715</v>
      </c>
    </row>
    <row r="24929">
      <c r="A24929" s="42">
        <f>_xlfn.XLOOKUP(86241,Trip[shape_id],Trip[shape_id],"Não encontrado")</f>
        <v/>
      </c>
      <c r="B24929" s="43" t="n">
        <v>-23.626447</v>
      </c>
      <c r="C24929" s="43" t="n">
        <v>-46.675957</v>
      </c>
      <c r="D24929" s="43" t="n">
        <v>102</v>
      </c>
      <c r="E24929" s="44" t="n">
        <v>4012.417</v>
      </c>
    </row>
    <row r="24930">
      <c r="A24930" s="39">
        <f>_xlfn.XLOOKUP(86241,Trip[shape_id],Trip[shape_id],"Não encontrado")</f>
        <v/>
      </c>
      <c r="B24930" s="40" t="n">
        <v>-23.62668</v>
      </c>
      <c r="C24930" s="40" t="n">
        <v>-46.675814</v>
      </c>
      <c r="D24930" s="40" t="n">
        <v>103</v>
      </c>
      <c r="E24930" s="41" t="n">
        <v>4080.2739</v>
      </c>
    </row>
    <row r="24931">
      <c r="A24931" s="42">
        <f>_xlfn.XLOOKUP(86241,Trip[shape_id],Trip[shape_id],"Não encontrado")</f>
        <v/>
      </c>
      <c r="B24931" s="43" t="n">
        <v>-23.627206</v>
      </c>
      <c r="C24931" s="43" t="n">
        <v>-46.675473</v>
      </c>
      <c r="D24931" s="43" t="n">
        <v>104</v>
      </c>
      <c r="E24931" s="44" t="n">
        <v>4133.6631</v>
      </c>
    </row>
    <row r="24932">
      <c r="A24932" s="39">
        <f>_xlfn.XLOOKUP(86241,Trip[shape_id],Trip[shape_id],"Não encontrado")</f>
        <v/>
      </c>
      <c r="B24932" s="40" t="n">
        <v>-23.627606</v>
      </c>
      <c r="C24932" s="40" t="n">
        <v>-46.675181</v>
      </c>
      <c r="D24932" s="40" t="n">
        <v>105</v>
      </c>
      <c r="E24932" s="41" t="n">
        <v>4182.9814</v>
      </c>
    </row>
    <row r="24933">
      <c r="A24933" s="42">
        <f>_xlfn.XLOOKUP(86241,Trip[shape_id],Trip[shape_id],"Não encontrado")</f>
        <v/>
      </c>
      <c r="B24933" s="43" t="n">
        <v>-23.627979</v>
      </c>
      <c r="C24933" s="43" t="n">
        <v>-46.674917</v>
      </c>
      <c r="D24933" s="43" t="n">
        <v>106</v>
      </c>
      <c r="E24933" s="44" t="n">
        <v>4217.561</v>
      </c>
    </row>
    <row r="24934">
      <c r="A24934" s="39">
        <f>_xlfn.XLOOKUP(86241,Trip[shape_id],Trip[shape_id],"Não encontrado")</f>
        <v/>
      </c>
      <c r="B24934" s="40" t="n">
        <v>-23.628235</v>
      </c>
      <c r="C24934" s="40" t="n">
        <v>-46.674723</v>
      </c>
      <c r="D24934" s="40" t="n">
        <v>107</v>
      </c>
      <c r="E24934" s="41" t="n">
        <v>4248.6445</v>
      </c>
    </row>
    <row r="24935">
      <c r="A24935" s="42">
        <f>_xlfn.XLOOKUP(86241,Trip[shape_id],Trip[shape_id],"Não encontrado")</f>
        <v/>
      </c>
      <c r="B24935" s="43" t="n">
        <v>-23.628466</v>
      </c>
      <c r="C24935" s="43" t="n">
        <v>-46.67455</v>
      </c>
      <c r="D24935" s="43" t="n">
        <v>108</v>
      </c>
      <c r="E24935" s="44" t="n">
        <v>4326.0732</v>
      </c>
    </row>
    <row r="24936">
      <c r="A24936" s="39">
        <f>_xlfn.XLOOKUP(86241,Trip[shape_id],Trip[shape_id],"Não encontrado")</f>
        <v/>
      </c>
      <c r="B24936" s="40" t="n">
        <v>-23.629022</v>
      </c>
      <c r="C24936" s="40" t="n">
        <v>-46.67409</v>
      </c>
      <c r="D24936" s="40" t="n">
        <v>109</v>
      </c>
      <c r="E24936" s="41" t="n">
        <v>4404.9512</v>
      </c>
    </row>
    <row r="24937">
      <c r="A24937" s="42">
        <f>_xlfn.XLOOKUP(86241,Trip[shape_id],Trip[shape_id],"Não encontrado")</f>
        <v/>
      </c>
      <c r="B24937" s="43" t="n">
        <v>-23.629562</v>
      </c>
      <c r="C24937" s="43" t="n">
        <v>-46.673586</v>
      </c>
      <c r="D24937" s="43" t="n">
        <v>110</v>
      </c>
      <c r="E24937" s="44" t="n">
        <v>4404.9512</v>
      </c>
    </row>
    <row r="24938">
      <c r="A24938" s="39">
        <f>_xlfn.XLOOKUP(86241,Trip[shape_id],Trip[shape_id],"Não encontrado")</f>
        <v/>
      </c>
      <c r="B24938" s="40" t="n">
        <v>-23.629652</v>
      </c>
      <c r="C24938" s="40" t="n">
        <v>-46.673419</v>
      </c>
      <c r="D24938" s="40" t="n">
        <v>111</v>
      </c>
      <c r="E24938" s="41" t="n">
        <v>4452.415</v>
      </c>
    </row>
    <row r="24939">
      <c r="A24939" s="42">
        <f>_xlfn.XLOOKUP(86241,Trip[shape_id],Trip[shape_id],"Não encontrado")</f>
        <v/>
      </c>
      <c r="B24939" s="43" t="n">
        <v>-23.62983</v>
      </c>
      <c r="C24939" s="43" t="n">
        <v>-46.673228</v>
      </c>
      <c r="D24939" s="43" t="n">
        <v>112</v>
      </c>
      <c r="E24939" s="44" t="n">
        <v>4501.9072</v>
      </c>
    </row>
    <row r="24940">
      <c r="A24940" s="39">
        <f>_xlfn.XLOOKUP(86241,Trip[shape_id],Trip[shape_id],"Não encontrado")</f>
        <v/>
      </c>
      <c r="B24940" s="40" t="n">
        <v>-23.630165</v>
      </c>
      <c r="C24940" s="40" t="n">
        <v>-46.672907</v>
      </c>
      <c r="D24940" s="40" t="n">
        <v>113</v>
      </c>
      <c r="E24940" s="41" t="n">
        <v>4539.8584</v>
      </c>
    </row>
    <row r="24941">
      <c r="A24941" s="42">
        <f>_xlfn.XLOOKUP(86241,Trip[shape_id],Trip[shape_id],"Não encontrado")</f>
        <v/>
      </c>
      <c r="B24941" s="43" t="n">
        <v>-23.630422</v>
      </c>
      <c r="C24941" s="43" t="n">
        <v>-46.672661</v>
      </c>
      <c r="D24941" s="43" t="n">
        <v>114</v>
      </c>
      <c r="E24941" s="44" t="n">
        <v>4568.0752</v>
      </c>
    </row>
    <row r="24942">
      <c r="A24942" s="39">
        <f>_xlfn.XLOOKUP(86241,Trip[shape_id],Trip[shape_id],"Não encontrado")</f>
        <v/>
      </c>
      <c r="B24942" s="40" t="n">
        <v>-23.630595</v>
      </c>
      <c r="C24942" s="40" t="n">
        <v>-46.672458</v>
      </c>
      <c r="D24942" s="40" t="n">
        <v>115</v>
      </c>
      <c r="E24942" s="41" t="n">
        <v>4584.96</v>
      </c>
    </row>
    <row r="24943">
      <c r="A24943" s="42">
        <f>_xlfn.XLOOKUP(86241,Trip[shape_id],Trip[shape_id],"Não encontrado")</f>
        <v/>
      </c>
      <c r="B24943" s="43" t="n">
        <v>-23.630698</v>
      </c>
      <c r="C24943" s="43" t="n">
        <v>-46.672336</v>
      </c>
      <c r="D24943" s="43" t="n">
        <v>116</v>
      </c>
      <c r="E24943" s="44" t="n">
        <v>4612.8979</v>
      </c>
    </row>
    <row r="24944">
      <c r="A24944" s="39">
        <f>_xlfn.XLOOKUP(86241,Trip[shape_id],Trip[shape_id],"Não encontrado")</f>
        <v/>
      </c>
      <c r="B24944" s="40" t="n">
        <v>-23.630876</v>
      </c>
      <c r="C24944" s="40" t="n">
        <v>-46.672142</v>
      </c>
      <c r="D24944" s="40" t="n">
        <v>117</v>
      </c>
      <c r="E24944" s="41" t="n">
        <v>4637.1108</v>
      </c>
    </row>
    <row r="24945">
      <c r="A24945" s="42">
        <f>_xlfn.XLOOKUP(86241,Trip[shape_id],Trip[shape_id],"Não encontrado")</f>
        <v/>
      </c>
      <c r="B24945" s="43" t="n">
        <v>-23.631034</v>
      </c>
      <c r="C24945" s="43" t="n">
        <v>-46.671978</v>
      </c>
      <c r="D24945" s="43" t="n">
        <v>118</v>
      </c>
      <c r="E24945" s="44" t="n">
        <v>4669.4072</v>
      </c>
    </row>
    <row r="24946">
      <c r="A24946" s="39">
        <f>_xlfn.XLOOKUP(86241,Trip[shape_id],Trip[shape_id],"Não encontrado")</f>
        <v/>
      </c>
      <c r="B24946" s="40" t="n">
        <v>-23.631248</v>
      </c>
      <c r="C24946" s="40" t="n">
        <v>-46.671763</v>
      </c>
      <c r="D24946" s="40" t="n">
        <v>119</v>
      </c>
      <c r="E24946" s="41" t="n">
        <v>4725.8232</v>
      </c>
    </row>
    <row r="24947">
      <c r="A24947" s="42">
        <f>_xlfn.XLOOKUP(86241,Trip[shape_id],Trip[shape_id],"Não encontrado")</f>
        <v/>
      </c>
      <c r="B24947" s="43" t="n">
        <v>-23.631618</v>
      </c>
      <c r="C24947" s="43" t="n">
        <v>-46.671383</v>
      </c>
      <c r="D24947" s="43" t="n">
        <v>120</v>
      </c>
      <c r="E24947" s="44" t="n">
        <v>4753.6016</v>
      </c>
    </row>
    <row r="24948">
      <c r="A24948" s="39">
        <f>_xlfn.XLOOKUP(86241,Trip[shape_id],Trip[shape_id],"Não encontrado")</f>
        <v/>
      </c>
      <c r="B24948" s="40" t="n">
        <v>-23.631802</v>
      </c>
      <c r="C24948" s="40" t="n">
        <v>-46.671198</v>
      </c>
      <c r="D24948" s="40" t="n">
        <v>121</v>
      </c>
      <c r="E24948" s="41" t="n">
        <v>4785.4131</v>
      </c>
    </row>
    <row r="24949">
      <c r="A24949" s="42">
        <f>_xlfn.XLOOKUP(86241,Trip[shape_id],Trip[shape_id],"Não encontrado")</f>
        <v/>
      </c>
      <c r="B24949" s="43" t="n">
        <v>-23.63201</v>
      </c>
      <c r="C24949" s="43" t="n">
        <v>-46.670983</v>
      </c>
      <c r="D24949" s="43" t="n">
        <v>122</v>
      </c>
      <c r="E24949" s="44" t="n">
        <v>4811.8589</v>
      </c>
    </row>
    <row r="24950">
      <c r="A24950" s="39">
        <f>_xlfn.XLOOKUP(86241,Trip[shape_id],Trip[shape_id],"Não encontrado")</f>
        <v/>
      </c>
      <c r="B24950" s="40" t="n">
        <v>-23.63218</v>
      </c>
      <c r="C24950" s="40" t="n">
        <v>-46.670801</v>
      </c>
      <c r="D24950" s="40" t="n">
        <v>123</v>
      </c>
      <c r="E24950" s="41" t="n">
        <v>4824.689</v>
      </c>
    </row>
    <row r="24951">
      <c r="A24951" s="42">
        <f>_xlfn.XLOOKUP(86241,Trip[shape_id],Trip[shape_id],"Não encontrado")</f>
        <v/>
      </c>
      <c r="B24951" s="43" t="n">
        <v>-23.632249</v>
      </c>
      <c r="C24951" s="43" t="n">
        <v>-46.6707</v>
      </c>
      <c r="D24951" s="43" t="n">
        <v>124</v>
      </c>
      <c r="E24951" s="44" t="n">
        <v>4835.124</v>
      </c>
    </row>
    <row r="24952">
      <c r="A24952" s="39">
        <f>_xlfn.XLOOKUP(86241,Trip[shape_id],Trip[shape_id],"Não encontrado")</f>
        <v/>
      </c>
      <c r="B24952" s="40" t="n">
        <v>-23.632297</v>
      </c>
      <c r="C24952" s="40" t="n">
        <v>-46.670612</v>
      </c>
      <c r="D24952" s="40" t="n">
        <v>125</v>
      </c>
      <c r="E24952" s="41" t="n">
        <v>4849.3735</v>
      </c>
    </row>
    <row r="24953">
      <c r="A24953" s="42">
        <f>_xlfn.XLOOKUP(86241,Trip[shape_id],Trip[shape_id],"Não encontrado")</f>
        <v/>
      </c>
      <c r="B24953" s="43" t="n">
        <v>-23.632344</v>
      </c>
      <c r="C24953" s="43" t="n">
        <v>-46.670482</v>
      </c>
      <c r="D24953" s="43" t="n">
        <v>126</v>
      </c>
      <c r="E24953" s="44" t="n">
        <v>4862.4253</v>
      </c>
    </row>
    <row r="24954">
      <c r="A24954" s="39">
        <f>_xlfn.XLOOKUP(86241,Trip[shape_id],Trip[shape_id],"Não encontrado")</f>
        <v/>
      </c>
      <c r="B24954" s="40" t="n">
        <v>-23.632369</v>
      </c>
      <c r="C24954" s="40" t="n">
        <v>-46.670357</v>
      </c>
      <c r="D24954" s="40" t="n">
        <v>127</v>
      </c>
      <c r="E24954" s="41" t="n">
        <v>4877.4287</v>
      </c>
    </row>
    <row r="24955">
      <c r="A24955" s="42">
        <f>_xlfn.XLOOKUP(86241,Trip[shape_id],Trip[shape_id],"Não encontrado")</f>
        <v/>
      </c>
      <c r="B24955" s="43" t="n">
        <v>-23.632372</v>
      </c>
      <c r="C24955" s="43" t="n">
        <v>-46.67021</v>
      </c>
      <c r="D24955" s="43" t="n">
        <v>128</v>
      </c>
      <c r="E24955" s="44" t="n">
        <v>4889.7754</v>
      </c>
    </row>
    <row r="24956">
      <c r="A24956" s="39">
        <f>_xlfn.XLOOKUP(86241,Trip[shape_id],Trip[shape_id],"Não encontrado")</f>
        <v/>
      </c>
      <c r="B24956" s="40" t="n">
        <v>-23.632372</v>
      </c>
      <c r="C24956" s="40" t="n">
        <v>-46.670089</v>
      </c>
      <c r="D24956" s="40" t="n">
        <v>129</v>
      </c>
      <c r="E24956" s="41" t="n">
        <v>4901.416</v>
      </c>
    </row>
    <row r="24957">
      <c r="A24957" s="42">
        <f>_xlfn.XLOOKUP(86241,Trip[shape_id],Trip[shape_id],"Não encontrado")</f>
        <v/>
      </c>
      <c r="B24957" s="43" t="n">
        <v>-23.632341</v>
      </c>
      <c r="C24957" s="43" t="n">
        <v>-46.66998</v>
      </c>
      <c r="D24957" s="43" t="n">
        <v>130</v>
      </c>
      <c r="E24957" s="44" t="n">
        <v>4916.5459</v>
      </c>
    </row>
    <row r="24958">
      <c r="A24958" s="39">
        <f>_xlfn.XLOOKUP(86241,Trip[shape_id],Trip[shape_id],"Não encontrado")</f>
        <v/>
      </c>
      <c r="B24958" s="40" t="n">
        <v>-23.632277</v>
      </c>
      <c r="C24958" s="40" t="n">
        <v>-46.669849</v>
      </c>
      <c r="D24958" s="40" t="n">
        <v>131</v>
      </c>
      <c r="E24958" s="41" t="n">
        <v>4931.7427</v>
      </c>
    </row>
    <row r="24959">
      <c r="A24959" s="42">
        <f>_xlfn.XLOOKUP(86241,Trip[shape_id],Trip[shape_id],"Não encontrado")</f>
        <v/>
      </c>
      <c r="B24959" s="43" t="n">
        <v>-23.632197</v>
      </c>
      <c r="C24959" s="43" t="n">
        <v>-46.669728</v>
      </c>
      <c r="D24959" s="43" t="n">
        <v>132</v>
      </c>
      <c r="E24959" s="44" t="n">
        <v>4951.3115</v>
      </c>
    </row>
    <row r="24960">
      <c r="A24960" s="39">
        <f>_xlfn.XLOOKUP(86241,Trip[shape_id],Trip[shape_id],"Não encontrado")</f>
        <v/>
      </c>
      <c r="B24960" s="40" t="n">
        <v>-23.632063</v>
      </c>
      <c r="C24960" s="40" t="n">
        <v>-46.669603</v>
      </c>
      <c r="D24960" s="40" t="n">
        <v>133</v>
      </c>
      <c r="E24960" s="41" t="n">
        <v>4965.4614</v>
      </c>
    </row>
    <row r="24961">
      <c r="A24961" s="42">
        <f>_xlfn.XLOOKUP(86241,Trip[shape_id],Trip[shape_id],"Não encontrado")</f>
        <v/>
      </c>
      <c r="B24961" s="43" t="n">
        <v>-23.631958</v>
      </c>
      <c r="C24961" s="43" t="n">
        <v>-46.669524</v>
      </c>
      <c r="D24961" s="43" t="n">
        <v>134</v>
      </c>
      <c r="E24961" s="44" t="n">
        <v>4984.8286</v>
      </c>
    </row>
    <row r="24962">
      <c r="A24962" s="39">
        <f>_xlfn.XLOOKUP(86241,Trip[shape_id],Trip[shape_id],"Não encontrado")</f>
        <v/>
      </c>
      <c r="B24962" s="40" t="n">
        <v>-23.631799</v>
      </c>
      <c r="C24962" s="40" t="n">
        <v>-46.669445</v>
      </c>
      <c r="D24962" s="40" t="n">
        <v>135</v>
      </c>
      <c r="E24962" s="41" t="n">
        <v>5016.3911</v>
      </c>
    </row>
    <row r="24963">
      <c r="A24963" s="42">
        <f>_xlfn.XLOOKUP(86241,Trip[shape_id],Trip[shape_id],"Não encontrado")</f>
        <v/>
      </c>
      <c r="B24963" s="43" t="n">
        <v>-23.631533</v>
      </c>
      <c r="C24963" s="43" t="n">
        <v>-46.669334</v>
      </c>
      <c r="D24963" s="43" t="n">
        <v>136</v>
      </c>
      <c r="E24963" s="44" t="n">
        <v>5041.5659</v>
      </c>
    </row>
    <row r="24964">
      <c r="A24964" s="39">
        <f>_xlfn.XLOOKUP(86241,Trip[shape_id],Trip[shape_id],"Não encontrado")</f>
        <v/>
      </c>
      <c r="B24964" s="40" t="n">
        <v>-23.631321</v>
      </c>
      <c r="C24964" s="40" t="n">
        <v>-46.669245</v>
      </c>
      <c r="D24964" s="40" t="n">
        <v>137</v>
      </c>
      <c r="E24964" s="41" t="n">
        <v>5092.0962</v>
      </c>
    </row>
    <row r="24965">
      <c r="A24965" s="42">
        <f>_xlfn.XLOOKUP(86241,Trip[shape_id],Trip[shape_id],"Não encontrado")</f>
        <v/>
      </c>
      <c r="B24965" s="43" t="n">
        <v>-23.63091</v>
      </c>
      <c r="C24965" s="43" t="n">
        <v>-46.66903</v>
      </c>
      <c r="D24965" s="43" t="n">
        <v>138</v>
      </c>
      <c r="E24965" s="44" t="n">
        <v>5157.8906</v>
      </c>
    </row>
    <row r="24966">
      <c r="A24966" s="39">
        <f>_xlfn.XLOOKUP(86241,Trip[shape_id],Trip[shape_id],"Não encontrado")</f>
        <v/>
      </c>
      <c r="B24966" s="40" t="n">
        <v>-23.630398</v>
      </c>
      <c r="C24966" s="40" t="n">
        <v>-46.668703</v>
      </c>
      <c r="D24966" s="40" t="n">
        <v>139</v>
      </c>
      <c r="E24966" s="41" t="n">
        <v>5191.6084</v>
      </c>
    </row>
    <row r="24967">
      <c r="A24967" s="42">
        <f>_xlfn.XLOOKUP(86241,Trip[shape_id],Trip[shape_id],"Não encontrado")</f>
        <v/>
      </c>
      <c r="B24967" s="43" t="n">
        <v>-23.630147</v>
      </c>
      <c r="C24967" s="43" t="n">
        <v>-46.668516</v>
      </c>
      <c r="D24967" s="43" t="n">
        <v>140</v>
      </c>
      <c r="E24967" s="44" t="n">
        <v>5208.9165</v>
      </c>
    </row>
    <row r="24968">
      <c r="A24968" s="39">
        <f>_xlfn.XLOOKUP(86241,Trip[shape_id],Trip[shape_id],"Não encontrado")</f>
        <v/>
      </c>
      <c r="B24968" s="40" t="n">
        <v>-23.630025</v>
      </c>
      <c r="C24968" s="40" t="n">
        <v>-46.66841</v>
      </c>
      <c r="D24968" s="40" t="n">
        <v>141</v>
      </c>
      <c r="E24968" s="41" t="n">
        <v>5229.9678</v>
      </c>
    </row>
    <row r="24969">
      <c r="A24969" s="42">
        <f>_xlfn.XLOOKUP(86241,Trip[shape_id],Trip[shape_id],"Não encontrado")</f>
        <v/>
      </c>
      <c r="B24969" s="43" t="n">
        <v>-23.629888</v>
      </c>
      <c r="C24969" s="43" t="n">
        <v>-46.668267</v>
      </c>
      <c r="D24969" s="43" t="n">
        <v>142</v>
      </c>
      <c r="E24969" s="44" t="n">
        <v>5243.0259</v>
      </c>
    </row>
    <row r="24970">
      <c r="A24970" s="39">
        <f>_xlfn.XLOOKUP(86241,Trip[shape_id],Trip[shape_id],"Não encontrado")</f>
        <v/>
      </c>
      <c r="B24970" s="40" t="n">
        <v>-23.629808</v>
      </c>
      <c r="C24970" s="40" t="n">
        <v>-46.668173</v>
      </c>
      <c r="D24970" s="40" t="n">
        <v>143</v>
      </c>
      <c r="E24970" s="41" t="n">
        <v>5256.2856</v>
      </c>
    </row>
    <row r="24971">
      <c r="A24971" s="42">
        <f>_xlfn.XLOOKUP(86241,Trip[shape_id],Trip[shape_id],"Não encontrado")</f>
        <v/>
      </c>
      <c r="B24971" s="43" t="n">
        <v>-23.629735</v>
      </c>
      <c r="C24971" s="43" t="n">
        <v>-46.66807</v>
      </c>
      <c r="D24971" s="43" t="n">
        <v>144</v>
      </c>
      <c r="E24971" s="44" t="n">
        <v>5285.5649</v>
      </c>
    </row>
    <row r="24972">
      <c r="A24972" s="39">
        <f>_xlfn.XLOOKUP(86241,Trip[shape_id],Trip[shape_id],"Não encontrado")</f>
        <v/>
      </c>
      <c r="B24972" s="40" t="n">
        <v>-23.629582</v>
      </c>
      <c r="C24972" s="40" t="n">
        <v>-46.667836</v>
      </c>
      <c r="D24972" s="40" t="n">
        <v>145</v>
      </c>
      <c r="E24972" s="41" t="n">
        <v>5298.9551</v>
      </c>
    </row>
    <row r="24973">
      <c r="A24973" s="42">
        <f>_xlfn.XLOOKUP(86241,Trip[shape_id],Trip[shape_id],"Não encontrado")</f>
        <v/>
      </c>
      <c r="B24973" s="43" t="n">
        <v>-23.629519</v>
      </c>
      <c r="C24973" s="43" t="n">
        <v>-46.667724</v>
      </c>
      <c r="D24973" s="43" t="n">
        <v>146</v>
      </c>
      <c r="E24973" s="44" t="n">
        <v>5312.0264</v>
      </c>
    </row>
    <row r="24974">
      <c r="A24974" s="39">
        <f>_xlfn.XLOOKUP(86241,Trip[shape_id],Trip[shape_id],"Não encontrado")</f>
        <v/>
      </c>
      <c r="B24974" s="40" t="n">
        <v>-23.629457</v>
      </c>
      <c r="C24974" s="40" t="n">
        <v>-46.667615</v>
      </c>
      <c r="D24974" s="40" t="n">
        <v>147</v>
      </c>
      <c r="E24974" s="41" t="n">
        <v>5323.8462</v>
      </c>
    </row>
    <row r="24975">
      <c r="A24975" s="42">
        <f>_xlfn.XLOOKUP(86241,Trip[shape_id],Trip[shape_id],"Não encontrado")</f>
        <v/>
      </c>
      <c r="B24975" s="43" t="n">
        <v>-23.62941</v>
      </c>
      <c r="C24975" s="43" t="n">
        <v>-46.667511</v>
      </c>
      <c r="D24975" s="43" t="n">
        <v>148</v>
      </c>
      <c r="E24975" s="44" t="n">
        <v>5338.9546</v>
      </c>
    </row>
    <row r="24976">
      <c r="A24976" s="39">
        <f>_xlfn.XLOOKUP(86241,Trip[shape_id],Trip[shape_id],"Não encontrado")</f>
        <v/>
      </c>
      <c r="B24976" s="40" t="n">
        <v>-23.629363</v>
      </c>
      <c r="C24976" s="40" t="n">
        <v>-46.667372</v>
      </c>
      <c r="D24976" s="40" t="n">
        <v>149</v>
      </c>
      <c r="E24976" s="41" t="n">
        <v>5349.2593</v>
      </c>
    </row>
    <row r="24977">
      <c r="A24977" s="42">
        <f>_xlfn.XLOOKUP(86241,Trip[shape_id],Trip[shape_id],"Não encontrado")</f>
        <v/>
      </c>
      <c r="B24977" s="43" t="n">
        <v>-23.629329</v>
      </c>
      <c r="C24977" s="43" t="n">
        <v>-46.667278</v>
      </c>
      <c r="D24977" s="43" t="n">
        <v>150</v>
      </c>
      <c r="E24977" s="44" t="n">
        <v>5376.8354</v>
      </c>
    </row>
    <row r="24978">
      <c r="A24978" s="39">
        <f>_xlfn.XLOOKUP(86241,Trip[shape_id],Trip[shape_id],"Não encontrado")</f>
        <v/>
      </c>
      <c r="B24978" s="40" t="n">
        <v>-23.629252</v>
      </c>
      <c r="C24978" s="40" t="n">
        <v>-46.667021</v>
      </c>
      <c r="D24978" s="40" t="n">
        <v>151</v>
      </c>
      <c r="E24978" s="41" t="n">
        <v>5406.1362</v>
      </c>
    </row>
    <row r="24979">
      <c r="A24979" s="42">
        <f>_xlfn.XLOOKUP(86241,Trip[shape_id],Trip[shape_id],"Não encontrado")</f>
        <v/>
      </c>
      <c r="B24979" s="43" t="n">
        <v>-23.629179</v>
      </c>
      <c r="C24979" s="43" t="n">
        <v>-46.666745</v>
      </c>
      <c r="D24979" s="43" t="n">
        <v>152</v>
      </c>
      <c r="E24979" s="44" t="n">
        <v>5426.4077</v>
      </c>
    </row>
    <row r="24980">
      <c r="A24980" s="39">
        <f>_xlfn.XLOOKUP(86241,Trip[shape_id],Trip[shape_id],"Não encontrado")</f>
        <v/>
      </c>
      <c r="B24980" s="40" t="n">
        <v>-23.629132</v>
      </c>
      <c r="C24980" s="40" t="n">
        <v>-46.666553</v>
      </c>
      <c r="D24980" s="40" t="n">
        <v>153</v>
      </c>
      <c r="E24980" s="41" t="n">
        <v>5458.2041</v>
      </c>
    </row>
    <row r="24981">
      <c r="A24981" s="42">
        <f>_xlfn.XLOOKUP(86241,Trip[shape_id],Trip[shape_id],"Não encontrado")</f>
        <v/>
      </c>
      <c r="B24981" s="43" t="n">
        <v>-23.629065</v>
      </c>
      <c r="C24981" s="43" t="n">
        <v>-46.66625</v>
      </c>
      <c r="D24981" s="43" t="n">
        <v>154</v>
      </c>
      <c r="E24981" s="44" t="n">
        <v>5476.0034</v>
      </c>
    </row>
    <row r="24982">
      <c r="A24982" s="39">
        <f>_xlfn.XLOOKUP(86241,Trip[shape_id],Trip[shape_id],"Não encontrado")</f>
        <v/>
      </c>
      <c r="B24982" s="40" t="n">
        <v>-23.629029</v>
      </c>
      <c r="C24982" s="40" t="n">
        <v>-46.66608</v>
      </c>
      <c r="D24982" s="40" t="n">
        <v>155</v>
      </c>
      <c r="E24982" s="41" t="n">
        <v>5492.9902</v>
      </c>
    </row>
    <row r="24983">
      <c r="A24983" s="42">
        <f>_xlfn.XLOOKUP(86241,Trip[shape_id],Trip[shape_id],"Não encontrado")</f>
        <v/>
      </c>
      <c r="B24983" s="43" t="n">
        <v>-23.62899</v>
      </c>
      <c r="C24983" s="43" t="n">
        <v>-46.665919</v>
      </c>
      <c r="D24983" s="43" t="n">
        <v>156</v>
      </c>
      <c r="E24983" s="44" t="n">
        <v>5509.7397</v>
      </c>
    </row>
    <row r="24984">
      <c r="A24984" s="39">
        <f>_xlfn.XLOOKUP(86241,Trip[shape_id],Trip[shape_id],"Não encontrado")</f>
        <v/>
      </c>
      <c r="B24984" s="40" t="n">
        <v>-23.628949</v>
      </c>
      <c r="C24984" s="40" t="n">
        <v>-46.665761</v>
      </c>
      <c r="D24984" s="40" t="n">
        <v>157</v>
      </c>
      <c r="E24984" s="41" t="n">
        <v>5567.7798</v>
      </c>
    </row>
    <row r="24985">
      <c r="A24985" s="42">
        <f>_xlfn.XLOOKUP(86241,Trip[shape_id],Trip[shape_id],"Não encontrado")</f>
        <v/>
      </c>
      <c r="B24985" s="43" t="n">
        <v>-23.628793</v>
      </c>
      <c r="C24985" s="43" t="n">
        <v>-46.665218</v>
      </c>
      <c r="D24985" s="43" t="n">
        <v>158</v>
      </c>
      <c r="E24985" s="44" t="n">
        <v>5635.5566</v>
      </c>
    </row>
    <row r="24986">
      <c r="A24986" s="39">
        <f>_xlfn.XLOOKUP(86241,Trip[shape_id],Trip[shape_id],"Não encontrado")</f>
        <v/>
      </c>
      <c r="B24986" s="40" t="n">
        <v>-23.628626</v>
      </c>
      <c r="C24986" s="40" t="n">
        <v>-46.664579</v>
      </c>
      <c r="D24986" s="40" t="n">
        <v>159</v>
      </c>
      <c r="E24986" s="41" t="n">
        <v>5684.9229</v>
      </c>
    </row>
    <row r="24987">
      <c r="A24987" s="42">
        <f>_xlfn.XLOOKUP(86241,Trip[shape_id],Trip[shape_id],"Não encontrado")</f>
        <v/>
      </c>
      <c r="B24987" s="43" t="n">
        <v>-23.628503</v>
      </c>
      <c r="C24987" s="43" t="n">
        <v>-46.664114</v>
      </c>
      <c r="D24987" s="43" t="n">
        <v>160</v>
      </c>
      <c r="E24987" s="44" t="n">
        <v>5724.3638</v>
      </c>
    </row>
    <row r="24988">
      <c r="A24988" s="39">
        <f>_xlfn.XLOOKUP(86241,Trip[shape_id],Trip[shape_id],"Não encontrado")</f>
        <v/>
      </c>
      <c r="B24988" s="40" t="n">
        <v>-23.6284</v>
      </c>
      <c r="C24988" s="40" t="n">
        <v>-46.663744</v>
      </c>
      <c r="D24988" s="40" t="n">
        <v>161</v>
      </c>
      <c r="E24988" s="41" t="n">
        <v>5753.8228</v>
      </c>
    </row>
    <row r="24989">
      <c r="A24989" s="42">
        <f>_xlfn.XLOOKUP(86241,Trip[shape_id],Trip[shape_id],"Não encontrado")</f>
        <v/>
      </c>
      <c r="B24989" s="43" t="n">
        <v>-23.628322</v>
      </c>
      <c r="C24989" s="43" t="n">
        <v>-46.663468</v>
      </c>
      <c r="D24989" s="43" t="n">
        <v>162</v>
      </c>
      <c r="E24989" s="44" t="n">
        <v>5780.6484</v>
      </c>
    </row>
    <row r="24990">
      <c r="A24990" s="39">
        <f>_xlfn.XLOOKUP(86241,Trip[shape_id],Trip[shape_id],"Não encontrado")</f>
        <v/>
      </c>
      <c r="B24990" s="40" t="n">
        <v>-23.628253</v>
      </c>
      <c r="C24990" s="40" t="n">
        <v>-46.663216</v>
      </c>
      <c r="D24990" s="40" t="n">
        <v>163</v>
      </c>
      <c r="E24990" s="41" t="n">
        <v>5816.9678</v>
      </c>
    </row>
    <row r="24991">
      <c r="A24991" s="42">
        <f>_xlfn.XLOOKUP(86241,Trip[shape_id],Trip[shape_id],"Não encontrado")</f>
        <v/>
      </c>
      <c r="B24991" s="43" t="n">
        <v>-23.628156</v>
      </c>
      <c r="C24991" s="43" t="n">
        <v>-46.662876</v>
      </c>
      <c r="D24991" s="43" t="n">
        <v>164</v>
      </c>
      <c r="E24991" s="44" t="n">
        <v>5836.8384</v>
      </c>
    </row>
    <row r="24992">
      <c r="A24992" s="39">
        <f>_xlfn.XLOOKUP(86241,Trip[shape_id],Trip[shape_id],"Não encontrado")</f>
        <v/>
      </c>
      <c r="B24992" s="40" t="n">
        <v>-23.6281</v>
      </c>
      <c r="C24992" s="40" t="n">
        <v>-46.662691</v>
      </c>
      <c r="D24992" s="40" t="n">
        <v>165</v>
      </c>
      <c r="E24992" s="41" t="n">
        <v>5854.3193</v>
      </c>
    </row>
    <row r="24993">
      <c r="A24993" s="42">
        <f>_xlfn.XLOOKUP(86241,Trip[shape_id],Trip[shape_id],"Não encontrado")</f>
        <v/>
      </c>
      <c r="B24993" s="43" t="n">
        <v>-23.628039</v>
      </c>
      <c r="C24993" s="43" t="n">
        <v>-46.662533</v>
      </c>
      <c r="D24993" s="43" t="n">
        <v>166</v>
      </c>
      <c r="E24993" s="44" t="n">
        <v>5864.0093</v>
      </c>
    </row>
    <row r="24994">
      <c r="A24994" s="39">
        <f>_xlfn.XLOOKUP(86241,Trip[shape_id],Trip[shape_id],"Não encontrado")</f>
        <v/>
      </c>
      <c r="B24994" s="40" t="n">
        <v>-23.628</v>
      </c>
      <c r="C24994" s="40" t="n">
        <v>-46.662448</v>
      </c>
      <c r="D24994" s="40" t="n">
        <v>167</v>
      </c>
      <c r="E24994" s="41" t="n">
        <v>5873.6045</v>
      </c>
    </row>
    <row r="24995">
      <c r="A24995" s="42">
        <f>_xlfn.XLOOKUP(86241,Trip[shape_id],Trip[shape_id],"Não encontrado")</f>
        <v/>
      </c>
      <c r="B24995" s="43" t="n">
        <v>-23.627953</v>
      </c>
      <c r="C24995" s="43" t="n">
        <v>-46.662369</v>
      </c>
      <c r="D24995" s="43" t="n">
        <v>168</v>
      </c>
      <c r="E24995" s="44" t="n">
        <v>5880.2861</v>
      </c>
    </row>
    <row r="24996">
      <c r="A24996" s="39">
        <f>_xlfn.XLOOKUP(86241,Trip[shape_id],Trip[shape_id],"Não encontrado")</f>
        <v/>
      </c>
      <c r="B24996" s="40" t="n">
        <v>-23.627911</v>
      </c>
      <c r="C24996" s="40" t="n">
        <v>-46.662322</v>
      </c>
      <c r="D24996" s="40" t="n">
        <v>169</v>
      </c>
      <c r="E24996" s="41" t="n">
        <v>5886.9946</v>
      </c>
    </row>
    <row r="24997">
      <c r="A24997" s="42">
        <f>_xlfn.XLOOKUP(86241,Trip[shape_id],Trip[shape_id],"Não encontrado")</f>
        <v/>
      </c>
      <c r="B24997" s="43" t="n">
        <v>-23.627866</v>
      </c>
      <c r="C24997" s="43" t="n">
        <v>-46.662278</v>
      </c>
      <c r="D24997" s="43" t="n">
        <v>170</v>
      </c>
      <c r="E24997" s="44" t="n">
        <v>5898.1885</v>
      </c>
    </row>
    <row r="24998">
      <c r="A24998" s="39">
        <f>_xlfn.XLOOKUP(86241,Trip[shape_id],Trip[shape_id],"Não encontrado")</f>
        <v/>
      </c>
      <c r="B24998" s="40" t="n">
        <v>-23.627782</v>
      </c>
      <c r="C24998" s="40" t="n">
        <v>-46.662217</v>
      </c>
      <c r="D24998" s="40" t="n">
        <v>171</v>
      </c>
      <c r="E24998" s="41" t="n">
        <v>5910.5513</v>
      </c>
    </row>
    <row r="24999">
      <c r="A24999" s="42">
        <f>_xlfn.XLOOKUP(86241,Trip[shape_id],Trip[shape_id],"Não encontrado")</f>
        <v/>
      </c>
      <c r="B24999" s="43" t="n">
        <v>-23.627684</v>
      </c>
      <c r="C24999" s="43" t="n">
        <v>-46.662159</v>
      </c>
      <c r="D24999" s="43" t="n">
        <v>172</v>
      </c>
      <c r="E24999" s="44" t="n">
        <v>5935.687</v>
      </c>
    </row>
    <row r="25000">
      <c r="A25000" s="39">
        <f>_xlfn.XLOOKUP(86241,Trip[shape_id],Trip[shape_id],"Não encontrado")</f>
        <v/>
      </c>
      <c r="B25000" s="40" t="n">
        <v>-23.627477</v>
      </c>
      <c r="C25000" s="40" t="n">
        <v>-46.662058</v>
      </c>
      <c r="D25000" s="40" t="n">
        <v>173</v>
      </c>
      <c r="E25000" s="41" t="n">
        <v>5961.3115</v>
      </c>
    </row>
    <row r="25001">
      <c r="A25001" s="42">
        <f>_xlfn.XLOOKUP(86241,Trip[shape_id],Trip[shape_id],"Não encontrado")</f>
        <v/>
      </c>
      <c r="B25001" s="43" t="n">
        <v>-23.627258</v>
      </c>
      <c r="C25001" s="43" t="n">
        <v>-46.661977</v>
      </c>
      <c r="D25001" s="43" t="n">
        <v>174</v>
      </c>
      <c r="E25001" s="44" t="n">
        <v>6001.0586</v>
      </c>
    </row>
    <row r="25002">
      <c r="A25002" s="39">
        <f>_xlfn.XLOOKUP(86241,Trip[shape_id],Trip[shape_id],"Não encontrado")</f>
        <v/>
      </c>
      <c r="B25002" s="40" t="n">
        <v>-23.626914</v>
      </c>
      <c r="C25002" s="40" t="n">
        <v>-46.661866</v>
      </c>
      <c r="D25002" s="40" t="n">
        <v>175</v>
      </c>
      <c r="E25002" s="41" t="n">
        <v>6001.0586</v>
      </c>
    </row>
    <row r="25003">
      <c r="A25003" s="42">
        <f>_xlfn.XLOOKUP(86242,Trip[shape_id],Trip[shape_id],"Não encontrado")</f>
        <v/>
      </c>
      <c r="B25003" s="43" t="n">
        <v>-23.626914</v>
      </c>
      <c r="C25003" s="43" t="n">
        <v>-46.661866</v>
      </c>
      <c r="D25003" s="43" t="n">
        <v>1</v>
      </c>
      <c r="E25003" s="44" t="n">
        <v>0</v>
      </c>
    </row>
    <row r="25004">
      <c r="A25004" s="39">
        <f>_xlfn.XLOOKUP(86242,Trip[shape_id],Trip[shape_id],"Não encontrado")</f>
        <v/>
      </c>
      <c r="B25004" s="40" t="n">
        <v>-23.627258</v>
      </c>
      <c r="C25004" s="40" t="n">
        <v>-46.661977</v>
      </c>
      <c r="D25004" s="40" t="n">
        <v>2</v>
      </c>
      <c r="E25004" s="41" t="n">
        <v>39.747066</v>
      </c>
    </row>
    <row r="25005">
      <c r="A25005" s="42">
        <f>_xlfn.XLOOKUP(86242,Trip[shape_id],Trip[shape_id],"Não encontrado")</f>
        <v/>
      </c>
      <c r="B25005" s="43" t="n">
        <v>-23.627477</v>
      </c>
      <c r="C25005" s="43" t="n">
        <v>-46.662058</v>
      </c>
      <c r="D25005" s="43" t="n">
        <v>3</v>
      </c>
      <c r="E25005" s="44" t="n">
        <v>65.37159699999999</v>
      </c>
    </row>
    <row r="25006">
      <c r="A25006" s="39">
        <f>_xlfn.XLOOKUP(86242,Trip[shape_id],Trip[shape_id],"Não encontrado")</f>
        <v/>
      </c>
      <c r="B25006" s="40" t="n">
        <v>-23.627684</v>
      </c>
      <c r="C25006" s="40" t="n">
        <v>-46.662159</v>
      </c>
      <c r="D25006" s="40" t="n">
        <v>4</v>
      </c>
      <c r="E25006" s="41" t="n">
        <v>90.507347</v>
      </c>
    </row>
    <row r="25007">
      <c r="A25007" s="42">
        <f>_xlfn.XLOOKUP(86242,Trip[shape_id],Trip[shape_id],"Não encontrado")</f>
        <v/>
      </c>
      <c r="B25007" s="43" t="n">
        <v>-23.627782</v>
      </c>
      <c r="C25007" s="43" t="n">
        <v>-46.662217</v>
      </c>
      <c r="D25007" s="43" t="n">
        <v>5</v>
      </c>
      <c r="E25007" s="44" t="n">
        <v>102.87015</v>
      </c>
    </row>
    <row r="25008">
      <c r="A25008" s="39">
        <f>_xlfn.XLOOKUP(86242,Trip[shape_id],Trip[shape_id],"Não encontrado")</f>
        <v/>
      </c>
      <c r="B25008" s="40" t="n">
        <v>-23.627866</v>
      </c>
      <c r="C25008" s="40" t="n">
        <v>-46.662278</v>
      </c>
      <c r="D25008" s="40" t="n">
        <v>6</v>
      </c>
      <c r="E25008" s="41" t="n">
        <v>114.06402</v>
      </c>
    </row>
    <row r="25009">
      <c r="A25009" s="42">
        <f>_xlfn.XLOOKUP(86242,Trip[shape_id],Trip[shape_id],"Não encontrado")</f>
        <v/>
      </c>
      <c r="B25009" s="43" t="n">
        <v>-23.627911</v>
      </c>
      <c r="C25009" s="43" t="n">
        <v>-46.662322</v>
      </c>
      <c r="D25009" s="43" t="n">
        <v>7</v>
      </c>
      <c r="E25009" s="44" t="n">
        <v>120.77267</v>
      </c>
    </row>
    <row r="25010">
      <c r="A25010" s="39">
        <f>_xlfn.XLOOKUP(86242,Trip[shape_id],Trip[shape_id],"Não encontrado")</f>
        <v/>
      </c>
      <c r="B25010" s="40" t="n">
        <v>-23.627953</v>
      </c>
      <c r="C25010" s="40" t="n">
        <v>-46.662369</v>
      </c>
      <c r="D25010" s="40" t="n">
        <v>8</v>
      </c>
      <c r="E25010" s="41" t="n">
        <v>127.45434</v>
      </c>
    </row>
    <row r="25011">
      <c r="A25011" s="42">
        <f>_xlfn.XLOOKUP(86242,Trip[shape_id],Trip[shape_id],"Não encontrado")</f>
        <v/>
      </c>
      <c r="B25011" s="43" t="n">
        <v>-23.628</v>
      </c>
      <c r="C25011" s="43" t="n">
        <v>-46.662448</v>
      </c>
      <c r="D25011" s="43" t="n">
        <v>9</v>
      </c>
      <c r="E25011" s="44" t="n">
        <v>137.04979</v>
      </c>
    </row>
    <row r="25012">
      <c r="A25012" s="39">
        <f>_xlfn.XLOOKUP(86242,Trip[shape_id],Trip[shape_id],"Não encontrado")</f>
        <v/>
      </c>
      <c r="B25012" s="40" t="n">
        <v>-23.628039</v>
      </c>
      <c r="C25012" s="40" t="n">
        <v>-46.662533</v>
      </c>
      <c r="D25012" s="40" t="n">
        <v>10</v>
      </c>
      <c r="E25012" s="41" t="n">
        <v>146.73953</v>
      </c>
    </row>
    <row r="25013">
      <c r="A25013" s="42">
        <f>_xlfn.XLOOKUP(86242,Trip[shape_id],Trip[shape_id],"Não encontrado")</f>
        <v/>
      </c>
      <c r="B25013" s="43" t="n">
        <v>-23.6281</v>
      </c>
      <c r="C25013" s="43" t="n">
        <v>-46.662691</v>
      </c>
      <c r="D25013" s="43" t="n">
        <v>11</v>
      </c>
      <c r="E25013" s="44" t="n">
        <v>164.22034</v>
      </c>
    </row>
    <row r="25014">
      <c r="A25014" s="39">
        <f>_xlfn.XLOOKUP(86242,Trip[shape_id],Trip[shape_id],"Não encontrado")</f>
        <v/>
      </c>
      <c r="B25014" s="40" t="n">
        <v>-23.628156</v>
      </c>
      <c r="C25014" s="40" t="n">
        <v>-46.662876</v>
      </c>
      <c r="D25014" s="40" t="n">
        <v>12</v>
      </c>
      <c r="E25014" s="41" t="n">
        <v>184.09106</v>
      </c>
    </row>
    <row r="25015">
      <c r="A25015" s="42">
        <f>_xlfn.XLOOKUP(86242,Trip[shape_id],Trip[shape_id],"Não encontrado")</f>
        <v/>
      </c>
      <c r="B25015" s="43" t="n">
        <v>-23.628253</v>
      </c>
      <c r="C25015" s="43" t="n">
        <v>-46.663216</v>
      </c>
      <c r="D25015" s="43" t="n">
        <v>13</v>
      </c>
      <c r="E25015" s="44" t="n">
        <v>220.41061</v>
      </c>
    </row>
    <row r="25016">
      <c r="A25016" s="39">
        <f>_xlfn.XLOOKUP(86242,Trip[shape_id],Trip[shape_id],"Não encontrado")</f>
        <v/>
      </c>
      <c r="B25016" s="40" t="n">
        <v>-23.628322</v>
      </c>
      <c r="C25016" s="40" t="n">
        <v>-46.663468</v>
      </c>
      <c r="D25016" s="40" t="n">
        <v>14</v>
      </c>
      <c r="E25016" s="41" t="n">
        <v>247.23651</v>
      </c>
    </row>
    <row r="25017">
      <c r="A25017" s="42">
        <f>_xlfn.XLOOKUP(86242,Trip[shape_id],Trip[shape_id],"Não encontrado")</f>
        <v/>
      </c>
      <c r="B25017" s="43" t="n">
        <v>-23.6284</v>
      </c>
      <c r="C25017" s="43" t="n">
        <v>-46.663744</v>
      </c>
      <c r="D25017" s="43" t="n">
        <v>15</v>
      </c>
      <c r="E25017" s="44" t="n">
        <v>276.69531</v>
      </c>
    </row>
    <row r="25018">
      <c r="A25018" s="39">
        <f>_xlfn.XLOOKUP(86242,Trip[shape_id],Trip[shape_id],"Não encontrado")</f>
        <v/>
      </c>
      <c r="B25018" s="40" t="n">
        <v>-23.628503</v>
      </c>
      <c r="C25018" s="40" t="n">
        <v>-46.664114</v>
      </c>
      <c r="D25018" s="40" t="n">
        <v>16</v>
      </c>
      <c r="E25018" s="41" t="n">
        <v>316.13638</v>
      </c>
    </row>
    <row r="25019">
      <c r="A25019" s="42">
        <f>_xlfn.XLOOKUP(86242,Trip[shape_id],Trip[shape_id],"Não encontrado")</f>
        <v/>
      </c>
      <c r="B25019" s="43" t="n">
        <v>-23.628626</v>
      </c>
      <c r="C25019" s="43" t="n">
        <v>-46.664579</v>
      </c>
      <c r="D25019" s="43" t="n">
        <v>17</v>
      </c>
      <c r="E25019" s="44" t="n">
        <v>365.50262</v>
      </c>
    </row>
    <row r="25020">
      <c r="A25020" s="39">
        <f>_xlfn.XLOOKUP(86242,Trip[shape_id],Trip[shape_id],"Não encontrado")</f>
        <v/>
      </c>
      <c r="B25020" s="40" t="n">
        <v>-23.628793</v>
      </c>
      <c r="C25020" s="40" t="n">
        <v>-46.665218</v>
      </c>
      <c r="D25020" s="40" t="n">
        <v>18</v>
      </c>
      <c r="E25020" s="41" t="n">
        <v>433.27963</v>
      </c>
    </row>
    <row r="25021">
      <c r="A25021" s="42">
        <f>_xlfn.XLOOKUP(86242,Trip[shape_id],Trip[shape_id],"Não encontrado")</f>
        <v/>
      </c>
      <c r="B25021" s="43" t="n">
        <v>-23.628949</v>
      </c>
      <c r="C25021" s="43" t="n">
        <v>-46.665761</v>
      </c>
      <c r="D25021" s="43" t="n">
        <v>19</v>
      </c>
      <c r="E25021" s="44" t="n">
        <v>491.31943</v>
      </c>
    </row>
    <row r="25022">
      <c r="A25022" s="39">
        <f>_xlfn.XLOOKUP(86242,Trip[shape_id],Trip[shape_id],"Não encontrado")</f>
        <v/>
      </c>
      <c r="B25022" s="40" t="n">
        <v>-23.62899</v>
      </c>
      <c r="C25022" s="40" t="n">
        <v>-46.665919</v>
      </c>
      <c r="D25022" s="40" t="n">
        <v>20</v>
      </c>
      <c r="E25022" s="41" t="n">
        <v>508.06918</v>
      </c>
    </row>
    <row r="25023">
      <c r="A25023" s="42">
        <f>_xlfn.XLOOKUP(86242,Trip[shape_id],Trip[shape_id],"Não encontrado")</f>
        <v/>
      </c>
      <c r="B25023" s="43" t="n">
        <v>-23.629029</v>
      </c>
      <c r="C25023" s="43" t="n">
        <v>-46.66608</v>
      </c>
      <c r="D25023" s="43" t="n">
        <v>21</v>
      </c>
      <c r="E25023" s="44" t="n">
        <v>525.05597</v>
      </c>
    </row>
    <row r="25024">
      <c r="A25024" s="39">
        <f>_xlfn.XLOOKUP(86242,Trip[shape_id],Trip[shape_id],"Não encontrado")</f>
        <v/>
      </c>
      <c r="B25024" s="40" t="n">
        <v>-23.629065</v>
      </c>
      <c r="C25024" s="40" t="n">
        <v>-46.66625</v>
      </c>
      <c r="D25024" s="40" t="n">
        <v>22</v>
      </c>
      <c r="E25024" s="41" t="n">
        <v>542.85541</v>
      </c>
    </row>
    <row r="25025">
      <c r="A25025" s="42">
        <f>_xlfn.XLOOKUP(86242,Trip[shape_id],Trip[shape_id],"Não encontrado")</f>
        <v/>
      </c>
      <c r="B25025" s="43" t="n">
        <v>-23.629132</v>
      </c>
      <c r="C25025" s="43" t="n">
        <v>-46.666553</v>
      </c>
      <c r="D25025" s="43" t="n">
        <v>23</v>
      </c>
      <c r="E25025" s="44" t="n">
        <v>574.6518600000001</v>
      </c>
    </row>
    <row r="25026">
      <c r="A25026" s="39">
        <f>_xlfn.XLOOKUP(86242,Trip[shape_id],Trip[shape_id],"Não encontrado")</f>
        <v/>
      </c>
      <c r="B25026" s="40" t="n">
        <v>-23.629179</v>
      </c>
      <c r="C25026" s="40" t="n">
        <v>-46.666745</v>
      </c>
      <c r="D25026" s="40" t="n">
        <v>24</v>
      </c>
      <c r="E25026" s="41" t="n">
        <v>594.9234</v>
      </c>
    </row>
    <row r="25027">
      <c r="A25027" s="42">
        <f>_xlfn.XLOOKUP(86242,Trip[shape_id],Trip[shape_id],"Não encontrado")</f>
        <v/>
      </c>
      <c r="B25027" s="43" t="n">
        <v>-23.629252</v>
      </c>
      <c r="C25027" s="43" t="n">
        <v>-46.667021</v>
      </c>
      <c r="D25027" s="43" t="n">
        <v>25</v>
      </c>
      <c r="E25027" s="44" t="n">
        <v>624.22412</v>
      </c>
    </row>
    <row r="25028">
      <c r="A25028" s="39">
        <f>_xlfn.XLOOKUP(86242,Trip[shape_id],Trip[shape_id],"Não encontrado")</f>
        <v/>
      </c>
      <c r="B25028" s="40" t="n">
        <v>-23.629329</v>
      </c>
      <c r="C25028" s="40" t="n">
        <v>-46.667278</v>
      </c>
      <c r="D25028" s="40" t="n">
        <v>26</v>
      </c>
      <c r="E25028" s="41" t="n">
        <v>651.80035</v>
      </c>
    </row>
    <row r="25029">
      <c r="A25029" s="42">
        <f>_xlfn.XLOOKUP(86242,Trip[shape_id],Trip[shape_id],"Não encontrado")</f>
        <v/>
      </c>
      <c r="B25029" s="43" t="n">
        <v>-23.629363</v>
      </c>
      <c r="C25029" s="43" t="n">
        <v>-46.667372</v>
      </c>
      <c r="D25029" s="43" t="n">
        <v>27</v>
      </c>
      <c r="E25029" s="44" t="n">
        <v>662.10486</v>
      </c>
    </row>
    <row r="25030">
      <c r="A25030" s="39">
        <f>_xlfn.XLOOKUP(86242,Trip[shape_id],Trip[shape_id],"Não encontrado")</f>
        <v/>
      </c>
      <c r="B25030" s="40" t="n">
        <v>-23.62941</v>
      </c>
      <c r="C25030" s="40" t="n">
        <v>-46.667511</v>
      </c>
      <c r="D25030" s="40" t="n">
        <v>28</v>
      </c>
      <c r="E25030" s="41" t="n">
        <v>677.2135</v>
      </c>
    </row>
    <row r="25031">
      <c r="A25031" s="42">
        <f>_xlfn.XLOOKUP(86242,Trip[shape_id],Trip[shape_id],"Não encontrado")</f>
        <v/>
      </c>
      <c r="B25031" s="43" t="n">
        <v>-23.629457</v>
      </c>
      <c r="C25031" s="43" t="n">
        <v>-46.667615</v>
      </c>
      <c r="D25031" s="43" t="n">
        <v>29</v>
      </c>
      <c r="E25031" s="44" t="n">
        <v>689.03351</v>
      </c>
    </row>
    <row r="25032">
      <c r="A25032" s="39">
        <f>_xlfn.XLOOKUP(86242,Trip[shape_id],Trip[shape_id],"Não encontrado")</f>
        <v/>
      </c>
      <c r="B25032" s="40" t="n">
        <v>-23.629519</v>
      </c>
      <c r="C25032" s="40" t="n">
        <v>-46.667724</v>
      </c>
      <c r="D25032" s="40" t="n">
        <v>30</v>
      </c>
      <c r="E25032" s="41" t="n">
        <v>702.10455</v>
      </c>
    </row>
    <row r="25033">
      <c r="A25033" s="42">
        <f>_xlfn.XLOOKUP(86242,Trip[shape_id],Trip[shape_id],"Não encontrado")</f>
        <v/>
      </c>
      <c r="B25033" s="43" t="n">
        <v>-23.629582</v>
      </c>
      <c r="C25033" s="43" t="n">
        <v>-46.667836</v>
      </c>
      <c r="D25033" s="43" t="n">
        <v>31</v>
      </c>
      <c r="E25033" s="44" t="n">
        <v>715.49481</v>
      </c>
    </row>
    <row r="25034">
      <c r="A25034" s="39">
        <f>_xlfn.XLOOKUP(86242,Trip[shape_id],Trip[shape_id],"Não encontrado")</f>
        <v/>
      </c>
      <c r="B25034" s="40" t="n">
        <v>-23.629735</v>
      </c>
      <c r="C25034" s="40" t="n">
        <v>-46.66807</v>
      </c>
      <c r="D25034" s="40" t="n">
        <v>32</v>
      </c>
      <c r="E25034" s="41" t="n">
        <v>744.77417</v>
      </c>
    </row>
    <row r="25035">
      <c r="A25035" s="42">
        <f>_xlfn.XLOOKUP(86242,Trip[shape_id],Trip[shape_id],"Não encontrado")</f>
        <v/>
      </c>
      <c r="B25035" s="43" t="n">
        <v>-23.629808</v>
      </c>
      <c r="C25035" s="43" t="n">
        <v>-46.668173</v>
      </c>
      <c r="D25035" s="43" t="n">
        <v>33</v>
      </c>
      <c r="E25035" s="44" t="n">
        <v>758.03412</v>
      </c>
    </row>
    <row r="25036">
      <c r="A25036" s="39">
        <f>_xlfn.XLOOKUP(86242,Trip[shape_id],Trip[shape_id],"Não encontrado")</f>
        <v/>
      </c>
      <c r="B25036" s="40" t="n">
        <v>-23.629888</v>
      </c>
      <c r="C25036" s="40" t="n">
        <v>-46.668267</v>
      </c>
      <c r="D25036" s="40" t="n">
        <v>34</v>
      </c>
      <c r="E25036" s="41" t="n">
        <v>771.09216</v>
      </c>
    </row>
    <row r="25037">
      <c r="A25037" s="42">
        <f>_xlfn.XLOOKUP(86242,Trip[shape_id],Trip[shape_id],"Não encontrado")</f>
        <v/>
      </c>
      <c r="B25037" s="43" t="n">
        <v>-23.630025</v>
      </c>
      <c r="C25037" s="43" t="n">
        <v>-46.66841</v>
      </c>
      <c r="D25037" s="43" t="n">
        <v>35</v>
      </c>
      <c r="E25037" s="44" t="n">
        <v>792.14337</v>
      </c>
    </row>
    <row r="25038">
      <c r="A25038" s="39">
        <f>_xlfn.XLOOKUP(86242,Trip[shape_id],Trip[shape_id],"Não encontrado")</f>
        <v/>
      </c>
      <c r="B25038" s="40" t="n">
        <v>-23.630147</v>
      </c>
      <c r="C25038" s="40" t="n">
        <v>-46.668516</v>
      </c>
      <c r="D25038" s="40" t="n">
        <v>36</v>
      </c>
      <c r="E25038" s="41" t="n">
        <v>809.45129</v>
      </c>
    </row>
    <row r="25039">
      <c r="A25039" s="42">
        <f>_xlfn.XLOOKUP(86242,Trip[shape_id],Trip[shape_id],"Não encontrado")</f>
        <v/>
      </c>
      <c r="B25039" s="43" t="n">
        <v>-23.630398</v>
      </c>
      <c r="C25039" s="43" t="n">
        <v>-46.668703</v>
      </c>
      <c r="D25039" s="43" t="n">
        <v>37</v>
      </c>
      <c r="E25039" s="44" t="n">
        <v>843.16901</v>
      </c>
    </row>
    <row r="25040">
      <c r="A25040" s="39">
        <f>_xlfn.XLOOKUP(86242,Trip[shape_id],Trip[shape_id],"Não encontrado")</f>
        <v/>
      </c>
      <c r="B25040" s="40" t="n">
        <v>-23.63091</v>
      </c>
      <c r="C25040" s="40" t="n">
        <v>-46.66903</v>
      </c>
      <c r="D25040" s="40" t="n">
        <v>38</v>
      </c>
      <c r="E25040" s="41" t="n">
        <v>908.96326</v>
      </c>
    </row>
    <row r="25041">
      <c r="A25041" s="42">
        <f>_xlfn.XLOOKUP(86242,Trip[shape_id],Trip[shape_id],"Não encontrado")</f>
        <v/>
      </c>
      <c r="B25041" s="43" t="n">
        <v>-23.631321</v>
      </c>
      <c r="C25041" s="43" t="n">
        <v>-46.669245</v>
      </c>
      <c r="D25041" s="43" t="n">
        <v>39</v>
      </c>
      <c r="E25041" s="44" t="n">
        <v>959.49365</v>
      </c>
    </row>
    <row r="25042">
      <c r="A25042" s="39">
        <f>_xlfn.XLOOKUP(86242,Trip[shape_id],Trip[shape_id],"Não encontrado")</f>
        <v/>
      </c>
      <c r="B25042" s="40" t="n">
        <v>-23.631533</v>
      </c>
      <c r="C25042" s="40" t="n">
        <v>-46.669334</v>
      </c>
      <c r="D25042" s="40" t="n">
        <v>40</v>
      </c>
      <c r="E25042" s="41" t="n">
        <v>984.6685199999999</v>
      </c>
    </row>
    <row r="25043">
      <c r="A25043" s="42">
        <f>_xlfn.XLOOKUP(86242,Trip[shape_id],Trip[shape_id],"Não encontrado")</f>
        <v/>
      </c>
      <c r="B25043" s="43" t="n">
        <v>-23.631799</v>
      </c>
      <c r="C25043" s="43" t="n">
        <v>-46.669445</v>
      </c>
      <c r="D25043" s="43" t="n">
        <v>41</v>
      </c>
      <c r="E25043" s="44" t="n">
        <v>1016.231</v>
      </c>
    </row>
    <row r="25044">
      <c r="A25044" s="39">
        <f>_xlfn.XLOOKUP(86242,Trip[shape_id],Trip[shape_id],"Não encontrado")</f>
        <v/>
      </c>
      <c r="B25044" s="40" t="n">
        <v>-23.631958</v>
      </c>
      <c r="C25044" s="40" t="n">
        <v>-46.669524</v>
      </c>
      <c r="D25044" s="40" t="n">
        <v>42</v>
      </c>
      <c r="E25044" s="41" t="n">
        <v>1035.598</v>
      </c>
    </row>
    <row r="25045">
      <c r="A25045" s="42">
        <f>_xlfn.XLOOKUP(86242,Trip[shape_id],Trip[shape_id],"Não encontrado")</f>
        <v/>
      </c>
      <c r="B25045" s="43" t="n">
        <v>-23.632063</v>
      </c>
      <c r="C25045" s="43" t="n">
        <v>-46.669603</v>
      </c>
      <c r="D25045" s="43" t="n">
        <v>43</v>
      </c>
      <c r="E25045" s="44" t="n">
        <v>1049.7478</v>
      </c>
    </row>
    <row r="25046">
      <c r="A25046" s="39">
        <f>_xlfn.XLOOKUP(86242,Trip[shape_id],Trip[shape_id],"Não encontrado")</f>
        <v/>
      </c>
      <c r="B25046" s="40" t="n">
        <v>-23.632197</v>
      </c>
      <c r="C25046" s="40" t="n">
        <v>-46.669728</v>
      </c>
      <c r="D25046" s="40" t="n">
        <v>44</v>
      </c>
      <c r="E25046" s="41" t="n">
        <v>1069.3167</v>
      </c>
    </row>
    <row r="25047">
      <c r="A25047" s="42">
        <f>_xlfn.XLOOKUP(86242,Trip[shape_id],Trip[shape_id],"Não encontrado")</f>
        <v/>
      </c>
      <c r="B25047" s="43" t="n">
        <v>-23.632277</v>
      </c>
      <c r="C25047" s="43" t="n">
        <v>-46.669849</v>
      </c>
      <c r="D25047" s="43" t="n">
        <v>45</v>
      </c>
      <c r="E25047" s="44" t="n">
        <v>1084.5134</v>
      </c>
    </row>
    <row r="25048">
      <c r="A25048" s="39">
        <f>_xlfn.XLOOKUP(86242,Trip[shape_id],Trip[shape_id],"Não encontrado")</f>
        <v/>
      </c>
      <c r="B25048" s="40" t="n">
        <v>-23.632341</v>
      </c>
      <c r="C25048" s="40" t="n">
        <v>-46.66998</v>
      </c>
      <c r="D25048" s="40" t="n">
        <v>46</v>
      </c>
      <c r="E25048" s="41" t="n">
        <v>1099.6434</v>
      </c>
    </row>
    <row r="25049">
      <c r="A25049" s="42">
        <f>_xlfn.XLOOKUP(86242,Trip[shape_id],Trip[shape_id],"Não encontrado")</f>
        <v/>
      </c>
      <c r="B25049" s="43" t="n">
        <v>-23.632372</v>
      </c>
      <c r="C25049" s="43" t="n">
        <v>-46.670089</v>
      </c>
      <c r="D25049" s="43" t="n">
        <v>47</v>
      </c>
      <c r="E25049" s="44" t="n">
        <v>1111.2838</v>
      </c>
    </row>
    <row r="25050">
      <c r="A25050" s="39">
        <f>_xlfn.XLOOKUP(86242,Trip[shape_id],Trip[shape_id],"Não encontrado")</f>
        <v/>
      </c>
      <c r="B25050" s="40" t="n">
        <v>-23.632372</v>
      </c>
      <c r="C25050" s="40" t="n">
        <v>-46.67021</v>
      </c>
      <c r="D25050" s="40" t="n">
        <v>48</v>
      </c>
      <c r="E25050" s="41" t="n">
        <v>1123.6305</v>
      </c>
    </row>
    <row r="25051">
      <c r="A25051" s="42">
        <f>_xlfn.XLOOKUP(86242,Trip[shape_id],Trip[shape_id],"Não encontrado")</f>
        <v/>
      </c>
      <c r="B25051" s="43" t="n">
        <v>-23.632369</v>
      </c>
      <c r="C25051" s="43" t="n">
        <v>-46.670357</v>
      </c>
      <c r="D25051" s="43" t="n">
        <v>49</v>
      </c>
      <c r="E25051" s="44" t="n">
        <v>1138.6338</v>
      </c>
    </row>
    <row r="25052">
      <c r="A25052" s="39">
        <f>_xlfn.XLOOKUP(86242,Trip[shape_id],Trip[shape_id],"Não encontrado")</f>
        <v/>
      </c>
      <c r="B25052" s="40" t="n">
        <v>-23.632344</v>
      </c>
      <c r="C25052" s="40" t="n">
        <v>-46.670482</v>
      </c>
      <c r="D25052" s="40" t="n">
        <v>50</v>
      </c>
      <c r="E25052" s="41" t="n">
        <v>1151.6858</v>
      </c>
    </row>
    <row r="25053">
      <c r="A25053" s="42">
        <f>_xlfn.XLOOKUP(86242,Trip[shape_id],Trip[shape_id],"Não encontrado")</f>
        <v/>
      </c>
      <c r="B25053" s="43" t="n">
        <v>-23.632297</v>
      </c>
      <c r="C25053" s="43" t="n">
        <v>-46.670612</v>
      </c>
      <c r="D25053" s="43" t="n">
        <v>51</v>
      </c>
      <c r="E25053" s="44" t="n">
        <v>1165.9354</v>
      </c>
    </row>
    <row r="25054">
      <c r="A25054" s="39">
        <f>_xlfn.XLOOKUP(86242,Trip[shape_id],Trip[shape_id],"Não encontrado")</f>
        <v/>
      </c>
      <c r="B25054" s="40" t="n">
        <v>-23.632249</v>
      </c>
      <c r="C25054" s="40" t="n">
        <v>-46.6707</v>
      </c>
      <c r="D25054" s="40" t="n">
        <v>52</v>
      </c>
      <c r="E25054" s="41" t="n">
        <v>1176.3702</v>
      </c>
    </row>
    <row r="25055">
      <c r="A25055" s="42">
        <f>_xlfn.XLOOKUP(86242,Trip[shape_id],Trip[shape_id],"Não encontrado")</f>
        <v/>
      </c>
      <c r="B25055" s="43" t="n">
        <v>-23.63218</v>
      </c>
      <c r="C25055" s="43" t="n">
        <v>-46.670801</v>
      </c>
      <c r="D25055" s="43" t="n">
        <v>53</v>
      </c>
      <c r="E25055" s="44" t="n">
        <v>1189.2003</v>
      </c>
    </row>
    <row r="25056">
      <c r="A25056" s="39">
        <f>_xlfn.XLOOKUP(86242,Trip[shape_id],Trip[shape_id],"Não encontrado")</f>
        <v/>
      </c>
      <c r="B25056" s="40" t="n">
        <v>-23.63201</v>
      </c>
      <c r="C25056" s="40" t="n">
        <v>-46.670983</v>
      </c>
      <c r="D25056" s="40" t="n">
        <v>54</v>
      </c>
      <c r="E25056" s="41" t="n">
        <v>1215.6461</v>
      </c>
    </row>
    <row r="25057">
      <c r="A25057" s="42">
        <f>_xlfn.XLOOKUP(86242,Trip[shape_id],Trip[shape_id],"Não encontrado")</f>
        <v/>
      </c>
      <c r="B25057" s="43" t="n">
        <v>-23.631802</v>
      </c>
      <c r="C25057" s="43" t="n">
        <v>-46.671198</v>
      </c>
      <c r="D25057" s="43" t="n">
        <v>55</v>
      </c>
      <c r="E25057" s="44" t="n">
        <v>1247.4576</v>
      </c>
    </row>
    <row r="25058">
      <c r="A25058" s="39">
        <f>_xlfn.XLOOKUP(86242,Trip[shape_id],Trip[shape_id],"Não encontrado")</f>
        <v/>
      </c>
      <c r="B25058" s="40" t="n">
        <v>-23.631618</v>
      </c>
      <c r="C25058" s="40" t="n">
        <v>-46.671383</v>
      </c>
      <c r="D25058" s="40" t="n">
        <v>56</v>
      </c>
      <c r="E25058" s="41" t="n">
        <v>1275.2358</v>
      </c>
    </row>
    <row r="25059">
      <c r="A25059" s="42">
        <f>_xlfn.XLOOKUP(86242,Trip[shape_id],Trip[shape_id],"Não encontrado")</f>
        <v/>
      </c>
      <c r="B25059" s="43" t="n">
        <v>-23.631248</v>
      </c>
      <c r="C25059" s="43" t="n">
        <v>-46.671763</v>
      </c>
      <c r="D25059" s="43" t="n">
        <v>57</v>
      </c>
      <c r="E25059" s="44" t="n">
        <v>1331.6517</v>
      </c>
    </row>
    <row r="25060">
      <c r="A25060" s="39">
        <f>_xlfn.XLOOKUP(86242,Trip[shape_id],Trip[shape_id],"Não encontrado")</f>
        <v/>
      </c>
      <c r="B25060" s="40" t="n">
        <v>-23.631034</v>
      </c>
      <c r="C25060" s="40" t="n">
        <v>-46.671978</v>
      </c>
      <c r="D25060" s="40" t="n">
        <v>58</v>
      </c>
      <c r="E25060" s="41" t="n">
        <v>1363.948</v>
      </c>
    </row>
    <row r="25061">
      <c r="A25061" s="42">
        <f>_xlfn.XLOOKUP(86242,Trip[shape_id],Trip[shape_id],"Não encontrado")</f>
        <v/>
      </c>
      <c r="B25061" s="43" t="n">
        <v>-23.630876</v>
      </c>
      <c r="C25061" s="43" t="n">
        <v>-46.672142</v>
      </c>
      <c r="D25061" s="43" t="n">
        <v>59</v>
      </c>
      <c r="E25061" s="44" t="n">
        <v>1388.1608</v>
      </c>
    </row>
    <row r="25062">
      <c r="A25062" s="39">
        <f>_xlfn.XLOOKUP(86242,Trip[shape_id],Trip[shape_id],"Não encontrado")</f>
        <v/>
      </c>
      <c r="B25062" s="40" t="n">
        <v>-23.630698</v>
      </c>
      <c r="C25062" s="40" t="n">
        <v>-46.672336</v>
      </c>
      <c r="D25062" s="40" t="n">
        <v>60</v>
      </c>
      <c r="E25062" s="41" t="n">
        <v>1416.0986</v>
      </c>
    </row>
    <row r="25063">
      <c r="A25063" s="42">
        <f>_xlfn.XLOOKUP(86242,Trip[shape_id],Trip[shape_id],"Não encontrado")</f>
        <v/>
      </c>
      <c r="B25063" s="43" t="n">
        <v>-23.630595</v>
      </c>
      <c r="C25063" s="43" t="n">
        <v>-46.672458</v>
      </c>
      <c r="D25063" s="43" t="n">
        <v>61</v>
      </c>
      <c r="E25063" s="44" t="n">
        <v>1432.9836</v>
      </c>
    </row>
    <row r="25064">
      <c r="A25064" s="39">
        <f>_xlfn.XLOOKUP(86242,Trip[shape_id],Trip[shape_id],"Não encontrado")</f>
        <v/>
      </c>
      <c r="B25064" s="40" t="n">
        <v>-23.630422</v>
      </c>
      <c r="C25064" s="40" t="n">
        <v>-46.672661</v>
      </c>
      <c r="D25064" s="40" t="n">
        <v>62</v>
      </c>
      <c r="E25064" s="41" t="n">
        <v>1461.2007</v>
      </c>
    </row>
    <row r="25065">
      <c r="A25065" s="42">
        <f>_xlfn.XLOOKUP(86242,Trip[shape_id],Trip[shape_id],"Não encontrado")</f>
        <v/>
      </c>
      <c r="B25065" s="43" t="n">
        <v>-23.630165</v>
      </c>
      <c r="C25065" s="43" t="n">
        <v>-46.672907</v>
      </c>
      <c r="D25065" s="43" t="n">
        <v>63</v>
      </c>
      <c r="E25065" s="44" t="n">
        <v>1499.1517</v>
      </c>
    </row>
    <row r="25066">
      <c r="A25066" s="39">
        <f>_xlfn.XLOOKUP(86242,Trip[shape_id],Trip[shape_id],"Não encontrado")</f>
        <v/>
      </c>
      <c r="B25066" s="40" t="n">
        <v>-23.62983</v>
      </c>
      <c r="C25066" s="40" t="n">
        <v>-46.673228</v>
      </c>
      <c r="D25066" s="40" t="n">
        <v>64</v>
      </c>
      <c r="E25066" s="41" t="n">
        <v>1548.6439</v>
      </c>
    </row>
    <row r="25067">
      <c r="A25067" s="42">
        <f>_xlfn.XLOOKUP(86242,Trip[shape_id],Trip[shape_id],"Não encontrado")</f>
        <v/>
      </c>
      <c r="B25067" s="43" t="n">
        <v>-23.629652</v>
      </c>
      <c r="C25067" s="43" t="n">
        <v>-46.673419</v>
      </c>
      <c r="D25067" s="43" t="n">
        <v>65</v>
      </c>
      <c r="E25067" s="44" t="n">
        <v>1576.3656</v>
      </c>
    </row>
    <row r="25068">
      <c r="A25068" s="39">
        <f>_xlfn.XLOOKUP(86242,Trip[shape_id],Trip[shape_id],"Não encontrado")</f>
        <v/>
      </c>
      <c r="B25068" s="40" t="n">
        <v>-23.629562</v>
      </c>
      <c r="C25068" s="40" t="n">
        <v>-46.673586</v>
      </c>
      <c r="D25068" s="40" t="n">
        <v>66</v>
      </c>
      <c r="E25068" s="41" t="n">
        <v>1596.1077</v>
      </c>
    </row>
    <row r="25069">
      <c r="A25069" s="42">
        <f>_xlfn.XLOOKUP(86242,Trip[shape_id],Trip[shape_id],"Não encontrado")</f>
        <v/>
      </c>
      <c r="B25069" s="43" t="n">
        <v>-23.629022</v>
      </c>
      <c r="C25069" s="43" t="n">
        <v>-46.67409</v>
      </c>
      <c r="D25069" s="43" t="n">
        <v>67</v>
      </c>
      <c r="E25069" s="44" t="n">
        <v>1674.9857</v>
      </c>
    </row>
    <row r="25070">
      <c r="A25070" s="39">
        <f>_xlfn.XLOOKUP(86242,Trip[shape_id],Trip[shape_id],"Não encontrado")</f>
        <v/>
      </c>
      <c r="B25070" s="40" t="n">
        <v>-23.628466</v>
      </c>
      <c r="C25070" s="40" t="n">
        <v>-46.67455</v>
      </c>
      <c r="D25070" s="40" t="n">
        <v>68</v>
      </c>
      <c r="E25070" s="41" t="n">
        <v>1752.4144</v>
      </c>
    </row>
    <row r="25071">
      <c r="A25071" s="42">
        <f>_xlfn.XLOOKUP(86242,Trip[shape_id],Trip[shape_id],"Não encontrado")</f>
        <v/>
      </c>
      <c r="B25071" s="43" t="n">
        <v>-23.628235</v>
      </c>
      <c r="C25071" s="43" t="n">
        <v>-46.674723</v>
      </c>
      <c r="D25071" s="43" t="n">
        <v>69</v>
      </c>
      <c r="E25071" s="44" t="n">
        <v>1783.4978</v>
      </c>
    </row>
    <row r="25072">
      <c r="A25072" s="39">
        <f>_xlfn.XLOOKUP(86242,Trip[shape_id],Trip[shape_id],"Não encontrado")</f>
        <v/>
      </c>
      <c r="B25072" s="40" t="n">
        <v>-23.627979</v>
      </c>
      <c r="C25072" s="40" t="n">
        <v>-46.674917</v>
      </c>
      <c r="D25072" s="40" t="n">
        <v>70</v>
      </c>
      <c r="E25072" s="41" t="n">
        <v>1818.0776</v>
      </c>
    </row>
    <row r="25073">
      <c r="A25073" s="42">
        <f>_xlfn.XLOOKUP(86242,Trip[shape_id],Trip[shape_id],"Não encontrado")</f>
        <v/>
      </c>
      <c r="B25073" s="43" t="n">
        <v>-23.627606</v>
      </c>
      <c r="C25073" s="43" t="n">
        <v>-46.675181</v>
      </c>
      <c r="D25073" s="43" t="n">
        <v>71</v>
      </c>
      <c r="E25073" s="44" t="n">
        <v>1867.396</v>
      </c>
    </row>
    <row r="25074">
      <c r="A25074" s="39">
        <f>_xlfn.XLOOKUP(86242,Trip[shape_id],Trip[shape_id],"Não encontrado")</f>
        <v/>
      </c>
      <c r="B25074" s="40" t="n">
        <v>-23.627206</v>
      </c>
      <c r="C25074" s="40" t="n">
        <v>-46.675473</v>
      </c>
      <c r="D25074" s="40" t="n">
        <v>72</v>
      </c>
      <c r="E25074" s="41" t="n">
        <v>1920.7853</v>
      </c>
    </row>
    <row r="25075">
      <c r="A25075" s="42">
        <f>_xlfn.XLOOKUP(86242,Trip[shape_id],Trip[shape_id],"Não encontrado")</f>
        <v/>
      </c>
      <c r="B25075" s="43" t="n">
        <v>-23.62668</v>
      </c>
      <c r="C25075" s="43" t="n">
        <v>-46.675814</v>
      </c>
      <c r="D25075" s="43" t="n">
        <v>73</v>
      </c>
      <c r="E25075" s="44" t="n">
        <v>1988.6422</v>
      </c>
    </row>
    <row r="25076">
      <c r="A25076" s="39">
        <f>_xlfn.XLOOKUP(86242,Trip[shape_id],Trip[shape_id],"Não encontrado")</f>
        <v/>
      </c>
      <c r="B25076" s="40" t="n">
        <v>-23.626447</v>
      </c>
      <c r="C25076" s="40" t="n">
        <v>-46.675957</v>
      </c>
      <c r="D25076" s="40" t="n">
        <v>74</v>
      </c>
      <c r="E25076" s="41" t="n">
        <v>2018.2877</v>
      </c>
    </row>
    <row r="25077">
      <c r="A25077" s="42">
        <f>_xlfn.XLOOKUP(86242,Trip[shape_id],Trip[shape_id],"Não encontrado")</f>
        <v/>
      </c>
      <c r="B25077" s="43" t="n">
        <v>-23.625938</v>
      </c>
      <c r="C25077" s="43" t="n">
        <v>-46.676257</v>
      </c>
      <c r="D25077" s="43" t="n">
        <v>75</v>
      </c>
      <c r="E25077" s="44" t="n">
        <v>2082.4368</v>
      </c>
    </row>
    <row r="25078">
      <c r="A25078" s="39">
        <f>_xlfn.XLOOKUP(86242,Trip[shape_id],Trip[shape_id],"Não encontrado")</f>
        <v/>
      </c>
      <c r="B25078" s="40" t="n">
        <v>-23.625512</v>
      </c>
      <c r="C25078" s="40" t="n">
        <v>-46.676488</v>
      </c>
      <c r="D25078" s="40" t="n">
        <v>76</v>
      </c>
      <c r="E25078" s="41" t="n">
        <v>2135.1782</v>
      </c>
    </row>
    <row r="25079">
      <c r="A25079" s="42">
        <f>_xlfn.XLOOKUP(86242,Trip[shape_id],Trip[shape_id],"Não encontrado")</f>
        <v/>
      </c>
      <c r="B25079" s="43" t="n">
        <v>-23.624985</v>
      </c>
      <c r="C25079" s="43" t="n">
        <v>-46.676765</v>
      </c>
      <c r="D25079" s="43" t="n">
        <v>77</v>
      </c>
      <c r="E25079" s="44" t="n">
        <v>2200.0293</v>
      </c>
    </row>
    <row r="25080">
      <c r="A25080" s="39">
        <f>_xlfn.XLOOKUP(86242,Trip[shape_id],Trip[shape_id],"Não encontrado")</f>
        <v/>
      </c>
      <c r="B25080" s="40" t="n">
        <v>-23.624047</v>
      </c>
      <c r="C25080" s="40" t="n">
        <v>-46.677254</v>
      </c>
      <c r="D25080" s="40" t="n">
        <v>78</v>
      </c>
      <c r="E25080" s="41" t="n">
        <v>2315.2783</v>
      </c>
    </row>
    <row r="25081">
      <c r="A25081" s="42">
        <f>_xlfn.XLOOKUP(86242,Trip[shape_id],Trip[shape_id],"Não encontrado")</f>
        <v/>
      </c>
      <c r="B25081" s="43" t="n">
        <v>-23.623825</v>
      </c>
      <c r="C25081" s="43" t="n">
        <v>-46.677373</v>
      </c>
      <c r="D25081" s="43" t="n">
        <v>79</v>
      </c>
      <c r="E25081" s="44" t="n">
        <v>2342.7007</v>
      </c>
    </row>
    <row r="25082">
      <c r="A25082" s="39">
        <f>_xlfn.XLOOKUP(86242,Trip[shape_id],Trip[shape_id],"Não encontrado")</f>
        <v/>
      </c>
      <c r="B25082" s="40" t="n">
        <v>-23.623616</v>
      </c>
      <c r="C25082" s="40" t="n">
        <v>-46.677509</v>
      </c>
      <c r="D25082" s="40" t="n">
        <v>80</v>
      </c>
      <c r="E25082" s="41" t="n">
        <v>2369.6895</v>
      </c>
    </row>
    <row r="25083">
      <c r="A25083" s="42">
        <f>_xlfn.XLOOKUP(86242,Trip[shape_id],Trip[shape_id],"Não encontrado")</f>
        <v/>
      </c>
      <c r="B25083" s="43" t="n">
        <v>-23.623486</v>
      </c>
      <c r="C25083" s="43" t="n">
        <v>-46.677597</v>
      </c>
      <c r="D25083" s="43" t="n">
        <v>81</v>
      </c>
      <c r="E25083" s="44" t="n">
        <v>2386.6582</v>
      </c>
    </row>
    <row r="25084">
      <c r="A25084" s="39">
        <f>_xlfn.XLOOKUP(86242,Trip[shape_id],Trip[shape_id],"Não encontrado")</f>
        <v/>
      </c>
      <c r="B25084" s="40" t="n">
        <v>-23.623335</v>
      </c>
      <c r="C25084" s="40" t="n">
        <v>-46.677704</v>
      </c>
      <c r="D25084" s="40" t="n">
        <v>82</v>
      </c>
      <c r="E25084" s="41" t="n">
        <v>2406.6306</v>
      </c>
    </row>
    <row r="25085">
      <c r="A25085" s="42">
        <f>_xlfn.XLOOKUP(86242,Trip[shape_id],Trip[shape_id],"Não encontrado")</f>
        <v/>
      </c>
      <c r="B25085" s="43" t="n">
        <v>-23.623096</v>
      </c>
      <c r="C25085" s="43" t="n">
        <v>-46.677877</v>
      </c>
      <c r="D25085" s="43" t="n">
        <v>83</v>
      </c>
      <c r="E25085" s="44" t="n">
        <v>2438.4475</v>
      </c>
    </row>
    <row r="25086">
      <c r="A25086" s="39">
        <f>_xlfn.XLOOKUP(86242,Trip[shape_id],Trip[shape_id],"Não encontrado")</f>
        <v/>
      </c>
      <c r="B25086" s="40" t="n">
        <v>-23.622815</v>
      </c>
      <c r="C25086" s="40" t="n">
        <v>-46.678122</v>
      </c>
      <c r="D25086" s="40" t="n">
        <v>84</v>
      </c>
      <c r="E25086" s="41" t="n">
        <v>2478.3677</v>
      </c>
    </row>
    <row r="25087">
      <c r="A25087" s="42">
        <f>_xlfn.XLOOKUP(86242,Trip[shape_id],Trip[shape_id],"Não encontrado")</f>
        <v/>
      </c>
      <c r="B25087" s="43" t="n">
        <v>-23.622504</v>
      </c>
      <c r="C25087" s="43" t="n">
        <v>-46.678402</v>
      </c>
      <c r="D25087" s="43" t="n">
        <v>85</v>
      </c>
      <c r="E25087" s="44" t="n">
        <v>2523.1204</v>
      </c>
    </row>
    <row r="25088">
      <c r="A25088" s="39">
        <f>_xlfn.XLOOKUP(86242,Trip[shape_id],Trip[shape_id],"Não encontrado")</f>
        <v/>
      </c>
      <c r="B25088" s="40" t="n">
        <v>-23.622231</v>
      </c>
      <c r="C25088" s="40" t="n">
        <v>-46.678681</v>
      </c>
      <c r="D25088" s="40" t="n">
        <v>86</v>
      </c>
      <c r="E25088" s="41" t="n">
        <v>2564.6509</v>
      </c>
    </row>
    <row r="25089">
      <c r="A25089" s="42">
        <f>_xlfn.XLOOKUP(86242,Trip[shape_id],Trip[shape_id],"Não encontrado")</f>
        <v/>
      </c>
      <c r="B25089" s="43" t="n">
        <v>-23.62207</v>
      </c>
      <c r="C25089" s="43" t="n">
        <v>-46.678866</v>
      </c>
      <c r="D25089" s="43" t="n">
        <v>87</v>
      </c>
      <c r="E25089" s="44" t="n">
        <v>2590.6191</v>
      </c>
    </row>
    <row r="25090">
      <c r="A25090" s="39">
        <f>_xlfn.XLOOKUP(86242,Trip[shape_id],Trip[shape_id],"Não encontrado")</f>
        <v/>
      </c>
      <c r="B25090" s="40" t="n">
        <v>-23.62153</v>
      </c>
      <c r="C25090" s="40" t="n">
        <v>-46.679444</v>
      </c>
      <c r="D25090" s="40" t="n">
        <v>88</v>
      </c>
      <c r="E25090" s="41" t="n">
        <v>2674.6182</v>
      </c>
    </row>
    <row r="25091">
      <c r="A25091" s="42">
        <f>_xlfn.XLOOKUP(86242,Trip[shape_id],Trip[shape_id],"Não encontrado")</f>
        <v/>
      </c>
      <c r="B25091" s="43" t="n">
        <v>-23.621446</v>
      </c>
      <c r="C25091" s="43" t="n">
        <v>-46.679568</v>
      </c>
      <c r="D25091" s="43" t="n">
        <v>89</v>
      </c>
      <c r="E25091" s="44" t="n">
        <v>2690.324</v>
      </c>
    </row>
    <row r="25092">
      <c r="A25092" s="39">
        <f>_xlfn.XLOOKUP(86242,Trip[shape_id],Trip[shape_id],"Não encontrado")</f>
        <v/>
      </c>
      <c r="B25092" s="40" t="n">
        <v>-23.621263</v>
      </c>
      <c r="C25092" s="40" t="n">
        <v>-46.679814</v>
      </c>
      <c r="D25092" s="40" t="n">
        <v>90</v>
      </c>
      <c r="E25092" s="41" t="n">
        <v>2722.5881</v>
      </c>
    </row>
    <row r="25093">
      <c r="A25093" s="42">
        <f>_xlfn.XLOOKUP(86242,Trip[shape_id],Trip[shape_id],"Não encontrado")</f>
        <v/>
      </c>
      <c r="B25093" s="43" t="n">
        <v>-23.621015</v>
      </c>
      <c r="C25093" s="43" t="n">
        <v>-46.68013</v>
      </c>
      <c r="D25093" s="43" t="n">
        <v>91</v>
      </c>
      <c r="E25093" s="44" t="n">
        <v>2764.9473</v>
      </c>
    </row>
    <row r="25094">
      <c r="A25094" s="39">
        <f>_xlfn.XLOOKUP(86242,Trip[shape_id],Trip[shape_id],"Não encontrado")</f>
        <v/>
      </c>
      <c r="B25094" s="40" t="n">
        <v>-23.62074</v>
      </c>
      <c r="C25094" s="40" t="n">
        <v>-46.68048</v>
      </c>
      <c r="D25094" s="40" t="n">
        <v>92</v>
      </c>
      <c r="E25094" s="41" t="n">
        <v>2811.8867</v>
      </c>
    </row>
    <row r="25095">
      <c r="A25095" s="42">
        <f>_xlfn.XLOOKUP(86242,Trip[shape_id],Trip[shape_id],"Não encontrado")</f>
        <v/>
      </c>
      <c r="B25095" s="43" t="n">
        <v>-23.620534</v>
      </c>
      <c r="C25095" s="43" t="n">
        <v>-46.680738</v>
      </c>
      <c r="D25095" s="43" t="n">
        <v>93</v>
      </c>
      <c r="E25095" s="44" t="n">
        <v>2846.7251</v>
      </c>
    </row>
    <row r="25096">
      <c r="A25096" s="39">
        <f>_xlfn.XLOOKUP(86242,Trip[shape_id],Trip[shape_id],"Não encontrado")</f>
        <v/>
      </c>
      <c r="B25096" s="40" t="n">
        <v>-23.620389</v>
      </c>
      <c r="C25096" s="40" t="n">
        <v>-46.680923</v>
      </c>
      <c r="D25096" s="40" t="n">
        <v>94</v>
      </c>
      <c r="E25096" s="41" t="n">
        <v>2871.5105</v>
      </c>
    </row>
    <row r="25097">
      <c r="A25097" s="42">
        <f>_xlfn.XLOOKUP(86242,Trip[shape_id],Trip[shape_id],"Não encontrado")</f>
        <v/>
      </c>
      <c r="B25097" s="43" t="n">
        <v>-23.619761</v>
      </c>
      <c r="C25097" s="43" t="n">
        <v>-46.681792</v>
      </c>
      <c r="D25097" s="43" t="n">
        <v>95</v>
      </c>
      <c r="E25097" s="44" t="n">
        <v>2984.2124</v>
      </c>
    </row>
    <row r="25098">
      <c r="A25098" s="39">
        <f>_xlfn.XLOOKUP(86242,Trip[shape_id],Trip[shape_id],"Não encontrado")</f>
        <v/>
      </c>
      <c r="B25098" s="40" t="n">
        <v>-23.618816</v>
      </c>
      <c r="C25098" s="40" t="n">
        <v>-46.683073</v>
      </c>
      <c r="D25098" s="40" t="n">
        <v>96</v>
      </c>
      <c r="E25098" s="41" t="n">
        <v>3151.6726</v>
      </c>
    </row>
    <row r="25099">
      <c r="A25099" s="42">
        <f>_xlfn.XLOOKUP(86242,Trip[shape_id],Trip[shape_id],"Não encontrado")</f>
        <v/>
      </c>
      <c r="B25099" s="43" t="n">
        <v>-23.618529</v>
      </c>
      <c r="C25099" s="43" t="n">
        <v>-46.683443</v>
      </c>
      <c r="D25099" s="43" t="n">
        <v>97</v>
      </c>
      <c r="E25099" s="44" t="n">
        <v>3201.0288</v>
      </c>
    </row>
    <row r="25100">
      <c r="A25100" s="39">
        <f>_xlfn.XLOOKUP(86242,Trip[shape_id],Trip[shape_id],"Não encontrado")</f>
        <v/>
      </c>
      <c r="B25100" s="40" t="n">
        <v>-23.618034</v>
      </c>
      <c r="C25100" s="40" t="n">
        <v>-46.684106</v>
      </c>
      <c r="D25100" s="40" t="n">
        <v>98</v>
      </c>
      <c r="E25100" s="41" t="n">
        <v>3288.1106</v>
      </c>
    </row>
    <row r="25101">
      <c r="A25101" s="42">
        <f>_xlfn.XLOOKUP(86242,Trip[shape_id],Trip[shape_id],"Não encontrado")</f>
        <v/>
      </c>
      <c r="B25101" s="43" t="n">
        <v>-23.6174</v>
      </c>
      <c r="C25101" s="43" t="n">
        <v>-46.685016</v>
      </c>
      <c r="D25101" s="43" t="n">
        <v>99</v>
      </c>
      <c r="E25101" s="44" t="n">
        <v>3404.5344</v>
      </c>
    </row>
    <row r="25102">
      <c r="A25102" s="39">
        <f>_xlfn.XLOOKUP(86242,Trip[shape_id],Trip[shape_id],"Não encontrado")</f>
        <v/>
      </c>
      <c r="B25102" s="40" t="n">
        <v>-23.617083</v>
      </c>
      <c r="C25102" s="40" t="n">
        <v>-46.685523</v>
      </c>
      <c r="D25102" s="40" t="n">
        <v>100</v>
      </c>
      <c r="E25102" s="41" t="n">
        <v>3467.0613</v>
      </c>
    </row>
    <row r="25103">
      <c r="A25103" s="42">
        <f>_xlfn.XLOOKUP(86242,Trip[shape_id],Trip[shape_id],"Não encontrado")</f>
        <v/>
      </c>
      <c r="B25103" s="43" t="n">
        <v>-23.61686</v>
      </c>
      <c r="C25103" s="43" t="n">
        <v>-46.685897</v>
      </c>
      <c r="D25103" s="43" t="n">
        <v>101</v>
      </c>
      <c r="E25103" s="44" t="n">
        <v>3512.5222</v>
      </c>
    </row>
    <row r="25104">
      <c r="A25104" s="39">
        <f>_xlfn.XLOOKUP(86242,Trip[shape_id],Trip[shape_id],"Não encontrado")</f>
        <v/>
      </c>
      <c r="B25104" s="40" t="n">
        <v>-23.616635</v>
      </c>
      <c r="C25104" s="40" t="n">
        <v>-46.686291</v>
      </c>
      <c r="D25104" s="40" t="n">
        <v>102</v>
      </c>
      <c r="E25104" s="41" t="n">
        <v>3559.8262</v>
      </c>
    </row>
    <row r="25105">
      <c r="A25105" s="42">
        <f>_xlfn.XLOOKUP(86242,Trip[shape_id],Trip[shape_id],"Não encontrado")</f>
        <v/>
      </c>
      <c r="B25105" s="43" t="n">
        <v>-23.61646</v>
      </c>
      <c r="C25105" s="43" t="n">
        <v>-46.686613</v>
      </c>
      <c r="D25105" s="43" t="n">
        <v>103</v>
      </c>
      <c r="E25105" s="44" t="n">
        <v>3597.9768</v>
      </c>
    </row>
    <row r="25106">
      <c r="A25106" s="39">
        <f>_xlfn.XLOOKUP(86242,Trip[shape_id],Trip[shape_id],"Não encontrado")</f>
        <v/>
      </c>
      <c r="B25106" s="40" t="n">
        <v>-23.616259</v>
      </c>
      <c r="C25106" s="40" t="n">
        <v>-46.687008</v>
      </c>
      <c r="D25106" s="40" t="n">
        <v>104</v>
      </c>
      <c r="E25106" s="41" t="n">
        <v>3644.0254</v>
      </c>
    </row>
    <row r="25107">
      <c r="A25107" s="42">
        <f>_xlfn.XLOOKUP(86242,Trip[shape_id],Trip[shape_id],"Não encontrado")</f>
        <v/>
      </c>
      <c r="B25107" s="43" t="n">
        <v>-23.616123</v>
      </c>
      <c r="C25107" s="43" t="n">
        <v>-46.687291</v>
      </c>
      <c r="D25107" s="43" t="n">
        <v>105</v>
      </c>
      <c r="E25107" s="44" t="n">
        <v>3676.5977</v>
      </c>
    </row>
    <row r="25108">
      <c r="A25108" s="39">
        <f>_xlfn.XLOOKUP(86242,Trip[shape_id],Trip[shape_id],"Não encontrado")</f>
        <v/>
      </c>
      <c r="B25108" s="40" t="n">
        <v>-23.615865</v>
      </c>
      <c r="C25108" s="40" t="n">
        <v>-46.687883</v>
      </c>
      <c r="D25108" s="40" t="n">
        <v>106</v>
      </c>
      <c r="E25108" s="41" t="n">
        <v>3743.4287</v>
      </c>
    </row>
    <row r="25109">
      <c r="A25109" s="42">
        <f>_xlfn.XLOOKUP(86242,Trip[shape_id],Trip[shape_id],"Não encontrado")</f>
        <v/>
      </c>
      <c r="B25109" s="43" t="n">
        <v>-23.615578</v>
      </c>
      <c r="C25109" s="43" t="n">
        <v>-46.688578</v>
      </c>
      <c r="D25109" s="43" t="n">
        <v>107</v>
      </c>
      <c r="E25109" s="44" t="n">
        <v>3821.1514</v>
      </c>
    </row>
    <row r="25110">
      <c r="A25110" s="39">
        <f>_xlfn.XLOOKUP(86242,Trip[shape_id],Trip[shape_id],"Não encontrado")</f>
        <v/>
      </c>
      <c r="B25110" s="40" t="n">
        <v>-23.615327</v>
      </c>
      <c r="C25110" s="40" t="n">
        <v>-46.689232</v>
      </c>
      <c r="D25110" s="40" t="n">
        <v>108</v>
      </c>
      <c r="E25110" s="41" t="n">
        <v>3893.4512</v>
      </c>
    </row>
    <row r="25111">
      <c r="A25111" s="42">
        <f>_xlfn.XLOOKUP(86242,Trip[shape_id],Trip[shape_id],"Não encontrado")</f>
        <v/>
      </c>
      <c r="B25111" s="43" t="n">
        <v>-23.615065</v>
      </c>
      <c r="C25111" s="43" t="n">
        <v>-46.69007</v>
      </c>
      <c r="D25111" s="43" t="n">
        <v>109</v>
      </c>
      <c r="E25111" s="44" t="n">
        <v>3983.7595</v>
      </c>
    </row>
    <row r="25112">
      <c r="A25112" s="39">
        <f>_xlfn.XLOOKUP(86242,Trip[shape_id],Trip[shape_id],"Não encontrado")</f>
        <v/>
      </c>
      <c r="B25112" s="40" t="n">
        <v>-23.614915</v>
      </c>
      <c r="C25112" s="40" t="n">
        <v>-46.690564</v>
      </c>
      <c r="D25112" s="40" t="n">
        <v>110</v>
      </c>
      <c r="E25112" s="41" t="n">
        <v>4036.8401</v>
      </c>
    </row>
    <row r="25113">
      <c r="A25113" s="42">
        <f>_xlfn.XLOOKUP(86242,Trip[shape_id],Trip[shape_id],"Não encontrado")</f>
        <v/>
      </c>
      <c r="B25113" s="43" t="n">
        <v>-23.614893</v>
      </c>
      <c r="C25113" s="43" t="n">
        <v>-46.690667</v>
      </c>
      <c r="D25113" s="43" t="n">
        <v>111</v>
      </c>
      <c r="E25113" s="44" t="n">
        <v>4047.6299</v>
      </c>
    </row>
    <row r="25114">
      <c r="A25114" s="39">
        <f>_xlfn.XLOOKUP(86242,Trip[shape_id],Trip[shape_id],"Não encontrado")</f>
        <v/>
      </c>
      <c r="B25114" s="40" t="n">
        <v>-23.614876</v>
      </c>
      <c r="C25114" s="40" t="n">
        <v>-46.690783</v>
      </c>
      <c r="D25114" s="40" t="n">
        <v>112</v>
      </c>
      <c r="E25114" s="41" t="n">
        <v>4059.6172</v>
      </c>
    </row>
    <row r="25115">
      <c r="A25115" s="42">
        <f>_xlfn.XLOOKUP(86242,Trip[shape_id],Trip[shape_id],"Não encontrado")</f>
        <v/>
      </c>
      <c r="B25115" s="43" t="n">
        <v>-23.614868</v>
      </c>
      <c r="C25115" s="43" t="n">
        <v>-46.690913</v>
      </c>
      <c r="D25115" s="43" t="n">
        <v>113</v>
      </c>
      <c r="E25115" s="44" t="n">
        <v>4072.9133</v>
      </c>
    </row>
    <row r="25116">
      <c r="A25116" s="39">
        <f>_xlfn.XLOOKUP(86242,Trip[shape_id],Trip[shape_id],"Não encontrado")</f>
        <v/>
      </c>
      <c r="B25116" s="40" t="n">
        <v>-23.614871</v>
      </c>
      <c r="C25116" s="40" t="n">
        <v>-46.691044</v>
      </c>
      <c r="D25116" s="40" t="n">
        <v>114</v>
      </c>
      <c r="E25116" s="41" t="n">
        <v>4086.2861</v>
      </c>
    </row>
    <row r="25117">
      <c r="A25117" s="42">
        <f>_xlfn.XLOOKUP(86242,Trip[shape_id],Trip[shape_id],"Não encontrado")</f>
        <v/>
      </c>
      <c r="B25117" s="43" t="n">
        <v>-23.614874</v>
      </c>
      <c r="C25117" s="43" t="n">
        <v>-46.691296</v>
      </c>
      <c r="D25117" s="43" t="n">
        <v>115</v>
      </c>
      <c r="E25117" s="44" t="n">
        <v>4112.0054</v>
      </c>
    </row>
    <row r="25118">
      <c r="A25118" s="39">
        <f>_xlfn.XLOOKUP(86242,Trip[shape_id],Trip[shape_id],"Não encontrado")</f>
        <v/>
      </c>
      <c r="B25118" s="40" t="n">
        <v>-23.614876</v>
      </c>
      <c r="C25118" s="40" t="n">
        <v>-46.691463</v>
      </c>
      <c r="D25118" s="40" t="n">
        <v>116</v>
      </c>
      <c r="E25118" s="41" t="n">
        <v>4129.0493</v>
      </c>
    </row>
    <row r="25119">
      <c r="A25119" s="42">
        <f>_xlfn.XLOOKUP(86242,Trip[shape_id],Trip[shape_id],"Não encontrado")</f>
        <v/>
      </c>
      <c r="B25119" s="43" t="n">
        <v>-23.614871</v>
      </c>
      <c r="C25119" s="43" t="n">
        <v>-46.69162</v>
      </c>
      <c r="D25119" s="43" t="n">
        <v>117</v>
      </c>
      <c r="E25119" s="44" t="n">
        <v>4145.0811</v>
      </c>
    </row>
    <row r="25120">
      <c r="A25120" s="39">
        <f>_xlfn.XLOOKUP(86242,Trip[shape_id],Trip[shape_id],"Não encontrado")</f>
        <v/>
      </c>
      <c r="B25120" s="40" t="n">
        <v>-23.614868</v>
      </c>
      <c r="C25120" s="40" t="n">
        <v>-46.691793</v>
      </c>
      <c r="D25120" s="40" t="n">
        <v>118</v>
      </c>
      <c r="E25120" s="41" t="n">
        <v>4162.7393</v>
      </c>
    </row>
    <row r="25121">
      <c r="A25121" s="42">
        <f>_xlfn.XLOOKUP(86242,Trip[shape_id],Trip[shape_id],"Não encontrado")</f>
        <v/>
      </c>
      <c r="B25121" s="43" t="n">
        <v>-23.614857</v>
      </c>
      <c r="C25121" s="43" t="n">
        <v>-46.691948</v>
      </c>
      <c r="D25121" s="43" t="n">
        <v>119</v>
      </c>
      <c r="E25121" s="44" t="n">
        <v>4178.6045</v>
      </c>
    </row>
    <row r="25122">
      <c r="A25122" s="39">
        <f>_xlfn.XLOOKUP(86242,Trip[shape_id],Trip[shape_id],"Não encontrado")</f>
        <v/>
      </c>
      <c r="B25122" s="40" t="n">
        <v>-23.61484</v>
      </c>
      <c r="C25122" s="40" t="n">
        <v>-46.692091</v>
      </c>
      <c r="D25122" s="40" t="n">
        <v>120</v>
      </c>
      <c r="E25122" s="41" t="n">
        <v>4193.3188</v>
      </c>
    </row>
    <row r="25123">
      <c r="A25123" s="42">
        <f>_xlfn.XLOOKUP(86242,Trip[shape_id],Trip[shape_id],"Não encontrado")</f>
        <v/>
      </c>
      <c r="B25123" s="43" t="n">
        <v>-23.614776</v>
      </c>
      <c r="C25123" s="43" t="n">
        <v>-46.692414</v>
      </c>
      <c r="D25123" s="43" t="n">
        <v>121</v>
      </c>
      <c r="E25123" s="44" t="n">
        <v>4227.0352</v>
      </c>
    </row>
    <row r="25124">
      <c r="A25124" s="39">
        <f>_xlfn.XLOOKUP(86242,Trip[shape_id],Trip[shape_id],"Não encontrado")</f>
        <v/>
      </c>
      <c r="B25124" s="40" t="n">
        <v>-23.614704</v>
      </c>
      <c r="C25124" s="40" t="n">
        <v>-46.692663</v>
      </c>
      <c r="D25124" s="40" t="n">
        <v>122</v>
      </c>
      <c r="E25124" s="41" t="n">
        <v>4253.668</v>
      </c>
    </row>
    <row r="25125">
      <c r="A25125" s="42">
        <f>_xlfn.XLOOKUP(86242,Trip[shape_id],Trip[shape_id],"Não encontrado")</f>
        <v/>
      </c>
      <c r="B25125" s="43" t="n">
        <v>-23.614581</v>
      </c>
      <c r="C25125" s="43" t="n">
        <v>-46.693043</v>
      </c>
      <c r="D25125" s="43" t="n">
        <v>123</v>
      </c>
      <c r="E25125" s="44" t="n">
        <v>4294.771</v>
      </c>
    </row>
    <row r="25126">
      <c r="A25126" s="39">
        <f>_xlfn.XLOOKUP(86242,Trip[shape_id],Trip[shape_id],"Não encontrado")</f>
        <v/>
      </c>
      <c r="B25126" s="40" t="n">
        <v>-23.614473</v>
      </c>
      <c r="C25126" s="40" t="n">
        <v>-46.693419</v>
      </c>
      <c r="D25126" s="40" t="n">
        <v>124</v>
      </c>
      <c r="E25126" s="41" t="n">
        <v>4334.9639</v>
      </c>
    </row>
    <row r="25127">
      <c r="A25127" s="42">
        <f>_xlfn.XLOOKUP(86242,Trip[shape_id],Trip[shape_id],"Não encontrado")</f>
        <v/>
      </c>
      <c r="B25127" s="43" t="n">
        <v>-23.614267</v>
      </c>
      <c r="C25127" s="43" t="n">
        <v>-46.694129</v>
      </c>
      <c r="D25127" s="43" t="n">
        <v>125</v>
      </c>
      <c r="E25127" s="44" t="n">
        <v>4410.9282</v>
      </c>
    </row>
    <row r="25128">
      <c r="A25128" s="39">
        <f>_xlfn.XLOOKUP(86242,Trip[shape_id],Trip[shape_id],"Não encontrado")</f>
        <v/>
      </c>
      <c r="B25128" s="40" t="n">
        <v>-23.614136</v>
      </c>
      <c r="C25128" s="40" t="n">
        <v>-46.694575</v>
      </c>
      <c r="D25128" s="40" t="n">
        <v>126</v>
      </c>
      <c r="E25128" s="41" t="n">
        <v>4458.7002</v>
      </c>
    </row>
    <row r="25129">
      <c r="A25129" s="42">
        <f>_xlfn.XLOOKUP(86242,Trip[shape_id],Trip[shape_id],"Não encontrado")</f>
        <v/>
      </c>
      <c r="B25129" s="43" t="n">
        <v>-23.614058</v>
      </c>
      <c r="C25129" s="43" t="n">
        <v>-46.694957</v>
      </c>
      <c r="D25129" s="43" t="n">
        <v>127</v>
      </c>
      <c r="E25129" s="44" t="n">
        <v>4498.6299</v>
      </c>
    </row>
    <row r="25130">
      <c r="A25130" s="39">
        <f>_xlfn.XLOOKUP(86242,Trip[shape_id],Trip[shape_id],"Não encontrado")</f>
        <v/>
      </c>
      <c r="B25130" s="40" t="n">
        <v>-23.613986</v>
      </c>
      <c r="C25130" s="40" t="n">
        <v>-46.695503</v>
      </c>
      <c r="D25130" s="40" t="n">
        <v>128</v>
      </c>
      <c r="E25130" s="41" t="n">
        <v>4554.9185</v>
      </c>
    </row>
    <row r="25131">
      <c r="A25131" s="42">
        <f>_xlfn.XLOOKUP(86242,Trip[shape_id],Trip[shape_id],"Não encontrado")</f>
        <v/>
      </c>
      <c r="B25131" s="43" t="n">
        <v>-23.613956</v>
      </c>
      <c r="C25131" s="43" t="n">
        <v>-46.695734</v>
      </c>
      <c r="D25131" s="43" t="n">
        <v>129</v>
      </c>
      <c r="E25131" s="44" t="n">
        <v>4578.7256</v>
      </c>
    </row>
    <row r="25132">
      <c r="A25132" s="39">
        <f>_xlfn.XLOOKUP(86242,Trip[shape_id],Trip[shape_id],"Não encontrado")</f>
        <v/>
      </c>
      <c r="B25132" s="40" t="n">
        <v>-23.613896</v>
      </c>
      <c r="C25132" s="40" t="n">
        <v>-46.696158</v>
      </c>
      <c r="D25132" s="40" t="n">
        <v>130</v>
      </c>
      <c r="E25132" s="41" t="n">
        <v>4622.5034</v>
      </c>
    </row>
    <row r="25133">
      <c r="A25133" s="42">
        <f>_xlfn.XLOOKUP(86242,Trip[shape_id],Trip[shape_id],"Não encontrado")</f>
        <v/>
      </c>
      <c r="B25133" s="43" t="n">
        <v>-23.613863</v>
      </c>
      <c r="C25133" s="43" t="n">
        <v>-46.696439</v>
      </c>
      <c r="D25133" s="43" t="n">
        <v>131</v>
      </c>
      <c r="E25133" s="44" t="n">
        <v>4651.4121</v>
      </c>
    </row>
    <row r="25134">
      <c r="A25134" s="39">
        <f>_xlfn.XLOOKUP(86242,Trip[shape_id],Trip[shape_id],"Não encontrado")</f>
        <v/>
      </c>
      <c r="B25134" s="40" t="n">
        <v>-23.613797</v>
      </c>
      <c r="C25134" s="40" t="n">
        <v>-46.696855</v>
      </c>
      <c r="D25134" s="40" t="n">
        <v>132</v>
      </c>
      <c r="E25134" s="41" t="n">
        <v>4694.4907</v>
      </c>
    </row>
    <row r="25135">
      <c r="A25135" s="42">
        <f>_xlfn.XLOOKUP(86242,Trip[shape_id],Trip[shape_id],"Não encontrado")</f>
        <v/>
      </c>
      <c r="B25135" s="43" t="n">
        <v>-23.613732</v>
      </c>
      <c r="C25135" s="43" t="n">
        <v>-46.697265</v>
      </c>
      <c r="D25135" s="43" t="n">
        <v>133</v>
      </c>
      <c r="E25135" s="44" t="n">
        <v>4736.9473</v>
      </c>
    </row>
    <row r="25136">
      <c r="A25136" s="39">
        <f>_xlfn.XLOOKUP(86242,Trip[shape_id],Trip[shape_id],"Não encontrado")</f>
        <v/>
      </c>
      <c r="B25136" s="40" t="n">
        <v>-23.613681</v>
      </c>
      <c r="C25136" s="40" t="n">
        <v>-46.697516</v>
      </c>
      <c r="D25136" s="40" t="n">
        <v>134</v>
      </c>
      <c r="E25136" s="41" t="n">
        <v>4763.1782</v>
      </c>
    </row>
    <row r="25137">
      <c r="A25137" s="42">
        <f>_xlfn.XLOOKUP(86242,Trip[shape_id],Trip[shape_id],"Não encontrado")</f>
        <v/>
      </c>
      <c r="B25137" s="43" t="n">
        <v>-23.613585</v>
      </c>
      <c r="C25137" s="43" t="n">
        <v>-46.697967</v>
      </c>
      <c r="D25137" s="43" t="n">
        <v>135</v>
      </c>
      <c r="E25137" s="44" t="n">
        <v>4810.4165</v>
      </c>
    </row>
    <row r="25138">
      <c r="A25138" s="39">
        <f>_xlfn.XLOOKUP(86242,Trip[shape_id],Trip[shape_id],"Não encontrado")</f>
        <v/>
      </c>
      <c r="B25138" s="40" t="n">
        <v>-23.613532</v>
      </c>
      <c r="C25138" s="40" t="n">
        <v>-46.698215</v>
      </c>
      <c r="D25138" s="40" t="n">
        <v>136</v>
      </c>
      <c r="E25138" s="41" t="n">
        <v>4836.3975</v>
      </c>
    </row>
    <row r="25139">
      <c r="A25139" s="42">
        <f>_xlfn.XLOOKUP(86242,Trip[shape_id],Trip[shape_id],"Não encontrado")</f>
        <v/>
      </c>
      <c r="B25139" s="43" t="n">
        <v>-23.613522</v>
      </c>
      <c r="C25139" s="43" t="n">
        <v>-46.698405</v>
      </c>
      <c r="D25139" s="43" t="n">
        <v>137</v>
      </c>
      <c r="E25139" s="44" t="n">
        <v>4855.8193</v>
      </c>
    </row>
    <row r="25140">
      <c r="A25140" s="39">
        <f>_xlfn.XLOOKUP(86242,Trip[shape_id],Trip[shape_id],"Não encontrado")</f>
        <v/>
      </c>
      <c r="B25140" s="40" t="n">
        <v>-23.613527</v>
      </c>
      <c r="C25140" s="40" t="n">
        <v>-46.698535</v>
      </c>
      <c r="D25140" s="40" t="n">
        <v>138</v>
      </c>
      <c r="E25140" s="41" t="n">
        <v>4869.0981</v>
      </c>
    </row>
    <row r="25141">
      <c r="A25141" s="42">
        <f>_xlfn.XLOOKUP(86242,Trip[shape_id],Trip[shape_id],"Não encontrado")</f>
        <v/>
      </c>
      <c r="B25141" s="43" t="n">
        <v>-23.613542</v>
      </c>
      <c r="C25141" s="43" t="n">
        <v>-46.698653</v>
      </c>
      <c r="D25141" s="43" t="n">
        <v>139</v>
      </c>
      <c r="E25141" s="44" t="n">
        <v>4881.2549</v>
      </c>
    </row>
    <row r="25142">
      <c r="A25142" s="39">
        <f>_xlfn.XLOOKUP(86242,Trip[shape_id],Trip[shape_id],"Não encontrado")</f>
        <v/>
      </c>
      <c r="B25142" s="40" t="n">
        <v>-23.613573</v>
      </c>
      <c r="C25142" s="40" t="n">
        <v>-46.698785</v>
      </c>
      <c r="D25142" s="40" t="n">
        <v>140</v>
      </c>
      <c r="E25142" s="41" t="n">
        <v>4895.1567</v>
      </c>
    </row>
    <row r="25143">
      <c r="A25143" s="42">
        <f>_xlfn.XLOOKUP(86242,Trip[shape_id],Trip[shape_id],"Não encontrado")</f>
        <v/>
      </c>
      <c r="B25143" s="43" t="n">
        <v>-23.613621</v>
      </c>
      <c r="C25143" s="43" t="n">
        <v>-46.698905</v>
      </c>
      <c r="D25143" s="43" t="n">
        <v>141</v>
      </c>
      <c r="E25143" s="44" t="n">
        <v>4908.5073</v>
      </c>
    </row>
    <row r="25144">
      <c r="A25144" s="39">
        <f>_xlfn.XLOOKUP(86242,Trip[shape_id],Trip[shape_id],"Não encontrado")</f>
        <v/>
      </c>
      <c r="B25144" s="40" t="n">
        <v>-23.613659</v>
      </c>
      <c r="C25144" s="40" t="n">
        <v>-46.698983</v>
      </c>
      <c r="D25144" s="40" t="n">
        <v>142</v>
      </c>
      <c r="E25144" s="41" t="n">
        <v>4917.5112</v>
      </c>
    </row>
    <row r="25145">
      <c r="A25145" s="42">
        <f>_xlfn.XLOOKUP(86242,Trip[shape_id],Trip[shape_id],"Não encontrado")</f>
        <v/>
      </c>
      <c r="B25145" s="43" t="n">
        <v>-23.613745</v>
      </c>
      <c r="C25145" s="43" t="n">
        <v>-46.699095</v>
      </c>
      <c r="D25145" s="43" t="n">
        <v>143</v>
      </c>
      <c r="E25145" s="44" t="n">
        <v>4932.3896</v>
      </c>
    </row>
    <row r="25146">
      <c r="A25146" s="39">
        <f>_xlfn.XLOOKUP(86242,Trip[shape_id],Trip[shape_id],"Não encontrado")</f>
        <v/>
      </c>
      <c r="B25146" s="40" t="n">
        <v>-23.613805</v>
      </c>
      <c r="C25146" s="40" t="n">
        <v>-46.699156</v>
      </c>
      <c r="D25146" s="40" t="n">
        <v>144</v>
      </c>
      <c r="E25146" s="41" t="n">
        <v>4941.4951</v>
      </c>
    </row>
    <row r="25147">
      <c r="A25147" s="42">
        <f>_xlfn.XLOOKUP(86242,Trip[shape_id],Trip[shape_id],"Não encontrado")</f>
        <v/>
      </c>
      <c r="B25147" s="43" t="n">
        <v>-23.613891</v>
      </c>
      <c r="C25147" s="43" t="n">
        <v>-46.699214</v>
      </c>
      <c r="D25147" s="43" t="n">
        <v>145</v>
      </c>
      <c r="E25147" s="44" t="n">
        <v>4952.709</v>
      </c>
    </row>
    <row r="25148">
      <c r="A25148" s="39">
        <f>_xlfn.XLOOKUP(86242,Trip[shape_id],Trip[shape_id],"Não encontrado")</f>
        <v/>
      </c>
      <c r="B25148" s="40" t="n">
        <v>-23.614063</v>
      </c>
      <c r="C25148" s="40" t="n">
        <v>-46.699283</v>
      </c>
      <c r="D25148" s="40" t="n">
        <v>146</v>
      </c>
      <c r="E25148" s="41" t="n">
        <v>4973.0181</v>
      </c>
    </row>
    <row r="25149">
      <c r="A25149" s="42">
        <f>_xlfn.XLOOKUP(86242,Trip[shape_id],Trip[shape_id],"Não encontrado")</f>
        <v/>
      </c>
      <c r="B25149" s="43" t="n">
        <v>-23.614406</v>
      </c>
      <c r="C25149" s="43" t="n">
        <v>-46.699354</v>
      </c>
      <c r="D25149" s="43" t="n">
        <v>147</v>
      </c>
      <c r="E25149" s="44" t="n">
        <v>5011.6909</v>
      </c>
    </row>
    <row r="25150">
      <c r="A25150" s="39">
        <f>_xlfn.XLOOKUP(86242,Trip[shape_id],Trip[shape_id],"Não encontrado")</f>
        <v/>
      </c>
      <c r="B25150" s="40" t="n">
        <v>-23.614789</v>
      </c>
      <c r="C25150" s="40" t="n">
        <v>-46.69944</v>
      </c>
      <c r="D25150" s="40" t="n">
        <v>148</v>
      </c>
      <c r="E25150" s="41" t="n">
        <v>5055.0078</v>
      </c>
    </row>
    <row r="25151">
      <c r="A25151" s="42">
        <f>_xlfn.XLOOKUP(86242,Trip[shape_id],Trip[shape_id],"Não encontrado")</f>
        <v/>
      </c>
      <c r="B25151" s="43" t="n">
        <v>-23.615204</v>
      </c>
      <c r="C25151" s="43" t="n">
        <v>-46.699532</v>
      </c>
      <c r="D25151" s="43" t="n">
        <v>149</v>
      </c>
      <c r="E25151" s="44" t="n">
        <v>5101.9194</v>
      </c>
    </row>
    <row r="25152">
      <c r="A25152" s="39">
        <f>_xlfn.XLOOKUP(86242,Trip[shape_id],Trip[shape_id],"Não encontrado")</f>
        <v/>
      </c>
      <c r="B25152" s="40" t="n">
        <v>-23.615574</v>
      </c>
      <c r="C25152" s="40" t="n">
        <v>-46.699609</v>
      </c>
      <c r="D25152" s="40" t="n">
        <v>150</v>
      </c>
      <c r="E25152" s="41" t="n">
        <v>5143.6445</v>
      </c>
    </row>
    <row r="25153">
      <c r="A25153" s="42">
        <f>_xlfn.XLOOKUP(86242,Trip[shape_id],Trip[shape_id],"Não encontrado")</f>
        <v/>
      </c>
      <c r="B25153" s="43" t="n">
        <v>-23.61592</v>
      </c>
      <c r="C25153" s="43" t="n">
        <v>-46.699678</v>
      </c>
      <c r="D25153" s="43" t="n">
        <v>151</v>
      </c>
      <c r="E25153" s="44" t="n">
        <v>5182.6064</v>
      </c>
    </row>
    <row r="25154">
      <c r="A25154" s="39">
        <f>_xlfn.XLOOKUP(86242,Trip[shape_id],Trip[shape_id],"Não encontrado")</f>
        <v/>
      </c>
      <c r="B25154" s="40" t="n">
        <v>-23.616354</v>
      </c>
      <c r="C25154" s="40" t="n">
        <v>-46.699779</v>
      </c>
      <c r="D25154" s="40" t="n">
        <v>152</v>
      </c>
      <c r="E25154" s="41" t="n">
        <v>5231.7656</v>
      </c>
    </row>
    <row r="25155">
      <c r="A25155" s="42">
        <f>_xlfn.XLOOKUP(86242,Trip[shape_id],Trip[shape_id],"Não encontrado")</f>
        <v/>
      </c>
      <c r="B25155" s="43" t="n">
        <v>-23.616657</v>
      </c>
      <c r="C25155" s="43" t="n">
        <v>-46.699862</v>
      </c>
      <c r="D25155" s="43" t="n">
        <v>153</v>
      </c>
      <c r="E25155" s="44" t="n">
        <v>5266.3765</v>
      </c>
    </row>
    <row r="25156">
      <c r="A25156" s="39">
        <f>_xlfn.XLOOKUP(86242,Trip[shape_id],Trip[shape_id],"Não encontrado")</f>
        <v/>
      </c>
      <c r="B25156" s="40" t="n">
        <v>-23.616912</v>
      </c>
      <c r="C25156" s="40" t="n">
        <v>-46.699947</v>
      </c>
      <c r="D25156" s="40" t="n">
        <v>154</v>
      </c>
      <c r="E25156" s="41" t="n">
        <v>5295.9204</v>
      </c>
    </row>
    <row r="25157">
      <c r="A25157" s="42">
        <f>_xlfn.XLOOKUP(86242,Trip[shape_id],Trip[shape_id],"Não encontrado")</f>
        <v/>
      </c>
      <c r="B25157" s="43" t="n">
        <v>-23.61727</v>
      </c>
      <c r="C25157" s="43" t="n">
        <v>-46.700162</v>
      </c>
      <c r="D25157" s="43" t="n">
        <v>155</v>
      </c>
      <c r="E25157" s="44" t="n">
        <v>5341.2358</v>
      </c>
    </row>
    <row r="25158">
      <c r="A25158" s="39">
        <f>_xlfn.XLOOKUP(86242,Trip[shape_id],Trip[shape_id],"Não encontrado")</f>
        <v/>
      </c>
      <c r="B25158" s="40" t="n">
        <v>-23.617479</v>
      </c>
      <c r="C25158" s="40" t="n">
        <v>-46.700253</v>
      </c>
      <c r="D25158" s="40" t="n">
        <v>156</v>
      </c>
      <c r="E25158" s="41" t="n">
        <v>5366.1768</v>
      </c>
    </row>
    <row r="25159">
      <c r="A25159" s="42">
        <f>_xlfn.XLOOKUP(86242,Trip[shape_id],Trip[shape_id],"Não encontrado")</f>
        <v/>
      </c>
      <c r="B25159" s="43" t="n">
        <v>-23.617742</v>
      </c>
      <c r="C25159" s="43" t="n">
        <v>-46.700363</v>
      </c>
      <c r="D25159" s="43" t="n">
        <v>157</v>
      </c>
      <c r="E25159" s="44" t="n">
        <v>5397.3931</v>
      </c>
    </row>
    <row r="25160">
      <c r="A25160" s="39">
        <f>_xlfn.XLOOKUP(86242,Trip[shape_id],Trip[shape_id],"Não encontrado")</f>
        <v/>
      </c>
      <c r="B25160" s="40" t="n">
        <v>-23.618025</v>
      </c>
      <c r="C25160" s="40" t="n">
        <v>-46.700452</v>
      </c>
      <c r="D25160" s="40" t="n">
        <v>158</v>
      </c>
      <c r="E25160" s="41" t="n">
        <v>5430.0254</v>
      </c>
    </row>
    <row r="25161">
      <c r="A25161" s="42">
        <f>_xlfn.XLOOKUP(86242,Trip[shape_id],Trip[shape_id],"Não encontrado")</f>
        <v/>
      </c>
      <c r="B25161" s="43" t="n">
        <v>-23.618259</v>
      </c>
      <c r="C25161" s="43" t="n">
        <v>-46.700518</v>
      </c>
      <c r="D25161" s="43" t="n">
        <v>159</v>
      </c>
      <c r="E25161" s="44" t="n">
        <v>5456.8022</v>
      </c>
    </row>
    <row r="25162">
      <c r="A25162" s="39">
        <f>_xlfn.XLOOKUP(86242,Trip[shape_id],Trip[shape_id],"Não encontrado")</f>
        <v/>
      </c>
      <c r="B25162" s="40" t="n">
        <v>-23.618519</v>
      </c>
      <c r="C25162" s="40" t="n">
        <v>-46.700565</v>
      </c>
      <c r="D25162" s="40" t="n">
        <v>160</v>
      </c>
      <c r="E25162" s="41" t="n">
        <v>5485.9946</v>
      </c>
    </row>
    <row r="25163">
      <c r="A25163" s="42">
        <f>_xlfn.XLOOKUP(86242,Trip[shape_id],Trip[shape_id],"Não encontrado")</f>
        <v/>
      </c>
      <c r="B25163" s="43" t="n">
        <v>-23.618827</v>
      </c>
      <c r="C25163" s="43" t="n">
        <v>-46.700595</v>
      </c>
      <c r="D25163" s="43" t="n">
        <v>161</v>
      </c>
      <c r="E25163" s="44" t="n">
        <v>5520.2437</v>
      </c>
    </row>
    <row r="25164">
      <c r="A25164" s="39">
        <f>_xlfn.XLOOKUP(86242,Trip[shape_id],Trip[shape_id],"Não encontrado")</f>
        <v/>
      </c>
      <c r="B25164" s="40" t="n">
        <v>-23.619311</v>
      </c>
      <c r="C25164" s="40" t="n">
        <v>-46.70065</v>
      </c>
      <c r="D25164" s="40" t="n">
        <v>162</v>
      </c>
      <c r="E25164" s="41" t="n">
        <v>5574.1411</v>
      </c>
    </row>
    <row r="25165">
      <c r="A25165" s="42">
        <f>_xlfn.XLOOKUP(86242,Trip[shape_id],Trip[shape_id],"Não encontrado")</f>
        <v/>
      </c>
      <c r="B25165" s="43" t="n">
        <v>-23.619635</v>
      </c>
      <c r="C25165" s="43" t="n">
        <v>-46.700691</v>
      </c>
      <c r="D25165" s="43" t="n">
        <v>163</v>
      </c>
      <c r="E25165" s="44" t="n">
        <v>5610.2681</v>
      </c>
    </row>
    <row r="25166">
      <c r="A25166" s="39">
        <f>_xlfn.XLOOKUP(86242,Trip[shape_id],Trip[shape_id],"Não encontrado")</f>
        <v/>
      </c>
      <c r="B25166" s="40" t="n">
        <v>-23.619859</v>
      </c>
      <c r="C25166" s="40" t="n">
        <v>-46.700746</v>
      </c>
      <c r="D25166" s="40" t="n">
        <v>164</v>
      </c>
      <c r="E25166" s="41" t="n">
        <v>5635.7036</v>
      </c>
    </row>
    <row r="25167">
      <c r="A25167" s="42">
        <f>_xlfn.XLOOKUP(86242,Trip[shape_id],Trip[shape_id],"Não encontrado")</f>
        <v/>
      </c>
      <c r="B25167" s="43" t="n">
        <v>-23.620011</v>
      </c>
      <c r="C25167" s="43" t="n">
        <v>-46.700801</v>
      </c>
      <c r="D25167" s="43" t="n">
        <v>165</v>
      </c>
      <c r="E25167" s="44" t="n">
        <v>5653.4487</v>
      </c>
    </row>
    <row r="25168">
      <c r="A25168" s="39">
        <f>_xlfn.XLOOKUP(86242,Trip[shape_id],Trip[shape_id],"Não encontrado")</f>
        <v/>
      </c>
      <c r="B25168" s="40" t="n">
        <v>-23.620137</v>
      </c>
      <c r="C25168" s="40" t="n">
        <v>-46.700848</v>
      </c>
      <c r="D25168" s="40" t="n">
        <v>166</v>
      </c>
      <c r="E25168" s="41" t="n">
        <v>5668.2051</v>
      </c>
    </row>
    <row r="25169">
      <c r="A25169" s="42">
        <f>_xlfn.XLOOKUP(86242,Trip[shape_id],Trip[shape_id],"Não encontrado")</f>
        <v/>
      </c>
      <c r="B25169" s="43" t="n">
        <v>-23.620301</v>
      </c>
      <c r="C25169" s="43" t="n">
        <v>-46.700911</v>
      </c>
      <c r="D25169" s="43" t="n">
        <v>167</v>
      </c>
      <c r="E25169" s="44" t="n">
        <v>5687.4727</v>
      </c>
    </row>
    <row r="25170">
      <c r="A25170" s="39">
        <f>_xlfn.XLOOKUP(86242,Trip[shape_id],Trip[shape_id],"Não encontrado")</f>
        <v/>
      </c>
      <c r="B25170" s="40" t="n">
        <v>-23.620571</v>
      </c>
      <c r="C25170" s="40" t="n">
        <v>-46.701043</v>
      </c>
      <c r="D25170" s="40" t="n">
        <v>168</v>
      </c>
      <c r="E25170" s="41" t="n">
        <v>5720.27</v>
      </c>
    </row>
    <row r="25171">
      <c r="A25171" s="42">
        <f>_xlfn.XLOOKUP(86242,Trip[shape_id],Trip[shape_id],"Não encontrado")</f>
        <v/>
      </c>
      <c r="B25171" s="43" t="n">
        <v>-23.620841</v>
      </c>
      <c r="C25171" s="43" t="n">
        <v>-46.701211</v>
      </c>
      <c r="D25171" s="43" t="n">
        <v>169</v>
      </c>
      <c r="E25171" s="44" t="n">
        <v>5754.7393</v>
      </c>
    </row>
    <row r="25172">
      <c r="A25172" s="39">
        <f>_xlfn.XLOOKUP(86242,Trip[shape_id],Trip[shape_id],"Não encontrado")</f>
        <v/>
      </c>
      <c r="B25172" s="40" t="n">
        <v>-23.621098</v>
      </c>
      <c r="C25172" s="40" t="n">
        <v>-46.701393</v>
      </c>
      <c r="D25172" s="40" t="n">
        <v>170</v>
      </c>
      <c r="E25172" s="41" t="n">
        <v>5788.7261</v>
      </c>
    </row>
    <row r="25173">
      <c r="A25173" s="42">
        <f>_xlfn.XLOOKUP(86242,Trip[shape_id],Trip[shape_id],"Não encontrado")</f>
        <v/>
      </c>
      <c r="B25173" s="43" t="n">
        <v>-23.6213</v>
      </c>
      <c r="C25173" s="43" t="n">
        <v>-46.701565</v>
      </c>
      <c r="D25173" s="43" t="n">
        <v>171</v>
      </c>
      <c r="E25173" s="44" t="n">
        <v>5817.1621</v>
      </c>
    </row>
    <row r="25174">
      <c r="A25174" s="39">
        <f>_xlfn.XLOOKUP(86242,Trip[shape_id],Trip[shape_id],"Não encontrado")</f>
        <v/>
      </c>
      <c r="B25174" s="40" t="n">
        <v>-23.621602</v>
      </c>
      <c r="C25174" s="40" t="n">
        <v>-46.701834</v>
      </c>
      <c r="D25174" s="40" t="n">
        <v>172</v>
      </c>
      <c r="E25174" s="41" t="n">
        <v>5860.4316</v>
      </c>
    </row>
    <row r="25175">
      <c r="A25175" s="42">
        <f>_xlfn.XLOOKUP(86242,Trip[shape_id],Trip[shape_id],"Não encontrado")</f>
        <v/>
      </c>
      <c r="B25175" s="43" t="n">
        <v>-23.621825</v>
      </c>
      <c r="C25175" s="43" t="n">
        <v>-46.70206</v>
      </c>
      <c r="D25175" s="43" t="n">
        <v>173</v>
      </c>
      <c r="E25175" s="44" t="n">
        <v>5894.2231</v>
      </c>
    </row>
    <row r="25176">
      <c r="A25176" s="39">
        <f>_xlfn.XLOOKUP(86242,Trip[shape_id],Trip[shape_id],"Não encontrado")</f>
        <v/>
      </c>
      <c r="B25176" s="40" t="n">
        <v>-23.622026</v>
      </c>
      <c r="C25176" s="40" t="n">
        <v>-46.702296</v>
      </c>
      <c r="D25176" s="40" t="n">
        <v>174</v>
      </c>
      <c r="E25176" s="41" t="n">
        <v>5927.019</v>
      </c>
    </row>
    <row r="25177">
      <c r="A25177" s="42">
        <f>_xlfn.XLOOKUP(86242,Trip[shape_id],Trip[shape_id],"Não encontrado")</f>
        <v/>
      </c>
      <c r="B25177" s="43" t="n">
        <v>-23.622462</v>
      </c>
      <c r="C25177" s="43" t="n">
        <v>-46.702846</v>
      </c>
      <c r="D25177" s="43" t="n">
        <v>175</v>
      </c>
      <c r="E25177" s="44" t="n">
        <v>6001.0586</v>
      </c>
    </row>
    <row r="25178">
      <c r="A25178" s="39">
        <f>_xlfn.XLOOKUP(86245,Trip[shape_id],Trip[shape_id],"Não encontrado")</f>
        <v/>
      </c>
      <c r="B25178" s="40" t="n">
        <v>-23.629562</v>
      </c>
      <c r="C25178" s="40" t="n">
        <v>-46.673586</v>
      </c>
      <c r="D25178" s="40" t="n">
        <v>1</v>
      </c>
      <c r="E25178" s="41" t="n">
        <v>15.575203</v>
      </c>
    </row>
    <row r="25179">
      <c r="A25179" s="42">
        <f>_xlfn.XLOOKUP(86245,Trip[shape_id],Trip[shape_id],"Não encontrado")</f>
        <v/>
      </c>
      <c r="B25179" s="43" t="n">
        <v>-23.629686</v>
      </c>
      <c r="C25179" s="43" t="n">
        <v>-46.673514</v>
      </c>
      <c r="D25179" s="43" t="n">
        <v>2</v>
      </c>
      <c r="E25179" s="44" t="n">
        <v>39.115204</v>
      </c>
    </row>
    <row r="25180">
      <c r="A25180" s="39">
        <f>_xlfn.XLOOKUP(86245,Trip[shape_id],Trip[shape_id],"Não encontrado")</f>
        <v/>
      </c>
      <c r="B25180" s="40" t="n">
        <v>-23.62984</v>
      </c>
      <c r="C25180" s="40" t="n">
        <v>-46.673355</v>
      </c>
      <c r="D25180" s="40" t="n">
        <v>3</v>
      </c>
      <c r="E25180" s="41" t="n">
        <v>81.144333</v>
      </c>
    </row>
    <row r="25181">
      <c r="A25181" s="42">
        <f>_xlfn.XLOOKUP(86245,Trip[shape_id],Trip[shape_id],"Não encontrado")</f>
        <v/>
      </c>
      <c r="B25181" s="43" t="n">
        <v>-23.630101</v>
      </c>
      <c r="C25181" s="43" t="n">
        <v>-46.673056</v>
      </c>
      <c r="D25181" s="43" t="n">
        <v>4</v>
      </c>
      <c r="E25181" s="44" t="n">
        <v>117.92406</v>
      </c>
    </row>
    <row r="25182">
      <c r="A25182" s="39">
        <f>_xlfn.XLOOKUP(86245,Trip[shape_id],Trip[shape_id],"Não encontrado")</f>
        <v/>
      </c>
      <c r="B25182" s="40" t="n">
        <v>-23.630331</v>
      </c>
      <c r="C25182" s="40" t="n">
        <v>-46.672796</v>
      </c>
      <c r="D25182" s="40" t="n">
        <v>5</v>
      </c>
      <c r="E25182" s="41" t="n">
        <v>136.24117</v>
      </c>
    </row>
    <row r="25183">
      <c r="A25183" s="42">
        <f>_xlfn.XLOOKUP(86245,Trip[shape_id],Trip[shape_id],"Não encontrado")</f>
        <v/>
      </c>
      <c r="B25183" s="43" t="n">
        <v>-23.630454</v>
      </c>
      <c r="C25183" s="43" t="n">
        <v>-46.672676</v>
      </c>
      <c r="D25183" s="43" t="n">
        <v>6</v>
      </c>
      <c r="E25183" s="44" t="n">
        <v>170.15068</v>
      </c>
    </row>
    <row r="25184">
      <c r="A25184" s="39">
        <f>_xlfn.XLOOKUP(86245,Trip[shape_id],Trip[shape_id],"Não encontrado")</f>
        <v/>
      </c>
      <c r="B25184" s="40" t="n">
        <v>-23.630681</v>
      </c>
      <c r="C25184" s="40" t="n">
        <v>-46.672453</v>
      </c>
      <c r="D25184" s="40" t="n">
        <v>7</v>
      </c>
      <c r="E25184" s="41" t="n">
        <v>198.34489</v>
      </c>
    </row>
    <row r="25185">
      <c r="A25185" s="42">
        <f>_xlfn.XLOOKUP(86245,Trip[shape_id],Trip[shape_id],"Não encontrado")</f>
        <v/>
      </c>
      <c r="B25185" s="43" t="n">
        <v>-23.630878</v>
      </c>
      <c r="C25185" s="43" t="n">
        <v>-46.672278</v>
      </c>
      <c r="D25185" s="43" t="n">
        <v>8</v>
      </c>
      <c r="E25185" s="44" t="n">
        <v>223.36978</v>
      </c>
    </row>
    <row r="25186">
      <c r="A25186" s="39">
        <f>_xlfn.XLOOKUP(86245,Trip[shape_id],Trip[shape_id],"Não encontrado")</f>
        <v/>
      </c>
      <c r="B25186" s="40" t="n">
        <v>-23.631046</v>
      </c>
      <c r="C25186" s="40" t="n">
        <v>-46.672114</v>
      </c>
      <c r="D25186" s="40" t="n">
        <v>9</v>
      </c>
      <c r="E25186" s="41" t="n">
        <v>264.25851</v>
      </c>
    </row>
    <row r="25187">
      <c r="A25187" s="42">
        <f>_xlfn.XLOOKUP(86245,Trip[shape_id],Trip[shape_id],"Não encontrado")</f>
        <v/>
      </c>
      <c r="B25187" s="43" t="n">
        <v>-23.631311</v>
      </c>
      <c r="C25187" s="43" t="n">
        <v>-46.671835</v>
      </c>
      <c r="D25187" s="43" t="n">
        <v>10</v>
      </c>
      <c r="E25187" s="44" t="n">
        <v>335.67371</v>
      </c>
    </row>
    <row r="25188">
      <c r="A25188" s="39">
        <f>_xlfn.XLOOKUP(86245,Trip[shape_id],Trip[shape_id],"Não encontrado")</f>
        <v/>
      </c>
      <c r="B25188" s="40" t="n">
        <v>-23.631782</v>
      </c>
      <c r="C25188" s="40" t="n">
        <v>-46.671357</v>
      </c>
      <c r="D25188" s="40" t="n">
        <v>11</v>
      </c>
      <c r="E25188" s="41" t="n">
        <v>380.65042</v>
      </c>
    </row>
    <row r="25189">
      <c r="A25189" s="42">
        <f>_xlfn.XLOOKUP(86245,Trip[shape_id],Trip[shape_id],"Não encontrado")</f>
        <v/>
      </c>
      <c r="B25189" s="43" t="n">
        <v>-23.632067</v>
      </c>
      <c r="C25189" s="43" t="n">
        <v>-46.671043</v>
      </c>
      <c r="D25189" s="43" t="n">
        <v>12</v>
      </c>
      <c r="E25189" s="44" t="n">
        <v>434.16632</v>
      </c>
    </row>
    <row r="25190">
      <c r="A25190" s="39">
        <f>_xlfn.XLOOKUP(86245,Trip[shape_id],Trip[shape_id],"Não encontrado")</f>
        <v/>
      </c>
      <c r="B25190" s="40" t="n">
        <v>-23.632401</v>
      </c>
      <c r="C25190" s="40" t="n">
        <v>-46.670664</v>
      </c>
      <c r="D25190" s="40" t="n">
        <v>13</v>
      </c>
      <c r="E25190" s="41" t="n">
        <v>454.22623</v>
      </c>
    </row>
    <row r="25191">
      <c r="A25191" s="42">
        <f>_xlfn.XLOOKUP(86245,Trip[shape_id],Trip[shape_id],"Não encontrado")</f>
        <v/>
      </c>
      <c r="B25191" s="43" t="n">
        <v>-23.63253</v>
      </c>
      <c r="C25191" s="43" t="n">
        <v>-46.670526</v>
      </c>
      <c r="D25191" s="43" t="n">
        <v>14</v>
      </c>
      <c r="E25191" s="44" t="n">
        <v>470.819</v>
      </c>
    </row>
    <row r="25192">
      <c r="A25192" s="39">
        <f>_xlfn.XLOOKUP(86245,Trip[shape_id],Trip[shape_id],"Não encontrado")</f>
        <v/>
      </c>
      <c r="B25192" s="40" t="n">
        <v>-23.632642</v>
      </c>
      <c r="C25192" s="40" t="n">
        <v>-46.670418</v>
      </c>
      <c r="D25192" s="40" t="n">
        <v>15</v>
      </c>
      <c r="E25192" s="41" t="n">
        <v>485.89294</v>
      </c>
    </row>
    <row r="25193">
      <c r="A25193" s="42">
        <f>_xlfn.XLOOKUP(86245,Trip[shape_id],Trip[shape_id],"Não encontrado")</f>
        <v/>
      </c>
      <c r="B25193" s="43" t="n">
        <v>-23.632752</v>
      </c>
      <c r="C25193" s="43" t="n">
        <v>-46.670331</v>
      </c>
      <c r="D25193" s="43" t="n">
        <v>16</v>
      </c>
      <c r="E25193" s="44" t="n">
        <v>501.18857</v>
      </c>
    </row>
    <row r="25194">
      <c r="A25194" s="39">
        <f>_xlfn.XLOOKUP(86245,Trip[shape_id],Trip[shape_id],"Não encontrado")</f>
        <v/>
      </c>
      <c r="B25194" s="40" t="n">
        <v>-23.632867</v>
      </c>
      <c r="C25194" s="40" t="n">
        <v>-46.670248</v>
      </c>
      <c r="D25194" s="40" t="n">
        <v>17</v>
      </c>
      <c r="E25194" s="41" t="n">
        <v>512.15063</v>
      </c>
    </row>
    <row r="25195">
      <c r="A25195" s="42">
        <f>_xlfn.XLOOKUP(86245,Trip[shape_id],Trip[shape_id],"Não encontrado")</f>
        <v/>
      </c>
      <c r="B25195" s="43" t="n">
        <v>-23.632956</v>
      </c>
      <c r="C25195" s="43" t="n">
        <v>-46.670201</v>
      </c>
      <c r="D25195" s="43" t="n">
        <v>18</v>
      </c>
      <c r="E25195" s="44" t="n">
        <v>531.04724</v>
      </c>
    </row>
    <row r="25196">
      <c r="A25196" s="39">
        <f>_xlfn.XLOOKUP(86245,Trip[shape_id],Trip[shape_id],"Não encontrado")</f>
        <v/>
      </c>
      <c r="B25196" s="40" t="n">
        <v>-23.633112</v>
      </c>
      <c r="C25196" s="40" t="n">
        <v>-46.670126</v>
      </c>
      <c r="D25196" s="40" t="n">
        <v>19</v>
      </c>
      <c r="E25196" s="41" t="n">
        <v>539.14111</v>
      </c>
    </row>
    <row r="25197">
      <c r="A25197" s="42">
        <f>_xlfn.XLOOKUP(86245,Trip[shape_id],Trip[shape_id],"Não encontrado")</f>
        <v/>
      </c>
      <c r="B25197" s="43" t="n">
        <v>-23.633174</v>
      </c>
      <c r="C25197" s="43" t="n">
        <v>-46.670084</v>
      </c>
      <c r="D25197" s="43" t="n">
        <v>20</v>
      </c>
      <c r="E25197" s="44" t="n">
        <v>543.09546</v>
      </c>
    </row>
    <row r="25198">
      <c r="A25198" s="39">
        <f>_xlfn.XLOOKUP(86245,Trip[shape_id],Trip[shape_id],"Não encontrado")</f>
        <v/>
      </c>
      <c r="B25198" s="40" t="n">
        <v>-23.633204</v>
      </c>
      <c r="C25198" s="40" t="n">
        <v>-46.670063</v>
      </c>
      <c r="D25198" s="40" t="n">
        <v>21</v>
      </c>
      <c r="E25198" s="41" t="n">
        <v>548.79041</v>
      </c>
    </row>
    <row r="25199">
      <c r="A25199" s="42">
        <f>_xlfn.XLOOKUP(86245,Trip[shape_id],Trip[shape_id],"Não encontrado")</f>
        <v/>
      </c>
      <c r="B25199" s="43" t="n">
        <v>-23.633249</v>
      </c>
      <c r="C25199" s="43" t="n">
        <v>-46.670036</v>
      </c>
      <c r="D25199" s="43" t="n">
        <v>22</v>
      </c>
      <c r="E25199" s="44" t="n">
        <v>558.38196</v>
      </c>
    </row>
    <row r="25200">
      <c r="A25200" s="39">
        <f>_xlfn.XLOOKUP(86245,Trip[shape_id],Trip[shape_id],"Não encontrado")</f>
        <v/>
      </c>
      <c r="B25200" s="40" t="n">
        <v>-23.633324</v>
      </c>
      <c r="C25200" s="40" t="n">
        <v>-46.669989</v>
      </c>
      <c r="D25200" s="40" t="n">
        <v>23</v>
      </c>
      <c r="E25200" s="41" t="n">
        <v>566.97552</v>
      </c>
    </row>
    <row r="25201">
      <c r="A25201" s="42">
        <f>_xlfn.XLOOKUP(86245,Trip[shape_id],Trip[shape_id],"Não encontrado")</f>
        <v/>
      </c>
      <c r="B25201" s="43" t="n">
        <v>-23.633389</v>
      </c>
      <c r="C25201" s="43" t="n">
        <v>-46.669943</v>
      </c>
      <c r="D25201" s="43" t="n">
        <v>24</v>
      </c>
      <c r="E25201" s="44" t="n">
        <v>575.2607400000001</v>
      </c>
    </row>
    <row r="25202">
      <c r="A25202" s="39">
        <f>_xlfn.XLOOKUP(86245,Trip[shape_id],Trip[shape_id],"Não encontrado")</f>
        <v/>
      </c>
      <c r="B25202" s="40" t="n">
        <v>-23.63345</v>
      </c>
      <c r="C25202" s="40" t="n">
        <v>-46.669896</v>
      </c>
      <c r="D25202" s="40" t="n">
        <v>25</v>
      </c>
      <c r="E25202" s="41" t="n">
        <v>582.55872</v>
      </c>
    </row>
    <row r="25203">
      <c r="A25203" s="42">
        <f>_xlfn.XLOOKUP(86245,Trip[shape_id],Trip[shape_id],"Não encontrado")</f>
        <v/>
      </c>
      <c r="B25203" s="43" t="n">
        <v>-23.633498</v>
      </c>
      <c r="C25203" s="43" t="n">
        <v>-46.669847</v>
      </c>
      <c r="D25203" s="43" t="n">
        <v>26</v>
      </c>
      <c r="E25203" s="44" t="n">
        <v>596.55243</v>
      </c>
    </row>
    <row r="25204">
      <c r="A25204" s="39">
        <f>_xlfn.XLOOKUP(86245,Trip[shape_id],Trip[shape_id],"Não encontrado")</f>
        <v/>
      </c>
      <c r="B25204" s="40" t="n">
        <v>-23.63359</v>
      </c>
      <c r="C25204" s="40" t="n">
        <v>-46.669753</v>
      </c>
      <c r="D25204" s="40" t="n">
        <v>27</v>
      </c>
      <c r="E25204" s="41" t="n">
        <v>613.28748</v>
      </c>
    </row>
    <row r="25205">
      <c r="A25205" s="42">
        <f>_xlfn.XLOOKUP(86245,Trip[shape_id],Trip[shape_id],"Não encontrado")</f>
        <v/>
      </c>
      <c r="B25205" s="43" t="n">
        <v>-23.633693</v>
      </c>
      <c r="C25205" s="43" t="n">
        <v>-46.669633</v>
      </c>
      <c r="D25205" s="43" t="n">
        <v>28</v>
      </c>
      <c r="E25205" s="44" t="n">
        <v>630.94702</v>
      </c>
    </row>
    <row r="25206">
      <c r="A25206" s="39">
        <f>_xlfn.XLOOKUP(86245,Trip[shape_id],Trip[shape_id],"Não encontrado")</f>
        <v/>
      </c>
      <c r="B25206" s="40" t="n">
        <v>-23.633788</v>
      </c>
      <c r="C25206" s="40" t="n">
        <v>-46.669494</v>
      </c>
      <c r="D25206" s="40" t="n">
        <v>29</v>
      </c>
      <c r="E25206" s="41" t="n">
        <v>653.71924</v>
      </c>
    </row>
    <row r="25207">
      <c r="A25207" s="42">
        <f>_xlfn.XLOOKUP(86245,Trip[shape_id],Trip[shape_id],"Não encontrado")</f>
        <v/>
      </c>
      <c r="B25207" s="43" t="n">
        <v>-23.633907</v>
      </c>
      <c r="C25207" s="43" t="n">
        <v>-46.669312</v>
      </c>
      <c r="D25207" s="43" t="n">
        <v>30</v>
      </c>
      <c r="E25207" s="44" t="n">
        <v>679.47009</v>
      </c>
    </row>
    <row r="25208">
      <c r="A25208" s="39">
        <f>_xlfn.XLOOKUP(86245,Trip[shape_id],Trip[shape_id],"Não encontrado")</f>
        <v/>
      </c>
      <c r="B25208" s="40" t="n">
        <v>-23.63404</v>
      </c>
      <c r="C25208" s="40" t="n">
        <v>-46.669105</v>
      </c>
      <c r="D25208" s="40" t="n">
        <v>31</v>
      </c>
      <c r="E25208" s="41" t="n">
        <v>711.01575</v>
      </c>
    </row>
    <row r="25209">
      <c r="A25209" s="42">
        <f>_xlfn.XLOOKUP(86245,Trip[shape_id],Trip[shape_id],"Não encontrado")</f>
        <v/>
      </c>
      <c r="B25209" s="43" t="n">
        <v>-23.634205</v>
      </c>
      <c r="C25209" s="43" t="n">
        <v>-46.668853</v>
      </c>
      <c r="D25209" s="43" t="n">
        <v>32</v>
      </c>
      <c r="E25209" s="44" t="n">
        <v>729.7969399999999</v>
      </c>
    </row>
    <row r="25210">
      <c r="A25210" s="39">
        <f>_xlfn.XLOOKUP(86245,Trip[shape_id],Trip[shape_id],"Não encontrado")</f>
        <v/>
      </c>
      <c r="B25210" s="40" t="n">
        <v>-23.634295</v>
      </c>
      <c r="C25210" s="40" t="n">
        <v>-46.668697</v>
      </c>
      <c r="D25210" s="40" t="n">
        <v>33</v>
      </c>
      <c r="E25210" s="41" t="n">
        <v>737.5675</v>
      </c>
    </row>
    <row r="25211">
      <c r="A25211" s="42">
        <f>_xlfn.XLOOKUP(86245,Trip[shape_id],Trip[shape_id],"Não encontrado")</f>
        <v/>
      </c>
      <c r="B25211" s="43" t="n">
        <v>-23.63433</v>
      </c>
      <c r="C25211" s="43" t="n">
        <v>-46.668631</v>
      </c>
      <c r="D25211" s="43" t="n">
        <v>34</v>
      </c>
      <c r="E25211" s="44" t="n">
        <v>772.44116</v>
      </c>
    </row>
    <row r="25212">
      <c r="A25212" s="39">
        <f>_xlfn.XLOOKUP(86245,Trip[shape_id],Trip[shape_id],"Não encontrado")</f>
        <v/>
      </c>
      <c r="B25212" s="40" t="n">
        <v>-23.634489</v>
      </c>
      <c r="C25212" s="40" t="n">
        <v>-46.668336</v>
      </c>
      <c r="D25212" s="40" t="n">
        <v>35</v>
      </c>
      <c r="E25212" s="41" t="n">
        <v>772.44116</v>
      </c>
    </row>
    <row r="25213">
      <c r="A25213" s="42">
        <f>_xlfn.XLOOKUP(86247,Trip[shape_id],Trip[shape_id],"Não encontrado")</f>
        <v/>
      </c>
      <c r="B25213" s="43" t="n">
        <v>-23.634489</v>
      </c>
      <c r="C25213" s="43" t="n">
        <v>-46.668336</v>
      </c>
      <c r="D25213" s="43" t="n">
        <v>1</v>
      </c>
      <c r="E25213" s="44" t="n">
        <v>0</v>
      </c>
    </row>
    <row r="25214">
      <c r="A25214" s="39">
        <f>_xlfn.XLOOKUP(86247,Trip[shape_id],Trip[shape_id],"Não encontrado")</f>
        <v/>
      </c>
      <c r="B25214" s="40" t="n">
        <v>-23.63433</v>
      </c>
      <c r="C25214" s="40" t="n">
        <v>-46.668631</v>
      </c>
      <c r="D25214" s="40" t="n">
        <v>2</v>
      </c>
      <c r="E25214" s="41" t="n">
        <v>34.873657</v>
      </c>
    </row>
    <row r="25215">
      <c r="A25215" s="42">
        <f>_xlfn.XLOOKUP(86247,Trip[shape_id],Trip[shape_id],"Não encontrado")</f>
        <v/>
      </c>
      <c r="B25215" s="43" t="n">
        <v>-23.634295</v>
      </c>
      <c r="C25215" s="43" t="n">
        <v>-46.668697</v>
      </c>
      <c r="D25215" s="43" t="n">
        <v>3</v>
      </c>
      <c r="E25215" s="44" t="n">
        <v>42.644199</v>
      </c>
    </row>
    <row r="25216">
      <c r="A25216" s="39">
        <f>_xlfn.XLOOKUP(86247,Trip[shape_id],Trip[shape_id],"Não encontrado")</f>
        <v/>
      </c>
      <c r="B25216" s="40" t="n">
        <v>-23.634205</v>
      </c>
      <c r="C25216" s="40" t="n">
        <v>-46.668853</v>
      </c>
      <c r="D25216" s="40" t="n">
        <v>4</v>
      </c>
      <c r="E25216" s="41" t="n">
        <v>61.425396</v>
      </c>
    </row>
    <row r="25217">
      <c r="A25217" s="42">
        <f>_xlfn.XLOOKUP(86247,Trip[shape_id],Trip[shape_id],"Não encontrado")</f>
        <v/>
      </c>
      <c r="B25217" s="43" t="n">
        <v>-23.63404</v>
      </c>
      <c r="C25217" s="43" t="n">
        <v>-46.669105</v>
      </c>
      <c r="D25217" s="43" t="n">
        <v>5</v>
      </c>
      <c r="E25217" s="44" t="n">
        <v>92.971046</v>
      </c>
    </row>
    <row r="25218">
      <c r="A25218" s="39">
        <f>_xlfn.XLOOKUP(86247,Trip[shape_id],Trip[shape_id],"Não encontrado")</f>
        <v/>
      </c>
      <c r="B25218" s="40" t="n">
        <v>-23.633907</v>
      </c>
      <c r="C25218" s="40" t="n">
        <v>-46.669312</v>
      </c>
      <c r="D25218" s="40" t="n">
        <v>6</v>
      </c>
      <c r="E25218" s="41" t="n">
        <v>118.72192</v>
      </c>
    </row>
    <row r="25219">
      <c r="A25219" s="42">
        <f>_xlfn.XLOOKUP(86247,Trip[shape_id],Trip[shape_id],"Não encontrado")</f>
        <v/>
      </c>
      <c r="B25219" s="43" t="n">
        <v>-23.633788</v>
      </c>
      <c r="C25219" s="43" t="n">
        <v>-46.669494</v>
      </c>
      <c r="D25219" s="43" t="n">
        <v>7</v>
      </c>
      <c r="E25219" s="44" t="n">
        <v>141.49411</v>
      </c>
    </row>
    <row r="25220">
      <c r="A25220" s="39">
        <f>_xlfn.XLOOKUP(86247,Trip[shape_id],Trip[shape_id],"Não encontrado")</f>
        <v/>
      </c>
      <c r="B25220" s="40" t="n">
        <v>-23.633693</v>
      </c>
      <c r="C25220" s="40" t="n">
        <v>-46.669633</v>
      </c>
      <c r="D25220" s="40" t="n">
        <v>8</v>
      </c>
      <c r="E25220" s="41" t="n">
        <v>159.15363</v>
      </c>
    </row>
    <row r="25221">
      <c r="A25221" s="42">
        <f>_xlfn.XLOOKUP(86247,Trip[shape_id],Trip[shape_id],"Não encontrado")</f>
        <v/>
      </c>
      <c r="B25221" s="43" t="n">
        <v>-23.63359</v>
      </c>
      <c r="C25221" s="43" t="n">
        <v>-46.669753</v>
      </c>
      <c r="D25221" s="43" t="n">
        <v>9</v>
      </c>
      <c r="E25221" s="44" t="n">
        <v>175.88866</v>
      </c>
    </row>
    <row r="25222">
      <c r="A25222" s="39">
        <f>_xlfn.XLOOKUP(86247,Trip[shape_id],Trip[shape_id],"Não encontrado")</f>
        <v/>
      </c>
      <c r="B25222" s="40" t="n">
        <v>-23.633498</v>
      </c>
      <c r="C25222" s="40" t="n">
        <v>-46.669847</v>
      </c>
      <c r="D25222" s="40" t="n">
        <v>10</v>
      </c>
      <c r="E25222" s="41" t="n">
        <v>189.88239</v>
      </c>
    </row>
    <row r="25223">
      <c r="A25223" s="42">
        <f>_xlfn.XLOOKUP(86247,Trip[shape_id],Trip[shape_id],"Não encontrado")</f>
        <v/>
      </c>
      <c r="B25223" s="43" t="n">
        <v>-23.63345</v>
      </c>
      <c r="C25223" s="43" t="n">
        <v>-46.669896</v>
      </c>
      <c r="D25223" s="43" t="n">
        <v>11</v>
      </c>
      <c r="E25223" s="44" t="n">
        <v>197.18039</v>
      </c>
    </row>
    <row r="25224">
      <c r="A25224" s="39">
        <f>_xlfn.XLOOKUP(86247,Trip[shape_id],Trip[shape_id],"Não encontrado")</f>
        <v/>
      </c>
      <c r="B25224" s="40" t="n">
        <v>-23.633389</v>
      </c>
      <c r="C25224" s="40" t="n">
        <v>-46.669943</v>
      </c>
      <c r="D25224" s="40" t="n">
        <v>12</v>
      </c>
      <c r="E25224" s="41" t="n">
        <v>205.46561</v>
      </c>
    </row>
    <row r="25225">
      <c r="A25225" s="42">
        <f>_xlfn.XLOOKUP(86247,Trip[shape_id],Trip[shape_id],"Não encontrado")</f>
        <v/>
      </c>
      <c r="B25225" s="43" t="n">
        <v>-23.633324</v>
      </c>
      <c r="C25225" s="43" t="n">
        <v>-46.669989</v>
      </c>
      <c r="D25225" s="43" t="n">
        <v>13</v>
      </c>
      <c r="E25225" s="44" t="n">
        <v>214.05916</v>
      </c>
    </row>
    <row r="25226">
      <c r="A25226" s="39">
        <f>_xlfn.XLOOKUP(86247,Trip[shape_id],Trip[shape_id],"Não encontrado")</f>
        <v/>
      </c>
      <c r="B25226" s="40" t="n">
        <v>-23.633249</v>
      </c>
      <c r="C25226" s="40" t="n">
        <v>-46.670036</v>
      </c>
      <c r="D25226" s="40" t="n">
        <v>14</v>
      </c>
      <c r="E25226" s="41" t="n">
        <v>223.65074</v>
      </c>
    </row>
    <row r="25227">
      <c r="A25227" s="42">
        <f>_xlfn.XLOOKUP(86247,Trip[shape_id],Trip[shape_id],"Não encontrado")</f>
        <v/>
      </c>
      <c r="B25227" s="43" t="n">
        <v>-23.633204</v>
      </c>
      <c r="C25227" s="43" t="n">
        <v>-46.670063</v>
      </c>
      <c r="D25227" s="43" t="n">
        <v>15</v>
      </c>
      <c r="E25227" s="44" t="n">
        <v>229.34567</v>
      </c>
    </row>
    <row r="25228">
      <c r="A25228" s="39">
        <f>_xlfn.XLOOKUP(86247,Trip[shape_id],Trip[shape_id],"Não encontrado")</f>
        <v/>
      </c>
      <c r="B25228" s="40" t="n">
        <v>-23.633174</v>
      </c>
      <c r="C25228" s="40" t="n">
        <v>-46.670084</v>
      </c>
      <c r="D25228" s="40" t="n">
        <v>16</v>
      </c>
      <c r="E25228" s="41" t="n">
        <v>233.3</v>
      </c>
    </row>
    <row r="25229">
      <c r="A25229" s="42">
        <f>_xlfn.XLOOKUP(86247,Trip[shape_id],Trip[shape_id],"Não encontrado")</f>
        <v/>
      </c>
      <c r="B25229" s="43" t="n">
        <v>-23.633112</v>
      </c>
      <c r="C25229" s="43" t="n">
        <v>-46.670126</v>
      </c>
      <c r="D25229" s="43" t="n">
        <v>17</v>
      </c>
      <c r="E25229" s="44" t="n">
        <v>241.39389</v>
      </c>
    </row>
    <row r="25230">
      <c r="A25230" s="39">
        <f>_xlfn.XLOOKUP(86247,Trip[shape_id],Trip[shape_id],"Não encontrado")</f>
        <v/>
      </c>
      <c r="B25230" s="40" t="n">
        <v>-23.632956</v>
      </c>
      <c r="C25230" s="40" t="n">
        <v>-46.670201</v>
      </c>
      <c r="D25230" s="40" t="n">
        <v>18</v>
      </c>
      <c r="E25230" s="41" t="n">
        <v>260.29047</v>
      </c>
    </row>
    <row r="25231">
      <c r="A25231" s="42">
        <f>_xlfn.XLOOKUP(86247,Trip[shape_id],Trip[shape_id],"Não encontrado")</f>
        <v/>
      </c>
      <c r="B25231" s="43" t="n">
        <v>-23.632867</v>
      </c>
      <c r="C25231" s="43" t="n">
        <v>-46.670248</v>
      </c>
      <c r="D25231" s="43" t="n">
        <v>19</v>
      </c>
      <c r="E25231" s="44" t="n">
        <v>271.2525</v>
      </c>
    </row>
    <row r="25232">
      <c r="A25232" s="39">
        <f>_xlfn.XLOOKUP(86247,Trip[shape_id],Trip[shape_id],"Não encontrado")</f>
        <v/>
      </c>
      <c r="B25232" s="40" t="n">
        <v>-23.632752</v>
      </c>
      <c r="C25232" s="40" t="n">
        <v>-46.670331</v>
      </c>
      <c r="D25232" s="40" t="n">
        <v>20</v>
      </c>
      <c r="E25232" s="41" t="n">
        <v>286.54813</v>
      </c>
    </row>
    <row r="25233">
      <c r="A25233" s="42">
        <f>_xlfn.XLOOKUP(86247,Trip[shape_id],Trip[shape_id],"Não encontrado")</f>
        <v/>
      </c>
      <c r="B25233" s="43" t="n">
        <v>-23.632642</v>
      </c>
      <c r="C25233" s="43" t="n">
        <v>-46.670418</v>
      </c>
      <c r="D25233" s="43" t="n">
        <v>21</v>
      </c>
      <c r="E25233" s="44" t="n">
        <v>301.62207</v>
      </c>
    </row>
    <row r="25234">
      <c r="A25234" s="39">
        <f>_xlfn.XLOOKUP(86247,Trip[shape_id],Trip[shape_id],"Não encontrado")</f>
        <v/>
      </c>
      <c r="B25234" s="40" t="n">
        <v>-23.63253</v>
      </c>
      <c r="C25234" s="40" t="n">
        <v>-46.670526</v>
      </c>
      <c r="D25234" s="40" t="n">
        <v>22</v>
      </c>
      <c r="E25234" s="41" t="n">
        <v>318.21484</v>
      </c>
    </row>
    <row r="25235">
      <c r="A25235" s="42">
        <f>_xlfn.XLOOKUP(86247,Trip[shape_id],Trip[shape_id],"Não encontrado")</f>
        <v/>
      </c>
      <c r="B25235" s="43" t="n">
        <v>-23.632401</v>
      </c>
      <c r="C25235" s="43" t="n">
        <v>-46.670664</v>
      </c>
      <c r="D25235" s="43" t="n">
        <v>23</v>
      </c>
      <c r="E25235" s="44" t="n">
        <v>338.27475</v>
      </c>
    </row>
    <row r="25236">
      <c r="A25236" s="39">
        <f>_xlfn.XLOOKUP(86247,Trip[shape_id],Trip[shape_id],"Não encontrado")</f>
        <v/>
      </c>
      <c r="B25236" s="40" t="n">
        <v>-23.632067</v>
      </c>
      <c r="C25236" s="40" t="n">
        <v>-46.671043</v>
      </c>
      <c r="D25236" s="40" t="n">
        <v>24</v>
      </c>
      <c r="E25236" s="41" t="n">
        <v>391.79065</v>
      </c>
    </row>
    <row r="25237">
      <c r="A25237" s="42">
        <f>_xlfn.XLOOKUP(86247,Trip[shape_id],Trip[shape_id],"Não encontrado")</f>
        <v/>
      </c>
      <c r="B25237" s="43" t="n">
        <v>-23.631782</v>
      </c>
      <c r="C25237" s="43" t="n">
        <v>-46.671357</v>
      </c>
      <c r="D25237" s="43" t="n">
        <v>25</v>
      </c>
      <c r="E25237" s="44" t="n">
        <v>436.76736</v>
      </c>
    </row>
    <row r="25238">
      <c r="A25238" s="39">
        <f>_xlfn.XLOOKUP(86247,Trip[shape_id],Trip[shape_id],"Não encontrado")</f>
        <v/>
      </c>
      <c r="B25238" s="40" t="n">
        <v>-23.631311</v>
      </c>
      <c r="C25238" s="40" t="n">
        <v>-46.671835</v>
      </c>
      <c r="D25238" s="40" t="n">
        <v>26</v>
      </c>
      <c r="E25238" s="41" t="n">
        <v>508.18256</v>
      </c>
    </row>
    <row r="25239">
      <c r="A25239" s="42">
        <f>_xlfn.XLOOKUP(86247,Trip[shape_id],Trip[shape_id],"Não encontrado")</f>
        <v/>
      </c>
      <c r="B25239" s="43" t="n">
        <v>-23.631046</v>
      </c>
      <c r="C25239" s="43" t="n">
        <v>-46.672114</v>
      </c>
      <c r="D25239" s="43" t="n">
        <v>27</v>
      </c>
      <c r="E25239" s="44" t="n">
        <v>549.07129</v>
      </c>
    </row>
    <row r="25240">
      <c r="A25240" s="39">
        <f>_xlfn.XLOOKUP(86247,Trip[shape_id],Trip[shape_id],"Não encontrado")</f>
        <v/>
      </c>
      <c r="B25240" s="40" t="n">
        <v>-23.630878</v>
      </c>
      <c r="C25240" s="40" t="n">
        <v>-46.672278</v>
      </c>
      <c r="D25240" s="40" t="n">
        <v>28</v>
      </c>
      <c r="E25240" s="41" t="n">
        <v>574.09619</v>
      </c>
    </row>
    <row r="25241">
      <c r="A25241" s="42">
        <f>_xlfn.XLOOKUP(86247,Trip[shape_id],Trip[shape_id],"Não encontrado")</f>
        <v/>
      </c>
      <c r="B25241" s="43" t="n">
        <v>-23.630681</v>
      </c>
      <c r="C25241" s="43" t="n">
        <v>-46.672453</v>
      </c>
      <c r="D25241" s="43" t="n">
        <v>29</v>
      </c>
      <c r="E25241" s="44" t="n">
        <v>602.29041</v>
      </c>
    </row>
    <row r="25242">
      <c r="A25242" s="39">
        <f>_xlfn.XLOOKUP(86247,Trip[shape_id],Trip[shape_id],"Não encontrado")</f>
        <v/>
      </c>
      <c r="B25242" s="40" t="n">
        <v>-23.630454</v>
      </c>
      <c r="C25242" s="40" t="n">
        <v>-46.672676</v>
      </c>
      <c r="D25242" s="40" t="n">
        <v>30</v>
      </c>
      <c r="E25242" s="41" t="n">
        <v>636.1999499999999</v>
      </c>
    </row>
    <row r="25243">
      <c r="A25243" s="42">
        <f>_xlfn.XLOOKUP(86247,Trip[shape_id],Trip[shape_id],"Não encontrado")</f>
        <v/>
      </c>
      <c r="B25243" s="43" t="n">
        <v>-23.630331</v>
      </c>
      <c r="C25243" s="43" t="n">
        <v>-46.672796</v>
      </c>
      <c r="D25243" s="43" t="n">
        <v>31</v>
      </c>
      <c r="E25243" s="44" t="n">
        <v>654.5170900000001</v>
      </c>
    </row>
    <row r="25244">
      <c r="A25244" s="39">
        <f>_xlfn.XLOOKUP(86247,Trip[shape_id],Trip[shape_id],"Não encontrado")</f>
        <v/>
      </c>
      <c r="B25244" s="40" t="n">
        <v>-23.630101</v>
      </c>
      <c r="C25244" s="40" t="n">
        <v>-46.673056</v>
      </c>
      <c r="D25244" s="40" t="n">
        <v>32</v>
      </c>
      <c r="E25244" s="41" t="n">
        <v>691.2968100000001</v>
      </c>
    </row>
    <row r="25245">
      <c r="A25245" s="42">
        <f>_xlfn.XLOOKUP(86247,Trip[shape_id],Trip[shape_id],"Não encontrado")</f>
        <v/>
      </c>
      <c r="B25245" s="43" t="n">
        <v>-23.62984</v>
      </c>
      <c r="C25245" s="43" t="n">
        <v>-46.673355</v>
      </c>
      <c r="D25245" s="43" t="n">
        <v>33</v>
      </c>
      <c r="E25245" s="44" t="n">
        <v>733.32593</v>
      </c>
    </row>
    <row r="25246">
      <c r="A25246" s="39">
        <f>_xlfn.XLOOKUP(86247,Trip[shape_id],Trip[shape_id],"Não encontrado")</f>
        <v/>
      </c>
      <c r="B25246" s="40" t="n">
        <v>-23.629686</v>
      </c>
      <c r="C25246" s="40" t="n">
        <v>-46.673514</v>
      </c>
      <c r="D25246" s="40" t="n">
        <v>34</v>
      </c>
      <c r="E25246" s="41" t="n">
        <v>756.86591</v>
      </c>
    </row>
    <row r="25247">
      <c r="A25247" s="42">
        <f>_xlfn.XLOOKUP(86247,Trip[shape_id],Trip[shape_id],"Não encontrado")</f>
        <v/>
      </c>
      <c r="B25247" s="43" t="n">
        <v>-23.629562</v>
      </c>
      <c r="C25247" s="43" t="n">
        <v>-46.673586</v>
      </c>
      <c r="D25247" s="43" t="n">
        <v>35</v>
      </c>
      <c r="E25247" s="44" t="n">
        <v>772.4411</v>
      </c>
    </row>
    <row r="25248">
      <c r="A25248" s="39">
        <f>_xlfn.XLOOKUP(86249,Trip[shape_id],Trip[shape_id],"Não encontrado")</f>
        <v/>
      </c>
      <c r="B25248" s="40" t="n">
        <v>-23.493591</v>
      </c>
      <c r="C25248" s="40" t="n">
        <v>-46.691426</v>
      </c>
      <c r="D25248" s="40" t="n">
        <v>1</v>
      </c>
      <c r="E25248" s="41" t="n">
        <v>103.48704</v>
      </c>
    </row>
    <row r="25249">
      <c r="A25249" s="42">
        <f>_xlfn.XLOOKUP(86249,Trip[shape_id],Trip[shape_id],"Não encontrado")</f>
        <v/>
      </c>
      <c r="B25249" s="43" t="n">
        <v>-23.49443</v>
      </c>
      <c r="C25249" s="43" t="n">
        <v>-46.691872</v>
      </c>
      <c r="D25249" s="43" t="n">
        <v>2</v>
      </c>
      <c r="E25249" s="44" t="n">
        <v>173.33377</v>
      </c>
    </row>
    <row r="25250">
      <c r="A25250" s="39">
        <f>_xlfn.XLOOKUP(86249,Trip[shape_id],Trip[shape_id],"Não encontrado")</f>
        <v/>
      </c>
      <c r="B25250" s="40" t="n">
        <v>-23.495002</v>
      </c>
      <c r="C25250" s="40" t="n">
        <v>-46.69216</v>
      </c>
      <c r="D25250" s="40" t="n">
        <v>3</v>
      </c>
      <c r="E25250" s="41" t="n">
        <v>246.84715</v>
      </c>
    </row>
    <row r="25251">
      <c r="A25251" s="42">
        <f>_xlfn.XLOOKUP(86249,Trip[shape_id],Trip[shape_id],"Não encontrado")</f>
        <v/>
      </c>
      <c r="B25251" s="43" t="n">
        <v>-23.495638</v>
      </c>
      <c r="C25251" s="43" t="n">
        <v>-46.692366</v>
      </c>
      <c r="D25251" s="43" t="n">
        <v>4</v>
      </c>
      <c r="E25251" s="44" t="n">
        <v>349.92401</v>
      </c>
    </row>
    <row r="25252">
      <c r="A25252" s="39">
        <f>_xlfn.XLOOKUP(86249,Trip[shape_id],Trip[shape_id],"Não encontrado")</f>
        <v/>
      </c>
      <c r="B25252" s="40" t="n">
        <v>-23.49653</v>
      </c>
      <c r="C25252" s="40" t="n">
        <v>-46.692654</v>
      </c>
      <c r="D25252" s="40" t="n">
        <v>5</v>
      </c>
      <c r="E25252" s="41" t="n">
        <v>408.87125</v>
      </c>
    </row>
    <row r="25253">
      <c r="A25253" s="42">
        <f>_xlfn.XLOOKUP(86249,Trip[shape_id],Trip[shape_id],"Não encontrado")</f>
        <v/>
      </c>
      <c r="B25253" s="43" t="n">
        <v>-23.497036</v>
      </c>
      <c r="C25253" s="43" t="n">
        <v>-46.692833</v>
      </c>
      <c r="D25253" s="43" t="n">
        <v>6</v>
      </c>
      <c r="E25253" s="44" t="n">
        <v>428.52634</v>
      </c>
    </row>
    <row r="25254">
      <c r="A25254" s="39">
        <f>_xlfn.XLOOKUP(86249,Trip[shape_id],Trip[shape_id],"Não encontrado")</f>
        <v/>
      </c>
      <c r="B25254" s="40" t="n">
        <v>-23.497211</v>
      </c>
      <c r="C25254" s="40" t="n">
        <v>-46.692865</v>
      </c>
      <c r="D25254" s="40" t="n">
        <v>7</v>
      </c>
      <c r="E25254" s="41" t="n">
        <v>454.52545</v>
      </c>
    </row>
    <row r="25255">
      <c r="A25255" s="42">
        <f>_xlfn.XLOOKUP(86249,Trip[shape_id],Trip[shape_id],"Não encontrado")</f>
        <v/>
      </c>
      <c r="B25255" s="43" t="n">
        <v>-23.49744</v>
      </c>
      <c r="C25255" s="43" t="n">
        <v>-46.692921</v>
      </c>
      <c r="D25255" s="43" t="n">
        <v>8</v>
      </c>
      <c r="E25255" s="44" t="n">
        <v>512.74377</v>
      </c>
    </row>
    <row r="25256">
      <c r="A25256" s="39">
        <f>_xlfn.XLOOKUP(86249,Trip[shape_id],Trip[shape_id],"Não encontrado")</f>
        <v/>
      </c>
      <c r="B25256" s="40" t="n">
        <v>-23.497958</v>
      </c>
      <c r="C25256" s="40" t="n">
        <v>-46.693018</v>
      </c>
      <c r="D25256" s="40" t="n">
        <v>9</v>
      </c>
      <c r="E25256" s="41" t="n">
        <v>618.1875</v>
      </c>
    </row>
    <row r="25257">
      <c r="A25257" s="42">
        <f>_xlfn.XLOOKUP(86249,Trip[shape_id],Trip[shape_id],"Não encontrado")</f>
        <v/>
      </c>
      <c r="B25257" s="43" t="n">
        <v>-23.498895</v>
      </c>
      <c r="C25257" s="43" t="n">
        <v>-46.693201</v>
      </c>
      <c r="D25257" s="43" t="n">
        <v>10</v>
      </c>
      <c r="E25257" s="44" t="n">
        <v>665.95764</v>
      </c>
    </row>
    <row r="25258">
      <c r="A25258" s="39">
        <f>_xlfn.XLOOKUP(86249,Trip[shape_id],Trip[shape_id],"Não encontrado")</f>
        <v/>
      </c>
      <c r="B25258" s="40" t="n">
        <v>-23.499323</v>
      </c>
      <c r="C25258" s="40" t="n">
        <v>-46.693259</v>
      </c>
      <c r="D25258" s="40" t="n">
        <v>11</v>
      </c>
      <c r="E25258" s="41" t="n">
        <v>737.48224</v>
      </c>
    </row>
    <row r="25259">
      <c r="A25259" s="42">
        <f>_xlfn.XLOOKUP(86249,Trip[shape_id],Trip[shape_id],"Não encontrado")</f>
        <v/>
      </c>
      <c r="B25259" s="43" t="n">
        <v>-23.499965</v>
      </c>
      <c r="C25259" s="43" t="n">
        <v>-46.693335</v>
      </c>
      <c r="D25259" s="43" t="n">
        <v>12</v>
      </c>
      <c r="E25259" s="44" t="n">
        <v>805.42285</v>
      </c>
    </row>
    <row r="25260">
      <c r="A25260" s="39">
        <f>_xlfn.XLOOKUP(86249,Trip[shape_id],Trip[shape_id],"Não encontrado")</f>
        <v/>
      </c>
      <c r="B25260" s="40" t="n">
        <v>-23.500574</v>
      </c>
      <c r="C25260" s="40" t="n">
        <v>-46.693415</v>
      </c>
      <c r="D25260" s="40" t="n">
        <v>13</v>
      </c>
      <c r="E25260" s="41" t="n">
        <v>859.19049</v>
      </c>
    </row>
    <row r="25261">
      <c r="A25261" s="42">
        <f>_xlfn.XLOOKUP(86249,Trip[shape_id],Trip[shape_id],"Não encontrado")</f>
        <v/>
      </c>
      <c r="B25261" s="43" t="n">
        <v>-23.501043</v>
      </c>
      <c r="C25261" s="43" t="n">
        <v>-46.693551</v>
      </c>
      <c r="D25261" s="43" t="n">
        <v>14</v>
      </c>
      <c r="E25261" s="44" t="n">
        <v>939.24194</v>
      </c>
    </row>
    <row r="25262">
      <c r="A25262" s="39">
        <f>_xlfn.XLOOKUP(86249,Trip[shape_id],Trip[shape_id],"Não encontrado")</f>
        <v/>
      </c>
      <c r="B25262" s="40" t="n">
        <v>-23.50175</v>
      </c>
      <c r="C25262" s="40" t="n">
        <v>-46.693714</v>
      </c>
      <c r="D25262" s="40" t="n">
        <v>15</v>
      </c>
      <c r="E25262" s="41" t="n">
        <v>939.24194</v>
      </c>
    </row>
    <row r="25263">
      <c r="A25263" s="42">
        <f>_xlfn.XLOOKUP(86249,Trip[shape_id],Trip[shape_id],"Não encontrado")</f>
        <v/>
      </c>
      <c r="B25263" s="43" t="n">
        <v>-23.503119</v>
      </c>
      <c r="C25263" s="43" t="n">
        <v>-46.693892</v>
      </c>
      <c r="D25263" s="43" t="n">
        <v>16</v>
      </c>
      <c r="E25263" s="44" t="n">
        <v>1243.5205</v>
      </c>
    </row>
    <row r="25264">
      <c r="A25264" s="39">
        <f>_xlfn.XLOOKUP(86249,Trip[shape_id],Trip[shape_id],"Não encontrado")</f>
        <v/>
      </c>
      <c r="B25264" s="40" t="n">
        <v>-23.504487</v>
      </c>
      <c r="C25264" s="40" t="n">
        <v>-46.693936</v>
      </c>
      <c r="D25264" s="40" t="n">
        <v>17</v>
      </c>
      <c r="E25264" s="41" t="n">
        <v>1460.3888</v>
      </c>
    </row>
    <row r="25265">
      <c r="A25265" s="42">
        <f>_xlfn.XLOOKUP(86249,Trip[shape_id],Trip[shape_id],"Não encontrado")</f>
        <v/>
      </c>
      <c r="B25265" s="43" t="n">
        <v>-23.506445</v>
      </c>
      <c r="C25265" s="43" t="n">
        <v>-46.693909</v>
      </c>
      <c r="D25265" s="43" t="n">
        <v>18</v>
      </c>
      <c r="E25265" s="44" t="n">
        <v>1525.7136</v>
      </c>
    </row>
    <row r="25266">
      <c r="A25266" s="39">
        <f>_xlfn.XLOOKUP(86249,Trip[shape_id],Trip[shape_id],"Não encontrado")</f>
        <v/>
      </c>
      <c r="B25266" s="40" t="n">
        <v>-23.507034</v>
      </c>
      <c r="C25266" s="40" t="n">
        <v>-46.693875</v>
      </c>
      <c r="D25266" s="40" t="n">
        <v>19</v>
      </c>
      <c r="E25266" s="41" t="n">
        <v>1582.5009</v>
      </c>
    </row>
    <row r="25267">
      <c r="A25267" s="42">
        <f>_xlfn.XLOOKUP(86249,Trip[shape_id],Trip[shape_id],"Não encontrado")</f>
        <v/>
      </c>
      <c r="B25267" s="43" t="n">
        <v>-23.507546</v>
      </c>
      <c r="C25267" s="43" t="n">
        <v>-46.693845</v>
      </c>
      <c r="D25267" s="43" t="n">
        <v>20</v>
      </c>
      <c r="E25267" s="44" t="n">
        <v>1635.5031</v>
      </c>
    </row>
    <row r="25268">
      <c r="A25268" s="39">
        <f>_xlfn.XLOOKUP(86249,Trip[shape_id],Trip[shape_id],"Não encontrado")</f>
        <v/>
      </c>
      <c r="B25268" s="40" t="n">
        <v>-23.508023</v>
      </c>
      <c r="C25268" s="40" t="n">
        <v>-46.693803</v>
      </c>
      <c r="D25268" s="40" t="n">
        <v>21</v>
      </c>
      <c r="E25268" s="41" t="n">
        <v>1682.931</v>
      </c>
    </row>
    <row r="25269">
      <c r="A25269" s="42">
        <f>_xlfn.XLOOKUP(86249,Trip[shape_id],Trip[shape_id],"Não encontrado")</f>
        <v/>
      </c>
      <c r="B25269" s="43" t="n">
        <v>-23.508448</v>
      </c>
      <c r="C25269" s="43" t="n">
        <v>-46.693746</v>
      </c>
      <c r="D25269" s="43" t="n">
        <v>22</v>
      </c>
      <c r="E25269" s="44" t="n">
        <v>1752.3464</v>
      </c>
    </row>
    <row r="25270">
      <c r="A25270" s="39">
        <f>_xlfn.XLOOKUP(86249,Trip[shape_id],Trip[shape_id],"Não encontrado")</f>
        <v/>
      </c>
      <c r="B25270" s="40" t="n">
        <v>-23.509069</v>
      </c>
      <c r="C25270" s="40" t="n">
        <v>-46.693654</v>
      </c>
      <c r="D25270" s="40" t="n">
        <v>23</v>
      </c>
      <c r="E25270" s="41" t="n">
        <v>1782.366</v>
      </c>
    </row>
    <row r="25271">
      <c r="A25271" s="42">
        <f>_xlfn.XLOOKUP(86249,Trip[shape_id],Trip[shape_id],"Não encontrado")</f>
        <v/>
      </c>
      <c r="B25271" s="43" t="n">
        <v>-23.509337</v>
      </c>
      <c r="C25271" s="43" t="n">
        <v>-46.69361</v>
      </c>
      <c r="D25271" s="43" t="n">
        <v>24</v>
      </c>
      <c r="E25271" s="44" t="n">
        <v>1817.1976</v>
      </c>
    </row>
    <row r="25272">
      <c r="A25272" s="39">
        <f>_xlfn.XLOOKUP(86249,Trip[shape_id],Trip[shape_id],"Não encontrado")</f>
        <v/>
      </c>
      <c r="B25272" s="40" t="n">
        <v>-23.509645</v>
      </c>
      <c r="C25272" s="40" t="n">
        <v>-46.693541</v>
      </c>
      <c r="D25272" s="40" t="n">
        <v>25</v>
      </c>
      <c r="E25272" s="41" t="n">
        <v>1885.7025</v>
      </c>
    </row>
    <row r="25273">
      <c r="A25273" s="42">
        <f>_xlfn.XLOOKUP(86249,Trip[shape_id],Trip[shape_id],"Não encontrado")</f>
        <v/>
      </c>
      <c r="B25273" s="43" t="n">
        <v>-23.510252</v>
      </c>
      <c r="C25273" s="43" t="n">
        <v>-46.693412</v>
      </c>
      <c r="D25273" s="43" t="n">
        <v>26</v>
      </c>
      <c r="E25273" s="44" t="n">
        <v>1958.6449</v>
      </c>
    </row>
    <row r="25274">
      <c r="A25274" s="39">
        <f>_xlfn.XLOOKUP(86249,Trip[shape_id],Trip[shape_id],"Não encontrado")</f>
        <v/>
      </c>
      <c r="B25274" s="40" t="n">
        <v>-23.510891</v>
      </c>
      <c r="C25274" s="40" t="n">
        <v>-46.693239</v>
      </c>
      <c r="D25274" s="40" t="n">
        <v>27</v>
      </c>
      <c r="E25274" s="41" t="n">
        <v>2028.1527</v>
      </c>
    </row>
    <row r="25275">
      <c r="A25275" s="42">
        <f>_xlfn.XLOOKUP(86249,Trip[shape_id],Trip[shape_id],"Não encontrado")</f>
        <v/>
      </c>
      <c r="B25275" s="43" t="n">
        <v>-23.51148</v>
      </c>
      <c r="C25275" s="43" t="n">
        <v>-46.693004</v>
      </c>
      <c r="D25275" s="43" t="n">
        <v>28</v>
      </c>
      <c r="E25275" s="44" t="n">
        <v>2139.0439</v>
      </c>
    </row>
    <row r="25276">
      <c r="A25276" s="39">
        <f>_xlfn.XLOOKUP(86249,Trip[shape_id],Trip[shape_id],"Não encontrado")</f>
        <v/>
      </c>
      <c r="B25276" s="40" t="n">
        <v>-23.512409</v>
      </c>
      <c r="C25276" s="40" t="n">
        <v>-46.692599</v>
      </c>
      <c r="D25276" s="40" t="n">
        <v>29</v>
      </c>
      <c r="E25276" s="41" t="n">
        <v>2189.3728</v>
      </c>
    </row>
    <row r="25277">
      <c r="A25277" s="42">
        <f>_xlfn.XLOOKUP(86249,Trip[shape_id],Trip[shape_id],"Não encontrado")</f>
        <v/>
      </c>
      <c r="B25277" s="43" t="n">
        <v>-23.512817</v>
      </c>
      <c r="C25277" s="43" t="n">
        <v>-46.692382</v>
      </c>
      <c r="D25277" s="43" t="n">
        <v>30</v>
      </c>
      <c r="E25277" s="44" t="n">
        <v>2264.9626</v>
      </c>
    </row>
    <row r="25278">
      <c r="A25278" s="39">
        <f>_xlfn.XLOOKUP(86249,Trip[shape_id],Trip[shape_id],"Não encontrado")</f>
        <v/>
      </c>
      <c r="B25278" s="40" t="n">
        <v>-23.513427</v>
      </c>
      <c r="C25278" s="40" t="n">
        <v>-46.69205</v>
      </c>
      <c r="D25278" s="40" t="n">
        <v>31</v>
      </c>
      <c r="E25278" s="41" t="n">
        <v>2317.8804</v>
      </c>
    </row>
    <row r="25279">
      <c r="A25279" s="42">
        <f>_xlfn.XLOOKUP(86249,Trip[shape_id],Trip[shape_id],"Não encontrado")</f>
        <v/>
      </c>
      <c r="B25279" s="43" t="n">
        <v>-23.513849</v>
      </c>
      <c r="C25279" s="43" t="n">
        <v>-46.691807</v>
      </c>
      <c r="D25279" s="43" t="n">
        <v>32</v>
      </c>
      <c r="E25279" s="44" t="n">
        <v>2346.4072</v>
      </c>
    </row>
    <row r="25280">
      <c r="A25280" s="39">
        <f>_xlfn.XLOOKUP(86249,Trip[shape_id],Trip[shape_id],"Não encontrado")</f>
        <v/>
      </c>
      <c r="B25280" s="40" t="n">
        <v>-23.514075</v>
      </c>
      <c r="C25280" s="40" t="n">
        <v>-46.691673</v>
      </c>
      <c r="D25280" s="40" t="n">
        <v>33</v>
      </c>
      <c r="E25280" s="41" t="n">
        <v>2346.4072</v>
      </c>
    </row>
    <row r="25281">
      <c r="A25281" s="42">
        <f>_xlfn.XLOOKUP(86249,Trip[shape_id],Trip[shape_id],"Não encontrado")</f>
        <v/>
      </c>
      <c r="B25281" s="43" t="n">
        <v>-23.514553</v>
      </c>
      <c r="C25281" s="43" t="n">
        <v>-46.691373</v>
      </c>
      <c r="D25281" s="43" t="n">
        <v>34</v>
      </c>
      <c r="E25281" s="44" t="n">
        <v>2494.3281</v>
      </c>
    </row>
    <row r="25282">
      <c r="A25282" s="39">
        <f>_xlfn.XLOOKUP(86249,Trip[shape_id],Trip[shape_id],"Não encontrado")</f>
        <v/>
      </c>
      <c r="B25282" s="40" t="n">
        <v>-23.515237</v>
      </c>
      <c r="C25282" s="40" t="n">
        <v>-46.690959</v>
      </c>
      <c r="D25282" s="40" t="n">
        <v>35</v>
      </c>
      <c r="E25282" s="41" t="n">
        <v>2590.1316</v>
      </c>
    </row>
    <row r="25283">
      <c r="A25283" s="42">
        <f>_xlfn.XLOOKUP(86249,Trip[shape_id],Trip[shape_id],"Não encontrado")</f>
        <v/>
      </c>
      <c r="B25283" s="43" t="n">
        <v>-23.515999</v>
      </c>
      <c r="C25283" s="43" t="n">
        <v>-46.690515</v>
      </c>
      <c r="D25283" s="43" t="n">
        <v>36</v>
      </c>
      <c r="E25283" s="44" t="n">
        <v>2679.1936</v>
      </c>
    </row>
    <row r="25284">
      <c r="A25284" s="39">
        <f>_xlfn.XLOOKUP(86249,Trip[shape_id],Trip[shape_id],"Não encontrado")</f>
        <v/>
      </c>
      <c r="B25284" s="40" t="n">
        <v>-23.516715</v>
      </c>
      <c r="C25284" s="40" t="n">
        <v>-46.690118</v>
      </c>
      <c r="D25284" s="40" t="n">
        <v>37</v>
      </c>
      <c r="E25284" s="41" t="n">
        <v>2842.1482</v>
      </c>
    </row>
    <row r="25285">
      <c r="A25285" s="42">
        <f>_xlfn.XLOOKUP(86249,Trip[shape_id],Trip[shape_id],"Não encontrado")</f>
        <v/>
      </c>
      <c r="B25285" s="43" t="n">
        <v>-23.518039</v>
      </c>
      <c r="C25285" s="43" t="n">
        <v>-46.689422</v>
      </c>
      <c r="D25285" s="43" t="n">
        <v>38</v>
      </c>
      <c r="E25285" s="44" t="n">
        <v>3149.1223</v>
      </c>
    </row>
    <row r="25286">
      <c r="A25286" s="39">
        <f>_xlfn.XLOOKUP(86249,Trip[shape_id],Trip[shape_id],"Não encontrado")</f>
        <v/>
      </c>
      <c r="B25286" s="40" t="n">
        <v>-23.520546</v>
      </c>
      <c r="C25286" s="40" t="n">
        <v>-46.68814</v>
      </c>
      <c r="D25286" s="40" t="n">
        <v>39</v>
      </c>
      <c r="E25286" s="41" t="n">
        <v>3149.1223</v>
      </c>
    </row>
    <row r="25287">
      <c r="A25287" s="42">
        <f>_xlfn.XLOOKUP(86249,Trip[shape_id],Trip[shape_id],"Não encontrado")</f>
        <v/>
      </c>
      <c r="B25287" s="43" t="n">
        <v>-23.521499</v>
      </c>
      <c r="C25287" s="43" t="n">
        <v>-46.687639</v>
      </c>
      <c r="D25287" s="43" t="n">
        <v>40</v>
      </c>
      <c r="E25287" s="44" t="n">
        <v>3354.6108</v>
      </c>
    </row>
    <row r="25288">
      <c r="A25288" s="39">
        <f>_xlfn.XLOOKUP(86249,Trip[shape_id],Trip[shape_id],"Não encontrado")</f>
        <v/>
      </c>
      <c r="B25288" s="40" t="n">
        <v>-23.522215</v>
      </c>
      <c r="C25288" s="40" t="n">
        <v>-46.687261</v>
      </c>
      <c r="D25288" s="40" t="n">
        <v>41</v>
      </c>
      <c r="E25288" s="41" t="n">
        <v>3403.9187</v>
      </c>
    </row>
    <row r="25289">
      <c r="A25289" s="42">
        <f>_xlfn.XLOOKUP(86249,Trip[shape_id],Trip[shape_id],"Não encontrado")</f>
        <v/>
      </c>
      <c r="B25289" s="43" t="n">
        <v>-23.522615</v>
      </c>
      <c r="C25289" s="43" t="n">
        <v>-46.687049</v>
      </c>
      <c r="D25289" s="43" t="n">
        <v>42</v>
      </c>
      <c r="E25289" s="44" t="n">
        <v>3429.3872</v>
      </c>
    </row>
    <row r="25290">
      <c r="A25290" s="39">
        <f>_xlfn.XLOOKUP(86249,Trip[shape_id],Trip[shape_id],"Não encontrado")</f>
        <v/>
      </c>
      <c r="B25290" s="40" t="n">
        <v>-23.52282</v>
      </c>
      <c r="C25290" s="40" t="n">
        <v>-46.686936</v>
      </c>
      <c r="D25290" s="40" t="n">
        <v>43</v>
      </c>
      <c r="E25290" s="41" t="n">
        <v>3469.856</v>
      </c>
    </row>
    <row r="25291">
      <c r="A25291" s="42">
        <f>_xlfn.XLOOKUP(86249,Trip[shape_id],Trip[shape_id],"Não encontrado")</f>
        <v/>
      </c>
      <c r="B25291" s="43" t="n">
        <v>-23.523146</v>
      </c>
      <c r="C25291" s="43" t="n">
        <v>-46.686757</v>
      </c>
      <c r="D25291" s="43" t="n">
        <v>44</v>
      </c>
      <c r="E25291" s="44" t="n">
        <v>3552.0002</v>
      </c>
    </row>
    <row r="25292">
      <c r="A25292" s="39">
        <f>_xlfn.XLOOKUP(86249,Trip[shape_id],Trip[shape_id],"Não encontrado")</f>
        <v/>
      </c>
      <c r="B25292" s="40" t="n">
        <v>-23.523806</v>
      </c>
      <c r="C25292" s="40" t="n">
        <v>-46.68639</v>
      </c>
      <c r="D25292" s="40" t="n">
        <v>45</v>
      </c>
      <c r="E25292" s="41" t="n">
        <v>3582.9761</v>
      </c>
    </row>
    <row r="25293">
      <c r="A25293" s="42">
        <f>_xlfn.XLOOKUP(86249,Trip[shape_id],Trip[shape_id],"Não encontrado")</f>
        <v/>
      </c>
      <c r="B25293" s="43" t="n">
        <v>-23.524056</v>
      </c>
      <c r="C25293" s="43" t="n">
        <v>-46.686254</v>
      </c>
      <c r="D25293" s="43" t="n">
        <v>46</v>
      </c>
      <c r="E25293" s="44" t="n">
        <v>3625.1326</v>
      </c>
    </row>
    <row r="25294">
      <c r="A25294" s="39">
        <f>_xlfn.XLOOKUP(86249,Trip[shape_id],Trip[shape_id],"Não encontrado")</f>
        <v/>
      </c>
      <c r="B25294" s="40" t="n">
        <v>-23.524391</v>
      </c>
      <c r="C25294" s="40" t="n">
        <v>-46.686058</v>
      </c>
      <c r="D25294" s="40" t="n">
        <v>47</v>
      </c>
      <c r="E25294" s="41" t="n">
        <v>3663.104</v>
      </c>
    </row>
    <row r="25295">
      <c r="A25295" s="42">
        <f>_xlfn.XLOOKUP(86249,Trip[shape_id],Trip[shape_id],"Não encontrado")</f>
        <v/>
      </c>
      <c r="B25295" s="43" t="n">
        <v>-23.524691</v>
      </c>
      <c r="C25295" s="43" t="n">
        <v>-46.685878</v>
      </c>
      <c r="D25295" s="43" t="n">
        <v>48</v>
      </c>
      <c r="E25295" s="44" t="n">
        <v>3798.2488</v>
      </c>
    </row>
    <row r="25296">
      <c r="A25296" s="39">
        <f>_xlfn.XLOOKUP(86249,Trip[shape_id],Trip[shape_id],"Não encontrado")</f>
        <v/>
      </c>
      <c r="B25296" s="40" t="n">
        <v>-23.525746</v>
      </c>
      <c r="C25296" s="40" t="n">
        <v>-46.685213</v>
      </c>
      <c r="D25296" s="40" t="n">
        <v>49</v>
      </c>
      <c r="E25296" s="41" t="n">
        <v>3817.561</v>
      </c>
    </row>
    <row r="25297">
      <c r="A25297" s="42">
        <f>_xlfn.XLOOKUP(86249,Trip[shape_id],Trip[shape_id],"Não encontrado")</f>
        <v/>
      </c>
      <c r="B25297" s="43" t="n">
        <v>-23.525894</v>
      </c>
      <c r="C25297" s="43" t="n">
        <v>-46.685113</v>
      </c>
      <c r="D25297" s="43" t="n">
        <v>50</v>
      </c>
      <c r="E25297" s="44" t="n">
        <v>3831.4734</v>
      </c>
    </row>
    <row r="25298">
      <c r="A25298" s="39">
        <f>_xlfn.XLOOKUP(86249,Trip[shape_id],Trip[shape_id],"Não encontrado")</f>
        <v/>
      </c>
      <c r="B25298" s="40" t="n">
        <v>-23.525995</v>
      </c>
      <c r="C25298" s="40" t="n">
        <v>-46.685032</v>
      </c>
      <c r="D25298" s="40" t="n">
        <v>51</v>
      </c>
      <c r="E25298" s="41" t="n">
        <v>3845.2083</v>
      </c>
    </row>
    <row r="25299">
      <c r="A25299" s="42">
        <f>_xlfn.XLOOKUP(86249,Trip[shape_id],Trip[shape_id],"Não encontrado")</f>
        <v/>
      </c>
      <c r="B25299" s="43" t="n">
        <v>-23.526094</v>
      </c>
      <c r="C25299" s="43" t="n">
        <v>-46.684951</v>
      </c>
      <c r="D25299" s="43" t="n">
        <v>52</v>
      </c>
      <c r="E25299" s="44" t="n">
        <v>3858.719</v>
      </c>
    </row>
    <row r="25300">
      <c r="A25300" s="39">
        <f>_xlfn.XLOOKUP(86249,Trip[shape_id],Trip[shape_id],"Não encontrado")</f>
        <v/>
      </c>
      <c r="B25300" s="40" t="n">
        <v>-23.526189</v>
      </c>
      <c r="C25300" s="40" t="n">
        <v>-46.684868</v>
      </c>
      <c r="D25300" s="40" t="n">
        <v>53</v>
      </c>
      <c r="E25300" s="41" t="n">
        <v>3871.6067</v>
      </c>
    </row>
    <row r="25301">
      <c r="A25301" s="42">
        <f>_xlfn.XLOOKUP(86249,Trip[shape_id],Trip[shape_id],"Não encontrado")</f>
        <v/>
      </c>
      <c r="B25301" s="43" t="n">
        <v>-23.526279</v>
      </c>
      <c r="C25301" s="43" t="n">
        <v>-46.684788</v>
      </c>
      <c r="D25301" s="43" t="n">
        <v>54</v>
      </c>
      <c r="E25301" s="44" t="n">
        <v>3880.0156</v>
      </c>
    </row>
    <row r="25302">
      <c r="A25302" s="39">
        <f>_xlfn.XLOOKUP(86249,Trip[shape_id],Trip[shape_id],"Não encontrado")</f>
        <v/>
      </c>
      <c r="B25302" s="40" t="n">
        <v>-23.52633</v>
      </c>
      <c r="C25302" s="40" t="n">
        <v>-46.684727</v>
      </c>
      <c r="D25302" s="40" t="n">
        <v>55</v>
      </c>
      <c r="E25302" s="41" t="n">
        <v>3891.0542</v>
      </c>
    </row>
    <row r="25303">
      <c r="A25303" s="42">
        <f>_xlfn.XLOOKUP(86249,Trip[shape_id],Trip[shape_id],"Não encontrado")</f>
        <v/>
      </c>
      <c r="B25303" s="43" t="n">
        <v>-23.526399</v>
      </c>
      <c r="C25303" s="43" t="n">
        <v>-46.684649</v>
      </c>
      <c r="D25303" s="43" t="n">
        <v>56</v>
      </c>
      <c r="E25303" s="44" t="n">
        <v>3902.5405</v>
      </c>
    </row>
    <row r="25304">
      <c r="A25304" s="39">
        <f>_xlfn.XLOOKUP(86249,Trip[shape_id],Trip[shape_id],"Não encontrado")</f>
        <v/>
      </c>
      <c r="B25304" s="40" t="n">
        <v>-23.526469</v>
      </c>
      <c r="C25304" s="40" t="n">
        <v>-46.684566</v>
      </c>
      <c r="D25304" s="40" t="n">
        <v>57</v>
      </c>
      <c r="E25304" s="41" t="n">
        <v>3913.1504</v>
      </c>
    </row>
    <row r="25305">
      <c r="A25305" s="42">
        <f>_xlfn.XLOOKUP(86249,Trip[shape_id],Trip[shape_id],"Não encontrado")</f>
        <v/>
      </c>
      <c r="B25305" s="43" t="n">
        <v>-23.526529</v>
      </c>
      <c r="C25305" s="43" t="n">
        <v>-46.684485</v>
      </c>
      <c r="D25305" s="43" t="n">
        <v>58</v>
      </c>
      <c r="E25305" s="44" t="n">
        <v>3934.0261</v>
      </c>
    </row>
    <row r="25306">
      <c r="A25306" s="39">
        <f>_xlfn.XLOOKUP(86249,Trip[shape_id],Trip[shape_id],"Não encontrado")</f>
        <v/>
      </c>
      <c r="B25306" s="40" t="n">
        <v>-23.526639</v>
      </c>
      <c r="C25306" s="40" t="n">
        <v>-46.684319</v>
      </c>
      <c r="D25306" s="40" t="n">
        <v>59</v>
      </c>
      <c r="E25306" s="41" t="n">
        <v>3955.1377</v>
      </c>
    </row>
    <row r="25307">
      <c r="A25307" s="42">
        <f>_xlfn.XLOOKUP(86249,Trip[shape_id],Trip[shape_id],"Não encontrado")</f>
        <v/>
      </c>
      <c r="B25307" s="43" t="n">
        <v>-23.526739</v>
      </c>
      <c r="C25307" s="43" t="n">
        <v>-46.684143</v>
      </c>
      <c r="D25307" s="43" t="n">
        <v>60</v>
      </c>
      <c r="E25307" s="44" t="n">
        <v>3987.2673</v>
      </c>
    </row>
    <row r="25308">
      <c r="A25308" s="39">
        <f>_xlfn.XLOOKUP(86249,Trip[shape_id],Trip[shape_id],"Não encontrado")</f>
        <v/>
      </c>
      <c r="B25308" s="40" t="n">
        <v>-23.526901</v>
      </c>
      <c r="C25308" s="40" t="n">
        <v>-46.683882</v>
      </c>
      <c r="D25308" s="40" t="n">
        <v>61</v>
      </c>
      <c r="E25308" s="41" t="n">
        <v>4057.864</v>
      </c>
    </row>
    <row r="25309">
      <c r="A25309" s="42">
        <f>_xlfn.XLOOKUP(86249,Trip[shape_id],Trip[shape_id],"Não encontrado")</f>
        <v/>
      </c>
      <c r="B25309" s="43" t="n">
        <v>-23.527245</v>
      </c>
      <c r="C25309" s="43" t="n">
        <v>-46.6833</v>
      </c>
      <c r="D25309" s="43" t="n">
        <v>62</v>
      </c>
      <c r="E25309" s="44" t="n">
        <v>4057.864</v>
      </c>
    </row>
    <row r="25310">
      <c r="A25310" s="39">
        <f>_xlfn.XLOOKUP(86249,Trip[shape_id],Trip[shape_id],"Não encontrado")</f>
        <v/>
      </c>
      <c r="B25310" s="40" t="n">
        <v>-23.527362</v>
      </c>
      <c r="C25310" s="40" t="n">
        <v>-46.683111</v>
      </c>
      <c r="D25310" s="40" t="n">
        <v>63</v>
      </c>
      <c r="E25310" s="41" t="n">
        <v>4110.9951</v>
      </c>
    </row>
    <row r="25311">
      <c r="A25311" s="42">
        <f>_xlfn.XLOOKUP(86249,Trip[shape_id],Trip[shape_id],"Não encontrado")</f>
        <v/>
      </c>
      <c r="B25311" s="43" t="n">
        <v>-23.527519</v>
      </c>
      <c r="C25311" s="43" t="n">
        <v>-46.682873</v>
      </c>
      <c r="D25311" s="43" t="n">
        <v>64</v>
      </c>
      <c r="E25311" s="44" t="n">
        <v>4128.3242</v>
      </c>
    </row>
    <row r="25312">
      <c r="A25312" s="39">
        <f>_xlfn.XLOOKUP(86249,Trip[shape_id],Trip[shape_id],"Não encontrado")</f>
        <v/>
      </c>
      <c r="B25312" s="40" t="n">
        <v>-23.527615</v>
      </c>
      <c r="C25312" s="40" t="n">
        <v>-46.682739</v>
      </c>
      <c r="D25312" s="40" t="n">
        <v>65</v>
      </c>
      <c r="E25312" s="41" t="n">
        <v>4160.4746</v>
      </c>
    </row>
    <row r="25313">
      <c r="A25313" s="42">
        <f>_xlfn.XLOOKUP(86249,Trip[shape_id],Trip[shape_id],"Não encontrado")</f>
        <v/>
      </c>
      <c r="B25313" s="43" t="n">
        <v>-23.527795</v>
      </c>
      <c r="C25313" s="43" t="n">
        <v>-46.682492</v>
      </c>
      <c r="D25313" s="43" t="n">
        <v>66</v>
      </c>
      <c r="E25313" s="44" t="n">
        <v>4195.1084</v>
      </c>
    </row>
    <row r="25314">
      <c r="A25314" s="39">
        <f>_xlfn.XLOOKUP(86249,Trip[shape_id],Trip[shape_id],"Não encontrado")</f>
        <v/>
      </c>
      <c r="B25314" s="40" t="n">
        <v>-23.527989</v>
      </c>
      <c r="C25314" s="40" t="n">
        <v>-46.682226</v>
      </c>
      <c r="D25314" s="40" t="n">
        <v>67</v>
      </c>
      <c r="E25314" s="41" t="n">
        <v>4274.3325</v>
      </c>
    </row>
    <row r="25315">
      <c r="A25315" s="42">
        <f>_xlfn.XLOOKUP(86249,Trip[shape_id],Trip[shape_id],"Não encontrado")</f>
        <v/>
      </c>
      <c r="B25315" s="43" t="n">
        <v>-23.528409</v>
      </c>
      <c r="C25315" s="43" t="n">
        <v>-46.681598</v>
      </c>
      <c r="D25315" s="43" t="n">
        <v>68</v>
      </c>
      <c r="E25315" s="44" t="n">
        <v>4403.1973</v>
      </c>
    </row>
    <row r="25316">
      <c r="A25316" s="39">
        <f>_xlfn.XLOOKUP(86249,Trip[shape_id],Trip[shape_id],"Não encontrado")</f>
        <v/>
      </c>
      <c r="B25316" s="40" t="n">
        <v>-23.529046</v>
      </c>
      <c r="C25316" s="40" t="n">
        <v>-46.680542</v>
      </c>
      <c r="D25316" s="40" t="n">
        <v>69</v>
      </c>
      <c r="E25316" s="41" t="n">
        <v>4536.9976</v>
      </c>
    </row>
    <row r="25317">
      <c r="A25317" s="42">
        <f>_xlfn.XLOOKUP(86249,Trip[shape_id],Trip[shape_id],"Não encontrado")</f>
        <v/>
      </c>
      <c r="B25317" s="43" t="n">
        <v>-23.529788</v>
      </c>
      <c r="C25317" s="43" t="n">
        <v>-46.679508</v>
      </c>
      <c r="D25317" s="43" t="n">
        <v>70</v>
      </c>
      <c r="E25317" s="44" t="n">
        <v>4564.3247</v>
      </c>
    </row>
    <row r="25318">
      <c r="A25318" s="39">
        <f>_xlfn.XLOOKUP(86249,Trip[shape_id],Trip[shape_id],"Não encontrado")</f>
        <v/>
      </c>
      <c r="B25318" s="40" t="n">
        <v>-23.529955</v>
      </c>
      <c r="C25318" s="40" t="n">
        <v>-46.679311</v>
      </c>
      <c r="D25318" s="40" t="n">
        <v>71</v>
      </c>
      <c r="E25318" s="41" t="n">
        <v>4617.021</v>
      </c>
    </row>
    <row r="25319">
      <c r="A25319" s="42">
        <f>_xlfn.XLOOKUP(86249,Trip[shape_id],Trip[shape_id],"Não encontrado")</f>
        <v/>
      </c>
      <c r="B25319" s="43" t="n">
        <v>-23.530295</v>
      </c>
      <c r="C25319" s="43" t="n">
        <v>-46.67895</v>
      </c>
      <c r="D25319" s="43" t="n">
        <v>72</v>
      </c>
      <c r="E25319" s="44" t="n">
        <v>4669.9326</v>
      </c>
    </row>
    <row r="25320">
      <c r="A25320" s="39">
        <f>_xlfn.XLOOKUP(86249,Trip[shape_id],Trip[shape_id],"Não encontrado")</f>
        <v/>
      </c>
      <c r="B25320" s="40" t="n">
        <v>-23.530643</v>
      </c>
      <c r="C25320" s="40" t="n">
        <v>-46.678595</v>
      </c>
      <c r="D25320" s="40" t="n">
        <v>73</v>
      </c>
      <c r="E25320" s="41" t="n">
        <v>4696.042</v>
      </c>
    </row>
    <row r="25321">
      <c r="A25321" s="42">
        <f>_xlfn.XLOOKUP(86249,Trip[shape_id],Trip[shape_id],"Não encontrado")</f>
        <v/>
      </c>
      <c r="B25321" s="43" t="n">
        <v>-23.530814</v>
      </c>
      <c r="C25321" s="43" t="n">
        <v>-46.678419</v>
      </c>
      <c r="D25321" s="43" t="n">
        <v>74</v>
      </c>
      <c r="E25321" s="44" t="n">
        <v>4747.9585</v>
      </c>
    </row>
    <row r="25322">
      <c r="A25322" s="39">
        <f>_xlfn.XLOOKUP(86249,Trip[shape_id],Trip[shape_id],"Não encontrado")</f>
        <v/>
      </c>
      <c r="B25322" s="40" t="n">
        <v>-23.531145</v>
      </c>
      <c r="C25322" s="40" t="n">
        <v>-46.678059</v>
      </c>
      <c r="D25322" s="40" t="n">
        <v>75</v>
      </c>
      <c r="E25322" s="41" t="n">
        <v>4803.4341</v>
      </c>
    </row>
    <row r="25323">
      <c r="A25323" s="42">
        <f>_xlfn.XLOOKUP(86249,Trip[shape_id],Trip[shape_id],"Não encontrado")</f>
        <v/>
      </c>
      <c r="B25323" s="43" t="n">
        <v>-23.531457</v>
      </c>
      <c r="C25323" s="43" t="n">
        <v>-46.677634</v>
      </c>
      <c r="D25323" s="43" t="n">
        <v>76</v>
      </c>
      <c r="E25323" s="44" t="n">
        <v>4817.4043</v>
      </c>
    </row>
    <row r="25324">
      <c r="A25324" s="39">
        <f>_xlfn.XLOOKUP(86249,Trip[shape_id],Trip[shape_id],"Não encontrado")</f>
        <v/>
      </c>
      <c r="B25324" s="40" t="n">
        <v>-23.531532</v>
      </c>
      <c r="C25324" s="40" t="n">
        <v>-46.677524</v>
      </c>
      <c r="D25324" s="40" t="n">
        <v>77</v>
      </c>
      <c r="E25324" s="41" t="n">
        <v>4827.6748</v>
      </c>
    </row>
    <row r="25325">
      <c r="A25325" s="42">
        <f>_xlfn.XLOOKUP(86249,Trip[shape_id],Trip[shape_id],"Não encontrado")</f>
        <v/>
      </c>
      <c r="B25325" s="43" t="n">
        <v>-23.531583</v>
      </c>
      <c r="C25325" s="43" t="n">
        <v>-46.67744</v>
      </c>
      <c r="D25325" s="43" t="n">
        <v>78</v>
      </c>
      <c r="E25325" s="44" t="n">
        <v>4853.1499</v>
      </c>
    </row>
    <row r="25326">
      <c r="A25326" s="39">
        <f>_xlfn.XLOOKUP(86249,Trip[shape_id],Trip[shape_id],"Não encontrado")</f>
        <v/>
      </c>
      <c r="B25326" s="40" t="n">
        <v>-23.53171</v>
      </c>
      <c r="C25326" s="40" t="n">
        <v>-46.677232</v>
      </c>
      <c r="D25326" s="40" t="n">
        <v>79</v>
      </c>
      <c r="E25326" s="41" t="n">
        <v>4861.5703</v>
      </c>
    </row>
    <row r="25327">
      <c r="A25327" s="42">
        <f>_xlfn.XLOOKUP(86249,Trip[shape_id],Trip[shape_id],"Não encontrado")</f>
        <v/>
      </c>
      <c r="B25327" s="43" t="n">
        <v>-23.531753</v>
      </c>
      <c r="C25327" s="43" t="n">
        <v>-46.677164</v>
      </c>
      <c r="D25327" s="43" t="n">
        <v>80</v>
      </c>
      <c r="E25327" s="44" t="n">
        <v>4871.0854</v>
      </c>
    </row>
    <row r="25328">
      <c r="A25328" s="39">
        <f>_xlfn.XLOOKUP(86249,Trip[shape_id],Trip[shape_id],"Não encontrado")</f>
        <v/>
      </c>
      <c r="B25328" s="40" t="n">
        <v>-23.5318</v>
      </c>
      <c r="C25328" s="40" t="n">
        <v>-46.677086</v>
      </c>
      <c r="D25328" s="40" t="n">
        <v>81</v>
      </c>
      <c r="E25328" s="41" t="n">
        <v>4880.1772</v>
      </c>
    </row>
    <row r="25329">
      <c r="A25329" s="42">
        <f>_xlfn.XLOOKUP(86249,Trip[shape_id],Trip[shape_id],"Não encontrado")</f>
        <v/>
      </c>
      <c r="B25329" s="43" t="n">
        <v>-23.531847</v>
      </c>
      <c r="C25329" s="43" t="n">
        <v>-46.677013</v>
      </c>
      <c r="D25329" s="43" t="n">
        <v>82</v>
      </c>
      <c r="E25329" s="44" t="n">
        <v>4928.7046</v>
      </c>
    </row>
    <row r="25330">
      <c r="A25330" s="39">
        <f>_xlfn.XLOOKUP(86249,Trip[shape_id],Trip[shape_id],"Não encontrado")</f>
        <v/>
      </c>
      <c r="B25330" s="40" t="n">
        <v>-23.532085</v>
      </c>
      <c r="C25330" s="40" t="n">
        <v>-46.676614</v>
      </c>
      <c r="D25330" s="40" t="n">
        <v>83</v>
      </c>
      <c r="E25330" s="41" t="n">
        <v>4928.7046</v>
      </c>
    </row>
    <row r="25331">
      <c r="A25331" s="42">
        <f>_xlfn.XLOOKUP(86250,Trip[shape_id],Trip[shape_id],"Não encontrado")</f>
        <v/>
      </c>
      <c r="B25331" s="43" t="n">
        <v>-23.532085</v>
      </c>
      <c r="C25331" s="43" t="n">
        <v>-46.676614</v>
      </c>
      <c r="D25331" s="43" t="n">
        <v>1</v>
      </c>
      <c r="E25331" s="44" t="n">
        <v>0</v>
      </c>
    </row>
    <row r="25332">
      <c r="A25332" s="39">
        <f>_xlfn.XLOOKUP(86250,Trip[shape_id],Trip[shape_id],"Não encontrado")</f>
        <v/>
      </c>
      <c r="B25332" s="40" t="n">
        <v>-23.531847</v>
      </c>
      <c r="C25332" s="40" t="n">
        <v>-46.677013</v>
      </c>
      <c r="D25332" s="40" t="n">
        <v>2</v>
      </c>
      <c r="E25332" s="41" t="n">
        <v>48.527325</v>
      </c>
    </row>
    <row r="25333">
      <c r="A25333" s="42">
        <f>_xlfn.XLOOKUP(86250,Trip[shape_id],Trip[shape_id],"Não encontrado")</f>
        <v/>
      </c>
      <c r="B25333" s="43" t="n">
        <v>-23.5318</v>
      </c>
      <c r="C25333" s="43" t="n">
        <v>-46.677086</v>
      </c>
      <c r="D25333" s="43" t="n">
        <v>3</v>
      </c>
      <c r="E25333" s="44" t="n">
        <v>57.619095</v>
      </c>
    </row>
    <row r="25334">
      <c r="A25334" s="39">
        <f>_xlfn.XLOOKUP(86250,Trip[shape_id],Trip[shape_id],"Não encontrado")</f>
        <v/>
      </c>
      <c r="B25334" s="40" t="n">
        <v>-23.531753</v>
      </c>
      <c r="C25334" s="40" t="n">
        <v>-46.677164</v>
      </c>
      <c r="D25334" s="40" t="n">
        <v>4</v>
      </c>
      <c r="E25334" s="41" t="n">
        <v>67.134186</v>
      </c>
    </row>
    <row r="25335">
      <c r="A25335" s="42">
        <f>_xlfn.XLOOKUP(86250,Trip[shape_id],Trip[shape_id],"Não encontrado")</f>
        <v/>
      </c>
      <c r="B25335" s="43" t="n">
        <v>-23.53171</v>
      </c>
      <c r="C25335" s="43" t="n">
        <v>-46.677232</v>
      </c>
      <c r="D25335" s="43" t="n">
        <v>5</v>
      </c>
      <c r="E25335" s="44" t="n">
        <v>75.554779</v>
      </c>
    </row>
    <row r="25336">
      <c r="A25336" s="39">
        <f>_xlfn.XLOOKUP(86250,Trip[shape_id],Trip[shape_id],"Não encontrado")</f>
        <v/>
      </c>
      <c r="B25336" s="40" t="n">
        <v>-23.531583</v>
      </c>
      <c r="C25336" s="40" t="n">
        <v>-46.67744</v>
      </c>
      <c r="D25336" s="40" t="n">
        <v>6</v>
      </c>
      <c r="E25336" s="41" t="n">
        <v>101.02983</v>
      </c>
    </row>
    <row r="25337">
      <c r="A25337" s="42">
        <f>_xlfn.XLOOKUP(86250,Trip[shape_id],Trip[shape_id],"Não encontrado")</f>
        <v/>
      </c>
      <c r="B25337" s="43" t="n">
        <v>-23.531532</v>
      </c>
      <c r="C25337" s="43" t="n">
        <v>-46.677524</v>
      </c>
      <c r="D25337" s="43" t="n">
        <v>7</v>
      </c>
      <c r="E25337" s="44" t="n">
        <v>111.30048</v>
      </c>
    </row>
    <row r="25338">
      <c r="A25338" s="39">
        <f>_xlfn.XLOOKUP(86250,Trip[shape_id],Trip[shape_id],"Não encontrado")</f>
        <v/>
      </c>
      <c r="B25338" s="40" t="n">
        <v>-23.531457</v>
      </c>
      <c r="C25338" s="40" t="n">
        <v>-46.677634</v>
      </c>
      <c r="D25338" s="40" t="n">
        <v>8</v>
      </c>
      <c r="E25338" s="41" t="n">
        <v>125.27087</v>
      </c>
    </row>
    <row r="25339">
      <c r="A25339" s="42">
        <f>_xlfn.XLOOKUP(86250,Trip[shape_id],Trip[shape_id],"Não encontrado")</f>
        <v/>
      </c>
      <c r="B25339" s="43" t="n">
        <v>-23.531145</v>
      </c>
      <c r="C25339" s="43" t="n">
        <v>-46.678059</v>
      </c>
      <c r="D25339" s="43" t="n">
        <v>9</v>
      </c>
      <c r="E25339" s="44" t="n">
        <v>180.74648</v>
      </c>
    </row>
    <row r="25340">
      <c r="A25340" s="39">
        <f>_xlfn.XLOOKUP(86250,Trip[shape_id],Trip[shape_id],"Não encontrado")</f>
        <v/>
      </c>
      <c r="B25340" s="40" t="n">
        <v>-23.530814</v>
      </c>
      <c r="C25340" s="40" t="n">
        <v>-46.678419</v>
      </c>
      <c r="D25340" s="40" t="n">
        <v>10</v>
      </c>
      <c r="E25340" s="41" t="n">
        <v>232.66298</v>
      </c>
    </row>
    <row r="25341">
      <c r="A25341" s="42">
        <f>_xlfn.XLOOKUP(86250,Trip[shape_id],Trip[shape_id],"Não encontrado")</f>
        <v/>
      </c>
      <c r="B25341" s="43" t="n">
        <v>-23.530643</v>
      </c>
      <c r="C25341" s="43" t="n">
        <v>-46.678595</v>
      </c>
      <c r="D25341" s="43" t="n">
        <v>11</v>
      </c>
      <c r="E25341" s="44" t="n">
        <v>258.77213</v>
      </c>
    </row>
    <row r="25342">
      <c r="A25342" s="39">
        <f>_xlfn.XLOOKUP(86250,Trip[shape_id],Trip[shape_id],"Não encontrado")</f>
        <v/>
      </c>
      <c r="B25342" s="40" t="n">
        <v>-23.530295</v>
      </c>
      <c r="C25342" s="40" t="n">
        <v>-46.67895</v>
      </c>
      <c r="D25342" s="40" t="n">
        <v>12</v>
      </c>
      <c r="E25342" s="41" t="n">
        <v>311.68365</v>
      </c>
    </row>
    <row r="25343">
      <c r="A25343" s="42">
        <f>_xlfn.XLOOKUP(86250,Trip[shape_id],Trip[shape_id],"Não encontrado")</f>
        <v/>
      </c>
      <c r="B25343" s="43" t="n">
        <v>-23.529955</v>
      </c>
      <c r="C25343" s="43" t="n">
        <v>-46.679311</v>
      </c>
      <c r="D25343" s="43" t="n">
        <v>13</v>
      </c>
      <c r="E25343" s="44" t="n">
        <v>364.38019</v>
      </c>
    </row>
    <row r="25344">
      <c r="A25344" s="39">
        <f>_xlfn.XLOOKUP(86250,Trip[shape_id],Trip[shape_id],"Não encontrado")</f>
        <v/>
      </c>
      <c r="B25344" s="40" t="n">
        <v>-23.529788</v>
      </c>
      <c r="C25344" s="40" t="n">
        <v>-46.679508</v>
      </c>
      <c r="D25344" s="40" t="n">
        <v>14</v>
      </c>
      <c r="E25344" s="41" t="n">
        <v>391.70752</v>
      </c>
    </row>
    <row r="25345">
      <c r="A25345" s="42">
        <f>_xlfn.XLOOKUP(86250,Trip[shape_id],Trip[shape_id],"Não encontrado")</f>
        <v/>
      </c>
      <c r="B25345" s="43" t="n">
        <v>-23.529046</v>
      </c>
      <c r="C25345" s="43" t="n">
        <v>-46.680542</v>
      </c>
      <c r="D25345" s="43" t="n">
        <v>15</v>
      </c>
      <c r="E25345" s="44" t="n">
        <v>525.50769</v>
      </c>
    </row>
    <row r="25346">
      <c r="A25346" s="39">
        <f>_xlfn.XLOOKUP(86250,Trip[shape_id],Trip[shape_id],"Não encontrado")</f>
        <v/>
      </c>
      <c r="B25346" s="40" t="n">
        <v>-23.528409</v>
      </c>
      <c r="C25346" s="40" t="n">
        <v>-46.681598</v>
      </c>
      <c r="D25346" s="40" t="n">
        <v>16</v>
      </c>
      <c r="E25346" s="41" t="n">
        <v>654.37219</v>
      </c>
    </row>
    <row r="25347">
      <c r="A25347" s="42">
        <f>_xlfn.XLOOKUP(86250,Trip[shape_id],Trip[shape_id],"Não encontrado")</f>
        <v/>
      </c>
      <c r="B25347" s="43" t="n">
        <v>-23.527989</v>
      </c>
      <c r="C25347" s="43" t="n">
        <v>-46.682226</v>
      </c>
      <c r="D25347" s="43" t="n">
        <v>17</v>
      </c>
      <c r="E25347" s="44" t="n">
        <v>733.59637</v>
      </c>
    </row>
    <row r="25348">
      <c r="A25348" s="39">
        <f>_xlfn.XLOOKUP(86250,Trip[shape_id],Trip[shape_id],"Não encontrado")</f>
        <v/>
      </c>
      <c r="B25348" s="40" t="n">
        <v>-23.527795</v>
      </c>
      <c r="C25348" s="40" t="n">
        <v>-46.682492</v>
      </c>
      <c r="D25348" s="40" t="n">
        <v>18</v>
      </c>
      <c r="E25348" s="41" t="n">
        <v>768.23022</v>
      </c>
    </row>
    <row r="25349">
      <c r="A25349" s="42">
        <f>_xlfn.XLOOKUP(86250,Trip[shape_id],Trip[shape_id],"Não encontrado")</f>
        <v/>
      </c>
      <c r="B25349" s="43" t="n">
        <v>-23.527615</v>
      </c>
      <c r="C25349" s="43" t="n">
        <v>-46.682739</v>
      </c>
      <c r="D25349" s="43" t="n">
        <v>19</v>
      </c>
      <c r="E25349" s="44" t="n">
        <v>800.38055</v>
      </c>
    </row>
    <row r="25350">
      <c r="A25350" s="39">
        <f>_xlfn.XLOOKUP(86250,Trip[shape_id],Trip[shape_id],"Não encontrado")</f>
        <v/>
      </c>
      <c r="B25350" s="40" t="n">
        <v>-23.527519</v>
      </c>
      <c r="C25350" s="40" t="n">
        <v>-46.682873</v>
      </c>
      <c r="D25350" s="40" t="n">
        <v>20</v>
      </c>
      <c r="E25350" s="41" t="n">
        <v>817.7097199999999</v>
      </c>
    </row>
    <row r="25351">
      <c r="A25351" s="42">
        <f>_xlfn.XLOOKUP(86250,Trip[shape_id],Trip[shape_id],"Não encontrado")</f>
        <v/>
      </c>
      <c r="B25351" s="43" t="n">
        <v>-23.527362</v>
      </c>
      <c r="C25351" s="43" t="n">
        <v>-46.683111</v>
      </c>
      <c r="D25351" s="43" t="n">
        <v>21</v>
      </c>
      <c r="E25351" s="44" t="n">
        <v>847.59369</v>
      </c>
    </row>
    <row r="25352">
      <c r="A25352" s="39">
        <f>_xlfn.XLOOKUP(86250,Trip[shape_id],Trip[shape_id],"Não encontrado")</f>
        <v/>
      </c>
      <c r="B25352" s="40" t="n">
        <v>-23.527245</v>
      </c>
      <c r="C25352" s="40" t="n">
        <v>-46.6833</v>
      </c>
      <c r="D25352" s="40" t="n">
        <v>22</v>
      </c>
      <c r="E25352" s="41" t="n">
        <v>870.84076</v>
      </c>
    </row>
    <row r="25353">
      <c r="A25353" s="42">
        <f>_xlfn.XLOOKUP(86250,Trip[shape_id],Trip[shape_id],"Não encontrado")</f>
        <v/>
      </c>
      <c r="B25353" s="43" t="n">
        <v>-23.526901</v>
      </c>
      <c r="C25353" s="43" t="n">
        <v>-46.683882</v>
      </c>
      <c r="D25353" s="43" t="n">
        <v>23</v>
      </c>
      <c r="E25353" s="44" t="n">
        <v>941.43744</v>
      </c>
    </row>
    <row r="25354">
      <c r="A25354" s="39">
        <f>_xlfn.XLOOKUP(86250,Trip[shape_id],Trip[shape_id],"Não encontrado")</f>
        <v/>
      </c>
      <c r="B25354" s="40" t="n">
        <v>-23.526739</v>
      </c>
      <c r="C25354" s="40" t="n">
        <v>-46.684143</v>
      </c>
      <c r="D25354" s="40" t="n">
        <v>24</v>
      </c>
      <c r="E25354" s="41" t="n">
        <v>973.56714</v>
      </c>
    </row>
    <row r="25355">
      <c r="A25355" s="42">
        <f>_xlfn.XLOOKUP(86250,Trip[shape_id],Trip[shape_id],"Não encontrado")</f>
        <v/>
      </c>
      <c r="B25355" s="43" t="n">
        <v>-23.526639</v>
      </c>
      <c r="C25355" s="43" t="n">
        <v>-46.684319</v>
      </c>
      <c r="D25355" s="43" t="n">
        <v>25</v>
      </c>
      <c r="E25355" s="44" t="n">
        <v>994.67859</v>
      </c>
    </row>
    <row r="25356">
      <c r="A25356" s="39">
        <f>_xlfn.XLOOKUP(86250,Trip[shape_id],Trip[shape_id],"Não encontrado")</f>
        <v/>
      </c>
      <c r="B25356" s="40" t="n">
        <v>-23.526529</v>
      </c>
      <c r="C25356" s="40" t="n">
        <v>-46.684485</v>
      </c>
      <c r="D25356" s="40" t="n">
        <v>26</v>
      </c>
      <c r="E25356" s="41" t="n">
        <v>1015.5542</v>
      </c>
    </row>
    <row r="25357">
      <c r="A25357" s="42">
        <f>_xlfn.XLOOKUP(86250,Trip[shape_id],Trip[shape_id],"Não encontrado")</f>
        <v/>
      </c>
      <c r="B25357" s="43" t="n">
        <v>-23.526469</v>
      </c>
      <c r="C25357" s="43" t="n">
        <v>-46.684566</v>
      </c>
      <c r="D25357" s="43" t="n">
        <v>27</v>
      </c>
      <c r="E25357" s="44" t="n">
        <v>1026.1642</v>
      </c>
    </row>
    <row r="25358">
      <c r="A25358" s="39">
        <f>_xlfn.XLOOKUP(86250,Trip[shape_id],Trip[shape_id],"Não encontrado")</f>
        <v/>
      </c>
      <c r="B25358" s="40" t="n">
        <v>-23.526399</v>
      </c>
      <c r="C25358" s="40" t="n">
        <v>-46.684649</v>
      </c>
      <c r="D25358" s="40" t="n">
        <v>28</v>
      </c>
      <c r="E25358" s="41" t="n">
        <v>1037.6506</v>
      </c>
    </row>
    <row r="25359">
      <c r="A25359" s="42">
        <f>_xlfn.XLOOKUP(86250,Trip[shape_id],Trip[shape_id],"Não encontrado")</f>
        <v/>
      </c>
      <c r="B25359" s="43" t="n">
        <v>-23.52633</v>
      </c>
      <c r="C25359" s="43" t="n">
        <v>-46.684727</v>
      </c>
      <c r="D25359" s="43" t="n">
        <v>29</v>
      </c>
      <c r="E25359" s="44" t="n">
        <v>1048.6891</v>
      </c>
    </row>
    <row r="25360">
      <c r="A25360" s="39">
        <f>_xlfn.XLOOKUP(86250,Trip[shape_id],Trip[shape_id],"Não encontrado")</f>
        <v/>
      </c>
      <c r="B25360" s="40" t="n">
        <v>-23.526279</v>
      </c>
      <c r="C25360" s="40" t="n">
        <v>-46.684788</v>
      </c>
      <c r="D25360" s="40" t="n">
        <v>30</v>
      </c>
      <c r="E25360" s="41" t="n">
        <v>1057.098</v>
      </c>
    </row>
    <row r="25361">
      <c r="A25361" s="42">
        <f>_xlfn.XLOOKUP(86250,Trip[shape_id],Trip[shape_id],"Não encontrado")</f>
        <v/>
      </c>
      <c r="B25361" s="43" t="n">
        <v>-23.526189</v>
      </c>
      <c r="C25361" s="43" t="n">
        <v>-46.684868</v>
      </c>
      <c r="D25361" s="43" t="n">
        <v>31</v>
      </c>
      <c r="E25361" s="44" t="n">
        <v>1069.9858</v>
      </c>
    </row>
    <row r="25362">
      <c r="A25362" s="39">
        <f>_xlfn.XLOOKUP(86250,Trip[shape_id],Trip[shape_id],"Não encontrado")</f>
        <v/>
      </c>
      <c r="B25362" s="40" t="n">
        <v>-23.526094</v>
      </c>
      <c r="C25362" s="40" t="n">
        <v>-46.684951</v>
      </c>
      <c r="D25362" s="40" t="n">
        <v>32</v>
      </c>
      <c r="E25362" s="41" t="n">
        <v>1083.4967</v>
      </c>
    </row>
    <row r="25363">
      <c r="A25363" s="42">
        <f>_xlfn.XLOOKUP(86250,Trip[shape_id],Trip[shape_id],"Não encontrado")</f>
        <v/>
      </c>
      <c r="B25363" s="43" t="n">
        <v>-23.525995</v>
      </c>
      <c r="C25363" s="43" t="n">
        <v>-46.685032</v>
      </c>
      <c r="D25363" s="43" t="n">
        <v>33</v>
      </c>
      <c r="E25363" s="44" t="n">
        <v>1097.2317</v>
      </c>
    </row>
    <row r="25364">
      <c r="A25364" s="39">
        <f>_xlfn.XLOOKUP(86250,Trip[shape_id],Trip[shape_id],"Não encontrado")</f>
        <v/>
      </c>
      <c r="B25364" s="40" t="n">
        <v>-23.525894</v>
      </c>
      <c r="C25364" s="40" t="n">
        <v>-46.685113</v>
      </c>
      <c r="D25364" s="40" t="n">
        <v>34</v>
      </c>
      <c r="E25364" s="41" t="n">
        <v>1111.144</v>
      </c>
    </row>
    <row r="25365">
      <c r="A25365" s="42">
        <f>_xlfn.XLOOKUP(86250,Trip[shape_id],Trip[shape_id],"Não encontrado")</f>
        <v/>
      </c>
      <c r="B25365" s="43" t="n">
        <v>-23.525746</v>
      </c>
      <c r="C25365" s="43" t="n">
        <v>-46.685213</v>
      </c>
      <c r="D25365" s="43" t="n">
        <v>35</v>
      </c>
      <c r="E25365" s="44" t="n">
        <v>1130.4563</v>
      </c>
    </row>
    <row r="25366">
      <c r="A25366" s="39">
        <f>_xlfn.XLOOKUP(86250,Trip[shape_id],Trip[shape_id],"Não encontrado")</f>
        <v/>
      </c>
      <c r="B25366" s="40" t="n">
        <v>-23.524691</v>
      </c>
      <c r="C25366" s="40" t="n">
        <v>-46.685878</v>
      </c>
      <c r="D25366" s="40" t="n">
        <v>36</v>
      </c>
      <c r="E25366" s="41" t="n">
        <v>1265.6011</v>
      </c>
    </row>
    <row r="25367">
      <c r="A25367" s="42">
        <f>_xlfn.XLOOKUP(86250,Trip[shape_id],Trip[shape_id],"Não encontrado")</f>
        <v/>
      </c>
      <c r="B25367" s="43" t="n">
        <v>-23.524391</v>
      </c>
      <c r="C25367" s="43" t="n">
        <v>-46.686058</v>
      </c>
      <c r="D25367" s="43" t="n">
        <v>37</v>
      </c>
      <c r="E25367" s="44" t="n">
        <v>1303.5725</v>
      </c>
    </row>
    <row r="25368">
      <c r="A25368" s="39">
        <f>_xlfn.XLOOKUP(86250,Trip[shape_id],Trip[shape_id],"Não encontrado")</f>
        <v/>
      </c>
      <c r="B25368" s="40" t="n">
        <v>-23.524056</v>
      </c>
      <c r="C25368" s="40" t="n">
        <v>-46.686254</v>
      </c>
      <c r="D25368" s="40" t="n">
        <v>38</v>
      </c>
      <c r="E25368" s="41" t="n">
        <v>1345.7291</v>
      </c>
    </row>
    <row r="25369">
      <c r="A25369" s="42">
        <f>_xlfn.XLOOKUP(86250,Trip[shape_id],Trip[shape_id],"Não encontrado")</f>
        <v/>
      </c>
      <c r="B25369" s="43" t="n">
        <v>-23.523806</v>
      </c>
      <c r="C25369" s="43" t="n">
        <v>-46.68639</v>
      </c>
      <c r="D25369" s="43" t="n">
        <v>39</v>
      </c>
      <c r="E25369" s="44" t="n">
        <v>1376.705</v>
      </c>
    </row>
    <row r="25370">
      <c r="A25370" s="39">
        <f>_xlfn.XLOOKUP(86250,Trip[shape_id],Trip[shape_id],"Não encontrado")</f>
        <v/>
      </c>
      <c r="B25370" s="40" t="n">
        <v>-23.523146</v>
      </c>
      <c r="C25370" s="40" t="n">
        <v>-46.686757</v>
      </c>
      <c r="D25370" s="40" t="n">
        <v>40</v>
      </c>
      <c r="E25370" s="41" t="n">
        <v>1458.8494</v>
      </c>
    </row>
    <row r="25371">
      <c r="A25371" s="42">
        <f>_xlfn.XLOOKUP(86250,Trip[shape_id],Trip[shape_id],"Não encontrado")</f>
        <v/>
      </c>
      <c r="B25371" s="43" t="n">
        <v>-23.52282</v>
      </c>
      <c r="C25371" s="43" t="n">
        <v>-46.686936</v>
      </c>
      <c r="D25371" s="43" t="n">
        <v>41</v>
      </c>
      <c r="E25371" s="44" t="n">
        <v>1499.3181</v>
      </c>
    </row>
    <row r="25372">
      <c r="A25372" s="39">
        <f>_xlfn.XLOOKUP(86250,Trip[shape_id],Trip[shape_id],"Não encontrado")</f>
        <v/>
      </c>
      <c r="B25372" s="40" t="n">
        <v>-23.522615</v>
      </c>
      <c r="C25372" s="40" t="n">
        <v>-46.687049</v>
      </c>
      <c r="D25372" s="40" t="n">
        <v>42</v>
      </c>
      <c r="E25372" s="41" t="n">
        <v>1524.7865</v>
      </c>
    </row>
    <row r="25373">
      <c r="A25373" s="42">
        <f>_xlfn.XLOOKUP(86250,Trip[shape_id],Trip[shape_id],"Não encontrado")</f>
        <v/>
      </c>
      <c r="B25373" s="43" t="n">
        <v>-23.522215</v>
      </c>
      <c r="C25373" s="43" t="n">
        <v>-46.687261</v>
      </c>
      <c r="D25373" s="43" t="n">
        <v>43</v>
      </c>
      <c r="E25373" s="44" t="n">
        <v>1574.0945</v>
      </c>
    </row>
    <row r="25374">
      <c r="A25374" s="39">
        <f>_xlfn.XLOOKUP(86250,Trip[shape_id],Trip[shape_id],"Não encontrado")</f>
        <v/>
      </c>
      <c r="B25374" s="40" t="n">
        <v>-23.521499</v>
      </c>
      <c r="C25374" s="40" t="n">
        <v>-46.687639</v>
      </c>
      <c r="D25374" s="40" t="n">
        <v>44</v>
      </c>
      <c r="E25374" s="41" t="n">
        <v>1662.2894</v>
      </c>
    </row>
    <row r="25375">
      <c r="A25375" s="42">
        <f>_xlfn.XLOOKUP(86250,Trip[shape_id],Trip[shape_id],"Não encontrado")</f>
        <v/>
      </c>
      <c r="B25375" s="43" t="n">
        <v>-23.520546</v>
      </c>
      <c r="C25375" s="43" t="n">
        <v>-46.68814</v>
      </c>
      <c r="D25375" s="43" t="n">
        <v>45</v>
      </c>
      <c r="E25375" s="44" t="n">
        <v>1779.583</v>
      </c>
    </row>
    <row r="25376">
      <c r="A25376" s="39">
        <f>_xlfn.XLOOKUP(86250,Trip[shape_id],Trip[shape_id],"Não encontrado")</f>
        <v/>
      </c>
      <c r="B25376" s="40" t="n">
        <v>-23.518039</v>
      </c>
      <c r="C25376" s="40" t="n">
        <v>-46.689422</v>
      </c>
      <c r="D25376" s="40" t="n">
        <v>46</v>
      </c>
      <c r="E25376" s="41" t="n">
        <v>2086.5571</v>
      </c>
    </row>
    <row r="25377">
      <c r="A25377" s="42">
        <f>_xlfn.XLOOKUP(86250,Trip[shape_id],Trip[shape_id],"Não encontrado")</f>
        <v/>
      </c>
      <c r="B25377" s="43" t="n">
        <v>-23.516715</v>
      </c>
      <c r="C25377" s="43" t="n">
        <v>-46.690118</v>
      </c>
      <c r="D25377" s="43" t="n">
        <v>47</v>
      </c>
      <c r="E25377" s="44" t="n">
        <v>2249.5117</v>
      </c>
    </row>
    <row r="25378">
      <c r="A25378" s="39">
        <f>_xlfn.XLOOKUP(86250,Trip[shape_id],Trip[shape_id],"Não encontrado")</f>
        <v/>
      </c>
      <c r="B25378" s="40" t="n">
        <v>-23.515999</v>
      </c>
      <c r="C25378" s="40" t="n">
        <v>-46.690515</v>
      </c>
      <c r="D25378" s="40" t="n">
        <v>48</v>
      </c>
      <c r="E25378" s="41" t="n">
        <v>2338.5737</v>
      </c>
    </row>
    <row r="25379">
      <c r="A25379" s="42">
        <f>_xlfn.XLOOKUP(86250,Trip[shape_id],Trip[shape_id],"Não encontrado")</f>
        <v/>
      </c>
      <c r="B25379" s="43" t="n">
        <v>-23.515237</v>
      </c>
      <c r="C25379" s="43" t="n">
        <v>-46.690959</v>
      </c>
      <c r="D25379" s="43" t="n">
        <v>49</v>
      </c>
      <c r="E25379" s="44" t="n">
        <v>2434.3772</v>
      </c>
    </row>
    <row r="25380">
      <c r="A25380" s="39">
        <f>_xlfn.XLOOKUP(86250,Trip[shape_id],Trip[shape_id],"Não encontrado")</f>
        <v/>
      </c>
      <c r="B25380" s="40" t="n">
        <v>-23.514553</v>
      </c>
      <c r="C25380" s="40" t="n">
        <v>-46.691373</v>
      </c>
      <c r="D25380" s="40" t="n">
        <v>50</v>
      </c>
      <c r="E25380" s="41" t="n">
        <v>2521.1318</v>
      </c>
    </row>
    <row r="25381">
      <c r="A25381" s="42">
        <f>_xlfn.XLOOKUP(86250,Trip[shape_id],Trip[shape_id],"Não encontrado")</f>
        <v/>
      </c>
      <c r="B25381" s="43" t="n">
        <v>-23.514075</v>
      </c>
      <c r="C25381" s="43" t="n">
        <v>-46.691673</v>
      </c>
      <c r="D25381" s="43" t="n">
        <v>51</v>
      </c>
      <c r="E25381" s="44" t="n">
        <v>2582.2981</v>
      </c>
    </row>
    <row r="25382">
      <c r="A25382" s="39">
        <f>_xlfn.XLOOKUP(86250,Trip[shape_id],Trip[shape_id],"Não encontrado")</f>
        <v/>
      </c>
      <c r="B25382" s="40" t="n">
        <v>-23.513849</v>
      </c>
      <c r="C25382" s="40" t="n">
        <v>-46.691807</v>
      </c>
      <c r="D25382" s="40" t="n">
        <v>52</v>
      </c>
      <c r="E25382" s="41" t="n">
        <v>2610.825</v>
      </c>
    </row>
    <row r="25383">
      <c r="A25383" s="42">
        <f>_xlfn.XLOOKUP(86250,Trip[shape_id],Trip[shape_id],"Não encontrado")</f>
        <v/>
      </c>
      <c r="B25383" s="43" t="n">
        <v>-23.513427</v>
      </c>
      <c r="C25383" s="43" t="n">
        <v>-46.69205</v>
      </c>
      <c r="D25383" s="43" t="n">
        <v>53</v>
      </c>
      <c r="E25383" s="44" t="n">
        <v>2663.7427</v>
      </c>
    </row>
    <row r="25384">
      <c r="A25384" s="39">
        <f>_xlfn.XLOOKUP(86250,Trip[shape_id],Trip[shape_id],"Não encontrado")</f>
        <v/>
      </c>
      <c r="B25384" s="40" t="n">
        <v>-23.512817</v>
      </c>
      <c r="C25384" s="40" t="n">
        <v>-46.692382</v>
      </c>
      <c r="D25384" s="40" t="n">
        <v>54</v>
      </c>
      <c r="E25384" s="41" t="n">
        <v>2739.3325</v>
      </c>
    </row>
    <row r="25385">
      <c r="A25385" s="42">
        <f>_xlfn.XLOOKUP(86250,Trip[shape_id],Trip[shape_id],"Não encontrado")</f>
        <v/>
      </c>
      <c r="B25385" s="43" t="n">
        <v>-23.512409</v>
      </c>
      <c r="C25385" s="43" t="n">
        <v>-46.692599</v>
      </c>
      <c r="D25385" s="43" t="n">
        <v>55</v>
      </c>
      <c r="E25385" s="44" t="n">
        <v>2789.6614</v>
      </c>
    </row>
    <row r="25386">
      <c r="A25386" s="39">
        <f>_xlfn.XLOOKUP(86250,Trip[shape_id],Trip[shape_id],"Não encontrado")</f>
        <v/>
      </c>
      <c r="B25386" s="40" t="n">
        <v>-23.51148</v>
      </c>
      <c r="C25386" s="40" t="n">
        <v>-46.693004</v>
      </c>
      <c r="D25386" s="40" t="n">
        <v>56</v>
      </c>
      <c r="E25386" s="41" t="n">
        <v>2900.5525</v>
      </c>
    </row>
    <row r="25387">
      <c r="A25387" s="42">
        <f>_xlfn.XLOOKUP(86250,Trip[shape_id],Trip[shape_id],"Não encontrado")</f>
        <v/>
      </c>
      <c r="B25387" s="43" t="n">
        <v>-23.510891</v>
      </c>
      <c r="C25387" s="43" t="n">
        <v>-46.693239</v>
      </c>
      <c r="D25387" s="43" t="n">
        <v>57</v>
      </c>
      <c r="E25387" s="44" t="n">
        <v>2970.0603</v>
      </c>
    </row>
    <row r="25388">
      <c r="A25388" s="39">
        <f>_xlfn.XLOOKUP(86250,Trip[shape_id],Trip[shape_id],"Não encontrado")</f>
        <v/>
      </c>
      <c r="B25388" s="40" t="n">
        <v>-23.510252</v>
      </c>
      <c r="C25388" s="40" t="n">
        <v>-46.693412</v>
      </c>
      <c r="D25388" s="40" t="n">
        <v>58</v>
      </c>
      <c r="E25388" s="41" t="n">
        <v>3043.0027</v>
      </c>
    </row>
    <row r="25389">
      <c r="A25389" s="42">
        <f>_xlfn.XLOOKUP(86250,Trip[shape_id],Trip[shape_id],"Não encontrado")</f>
        <v/>
      </c>
      <c r="B25389" s="43" t="n">
        <v>-23.509645</v>
      </c>
      <c r="C25389" s="43" t="n">
        <v>-46.693541</v>
      </c>
      <c r="D25389" s="43" t="n">
        <v>59</v>
      </c>
      <c r="E25389" s="44" t="n">
        <v>3111.5076</v>
      </c>
    </row>
    <row r="25390">
      <c r="A25390" s="39">
        <f>_xlfn.XLOOKUP(86250,Trip[shape_id],Trip[shape_id],"Não encontrado")</f>
        <v/>
      </c>
      <c r="B25390" s="40" t="n">
        <v>-23.509337</v>
      </c>
      <c r="C25390" s="40" t="n">
        <v>-46.69361</v>
      </c>
      <c r="D25390" s="40" t="n">
        <v>60</v>
      </c>
      <c r="E25390" s="41" t="n">
        <v>3146.3394</v>
      </c>
    </row>
    <row r="25391">
      <c r="A25391" s="42">
        <f>_xlfn.XLOOKUP(86250,Trip[shape_id],Trip[shape_id],"Não encontrado")</f>
        <v/>
      </c>
      <c r="B25391" s="43" t="n">
        <v>-23.509069</v>
      </c>
      <c r="C25391" s="43" t="n">
        <v>-46.693654</v>
      </c>
      <c r="D25391" s="43" t="n">
        <v>61</v>
      </c>
      <c r="E25391" s="44" t="n">
        <v>3176.3589</v>
      </c>
    </row>
    <row r="25392">
      <c r="A25392" s="39">
        <f>_xlfn.XLOOKUP(86250,Trip[shape_id],Trip[shape_id],"Não encontrado")</f>
        <v/>
      </c>
      <c r="B25392" s="40" t="n">
        <v>-23.508448</v>
      </c>
      <c r="C25392" s="40" t="n">
        <v>-46.693746</v>
      </c>
      <c r="D25392" s="40" t="n">
        <v>62</v>
      </c>
      <c r="E25392" s="41" t="n">
        <v>3245.7744</v>
      </c>
    </row>
    <row r="25393">
      <c r="A25393" s="42">
        <f>_xlfn.XLOOKUP(86250,Trip[shape_id],Trip[shape_id],"Não encontrado")</f>
        <v/>
      </c>
      <c r="B25393" s="43" t="n">
        <v>-23.508023</v>
      </c>
      <c r="C25393" s="43" t="n">
        <v>-46.693803</v>
      </c>
      <c r="D25393" s="43" t="n">
        <v>63</v>
      </c>
      <c r="E25393" s="44" t="n">
        <v>3293.2024</v>
      </c>
    </row>
    <row r="25394">
      <c r="A25394" s="39">
        <f>_xlfn.XLOOKUP(86250,Trip[shape_id],Trip[shape_id],"Não encontrado")</f>
        <v/>
      </c>
      <c r="B25394" s="40" t="n">
        <v>-23.507546</v>
      </c>
      <c r="C25394" s="40" t="n">
        <v>-46.693845</v>
      </c>
      <c r="D25394" s="40" t="n">
        <v>64</v>
      </c>
      <c r="E25394" s="41" t="n">
        <v>3346.2046</v>
      </c>
    </row>
    <row r="25395">
      <c r="A25395" s="42">
        <f>_xlfn.XLOOKUP(86250,Trip[shape_id],Trip[shape_id],"Não encontrado")</f>
        <v/>
      </c>
      <c r="B25395" s="43" t="n">
        <v>-23.507034</v>
      </c>
      <c r="C25395" s="43" t="n">
        <v>-46.693875</v>
      </c>
      <c r="D25395" s="43" t="n">
        <v>65</v>
      </c>
      <c r="E25395" s="44" t="n">
        <v>3402.9919</v>
      </c>
    </row>
    <row r="25396">
      <c r="A25396" s="39">
        <f>_xlfn.XLOOKUP(86250,Trip[shape_id],Trip[shape_id],"Não encontrado")</f>
        <v/>
      </c>
      <c r="B25396" s="40" t="n">
        <v>-23.506445</v>
      </c>
      <c r="C25396" s="40" t="n">
        <v>-46.693909</v>
      </c>
      <c r="D25396" s="40" t="n">
        <v>66</v>
      </c>
      <c r="E25396" s="41" t="n">
        <v>3468.3167</v>
      </c>
    </row>
    <row r="25397">
      <c r="A25397" s="42">
        <f>_xlfn.XLOOKUP(86250,Trip[shape_id],Trip[shape_id],"Não encontrado")</f>
        <v/>
      </c>
      <c r="B25397" s="43" t="n">
        <v>-23.504487</v>
      </c>
      <c r="C25397" s="43" t="n">
        <v>-46.693936</v>
      </c>
      <c r="D25397" s="43" t="n">
        <v>67</v>
      </c>
      <c r="E25397" s="44" t="n">
        <v>3685.1848</v>
      </c>
    </row>
    <row r="25398">
      <c r="A25398" s="39">
        <f>_xlfn.XLOOKUP(86250,Trip[shape_id],Trip[shape_id],"Não encontrado")</f>
        <v/>
      </c>
      <c r="B25398" s="40" t="n">
        <v>-23.503119</v>
      </c>
      <c r="C25398" s="40" t="n">
        <v>-46.693892</v>
      </c>
      <c r="D25398" s="40" t="n">
        <v>68</v>
      </c>
      <c r="E25398" s="41" t="n">
        <v>3836.759</v>
      </c>
    </row>
    <row r="25399">
      <c r="A25399" s="42">
        <f>_xlfn.XLOOKUP(86250,Trip[shape_id],Trip[shape_id],"Não encontrado")</f>
        <v/>
      </c>
      <c r="B25399" s="43" t="n">
        <v>-23.50175</v>
      </c>
      <c r="C25399" s="43" t="n">
        <v>-46.693714</v>
      </c>
      <c r="D25399" s="43" t="n">
        <v>69</v>
      </c>
      <c r="E25399" s="44" t="n">
        <v>3989.4634</v>
      </c>
    </row>
    <row r="25400">
      <c r="A25400" s="39">
        <f>_xlfn.XLOOKUP(86250,Trip[shape_id],Trip[shape_id],"Não encontrado")</f>
        <v/>
      </c>
      <c r="B25400" s="40" t="n">
        <v>-23.501043</v>
      </c>
      <c r="C25400" s="40" t="n">
        <v>-46.693551</v>
      </c>
      <c r="D25400" s="40" t="n">
        <v>70</v>
      </c>
      <c r="E25400" s="41" t="n">
        <v>4069.5149</v>
      </c>
    </row>
    <row r="25401">
      <c r="A25401" s="42">
        <f>_xlfn.XLOOKUP(86250,Trip[shape_id],Trip[shape_id],"Não encontrado")</f>
        <v/>
      </c>
      <c r="B25401" s="43" t="n">
        <v>-23.500574</v>
      </c>
      <c r="C25401" s="43" t="n">
        <v>-46.693415</v>
      </c>
      <c r="D25401" s="43" t="n">
        <v>71</v>
      </c>
      <c r="E25401" s="44" t="n">
        <v>4123.2827</v>
      </c>
    </row>
    <row r="25402">
      <c r="A25402" s="39">
        <f>_xlfn.XLOOKUP(86250,Trip[shape_id],Trip[shape_id],"Não encontrado")</f>
        <v/>
      </c>
      <c r="B25402" s="40" t="n">
        <v>-23.499965</v>
      </c>
      <c r="C25402" s="40" t="n">
        <v>-46.693335</v>
      </c>
      <c r="D25402" s="40" t="n">
        <v>72</v>
      </c>
      <c r="E25402" s="41" t="n">
        <v>4191.2231</v>
      </c>
    </row>
    <row r="25403">
      <c r="A25403" s="42">
        <f>_xlfn.XLOOKUP(86250,Trip[shape_id],Trip[shape_id],"Não encontrado")</f>
        <v/>
      </c>
      <c r="B25403" s="43" t="n">
        <v>-23.499323</v>
      </c>
      <c r="C25403" s="43" t="n">
        <v>-46.693259</v>
      </c>
      <c r="D25403" s="43" t="n">
        <v>73</v>
      </c>
      <c r="E25403" s="44" t="n">
        <v>4262.7476</v>
      </c>
    </row>
    <row r="25404">
      <c r="A25404" s="39">
        <f>_xlfn.XLOOKUP(86250,Trip[shape_id],Trip[shape_id],"Não encontrado")</f>
        <v/>
      </c>
      <c r="B25404" s="40" t="n">
        <v>-23.498895</v>
      </c>
      <c r="C25404" s="40" t="n">
        <v>-46.693201</v>
      </c>
      <c r="D25404" s="40" t="n">
        <v>74</v>
      </c>
      <c r="E25404" s="41" t="n">
        <v>4310.5176</v>
      </c>
    </row>
    <row r="25405">
      <c r="A25405" s="42">
        <f>_xlfn.XLOOKUP(86250,Trip[shape_id],Trip[shape_id],"Não encontrado")</f>
        <v/>
      </c>
      <c r="B25405" s="43" t="n">
        <v>-23.497958</v>
      </c>
      <c r="C25405" s="43" t="n">
        <v>-46.693018</v>
      </c>
      <c r="D25405" s="43" t="n">
        <v>75</v>
      </c>
      <c r="E25405" s="44" t="n">
        <v>4415.9614</v>
      </c>
    </row>
    <row r="25406">
      <c r="A25406" s="39">
        <f>_xlfn.XLOOKUP(86250,Trip[shape_id],Trip[shape_id],"Não encontrado")</f>
        <v/>
      </c>
      <c r="B25406" s="40" t="n">
        <v>-23.49744</v>
      </c>
      <c r="C25406" s="40" t="n">
        <v>-46.692921</v>
      </c>
      <c r="D25406" s="40" t="n">
        <v>76</v>
      </c>
      <c r="E25406" s="41" t="n">
        <v>4474.1797</v>
      </c>
    </row>
    <row r="25407">
      <c r="A25407" s="42">
        <f>_xlfn.XLOOKUP(86250,Trip[shape_id],Trip[shape_id],"Não encontrado")</f>
        <v/>
      </c>
      <c r="B25407" s="43" t="n">
        <v>-23.497211</v>
      </c>
      <c r="C25407" s="43" t="n">
        <v>-46.692865</v>
      </c>
      <c r="D25407" s="43" t="n">
        <v>77</v>
      </c>
      <c r="E25407" s="44" t="n">
        <v>4500.1787</v>
      </c>
    </row>
    <row r="25408">
      <c r="A25408" s="39">
        <f>_xlfn.XLOOKUP(86250,Trip[shape_id],Trip[shape_id],"Não encontrado")</f>
        <v/>
      </c>
      <c r="B25408" s="40" t="n">
        <v>-23.497036</v>
      </c>
      <c r="C25408" s="40" t="n">
        <v>-46.692833</v>
      </c>
      <c r="D25408" s="40" t="n">
        <v>78</v>
      </c>
      <c r="E25408" s="41" t="n">
        <v>4519.834</v>
      </c>
    </row>
    <row r="25409">
      <c r="A25409" s="42">
        <f>_xlfn.XLOOKUP(86250,Trip[shape_id],Trip[shape_id],"Não encontrado")</f>
        <v/>
      </c>
      <c r="B25409" s="43" t="n">
        <v>-23.49653</v>
      </c>
      <c r="C25409" s="43" t="n">
        <v>-46.692654</v>
      </c>
      <c r="D25409" s="43" t="n">
        <v>79</v>
      </c>
      <c r="E25409" s="44" t="n">
        <v>4578.7813</v>
      </c>
    </row>
    <row r="25410">
      <c r="A25410" s="39">
        <f>_xlfn.XLOOKUP(86250,Trip[shape_id],Trip[shape_id],"Não encontrado")</f>
        <v/>
      </c>
      <c r="B25410" s="40" t="n">
        <v>-23.495638</v>
      </c>
      <c r="C25410" s="40" t="n">
        <v>-46.692366</v>
      </c>
      <c r="D25410" s="40" t="n">
        <v>80</v>
      </c>
      <c r="E25410" s="41" t="n">
        <v>4681.8579</v>
      </c>
    </row>
    <row r="25411">
      <c r="A25411" s="42">
        <f>_xlfn.XLOOKUP(86250,Trip[shape_id],Trip[shape_id],"Não encontrado")</f>
        <v/>
      </c>
      <c r="B25411" s="43" t="n">
        <v>-23.495002</v>
      </c>
      <c r="C25411" s="43" t="n">
        <v>-46.69216</v>
      </c>
      <c r="D25411" s="43" t="n">
        <v>81</v>
      </c>
      <c r="E25411" s="44" t="n">
        <v>4755.3711</v>
      </c>
    </row>
    <row r="25412">
      <c r="A25412" s="39">
        <f>_xlfn.XLOOKUP(86250,Trip[shape_id],Trip[shape_id],"Não encontrado")</f>
        <v/>
      </c>
      <c r="B25412" s="40" t="n">
        <v>-23.49443</v>
      </c>
      <c r="C25412" s="40" t="n">
        <v>-46.691872</v>
      </c>
      <c r="D25412" s="40" t="n">
        <v>82</v>
      </c>
      <c r="E25412" s="41" t="n">
        <v>4825.2178</v>
      </c>
    </row>
    <row r="25413">
      <c r="A25413" s="45">
        <f>_xlfn.XLOOKUP(86250,Trip[shape_id],Trip[shape_id],"Não encontrado")</f>
        <v/>
      </c>
      <c r="B25413" s="46" t="n">
        <v>-23.493591</v>
      </c>
      <c r="C25413" s="46" t="n">
        <v>-46.691426</v>
      </c>
      <c r="D25413" s="46" t="n">
        <v>83</v>
      </c>
      <c r="E25413" s="47" t="n">
        <v>4928.7046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77"/>
  <sheetViews>
    <sheetView tabSelected="1" workbookViewId="0">
      <selection activeCell="L10" sqref="L10"/>
    </sheetView>
  </sheetViews>
  <sheetFormatPr baseColWidth="8" defaultRowHeight="15"/>
  <cols>
    <col width="12.5703125" bestFit="1" customWidth="1" min="1" max="1"/>
    <col width="13.85546875" bestFit="1" customWidth="1" min="2" max="2"/>
    <col width="17.28515625" bestFit="1" customWidth="1" min="3" max="3"/>
    <col width="10" bestFit="1" customWidth="1" min="4" max="4"/>
    <col width="17.140625" bestFit="1" customWidth="1" min="5" max="5"/>
  </cols>
  <sheetData>
    <row r="1" ht="15.75" customHeight="1" thickBot="1">
      <c r="A1" s="48" t="inlineStr">
        <is>
          <t>trip_id</t>
        </is>
      </c>
      <c r="B1" s="49" t="inlineStr">
        <is>
          <t>arrival_time</t>
        </is>
      </c>
      <c r="C1" s="49" t="inlineStr">
        <is>
          <t>departure_time</t>
        </is>
      </c>
      <c r="D1" s="49" t="inlineStr">
        <is>
          <t>stop_id</t>
        </is>
      </c>
      <c r="E1" s="50" t="inlineStr">
        <is>
          <t>stop_sequence</t>
        </is>
      </c>
    </row>
    <row r="2" ht="15.75" customHeight="1" thickTop="1">
      <c r="A2">
        <f>_xlfn.XLOOKUP("118C-10-0",Trip[trip_id],Trip[trip_id],"Não encontrado")</f>
        <v/>
      </c>
      <c r="B2" s="53" t="n">
        <v>0.25</v>
      </c>
      <c r="C2" s="53" t="n">
        <v>0.25</v>
      </c>
      <c r="D2">
        <f>_xlfn.XLOOKUP(130001421,Stops[stop_id],Stops[stop_id],"Não encontrado")</f>
        <v/>
      </c>
      <c r="E2" t="n">
        <v>1</v>
      </c>
    </row>
    <row r="3">
      <c r="A3">
        <f>_xlfn.XLOOKUP("118C-10-0",Trip[trip_id],Trip[trip_id],"Não encontrado")</f>
        <v/>
      </c>
      <c r="B3" s="53" t="n">
        <v>0.2512847222222222</v>
      </c>
      <c r="C3" s="53" t="n">
        <v>0.2512847222222222</v>
      </c>
      <c r="D3">
        <f>_xlfn.XLOOKUP(130001420,Stops[stop_id],Stops[stop_id],"Não encontrado")</f>
        <v/>
      </c>
      <c r="E3" t="n">
        <v>2</v>
      </c>
    </row>
    <row r="4">
      <c r="A4">
        <f>_xlfn.XLOOKUP("118C-10-0",Trip[trip_id],Trip[trip_id],"Não encontrado")</f>
        <v/>
      </c>
      <c r="B4" s="53" t="n">
        <v>0.2525694444444445</v>
      </c>
      <c r="C4" s="53" t="n">
        <v>0.2525694444444445</v>
      </c>
      <c r="D4">
        <f>_xlfn.XLOOKUP(130001424,Stops[stop_id],Stops[stop_id],"Não encontrado")</f>
        <v/>
      </c>
      <c r="E4" t="n">
        <v>3</v>
      </c>
    </row>
    <row r="5">
      <c r="A5">
        <f>_xlfn.XLOOKUP("118C-10-0",Trip[trip_id],Trip[trip_id],"Não encontrado")</f>
        <v/>
      </c>
      <c r="B5" s="53" t="n">
        <v>0.2538541666666667</v>
      </c>
      <c r="C5" s="53" t="n">
        <v>0.2538541666666667</v>
      </c>
      <c r="D5">
        <f>_xlfn.XLOOKUP(130001427,Stops[stop_id],Stops[stop_id],"Não encontrado")</f>
        <v/>
      </c>
      <c r="E5" t="n">
        <v>4</v>
      </c>
    </row>
    <row r="6">
      <c r="A6">
        <f>_xlfn.XLOOKUP("118C-10-0",Trip[trip_id],Trip[trip_id],"Não encontrado")</f>
        <v/>
      </c>
      <c r="B6" s="53" t="n">
        <v>0.2551388888888889</v>
      </c>
      <c r="C6" s="53" t="n">
        <v>0.2551388888888889</v>
      </c>
      <c r="D6">
        <f>_xlfn.XLOOKUP(130001428,Stops[stop_id],Stops[stop_id],"Não encontrado")</f>
        <v/>
      </c>
      <c r="E6" t="n">
        <v>5</v>
      </c>
    </row>
    <row r="7">
      <c r="A7">
        <f>_xlfn.XLOOKUP("118C-10-0",Trip[trip_id],Trip[trip_id],"Não encontrado")</f>
        <v/>
      </c>
      <c r="B7" s="53" t="n">
        <v>0.2564236111111111</v>
      </c>
      <c r="C7" s="53" t="n">
        <v>0.2564236111111111</v>
      </c>
      <c r="D7">
        <f>_xlfn.XLOOKUP(130001430,Stops[stop_id],Stops[stop_id],"Não encontrado")</f>
        <v/>
      </c>
      <c r="E7" t="n">
        <v>6</v>
      </c>
    </row>
    <row r="8">
      <c r="A8">
        <f>_xlfn.XLOOKUP("118C-10-0",Trip[trip_id],Trip[trip_id],"Não encontrado")</f>
        <v/>
      </c>
      <c r="B8" s="53" t="n">
        <v>0.2577083333333333</v>
      </c>
      <c r="C8" s="53" t="n">
        <v>0.2577083333333333</v>
      </c>
      <c r="D8">
        <f>_xlfn.XLOOKUP(130001435,Stops[stop_id],Stops[stop_id],"Não encontrado")</f>
        <v/>
      </c>
      <c r="E8" t="n">
        <v>7</v>
      </c>
    </row>
    <row r="9">
      <c r="A9">
        <f>_xlfn.XLOOKUP("118C-10-0",Trip[trip_id],Trip[trip_id],"Não encontrado")</f>
        <v/>
      </c>
      <c r="B9" s="53" t="n">
        <v>0.2589930555555556</v>
      </c>
      <c r="C9" s="53" t="n">
        <v>0.2589930555555556</v>
      </c>
      <c r="D9">
        <f>_xlfn.XLOOKUP(130001436,Stops[stop_id],Stops[stop_id],"Não encontrado")</f>
        <v/>
      </c>
      <c r="E9" t="n">
        <v>8</v>
      </c>
    </row>
    <row r="10">
      <c r="A10">
        <f>_xlfn.XLOOKUP("118C-10-0",Trip[trip_id],Trip[trip_id],"Não encontrado")</f>
        <v/>
      </c>
      <c r="B10" s="53" t="n">
        <v>0.2602777777777778</v>
      </c>
      <c r="C10" s="53" t="n">
        <v>0.2602777777777778</v>
      </c>
      <c r="D10">
        <f>_xlfn.XLOOKUP(130001452,Stops[stop_id],Stops[stop_id],"Não encontrado")</f>
        <v/>
      </c>
      <c r="E10" t="n">
        <v>9</v>
      </c>
    </row>
    <row r="11">
      <c r="A11">
        <f>_xlfn.XLOOKUP("118C-10-0",Trip[trip_id],Trip[trip_id],"Não encontrado")</f>
        <v/>
      </c>
      <c r="B11" s="53" t="n">
        <v>0.2615625</v>
      </c>
      <c r="C11" s="53" t="n">
        <v>0.2615625</v>
      </c>
      <c r="D11">
        <f>_xlfn.XLOOKUP(130001450,Stops[stop_id],Stops[stop_id],"Não encontrado")</f>
        <v/>
      </c>
      <c r="E11" t="n">
        <v>10</v>
      </c>
    </row>
    <row r="12">
      <c r="A12">
        <f>_xlfn.XLOOKUP("118C-10-0",Trip[trip_id],Trip[trip_id],"Não encontrado")</f>
        <v/>
      </c>
      <c r="B12" s="53" t="n">
        <v>0.2628472222222222</v>
      </c>
      <c r="C12" s="53" t="n">
        <v>0.2628472222222222</v>
      </c>
      <c r="D12">
        <f>_xlfn.XLOOKUP(130001447,Stops[stop_id],Stops[stop_id],"Não encontrado")</f>
        <v/>
      </c>
      <c r="E12" t="n">
        <v>11</v>
      </c>
    </row>
    <row r="13">
      <c r="A13">
        <f>_xlfn.XLOOKUP("118C-10-0",Trip[trip_id],Trip[trip_id],"Não encontrado")</f>
        <v/>
      </c>
      <c r="B13" s="53" t="n">
        <v>0.2641319444444444</v>
      </c>
      <c r="C13" s="53" t="n">
        <v>0.2641319444444444</v>
      </c>
      <c r="D13">
        <f>_xlfn.XLOOKUP(1313431,Stops[stop_id],Stops[stop_id],"Não encontrado")</f>
        <v/>
      </c>
      <c r="E13" t="n">
        <v>12</v>
      </c>
    </row>
    <row r="14">
      <c r="A14">
        <f>_xlfn.XLOOKUP("118C-10-0",Trip[trip_id],Trip[trip_id],"Não encontrado")</f>
        <v/>
      </c>
      <c r="B14" s="53" t="n">
        <v>0.2654166666666667</v>
      </c>
      <c r="C14" s="53" t="n">
        <v>0.2654166666666667</v>
      </c>
      <c r="D14">
        <f>_xlfn.XLOOKUP(130001445,Stops[stop_id],Stops[stop_id],"Não encontrado")</f>
        <v/>
      </c>
      <c r="E14" t="n">
        <v>13</v>
      </c>
    </row>
    <row r="15">
      <c r="A15">
        <f>_xlfn.XLOOKUP("118C-10-0",Trip[trip_id],Trip[trip_id],"Não encontrado")</f>
        <v/>
      </c>
      <c r="B15" s="53" t="n">
        <v>0.2667013888888889</v>
      </c>
      <c r="C15" s="53" t="n">
        <v>0.2667013888888889</v>
      </c>
      <c r="D15">
        <f>_xlfn.XLOOKUP(130001453,Stops[stop_id],Stops[stop_id],"Não encontrado")</f>
        <v/>
      </c>
      <c r="E15" t="n">
        <v>14</v>
      </c>
    </row>
    <row r="16">
      <c r="A16">
        <f>_xlfn.XLOOKUP("118C-10-0",Trip[trip_id],Trip[trip_id],"Não encontrado")</f>
        <v/>
      </c>
      <c r="B16" s="53" t="n">
        <v>0.2679861111111111</v>
      </c>
      <c r="C16" s="53" t="n">
        <v>0.2679861111111111</v>
      </c>
      <c r="D16">
        <f>_xlfn.XLOOKUP(1313408,Stops[stop_id],Stops[stop_id],"Não encontrado")</f>
        <v/>
      </c>
      <c r="E16" t="n">
        <v>15</v>
      </c>
    </row>
    <row r="17">
      <c r="A17">
        <f>_xlfn.XLOOKUP("118C-10-0",Trip[trip_id],Trip[trip_id],"Não encontrado")</f>
        <v/>
      </c>
      <c r="B17" s="53" t="n">
        <v>0.2692708333333333</v>
      </c>
      <c r="C17" s="53" t="n">
        <v>0.2692708333333333</v>
      </c>
      <c r="D17">
        <f>_xlfn.XLOOKUP(130001456,Stops[stop_id],Stops[stop_id],"Não encontrado")</f>
        <v/>
      </c>
      <c r="E17" t="n">
        <v>16</v>
      </c>
    </row>
    <row r="18">
      <c r="A18">
        <f>_xlfn.XLOOKUP("118C-10-0",Trip[trip_id],Trip[trip_id],"Não encontrado")</f>
        <v/>
      </c>
      <c r="B18" s="53" t="n">
        <v>0.2705555555555555</v>
      </c>
      <c r="C18" s="53" t="n">
        <v>0.2705555555555555</v>
      </c>
      <c r="D18">
        <f>_xlfn.XLOOKUP(130001617,Stops[stop_id],Stops[stop_id],"Não encontrado")</f>
        <v/>
      </c>
      <c r="E18" t="n">
        <v>17</v>
      </c>
    </row>
    <row r="19">
      <c r="A19">
        <f>_xlfn.XLOOKUP("118C-10-0",Trip[trip_id],Trip[trip_id],"Não encontrado")</f>
        <v/>
      </c>
      <c r="B19" s="53" t="n">
        <v>0.2718402777777778</v>
      </c>
      <c r="C19" s="53" t="n">
        <v>0.2718402777777778</v>
      </c>
      <c r="D19">
        <f>_xlfn.XLOOKUP(1313574,Stops[stop_id],Stops[stop_id],"Não encontrado")</f>
        <v/>
      </c>
      <c r="E19" t="n">
        <v>18</v>
      </c>
    </row>
    <row r="20">
      <c r="A20">
        <f>_xlfn.XLOOKUP("118C-10-0",Trip[trip_id],Trip[trip_id],"Não encontrado")</f>
        <v/>
      </c>
      <c r="B20" s="53" t="n">
        <v>0.273125</v>
      </c>
      <c r="C20" s="53" t="n">
        <v>0.273125</v>
      </c>
      <c r="D20">
        <f>_xlfn.XLOOKUP(1313576,Stops[stop_id],Stops[stop_id],"Não encontrado")</f>
        <v/>
      </c>
      <c r="E20" t="n">
        <v>19</v>
      </c>
    </row>
    <row r="21">
      <c r="A21">
        <f>_xlfn.XLOOKUP("118C-10-0",Trip[trip_id],Trip[trip_id],"Não encontrado")</f>
        <v/>
      </c>
      <c r="B21" s="53" t="n">
        <v>0.2744097222222222</v>
      </c>
      <c r="C21" s="53" t="n">
        <v>0.2744097222222222</v>
      </c>
      <c r="D21">
        <f>_xlfn.XLOOKUP(1313579,Stops[stop_id],Stops[stop_id],"Não encontrado")</f>
        <v/>
      </c>
      <c r="E21" t="n">
        <v>20</v>
      </c>
    </row>
    <row r="22">
      <c r="A22">
        <f>_xlfn.XLOOKUP("118C-10-0",Trip[trip_id],Trip[trip_id],"Não encontrado")</f>
        <v/>
      </c>
      <c r="B22" s="53" t="n">
        <v>0.2756944444444445</v>
      </c>
      <c r="C22" s="53" t="n">
        <v>0.2756944444444445</v>
      </c>
      <c r="D22">
        <f>_xlfn.XLOOKUP(130001620,Stops[stop_id],Stops[stop_id],"Não encontrado")</f>
        <v/>
      </c>
      <c r="E22" t="n">
        <v>21</v>
      </c>
    </row>
    <row r="23">
      <c r="A23">
        <f>_xlfn.XLOOKUP("118C-10-0",Trip[trip_id],Trip[trip_id],"Não encontrado")</f>
        <v/>
      </c>
      <c r="B23" s="53" t="n">
        <v>0.2769791666666667</v>
      </c>
      <c r="C23" s="53" t="n">
        <v>0.2769791666666667</v>
      </c>
      <c r="D23">
        <f>_xlfn.XLOOKUP(130001524,Stops[stop_id],Stops[stop_id],"Não encontrado")</f>
        <v/>
      </c>
      <c r="E23" t="n">
        <v>22</v>
      </c>
    </row>
    <row r="24">
      <c r="A24">
        <f>_xlfn.XLOOKUP("118C-10-0",Trip[trip_id],Trip[trip_id],"Não encontrado")</f>
        <v/>
      </c>
      <c r="B24" s="53" t="n">
        <v>0.2782638888888889</v>
      </c>
      <c r="C24" s="53" t="n">
        <v>0.2782638888888889</v>
      </c>
      <c r="D24">
        <f>_xlfn.XLOOKUP(130001527,Stops[stop_id],Stops[stop_id],"Não encontrado")</f>
        <v/>
      </c>
      <c r="E24" t="n">
        <v>23</v>
      </c>
    </row>
    <row r="25">
      <c r="A25">
        <f>_xlfn.XLOOKUP("118C-10-0",Trip[trip_id],Trip[trip_id],"Não encontrado")</f>
        <v/>
      </c>
      <c r="B25" s="53" t="n">
        <v>0.2795486111111111</v>
      </c>
      <c r="C25" s="53" t="n">
        <v>0.2795486111111111</v>
      </c>
      <c r="D25">
        <f>_xlfn.XLOOKUP(510001529,Stops[stop_id],Stops[stop_id],"Não encontrado")</f>
        <v/>
      </c>
      <c r="E25" t="n">
        <v>24</v>
      </c>
    </row>
    <row r="26">
      <c r="A26">
        <f>_xlfn.XLOOKUP("118C-10-0",Trip[trip_id],Trip[trip_id],"Não encontrado")</f>
        <v/>
      </c>
      <c r="B26" s="53" t="n">
        <v>0.2808333333333333</v>
      </c>
      <c r="C26" s="53" t="n">
        <v>0.2808333333333333</v>
      </c>
      <c r="D26">
        <f>_xlfn.XLOOKUP(5113473,Stops[stop_id],Stops[stop_id],"Não encontrado")</f>
        <v/>
      </c>
      <c r="E26" t="n">
        <v>25</v>
      </c>
    </row>
    <row r="27">
      <c r="A27">
        <f>_xlfn.XLOOKUP("118C-10-0",Trip[trip_id],Trip[trip_id],"Não encontrado")</f>
        <v/>
      </c>
      <c r="B27" s="53" t="n">
        <v>0.2821180555555556</v>
      </c>
      <c r="C27" s="53" t="n">
        <v>0.2821180555555556</v>
      </c>
      <c r="D27">
        <f>_xlfn.XLOOKUP(5112817,Stops[stop_id],Stops[stop_id],"Não encontrado")</f>
        <v/>
      </c>
      <c r="E27" t="n">
        <v>26</v>
      </c>
    </row>
    <row r="28">
      <c r="A28">
        <f>_xlfn.XLOOKUP("118C-10-0",Trip[trip_id],Trip[trip_id],"Não encontrado")</f>
        <v/>
      </c>
      <c r="B28" s="53" t="n">
        <v>0.2834027777777778</v>
      </c>
      <c r="C28" s="53" t="n">
        <v>0.2834027777777778</v>
      </c>
      <c r="D28">
        <f>_xlfn.XLOOKUP(510001670,Stops[stop_id],Stops[stop_id],"Não encontrado")</f>
        <v/>
      </c>
      <c r="E28" t="n">
        <v>27</v>
      </c>
    </row>
    <row r="29">
      <c r="A29">
        <f>_xlfn.XLOOKUP("118C-10-0",Trip[trip_id],Trip[trip_id],"Não encontrado")</f>
        <v/>
      </c>
      <c r="B29" s="53" t="n">
        <v>0.2846875</v>
      </c>
      <c r="C29" s="53" t="n">
        <v>0.2846875</v>
      </c>
      <c r="D29">
        <f>_xlfn.XLOOKUP(510001669,Stops[stop_id],Stops[stop_id],"Não encontrado")</f>
        <v/>
      </c>
      <c r="E29" t="n">
        <v>28</v>
      </c>
    </row>
    <row r="30">
      <c r="A30">
        <f>_xlfn.XLOOKUP("118C-10-0",Trip[trip_id],Trip[trip_id],"Não encontrado")</f>
        <v/>
      </c>
      <c r="B30" s="53" t="n">
        <v>0.2859722222222222</v>
      </c>
      <c r="C30" s="53" t="n">
        <v>0.2859722222222222</v>
      </c>
      <c r="D30">
        <f>_xlfn.XLOOKUP(510001666,Stops[stop_id],Stops[stop_id],"Não encontrado")</f>
        <v/>
      </c>
      <c r="E30" t="n">
        <v>29</v>
      </c>
    </row>
    <row r="31">
      <c r="A31">
        <f>_xlfn.XLOOKUP("118C-10-0",Trip[trip_id],Trip[trip_id],"Não encontrado")</f>
        <v/>
      </c>
      <c r="B31" s="53" t="n">
        <v>0.2872569444444444</v>
      </c>
      <c r="C31" s="53" t="n">
        <v>0.2872569444444444</v>
      </c>
      <c r="D31">
        <f>_xlfn.XLOOKUP(510001932,Stops[stop_id],Stops[stop_id],"Não encontrado")</f>
        <v/>
      </c>
      <c r="E31" t="n">
        <v>30</v>
      </c>
    </row>
    <row r="32">
      <c r="A32">
        <f>_xlfn.XLOOKUP("118C-10-0",Trip[trip_id],Trip[trip_id],"Não encontrado")</f>
        <v/>
      </c>
      <c r="B32" s="53" t="n">
        <v>0.2885416666666666</v>
      </c>
      <c r="C32" s="53" t="n">
        <v>0.2885416666666666</v>
      </c>
      <c r="D32">
        <f>_xlfn.XLOOKUP(510001934,Stops[stop_id],Stops[stop_id],"Não encontrado")</f>
        <v/>
      </c>
      <c r="E32" t="n">
        <v>31</v>
      </c>
    </row>
    <row r="33">
      <c r="A33">
        <f>_xlfn.XLOOKUP("118C-10-0",Trip[trip_id],Trip[trip_id],"Não encontrado")</f>
        <v/>
      </c>
      <c r="B33" s="53" t="n">
        <v>0.2898263888888889</v>
      </c>
      <c r="C33" s="53" t="n">
        <v>0.2898263888888889</v>
      </c>
      <c r="D33">
        <f>_xlfn.XLOOKUP(510001696,Stops[stop_id],Stops[stop_id],"Não encontrado")</f>
        <v/>
      </c>
      <c r="E33" t="n">
        <v>32</v>
      </c>
    </row>
    <row r="34">
      <c r="A34">
        <f>_xlfn.XLOOKUP("118C-10-0",Trip[trip_id],Trip[trip_id],"Não encontrado")</f>
        <v/>
      </c>
      <c r="B34" s="53" t="n">
        <v>0.2911111111111111</v>
      </c>
      <c r="C34" s="53" t="n">
        <v>0.2911111111111111</v>
      </c>
      <c r="D34">
        <f>_xlfn.XLOOKUP(510001699,Stops[stop_id],Stops[stop_id],"Não encontrado")</f>
        <v/>
      </c>
      <c r="E34" t="n">
        <v>33</v>
      </c>
    </row>
    <row r="35">
      <c r="A35">
        <f>_xlfn.XLOOKUP("118C-10-0",Trip[trip_id],Trip[trip_id],"Não encontrado")</f>
        <v/>
      </c>
      <c r="B35" s="53" t="n">
        <v>0.2923958333333334</v>
      </c>
      <c r="C35" s="53" t="n">
        <v>0.2923958333333334</v>
      </c>
      <c r="D35">
        <f>_xlfn.XLOOKUP(510001700,Stops[stop_id],Stops[stop_id],"Não encontrado")</f>
        <v/>
      </c>
      <c r="E35" t="n">
        <v>34</v>
      </c>
    </row>
    <row r="36">
      <c r="A36">
        <f>_xlfn.XLOOKUP("118C-10-0",Trip[trip_id],Trip[trip_id],"Não encontrado")</f>
        <v/>
      </c>
      <c r="B36" s="53" t="n">
        <v>0.2936805555555556</v>
      </c>
      <c r="C36" s="53" t="n">
        <v>0.2936805555555556</v>
      </c>
      <c r="D36">
        <f>_xlfn.XLOOKUP(7112928,Stops[stop_id],Stops[stop_id],"Não encontrado")</f>
        <v/>
      </c>
      <c r="E36" t="n">
        <v>35</v>
      </c>
    </row>
    <row r="37">
      <c r="A37">
        <f>_xlfn.XLOOKUP("118C-10-0",Trip[trip_id],Trip[trip_id],"Não encontrado")</f>
        <v/>
      </c>
      <c r="B37" s="53" t="n">
        <v>0.2949652777777778</v>
      </c>
      <c r="C37" s="53" t="n">
        <v>0.2949652777777778</v>
      </c>
      <c r="D37">
        <f>_xlfn.XLOOKUP(710001703,Stops[stop_id],Stops[stop_id],"Não encontrado")</f>
        <v/>
      </c>
      <c r="E37" t="n">
        <v>36</v>
      </c>
    </row>
    <row r="38">
      <c r="A38">
        <f>_xlfn.XLOOKUP("118C-10-0",Trip[trip_id],Trip[trip_id],"Não encontrado")</f>
        <v/>
      </c>
      <c r="B38" s="53" t="n">
        <v>0.29625</v>
      </c>
      <c r="C38" s="53" t="n">
        <v>0.29625</v>
      </c>
      <c r="D38">
        <f>_xlfn.XLOOKUP(710001706,Stops[stop_id],Stops[stop_id],"Não encontrado")</f>
        <v/>
      </c>
      <c r="E38" t="n">
        <v>37</v>
      </c>
    </row>
    <row r="39">
      <c r="A39">
        <f>_xlfn.XLOOKUP("118C-10-0",Trip[trip_id],Trip[trip_id],"Não encontrado")</f>
        <v/>
      </c>
      <c r="B39" s="53" t="n">
        <v>0.2975347222222222</v>
      </c>
      <c r="C39" s="53" t="n">
        <v>0.2975347222222222</v>
      </c>
      <c r="D39">
        <f>_xlfn.XLOOKUP(710001707,Stops[stop_id],Stops[stop_id],"Não encontrado")</f>
        <v/>
      </c>
      <c r="E39" t="n">
        <v>38</v>
      </c>
    </row>
    <row r="40">
      <c r="A40">
        <f>_xlfn.XLOOKUP("118C-10-0",Trip[trip_id],Trip[trip_id],"Não encontrado")</f>
        <v/>
      </c>
      <c r="B40" s="53" t="n">
        <v>0.2988194444444445</v>
      </c>
      <c r="C40" s="53" t="n">
        <v>0.2988194444444445</v>
      </c>
      <c r="D40">
        <f>_xlfn.XLOOKUP(710002155,Stops[stop_id],Stops[stop_id],"Não encontrado")</f>
        <v/>
      </c>
      <c r="E40" t="n">
        <v>39</v>
      </c>
    </row>
    <row r="41">
      <c r="A41">
        <f>_xlfn.XLOOKUP("118C-10-0",Trip[trip_id],Trip[trip_id],"Não encontrado")</f>
        <v/>
      </c>
      <c r="B41" s="53" t="n">
        <v>0.3001041666666667</v>
      </c>
      <c r="C41" s="53" t="n">
        <v>0.3001041666666667</v>
      </c>
      <c r="D41">
        <f>_xlfn.XLOOKUP(710017220,Stops[stop_id],Stops[stop_id],"Não encontrado")</f>
        <v/>
      </c>
      <c r="E41" t="n">
        <v>40</v>
      </c>
    </row>
    <row r="42">
      <c r="A42">
        <f>_xlfn.XLOOKUP("118C-10-0",Trip[trip_id],Trip[trip_id],"Não encontrado")</f>
        <v/>
      </c>
      <c r="B42" s="53" t="n">
        <v>0.3013888888888889</v>
      </c>
      <c r="C42" s="53" t="n">
        <v>0.3013888888888889</v>
      </c>
      <c r="D42">
        <f>_xlfn.XLOOKUP(710002157,Stops[stop_id],Stops[stop_id],"Não encontrado")</f>
        <v/>
      </c>
      <c r="E42" t="n">
        <v>41</v>
      </c>
    </row>
    <row r="43">
      <c r="A43">
        <f>_xlfn.XLOOKUP("118C-10-0",Trip[trip_id],Trip[trip_id],"Não encontrado")</f>
        <v/>
      </c>
      <c r="B43" s="53" t="n">
        <v>0.3026736111111111</v>
      </c>
      <c r="C43" s="53" t="n">
        <v>0.3026736111111111</v>
      </c>
      <c r="D43">
        <f>_xlfn.XLOOKUP(7112974,Stops[stop_id],Stops[stop_id],"Não encontrado")</f>
        <v/>
      </c>
      <c r="E43" t="n">
        <v>42</v>
      </c>
    </row>
    <row r="44">
      <c r="A44">
        <f>_xlfn.XLOOKUP("118C-10-0",Trip[trip_id],Trip[trip_id],"Não encontrado")</f>
        <v/>
      </c>
      <c r="B44" s="53" t="n">
        <v>0.3039583333333333</v>
      </c>
      <c r="C44" s="53" t="n">
        <v>0.3039583333333333</v>
      </c>
      <c r="D44">
        <f>_xlfn.XLOOKUP(710000646,Stops[stop_id],Stops[stop_id],"Não encontrado")</f>
        <v/>
      </c>
      <c r="E44" t="n">
        <v>43</v>
      </c>
    </row>
    <row r="45">
      <c r="A45">
        <f>_xlfn.XLOOKUP("118C-10-0",Trip[trip_id],Trip[trip_id],"Não encontrado")</f>
        <v/>
      </c>
      <c r="B45" s="53" t="n">
        <v>0.3052430555555555</v>
      </c>
      <c r="C45" s="53" t="n">
        <v>0.3052430555555555</v>
      </c>
      <c r="D45">
        <f>_xlfn.XLOOKUP(710000636,Stops[stop_id],Stops[stop_id],"Não encontrado")</f>
        <v/>
      </c>
      <c r="E45" t="n">
        <v>44</v>
      </c>
    </row>
    <row r="46">
      <c r="A46">
        <f>_xlfn.XLOOKUP("118C-10-0",Trip[trip_id],Trip[trip_id],"Não encontrado")</f>
        <v/>
      </c>
      <c r="B46" s="53" t="n">
        <v>0.3065277777777778</v>
      </c>
      <c r="C46" s="53" t="n">
        <v>0.3065277777777778</v>
      </c>
      <c r="D46">
        <f>_xlfn.XLOOKUP(7113134,Stops[stop_id],Stops[stop_id],"Não encontrado")</f>
        <v/>
      </c>
      <c r="E46" t="n">
        <v>45</v>
      </c>
    </row>
    <row r="47">
      <c r="A47">
        <f>_xlfn.XLOOKUP("118C-10-0",Trip[trip_id],Trip[trip_id],"Não encontrado")</f>
        <v/>
      </c>
      <c r="B47" s="53" t="n">
        <v>0.3078125</v>
      </c>
      <c r="C47" s="53" t="n">
        <v>0.3078125</v>
      </c>
      <c r="D47">
        <f>_xlfn.XLOOKUP(710000969,Stops[stop_id],Stops[stop_id],"Não encontrado")</f>
        <v/>
      </c>
      <c r="E47" t="n">
        <v>46</v>
      </c>
    </row>
    <row r="48">
      <c r="A48">
        <f>_xlfn.XLOOKUP("118C-10-0",Trip[trip_id],Trip[trip_id],"Não encontrado")</f>
        <v/>
      </c>
      <c r="B48" s="53" t="n">
        <v>0.3090972222222222</v>
      </c>
      <c r="C48" s="53" t="n">
        <v>0.3090972222222222</v>
      </c>
      <c r="D48">
        <f>_xlfn.XLOOKUP(710017212,Stops[stop_id],Stops[stop_id],"Não encontrado")</f>
        <v/>
      </c>
      <c r="E48" t="n">
        <v>47</v>
      </c>
    </row>
    <row r="49">
      <c r="A49">
        <f>_xlfn.XLOOKUP("118C-10-0",Trip[trip_id],Trip[trip_id],"Não encontrado")</f>
        <v/>
      </c>
      <c r="B49" s="53" t="n">
        <v>0.3103819444444444</v>
      </c>
      <c r="C49" s="53" t="n">
        <v>0.3103819444444444</v>
      </c>
      <c r="D49">
        <f>_xlfn.XLOOKUP(710017213,Stops[stop_id],Stops[stop_id],"Não encontrado")</f>
        <v/>
      </c>
      <c r="E49" t="n">
        <v>48</v>
      </c>
    </row>
    <row r="50">
      <c r="A50">
        <f>_xlfn.XLOOKUP("118C-10-0",Trip[trip_id],Trip[trip_id],"Não encontrado")</f>
        <v/>
      </c>
      <c r="B50" s="53" t="n">
        <v>0.3116666666666666</v>
      </c>
      <c r="C50" s="53" t="n">
        <v>0.3116666666666666</v>
      </c>
      <c r="D50">
        <f>_xlfn.XLOOKUP(710000954,Stops[stop_id],Stops[stop_id],"Não encontrado")</f>
        <v/>
      </c>
      <c r="E50" t="n">
        <v>49</v>
      </c>
    </row>
    <row r="51">
      <c r="A51">
        <f>_xlfn.XLOOKUP("118C-10-0",Trip[trip_id],Trip[trip_id],"Não encontrado")</f>
        <v/>
      </c>
      <c r="B51" s="53" t="n">
        <v>0.3129513888888889</v>
      </c>
      <c r="C51" s="53" t="n">
        <v>0.3129513888888889</v>
      </c>
      <c r="D51">
        <f>_xlfn.XLOOKUP(8812651,Stops[stop_id],Stops[stop_id],"Não encontrado")</f>
        <v/>
      </c>
      <c r="E51" t="n">
        <v>50</v>
      </c>
    </row>
    <row r="52">
      <c r="A52">
        <f>_xlfn.XLOOKUP("118C-10-0",Trip[trip_id],Trip[trip_id],"Não encontrado")</f>
        <v/>
      </c>
      <c r="B52" s="53" t="n">
        <v>0.3142361111111111</v>
      </c>
      <c r="C52" s="53" t="n">
        <v>0.3142361111111111</v>
      </c>
      <c r="D52">
        <f>_xlfn.XLOOKUP(90013906,Stops[stop_id],Stops[stop_id],"Não encontrado")</f>
        <v/>
      </c>
      <c r="E52" t="n">
        <v>51</v>
      </c>
    </row>
    <row r="53">
      <c r="A53">
        <f>_xlfn.XLOOKUP("118C-10-0",Trip[trip_id],Trip[trip_id],"Não encontrado")</f>
        <v/>
      </c>
      <c r="B53" s="53" t="n">
        <v>0.3155208333333333</v>
      </c>
      <c r="C53" s="53" t="n">
        <v>0.3155208333333333</v>
      </c>
      <c r="D53">
        <f>_xlfn.XLOOKUP(90015086,Stops[stop_id],Stops[stop_id],"Não encontrado")</f>
        <v/>
      </c>
      <c r="E53" t="n">
        <v>52</v>
      </c>
    </row>
    <row r="54">
      <c r="A54">
        <f>_xlfn.XLOOKUP("118C-10-0",Trip[trip_id],Trip[trip_id],"Não encontrado")</f>
        <v/>
      </c>
      <c r="B54" s="53" t="n">
        <v>0.3168055555555556</v>
      </c>
      <c r="C54" s="53" t="n">
        <v>0.3168055555555556</v>
      </c>
      <c r="D54">
        <f>_xlfn.XLOOKUP(90011797,Stops[stop_id],Stops[stop_id],"Não encontrado")</f>
        <v/>
      </c>
      <c r="E54" t="n">
        <v>53</v>
      </c>
    </row>
    <row r="55">
      <c r="A55">
        <f>_xlfn.XLOOKUP("118C-10-0",Trip[trip_id],Trip[trip_id],"Não encontrado")</f>
        <v/>
      </c>
      <c r="B55" s="53" t="n">
        <v>0.3180902777777778</v>
      </c>
      <c r="C55" s="53" t="n">
        <v>0.3180902777777778</v>
      </c>
      <c r="D55">
        <f>_xlfn.XLOOKUP(90013939,Stops[stop_id],Stops[stop_id],"Não encontrado")</f>
        <v/>
      </c>
      <c r="E55" t="n">
        <v>54</v>
      </c>
    </row>
    <row r="56">
      <c r="A56">
        <f>_xlfn.XLOOKUP("118C-10-0",Trip[trip_id],Trip[trip_id],"Não encontrado")</f>
        <v/>
      </c>
      <c r="B56" s="53" t="n">
        <v>0.319375</v>
      </c>
      <c r="C56" s="53" t="n">
        <v>0.319375</v>
      </c>
      <c r="D56">
        <f>_xlfn.XLOOKUP(90013911,Stops[stop_id],Stops[stop_id],"Não encontrado")</f>
        <v/>
      </c>
      <c r="E56" t="n">
        <v>55</v>
      </c>
    </row>
    <row r="57">
      <c r="A57">
        <f>_xlfn.XLOOKUP("118C-10-0",Trip[trip_id],Trip[trip_id],"Não encontrado")</f>
        <v/>
      </c>
      <c r="B57" s="53" t="n">
        <v>0.3206597222222222</v>
      </c>
      <c r="C57" s="53" t="n">
        <v>0.3206597222222222</v>
      </c>
      <c r="D57">
        <f>_xlfn.XLOOKUP(90013912,Stops[stop_id],Stops[stop_id],"Não encontrado")</f>
        <v/>
      </c>
      <c r="E57" t="n">
        <v>56</v>
      </c>
    </row>
    <row r="58">
      <c r="A58">
        <f>_xlfn.XLOOKUP("118C-10-0",Trip[trip_id],Trip[trip_id],"Não encontrado")</f>
        <v/>
      </c>
      <c r="B58" s="53" t="n">
        <v>0.3219444444444444</v>
      </c>
      <c r="C58" s="53" t="n">
        <v>0.3219444444444444</v>
      </c>
      <c r="D58">
        <f>_xlfn.XLOOKUP(90013924,Stops[stop_id],Stops[stop_id],"Não encontrado")</f>
        <v/>
      </c>
      <c r="E58" t="n">
        <v>57</v>
      </c>
    </row>
    <row r="59">
      <c r="A59">
        <f>_xlfn.XLOOKUP("118C-10-0",Trip[trip_id],Trip[trip_id],"Não encontrado")</f>
        <v/>
      </c>
      <c r="B59" s="53" t="n">
        <v>0.3232291666666667</v>
      </c>
      <c r="C59" s="53" t="n">
        <v>0.3232291666666667</v>
      </c>
      <c r="D59">
        <f>_xlfn.XLOOKUP(7014516,Stops[stop_id],Stops[stop_id],"Não encontrado")</f>
        <v/>
      </c>
      <c r="E59" t="n">
        <v>58</v>
      </c>
    </row>
    <row r="60">
      <c r="A60">
        <f>_xlfn.XLOOKUP("118C-10-0",Trip[trip_id],Trip[trip_id],"Não encontrado")</f>
        <v/>
      </c>
      <c r="B60" s="53" t="n">
        <v>0.3245138888888889</v>
      </c>
      <c r="C60" s="53" t="n">
        <v>0.3245138888888889</v>
      </c>
      <c r="D60">
        <f>_xlfn.XLOOKUP(7014522,Stops[stop_id],Stops[stop_id],"Não encontrado")</f>
        <v/>
      </c>
      <c r="E60" t="n">
        <v>59</v>
      </c>
    </row>
    <row r="61">
      <c r="A61">
        <f>_xlfn.XLOOKUP("118C-10-0",Trip[trip_id],Trip[trip_id],"Não encontrado")</f>
        <v/>
      </c>
      <c r="B61" s="53" t="n">
        <v>0.3257986111111111</v>
      </c>
      <c r="C61" s="53" t="n">
        <v>0.3257986111111111</v>
      </c>
      <c r="D61">
        <f>_xlfn.XLOOKUP(7014508,Stops[stop_id],Stops[stop_id],"Não encontrado")</f>
        <v/>
      </c>
      <c r="E61" t="n">
        <v>60</v>
      </c>
    </row>
    <row r="62">
      <c r="A62">
        <f>_xlfn.XLOOKUP("118C-10-0",Trip[trip_id],Trip[trip_id],"Não encontrado")</f>
        <v/>
      </c>
      <c r="B62" s="53" t="n">
        <v>0.3270833333333333</v>
      </c>
      <c r="C62" s="53" t="n">
        <v>0.3270833333333333</v>
      </c>
      <c r="D62">
        <f>_xlfn.XLOOKUP(7014510,Stops[stop_id],Stops[stop_id],"Não encontrado")</f>
        <v/>
      </c>
      <c r="E62" t="n">
        <v>61</v>
      </c>
    </row>
    <row r="63">
      <c r="A63">
        <f>_xlfn.XLOOKUP("118C-10-0",Trip[trip_id],Trip[trip_id],"Não encontrado")</f>
        <v/>
      </c>
      <c r="B63" s="53" t="n">
        <v>0.3283680555555555</v>
      </c>
      <c r="C63" s="53" t="n">
        <v>0.3283680555555555</v>
      </c>
      <c r="D63">
        <f>_xlfn.XLOOKUP(700013961,Stops[stop_id],Stops[stop_id],"Não encontrado")</f>
        <v/>
      </c>
      <c r="E63" t="n">
        <v>62</v>
      </c>
    </row>
    <row r="64">
      <c r="A64">
        <f>_xlfn.XLOOKUP("118C-10-0",Trip[trip_id],Trip[trip_id],"Não encontrado")</f>
        <v/>
      </c>
      <c r="B64" s="53" t="n">
        <v>0.3296527777777778</v>
      </c>
      <c r="C64" s="53" t="n">
        <v>0.3296527777777778</v>
      </c>
      <c r="D64">
        <f>_xlfn.XLOOKUP(700016123,Stops[stop_id],Stops[stop_id],"Não encontrado")</f>
        <v/>
      </c>
      <c r="E64" t="n">
        <v>63</v>
      </c>
    </row>
    <row r="65">
      <c r="A65">
        <f>_xlfn.XLOOKUP("118C-10-0",Trip[trip_id],Trip[trip_id],"Não encontrado")</f>
        <v/>
      </c>
      <c r="B65" s="53" t="n">
        <v>0.3309375</v>
      </c>
      <c r="C65" s="53" t="n">
        <v>0.3309375</v>
      </c>
      <c r="D65">
        <f>_xlfn.XLOOKUP(700016430,Stops[stop_id],Stops[stop_id],"Não encontrado")</f>
        <v/>
      </c>
      <c r="E65" t="n">
        <v>64</v>
      </c>
    </row>
    <row r="66">
      <c r="A66">
        <f>_xlfn.XLOOKUP("118C-10-0",Trip[trip_id],Trip[trip_id],"Não encontrado")</f>
        <v/>
      </c>
      <c r="B66" s="53" t="n">
        <v>0.3340277777777778</v>
      </c>
      <c r="C66" s="53" t="n">
        <v>0.3340277777777778</v>
      </c>
      <c r="D66">
        <f>_xlfn.XLOOKUP(6714592,Stops[stop_id],Stops[stop_id],"Não encontrado")</f>
        <v/>
      </c>
      <c r="E66" t="n">
        <v>65</v>
      </c>
    </row>
    <row r="67">
      <c r="A67">
        <f>_xlfn.XLOOKUP("118C-10-1",Trip[trip_id],Trip[trip_id],"Não encontrado")</f>
        <v/>
      </c>
      <c r="B67" s="53" t="n">
        <v>0.6666666666666666</v>
      </c>
      <c r="C67" s="53" t="n">
        <v>0.6666666666666666</v>
      </c>
      <c r="D67">
        <f>_xlfn.XLOOKUP(6714592,Stops[stop_id],Stops[stop_id],"Não encontrado")</f>
        <v/>
      </c>
      <c r="E67" t="n">
        <v>1</v>
      </c>
    </row>
    <row r="68">
      <c r="A68">
        <f>_xlfn.XLOOKUP("118C-10-1",Trip[trip_id],Trip[trip_id],"Não encontrado")</f>
        <v/>
      </c>
      <c r="B68" s="53" t="n">
        <v>0.6682060185185185</v>
      </c>
      <c r="C68" s="53" t="n">
        <v>0.6682060185185185</v>
      </c>
      <c r="D68">
        <f>_xlfn.XLOOKUP(700016854,Stops[stop_id],Stops[stop_id],"Não encontrado")</f>
        <v/>
      </c>
      <c r="E68" t="n">
        <v>2</v>
      </c>
    </row>
    <row r="69">
      <c r="A69">
        <f>_xlfn.XLOOKUP("118C-10-1",Trip[trip_id],Trip[trip_id],"Não encontrado")</f>
        <v/>
      </c>
      <c r="B69" s="53" t="n">
        <v>0.6697453703703704</v>
      </c>
      <c r="C69" s="53" t="n">
        <v>0.6697453703703704</v>
      </c>
      <c r="D69">
        <f>_xlfn.XLOOKUP(700016864,Stops[stop_id],Stops[stop_id],"Não encontrado")</f>
        <v/>
      </c>
      <c r="E69" t="n">
        <v>3</v>
      </c>
    </row>
    <row r="70">
      <c r="A70">
        <f>_xlfn.XLOOKUP("118C-10-1",Trip[trip_id],Trip[trip_id],"Não encontrado")</f>
        <v/>
      </c>
      <c r="B70" s="53" t="n">
        <v>0.6712847222222222</v>
      </c>
      <c r="C70" s="53" t="n">
        <v>0.6712847222222222</v>
      </c>
      <c r="D70">
        <f>_xlfn.XLOOKUP(670013043,Stops[stop_id],Stops[stop_id],"Não encontrado")</f>
        <v/>
      </c>
      <c r="E70" t="n">
        <v>4</v>
      </c>
    </row>
    <row r="71">
      <c r="A71">
        <f>_xlfn.XLOOKUP("118C-10-1",Trip[trip_id],Trip[trip_id],"Não encontrado")</f>
        <v/>
      </c>
      <c r="B71" s="53" t="n">
        <v>0.6728240740740741</v>
      </c>
      <c r="C71" s="53" t="n">
        <v>0.6728240740740741</v>
      </c>
      <c r="D71">
        <f>_xlfn.XLOOKUP(7014506,Stops[stop_id],Stops[stop_id],"Não encontrado")</f>
        <v/>
      </c>
      <c r="E71" t="n">
        <v>5</v>
      </c>
    </row>
    <row r="72">
      <c r="A72">
        <f>_xlfn.XLOOKUP("118C-10-1",Trip[trip_id],Trip[trip_id],"Não encontrado")</f>
        <v/>
      </c>
      <c r="B72" s="53" t="n">
        <v>0.6743634259259259</v>
      </c>
      <c r="C72" s="53" t="n">
        <v>0.6743634259259259</v>
      </c>
      <c r="D72">
        <f>_xlfn.XLOOKUP(7014507,Stops[stop_id],Stops[stop_id],"Não encontrado")</f>
        <v/>
      </c>
      <c r="E72" t="n">
        <v>6</v>
      </c>
    </row>
    <row r="73">
      <c r="A73">
        <f>_xlfn.XLOOKUP("118C-10-1",Trip[trip_id],Trip[trip_id],"Não encontrado")</f>
        <v/>
      </c>
      <c r="B73" s="53" t="n">
        <v>0.6759027777777777</v>
      </c>
      <c r="C73" s="53" t="n">
        <v>0.6759027777777777</v>
      </c>
      <c r="D73">
        <f>_xlfn.XLOOKUP(7014520,Stops[stop_id],Stops[stop_id],"Não encontrado")</f>
        <v/>
      </c>
      <c r="E73" t="n">
        <v>7</v>
      </c>
    </row>
    <row r="74">
      <c r="A74">
        <f>_xlfn.XLOOKUP("118C-10-1",Trip[trip_id],Trip[trip_id],"Não encontrado")</f>
        <v/>
      </c>
      <c r="B74" s="53" t="n">
        <v>0.6774421296296296</v>
      </c>
      <c r="C74" s="53" t="n">
        <v>0.6774421296296296</v>
      </c>
      <c r="D74">
        <f>_xlfn.XLOOKUP(6714635,Stops[stop_id],Stops[stop_id],"Não encontrado")</f>
        <v/>
      </c>
      <c r="E74" t="n">
        <v>8</v>
      </c>
    </row>
    <row r="75">
      <c r="A75">
        <f>_xlfn.XLOOKUP("118C-10-1",Trip[trip_id],Trip[trip_id],"Não encontrado")</f>
        <v/>
      </c>
      <c r="B75" s="53" t="n">
        <v>0.6789814814814815</v>
      </c>
      <c r="C75" s="53" t="n">
        <v>0.6789814814814815</v>
      </c>
      <c r="D75">
        <f>_xlfn.XLOOKUP(6700100,Stops[stop_id],Stops[stop_id],"Não encontrado")</f>
        <v/>
      </c>
      <c r="E75" t="n">
        <v>9</v>
      </c>
    </row>
    <row r="76">
      <c r="A76">
        <f>_xlfn.XLOOKUP("118C-10-1",Trip[trip_id],Trip[trip_id],"Não encontrado")</f>
        <v/>
      </c>
      <c r="B76" s="53" t="n">
        <v>0.6805208333333334</v>
      </c>
      <c r="C76" s="53" t="n">
        <v>0.6805208333333334</v>
      </c>
      <c r="D76">
        <f>_xlfn.XLOOKUP(670014118,Stops[stop_id],Stops[stop_id],"Não encontrado")</f>
        <v/>
      </c>
      <c r="E76" t="n">
        <v>10</v>
      </c>
    </row>
    <row r="77">
      <c r="A77">
        <f>_xlfn.XLOOKUP("118C-10-1",Trip[trip_id],Trip[trip_id],"Não encontrado")</f>
        <v/>
      </c>
      <c r="B77" s="53" t="n">
        <v>0.6820601851851852</v>
      </c>
      <c r="C77" s="53" t="n">
        <v>0.6820601851851852</v>
      </c>
      <c r="D77">
        <f>_xlfn.XLOOKUP(90013933,Stops[stop_id],Stops[stop_id],"Não encontrado")</f>
        <v/>
      </c>
      <c r="E77" t="n">
        <v>11</v>
      </c>
    </row>
    <row r="78">
      <c r="A78">
        <f>_xlfn.XLOOKUP("118C-10-1",Trip[trip_id],Trip[trip_id],"Não encontrado")</f>
        <v/>
      </c>
      <c r="B78" s="53" t="n">
        <v>0.683599537037037</v>
      </c>
      <c r="C78" s="53" t="n">
        <v>0.683599537037037</v>
      </c>
      <c r="D78">
        <f>_xlfn.XLOOKUP(90013938,Stops[stop_id],Stops[stop_id],"Não encontrado")</f>
        <v/>
      </c>
      <c r="E78" t="n">
        <v>12</v>
      </c>
    </row>
    <row r="79">
      <c r="A79">
        <f>_xlfn.XLOOKUP("118C-10-1",Trip[trip_id],Trip[trip_id],"Não encontrado")</f>
        <v/>
      </c>
      <c r="B79" s="53" t="n">
        <v>0.6851388888888889</v>
      </c>
      <c r="C79" s="53" t="n">
        <v>0.6851388888888889</v>
      </c>
      <c r="D79">
        <f>_xlfn.XLOOKUP(90017114,Stops[stop_id],Stops[stop_id],"Não encontrado")</f>
        <v/>
      </c>
      <c r="E79" t="n">
        <v>13</v>
      </c>
    </row>
    <row r="80">
      <c r="A80">
        <f>_xlfn.XLOOKUP("118C-10-1",Trip[trip_id],Trip[trip_id],"Não encontrado")</f>
        <v/>
      </c>
      <c r="B80" s="53" t="n">
        <v>0.6866782407407407</v>
      </c>
      <c r="C80" s="53" t="n">
        <v>0.6866782407407407</v>
      </c>
      <c r="D80">
        <f>_xlfn.XLOOKUP(90016727,Stops[stop_id],Stops[stop_id],"Não encontrado")</f>
        <v/>
      </c>
      <c r="E80" t="n">
        <v>14</v>
      </c>
    </row>
    <row r="81">
      <c r="A81">
        <f>_xlfn.XLOOKUP("118C-10-1",Trip[trip_id],Trip[trip_id],"Não encontrado")</f>
        <v/>
      </c>
      <c r="B81" s="53" t="n">
        <v>0.6882175925925926</v>
      </c>
      <c r="C81" s="53" t="n">
        <v>0.6882175925925926</v>
      </c>
      <c r="D81">
        <f>_xlfn.XLOOKUP(90016728,Stops[stop_id],Stops[stop_id],"Não encontrado")</f>
        <v/>
      </c>
      <c r="E81" t="n">
        <v>15</v>
      </c>
    </row>
    <row r="82">
      <c r="A82">
        <f>_xlfn.XLOOKUP("118C-10-1",Trip[trip_id],Trip[trip_id],"Não encontrado")</f>
        <v/>
      </c>
      <c r="B82" s="53" t="n">
        <v>0.6897569444444445</v>
      </c>
      <c r="C82" s="53" t="n">
        <v>0.6897569444444445</v>
      </c>
      <c r="D82">
        <f>_xlfn.XLOOKUP(570014287,Stops[stop_id],Stops[stop_id],"Não encontrado")</f>
        <v/>
      </c>
      <c r="E82" t="n">
        <v>16</v>
      </c>
    </row>
    <row r="83">
      <c r="A83">
        <f>_xlfn.XLOOKUP("118C-10-1",Trip[trip_id],Trip[trip_id],"Não encontrado")</f>
        <v/>
      </c>
      <c r="B83" s="53" t="n">
        <v>0.6912962962962963</v>
      </c>
      <c r="C83" s="53" t="n">
        <v>0.6912962962962963</v>
      </c>
      <c r="D83">
        <f>_xlfn.XLOOKUP(7113199,Stops[stop_id],Stops[stop_id],"Não encontrado")</f>
        <v/>
      </c>
      <c r="E83" t="n">
        <v>17</v>
      </c>
    </row>
    <row r="84">
      <c r="A84">
        <f>_xlfn.XLOOKUP("118C-10-1",Trip[trip_id],Trip[trip_id],"Não encontrado")</f>
        <v/>
      </c>
      <c r="B84" s="53" t="n">
        <v>0.6928356481481481</v>
      </c>
      <c r="C84" s="53" t="n">
        <v>0.6928356481481481</v>
      </c>
      <c r="D84">
        <f>_xlfn.XLOOKUP(710017208,Stops[stop_id],Stops[stop_id],"Não encontrado")</f>
        <v/>
      </c>
      <c r="E84" t="n">
        <v>18</v>
      </c>
    </row>
    <row r="85">
      <c r="A85">
        <f>_xlfn.XLOOKUP("118C-10-1",Trip[trip_id],Trip[trip_id],"Não encontrado")</f>
        <v/>
      </c>
      <c r="B85" s="53" t="n">
        <v>0.694375</v>
      </c>
      <c r="C85" s="53" t="n">
        <v>0.694375</v>
      </c>
      <c r="D85">
        <f>_xlfn.XLOOKUP(710000972,Stops[stop_id],Stops[stop_id],"Não encontrado")</f>
        <v/>
      </c>
      <c r="E85" t="n">
        <v>19</v>
      </c>
    </row>
    <row r="86">
      <c r="A86">
        <f>_xlfn.XLOOKUP("118C-10-1",Trip[trip_id],Trip[trip_id],"Não encontrado")</f>
        <v/>
      </c>
      <c r="B86" s="53" t="n">
        <v>0.6959143518518518</v>
      </c>
      <c r="C86" s="53" t="n">
        <v>0.6959143518518518</v>
      </c>
      <c r="D86">
        <f>_xlfn.XLOOKUP(710000653,Stops[stop_id],Stops[stop_id],"Não encontrado")</f>
        <v/>
      </c>
      <c r="E86" t="n">
        <v>20</v>
      </c>
    </row>
    <row r="87">
      <c r="A87">
        <f>_xlfn.XLOOKUP("118C-10-1",Trip[trip_id],Trip[trip_id],"Não encontrado")</f>
        <v/>
      </c>
      <c r="B87" s="53" t="n">
        <v>0.6974537037037037</v>
      </c>
      <c r="C87" s="53" t="n">
        <v>0.6974537037037037</v>
      </c>
      <c r="D87">
        <f>_xlfn.XLOOKUP(710000635,Stops[stop_id],Stops[stop_id],"Não encontrado")</f>
        <v/>
      </c>
      <c r="E87" t="n">
        <v>21</v>
      </c>
    </row>
    <row r="88">
      <c r="A88">
        <f>_xlfn.XLOOKUP("118C-10-1",Trip[trip_id],Trip[trip_id],"Não encontrado")</f>
        <v/>
      </c>
      <c r="B88" s="53" t="n">
        <v>0.6989930555555556</v>
      </c>
      <c r="C88" s="53" t="n">
        <v>0.6989930555555556</v>
      </c>
      <c r="D88">
        <f>_xlfn.XLOOKUP(710002302,Stops[stop_id],Stops[stop_id],"Não encontrado")</f>
        <v/>
      </c>
      <c r="E88" t="n">
        <v>22</v>
      </c>
    </row>
    <row r="89">
      <c r="A89">
        <f>_xlfn.XLOOKUP("118C-10-1",Trip[trip_id],Trip[trip_id],"Não encontrado")</f>
        <v/>
      </c>
      <c r="B89" s="53" t="n">
        <v>0.7005324074074074</v>
      </c>
      <c r="C89" s="53" t="n">
        <v>0.7005324074074074</v>
      </c>
      <c r="D89">
        <f>_xlfn.XLOOKUP(710002158,Stops[stop_id],Stops[stop_id],"Não encontrado")</f>
        <v/>
      </c>
      <c r="E89" t="n">
        <v>23</v>
      </c>
    </row>
    <row r="90">
      <c r="A90">
        <f>_xlfn.XLOOKUP("118C-10-1",Trip[trip_id],Trip[trip_id],"Não encontrado")</f>
        <v/>
      </c>
      <c r="B90" s="53" t="n">
        <v>0.7020717592592592</v>
      </c>
      <c r="C90" s="53" t="n">
        <v>0.7020717592592592</v>
      </c>
      <c r="D90">
        <f>_xlfn.XLOOKUP(710017221,Stops[stop_id],Stops[stop_id],"Não encontrado")</f>
        <v/>
      </c>
      <c r="E90" t="n">
        <v>24</v>
      </c>
    </row>
    <row r="91">
      <c r="A91">
        <f>_xlfn.XLOOKUP("118C-10-1",Trip[trip_id],Trip[trip_id],"Não encontrado")</f>
        <v/>
      </c>
      <c r="B91" s="53" t="n">
        <v>0.7036111111111111</v>
      </c>
      <c r="C91" s="53" t="n">
        <v>0.7036111111111111</v>
      </c>
      <c r="D91">
        <f>_xlfn.XLOOKUP(710002156,Stops[stop_id],Stops[stop_id],"Não encontrado")</f>
        <v/>
      </c>
      <c r="E91" t="n">
        <v>25</v>
      </c>
    </row>
    <row r="92">
      <c r="A92">
        <f>_xlfn.XLOOKUP("118C-10-1",Trip[trip_id],Trip[trip_id],"Não encontrado")</f>
        <v/>
      </c>
      <c r="B92" s="53" t="n">
        <v>0.7051504629629629</v>
      </c>
      <c r="C92" s="53" t="n">
        <v>0.7051504629629629</v>
      </c>
      <c r="D92">
        <f>_xlfn.XLOOKUP(710001708,Stops[stop_id],Stops[stop_id],"Não encontrado")</f>
        <v/>
      </c>
      <c r="E92" t="n">
        <v>26</v>
      </c>
    </row>
    <row r="93">
      <c r="A93">
        <f>_xlfn.XLOOKUP("118C-10-1",Trip[trip_id],Trip[trip_id],"Não encontrado")</f>
        <v/>
      </c>
      <c r="B93" s="53" t="n">
        <v>0.7066898148148149</v>
      </c>
      <c r="C93" s="53" t="n">
        <v>0.7066898148148149</v>
      </c>
      <c r="D93">
        <f>_xlfn.XLOOKUP(710001705,Stops[stop_id],Stops[stop_id],"Não encontrado")</f>
        <v/>
      </c>
      <c r="E93" t="n">
        <v>27</v>
      </c>
    </row>
    <row r="94">
      <c r="A94">
        <f>_xlfn.XLOOKUP("118C-10-1",Trip[trip_id],Trip[trip_id],"Não encontrado")</f>
        <v/>
      </c>
      <c r="B94" s="53" t="n">
        <v>0.7082291666666667</v>
      </c>
      <c r="C94" s="53" t="n">
        <v>0.7082291666666667</v>
      </c>
      <c r="D94">
        <f>_xlfn.XLOOKUP(710001704,Stops[stop_id],Stops[stop_id],"Não encontrado")</f>
        <v/>
      </c>
      <c r="E94" t="n">
        <v>28</v>
      </c>
    </row>
    <row r="95">
      <c r="A95">
        <f>_xlfn.XLOOKUP("118C-10-1",Trip[trip_id],Trip[trip_id],"Não encontrado")</f>
        <v/>
      </c>
      <c r="B95" s="53" t="n">
        <v>0.7097685185185185</v>
      </c>
      <c r="C95" s="53" t="n">
        <v>0.7097685185185185</v>
      </c>
      <c r="D95">
        <f>_xlfn.XLOOKUP(710001702,Stops[stop_id],Stops[stop_id],"Não encontrado")</f>
        <v/>
      </c>
      <c r="E95" t="n">
        <v>29</v>
      </c>
    </row>
    <row r="96">
      <c r="A96">
        <f>_xlfn.XLOOKUP("118C-10-1",Trip[trip_id],Trip[trip_id],"Não encontrado")</f>
        <v/>
      </c>
      <c r="B96" s="53" t="n">
        <v>0.7113078703703704</v>
      </c>
      <c r="C96" s="53" t="n">
        <v>0.7113078703703704</v>
      </c>
      <c r="D96">
        <f>_xlfn.XLOOKUP(510001701,Stops[stop_id],Stops[stop_id],"Não encontrado")</f>
        <v/>
      </c>
      <c r="E96" t="n">
        <v>30</v>
      </c>
    </row>
    <row r="97">
      <c r="A97">
        <f>_xlfn.XLOOKUP("118C-10-1",Trip[trip_id],Trip[trip_id],"Não encontrado")</f>
        <v/>
      </c>
      <c r="B97" s="53" t="n">
        <v>0.7128472222222222</v>
      </c>
      <c r="C97" s="53" t="n">
        <v>0.7128472222222222</v>
      </c>
      <c r="D97">
        <f>_xlfn.XLOOKUP(510001698,Stops[stop_id],Stops[stop_id],"Não encontrado")</f>
        <v/>
      </c>
      <c r="E97" t="n">
        <v>31</v>
      </c>
    </row>
    <row r="98">
      <c r="A98">
        <f>_xlfn.XLOOKUP("118C-10-1",Trip[trip_id],Trip[trip_id],"Não encontrado")</f>
        <v/>
      </c>
      <c r="B98" s="53" t="n">
        <v>0.714386574074074</v>
      </c>
      <c r="C98" s="53" t="n">
        <v>0.714386574074074</v>
      </c>
      <c r="D98">
        <f>_xlfn.XLOOKUP(510001697,Stops[stop_id],Stops[stop_id],"Não encontrado")</f>
        <v/>
      </c>
      <c r="E98" t="n">
        <v>32</v>
      </c>
    </row>
    <row r="99">
      <c r="A99">
        <f>_xlfn.XLOOKUP("118C-10-1",Trip[trip_id],Trip[trip_id],"Não encontrado")</f>
        <v/>
      </c>
      <c r="B99" s="53" t="n">
        <v>0.715925925925926</v>
      </c>
      <c r="C99" s="53" t="n">
        <v>0.715925925925926</v>
      </c>
      <c r="D99">
        <f>_xlfn.XLOOKUP(510001935,Stops[stop_id],Stops[stop_id],"Não encontrado")</f>
        <v/>
      </c>
      <c r="E99" t="n">
        <v>33</v>
      </c>
    </row>
    <row r="100">
      <c r="A100">
        <f>_xlfn.XLOOKUP("118C-10-1",Trip[trip_id],Trip[trip_id],"Não encontrado")</f>
        <v/>
      </c>
      <c r="B100" s="53" t="n">
        <v>0.7174652777777778</v>
      </c>
      <c r="C100" s="53" t="n">
        <v>0.7174652777777778</v>
      </c>
      <c r="D100">
        <f>_xlfn.XLOOKUP(510001933,Stops[stop_id],Stops[stop_id],"Não encontrado")</f>
        <v/>
      </c>
      <c r="E100" t="n">
        <v>34</v>
      </c>
    </row>
    <row r="101">
      <c r="A101">
        <f>_xlfn.XLOOKUP("118C-10-1",Trip[trip_id],Trip[trip_id],"Não encontrado")</f>
        <v/>
      </c>
      <c r="B101" s="53" t="n">
        <v>0.7190046296296296</v>
      </c>
      <c r="C101" s="53" t="n">
        <v>0.7190046296296296</v>
      </c>
      <c r="D101">
        <f>_xlfn.XLOOKUP(510001667,Stops[stop_id],Stops[stop_id],"Não encontrado")</f>
        <v/>
      </c>
      <c r="E101" t="n">
        <v>35</v>
      </c>
    </row>
    <row r="102">
      <c r="A102">
        <f>_xlfn.XLOOKUP("118C-10-1",Trip[trip_id],Trip[trip_id],"Não encontrado")</f>
        <v/>
      </c>
      <c r="B102" s="53" t="n">
        <v>0.7205439814814815</v>
      </c>
      <c r="C102" s="53" t="n">
        <v>0.7205439814814815</v>
      </c>
      <c r="D102">
        <f>_xlfn.XLOOKUP(510001668,Stops[stop_id],Stops[stop_id],"Não encontrado")</f>
        <v/>
      </c>
      <c r="E102" t="n">
        <v>36</v>
      </c>
    </row>
    <row r="103">
      <c r="A103">
        <f>_xlfn.XLOOKUP("118C-10-1",Trip[trip_id],Trip[trip_id],"Não encontrado")</f>
        <v/>
      </c>
      <c r="B103" s="53" t="n">
        <v>0.7220833333333333</v>
      </c>
      <c r="C103" s="53" t="n">
        <v>0.7220833333333333</v>
      </c>
      <c r="D103">
        <f>_xlfn.XLOOKUP(510001671,Stops[stop_id],Stops[stop_id],"Não encontrado")</f>
        <v/>
      </c>
      <c r="E103" t="n">
        <v>37</v>
      </c>
    </row>
    <row r="104">
      <c r="A104">
        <f>_xlfn.XLOOKUP("118C-10-1",Trip[trip_id],Trip[trip_id],"Não encontrado")</f>
        <v/>
      </c>
      <c r="B104" s="53" t="n">
        <v>0.7236226851851851</v>
      </c>
      <c r="C104" s="53" t="n">
        <v>0.7236226851851851</v>
      </c>
      <c r="D104">
        <f>_xlfn.XLOOKUP(510001673,Stops[stop_id],Stops[stop_id],"Não encontrado")</f>
        <v/>
      </c>
      <c r="E104" t="n">
        <v>38</v>
      </c>
    </row>
    <row r="105">
      <c r="A105">
        <f>_xlfn.XLOOKUP("118C-10-1",Trip[trip_id],Trip[trip_id],"Não encontrado")</f>
        <v/>
      </c>
      <c r="B105" s="53" t="n">
        <v>0.7251620370370371</v>
      </c>
      <c r="C105" s="53" t="n">
        <v>0.7251620370370371</v>
      </c>
      <c r="D105">
        <f>_xlfn.XLOOKUP(130001531,Stops[stop_id],Stops[stop_id],"Não encontrado")</f>
        <v/>
      </c>
      <c r="E105" t="n">
        <v>39</v>
      </c>
    </row>
    <row r="106">
      <c r="A106">
        <f>_xlfn.XLOOKUP("118C-10-1",Trip[trip_id],Trip[trip_id],"Não encontrado")</f>
        <v/>
      </c>
      <c r="B106" s="53" t="n">
        <v>0.7267013888888889</v>
      </c>
      <c r="C106" s="53" t="n">
        <v>0.7267013888888889</v>
      </c>
      <c r="D106">
        <f>_xlfn.XLOOKUP(130001530,Stops[stop_id],Stops[stop_id],"Não encontrado")</f>
        <v/>
      </c>
      <c r="E106" t="n">
        <v>40</v>
      </c>
    </row>
    <row r="107">
      <c r="A107">
        <f>_xlfn.XLOOKUP("118C-10-1",Trip[trip_id],Trip[trip_id],"Não encontrado")</f>
        <v/>
      </c>
      <c r="B107" s="53" t="n">
        <v>0.7282407407407407</v>
      </c>
      <c r="C107" s="53" t="n">
        <v>0.7282407407407407</v>
      </c>
      <c r="D107">
        <f>_xlfn.XLOOKUP(130001528,Stops[stop_id],Stops[stop_id],"Não encontrado")</f>
        <v/>
      </c>
      <c r="E107" t="n">
        <v>41</v>
      </c>
    </row>
    <row r="108">
      <c r="A108">
        <f>_xlfn.XLOOKUP("118C-10-1",Trip[trip_id],Trip[trip_id],"Não encontrado")</f>
        <v/>
      </c>
      <c r="B108" s="53" t="n">
        <v>0.7297800925925926</v>
      </c>
      <c r="C108" s="53" t="n">
        <v>0.7297800925925926</v>
      </c>
      <c r="D108">
        <f>_xlfn.XLOOKUP(130001526,Stops[stop_id],Stops[stop_id],"Não encontrado")</f>
        <v/>
      </c>
      <c r="E108" t="n">
        <v>42</v>
      </c>
    </row>
    <row r="109">
      <c r="A109">
        <f>_xlfn.XLOOKUP("118C-10-1",Trip[trip_id],Trip[trip_id],"Não encontrado")</f>
        <v/>
      </c>
      <c r="B109" s="53" t="n">
        <v>0.7313194444444444</v>
      </c>
      <c r="C109" s="53" t="n">
        <v>0.7313194444444444</v>
      </c>
      <c r="D109">
        <f>_xlfn.XLOOKUP(130001523,Stops[stop_id],Stops[stop_id],"Não encontrado")</f>
        <v/>
      </c>
      <c r="E109" t="n">
        <v>43</v>
      </c>
    </row>
    <row r="110">
      <c r="A110">
        <f>_xlfn.XLOOKUP("118C-10-1",Trip[trip_id],Trip[trip_id],"Não encontrado")</f>
        <v/>
      </c>
      <c r="B110" s="53" t="n">
        <v>0.7328587962962962</v>
      </c>
      <c r="C110" s="53" t="n">
        <v>0.7328587962962962</v>
      </c>
      <c r="D110">
        <f>_xlfn.XLOOKUP(1313502,Stops[stop_id],Stops[stop_id],"Não encontrado")</f>
        <v/>
      </c>
      <c r="E110" t="n">
        <v>44</v>
      </c>
    </row>
    <row r="111">
      <c r="A111">
        <f>_xlfn.XLOOKUP("118C-10-1",Trip[trip_id],Trip[trip_id],"Não encontrado")</f>
        <v/>
      </c>
      <c r="B111" s="53" t="n">
        <v>0.7343981481481482</v>
      </c>
      <c r="C111" s="53" t="n">
        <v>0.7343981481481482</v>
      </c>
      <c r="D111">
        <f>_xlfn.XLOOKUP(130001621,Stops[stop_id],Stops[stop_id],"Não encontrado")</f>
        <v/>
      </c>
      <c r="E111" t="n">
        <v>45</v>
      </c>
    </row>
    <row r="112">
      <c r="A112">
        <f>_xlfn.XLOOKUP("118C-10-1",Trip[trip_id],Trip[trip_id],"Não encontrado")</f>
        <v/>
      </c>
      <c r="B112" s="53" t="n">
        <v>0.7359375</v>
      </c>
      <c r="C112" s="53" t="n">
        <v>0.7359375</v>
      </c>
      <c r="D112">
        <f>_xlfn.XLOOKUP(130001622,Stops[stop_id],Stops[stop_id],"Não encontrado")</f>
        <v/>
      </c>
      <c r="E112" t="n">
        <v>46</v>
      </c>
    </row>
    <row r="113">
      <c r="A113">
        <f>_xlfn.XLOOKUP("118C-10-1",Trip[trip_id],Trip[trip_id],"Não encontrado")</f>
        <v/>
      </c>
      <c r="B113" s="53" t="n">
        <v>0.7374768518518519</v>
      </c>
      <c r="C113" s="53" t="n">
        <v>0.7374768518518519</v>
      </c>
      <c r="D113">
        <f>_xlfn.XLOOKUP(130001616,Stops[stop_id],Stops[stop_id],"Não encontrado")</f>
        <v/>
      </c>
      <c r="E113" t="n">
        <v>47</v>
      </c>
    </row>
    <row r="114">
      <c r="A114">
        <f>_xlfn.XLOOKUP("118C-10-1",Trip[trip_id],Trip[trip_id],"Não encontrado")</f>
        <v/>
      </c>
      <c r="B114" s="53" t="n">
        <v>0.7390162037037037</v>
      </c>
      <c r="C114" s="53" t="n">
        <v>0.7390162037037037</v>
      </c>
      <c r="D114">
        <f>_xlfn.XLOOKUP(1313531,Stops[stop_id],Stops[stop_id],"Não encontrado")</f>
        <v/>
      </c>
      <c r="E114" t="n">
        <v>48</v>
      </c>
    </row>
    <row r="115">
      <c r="A115">
        <f>_xlfn.XLOOKUP("118C-10-1",Trip[trip_id],Trip[trip_id],"Não encontrado")</f>
        <v/>
      </c>
      <c r="B115" s="53" t="n">
        <v>0.7405555555555555</v>
      </c>
      <c r="C115" s="53" t="n">
        <v>0.7405555555555555</v>
      </c>
      <c r="D115">
        <f>_xlfn.XLOOKUP(130001455,Stops[stop_id],Stops[stop_id],"Não encontrado")</f>
        <v/>
      </c>
      <c r="E115" t="n">
        <v>49</v>
      </c>
    </row>
    <row r="116">
      <c r="A116">
        <f>_xlfn.XLOOKUP("118C-10-1",Trip[trip_id],Trip[trip_id],"Não encontrado")</f>
        <v/>
      </c>
      <c r="B116" s="53" t="n">
        <v>0.7420949074074074</v>
      </c>
      <c r="C116" s="53" t="n">
        <v>0.7420949074074074</v>
      </c>
      <c r="D116">
        <f>_xlfn.XLOOKUP(130001454,Stops[stop_id],Stops[stop_id],"Não encontrado")</f>
        <v/>
      </c>
      <c r="E116" t="n">
        <v>50</v>
      </c>
    </row>
    <row r="117">
      <c r="A117">
        <f>_xlfn.XLOOKUP("118C-10-1",Trip[trip_id],Trip[trip_id],"Não encontrado")</f>
        <v/>
      </c>
      <c r="B117" s="53" t="n">
        <v>0.7436342592592593</v>
      </c>
      <c r="C117" s="53" t="n">
        <v>0.7436342592592593</v>
      </c>
      <c r="D117">
        <f>_xlfn.XLOOKUP(130001444,Stops[stop_id],Stops[stop_id],"Não encontrado")</f>
        <v/>
      </c>
      <c r="E117" t="n">
        <v>51</v>
      </c>
    </row>
    <row r="118">
      <c r="A118">
        <f>_xlfn.XLOOKUP("118C-10-1",Trip[trip_id],Trip[trip_id],"Não encontrado")</f>
        <v/>
      </c>
      <c r="B118" s="53" t="n">
        <v>0.7451736111111111</v>
      </c>
      <c r="C118" s="53" t="n">
        <v>0.7451736111111111</v>
      </c>
      <c r="D118">
        <f>_xlfn.XLOOKUP(130001446,Stops[stop_id],Stops[stop_id],"Não encontrado")</f>
        <v/>
      </c>
      <c r="E118" t="n">
        <v>52</v>
      </c>
    </row>
    <row r="119">
      <c r="A119">
        <f>_xlfn.XLOOKUP("118C-10-1",Trip[trip_id],Trip[trip_id],"Não encontrado")</f>
        <v/>
      </c>
      <c r="B119" s="53" t="n">
        <v>0.746712962962963</v>
      </c>
      <c r="C119" s="53" t="n">
        <v>0.746712962962963</v>
      </c>
      <c r="D119">
        <f>_xlfn.XLOOKUP(130001449,Stops[stop_id],Stops[stop_id],"Não encontrado")</f>
        <v/>
      </c>
      <c r="E119" t="n">
        <v>53</v>
      </c>
    </row>
    <row r="120">
      <c r="A120">
        <f>_xlfn.XLOOKUP("118C-10-1",Trip[trip_id],Trip[trip_id],"Não encontrado")</f>
        <v/>
      </c>
      <c r="B120" s="53" t="n">
        <v>0.7482523148148148</v>
      </c>
      <c r="C120" s="53" t="n">
        <v>0.7482523148148148</v>
      </c>
      <c r="D120">
        <f>_xlfn.XLOOKUP(130001451,Stops[stop_id],Stops[stop_id],"Não encontrado")</f>
        <v/>
      </c>
      <c r="E120" t="n">
        <v>54</v>
      </c>
    </row>
    <row r="121">
      <c r="A121">
        <f>_xlfn.XLOOKUP("118C-10-1",Trip[trip_id],Trip[trip_id],"Não encontrado")</f>
        <v/>
      </c>
      <c r="B121" s="53" t="n">
        <v>0.7497916666666666</v>
      </c>
      <c r="C121" s="53" t="n">
        <v>0.7497916666666666</v>
      </c>
      <c r="D121">
        <f>_xlfn.XLOOKUP(1313520,Stops[stop_id],Stops[stop_id],"Não encontrado")</f>
        <v/>
      </c>
      <c r="E121" t="n">
        <v>55</v>
      </c>
    </row>
    <row r="122">
      <c r="A122">
        <f>_xlfn.XLOOKUP("118C-10-1",Trip[trip_id],Trip[trip_id],"Não encontrado")</f>
        <v/>
      </c>
      <c r="B122" s="53" t="n">
        <v>0.7513310185185185</v>
      </c>
      <c r="C122" s="53" t="n">
        <v>0.7513310185185185</v>
      </c>
      <c r="D122">
        <f>_xlfn.XLOOKUP(130001434,Stops[stop_id],Stops[stop_id],"Não encontrado")</f>
        <v/>
      </c>
      <c r="E122" t="n">
        <v>56</v>
      </c>
    </row>
    <row r="123">
      <c r="A123">
        <f>_xlfn.XLOOKUP("118C-10-1",Trip[trip_id],Trip[trip_id],"Não encontrado")</f>
        <v/>
      </c>
      <c r="B123" s="53" t="n">
        <v>0.7528703703703704</v>
      </c>
      <c r="C123" s="53" t="n">
        <v>0.7528703703703704</v>
      </c>
      <c r="D123">
        <f>_xlfn.XLOOKUP(130001431,Stops[stop_id],Stops[stop_id],"Não encontrado")</f>
        <v/>
      </c>
      <c r="E123" t="n">
        <v>57</v>
      </c>
    </row>
    <row r="124">
      <c r="A124">
        <f>_xlfn.XLOOKUP("118C-10-1",Trip[trip_id],Trip[trip_id],"Não encontrado")</f>
        <v/>
      </c>
      <c r="B124" s="53" t="n">
        <v>0.7544097222222222</v>
      </c>
      <c r="C124" s="53" t="n">
        <v>0.7544097222222222</v>
      </c>
      <c r="D124">
        <f>_xlfn.XLOOKUP(1313535,Stops[stop_id],Stops[stop_id],"Não encontrado")</f>
        <v/>
      </c>
      <c r="E124" t="n">
        <v>58</v>
      </c>
    </row>
    <row r="125">
      <c r="A125">
        <f>_xlfn.XLOOKUP("118C-10-1",Trip[trip_id],Trip[trip_id],"Não encontrado")</f>
        <v/>
      </c>
      <c r="B125" s="53" t="n">
        <v>0.7559490740740741</v>
      </c>
      <c r="C125" s="53" t="n">
        <v>0.7559490740740741</v>
      </c>
      <c r="D125">
        <f>_xlfn.XLOOKUP(130001426,Stops[stop_id],Stops[stop_id],"Não encontrado")</f>
        <v/>
      </c>
      <c r="E125" t="n">
        <v>59</v>
      </c>
    </row>
    <row r="126">
      <c r="A126">
        <f>_xlfn.XLOOKUP("118C-10-1",Trip[trip_id],Trip[trip_id],"Não encontrado")</f>
        <v/>
      </c>
      <c r="B126" s="53" t="n">
        <v>0.7574884259259259</v>
      </c>
      <c r="C126" s="53" t="n">
        <v>0.7574884259259259</v>
      </c>
      <c r="D126">
        <f>_xlfn.XLOOKUP(130001425,Stops[stop_id],Stops[stop_id],"Não encontrado")</f>
        <v/>
      </c>
      <c r="E126" t="n">
        <v>60</v>
      </c>
    </row>
    <row r="127">
      <c r="A127">
        <f>_xlfn.XLOOKUP("118C-10-1",Trip[trip_id],Trip[trip_id],"Não encontrado")</f>
        <v/>
      </c>
      <c r="B127" s="53" t="n">
        <v>0.7590277777777777</v>
      </c>
      <c r="C127" s="53" t="n">
        <v>0.7590277777777777</v>
      </c>
      <c r="D127">
        <f>_xlfn.XLOOKUP(130001422,Stops[stop_id],Stops[stop_id],"Não encontrado")</f>
        <v/>
      </c>
      <c r="E127" t="n">
        <v>61</v>
      </c>
    </row>
    <row r="128">
      <c r="A128">
        <f>_xlfn.XLOOKUP("118C-10-1",Trip[trip_id],Trip[trip_id],"Não encontrado")</f>
        <v/>
      </c>
      <c r="B128" s="53" t="n">
        <v>0.7625</v>
      </c>
      <c r="C128" s="53" t="n">
        <v>0.7625</v>
      </c>
      <c r="D128">
        <f>_xlfn.XLOOKUP(130001421,Stops[stop_id],Stops[stop_id],"Não encontrado")</f>
        <v/>
      </c>
      <c r="E128" t="n">
        <v>62</v>
      </c>
    </row>
    <row r="129">
      <c r="A129">
        <f>_xlfn.XLOOKUP("175T-10-0",Trip[trip_id],Trip[trip_id],"Não encontrado")</f>
        <v/>
      </c>
      <c r="B129" s="53" t="n">
        <v>0.6666666666666666</v>
      </c>
      <c r="C129" s="53" t="n">
        <v>0.6666666666666666</v>
      </c>
      <c r="D129">
        <f>_xlfn.XLOOKUP(710000637,Stops[stop_id],Stops[stop_id],"Não encontrado")</f>
        <v/>
      </c>
      <c r="E129" t="n">
        <v>1</v>
      </c>
    </row>
    <row r="130">
      <c r="A130">
        <f>_xlfn.XLOOKUP("175T-10-0",Trip[trip_id],Trip[trip_id],"Não encontrado")</f>
        <v/>
      </c>
      <c r="B130" s="53" t="n">
        <v>0.6681712962962963</v>
      </c>
      <c r="C130" s="53" t="n">
        <v>0.6681712962962963</v>
      </c>
      <c r="D130">
        <f>_xlfn.XLOOKUP(7113164,Stops[stop_id],Stops[stop_id],"Não encontrado")</f>
        <v/>
      </c>
      <c r="E130" t="n">
        <v>2</v>
      </c>
    </row>
    <row r="131">
      <c r="A131">
        <f>_xlfn.XLOOKUP("175T-10-0",Trip[trip_id],Trip[trip_id],"Não encontrado")</f>
        <v/>
      </c>
      <c r="B131" s="53" t="n">
        <v>0.669675925925926</v>
      </c>
      <c r="C131" s="53" t="n">
        <v>0.669675925925926</v>
      </c>
      <c r="D131">
        <f>_xlfn.XLOOKUP(710000969,Stops[stop_id],Stops[stop_id],"Não encontrado")</f>
        <v/>
      </c>
      <c r="E131" t="n">
        <v>3</v>
      </c>
    </row>
    <row r="132">
      <c r="A132">
        <f>_xlfn.XLOOKUP("175T-10-0",Trip[trip_id],Trip[trip_id],"Não encontrado")</f>
        <v/>
      </c>
      <c r="B132" s="53" t="n">
        <v>0.6711805555555556</v>
      </c>
      <c r="C132" s="53" t="n">
        <v>0.6711805555555556</v>
      </c>
      <c r="D132">
        <f>_xlfn.XLOOKUP(710017212,Stops[stop_id],Stops[stop_id],"Não encontrado")</f>
        <v/>
      </c>
      <c r="E132" t="n">
        <v>4</v>
      </c>
    </row>
    <row r="133">
      <c r="A133">
        <f>_xlfn.XLOOKUP("175T-10-0",Trip[trip_id],Trip[trip_id],"Não encontrado")</f>
        <v/>
      </c>
      <c r="B133" s="53" t="n">
        <v>0.6726851851851852</v>
      </c>
      <c r="C133" s="53" t="n">
        <v>0.6726851851851852</v>
      </c>
      <c r="D133">
        <f>_xlfn.XLOOKUP(710017213,Stops[stop_id],Stops[stop_id],"Não encontrado")</f>
        <v/>
      </c>
      <c r="E133" t="n">
        <v>5</v>
      </c>
    </row>
    <row r="134">
      <c r="A134">
        <f>_xlfn.XLOOKUP("175T-10-0",Trip[trip_id],Trip[trip_id],"Não encontrado")</f>
        <v/>
      </c>
      <c r="B134" s="53" t="n">
        <v>0.6741898148148148</v>
      </c>
      <c r="C134" s="53" t="n">
        <v>0.6741898148148148</v>
      </c>
      <c r="D134">
        <f>_xlfn.XLOOKUP(710000954,Stops[stop_id],Stops[stop_id],"Não encontrado")</f>
        <v/>
      </c>
      <c r="E134" t="n">
        <v>6</v>
      </c>
    </row>
    <row r="135">
      <c r="A135">
        <f>_xlfn.XLOOKUP("175T-10-0",Trip[trip_id],Trip[trip_id],"Não encontrado")</f>
        <v/>
      </c>
      <c r="B135" s="53" t="n">
        <v>0.6756944444444445</v>
      </c>
      <c r="C135" s="53" t="n">
        <v>0.6756944444444445</v>
      </c>
      <c r="D135">
        <f>_xlfn.XLOOKUP(8812651,Stops[stop_id],Stops[stop_id],"Não encontrado")</f>
        <v/>
      </c>
      <c r="E135" t="n">
        <v>7</v>
      </c>
    </row>
    <row r="136">
      <c r="A136">
        <f>_xlfn.XLOOKUP("175T-10-0",Trip[trip_id],Trip[trip_id],"Não encontrado")</f>
        <v/>
      </c>
      <c r="B136" s="53" t="n">
        <v>0.6771990740740741</v>
      </c>
      <c r="C136" s="53" t="n">
        <v>0.6771990740740741</v>
      </c>
      <c r="D136">
        <f>_xlfn.XLOOKUP(90016636,Stops[stop_id],Stops[stop_id],"Não encontrado")</f>
        <v/>
      </c>
      <c r="E136" t="n">
        <v>8</v>
      </c>
    </row>
    <row r="137">
      <c r="A137">
        <f>_xlfn.XLOOKUP("175T-10-0",Trip[trip_id],Trip[trip_id],"Não encontrado")</f>
        <v/>
      </c>
      <c r="B137" s="53" t="n">
        <v>0.6787037037037037</v>
      </c>
      <c r="C137" s="53" t="n">
        <v>0.6787037037037037</v>
      </c>
      <c r="D137">
        <f>_xlfn.XLOOKUP(90015086,Stops[stop_id],Stops[stop_id],"Não encontrado")</f>
        <v/>
      </c>
      <c r="E137" t="n">
        <v>9</v>
      </c>
    </row>
    <row r="138">
      <c r="A138">
        <f>_xlfn.XLOOKUP("175T-10-0",Trip[trip_id],Trip[trip_id],"Não encontrado")</f>
        <v/>
      </c>
      <c r="B138" s="53" t="n">
        <v>0.6802083333333333</v>
      </c>
      <c r="C138" s="53" t="n">
        <v>0.6802083333333333</v>
      </c>
      <c r="D138">
        <f>_xlfn.XLOOKUP(90011797,Stops[stop_id],Stops[stop_id],"Não encontrado")</f>
        <v/>
      </c>
      <c r="E138" t="n">
        <v>10</v>
      </c>
    </row>
    <row r="139">
      <c r="A139">
        <f>_xlfn.XLOOKUP("175T-10-0",Trip[trip_id],Trip[trip_id],"Não encontrado")</f>
        <v/>
      </c>
      <c r="B139" s="53" t="n">
        <v>0.6817129629629629</v>
      </c>
      <c r="C139" s="53" t="n">
        <v>0.6817129629629629</v>
      </c>
      <c r="D139">
        <f>_xlfn.XLOOKUP(90008382,Stops[stop_id],Stops[stop_id],"Não encontrado")</f>
        <v/>
      </c>
      <c r="E139" t="n">
        <v>11</v>
      </c>
    </row>
    <row r="140">
      <c r="A140">
        <f>_xlfn.XLOOKUP("175T-10-0",Trip[trip_id],Trip[trip_id],"Não encontrado")</f>
        <v/>
      </c>
      <c r="B140" s="53" t="n">
        <v>0.6832175925925926</v>
      </c>
      <c r="C140" s="53" t="n">
        <v>0.6832175925925926</v>
      </c>
      <c r="D140">
        <f>_xlfn.XLOOKUP(6714584,Stops[stop_id],Stops[stop_id],"Não encontrado")</f>
        <v/>
      </c>
      <c r="E140" t="n">
        <v>12</v>
      </c>
    </row>
    <row r="141">
      <c r="A141">
        <f>_xlfn.XLOOKUP("175T-10-0",Trip[trip_id],Trip[trip_id],"Não encontrado")</f>
        <v/>
      </c>
      <c r="B141" s="53" t="n">
        <v>0.6847222222222222</v>
      </c>
      <c r="C141" s="53" t="n">
        <v>0.6847222222222222</v>
      </c>
      <c r="D141">
        <f>_xlfn.XLOOKUP(6714577,Stops[stop_id],Stops[stop_id],"Não encontrado")</f>
        <v/>
      </c>
      <c r="E141" t="n">
        <v>13</v>
      </c>
    </row>
    <row r="142">
      <c r="A142">
        <f>_xlfn.XLOOKUP("175T-10-0",Trip[trip_id],Trip[trip_id],"Não encontrado")</f>
        <v/>
      </c>
      <c r="B142" s="53" t="n">
        <v>0.6862268518518518</v>
      </c>
      <c r="C142" s="53" t="n">
        <v>0.6862268518518518</v>
      </c>
      <c r="D142">
        <f>_xlfn.XLOOKUP(6714600,Stops[stop_id],Stops[stop_id],"Não encontrado")</f>
        <v/>
      </c>
      <c r="E142" t="n">
        <v>14</v>
      </c>
    </row>
    <row r="143">
      <c r="A143">
        <f>_xlfn.XLOOKUP("175T-10-0",Trip[trip_id],Trip[trip_id],"Não encontrado")</f>
        <v/>
      </c>
      <c r="B143" s="53" t="n">
        <v>0.6877314814814814</v>
      </c>
      <c r="C143" s="53" t="n">
        <v>0.6877314814814814</v>
      </c>
      <c r="D143">
        <f>_xlfn.XLOOKUP(6700173,Stops[stop_id],Stops[stop_id],"Não encontrado")</f>
        <v/>
      </c>
      <c r="E143" t="n">
        <v>15</v>
      </c>
    </row>
    <row r="144">
      <c r="A144">
        <f>_xlfn.XLOOKUP("175T-10-0",Trip[trip_id],Trip[trip_id],"Não encontrado")</f>
        <v/>
      </c>
      <c r="B144" s="53" t="n">
        <v>0.6892361111111112</v>
      </c>
      <c r="C144" s="53" t="n">
        <v>0.6892361111111112</v>
      </c>
      <c r="D144">
        <f>_xlfn.XLOOKUP(670016451,Stops[stop_id],Stops[stop_id],"Não encontrado")</f>
        <v/>
      </c>
      <c r="E144" t="n">
        <v>16</v>
      </c>
    </row>
    <row r="145">
      <c r="A145">
        <f>_xlfn.XLOOKUP("175T-10-0",Trip[trip_id],Trip[trip_id],"Não encontrado")</f>
        <v/>
      </c>
      <c r="B145" s="53" t="n">
        <v>0.6907407407407408</v>
      </c>
      <c r="C145" s="53" t="n">
        <v>0.6907407407407408</v>
      </c>
      <c r="D145">
        <f>_xlfn.XLOOKUP(490016448,Stops[stop_id],Stops[stop_id],"Não encontrado")</f>
        <v/>
      </c>
      <c r="E145" t="n">
        <v>17</v>
      </c>
    </row>
    <row r="146">
      <c r="A146">
        <f>_xlfn.XLOOKUP("175T-10-0",Trip[trip_id],Trip[trip_id],"Não encontrado")</f>
        <v/>
      </c>
      <c r="B146" s="53" t="n">
        <v>0.6922453703703704</v>
      </c>
      <c r="C146" s="53" t="n">
        <v>0.6922453703703704</v>
      </c>
      <c r="D146">
        <f>_xlfn.XLOOKUP(490016449,Stops[stop_id],Stops[stop_id],"Não encontrado")</f>
        <v/>
      </c>
      <c r="E146" t="n">
        <v>18</v>
      </c>
    </row>
    <row r="147">
      <c r="A147">
        <f>_xlfn.XLOOKUP("175T-10-0",Trip[trip_id],Trip[trip_id],"Não encontrado")</f>
        <v/>
      </c>
      <c r="B147" s="53" t="n">
        <v>0.69375</v>
      </c>
      <c r="C147" s="53" t="n">
        <v>0.69375</v>
      </c>
      <c r="D147">
        <f>_xlfn.XLOOKUP(920015181,Stops[stop_id],Stops[stop_id],"Não encontrado")</f>
        <v/>
      </c>
      <c r="E147" t="n">
        <v>19</v>
      </c>
    </row>
    <row r="148">
      <c r="A148">
        <f>_xlfn.XLOOKUP("175T-10-0",Trip[trip_id],Trip[trip_id],"Não encontrado")</f>
        <v/>
      </c>
      <c r="B148" s="53" t="n">
        <v>0.6952546296296296</v>
      </c>
      <c r="C148" s="53" t="n">
        <v>0.6952546296296296</v>
      </c>
      <c r="D148">
        <f>_xlfn.XLOOKUP(530015151,Stops[stop_id],Stops[stop_id],"Não encontrado")</f>
        <v/>
      </c>
      <c r="E148" t="n">
        <v>20</v>
      </c>
    </row>
    <row r="149">
      <c r="A149">
        <f>_xlfn.XLOOKUP("175T-10-0",Trip[trip_id],Trip[trip_id],"Não encontrado")</f>
        <v/>
      </c>
      <c r="B149" s="53" t="n">
        <v>0.6967592592592593</v>
      </c>
      <c r="C149" s="53" t="n">
        <v>0.6967592592592593</v>
      </c>
      <c r="D149">
        <f>_xlfn.XLOOKUP(5306671,Stops[stop_id],Stops[stop_id],"Não encontrado")</f>
        <v/>
      </c>
      <c r="E149" t="n">
        <v>21</v>
      </c>
    </row>
    <row r="150">
      <c r="A150">
        <f>_xlfn.XLOOKUP("175T-10-0",Trip[trip_id],Trip[trip_id],"Não encontrado")</f>
        <v/>
      </c>
      <c r="B150" s="53" t="n">
        <v>0.6982638888888889</v>
      </c>
      <c r="C150" s="53" t="n">
        <v>0.6982638888888889</v>
      </c>
      <c r="D150">
        <f>_xlfn.XLOOKUP(5306677,Stops[stop_id],Stops[stop_id],"Não encontrado")</f>
        <v/>
      </c>
      <c r="E150" t="n">
        <v>22</v>
      </c>
    </row>
    <row r="151">
      <c r="A151">
        <f>_xlfn.XLOOKUP("175T-10-0",Trip[trip_id],Trip[trip_id],"Não encontrado")</f>
        <v/>
      </c>
      <c r="B151" s="53" t="n">
        <v>0.6997685185185185</v>
      </c>
      <c r="C151" s="53" t="n">
        <v>0.6997685185185185</v>
      </c>
      <c r="D151">
        <f>_xlfn.XLOOKUP(530015186,Stops[stop_id],Stops[stop_id],"Não encontrado")</f>
        <v/>
      </c>
      <c r="E151" t="n">
        <v>23</v>
      </c>
    </row>
    <row r="152">
      <c r="A152">
        <f>_xlfn.XLOOKUP("175T-10-0",Trip[trip_id],Trip[trip_id],"Não encontrado")</f>
        <v/>
      </c>
      <c r="B152" s="53" t="n">
        <v>0.7012731481481481</v>
      </c>
      <c r="C152" s="53" t="n">
        <v>0.7012731481481481</v>
      </c>
      <c r="D152">
        <f>_xlfn.XLOOKUP(530015187,Stops[stop_id],Stops[stop_id],"Não encontrado")</f>
        <v/>
      </c>
      <c r="E152" t="n">
        <v>24</v>
      </c>
    </row>
    <row r="153">
      <c r="A153">
        <f>_xlfn.XLOOKUP("175T-10-0",Trip[trip_id],Trip[trip_id],"Não encontrado")</f>
        <v/>
      </c>
      <c r="B153" s="53" t="n">
        <v>0.7027777777777777</v>
      </c>
      <c r="C153" s="53" t="n">
        <v>0.7027777777777777</v>
      </c>
      <c r="D153">
        <f>_xlfn.XLOOKUP(530015188,Stops[stop_id],Stops[stop_id],"Não encontrado")</f>
        <v/>
      </c>
      <c r="E153" t="n">
        <v>25</v>
      </c>
    </row>
    <row r="154">
      <c r="A154">
        <f>_xlfn.XLOOKUP("175T-10-0",Trip[trip_id],Trip[trip_id],"Não encontrado")</f>
        <v/>
      </c>
      <c r="B154" s="53" t="n">
        <v>0.7042824074074074</v>
      </c>
      <c r="C154" s="53" t="n">
        <v>0.7042824074074074</v>
      </c>
      <c r="D154">
        <f>_xlfn.XLOOKUP(530015189,Stops[stop_id],Stops[stop_id],"Não encontrado")</f>
        <v/>
      </c>
      <c r="E154" t="n">
        <v>26</v>
      </c>
    </row>
    <row r="155">
      <c r="A155">
        <f>_xlfn.XLOOKUP("175T-10-0",Trip[trip_id],Trip[trip_id],"Não encontrado")</f>
        <v/>
      </c>
      <c r="B155" s="53" t="n">
        <v>0.705787037037037</v>
      </c>
      <c r="C155" s="53" t="n">
        <v>0.705787037037037</v>
      </c>
      <c r="D155">
        <f>_xlfn.XLOOKUP(530015190,Stops[stop_id],Stops[stop_id],"Não encontrado")</f>
        <v/>
      </c>
      <c r="E155" t="n">
        <v>27</v>
      </c>
    </row>
    <row r="156">
      <c r="A156">
        <f>_xlfn.XLOOKUP("175T-10-0",Trip[trip_id],Trip[trip_id],"Não encontrado")</f>
        <v/>
      </c>
      <c r="B156" s="53" t="n">
        <v>0.7072916666666667</v>
      </c>
      <c r="C156" s="53" t="n">
        <v>0.7072916666666667</v>
      </c>
      <c r="D156">
        <f>_xlfn.XLOOKUP(530015191,Stops[stop_id],Stops[stop_id],"Não encontrado")</f>
        <v/>
      </c>
      <c r="E156" t="n">
        <v>28</v>
      </c>
    </row>
    <row r="157">
      <c r="A157">
        <f>_xlfn.XLOOKUP("175T-10-0",Trip[trip_id],Trip[trip_id],"Não encontrado")</f>
        <v/>
      </c>
      <c r="B157" s="53" t="n">
        <v>0.7087962962962963</v>
      </c>
      <c r="C157" s="53" t="n">
        <v>0.7087962962962963</v>
      </c>
      <c r="D157">
        <f>_xlfn.XLOOKUP(530015192,Stops[stop_id],Stops[stop_id],"Não encontrado")</f>
        <v/>
      </c>
      <c r="E157" t="n">
        <v>29</v>
      </c>
    </row>
    <row r="158">
      <c r="A158">
        <f>_xlfn.XLOOKUP("175T-10-0",Trip[trip_id],Trip[trip_id],"Não encontrado")</f>
        <v/>
      </c>
      <c r="B158" s="53" t="n">
        <v>0.710300925925926</v>
      </c>
      <c r="C158" s="53" t="n">
        <v>0.710300925925926</v>
      </c>
      <c r="D158">
        <f>_xlfn.XLOOKUP(530015193,Stops[stop_id],Stops[stop_id],"Não encontrado")</f>
        <v/>
      </c>
      <c r="E158" t="n">
        <v>30</v>
      </c>
    </row>
    <row r="159">
      <c r="A159">
        <f>_xlfn.XLOOKUP("175T-10-0",Trip[trip_id],Trip[trip_id],"Não encontrado")</f>
        <v/>
      </c>
      <c r="B159" s="53" t="n">
        <v>0.7118055555555556</v>
      </c>
      <c r="C159" s="53" t="n">
        <v>0.7118055555555556</v>
      </c>
      <c r="D159">
        <f>_xlfn.XLOOKUP(530015184,Stops[stop_id],Stops[stop_id],"Não encontrado")</f>
        <v/>
      </c>
      <c r="E159" t="n">
        <v>31</v>
      </c>
    </row>
    <row r="160">
      <c r="A160">
        <f>_xlfn.XLOOKUP("175T-10-0",Trip[trip_id],Trip[trip_id],"Não encontrado")</f>
        <v/>
      </c>
      <c r="B160" s="53" t="n">
        <v>0.7133101851851852</v>
      </c>
      <c r="C160" s="53" t="n">
        <v>0.7133101851851852</v>
      </c>
      <c r="D160">
        <f>_xlfn.XLOOKUP(530015185,Stops[stop_id],Stops[stop_id],"Não encontrado")</f>
        <v/>
      </c>
      <c r="E160" t="n">
        <v>32</v>
      </c>
    </row>
    <row r="161">
      <c r="A161">
        <f>_xlfn.XLOOKUP("175T-10-0",Trip[trip_id],Trip[trip_id],"Não encontrado")</f>
        <v/>
      </c>
      <c r="B161" s="53" t="n">
        <v>0.7148148148148148</v>
      </c>
      <c r="C161" s="53" t="n">
        <v>0.7148148148148148</v>
      </c>
      <c r="D161">
        <f>_xlfn.XLOOKUP(150015556,Stops[stop_id],Stops[stop_id],"Não encontrado")</f>
        <v/>
      </c>
      <c r="E161" t="n">
        <v>33</v>
      </c>
    </row>
    <row r="162">
      <c r="A162">
        <f>_xlfn.XLOOKUP("175T-10-0",Trip[trip_id],Trip[trip_id],"Não encontrado")</f>
        <v/>
      </c>
      <c r="B162" s="53" t="n">
        <v>0.7163194444444444</v>
      </c>
      <c r="C162" s="53" t="n">
        <v>0.7163194444444444</v>
      </c>
      <c r="D162">
        <f>_xlfn.XLOOKUP(150015557,Stops[stop_id],Stops[stop_id],"Não encontrado")</f>
        <v/>
      </c>
      <c r="E162" t="n">
        <v>34</v>
      </c>
    </row>
    <row r="163">
      <c r="A163">
        <f>_xlfn.XLOOKUP("175T-10-0",Trip[trip_id],Trip[trip_id],"Não encontrado")</f>
        <v/>
      </c>
      <c r="B163" s="53" t="n">
        <v>0.7178240740740741</v>
      </c>
      <c r="C163" s="53" t="n">
        <v>0.7178240740740741</v>
      </c>
      <c r="D163">
        <f>_xlfn.XLOOKUP(1506216,Stops[stop_id],Stops[stop_id],"Não encontrado")</f>
        <v/>
      </c>
      <c r="E163" t="n">
        <v>35</v>
      </c>
    </row>
    <row r="164">
      <c r="A164">
        <f>_xlfn.XLOOKUP("175T-10-0",Trip[trip_id],Trip[trip_id],"Não encontrado")</f>
        <v/>
      </c>
      <c r="B164" s="53" t="n">
        <v>0.7193287037037037</v>
      </c>
      <c r="C164" s="53" t="n">
        <v>0.7193287037037037</v>
      </c>
      <c r="D164">
        <f>_xlfn.XLOOKUP(1506207,Stops[stop_id],Stops[stop_id],"Não encontrado")</f>
        <v/>
      </c>
      <c r="E164" t="n">
        <v>36</v>
      </c>
    </row>
    <row r="165">
      <c r="A165">
        <f>_xlfn.XLOOKUP("175T-10-0",Trip[trip_id],Trip[trip_id],"Não encontrado")</f>
        <v/>
      </c>
      <c r="B165" s="53" t="n">
        <v>0.7208333333333333</v>
      </c>
      <c r="C165" s="53" t="n">
        <v>0.7208333333333333</v>
      </c>
      <c r="D165">
        <f>_xlfn.XLOOKUP(1506179,Stops[stop_id],Stops[stop_id],"Não encontrado")</f>
        <v/>
      </c>
      <c r="E165" t="n">
        <v>37</v>
      </c>
    </row>
    <row r="166">
      <c r="A166">
        <f>_xlfn.XLOOKUP("175T-10-0",Trip[trip_id],Trip[trip_id],"Não encontrado")</f>
        <v/>
      </c>
      <c r="B166" s="53" t="n">
        <v>0.7223379629629629</v>
      </c>
      <c r="C166" s="53" t="n">
        <v>0.7223379629629629</v>
      </c>
      <c r="D166">
        <f>_xlfn.XLOOKUP(150010505,Stops[stop_id],Stops[stop_id],"Não encontrado")</f>
        <v/>
      </c>
      <c r="E166" t="n">
        <v>38</v>
      </c>
    </row>
    <row r="167">
      <c r="A167">
        <f>_xlfn.XLOOKUP("175T-10-0",Trip[trip_id],Trip[trip_id],"Não encontrado")</f>
        <v/>
      </c>
      <c r="B167" s="53" t="n">
        <v>0.7238425925925925</v>
      </c>
      <c r="C167" s="53" t="n">
        <v>0.7238425925925925</v>
      </c>
      <c r="D167">
        <f>_xlfn.XLOOKUP(150010508,Stops[stop_id],Stops[stop_id],"Não encontrado")</f>
        <v/>
      </c>
      <c r="E167" t="n">
        <v>39</v>
      </c>
    </row>
    <row r="168">
      <c r="A168">
        <f>_xlfn.XLOOKUP("175T-10-0",Trip[trip_id],Trip[trip_id],"Não encontrado")</f>
        <v/>
      </c>
      <c r="B168" s="53" t="n">
        <v>0.7253472222222223</v>
      </c>
      <c r="C168" s="53" t="n">
        <v>0.7253472222222223</v>
      </c>
      <c r="D168">
        <f>_xlfn.XLOOKUP(150010510,Stops[stop_id],Stops[stop_id],"Não encontrado")</f>
        <v/>
      </c>
      <c r="E168" t="n">
        <v>40</v>
      </c>
    </row>
    <row r="169">
      <c r="A169">
        <f>_xlfn.XLOOKUP("175T-10-0",Trip[trip_id],Trip[trip_id],"Não encontrado")</f>
        <v/>
      </c>
      <c r="B169" s="53" t="n">
        <v>0.7268518518518519</v>
      </c>
      <c r="C169" s="53" t="n">
        <v>0.7268518518518519</v>
      </c>
      <c r="D169">
        <f>_xlfn.XLOOKUP(150010325,Stops[stop_id],Stops[stop_id],"Não encontrado")</f>
        <v/>
      </c>
      <c r="E169" t="n">
        <v>41</v>
      </c>
    </row>
    <row r="170">
      <c r="A170">
        <f>_xlfn.XLOOKUP("175T-10-0",Trip[trip_id],Trip[trip_id],"Não encontrado")</f>
        <v/>
      </c>
      <c r="B170" s="53" t="n">
        <v>0.7283564814814815</v>
      </c>
      <c r="C170" s="53" t="n">
        <v>0.7283564814814815</v>
      </c>
      <c r="D170">
        <f>_xlfn.XLOOKUP(150010518,Stops[stop_id],Stops[stop_id],"Não encontrado")</f>
        <v/>
      </c>
      <c r="E170" t="n">
        <v>42</v>
      </c>
    </row>
    <row r="171">
      <c r="A171">
        <f>_xlfn.XLOOKUP("175T-10-0",Trip[trip_id],Trip[trip_id],"Não encontrado")</f>
        <v/>
      </c>
      <c r="B171" s="53" t="n">
        <v>0.7298611111111111</v>
      </c>
      <c r="C171" s="53" t="n">
        <v>0.7298611111111111</v>
      </c>
      <c r="D171">
        <f>_xlfn.XLOOKUP(150010519,Stops[stop_id],Stops[stop_id],"Não encontrado")</f>
        <v/>
      </c>
      <c r="E171" t="n">
        <v>43</v>
      </c>
    </row>
    <row r="172">
      <c r="A172">
        <f>_xlfn.XLOOKUP("175T-10-0",Trip[trip_id],Trip[trip_id],"Não encontrado")</f>
        <v/>
      </c>
      <c r="B172" s="53" t="n">
        <v>0.7313657407407408</v>
      </c>
      <c r="C172" s="53" t="n">
        <v>0.7313657407407408</v>
      </c>
      <c r="D172">
        <f>_xlfn.XLOOKUP(150010520,Stops[stop_id],Stops[stop_id],"Não encontrado")</f>
        <v/>
      </c>
      <c r="E172" t="n">
        <v>44</v>
      </c>
    </row>
    <row r="173">
      <c r="A173">
        <f>_xlfn.XLOOKUP("175T-10-0",Trip[trip_id],Trip[trip_id],"Não encontrado")</f>
        <v/>
      </c>
      <c r="B173" s="53" t="n">
        <v>0.7328703703703704</v>
      </c>
      <c r="C173" s="53" t="n">
        <v>0.7328703703703704</v>
      </c>
      <c r="D173">
        <f>_xlfn.XLOOKUP(150010521,Stops[stop_id],Stops[stop_id],"Não encontrado")</f>
        <v/>
      </c>
      <c r="E173" t="n">
        <v>45</v>
      </c>
    </row>
    <row r="174">
      <c r="A174">
        <f>_xlfn.XLOOKUP("175T-10-0",Trip[trip_id],Trip[trip_id],"Não encontrado")</f>
        <v/>
      </c>
      <c r="B174" s="53" t="n">
        <v>0.734375</v>
      </c>
      <c r="C174" s="53" t="n">
        <v>0.734375</v>
      </c>
      <c r="D174">
        <f>_xlfn.XLOOKUP(150010522,Stops[stop_id],Stops[stop_id],"Não encontrado")</f>
        <v/>
      </c>
      <c r="E174" t="n">
        <v>46</v>
      </c>
    </row>
    <row r="175">
      <c r="A175">
        <f>_xlfn.XLOOKUP("175T-10-0",Trip[trip_id],Trip[trip_id],"Não encontrado")</f>
        <v/>
      </c>
      <c r="B175" s="53" t="n">
        <v>0.7358796296296296</v>
      </c>
      <c r="C175" s="53" t="n">
        <v>0.7358796296296296</v>
      </c>
      <c r="D175">
        <f>_xlfn.XLOOKUP(370010523,Stops[stop_id],Stops[stop_id],"Não encontrado")</f>
        <v/>
      </c>
      <c r="E175" t="n">
        <v>47</v>
      </c>
    </row>
    <row r="176">
      <c r="A176">
        <f>_xlfn.XLOOKUP("175T-10-0",Trip[trip_id],Trip[trip_id],"Não encontrado")</f>
        <v/>
      </c>
      <c r="B176" s="53" t="n">
        <v>0.7373842592592592</v>
      </c>
      <c r="C176" s="53" t="n">
        <v>0.7373842592592592</v>
      </c>
      <c r="D176">
        <f>_xlfn.XLOOKUP(370010524,Stops[stop_id],Stops[stop_id],"Não encontrado")</f>
        <v/>
      </c>
      <c r="E176" t="n">
        <v>48</v>
      </c>
    </row>
    <row r="177">
      <c r="A177">
        <f>_xlfn.XLOOKUP("175T-10-0",Trip[trip_id],Trip[trip_id],"Não encontrado")</f>
        <v/>
      </c>
      <c r="B177" s="53" t="n">
        <v>0.7388888888888889</v>
      </c>
      <c r="C177" s="53" t="n">
        <v>0.7388888888888889</v>
      </c>
      <c r="D177">
        <f>_xlfn.XLOOKUP(3702645,Stops[stop_id],Stops[stop_id],"Não encontrado")</f>
        <v/>
      </c>
      <c r="E177" t="n">
        <v>49</v>
      </c>
    </row>
    <row r="178">
      <c r="A178">
        <f>_xlfn.XLOOKUP("175T-10-0",Trip[trip_id],Trip[trip_id],"Não encontrado")</f>
        <v/>
      </c>
      <c r="B178" s="53" t="n">
        <v>0.7403935185185185</v>
      </c>
      <c r="C178" s="53" t="n">
        <v>0.7403935185185185</v>
      </c>
      <c r="D178">
        <f>_xlfn.XLOOKUP(3702829,Stops[stop_id],Stops[stop_id],"Não encontrado")</f>
        <v/>
      </c>
      <c r="E178" t="n">
        <v>50</v>
      </c>
    </row>
    <row r="179">
      <c r="A179">
        <f>_xlfn.XLOOKUP("175T-10-0",Trip[trip_id],Trip[trip_id],"Não encontrado")</f>
        <v/>
      </c>
      <c r="B179" s="53" t="n">
        <v>0.7418981481481481</v>
      </c>
      <c r="C179" s="53" t="n">
        <v>0.7418981481481481</v>
      </c>
      <c r="D179">
        <f>_xlfn.XLOOKUP(3702711,Stops[stop_id],Stops[stop_id],"Não encontrado")</f>
        <v/>
      </c>
      <c r="E179" t="n">
        <v>51</v>
      </c>
    </row>
    <row r="180">
      <c r="A180">
        <f>_xlfn.XLOOKUP("175T-10-0",Trip[trip_id],Trip[trip_id],"Não encontrado")</f>
        <v/>
      </c>
      <c r="B180" s="53" t="n">
        <v>0.7434027777777777</v>
      </c>
      <c r="C180" s="53" t="n">
        <v>0.7434027777777777</v>
      </c>
      <c r="D180">
        <f>_xlfn.XLOOKUP(3702715,Stops[stop_id],Stops[stop_id],"Não encontrado")</f>
        <v/>
      </c>
      <c r="E180" t="n">
        <v>52</v>
      </c>
    </row>
    <row r="181">
      <c r="A181">
        <f>_xlfn.XLOOKUP("175T-10-0",Trip[trip_id],Trip[trip_id],"Não encontrado")</f>
        <v/>
      </c>
      <c r="B181" s="53" t="n">
        <v>0.7449074074074075</v>
      </c>
      <c r="C181" s="53" t="n">
        <v>0.7449074074074075</v>
      </c>
      <c r="D181">
        <f>_xlfn.XLOOKUP(3703126,Stops[stop_id],Stops[stop_id],"Não encontrado")</f>
        <v/>
      </c>
      <c r="E181" t="n">
        <v>53</v>
      </c>
    </row>
    <row r="182">
      <c r="A182">
        <f>_xlfn.XLOOKUP("175T-10-0",Trip[trip_id],Trip[trip_id],"Não encontrado")</f>
        <v/>
      </c>
      <c r="B182" s="53" t="n">
        <v>0.7464120370370371</v>
      </c>
      <c r="C182" s="53" t="n">
        <v>0.7464120370370371</v>
      </c>
      <c r="D182">
        <f>_xlfn.XLOOKUP(3703092,Stops[stop_id],Stops[stop_id],"Não encontrado")</f>
        <v/>
      </c>
      <c r="E182" t="n">
        <v>54</v>
      </c>
    </row>
    <row r="183">
      <c r="A183">
        <f>_xlfn.XLOOKUP("175T-10-0",Trip[trip_id],Trip[trip_id],"Não encontrado")</f>
        <v/>
      </c>
      <c r="B183" s="53" t="n">
        <v>0.7479166666666667</v>
      </c>
      <c r="C183" s="53" t="n">
        <v>0.7479166666666667</v>
      </c>
      <c r="D183">
        <f>_xlfn.XLOOKUP(3703080,Stops[stop_id],Stops[stop_id],"Não encontrado")</f>
        <v/>
      </c>
      <c r="E183" t="n">
        <v>55</v>
      </c>
    </row>
    <row r="184">
      <c r="A184">
        <f>_xlfn.XLOOKUP("175T-10-0",Trip[trip_id],Trip[trip_id],"Não encontrado")</f>
        <v/>
      </c>
      <c r="B184" s="53" t="n">
        <v>0.7494212962962963</v>
      </c>
      <c r="C184" s="53" t="n">
        <v>0.7494212962962963</v>
      </c>
      <c r="D184">
        <f>_xlfn.XLOOKUP(370013664,Stops[stop_id],Stops[stop_id],"Não encontrado")</f>
        <v/>
      </c>
      <c r="E184" t="n">
        <v>56</v>
      </c>
    </row>
    <row r="185">
      <c r="A185">
        <f>_xlfn.XLOOKUP("175T-10-0",Trip[trip_id],Trip[trip_id],"Não encontrado")</f>
        <v/>
      </c>
      <c r="B185" s="53" t="n">
        <v>0.7527777777777778</v>
      </c>
      <c r="C185" s="53" t="n">
        <v>0.7527777777777778</v>
      </c>
      <c r="D185">
        <f>_xlfn.XLOOKUP(3703103,Stops[stop_id],Stops[stop_id],"Não encontrado")</f>
        <v/>
      </c>
      <c r="E185" t="n">
        <v>57</v>
      </c>
    </row>
    <row r="186">
      <c r="A186">
        <f>_xlfn.XLOOKUP("175T-10-1",Trip[trip_id],Trip[trip_id],"Não encontrado")</f>
        <v/>
      </c>
      <c r="B186" s="53" t="n">
        <v>0.6666666666666666</v>
      </c>
      <c r="C186" s="53" t="n">
        <v>0.6666666666666666</v>
      </c>
      <c r="D186">
        <f>_xlfn.XLOOKUP(3703103,Stops[stop_id],Stops[stop_id],"Não encontrado")</f>
        <v/>
      </c>
      <c r="E186" t="n">
        <v>1</v>
      </c>
    </row>
    <row r="187">
      <c r="A187">
        <f>_xlfn.XLOOKUP("175T-10-1",Trip[trip_id],Trip[trip_id],"Não encontrado")</f>
        <v/>
      </c>
      <c r="B187" s="53" t="n">
        <v>0.6681712962962963</v>
      </c>
      <c r="C187" s="53" t="n">
        <v>0.6681712962962963</v>
      </c>
      <c r="D187">
        <f>_xlfn.XLOOKUP(370013738,Stops[stop_id],Stops[stop_id],"Não encontrado")</f>
        <v/>
      </c>
      <c r="E187" t="n">
        <v>2</v>
      </c>
    </row>
    <row r="188">
      <c r="A188">
        <f>_xlfn.XLOOKUP("175T-10-1",Trip[trip_id],Trip[trip_id],"Não encontrado")</f>
        <v/>
      </c>
      <c r="B188" s="53" t="n">
        <v>0.669675925925926</v>
      </c>
      <c r="C188" s="53" t="n">
        <v>0.669675925925926</v>
      </c>
      <c r="D188">
        <f>_xlfn.XLOOKUP(370013737,Stops[stop_id],Stops[stop_id],"Não encontrado")</f>
        <v/>
      </c>
      <c r="E188" t="n">
        <v>3</v>
      </c>
    </row>
    <row r="189">
      <c r="A189">
        <f>_xlfn.XLOOKUP("175T-10-1",Trip[trip_id],Trip[trip_id],"Não encontrado")</f>
        <v/>
      </c>
      <c r="B189" s="53" t="n">
        <v>0.6711805555555556</v>
      </c>
      <c r="C189" s="53" t="n">
        <v>0.6711805555555556</v>
      </c>
      <c r="D189">
        <f>_xlfn.XLOOKUP(3702773,Stops[stop_id],Stops[stop_id],"Não encontrado")</f>
        <v/>
      </c>
      <c r="E189" t="n">
        <v>4</v>
      </c>
    </row>
    <row r="190">
      <c r="A190">
        <f>_xlfn.XLOOKUP("175T-10-1",Trip[trip_id],Trip[trip_id],"Não encontrado")</f>
        <v/>
      </c>
      <c r="B190" s="53" t="n">
        <v>0.6726851851851852</v>
      </c>
      <c r="C190" s="53" t="n">
        <v>0.6726851851851852</v>
      </c>
      <c r="D190">
        <f>_xlfn.XLOOKUP(3702748,Stops[stop_id],Stops[stop_id],"Não encontrado")</f>
        <v/>
      </c>
      <c r="E190" t="n">
        <v>5</v>
      </c>
    </row>
    <row r="191">
      <c r="A191">
        <f>_xlfn.XLOOKUP("175T-10-1",Trip[trip_id],Trip[trip_id],"Não encontrado")</f>
        <v/>
      </c>
      <c r="B191" s="53" t="n">
        <v>0.6741898148148148</v>
      </c>
      <c r="C191" s="53" t="n">
        <v>0.6741898148148148</v>
      </c>
      <c r="D191">
        <f>_xlfn.XLOOKUP(3702746,Stops[stop_id],Stops[stop_id],"Não encontrado")</f>
        <v/>
      </c>
      <c r="E191" t="n">
        <v>6</v>
      </c>
    </row>
    <row r="192">
      <c r="A192">
        <f>_xlfn.XLOOKUP("175T-10-1",Trip[trip_id],Trip[trip_id],"Não encontrado")</f>
        <v/>
      </c>
      <c r="B192" s="53" t="n">
        <v>0.6756944444444445</v>
      </c>
      <c r="C192" s="53" t="n">
        <v>0.6756944444444445</v>
      </c>
      <c r="D192">
        <f>_xlfn.XLOOKUP(3702714,Stops[stop_id],Stops[stop_id],"Não encontrado")</f>
        <v/>
      </c>
      <c r="E192" t="n">
        <v>7</v>
      </c>
    </row>
    <row r="193">
      <c r="A193">
        <f>_xlfn.XLOOKUP("175T-10-1",Trip[trip_id],Trip[trip_id],"Não encontrado")</f>
        <v/>
      </c>
      <c r="B193" s="53" t="n">
        <v>0.6771990740740741</v>
      </c>
      <c r="C193" s="53" t="n">
        <v>0.6771990740740741</v>
      </c>
      <c r="D193">
        <f>_xlfn.XLOOKUP(3703065,Stops[stop_id],Stops[stop_id],"Não encontrado")</f>
        <v/>
      </c>
      <c r="E193" t="n">
        <v>8</v>
      </c>
    </row>
    <row r="194">
      <c r="A194">
        <f>_xlfn.XLOOKUP("175T-10-1",Trip[trip_id],Trip[trip_id],"Não encontrado")</f>
        <v/>
      </c>
      <c r="B194" s="53" t="n">
        <v>0.6787037037037037</v>
      </c>
      <c r="C194" s="53" t="n">
        <v>0.6787037037037037</v>
      </c>
      <c r="D194">
        <f>_xlfn.XLOOKUP(3702644,Stops[stop_id],Stops[stop_id],"Não encontrado")</f>
        <v/>
      </c>
      <c r="E194" t="n">
        <v>9</v>
      </c>
    </row>
    <row r="195">
      <c r="A195">
        <f>_xlfn.XLOOKUP("175T-10-1",Trip[trip_id],Trip[trip_id],"Não encontrado")</f>
        <v/>
      </c>
      <c r="B195" s="53" t="n">
        <v>0.6802083333333333</v>
      </c>
      <c r="C195" s="53" t="n">
        <v>0.6802083333333333</v>
      </c>
      <c r="D195">
        <f>_xlfn.XLOOKUP(370010511,Stops[stop_id],Stops[stop_id],"Não encontrado")</f>
        <v/>
      </c>
      <c r="E195" t="n">
        <v>10</v>
      </c>
    </row>
    <row r="196">
      <c r="A196">
        <f>_xlfn.XLOOKUP("175T-10-1",Trip[trip_id],Trip[trip_id],"Não encontrado")</f>
        <v/>
      </c>
      <c r="B196" s="53" t="n">
        <v>0.6817129629629629</v>
      </c>
      <c r="C196" s="53" t="n">
        <v>0.6817129629629629</v>
      </c>
      <c r="D196">
        <f>_xlfn.XLOOKUP(370010512,Stops[stop_id],Stops[stop_id],"Não encontrado")</f>
        <v/>
      </c>
      <c r="E196" t="n">
        <v>11</v>
      </c>
    </row>
    <row r="197">
      <c r="A197">
        <f>_xlfn.XLOOKUP("175T-10-1",Trip[trip_id],Trip[trip_id],"Não encontrado")</f>
        <v/>
      </c>
      <c r="B197" s="53" t="n">
        <v>0.6832175925925926</v>
      </c>
      <c r="C197" s="53" t="n">
        <v>0.6832175925925926</v>
      </c>
      <c r="D197">
        <f>_xlfn.XLOOKUP(150010513,Stops[stop_id],Stops[stop_id],"Não encontrado")</f>
        <v/>
      </c>
      <c r="E197" t="n">
        <v>12</v>
      </c>
    </row>
    <row r="198">
      <c r="A198">
        <f>_xlfn.XLOOKUP("175T-10-1",Trip[trip_id],Trip[trip_id],"Não encontrado")</f>
        <v/>
      </c>
      <c r="B198" s="53" t="n">
        <v>0.6847222222222222</v>
      </c>
      <c r="C198" s="53" t="n">
        <v>0.6847222222222222</v>
      </c>
      <c r="D198">
        <f>_xlfn.XLOOKUP(150010514,Stops[stop_id],Stops[stop_id],"Não encontrado")</f>
        <v/>
      </c>
      <c r="E198" t="n">
        <v>13</v>
      </c>
    </row>
    <row r="199">
      <c r="A199">
        <f>_xlfn.XLOOKUP("175T-10-1",Trip[trip_id],Trip[trip_id],"Não encontrado")</f>
        <v/>
      </c>
      <c r="B199" s="53" t="n">
        <v>0.6862268518518518</v>
      </c>
      <c r="C199" s="53" t="n">
        <v>0.6862268518518518</v>
      </c>
      <c r="D199">
        <f>_xlfn.XLOOKUP(150010515,Stops[stop_id],Stops[stop_id],"Não encontrado")</f>
        <v/>
      </c>
      <c r="E199" t="n">
        <v>14</v>
      </c>
    </row>
    <row r="200">
      <c r="A200">
        <f>_xlfn.XLOOKUP("175T-10-1",Trip[trip_id],Trip[trip_id],"Não encontrado")</f>
        <v/>
      </c>
      <c r="B200" s="53" t="n">
        <v>0.6877314814814814</v>
      </c>
      <c r="C200" s="53" t="n">
        <v>0.6877314814814814</v>
      </c>
      <c r="D200">
        <f>_xlfn.XLOOKUP(150010516,Stops[stop_id],Stops[stop_id],"Não encontrado")</f>
        <v/>
      </c>
      <c r="E200" t="n">
        <v>15</v>
      </c>
    </row>
    <row r="201">
      <c r="A201">
        <f>_xlfn.XLOOKUP("175T-10-1",Trip[trip_id],Trip[trip_id],"Não encontrado")</f>
        <v/>
      </c>
      <c r="B201" s="53" t="n">
        <v>0.6892361111111112</v>
      </c>
      <c r="C201" s="53" t="n">
        <v>0.6892361111111112</v>
      </c>
      <c r="D201">
        <f>_xlfn.XLOOKUP(150010517,Stops[stop_id],Stops[stop_id],"Não encontrado")</f>
        <v/>
      </c>
      <c r="E201" t="n">
        <v>16</v>
      </c>
    </row>
    <row r="202">
      <c r="A202">
        <f>_xlfn.XLOOKUP("175T-10-1",Trip[trip_id],Trip[trip_id],"Não encontrado")</f>
        <v/>
      </c>
      <c r="B202" s="53" t="n">
        <v>0.6907407407407408</v>
      </c>
      <c r="C202" s="53" t="n">
        <v>0.6907407407407408</v>
      </c>
      <c r="D202">
        <f>_xlfn.XLOOKUP(150010326,Stops[stop_id],Stops[stop_id],"Não encontrado")</f>
        <v/>
      </c>
      <c r="E202" t="n">
        <v>17</v>
      </c>
    </row>
    <row r="203">
      <c r="A203">
        <f>_xlfn.XLOOKUP("175T-10-1",Trip[trip_id],Trip[trip_id],"Não encontrado")</f>
        <v/>
      </c>
      <c r="B203" s="53" t="n">
        <v>0.6922453703703704</v>
      </c>
      <c r="C203" s="53" t="n">
        <v>0.6922453703703704</v>
      </c>
      <c r="D203">
        <f>_xlfn.XLOOKUP(150010509,Stops[stop_id],Stops[stop_id],"Não encontrado")</f>
        <v/>
      </c>
      <c r="E203" t="n">
        <v>18</v>
      </c>
    </row>
    <row r="204">
      <c r="A204">
        <f>_xlfn.XLOOKUP("175T-10-1",Trip[trip_id],Trip[trip_id],"Não encontrado")</f>
        <v/>
      </c>
      <c r="B204" s="53" t="n">
        <v>0.69375</v>
      </c>
      <c r="C204" s="53" t="n">
        <v>0.69375</v>
      </c>
      <c r="D204">
        <f>_xlfn.XLOOKUP(150010507,Stops[stop_id],Stops[stop_id],"Não encontrado")</f>
        <v/>
      </c>
      <c r="E204" t="n">
        <v>19</v>
      </c>
    </row>
    <row r="205">
      <c r="A205">
        <f>_xlfn.XLOOKUP("175T-10-1",Trip[trip_id],Trip[trip_id],"Não encontrado")</f>
        <v/>
      </c>
      <c r="B205" s="53" t="n">
        <v>0.6952546296296296</v>
      </c>
      <c r="C205" s="53" t="n">
        <v>0.6952546296296296</v>
      </c>
      <c r="D205">
        <f>_xlfn.XLOOKUP(150010506,Stops[stop_id],Stops[stop_id],"Não encontrado")</f>
        <v/>
      </c>
      <c r="E205" t="n">
        <v>20</v>
      </c>
    </row>
    <row r="206">
      <c r="A206">
        <f>_xlfn.XLOOKUP("175T-10-1",Trip[trip_id],Trip[trip_id],"Não encontrado")</f>
        <v/>
      </c>
      <c r="B206" s="53" t="n">
        <v>0.6967592592592593</v>
      </c>
      <c r="C206" s="53" t="n">
        <v>0.6967592592592593</v>
      </c>
      <c r="D206">
        <f>_xlfn.XLOOKUP(1502886,Stops[stop_id],Stops[stop_id],"Não encontrado")</f>
        <v/>
      </c>
      <c r="E206" t="n">
        <v>21</v>
      </c>
    </row>
    <row r="207">
      <c r="A207">
        <f>_xlfn.XLOOKUP("175T-10-1",Trip[trip_id],Trip[trip_id],"Não encontrado")</f>
        <v/>
      </c>
      <c r="B207" s="53" t="n">
        <v>0.6982638888888889</v>
      </c>
      <c r="C207" s="53" t="n">
        <v>0.6982638888888889</v>
      </c>
      <c r="D207">
        <f>_xlfn.XLOOKUP(1506210,Stops[stop_id],Stops[stop_id],"Não encontrado")</f>
        <v/>
      </c>
      <c r="E207" t="n">
        <v>22</v>
      </c>
    </row>
    <row r="208">
      <c r="A208">
        <f>_xlfn.XLOOKUP("175T-10-1",Trip[trip_id],Trip[trip_id],"Não encontrado")</f>
        <v/>
      </c>
      <c r="B208" s="53" t="n">
        <v>0.6997685185185185</v>
      </c>
      <c r="C208" s="53" t="n">
        <v>0.6997685185185185</v>
      </c>
      <c r="D208">
        <f>_xlfn.XLOOKUP(150015554,Stops[stop_id],Stops[stop_id],"Não encontrado")</f>
        <v/>
      </c>
      <c r="E208" t="n">
        <v>23</v>
      </c>
    </row>
    <row r="209">
      <c r="A209">
        <f>_xlfn.XLOOKUP("175T-10-1",Trip[trip_id],Trip[trip_id],"Não encontrado")</f>
        <v/>
      </c>
      <c r="B209" s="53" t="n">
        <v>0.7012731481481481</v>
      </c>
      <c r="C209" s="53" t="n">
        <v>0.7012731481481481</v>
      </c>
      <c r="D209">
        <f>_xlfn.XLOOKUP(790015062,Stops[stop_id],Stops[stop_id],"Não encontrado")</f>
        <v/>
      </c>
      <c r="E209" t="n">
        <v>24</v>
      </c>
    </row>
    <row r="210">
      <c r="A210">
        <f>_xlfn.XLOOKUP("175T-10-1",Trip[trip_id],Trip[trip_id],"Não encontrado")</f>
        <v/>
      </c>
      <c r="B210" s="53" t="n">
        <v>0.7027777777777777</v>
      </c>
      <c r="C210" s="53" t="n">
        <v>0.7027777777777777</v>
      </c>
      <c r="D210">
        <f>_xlfn.XLOOKUP(790015063,Stops[stop_id],Stops[stop_id],"Não encontrado")</f>
        <v/>
      </c>
      <c r="E210" t="n">
        <v>25</v>
      </c>
    </row>
    <row r="211">
      <c r="A211">
        <f>_xlfn.XLOOKUP("175T-10-1",Trip[trip_id],Trip[trip_id],"Não encontrado")</f>
        <v/>
      </c>
      <c r="B211" s="53" t="n">
        <v>0.7042824074074074</v>
      </c>
      <c r="C211" s="53" t="n">
        <v>0.7042824074074074</v>
      </c>
      <c r="D211">
        <f>_xlfn.XLOOKUP(790015064,Stops[stop_id],Stops[stop_id],"Não encontrado")</f>
        <v/>
      </c>
      <c r="E211" t="n">
        <v>26</v>
      </c>
    </row>
    <row r="212">
      <c r="A212">
        <f>_xlfn.XLOOKUP("175T-10-1",Trip[trip_id],Trip[trip_id],"Não encontrado")</f>
        <v/>
      </c>
      <c r="B212" s="53" t="n">
        <v>0.705787037037037</v>
      </c>
      <c r="C212" s="53" t="n">
        <v>0.705787037037037</v>
      </c>
      <c r="D212">
        <f>_xlfn.XLOOKUP(790015065,Stops[stop_id],Stops[stop_id],"Não encontrado")</f>
        <v/>
      </c>
      <c r="E212" t="n">
        <v>27</v>
      </c>
    </row>
    <row r="213">
      <c r="A213">
        <f>_xlfn.XLOOKUP("175T-10-1",Trip[trip_id],Trip[trip_id],"Não encontrado")</f>
        <v/>
      </c>
      <c r="B213" s="53" t="n">
        <v>0.7072916666666667</v>
      </c>
      <c r="C213" s="53" t="n">
        <v>0.7072916666666667</v>
      </c>
      <c r="D213">
        <f>_xlfn.XLOOKUP(790015146,Stops[stop_id],Stops[stop_id],"Não encontrado")</f>
        <v/>
      </c>
      <c r="E213" t="n">
        <v>28</v>
      </c>
    </row>
    <row r="214">
      <c r="A214">
        <f>_xlfn.XLOOKUP("175T-10-1",Trip[trip_id],Trip[trip_id],"Não encontrado")</f>
        <v/>
      </c>
      <c r="B214" s="53" t="n">
        <v>0.7087962962962963</v>
      </c>
      <c r="C214" s="53" t="n">
        <v>0.7087962962962963</v>
      </c>
      <c r="D214">
        <f>_xlfn.XLOOKUP(920015147,Stops[stop_id],Stops[stop_id],"Não encontrado")</f>
        <v/>
      </c>
      <c r="E214" t="n">
        <v>29</v>
      </c>
    </row>
    <row r="215">
      <c r="A215">
        <f>_xlfn.XLOOKUP("175T-10-1",Trip[trip_id],Trip[trip_id],"Não encontrado")</f>
        <v/>
      </c>
      <c r="B215" s="53" t="n">
        <v>0.710300925925926</v>
      </c>
      <c r="C215" s="53" t="n">
        <v>0.710300925925926</v>
      </c>
      <c r="D215">
        <f>_xlfn.XLOOKUP(920015148,Stops[stop_id],Stops[stop_id],"Não encontrado")</f>
        <v/>
      </c>
      <c r="E215" t="n">
        <v>30</v>
      </c>
    </row>
    <row r="216">
      <c r="A216">
        <f>_xlfn.XLOOKUP("175T-10-1",Trip[trip_id],Trip[trip_id],"Não encontrado")</f>
        <v/>
      </c>
      <c r="B216" s="53" t="n">
        <v>0.7118055555555556</v>
      </c>
      <c r="C216" s="53" t="n">
        <v>0.7118055555555556</v>
      </c>
      <c r="D216">
        <f>_xlfn.XLOOKUP(5306679,Stops[stop_id],Stops[stop_id],"Não encontrado")</f>
        <v/>
      </c>
      <c r="E216" t="n">
        <v>31</v>
      </c>
    </row>
    <row r="217">
      <c r="A217">
        <f>_xlfn.XLOOKUP("175T-10-1",Trip[trip_id],Trip[trip_id],"Não encontrado")</f>
        <v/>
      </c>
      <c r="B217" s="53" t="n">
        <v>0.7133101851851852</v>
      </c>
      <c r="C217" s="53" t="n">
        <v>0.7133101851851852</v>
      </c>
      <c r="D217">
        <f>_xlfn.XLOOKUP(530015150,Stops[stop_id],Stops[stop_id],"Não encontrado")</f>
        <v/>
      </c>
      <c r="E217" t="n">
        <v>32</v>
      </c>
    </row>
    <row r="218">
      <c r="A218">
        <f>_xlfn.XLOOKUP("175T-10-1",Trip[trip_id],Trip[trip_id],"Não encontrado")</f>
        <v/>
      </c>
      <c r="B218" s="53" t="n">
        <v>0.7148148148148148</v>
      </c>
      <c r="C218" s="53" t="n">
        <v>0.7148148148148148</v>
      </c>
      <c r="D218">
        <f>_xlfn.XLOOKUP(530015179,Stops[stop_id],Stops[stop_id],"Não encontrado")</f>
        <v/>
      </c>
      <c r="E218" t="n">
        <v>33</v>
      </c>
    </row>
    <row r="219">
      <c r="A219">
        <f>_xlfn.XLOOKUP("175T-10-1",Trip[trip_id],Trip[trip_id],"Não encontrado")</f>
        <v/>
      </c>
      <c r="B219" s="53" t="n">
        <v>0.7163194444444444</v>
      </c>
      <c r="C219" s="53" t="n">
        <v>0.7163194444444444</v>
      </c>
      <c r="D219">
        <f>_xlfn.XLOOKUP(920015180,Stops[stop_id],Stops[stop_id],"Não encontrado")</f>
        <v/>
      </c>
      <c r="E219" t="n">
        <v>34</v>
      </c>
    </row>
    <row r="220">
      <c r="A220">
        <f>_xlfn.XLOOKUP("175T-10-1",Trip[trip_id],Trip[trip_id],"Não encontrado")</f>
        <v/>
      </c>
      <c r="B220" s="53" t="n">
        <v>0.7178240740740741</v>
      </c>
      <c r="C220" s="53" t="n">
        <v>0.7178240740740741</v>
      </c>
      <c r="D220">
        <f>_xlfn.XLOOKUP(490016414,Stops[stop_id],Stops[stop_id],"Não encontrado")</f>
        <v/>
      </c>
      <c r="E220" t="n">
        <v>35</v>
      </c>
    </row>
    <row r="221">
      <c r="A221">
        <f>_xlfn.XLOOKUP("175T-10-1",Trip[trip_id],Trip[trip_id],"Não encontrado")</f>
        <v/>
      </c>
      <c r="B221" s="53" t="n">
        <v>0.7193287037037037</v>
      </c>
      <c r="C221" s="53" t="n">
        <v>0.7193287037037037</v>
      </c>
      <c r="D221">
        <f>_xlfn.XLOOKUP(490016415,Stops[stop_id],Stops[stop_id],"Não encontrado")</f>
        <v/>
      </c>
      <c r="E221" t="n">
        <v>36</v>
      </c>
    </row>
    <row r="222">
      <c r="A222">
        <f>_xlfn.XLOOKUP("175T-10-1",Trip[trip_id],Trip[trip_id],"Não encontrado")</f>
        <v/>
      </c>
      <c r="B222" s="53" t="n">
        <v>0.7208333333333333</v>
      </c>
      <c r="C222" s="53" t="n">
        <v>0.7208333333333333</v>
      </c>
      <c r="D222">
        <f>_xlfn.XLOOKUP(490016416,Stops[stop_id],Stops[stop_id],"Não encontrado")</f>
        <v/>
      </c>
      <c r="E222" t="n">
        <v>37</v>
      </c>
    </row>
    <row r="223">
      <c r="A223">
        <f>_xlfn.XLOOKUP("175T-10-1",Trip[trip_id],Trip[trip_id],"Não encontrado")</f>
        <v/>
      </c>
      <c r="B223" s="53" t="n">
        <v>0.7223379629629629</v>
      </c>
      <c r="C223" s="53" t="n">
        <v>0.7223379629629629</v>
      </c>
      <c r="D223">
        <f>_xlfn.XLOOKUP(800016417,Stops[stop_id],Stops[stop_id],"Não encontrado")</f>
        <v/>
      </c>
      <c r="E223" t="n">
        <v>38</v>
      </c>
    </row>
    <row r="224">
      <c r="A224">
        <f>_xlfn.XLOOKUP("175T-10-1",Trip[trip_id],Trip[trip_id],"Não encontrado")</f>
        <v/>
      </c>
      <c r="B224" s="53" t="n">
        <v>0.7238425925925925</v>
      </c>
      <c r="C224" s="53" t="n">
        <v>0.7238425925925925</v>
      </c>
      <c r="D224">
        <f>_xlfn.XLOOKUP(5306697,Stops[stop_id],Stops[stop_id],"Não encontrado")</f>
        <v/>
      </c>
      <c r="E224" t="n">
        <v>39</v>
      </c>
    </row>
    <row r="225">
      <c r="A225">
        <f>_xlfn.XLOOKUP("175T-10-1",Trip[trip_id],Trip[trip_id],"Não encontrado")</f>
        <v/>
      </c>
      <c r="B225" s="53" t="n">
        <v>0.7253472222222223</v>
      </c>
      <c r="C225" s="53" t="n">
        <v>0.7253472222222223</v>
      </c>
      <c r="D225">
        <f>_xlfn.XLOOKUP(6714452,Stops[stop_id],Stops[stop_id],"Não encontrado")</f>
        <v/>
      </c>
      <c r="E225" t="n">
        <v>40</v>
      </c>
    </row>
    <row r="226">
      <c r="A226">
        <f>_xlfn.XLOOKUP("175T-10-1",Trip[trip_id],Trip[trip_id],"Não encontrado")</f>
        <v/>
      </c>
      <c r="B226" s="53" t="n">
        <v>0.7268518518518519</v>
      </c>
      <c r="C226" s="53" t="n">
        <v>0.7268518518518519</v>
      </c>
      <c r="D226">
        <f>_xlfn.XLOOKUP(90017113,Stops[stop_id],Stops[stop_id],"Não encontrado")</f>
        <v/>
      </c>
      <c r="E226" t="n">
        <v>41</v>
      </c>
    </row>
    <row r="227">
      <c r="A227">
        <f>_xlfn.XLOOKUP("175T-10-1",Trip[trip_id],Trip[trip_id],"Não encontrado")</f>
        <v/>
      </c>
      <c r="B227" s="53" t="n">
        <v>0.7283564814814815</v>
      </c>
      <c r="C227" s="53" t="n">
        <v>0.7283564814814815</v>
      </c>
      <c r="D227">
        <f>_xlfn.XLOOKUP(90017114,Stops[stop_id],Stops[stop_id],"Não encontrado")</f>
        <v/>
      </c>
      <c r="E227" t="n">
        <v>42</v>
      </c>
    </row>
    <row r="228">
      <c r="A228">
        <f>_xlfn.XLOOKUP("175T-10-1",Trip[trip_id],Trip[trip_id],"Não encontrado")</f>
        <v/>
      </c>
      <c r="B228" s="53" t="n">
        <v>0.7298611111111111</v>
      </c>
      <c r="C228" s="53" t="n">
        <v>0.7298611111111111</v>
      </c>
      <c r="D228">
        <f>_xlfn.XLOOKUP(90017115,Stops[stop_id],Stops[stop_id],"Não encontrado")</f>
        <v/>
      </c>
      <c r="E228" t="n">
        <v>43</v>
      </c>
    </row>
    <row r="229">
      <c r="A229">
        <f>_xlfn.XLOOKUP("175T-10-1",Trip[trip_id],Trip[trip_id],"Não encontrado")</f>
        <v/>
      </c>
      <c r="B229" s="53" t="n">
        <v>0.7313657407407408</v>
      </c>
      <c r="C229" s="53" t="n">
        <v>0.7313657407407408</v>
      </c>
      <c r="D229">
        <f>_xlfn.XLOOKUP(90017116,Stops[stop_id],Stops[stop_id],"Não encontrado")</f>
        <v/>
      </c>
      <c r="E229" t="n">
        <v>44</v>
      </c>
    </row>
    <row r="230">
      <c r="A230">
        <f>_xlfn.XLOOKUP("175T-10-1",Trip[trip_id],Trip[trip_id],"Não encontrado")</f>
        <v/>
      </c>
      <c r="B230" s="53" t="n">
        <v>0.7328703703703704</v>
      </c>
      <c r="C230" s="53" t="n">
        <v>0.7328703703703704</v>
      </c>
      <c r="D230">
        <f>_xlfn.XLOOKUP(910822,Stops[stop_id],Stops[stop_id],"Não encontrado")</f>
        <v/>
      </c>
      <c r="E230" t="n">
        <v>45</v>
      </c>
    </row>
    <row r="231">
      <c r="A231">
        <f>_xlfn.XLOOKUP("175T-10-1",Trip[trip_id],Trip[trip_id],"Não encontrado")</f>
        <v/>
      </c>
      <c r="B231" s="53" t="n">
        <v>0.734375</v>
      </c>
      <c r="C231" s="53" t="n">
        <v>0.734375</v>
      </c>
      <c r="D231">
        <f>_xlfn.XLOOKUP(910813,Stops[stop_id],Stops[stop_id],"Não encontrado")</f>
        <v/>
      </c>
      <c r="E231" t="n">
        <v>46</v>
      </c>
    </row>
    <row r="232">
      <c r="A232">
        <f>_xlfn.XLOOKUP("175T-10-1",Trip[trip_id],Trip[trip_id],"Não encontrado")</f>
        <v/>
      </c>
      <c r="B232" s="53" t="n">
        <v>0.7358796296296296</v>
      </c>
      <c r="C232" s="53" t="n">
        <v>0.7358796296296296</v>
      </c>
      <c r="D232">
        <f>_xlfn.XLOOKUP(710000966,Stops[stop_id],Stops[stop_id],"Não encontrado")</f>
        <v/>
      </c>
      <c r="E232" t="n">
        <v>47</v>
      </c>
    </row>
    <row r="233">
      <c r="A233">
        <f>_xlfn.XLOOKUP("175T-10-1",Trip[trip_id],Trip[trip_id],"Não encontrado")</f>
        <v/>
      </c>
      <c r="B233" s="53" t="n">
        <v>0.7373842592592592</v>
      </c>
      <c r="C233" s="53" t="n">
        <v>0.7373842592592592</v>
      </c>
      <c r="D233">
        <f>_xlfn.XLOOKUP(710000959,Stops[stop_id],Stops[stop_id],"Não encontrado")</f>
        <v/>
      </c>
      <c r="E233" t="n">
        <v>48</v>
      </c>
    </row>
    <row r="234">
      <c r="A234">
        <f>_xlfn.XLOOKUP("175T-10-1",Trip[trip_id],Trip[trip_id],"Não encontrado")</f>
        <v/>
      </c>
      <c r="B234" s="53" t="n">
        <v>0.7388888888888889</v>
      </c>
      <c r="C234" s="53" t="n">
        <v>0.7388888888888889</v>
      </c>
      <c r="D234">
        <f>_xlfn.XLOOKUP(710000958,Stops[stop_id],Stops[stop_id],"Não encontrado")</f>
        <v/>
      </c>
      <c r="E234" t="n">
        <v>49</v>
      </c>
    </row>
    <row r="235">
      <c r="A235">
        <f>_xlfn.XLOOKUP("175T-10-1",Trip[trip_id],Trip[trip_id],"Não encontrado")</f>
        <v/>
      </c>
      <c r="B235" s="53" t="n">
        <v>0.7403935185185185</v>
      </c>
      <c r="C235" s="53" t="n">
        <v>0.7403935185185185</v>
      </c>
      <c r="D235">
        <f>_xlfn.XLOOKUP(710000651,Stops[stop_id],Stops[stop_id],"Não encontrado")</f>
        <v/>
      </c>
      <c r="E235" t="n">
        <v>50</v>
      </c>
    </row>
    <row r="236">
      <c r="A236">
        <f>_xlfn.XLOOKUP("175T-10-1",Trip[trip_id],Trip[trip_id],"Não encontrado")</f>
        <v/>
      </c>
      <c r="B236" s="53" t="n">
        <v>0.74375</v>
      </c>
      <c r="C236" s="53" t="n">
        <v>0.74375</v>
      </c>
      <c r="D236">
        <f>_xlfn.XLOOKUP(710000637,Stops[stop_id],Stops[stop_id],"Não encontrado")</f>
        <v/>
      </c>
      <c r="E236" t="n">
        <v>51</v>
      </c>
    </row>
    <row r="237">
      <c r="A237">
        <f>_xlfn.XLOOKUP("272N-10-0",Trip[trip_id],Trip[trip_id],"Não encontrado")</f>
        <v/>
      </c>
      <c r="B237" s="53" t="n">
        <v>0.5833333333333334</v>
      </c>
      <c r="C237" s="53" t="n">
        <v>0.5833333333333334</v>
      </c>
      <c r="D237">
        <f>_xlfn.XLOOKUP(9112484,Stops[stop_id],Stops[stop_id],"Não encontrado")</f>
        <v/>
      </c>
      <c r="E237" t="n">
        <v>1</v>
      </c>
    </row>
    <row r="238">
      <c r="A238">
        <f>_xlfn.XLOOKUP("272N-10-0",Trip[trip_id],Trip[trip_id],"Não encontrado")</f>
        <v/>
      </c>
      <c r="B238" s="53" t="n">
        <v>0.5848726851851852</v>
      </c>
      <c r="C238" s="53" t="n">
        <v>0.5848726851851852</v>
      </c>
      <c r="D238">
        <f>_xlfn.XLOOKUP(910000832,Stops[stop_id],Stops[stop_id],"Não encontrado")</f>
        <v/>
      </c>
      <c r="E238" t="n">
        <v>2</v>
      </c>
    </row>
    <row r="239">
      <c r="A239">
        <f>_xlfn.XLOOKUP("272N-10-0",Trip[trip_id],Trip[trip_id],"Não encontrado")</f>
        <v/>
      </c>
      <c r="B239" s="53" t="n">
        <v>0.586412037037037</v>
      </c>
      <c r="C239" s="53" t="n">
        <v>0.586412037037037</v>
      </c>
      <c r="D239">
        <f>_xlfn.XLOOKUP(910000845,Stops[stop_id],Stops[stop_id],"Não encontrado")</f>
        <v/>
      </c>
      <c r="E239" t="n">
        <v>3</v>
      </c>
    </row>
    <row r="240">
      <c r="A240">
        <f>_xlfn.XLOOKUP("272N-10-0",Trip[trip_id],Trip[trip_id],"Não encontrado")</f>
        <v/>
      </c>
      <c r="B240" s="53" t="n">
        <v>0.5879513888888889</v>
      </c>
      <c r="C240" s="53" t="n">
        <v>0.5879513888888889</v>
      </c>
      <c r="D240">
        <f>_xlfn.XLOOKUP(910003282,Stops[stop_id],Stops[stop_id],"Não encontrado")</f>
        <v/>
      </c>
      <c r="E240" t="n">
        <v>4</v>
      </c>
    </row>
    <row r="241">
      <c r="A241">
        <f>_xlfn.XLOOKUP("272N-10-0",Trip[trip_id],Trip[trip_id],"Não encontrado")</f>
        <v/>
      </c>
      <c r="B241" s="53" t="n">
        <v>0.5894907407407407</v>
      </c>
      <c r="C241" s="53" t="n">
        <v>0.5894907407407407</v>
      </c>
      <c r="D241">
        <f>_xlfn.XLOOKUP(910000830,Stops[stop_id],Stops[stop_id],"Não encontrado")</f>
        <v/>
      </c>
      <c r="E241" t="n">
        <v>5</v>
      </c>
    </row>
    <row r="242">
      <c r="A242">
        <f>_xlfn.XLOOKUP("272N-10-0",Trip[trip_id],Trip[trip_id],"Não encontrado")</f>
        <v/>
      </c>
      <c r="B242" s="53" t="n">
        <v>0.5910300925925925</v>
      </c>
      <c r="C242" s="53" t="n">
        <v>0.5910300925925925</v>
      </c>
      <c r="D242">
        <f>_xlfn.XLOOKUP(9110180,Stops[stop_id],Stops[stop_id],"Não encontrado")</f>
        <v/>
      </c>
      <c r="E242" t="n">
        <v>6</v>
      </c>
    </row>
    <row r="243">
      <c r="A243">
        <f>_xlfn.XLOOKUP("272N-10-0",Trip[trip_id],Trip[trip_id],"Não encontrado")</f>
        <v/>
      </c>
      <c r="B243" s="53" t="n">
        <v>0.5925694444444445</v>
      </c>
      <c r="C243" s="53" t="n">
        <v>0.5925694444444445</v>
      </c>
      <c r="D243">
        <f>_xlfn.XLOOKUP(910000827,Stops[stop_id],Stops[stop_id],"Não encontrado")</f>
        <v/>
      </c>
      <c r="E243" t="n">
        <v>7</v>
      </c>
    </row>
    <row r="244">
      <c r="A244">
        <f>_xlfn.XLOOKUP("272N-10-0",Trip[trip_id],Trip[trip_id],"Não encontrado")</f>
        <v/>
      </c>
      <c r="B244" s="53" t="n">
        <v>0.5941087962962963</v>
      </c>
      <c r="C244" s="53" t="n">
        <v>0.5941087962962963</v>
      </c>
      <c r="D244">
        <f>_xlfn.XLOOKUP(910000815,Stops[stop_id],Stops[stop_id],"Não encontrado")</f>
        <v/>
      </c>
      <c r="E244" t="n">
        <v>8</v>
      </c>
    </row>
    <row r="245">
      <c r="A245">
        <f>_xlfn.XLOOKUP("272N-10-0",Trip[trip_id],Trip[trip_id],"Não encontrado")</f>
        <v/>
      </c>
      <c r="B245" s="53" t="n">
        <v>0.5956481481481481</v>
      </c>
      <c r="C245" s="53" t="n">
        <v>0.5956481481481481</v>
      </c>
      <c r="D245">
        <f>_xlfn.XLOOKUP(910000817,Stops[stop_id],Stops[stop_id],"Não encontrado")</f>
        <v/>
      </c>
      <c r="E245" t="n">
        <v>9</v>
      </c>
    </row>
    <row r="246">
      <c r="A246">
        <f>_xlfn.XLOOKUP("272N-10-0",Trip[trip_id],Trip[trip_id],"Não encontrado")</f>
        <v/>
      </c>
      <c r="B246" s="53" t="n">
        <v>0.5971875</v>
      </c>
      <c r="C246" s="53" t="n">
        <v>0.5971875</v>
      </c>
      <c r="D246">
        <f>_xlfn.XLOOKUP(910000818,Stops[stop_id],Stops[stop_id],"Não encontrado")</f>
        <v/>
      </c>
      <c r="E246" t="n">
        <v>10</v>
      </c>
    </row>
    <row r="247">
      <c r="A247">
        <f>_xlfn.XLOOKUP("272N-10-0",Trip[trip_id],Trip[trip_id],"Não encontrado")</f>
        <v/>
      </c>
      <c r="B247" s="53" t="n">
        <v>0.5987268518518518</v>
      </c>
      <c r="C247" s="53" t="n">
        <v>0.5987268518518518</v>
      </c>
      <c r="D247">
        <f>_xlfn.XLOOKUP(910000820,Stops[stop_id],Stops[stop_id],"Não encontrado")</f>
        <v/>
      </c>
      <c r="E247" t="n">
        <v>11</v>
      </c>
    </row>
    <row r="248">
      <c r="A248">
        <f>_xlfn.XLOOKUP("272N-10-0",Trip[trip_id],Trip[trip_id],"Não encontrado")</f>
        <v/>
      </c>
      <c r="B248" s="53" t="n">
        <v>0.6002662037037036</v>
      </c>
      <c r="C248" s="53" t="n">
        <v>0.6002662037037036</v>
      </c>
      <c r="D248">
        <f>_xlfn.XLOOKUP(9112353,Stops[stop_id],Stops[stop_id],"Não encontrado")</f>
        <v/>
      </c>
      <c r="E248" t="n">
        <v>12</v>
      </c>
    </row>
    <row r="249">
      <c r="A249">
        <f>_xlfn.XLOOKUP("272N-10-0",Trip[trip_id],Trip[trip_id],"Não encontrado")</f>
        <v/>
      </c>
      <c r="B249" s="53" t="n">
        <v>0.6018055555555556</v>
      </c>
      <c r="C249" s="53" t="n">
        <v>0.6018055555555556</v>
      </c>
      <c r="D249">
        <f>_xlfn.XLOOKUP(910001875,Stops[stop_id],Stops[stop_id],"Não encontrado")</f>
        <v/>
      </c>
      <c r="E249" t="n">
        <v>13</v>
      </c>
    </row>
    <row r="250">
      <c r="A250">
        <f>_xlfn.XLOOKUP("272N-10-0",Trip[trip_id],Trip[trip_id],"Não encontrado")</f>
        <v/>
      </c>
      <c r="B250" s="53" t="n">
        <v>0.6033449074074074</v>
      </c>
      <c r="C250" s="53" t="n">
        <v>0.6033449074074074</v>
      </c>
      <c r="D250">
        <f>_xlfn.XLOOKUP(9112474,Stops[stop_id],Stops[stop_id],"Não encontrado")</f>
        <v/>
      </c>
      <c r="E250" t="n">
        <v>14</v>
      </c>
    </row>
    <row r="251">
      <c r="A251">
        <f>_xlfn.XLOOKUP("272N-10-0",Trip[trip_id],Trip[trip_id],"Não encontrado")</f>
        <v/>
      </c>
      <c r="B251" s="53" t="n">
        <v>0.6048842592592593</v>
      </c>
      <c r="C251" s="53" t="n">
        <v>0.6048842592592593</v>
      </c>
      <c r="D251">
        <f>_xlfn.XLOOKUP(910001877,Stops[stop_id],Stops[stop_id],"Não encontrado")</f>
        <v/>
      </c>
      <c r="E251" t="n">
        <v>15</v>
      </c>
    </row>
    <row r="252">
      <c r="A252">
        <f>_xlfn.XLOOKUP("272N-10-0",Trip[trip_id],Trip[trip_id],"Não encontrado")</f>
        <v/>
      </c>
      <c r="B252" s="53" t="n">
        <v>0.6064236111111111</v>
      </c>
      <c r="C252" s="53" t="n">
        <v>0.6064236111111111</v>
      </c>
      <c r="D252">
        <f>_xlfn.XLOOKUP(910000842,Stops[stop_id],Stops[stop_id],"Não encontrado")</f>
        <v/>
      </c>
      <c r="E252" t="n">
        <v>16</v>
      </c>
    </row>
    <row r="253">
      <c r="A253">
        <f>_xlfn.XLOOKUP("272N-10-0",Trip[trip_id],Trip[trip_id],"Não encontrado")</f>
        <v/>
      </c>
      <c r="B253" s="53" t="n">
        <v>0.6079629629629629</v>
      </c>
      <c r="C253" s="53" t="n">
        <v>0.6079629629629629</v>
      </c>
      <c r="D253">
        <f>_xlfn.XLOOKUP(9110310,Stops[stop_id],Stops[stop_id],"Não encontrado")</f>
        <v/>
      </c>
      <c r="E253" t="n">
        <v>17</v>
      </c>
    </row>
    <row r="254">
      <c r="A254">
        <f>_xlfn.XLOOKUP("272N-10-0",Trip[trip_id],Trip[trip_id],"Não encontrado")</f>
        <v/>
      </c>
      <c r="B254" s="53" t="n">
        <v>0.6095023148148148</v>
      </c>
      <c r="C254" s="53" t="n">
        <v>0.6095023148148148</v>
      </c>
      <c r="D254">
        <f>_xlfn.XLOOKUP(910000813,Stops[stop_id],Stops[stop_id],"Não encontrado")</f>
        <v/>
      </c>
      <c r="E254" t="n">
        <v>18</v>
      </c>
    </row>
    <row r="255">
      <c r="A255">
        <f>_xlfn.XLOOKUP("272N-10-0",Trip[trip_id],Trip[trip_id],"Não encontrado")</f>
        <v/>
      </c>
      <c r="B255" s="53" t="n">
        <v>0.6110416666666667</v>
      </c>
      <c r="C255" s="53" t="n">
        <v>0.6110416666666667</v>
      </c>
      <c r="D255">
        <f>_xlfn.XLOOKUP(910000811,Stops[stop_id],Stops[stop_id],"Não encontrado")</f>
        <v/>
      </c>
      <c r="E255" t="n">
        <v>19</v>
      </c>
    </row>
    <row r="256">
      <c r="A256">
        <f>_xlfn.XLOOKUP("272N-10-0",Trip[trip_id],Trip[trip_id],"Não encontrado")</f>
        <v/>
      </c>
      <c r="B256" s="53" t="n">
        <v>0.6125810185185185</v>
      </c>
      <c r="C256" s="53" t="n">
        <v>0.6125810185185185</v>
      </c>
      <c r="D256">
        <f>_xlfn.XLOOKUP(910000809,Stops[stop_id],Stops[stop_id],"Não encontrado")</f>
        <v/>
      </c>
      <c r="E256" t="n">
        <v>20</v>
      </c>
    </row>
    <row r="257">
      <c r="A257">
        <f>_xlfn.XLOOKUP("272N-10-0",Trip[trip_id],Trip[trip_id],"Não encontrado")</f>
        <v/>
      </c>
      <c r="B257" s="53" t="n">
        <v>0.6141203703703704</v>
      </c>
      <c r="C257" s="53" t="n">
        <v>0.6141203703703704</v>
      </c>
      <c r="D257">
        <f>_xlfn.XLOOKUP(910002027,Stops[stop_id],Stops[stop_id],"Não encontrado")</f>
        <v/>
      </c>
      <c r="E257" t="n">
        <v>21</v>
      </c>
    </row>
    <row r="258">
      <c r="A258">
        <f>_xlfn.XLOOKUP("272N-10-0",Trip[trip_id],Trip[trip_id],"Não encontrado")</f>
        <v/>
      </c>
      <c r="B258" s="53" t="n">
        <v>0.6156597222222222</v>
      </c>
      <c r="C258" s="53" t="n">
        <v>0.6156597222222222</v>
      </c>
      <c r="D258">
        <f>_xlfn.XLOOKUP(910002024,Stops[stop_id],Stops[stop_id],"Não encontrado")</f>
        <v/>
      </c>
      <c r="E258" t="n">
        <v>22</v>
      </c>
    </row>
    <row r="259">
      <c r="A259">
        <f>_xlfn.XLOOKUP("272N-10-0",Trip[trip_id],Trip[trip_id],"Não encontrado")</f>
        <v/>
      </c>
      <c r="B259" s="53" t="n">
        <v>0.617199074074074</v>
      </c>
      <c r="C259" s="53" t="n">
        <v>0.617199074074074</v>
      </c>
      <c r="D259">
        <f>_xlfn.XLOOKUP(9112472,Stops[stop_id],Stops[stop_id],"Não encontrado")</f>
        <v/>
      </c>
      <c r="E259" t="n">
        <v>23</v>
      </c>
    </row>
    <row r="260">
      <c r="A260">
        <f>_xlfn.XLOOKUP("272N-10-0",Trip[trip_id],Trip[trip_id],"Não encontrado")</f>
        <v/>
      </c>
      <c r="B260" s="53" t="n">
        <v>0.6187384259259259</v>
      </c>
      <c r="C260" s="53" t="n">
        <v>0.6187384259259259</v>
      </c>
      <c r="D260">
        <f>_xlfn.XLOOKUP(910000774,Stops[stop_id],Stops[stop_id],"Não encontrado")</f>
        <v/>
      </c>
      <c r="E260" t="n">
        <v>24</v>
      </c>
    </row>
    <row r="261">
      <c r="A261">
        <f>_xlfn.XLOOKUP("272N-10-0",Trip[trip_id],Trip[trip_id],"Não encontrado")</f>
        <v/>
      </c>
      <c r="B261" s="53" t="n">
        <v>0.6202777777777778</v>
      </c>
      <c r="C261" s="53" t="n">
        <v>0.6202777777777778</v>
      </c>
      <c r="D261">
        <f>_xlfn.XLOOKUP(9112477,Stops[stop_id],Stops[stop_id],"Não encontrado")</f>
        <v/>
      </c>
      <c r="E261" t="n">
        <v>25</v>
      </c>
    </row>
    <row r="262">
      <c r="A262">
        <f>_xlfn.XLOOKUP("272N-10-0",Trip[trip_id],Trip[trip_id],"Não encontrado")</f>
        <v/>
      </c>
      <c r="B262" s="53" t="n">
        <v>0.6218171296296297</v>
      </c>
      <c r="C262" s="53" t="n">
        <v>0.6218171296296297</v>
      </c>
      <c r="D262">
        <f>_xlfn.XLOOKUP(910000779,Stops[stop_id],Stops[stop_id],"Não encontrado")</f>
        <v/>
      </c>
      <c r="E262" t="n">
        <v>26</v>
      </c>
    </row>
    <row r="263">
      <c r="A263">
        <f>_xlfn.XLOOKUP("272N-10-0",Trip[trip_id],Trip[trip_id],"Não encontrado")</f>
        <v/>
      </c>
      <c r="B263" s="53" t="n">
        <v>0.6233564814814815</v>
      </c>
      <c r="C263" s="53" t="n">
        <v>0.6233564814814815</v>
      </c>
      <c r="D263">
        <f>_xlfn.XLOOKUP(910002023,Stops[stop_id],Stops[stop_id],"Não encontrado")</f>
        <v/>
      </c>
      <c r="E263" t="n">
        <v>27</v>
      </c>
    </row>
    <row r="264">
      <c r="A264">
        <f>_xlfn.XLOOKUP("272N-10-0",Trip[trip_id],Trip[trip_id],"Não encontrado")</f>
        <v/>
      </c>
      <c r="B264" s="53" t="n">
        <v>0.6248958333333333</v>
      </c>
      <c r="C264" s="53" t="n">
        <v>0.6248958333333333</v>
      </c>
      <c r="D264">
        <f>_xlfn.XLOOKUP(910000862,Stops[stop_id],Stops[stop_id],"Não encontrado")</f>
        <v/>
      </c>
      <c r="E264" t="n">
        <v>28</v>
      </c>
    </row>
    <row r="265">
      <c r="A265">
        <f>_xlfn.XLOOKUP("272N-10-0",Trip[trip_id],Trip[trip_id],"Não encontrado")</f>
        <v/>
      </c>
      <c r="B265" s="53" t="n">
        <v>0.6264351851851852</v>
      </c>
      <c r="C265" s="53" t="n">
        <v>0.6264351851851852</v>
      </c>
      <c r="D265">
        <f>_xlfn.XLOOKUP(910000864,Stops[stop_id],Stops[stop_id],"Não encontrado")</f>
        <v/>
      </c>
      <c r="E265" t="n">
        <v>29</v>
      </c>
    </row>
    <row r="266">
      <c r="A266">
        <f>_xlfn.XLOOKUP("272N-10-0",Trip[trip_id],Trip[trip_id],"Não encontrado")</f>
        <v/>
      </c>
      <c r="B266" s="53" t="n">
        <v>0.627974537037037</v>
      </c>
      <c r="C266" s="53" t="n">
        <v>0.627974537037037</v>
      </c>
      <c r="D266">
        <f>_xlfn.XLOOKUP(910000866,Stops[stop_id],Stops[stop_id],"Não encontrado")</f>
        <v/>
      </c>
      <c r="E266" t="n">
        <v>30</v>
      </c>
    </row>
    <row r="267">
      <c r="A267">
        <f>_xlfn.XLOOKUP("272N-10-0",Trip[trip_id],Trip[trip_id],"Não encontrado")</f>
        <v/>
      </c>
      <c r="B267" s="53" t="n">
        <v>0.6295138888888889</v>
      </c>
      <c r="C267" s="53" t="n">
        <v>0.6295138888888889</v>
      </c>
      <c r="D267">
        <f>_xlfn.XLOOKUP(910000867,Stops[stop_id],Stops[stop_id],"Não encontrado")</f>
        <v/>
      </c>
      <c r="E267" t="n">
        <v>31</v>
      </c>
    </row>
    <row r="268">
      <c r="A268">
        <f>_xlfn.XLOOKUP("272N-10-0",Trip[trip_id],Trip[trip_id],"Não encontrado")</f>
        <v/>
      </c>
      <c r="B268" s="53" t="n">
        <v>0.6310532407407408</v>
      </c>
      <c r="C268" s="53" t="n">
        <v>0.6310532407407408</v>
      </c>
      <c r="D268">
        <f>_xlfn.XLOOKUP(910000869,Stops[stop_id],Stops[stop_id],"Não encontrado")</f>
        <v/>
      </c>
      <c r="E268" t="n">
        <v>32</v>
      </c>
    </row>
    <row r="269">
      <c r="A269">
        <f>_xlfn.XLOOKUP("272N-10-0",Trip[trip_id],Trip[trip_id],"Não encontrado")</f>
        <v/>
      </c>
      <c r="B269" s="53" t="n">
        <v>0.6325925925925926</v>
      </c>
      <c r="C269" s="53" t="n">
        <v>0.6325925925925926</v>
      </c>
      <c r="D269">
        <f>_xlfn.XLOOKUP(910000871,Stops[stop_id],Stops[stop_id],"Não encontrado")</f>
        <v/>
      </c>
      <c r="E269" t="n">
        <v>33</v>
      </c>
    </row>
    <row r="270">
      <c r="A270">
        <f>_xlfn.XLOOKUP("272N-10-0",Trip[trip_id],Trip[trip_id],"Não encontrado")</f>
        <v/>
      </c>
      <c r="B270" s="53" t="n">
        <v>0.6341319444444444</v>
      </c>
      <c r="C270" s="53" t="n">
        <v>0.6341319444444444</v>
      </c>
      <c r="D270">
        <f>_xlfn.XLOOKUP(910002007,Stops[stop_id],Stops[stop_id],"Não encontrado")</f>
        <v/>
      </c>
      <c r="E270" t="n">
        <v>34</v>
      </c>
    </row>
    <row r="271">
      <c r="A271">
        <f>_xlfn.XLOOKUP("272N-10-0",Trip[trip_id],Trip[trip_id],"Não encontrado")</f>
        <v/>
      </c>
      <c r="B271" s="53" t="n">
        <v>0.6356712962962963</v>
      </c>
      <c r="C271" s="53" t="n">
        <v>0.6356712962962963</v>
      </c>
      <c r="D271">
        <f>_xlfn.XLOOKUP(80014371,Stops[stop_id],Stops[stop_id],"Não encontrado")</f>
        <v/>
      </c>
      <c r="E271" t="n">
        <v>35</v>
      </c>
    </row>
    <row r="272">
      <c r="A272">
        <f>_xlfn.XLOOKUP("272N-10-0",Trip[trip_id],Trip[trip_id],"Não encontrado")</f>
        <v/>
      </c>
      <c r="B272" s="53" t="n">
        <v>0.6372106481481481</v>
      </c>
      <c r="C272" s="53" t="n">
        <v>0.6372106481481481</v>
      </c>
      <c r="D272">
        <f>_xlfn.XLOOKUP(810534,Stops[stop_id],Stops[stop_id],"Não encontrado")</f>
        <v/>
      </c>
      <c r="E272" t="n">
        <v>36</v>
      </c>
    </row>
    <row r="273">
      <c r="A273">
        <f>_xlfn.XLOOKUP("272N-10-0",Trip[trip_id],Trip[trip_id],"Não encontrado")</f>
        <v/>
      </c>
      <c r="B273" s="53" t="n">
        <v>0.63875</v>
      </c>
      <c r="C273" s="53" t="n">
        <v>0.63875</v>
      </c>
      <c r="D273">
        <f>_xlfn.XLOOKUP(810586,Stops[stop_id],Stops[stop_id],"Não encontrado")</f>
        <v/>
      </c>
      <c r="E273" t="n">
        <v>37</v>
      </c>
    </row>
    <row r="274">
      <c r="A274">
        <f>_xlfn.XLOOKUP("272N-10-0",Trip[trip_id],Trip[trip_id],"Não encontrado")</f>
        <v/>
      </c>
      <c r="B274" s="53" t="n">
        <v>0.6402893518518519</v>
      </c>
      <c r="C274" s="53" t="n">
        <v>0.6402893518518519</v>
      </c>
      <c r="D274">
        <f>_xlfn.XLOOKUP(80014377,Stops[stop_id],Stops[stop_id],"Não encontrado")</f>
        <v/>
      </c>
      <c r="E274" t="n">
        <v>38</v>
      </c>
    </row>
    <row r="275">
      <c r="A275">
        <f>_xlfn.XLOOKUP("272N-10-0",Trip[trip_id],Trip[trip_id],"Não encontrado")</f>
        <v/>
      </c>
      <c r="B275" s="53" t="n">
        <v>0.6418287037037037</v>
      </c>
      <c r="C275" s="53" t="n">
        <v>0.6418287037037037</v>
      </c>
      <c r="D275">
        <f>_xlfn.XLOOKUP(570014302,Stops[stop_id],Stops[stop_id],"Não encontrado")</f>
        <v/>
      </c>
      <c r="E275" t="n">
        <v>39</v>
      </c>
    </row>
    <row r="276">
      <c r="A276">
        <f>_xlfn.XLOOKUP("272N-10-0",Trip[trip_id],Trip[trip_id],"Não encontrado")</f>
        <v/>
      </c>
      <c r="B276" s="53" t="n">
        <v>0.6433680555555555</v>
      </c>
      <c r="C276" s="53" t="n">
        <v>0.6433680555555555</v>
      </c>
      <c r="D276">
        <f>_xlfn.XLOOKUP(570014303,Stops[stop_id],Stops[stop_id],"Não encontrado")</f>
        <v/>
      </c>
      <c r="E276" t="n">
        <v>40</v>
      </c>
    </row>
    <row r="277">
      <c r="A277">
        <f>_xlfn.XLOOKUP("272N-10-0",Trip[trip_id],Trip[trip_id],"Não encontrado")</f>
        <v/>
      </c>
      <c r="B277" s="53" t="n">
        <v>0.6449074074074074</v>
      </c>
      <c r="C277" s="53" t="n">
        <v>0.6449074074074074</v>
      </c>
      <c r="D277">
        <f>_xlfn.XLOOKUP(570014304,Stops[stop_id],Stops[stop_id],"Não encontrado")</f>
        <v/>
      </c>
      <c r="E277" t="n">
        <v>41</v>
      </c>
    </row>
    <row r="278">
      <c r="A278">
        <f>_xlfn.XLOOKUP("272N-10-0",Trip[trip_id],Trip[trip_id],"Não encontrado")</f>
        <v/>
      </c>
      <c r="B278" s="53" t="n">
        <v>0.6464467592592592</v>
      </c>
      <c r="C278" s="53" t="n">
        <v>0.6464467592592592</v>
      </c>
      <c r="D278">
        <f>_xlfn.XLOOKUP(570014305,Stops[stop_id],Stops[stop_id],"Não encontrado")</f>
        <v/>
      </c>
      <c r="E278" t="n">
        <v>42</v>
      </c>
    </row>
    <row r="279">
      <c r="A279">
        <f>_xlfn.XLOOKUP("272N-10-0",Trip[trip_id],Trip[trip_id],"Não encontrado")</f>
        <v/>
      </c>
      <c r="B279" s="53" t="n">
        <v>0.6479861111111112</v>
      </c>
      <c r="C279" s="53" t="n">
        <v>0.6479861111111112</v>
      </c>
      <c r="D279">
        <f>_xlfn.XLOOKUP(570014306,Stops[stop_id],Stops[stop_id],"Não encontrado")</f>
        <v/>
      </c>
      <c r="E279" t="n">
        <v>43</v>
      </c>
    </row>
    <row r="280">
      <c r="A280">
        <f>_xlfn.XLOOKUP("272N-10-0",Trip[trip_id],Trip[trip_id],"Não encontrado")</f>
        <v/>
      </c>
      <c r="B280" s="53" t="n">
        <v>0.649525462962963</v>
      </c>
      <c r="C280" s="53" t="n">
        <v>0.649525462962963</v>
      </c>
      <c r="D280">
        <f>_xlfn.XLOOKUP(100014307,Stops[stop_id],Stops[stop_id],"Não encontrado")</f>
        <v/>
      </c>
      <c r="E280" t="n">
        <v>44</v>
      </c>
    </row>
    <row r="281">
      <c r="A281">
        <f>_xlfn.XLOOKUP("272N-10-0",Trip[trip_id],Trip[trip_id],"Não encontrado")</f>
        <v/>
      </c>
      <c r="B281" s="53" t="n">
        <v>0.6510648148148148</v>
      </c>
      <c r="C281" s="53" t="n">
        <v>0.6510648148148148</v>
      </c>
      <c r="D281">
        <f>_xlfn.XLOOKUP(100014308,Stops[stop_id],Stops[stop_id],"Não encontrado")</f>
        <v/>
      </c>
      <c r="E281" t="n">
        <v>45</v>
      </c>
    </row>
    <row r="282">
      <c r="A282">
        <f>_xlfn.XLOOKUP("272N-10-0",Trip[trip_id],Trip[trip_id],"Não encontrado")</f>
        <v/>
      </c>
      <c r="B282" s="53" t="n">
        <v>0.6526041666666667</v>
      </c>
      <c r="C282" s="53" t="n">
        <v>0.6526041666666667</v>
      </c>
      <c r="D282">
        <f>_xlfn.XLOOKUP(100014350,Stops[stop_id],Stops[stop_id],"Não encontrado")</f>
        <v/>
      </c>
      <c r="E282" t="n">
        <v>46</v>
      </c>
    </row>
    <row r="283">
      <c r="A283">
        <f>_xlfn.XLOOKUP("272N-10-0",Trip[trip_id],Trip[trip_id],"Não encontrado")</f>
        <v/>
      </c>
      <c r="B283" s="53" t="n">
        <v>0.6541435185185185</v>
      </c>
      <c r="C283" s="53" t="n">
        <v>0.6541435185185185</v>
      </c>
      <c r="D283">
        <f>_xlfn.XLOOKUP(100014351,Stops[stop_id],Stops[stop_id],"Não encontrado")</f>
        <v/>
      </c>
      <c r="E283" t="n">
        <v>47</v>
      </c>
    </row>
    <row r="284">
      <c r="A284">
        <f>_xlfn.XLOOKUP("272N-10-0",Trip[trip_id],Trip[trip_id],"Não encontrado")</f>
        <v/>
      </c>
      <c r="B284" s="53" t="n">
        <v>0.6556828703703703</v>
      </c>
      <c r="C284" s="53" t="n">
        <v>0.6556828703703703</v>
      </c>
      <c r="D284">
        <f>_xlfn.XLOOKUP(100014321,Stops[stop_id],Stops[stop_id],"Não encontrado")</f>
        <v/>
      </c>
      <c r="E284" t="n">
        <v>48</v>
      </c>
    </row>
    <row r="285">
      <c r="A285">
        <f>_xlfn.XLOOKUP("272N-10-0",Trip[trip_id],Trip[trip_id],"Não encontrado")</f>
        <v/>
      </c>
      <c r="B285" s="53" t="n">
        <v>0.6572222222222223</v>
      </c>
      <c r="C285" s="53" t="n">
        <v>0.6572222222222223</v>
      </c>
      <c r="D285">
        <f>_xlfn.XLOOKUP(100014543,Stops[stop_id],Stops[stop_id],"Não encontrado")</f>
        <v/>
      </c>
      <c r="E285" t="n">
        <v>49</v>
      </c>
    </row>
    <row r="286">
      <c r="A286">
        <f>_xlfn.XLOOKUP("272N-10-0",Trip[trip_id],Trip[trip_id],"Não encontrado")</f>
        <v/>
      </c>
      <c r="B286" s="53" t="n">
        <v>0.6587615740740741</v>
      </c>
      <c r="C286" s="53" t="n">
        <v>0.6587615740740741</v>
      </c>
      <c r="D286">
        <f>_xlfn.XLOOKUP(100014544,Stops[stop_id],Stops[stop_id],"Não encontrado")</f>
        <v/>
      </c>
      <c r="E286" t="n">
        <v>50</v>
      </c>
    </row>
    <row r="287">
      <c r="A287">
        <f>_xlfn.XLOOKUP("272N-10-0",Trip[trip_id],Trip[trip_id],"Não encontrado")</f>
        <v/>
      </c>
      <c r="B287" s="53" t="n">
        <v>0.6603009259259259</v>
      </c>
      <c r="C287" s="53" t="n">
        <v>0.6603009259259259</v>
      </c>
      <c r="D287">
        <f>_xlfn.XLOOKUP(800015291,Stops[stop_id],Stops[stop_id],"Não encontrado")</f>
        <v/>
      </c>
      <c r="E287" t="n">
        <v>51</v>
      </c>
    </row>
    <row r="288">
      <c r="A288">
        <f>_xlfn.XLOOKUP("272N-10-0",Trip[trip_id],Trip[trip_id],"Não encontrado")</f>
        <v/>
      </c>
      <c r="B288" s="53" t="n">
        <v>0.6618402777777778</v>
      </c>
      <c r="C288" s="53" t="n">
        <v>0.6618402777777778</v>
      </c>
      <c r="D288">
        <f>_xlfn.XLOOKUP(1010092,Stops[stop_id],Stops[stop_id],"Não encontrado")</f>
        <v/>
      </c>
      <c r="E288" t="n">
        <v>52</v>
      </c>
    </row>
    <row r="289">
      <c r="A289">
        <f>_xlfn.XLOOKUP("272N-10-0",Trip[trip_id],Trip[trip_id],"Não encontrado")</f>
        <v/>
      </c>
      <c r="B289" s="53" t="n">
        <v>0.6633796296296296</v>
      </c>
      <c r="C289" s="53" t="n">
        <v>0.6633796296296296</v>
      </c>
      <c r="D289">
        <f>_xlfn.XLOOKUP(1010093,Stops[stop_id],Stops[stop_id],"Não encontrado")</f>
        <v/>
      </c>
      <c r="E289" t="n">
        <v>53</v>
      </c>
    </row>
    <row r="290">
      <c r="A290">
        <f>_xlfn.XLOOKUP("272N-10-0",Trip[trip_id],Trip[trip_id],"Não encontrado")</f>
        <v/>
      </c>
      <c r="B290" s="53" t="n">
        <v>0.6649189814814814</v>
      </c>
      <c r="C290" s="53" t="n">
        <v>0.6649189814814814</v>
      </c>
      <c r="D290">
        <f>_xlfn.XLOOKUP(100014347,Stops[stop_id],Stops[stop_id],"Não encontrado")</f>
        <v/>
      </c>
      <c r="E290" t="n">
        <v>54</v>
      </c>
    </row>
    <row r="291">
      <c r="A291">
        <f>_xlfn.XLOOKUP("272N-10-0",Trip[trip_id],Trip[trip_id],"Não encontrado")</f>
        <v/>
      </c>
      <c r="B291" s="53" t="n">
        <v>0.6664583333333334</v>
      </c>
      <c r="C291" s="53" t="n">
        <v>0.6664583333333334</v>
      </c>
      <c r="D291">
        <f>_xlfn.XLOOKUP(100014352,Stops[stop_id],Stops[stop_id],"Não encontrado")</f>
        <v/>
      </c>
      <c r="E291" t="n">
        <v>55</v>
      </c>
    </row>
    <row r="292">
      <c r="A292">
        <f>_xlfn.XLOOKUP("272N-10-0",Trip[trip_id],Trip[trip_id],"Não encontrado")</f>
        <v/>
      </c>
      <c r="B292" s="53" t="n">
        <v>0.6679976851851852</v>
      </c>
      <c r="C292" s="53" t="n">
        <v>0.6679976851851852</v>
      </c>
      <c r="D292">
        <f>_xlfn.XLOOKUP(100014332,Stops[stop_id],Stops[stop_id],"Não encontrado")</f>
        <v/>
      </c>
      <c r="E292" t="n">
        <v>56</v>
      </c>
    </row>
    <row r="293">
      <c r="A293">
        <f>_xlfn.XLOOKUP("272N-10-0",Trip[trip_id],Trip[trip_id],"Não encontrado")</f>
        <v/>
      </c>
      <c r="B293" s="53" t="n">
        <v>0.669537037037037</v>
      </c>
      <c r="C293" s="53" t="n">
        <v>0.669537037037037</v>
      </c>
      <c r="D293">
        <f>_xlfn.XLOOKUP(100014331,Stops[stop_id],Stops[stop_id],"Não encontrado")</f>
        <v/>
      </c>
      <c r="E293" t="n">
        <v>57</v>
      </c>
    </row>
    <row r="294">
      <c r="A294">
        <f>_xlfn.XLOOKUP("272N-10-0",Trip[trip_id],Trip[trip_id],"Não encontrado")</f>
        <v/>
      </c>
      <c r="B294" s="53" t="n">
        <v>0.6710763888888889</v>
      </c>
      <c r="C294" s="53" t="n">
        <v>0.6710763888888889</v>
      </c>
      <c r="D294">
        <f>_xlfn.XLOOKUP(810602,Stops[stop_id],Stops[stop_id],"Não encontrado")</f>
        <v/>
      </c>
      <c r="E294" t="n">
        <v>58</v>
      </c>
    </row>
    <row r="295">
      <c r="A295">
        <f>_xlfn.XLOOKUP("272N-10-0",Trip[trip_id],Trip[trip_id],"Não encontrado")</f>
        <v/>
      </c>
      <c r="B295" s="53" t="n">
        <v>0.6726157407407407</v>
      </c>
      <c r="C295" s="53" t="n">
        <v>0.6726157407407407</v>
      </c>
      <c r="D295">
        <f>_xlfn.XLOOKUP(80014375,Stops[stop_id],Stops[stop_id],"Não encontrado")</f>
        <v/>
      </c>
      <c r="E295" t="n">
        <v>59</v>
      </c>
    </row>
    <row r="296">
      <c r="A296">
        <f>_xlfn.XLOOKUP("272N-10-0",Trip[trip_id],Trip[trip_id],"Não encontrado")</f>
        <v/>
      </c>
      <c r="B296" s="53" t="n">
        <v>0.6741550925925925</v>
      </c>
      <c r="C296" s="53" t="n">
        <v>0.6741550925925925</v>
      </c>
      <c r="D296">
        <f>_xlfn.XLOOKUP(80014376,Stops[stop_id],Stops[stop_id],"Não encontrado")</f>
        <v/>
      </c>
      <c r="E296" t="n">
        <v>60</v>
      </c>
    </row>
    <row r="297">
      <c r="A297">
        <f>_xlfn.XLOOKUP("272N-10-0",Trip[trip_id],Trip[trip_id],"Não encontrado")</f>
        <v/>
      </c>
      <c r="B297" s="53" t="n">
        <v>0.6756944444444445</v>
      </c>
      <c r="C297" s="53" t="n">
        <v>0.6756944444444445</v>
      </c>
      <c r="D297">
        <f>_xlfn.XLOOKUP(80014301,Stops[stop_id],Stops[stop_id],"Não encontrado")</f>
        <v/>
      </c>
      <c r="E297" t="n">
        <v>61</v>
      </c>
    </row>
    <row r="298">
      <c r="A298">
        <f>_xlfn.XLOOKUP("272N-10-0",Trip[trip_id],Trip[trip_id],"Não encontrado")</f>
        <v/>
      </c>
      <c r="B298" s="53" t="n">
        <v>0.6772337962962963</v>
      </c>
      <c r="C298" s="53" t="n">
        <v>0.6772337962962963</v>
      </c>
      <c r="D298">
        <f>_xlfn.XLOOKUP(80014378,Stops[stop_id],Stops[stop_id],"Não encontrado")</f>
        <v/>
      </c>
      <c r="E298" t="n">
        <v>62</v>
      </c>
    </row>
    <row r="299">
      <c r="A299">
        <f>_xlfn.XLOOKUP("272N-10-0",Trip[trip_id],Trip[trip_id],"Não encontrado")</f>
        <v/>
      </c>
      <c r="B299" s="53" t="n">
        <v>0.6787731481481482</v>
      </c>
      <c r="C299" s="53" t="n">
        <v>0.6787731481481482</v>
      </c>
      <c r="D299">
        <f>_xlfn.XLOOKUP(810588,Stops[stop_id],Stops[stop_id],"Não encontrado")</f>
        <v/>
      </c>
      <c r="E299" t="n">
        <v>63</v>
      </c>
    </row>
    <row r="300">
      <c r="A300">
        <f>_xlfn.XLOOKUP("272N-10-0",Trip[trip_id],Trip[trip_id],"Não encontrado")</f>
        <v/>
      </c>
      <c r="B300" s="53" t="n">
        <v>0.6803125</v>
      </c>
      <c r="C300" s="53" t="n">
        <v>0.6803125</v>
      </c>
      <c r="D300">
        <f>_xlfn.XLOOKUP(810536,Stops[stop_id],Stops[stop_id],"Não encontrado")</f>
        <v/>
      </c>
      <c r="E300" t="n">
        <v>64</v>
      </c>
    </row>
    <row r="301">
      <c r="A301">
        <f>_xlfn.XLOOKUP("272N-10-0",Trip[trip_id],Trip[trip_id],"Não encontrado")</f>
        <v/>
      </c>
      <c r="B301" s="53" t="n">
        <v>0.6818518518518518</v>
      </c>
      <c r="C301" s="53" t="n">
        <v>0.6818518518518518</v>
      </c>
      <c r="D301">
        <f>_xlfn.XLOOKUP(80014370,Stops[stop_id],Stops[stop_id],"Não encontrado")</f>
        <v/>
      </c>
      <c r="E301" t="n">
        <v>65</v>
      </c>
    </row>
    <row r="302">
      <c r="A302">
        <f>_xlfn.XLOOKUP("272N-10-0",Trip[trip_id],Trip[trip_id],"Não encontrado")</f>
        <v/>
      </c>
      <c r="B302" s="53" t="n">
        <v>0.6833912037037037</v>
      </c>
      <c r="C302" s="53" t="n">
        <v>0.6833912037037037</v>
      </c>
      <c r="D302">
        <f>_xlfn.XLOOKUP(810614,Stops[stop_id],Stops[stop_id],"Não encontrado")</f>
        <v/>
      </c>
      <c r="E302" t="n">
        <v>66</v>
      </c>
    </row>
    <row r="303">
      <c r="A303">
        <f>_xlfn.XLOOKUP("272N-10-0",Trip[trip_id],Trip[trip_id],"Não encontrado")</f>
        <v/>
      </c>
      <c r="B303" s="53" t="n">
        <v>0.6849305555555556</v>
      </c>
      <c r="C303" s="53" t="n">
        <v>0.6849305555555556</v>
      </c>
      <c r="D303">
        <f>_xlfn.XLOOKUP(9110540,Stops[stop_id],Stops[stop_id],"Não encontrado")</f>
        <v/>
      </c>
      <c r="E303" t="n">
        <v>67</v>
      </c>
    </row>
    <row r="304">
      <c r="A304">
        <f>_xlfn.XLOOKUP("272N-10-0",Trip[trip_id],Trip[trip_id],"Não encontrado")</f>
        <v/>
      </c>
      <c r="B304" s="53" t="n">
        <v>0.6864699074074074</v>
      </c>
      <c r="C304" s="53" t="n">
        <v>0.6864699074074074</v>
      </c>
      <c r="D304">
        <f>_xlfn.XLOOKUP(910000872,Stops[stop_id],Stops[stop_id],"Não encontrado")</f>
        <v/>
      </c>
      <c r="E304" t="n">
        <v>68</v>
      </c>
    </row>
    <row r="305">
      <c r="A305">
        <f>_xlfn.XLOOKUP("272N-10-0",Trip[trip_id],Trip[trip_id],"Não encontrado")</f>
        <v/>
      </c>
      <c r="B305" s="53" t="n">
        <v>0.6880092592592593</v>
      </c>
      <c r="C305" s="53" t="n">
        <v>0.6880092592592593</v>
      </c>
      <c r="D305">
        <f>_xlfn.XLOOKUP(910000870,Stops[stop_id],Stops[stop_id],"Não encontrado")</f>
        <v/>
      </c>
      <c r="E305" t="n">
        <v>69</v>
      </c>
    </row>
    <row r="306">
      <c r="A306">
        <f>_xlfn.XLOOKUP("272N-10-0",Trip[trip_id],Trip[trip_id],"Não encontrado")</f>
        <v/>
      </c>
      <c r="B306" s="53" t="n">
        <v>0.6895486111111111</v>
      </c>
      <c r="C306" s="53" t="n">
        <v>0.6895486111111111</v>
      </c>
      <c r="D306">
        <f>_xlfn.XLOOKUP(910000868,Stops[stop_id],Stops[stop_id],"Não encontrado")</f>
        <v/>
      </c>
      <c r="E306" t="n">
        <v>70</v>
      </c>
    </row>
    <row r="307">
      <c r="A307">
        <f>_xlfn.XLOOKUP("272N-10-0",Trip[trip_id],Trip[trip_id],"Não encontrado")</f>
        <v/>
      </c>
      <c r="B307" s="53" t="n">
        <v>0.6910879629629629</v>
      </c>
      <c r="C307" s="53" t="n">
        <v>0.6910879629629629</v>
      </c>
      <c r="D307">
        <f>_xlfn.XLOOKUP(910000865,Stops[stop_id],Stops[stop_id],"Não encontrado")</f>
        <v/>
      </c>
      <c r="E307" t="n">
        <v>71</v>
      </c>
    </row>
    <row r="308">
      <c r="A308">
        <f>_xlfn.XLOOKUP("272N-10-0",Trip[trip_id],Trip[trip_id],"Não encontrado")</f>
        <v/>
      </c>
      <c r="B308" s="53" t="n">
        <v>0.6926273148148148</v>
      </c>
      <c r="C308" s="53" t="n">
        <v>0.6926273148148148</v>
      </c>
      <c r="D308">
        <f>_xlfn.XLOOKUP(910000863,Stops[stop_id],Stops[stop_id],"Não encontrado")</f>
        <v/>
      </c>
      <c r="E308" t="n">
        <v>72</v>
      </c>
    </row>
    <row r="309">
      <c r="A309">
        <f>_xlfn.XLOOKUP("272N-10-0",Trip[trip_id],Trip[trip_id],"Não encontrado")</f>
        <v/>
      </c>
      <c r="B309" s="53" t="n">
        <v>0.6941666666666667</v>
      </c>
      <c r="C309" s="53" t="n">
        <v>0.6941666666666667</v>
      </c>
      <c r="D309">
        <f>_xlfn.XLOOKUP(910002022,Stops[stop_id],Stops[stop_id],"Não encontrado")</f>
        <v/>
      </c>
      <c r="E309" t="n">
        <v>73</v>
      </c>
    </row>
    <row r="310">
      <c r="A310">
        <f>_xlfn.XLOOKUP("272N-10-0",Trip[trip_id],Trip[trip_id],"Não encontrado")</f>
        <v/>
      </c>
      <c r="B310" s="53" t="n">
        <v>0.6957060185185185</v>
      </c>
      <c r="C310" s="53" t="n">
        <v>0.6957060185185185</v>
      </c>
      <c r="D310">
        <f>_xlfn.XLOOKUP(910000780,Stops[stop_id],Stops[stop_id],"Não encontrado")</f>
        <v/>
      </c>
      <c r="E310" t="n">
        <v>74</v>
      </c>
    </row>
    <row r="311">
      <c r="A311">
        <f>_xlfn.XLOOKUP("272N-10-0",Trip[trip_id],Trip[trip_id],"Não encontrado")</f>
        <v/>
      </c>
      <c r="B311" s="53" t="n">
        <v>0.6972453703703704</v>
      </c>
      <c r="C311" s="53" t="n">
        <v>0.6972453703703704</v>
      </c>
      <c r="D311">
        <f>_xlfn.XLOOKUP(910000778,Stops[stop_id],Stops[stop_id],"Não encontrado")</f>
        <v/>
      </c>
      <c r="E311" t="n">
        <v>75</v>
      </c>
    </row>
    <row r="312">
      <c r="A312">
        <f>_xlfn.XLOOKUP("272N-10-0",Trip[trip_id],Trip[trip_id],"Não encontrado")</f>
        <v/>
      </c>
      <c r="B312" s="53" t="n">
        <v>0.6987847222222222</v>
      </c>
      <c r="C312" s="53" t="n">
        <v>0.6987847222222222</v>
      </c>
      <c r="D312">
        <f>_xlfn.XLOOKUP(910000776,Stops[stop_id],Stops[stop_id],"Não encontrado")</f>
        <v/>
      </c>
      <c r="E312" t="n">
        <v>76</v>
      </c>
    </row>
    <row r="313">
      <c r="A313">
        <f>_xlfn.XLOOKUP("272N-10-0",Trip[trip_id],Trip[trip_id],"Não encontrado")</f>
        <v/>
      </c>
      <c r="B313" s="53" t="n">
        <v>0.700324074074074</v>
      </c>
      <c r="C313" s="53" t="n">
        <v>0.700324074074074</v>
      </c>
      <c r="D313">
        <f>_xlfn.XLOOKUP(910000775,Stops[stop_id],Stops[stop_id],"Não encontrado")</f>
        <v/>
      </c>
      <c r="E313" t="n">
        <v>77</v>
      </c>
    </row>
    <row r="314">
      <c r="A314">
        <f>_xlfn.XLOOKUP("272N-10-0",Trip[trip_id],Trip[trip_id],"Não encontrado")</f>
        <v/>
      </c>
      <c r="B314" s="53" t="n">
        <v>0.7018634259259259</v>
      </c>
      <c r="C314" s="53" t="n">
        <v>0.7018634259259259</v>
      </c>
      <c r="D314">
        <f>_xlfn.XLOOKUP(910000773,Stops[stop_id],Stops[stop_id],"Não encontrado")</f>
        <v/>
      </c>
      <c r="E314" t="n">
        <v>78</v>
      </c>
    </row>
    <row r="315">
      <c r="A315">
        <f>_xlfn.XLOOKUP("272N-10-0",Trip[trip_id],Trip[trip_id],"Não encontrado")</f>
        <v/>
      </c>
      <c r="B315" s="53" t="n">
        <v>0.7034027777777778</v>
      </c>
      <c r="C315" s="53" t="n">
        <v>0.7034027777777778</v>
      </c>
      <c r="D315">
        <f>_xlfn.XLOOKUP(910002025,Stops[stop_id],Stops[stop_id],"Não encontrado")</f>
        <v/>
      </c>
      <c r="E315" t="n">
        <v>79</v>
      </c>
    </row>
    <row r="316">
      <c r="A316">
        <f>_xlfn.XLOOKUP("272N-10-0",Trip[trip_id],Trip[trip_id],"Não encontrado")</f>
        <v/>
      </c>
      <c r="B316" s="53" t="n">
        <v>0.7049421296296297</v>
      </c>
      <c r="C316" s="53" t="n">
        <v>0.7049421296296297</v>
      </c>
      <c r="D316">
        <f>_xlfn.XLOOKUP(910002026,Stops[stop_id],Stops[stop_id],"Não encontrado")</f>
        <v/>
      </c>
      <c r="E316" t="n">
        <v>80</v>
      </c>
    </row>
    <row r="317">
      <c r="A317">
        <f>_xlfn.XLOOKUP("272N-10-0",Trip[trip_id],Trip[trip_id],"Não encontrado")</f>
        <v/>
      </c>
      <c r="B317" s="53" t="n">
        <v>0.7064814814814815</v>
      </c>
      <c r="C317" s="53" t="n">
        <v>0.7064814814814815</v>
      </c>
      <c r="D317">
        <f>_xlfn.XLOOKUP(910000808,Stops[stop_id],Stops[stop_id],"Não encontrado")</f>
        <v/>
      </c>
      <c r="E317" t="n">
        <v>81</v>
      </c>
    </row>
    <row r="318">
      <c r="A318">
        <f>_xlfn.XLOOKUP("272N-10-0",Trip[trip_id],Trip[trip_id],"Não encontrado")</f>
        <v/>
      </c>
      <c r="B318" s="53" t="n">
        <v>0.7080208333333333</v>
      </c>
      <c r="C318" s="53" t="n">
        <v>0.7080208333333333</v>
      </c>
      <c r="D318">
        <f>_xlfn.XLOOKUP(910000810,Stops[stop_id],Stops[stop_id],"Não encontrado")</f>
        <v/>
      </c>
      <c r="E318" t="n">
        <v>82</v>
      </c>
    </row>
    <row r="319">
      <c r="A319">
        <f>_xlfn.XLOOKUP("272N-10-0",Trip[trip_id],Trip[trip_id],"Não encontrado")</f>
        <v/>
      </c>
      <c r="B319" s="53" t="n">
        <v>0.7095601851851852</v>
      </c>
      <c r="C319" s="53" t="n">
        <v>0.7095601851851852</v>
      </c>
      <c r="D319">
        <f>_xlfn.XLOOKUP(9112481,Stops[stop_id],Stops[stop_id],"Não encontrado")</f>
        <v/>
      </c>
      <c r="E319" t="n">
        <v>83</v>
      </c>
    </row>
    <row r="320">
      <c r="A320">
        <f>_xlfn.XLOOKUP("272N-10-0",Trip[trip_id],Trip[trip_id],"Não encontrado")</f>
        <v/>
      </c>
      <c r="B320" s="53" t="n">
        <v>0.711099537037037</v>
      </c>
      <c r="C320" s="53" t="n">
        <v>0.711099537037037</v>
      </c>
      <c r="D320">
        <f>_xlfn.XLOOKUP(910000812,Stops[stop_id],Stops[stop_id],"Não encontrado")</f>
        <v/>
      </c>
      <c r="E320" t="n">
        <v>84</v>
      </c>
    </row>
    <row r="321">
      <c r="A321">
        <f>_xlfn.XLOOKUP("272N-10-0",Trip[trip_id],Trip[trip_id],"Não encontrado")</f>
        <v/>
      </c>
      <c r="B321" s="53" t="n">
        <v>0.7126388888888889</v>
      </c>
      <c r="C321" s="53" t="n">
        <v>0.7126388888888889</v>
      </c>
      <c r="D321">
        <f>_xlfn.XLOOKUP(9110137,Stops[stop_id],Stops[stop_id],"Não encontrado")</f>
        <v/>
      </c>
      <c r="E321" t="n">
        <v>85</v>
      </c>
    </row>
    <row r="322">
      <c r="A322">
        <f>_xlfn.XLOOKUP("272N-10-0",Trip[trip_id],Trip[trip_id],"Não encontrado")</f>
        <v/>
      </c>
      <c r="B322" s="53" t="n">
        <v>0.7141782407407408</v>
      </c>
      <c r="C322" s="53" t="n">
        <v>0.7141782407407408</v>
      </c>
      <c r="D322">
        <f>_xlfn.XLOOKUP(910000841,Stops[stop_id],Stops[stop_id],"Não encontrado")</f>
        <v/>
      </c>
      <c r="E322" t="n">
        <v>86</v>
      </c>
    </row>
    <row r="323">
      <c r="A323">
        <f>_xlfn.XLOOKUP("272N-10-0",Trip[trip_id],Trip[trip_id],"Não encontrado")</f>
        <v/>
      </c>
      <c r="B323" s="53" t="n">
        <v>0.7157175925925926</v>
      </c>
      <c r="C323" s="53" t="n">
        <v>0.7157175925925926</v>
      </c>
      <c r="D323">
        <f>_xlfn.XLOOKUP(9112459,Stops[stop_id],Stops[stop_id],"Não encontrado")</f>
        <v/>
      </c>
      <c r="E323" t="n">
        <v>87</v>
      </c>
    </row>
    <row r="324">
      <c r="A324">
        <f>_xlfn.XLOOKUP("272N-10-0",Trip[trip_id],Trip[trip_id],"Não encontrado")</f>
        <v/>
      </c>
      <c r="B324" s="53" t="n">
        <v>0.7172569444444444</v>
      </c>
      <c r="C324" s="53" t="n">
        <v>0.7172569444444444</v>
      </c>
      <c r="D324">
        <f>_xlfn.XLOOKUP(910000840,Stops[stop_id],Stops[stop_id],"Não encontrado")</f>
        <v/>
      </c>
      <c r="E324" t="n">
        <v>88</v>
      </c>
    </row>
    <row r="325">
      <c r="A325">
        <f>_xlfn.XLOOKUP("272N-10-0",Trip[trip_id],Trip[trip_id],"Não encontrado")</f>
        <v/>
      </c>
      <c r="B325" s="53" t="n">
        <v>0.7187962962962963</v>
      </c>
      <c r="C325" s="53" t="n">
        <v>0.7187962962962963</v>
      </c>
      <c r="D325">
        <f>_xlfn.XLOOKUP(9110132,Stops[stop_id],Stops[stop_id],"Não encontrado")</f>
        <v/>
      </c>
      <c r="E325" t="n">
        <v>89</v>
      </c>
    </row>
    <row r="326">
      <c r="A326">
        <f>_xlfn.XLOOKUP("272N-10-0",Trip[trip_id],Trip[trip_id],"Não encontrado")</f>
        <v/>
      </c>
      <c r="B326" s="53" t="n">
        <v>0.7203356481481481</v>
      </c>
      <c r="C326" s="53" t="n">
        <v>0.7203356481481481</v>
      </c>
      <c r="D326">
        <f>_xlfn.XLOOKUP(910000818,Stops[stop_id],Stops[stop_id],"Não encontrado")</f>
        <v/>
      </c>
      <c r="E326" t="n">
        <v>90</v>
      </c>
    </row>
    <row r="327">
      <c r="A327">
        <f>_xlfn.XLOOKUP("272N-10-0",Trip[trip_id],Trip[trip_id],"Não encontrado")</f>
        <v/>
      </c>
      <c r="B327" s="53" t="n">
        <v>0.721875</v>
      </c>
      <c r="C327" s="53" t="n">
        <v>0.721875</v>
      </c>
      <c r="D327">
        <f>_xlfn.XLOOKUP(910000820,Stops[stop_id],Stops[stop_id],"Não encontrado")</f>
        <v/>
      </c>
      <c r="E327" t="n">
        <v>91</v>
      </c>
    </row>
    <row r="328">
      <c r="A328">
        <f>_xlfn.XLOOKUP("272N-10-0",Trip[trip_id],Trip[trip_id],"Não encontrado")</f>
        <v/>
      </c>
      <c r="B328" s="53" t="n">
        <v>0.7234143518518519</v>
      </c>
      <c r="C328" s="53" t="n">
        <v>0.7234143518518519</v>
      </c>
      <c r="D328">
        <f>_xlfn.XLOOKUP(9112433,Stops[stop_id],Stops[stop_id],"Não encontrado")</f>
        <v/>
      </c>
      <c r="E328" t="n">
        <v>92</v>
      </c>
    </row>
    <row r="329">
      <c r="A329">
        <f>_xlfn.XLOOKUP("272N-10-0",Trip[trip_id],Trip[trip_id],"Não encontrado")</f>
        <v/>
      </c>
      <c r="B329" s="53" t="n">
        <v>0.7249537037037037</v>
      </c>
      <c r="C329" s="53" t="n">
        <v>0.7249537037037037</v>
      </c>
      <c r="D329">
        <f>_xlfn.XLOOKUP(910000823,Stops[stop_id],Stops[stop_id],"Não encontrado")</f>
        <v/>
      </c>
      <c r="E329" t="n">
        <v>93</v>
      </c>
    </row>
    <row r="330">
      <c r="A330">
        <f>_xlfn.XLOOKUP("272N-10-0",Trip[trip_id],Trip[trip_id],"Não encontrado")</f>
        <v/>
      </c>
      <c r="B330" s="53" t="n">
        <v>0.7264930555555555</v>
      </c>
      <c r="C330" s="53" t="n">
        <v>0.7264930555555555</v>
      </c>
      <c r="D330">
        <f>_xlfn.XLOOKUP(910000816,Stops[stop_id],Stops[stop_id],"Não encontrado")</f>
        <v/>
      </c>
      <c r="E330" t="n">
        <v>94</v>
      </c>
    </row>
    <row r="331">
      <c r="A331">
        <f>_xlfn.XLOOKUP("272N-10-0",Trip[trip_id],Trip[trip_id],"Não encontrado")</f>
        <v/>
      </c>
      <c r="B331" s="53" t="n">
        <v>0.7280324074074074</v>
      </c>
      <c r="C331" s="53" t="n">
        <v>0.7280324074074074</v>
      </c>
      <c r="D331">
        <f>_xlfn.XLOOKUP(910000828,Stops[stop_id],Stops[stop_id],"Não encontrado")</f>
        <v/>
      </c>
      <c r="E331" t="n">
        <v>95</v>
      </c>
    </row>
    <row r="332">
      <c r="A332">
        <f>_xlfn.XLOOKUP("272N-10-0",Trip[trip_id],Trip[trip_id],"Não encontrado")</f>
        <v/>
      </c>
      <c r="B332" s="53" t="n">
        <v>0.7295717592592592</v>
      </c>
      <c r="C332" s="53" t="n">
        <v>0.7295717592592592</v>
      </c>
      <c r="D332">
        <f>_xlfn.XLOOKUP(9112409,Stops[stop_id],Stops[stop_id],"Não encontrado")</f>
        <v/>
      </c>
      <c r="E332" t="n">
        <v>96</v>
      </c>
    </row>
    <row r="333">
      <c r="A333">
        <f>_xlfn.XLOOKUP("272N-10-0",Trip[trip_id],Trip[trip_id],"Não encontrado")</f>
        <v/>
      </c>
      <c r="B333" s="53" t="n">
        <v>0.7311111111111112</v>
      </c>
      <c r="C333" s="53" t="n">
        <v>0.7311111111111112</v>
      </c>
      <c r="D333">
        <f>_xlfn.XLOOKUP(910000833,Stops[stop_id],Stops[stop_id],"Não encontrado")</f>
        <v/>
      </c>
      <c r="E333" t="n">
        <v>97</v>
      </c>
    </row>
    <row r="334">
      <c r="A334">
        <f>_xlfn.XLOOKUP("272N-10-0",Trip[trip_id],Trip[trip_id],"Não encontrado")</f>
        <v/>
      </c>
      <c r="B334" s="53" t="n">
        <v>0.732650462962963</v>
      </c>
      <c r="C334" s="53" t="n">
        <v>0.732650462962963</v>
      </c>
      <c r="D334">
        <f>_xlfn.XLOOKUP(910000834,Stops[stop_id],Stops[stop_id],"Não encontrado")</f>
        <v/>
      </c>
      <c r="E334" t="n">
        <v>98</v>
      </c>
    </row>
    <row r="335">
      <c r="A335">
        <f>_xlfn.XLOOKUP("272N-10-0",Trip[trip_id],Trip[trip_id],"Não encontrado")</f>
        <v/>
      </c>
      <c r="B335" s="53" t="n">
        <v>0.7341898148148148</v>
      </c>
      <c r="C335" s="53" t="n">
        <v>0.7341898148148148</v>
      </c>
      <c r="D335">
        <f>_xlfn.XLOOKUP(910000835,Stops[stop_id],Stops[stop_id],"Não encontrado")</f>
        <v/>
      </c>
      <c r="E335" t="n">
        <v>99</v>
      </c>
    </row>
    <row r="336">
      <c r="A336">
        <f>_xlfn.XLOOKUP("272N-10-0",Trip[trip_id],Trip[trip_id],"Não encontrado")</f>
        <v/>
      </c>
      <c r="B336" s="53" t="n">
        <v>0.7381944444444445</v>
      </c>
      <c r="C336" s="53" t="n">
        <v>0.7381944444444445</v>
      </c>
      <c r="D336">
        <f>_xlfn.XLOOKUP(9112484,Stops[stop_id],Stops[stop_id],"Não encontrado")</f>
        <v/>
      </c>
      <c r="E336" t="n">
        <v>100</v>
      </c>
    </row>
    <row r="337">
      <c r="A337">
        <f>_xlfn.XLOOKUP("3029-10-0",Trip[trip_id],Trip[trip_id],"Não encontrado")</f>
        <v/>
      </c>
      <c r="B337" s="53" t="n">
        <v>0.7083333333333334</v>
      </c>
      <c r="C337" s="53" t="n">
        <v>0.7083333333333334</v>
      </c>
      <c r="D337">
        <f>_xlfn.XLOOKUP(40005509,Stops[stop_id],Stops[stop_id],"Não encontrado")</f>
        <v/>
      </c>
      <c r="E337" t="n">
        <v>1</v>
      </c>
    </row>
    <row r="338">
      <c r="A338">
        <f>_xlfn.XLOOKUP("3029-10-0",Trip[trip_id],Trip[trip_id],"Não encontrado")</f>
        <v/>
      </c>
      <c r="B338" s="53" t="n">
        <v>0.7094444444444444</v>
      </c>
      <c r="C338" s="53" t="n">
        <v>0.7094444444444444</v>
      </c>
      <c r="D338">
        <f>_xlfn.XLOOKUP(409071,Stops[stop_id],Stops[stop_id],"Não encontrado")</f>
        <v/>
      </c>
      <c r="E338" t="n">
        <v>2</v>
      </c>
    </row>
    <row r="339">
      <c r="A339">
        <f>_xlfn.XLOOKUP("3029-10-0",Trip[trip_id],Trip[trip_id],"Não encontrado")</f>
        <v/>
      </c>
      <c r="B339" s="53" t="n">
        <v>0.7105555555555556</v>
      </c>
      <c r="C339" s="53" t="n">
        <v>0.7105555555555556</v>
      </c>
      <c r="D339">
        <f>_xlfn.XLOOKUP(780005491,Stops[stop_id],Stops[stop_id],"Não encontrado")</f>
        <v/>
      </c>
      <c r="E339" t="n">
        <v>3</v>
      </c>
    </row>
    <row r="340">
      <c r="A340">
        <f>_xlfn.XLOOKUP("3029-10-0",Trip[trip_id],Trip[trip_id],"Não encontrado")</f>
        <v/>
      </c>
      <c r="B340" s="53" t="n">
        <v>0.7116666666666667</v>
      </c>
      <c r="C340" s="53" t="n">
        <v>0.7116666666666667</v>
      </c>
      <c r="D340">
        <f>_xlfn.XLOOKUP(40005494,Stops[stop_id],Stops[stop_id],"Não encontrado")</f>
        <v/>
      </c>
      <c r="E340" t="n">
        <v>4</v>
      </c>
    </row>
    <row r="341">
      <c r="A341">
        <f>_xlfn.XLOOKUP("3029-10-0",Trip[trip_id],Trip[trip_id],"Não encontrado")</f>
        <v/>
      </c>
      <c r="B341" s="53" t="n">
        <v>0.7127777777777777</v>
      </c>
      <c r="C341" s="53" t="n">
        <v>0.7127777777777777</v>
      </c>
      <c r="D341">
        <f>_xlfn.XLOOKUP(408991,Stops[stop_id],Stops[stop_id],"Não encontrado")</f>
        <v/>
      </c>
      <c r="E341" t="n">
        <v>5</v>
      </c>
    </row>
    <row r="342">
      <c r="A342">
        <f>_xlfn.XLOOKUP("3029-10-0",Trip[trip_id],Trip[trip_id],"Não encontrado")</f>
        <v/>
      </c>
      <c r="B342" s="53" t="n">
        <v>0.7138888888888889</v>
      </c>
      <c r="C342" s="53" t="n">
        <v>0.7138888888888889</v>
      </c>
      <c r="D342">
        <f>_xlfn.XLOOKUP(40005496,Stops[stop_id],Stops[stop_id],"Não encontrado")</f>
        <v/>
      </c>
      <c r="E342" t="n">
        <v>6</v>
      </c>
    </row>
    <row r="343">
      <c r="A343">
        <f>_xlfn.XLOOKUP("3029-10-0",Trip[trip_id],Trip[trip_id],"Não encontrado")</f>
        <v/>
      </c>
      <c r="B343" s="53" t="n">
        <v>0.715</v>
      </c>
      <c r="C343" s="53" t="n">
        <v>0.715</v>
      </c>
      <c r="D343">
        <f>_xlfn.XLOOKUP(40005497,Stops[stop_id],Stops[stop_id],"Não encontrado")</f>
        <v/>
      </c>
      <c r="E343" t="n">
        <v>7</v>
      </c>
    </row>
    <row r="344">
      <c r="A344">
        <f>_xlfn.XLOOKUP("3029-10-0",Trip[trip_id],Trip[trip_id],"Não encontrado")</f>
        <v/>
      </c>
      <c r="B344" s="53" t="n">
        <v>0.7161111111111111</v>
      </c>
      <c r="C344" s="53" t="n">
        <v>0.7161111111111111</v>
      </c>
      <c r="D344">
        <f>_xlfn.XLOOKUP(409079,Stops[stop_id],Stops[stop_id],"Não encontrado")</f>
        <v/>
      </c>
      <c r="E344" t="n">
        <v>8</v>
      </c>
    </row>
    <row r="345">
      <c r="A345">
        <f>_xlfn.XLOOKUP("3029-10-0",Trip[trip_id],Trip[trip_id],"Não encontrado")</f>
        <v/>
      </c>
      <c r="B345" s="53" t="n">
        <v>0.7172222222222222</v>
      </c>
      <c r="C345" s="53" t="n">
        <v>0.7172222222222222</v>
      </c>
      <c r="D345">
        <f>_xlfn.XLOOKUP(409077,Stops[stop_id],Stops[stop_id],"Não encontrado")</f>
        <v/>
      </c>
      <c r="E345" t="n">
        <v>9</v>
      </c>
    </row>
    <row r="346">
      <c r="A346">
        <f>_xlfn.XLOOKUP("3029-10-0",Trip[trip_id],Trip[trip_id],"Não encontrado")</f>
        <v/>
      </c>
      <c r="B346" s="53" t="n">
        <v>0.7183333333333334</v>
      </c>
      <c r="C346" s="53" t="n">
        <v>0.7183333333333334</v>
      </c>
      <c r="D346">
        <f>_xlfn.XLOOKUP(408997,Stops[stop_id],Stops[stop_id],"Não encontrado")</f>
        <v/>
      </c>
      <c r="E346" t="n">
        <v>10</v>
      </c>
    </row>
    <row r="347">
      <c r="A347">
        <f>_xlfn.XLOOKUP("3029-10-0",Trip[trip_id],Trip[trip_id],"Não encontrado")</f>
        <v/>
      </c>
      <c r="B347" s="53" t="n">
        <v>0.7194444444444444</v>
      </c>
      <c r="C347" s="53" t="n">
        <v>0.7194444444444444</v>
      </c>
      <c r="D347">
        <f>_xlfn.XLOOKUP(404729,Stops[stop_id],Stops[stop_id],"Não encontrado")</f>
        <v/>
      </c>
      <c r="E347" t="n">
        <v>11</v>
      </c>
    </row>
    <row r="348">
      <c r="A348">
        <f>_xlfn.XLOOKUP("3029-10-0",Trip[trip_id],Trip[trip_id],"Não encontrado")</f>
        <v/>
      </c>
      <c r="B348" s="53" t="n">
        <v>0.7205555555555555</v>
      </c>
      <c r="C348" s="53" t="n">
        <v>0.7205555555555555</v>
      </c>
      <c r="D348">
        <f>_xlfn.XLOOKUP(404733,Stops[stop_id],Stops[stop_id],"Não encontrado")</f>
        <v/>
      </c>
      <c r="E348" t="n">
        <v>12</v>
      </c>
    </row>
    <row r="349">
      <c r="A349">
        <f>_xlfn.XLOOKUP("3029-10-0",Trip[trip_id],Trip[trip_id],"Não encontrado")</f>
        <v/>
      </c>
      <c r="B349" s="53" t="n">
        <v>0.7216666666666667</v>
      </c>
      <c r="C349" s="53" t="n">
        <v>0.7216666666666667</v>
      </c>
      <c r="D349">
        <f>_xlfn.XLOOKUP(404602,Stops[stop_id],Stops[stop_id],"Não encontrado")</f>
        <v/>
      </c>
      <c r="E349" t="n">
        <v>13</v>
      </c>
    </row>
    <row r="350">
      <c r="A350">
        <f>_xlfn.XLOOKUP("3029-10-0",Trip[trip_id],Trip[trip_id],"Não encontrado")</f>
        <v/>
      </c>
      <c r="B350" s="53" t="n">
        <v>0.7227777777777777</v>
      </c>
      <c r="C350" s="53" t="n">
        <v>0.7227777777777777</v>
      </c>
      <c r="D350">
        <f>_xlfn.XLOOKUP(404599,Stops[stop_id],Stops[stop_id],"Não encontrado")</f>
        <v/>
      </c>
      <c r="E350" t="n">
        <v>14</v>
      </c>
    </row>
    <row r="351">
      <c r="A351">
        <f>_xlfn.XLOOKUP("3029-10-0",Trip[trip_id],Trip[trip_id],"Não encontrado")</f>
        <v/>
      </c>
      <c r="B351" s="53" t="n">
        <v>0.7238888888888889</v>
      </c>
      <c r="C351" s="53" t="n">
        <v>0.7238888888888889</v>
      </c>
      <c r="D351">
        <f>_xlfn.XLOOKUP(404598,Stops[stop_id],Stops[stop_id],"Não encontrado")</f>
        <v/>
      </c>
      <c r="E351" t="n">
        <v>15</v>
      </c>
    </row>
    <row r="352">
      <c r="A352">
        <f>_xlfn.XLOOKUP("3029-10-0",Trip[trip_id],Trip[trip_id],"Não encontrado")</f>
        <v/>
      </c>
      <c r="B352" s="53" t="n">
        <v>0.725</v>
      </c>
      <c r="C352" s="53" t="n">
        <v>0.725</v>
      </c>
      <c r="D352">
        <f>_xlfn.XLOOKUP(404597,Stops[stop_id],Stops[stop_id],"Não encontrado")</f>
        <v/>
      </c>
      <c r="E352" t="n">
        <v>16</v>
      </c>
    </row>
    <row r="353">
      <c r="A353">
        <f>_xlfn.XLOOKUP("3029-10-0",Trip[trip_id],Trip[trip_id],"Não encontrado")</f>
        <v/>
      </c>
      <c r="B353" s="53" t="n">
        <v>0.7261111111111112</v>
      </c>
      <c r="C353" s="53" t="n">
        <v>0.7261111111111112</v>
      </c>
      <c r="D353">
        <f>_xlfn.XLOOKUP(404595,Stops[stop_id],Stops[stop_id],"Não encontrado")</f>
        <v/>
      </c>
      <c r="E353" t="n">
        <v>17</v>
      </c>
    </row>
    <row r="354">
      <c r="A354">
        <f>_xlfn.XLOOKUP("3029-10-0",Trip[trip_id],Trip[trip_id],"Não encontrado")</f>
        <v/>
      </c>
      <c r="B354" s="53" t="n">
        <v>0.7272222222222222</v>
      </c>
      <c r="C354" s="53" t="n">
        <v>0.7272222222222222</v>
      </c>
      <c r="D354">
        <f>_xlfn.XLOOKUP(404592,Stops[stop_id],Stops[stop_id],"Não encontrado")</f>
        <v/>
      </c>
      <c r="E354" t="n">
        <v>18</v>
      </c>
    </row>
    <row r="355">
      <c r="A355">
        <f>_xlfn.XLOOKUP("3029-10-0",Trip[trip_id],Trip[trip_id],"Não encontrado")</f>
        <v/>
      </c>
      <c r="B355" s="53" t="n">
        <v>0.7283333333333334</v>
      </c>
      <c r="C355" s="53" t="n">
        <v>0.7283333333333334</v>
      </c>
      <c r="D355">
        <f>_xlfn.XLOOKUP(404590,Stops[stop_id],Stops[stop_id],"Não encontrado")</f>
        <v/>
      </c>
      <c r="E355" t="n">
        <v>19</v>
      </c>
    </row>
    <row r="356">
      <c r="A356">
        <f>_xlfn.XLOOKUP("3029-10-0",Trip[trip_id],Trip[trip_id],"Não encontrado")</f>
        <v/>
      </c>
      <c r="B356" s="53" t="n">
        <v>0.7294444444444445</v>
      </c>
      <c r="C356" s="53" t="n">
        <v>0.7294444444444445</v>
      </c>
      <c r="D356">
        <f>_xlfn.XLOOKUP(40008569,Stops[stop_id],Stops[stop_id],"Não encontrado")</f>
        <v/>
      </c>
      <c r="E356" t="n">
        <v>20</v>
      </c>
    </row>
    <row r="357">
      <c r="A357">
        <f>_xlfn.XLOOKUP("3029-10-0",Trip[trip_id],Trip[trip_id],"Não encontrado")</f>
        <v/>
      </c>
      <c r="B357" s="53" t="n">
        <v>0.7305555555555555</v>
      </c>
      <c r="C357" s="53" t="n">
        <v>0.7305555555555555</v>
      </c>
      <c r="D357">
        <f>_xlfn.XLOOKUP(40008570,Stops[stop_id],Stops[stop_id],"Não encontrado")</f>
        <v/>
      </c>
      <c r="E357" t="n">
        <v>21</v>
      </c>
    </row>
    <row r="358">
      <c r="A358">
        <f>_xlfn.XLOOKUP("3029-10-0",Trip[trip_id],Trip[trip_id],"Não encontrado")</f>
        <v/>
      </c>
      <c r="B358" s="53" t="n">
        <v>0.7316666666666667</v>
      </c>
      <c r="C358" s="53" t="n">
        <v>0.7316666666666667</v>
      </c>
      <c r="D358">
        <f>_xlfn.XLOOKUP(870012610,Stops[stop_id],Stops[stop_id],"Não encontrado")</f>
        <v/>
      </c>
      <c r="E358" t="n">
        <v>22</v>
      </c>
    </row>
    <row r="359">
      <c r="A359">
        <f>_xlfn.XLOOKUP("3029-10-0",Trip[trip_id],Trip[trip_id],"Não encontrado")</f>
        <v/>
      </c>
      <c r="B359" s="53" t="n">
        <v>0.7327777777777778</v>
      </c>
      <c r="C359" s="53" t="n">
        <v>0.7327777777777778</v>
      </c>
      <c r="D359">
        <f>_xlfn.XLOOKUP(870012607,Stops[stop_id],Stops[stop_id],"Não encontrado")</f>
        <v/>
      </c>
      <c r="E359" t="n">
        <v>23</v>
      </c>
    </row>
    <row r="360">
      <c r="A360">
        <f>_xlfn.XLOOKUP("3029-10-0",Trip[trip_id],Trip[trip_id],"Não encontrado")</f>
        <v/>
      </c>
      <c r="B360" s="53" t="n">
        <v>0.7338888888888889</v>
      </c>
      <c r="C360" s="53" t="n">
        <v>0.7338888888888889</v>
      </c>
      <c r="D360">
        <f>_xlfn.XLOOKUP(870012605,Stops[stop_id],Stops[stop_id],"Não encontrado")</f>
        <v/>
      </c>
      <c r="E360" t="n">
        <v>24</v>
      </c>
    </row>
    <row r="361">
      <c r="A361">
        <f>_xlfn.XLOOKUP("3029-10-0",Trip[trip_id],Trip[trip_id],"Não encontrado")</f>
        <v/>
      </c>
      <c r="B361" s="53" t="n">
        <v>0.735</v>
      </c>
      <c r="C361" s="53" t="n">
        <v>0.735</v>
      </c>
      <c r="D361">
        <f>_xlfn.XLOOKUP(870008649,Stops[stop_id],Stops[stop_id],"Não encontrado")</f>
        <v/>
      </c>
      <c r="E361" t="n">
        <v>25</v>
      </c>
    </row>
    <row r="362">
      <c r="A362">
        <f>_xlfn.XLOOKUP("3029-10-0",Trip[trip_id],Trip[trip_id],"Não encontrado")</f>
        <v/>
      </c>
      <c r="B362" s="53" t="n">
        <v>0.7361111111111112</v>
      </c>
      <c r="C362" s="53" t="n">
        <v>0.7361111111111112</v>
      </c>
      <c r="D362">
        <f>_xlfn.XLOOKUP(8709751,Stops[stop_id],Stops[stop_id],"Não encontrado")</f>
        <v/>
      </c>
      <c r="E362" t="n">
        <v>26</v>
      </c>
    </row>
    <row r="363">
      <c r="A363">
        <f>_xlfn.XLOOKUP("3029-10-0",Trip[trip_id],Trip[trip_id],"Não encontrado")</f>
        <v/>
      </c>
      <c r="B363" s="53" t="n">
        <v>0.7372222222222222</v>
      </c>
      <c r="C363" s="53" t="n">
        <v>0.7372222222222222</v>
      </c>
      <c r="D363">
        <f>_xlfn.XLOOKUP(870008668,Stops[stop_id],Stops[stop_id],"Não encontrado")</f>
        <v/>
      </c>
      <c r="E363" t="n">
        <v>27</v>
      </c>
    </row>
    <row r="364">
      <c r="A364">
        <f>_xlfn.XLOOKUP("3029-10-0",Trip[trip_id],Trip[trip_id],"Não encontrado")</f>
        <v/>
      </c>
      <c r="B364" s="53" t="n">
        <v>0.7383333333333333</v>
      </c>
      <c r="C364" s="53" t="n">
        <v>0.7383333333333333</v>
      </c>
      <c r="D364">
        <f>_xlfn.XLOOKUP(870008637,Stops[stop_id],Stops[stop_id],"Não encontrado")</f>
        <v/>
      </c>
      <c r="E364" t="n">
        <v>28</v>
      </c>
    </row>
    <row r="365">
      <c r="A365">
        <f>_xlfn.XLOOKUP("3029-10-0",Trip[trip_id],Trip[trip_id],"Não encontrado")</f>
        <v/>
      </c>
      <c r="B365" s="53" t="n">
        <v>0.7394444444444445</v>
      </c>
      <c r="C365" s="53" t="n">
        <v>0.7394444444444445</v>
      </c>
      <c r="D365">
        <f>_xlfn.XLOOKUP(2009259,Stops[stop_id],Stops[stop_id],"Não encontrado")</f>
        <v/>
      </c>
      <c r="E365" t="n">
        <v>29</v>
      </c>
    </row>
    <row r="366">
      <c r="A366">
        <f>_xlfn.XLOOKUP("3029-10-0",Trip[trip_id],Trip[trip_id],"Não encontrado")</f>
        <v/>
      </c>
      <c r="B366" s="53" t="n">
        <v>0.7405555555555555</v>
      </c>
      <c r="C366" s="53" t="n">
        <v>0.7405555555555555</v>
      </c>
      <c r="D366">
        <f>_xlfn.XLOOKUP(200008643,Stops[stop_id],Stops[stop_id],"Não encontrado")</f>
        <v/>
      </c>
      <c r="E366" t="n">
        <v>30</v>
      </c>
    </row>
    <row r="367">
      <c r="A367">
        <f>_xlfn.XLOOKUP("3029-10-0",Trip[trip_id],Trip[trip_id],"Não encontrado")</f>
        <v/>
      </c>
      <c r="B367" s="53" t="n">
        <v>0.7416666666666667</v>
      </c>
      <c r="C367" s="53" t="n">
        <v>0.7416666666666667</v>
      </c>
      <c r="D367">
        <f>_xlfn.XLOOKUP(200008617,Stops[stop_id],Stops[stop_id],"Não encontrado")</f>
        <v/>
      </c>
      <c r="E367" t="n">
        <v>31</v>
      </c>
    </row>
    <row r="368">
      <c r="A368">
        <f>_xlfn.XLOOKUP("3029-10-0",Trip[trip_id],Trip[trip_id],"Não encontrado")</f>
        <v/>
      </c>
      <c r="B368" s="53" t="n">
        <v>0.7427777777777778</v>
      </c>
      <c r="C368" s="53" t="n">
        <v>0.7427777777777778</v>
      </c>
      <c r="D368">
        <f>_xlfn.XLOOKUP(2009284,Stops[stop_id],Stops[stop_id],"Não encontrado")</f>
        <v/>
      </c>
      <c r="E368" t="n">
        <v>32</v>
      </c>
    </row>
    <row r="369">
      <c r="A369">
        <f>_xlfn.XLOOKUP("3029-10-0",Trip[trip_id],Trip[trip_id],"Não encontrado")</f>
        <v/>
      </c>
      <c r="B369" s="53" t="n">
        <v>0.7438888888888889</v>
      </c>
      <c r="C369" s="53" t="n">
        <v>0.7438888888888889</v>
      </c>
      <c r="D369">
        <f>_xlfn.XLOOKUP(200008620,Stops[stop_id],Stops[stop_id],"Não encontrado")</f>
        <v/>
      </c>
      <c r="E369" t="n">
        <v>33</v>
      </c>
    </row>
    <row r="370">
      <c r="A370">
        <f>_xlfn.XLOOKUP("3029-10-0",Trip[trip_id],Trip[trip_id],"Não encontrado")</f>
        <v/>
      </c>
      <c r="B370" s="53" t="n">
        <v>0.745</v>
      </c>
      <c r="C370" s="53" t="n">
        <v>0.745</v>
      </c>
      <c r="D370">
        <f>_xlfn.XLOOKUP(200008626,Stops[stop_id],Stops[stop_id],"Não encontrado")</f>
        <v/>
      </c>
      <c r="E370" t="n">
        <v>34</v>
      </c>
    </row>
    <row r="371">
      <c r="A371">
        <f>_xlfn.XLOOKUP("3029-10-0",Trip[trip_id],Trip[trip_id],"Não encontrado")</f>
        <v/>
      </c>
      <c r="B371" s="53" t="n">
        <v>0.7461111111111111</v>
      </c>
      <c r="C371" s="53" t="n">
        <v>0.7461111111111111</v>
      </c>
      <c r="D371">
        <f>_xlfn.XLOOKUP(200012227,Stops[stop_id],Stops[stop_id],"Não encontrado")</f>
        <v/>
      </c>
      <c r="E371" t="n">
        <v>35</v>
      </c>
    </row>
    <row r="372">
      <c r="A372">
        <f>_xlfn.XLOOKUP("3029-10-0",Trip[trip_id],Trip[trip_id],"Não encontrado")</f>
        <v/>
      </c>
      <c r="B372" s="53" t="n">
        <v>0.7472222222222222</v>
      </c>
      <c r="C372" s="53" t="n">
        <v>0.7472222222222222</v>
      </c>
      <c r="D372">
        <f>_xlfn.XLOOKUP(200012226,Stops[stop_id],Stops[stop_id],"Não encontrado")</f>
        <v/>
      </c>
      <c r="E372" t="n">
        <v>36</v>
      </c>
    </row>
    <row r="373">
      <c r="A373">
        <f>_xlfn.XLOOKUP("3029-10-0",Trip[trip_id],Trip[trip_id],"Não encontrado")</f>
        <v/>
      </c>
      <c r="B373" s="53" t="n">
        <v>0.7483333333333333</v>
      </c>
      <c r="C373" s="53" t="n">
        <v>0.7483333333333333</v>
      </c>
      <c r="D373">
        <f>_xlfn.XLOOKUP(200012224,Stops[stop_id],Stops[stop_id],"Não encontrado")</f>
        <v/>
      </c>
      <c r="E373" t="n">
        <v>37</v>
      </c>
    </row>
    <row r="374">
      <c r="A374">
        <f>_xlfn.XLOOKUP("3029-10-0",Trip[trip_id],Trip[trip_id],"Não encontrado")</f>
        <v/>
      </c>
      <c r="B374" s="53" t="n">
        <v>0.7494444444444445</v>
      </c>
      <c r="C374" s="53" t="n">
        <v>0.7494444444444445</v>
      </c>
      <c r="D374">
        <f>_xlfn.XLOOKUP(200012223,Stops[stop_id],Stops[stop_id],"Não encontrado")</f>
        <v/>
      </c>
      <c r="E374" t="n">
        <v>38</v>
      </c>
    </row>
    <row r="375">
      <c r="A375">
        <f>_xlfn.XLOOKUP("3029-10-0",Trip[trip_id],Trip[trip_id],"Não encontrado")</f>
        <v/>
      </c>
      <c r="B375" s="53" t="n">
        <v>0.7505555555555555</v>
      </c>
      <c r="C375" s="53" t="n">
        <v>0.7505555555555555</v>
      </c>
      <c r="D375">
        <f>_xlfn.XLOOKUP(200012220,Stops[stop_id],Stops[stop_id],"Não encontrado")</f>
        <v/>
      </c>
      <c r="E375" t="n">
        <v>39</v>
      </c>
    </row>
    <row r="376">
      <c r="A376">
        <f>_xlfn.XLOOKUP("3029-10-0",Trip[trip_id],Trip[trip_id],"Não encontrado")</f>
        <v/>
      </c>
      <c r="B376" s="53" t="n">
        <v>0.7516666666666667</v>
      </c>
      <c r="C376" s="53" t="n">
        <v>0.7516666666666667</v>
      </c>
      <c r="D376">
        <f>_xlfn.XLOOKUP(200008802,Stops[stop_id],Stops[stop_id],"Não encontrado")</f>
        <v/>
      </c>
      <c r="E376" t="n">
        <v>40</v>
      </c>
    </row>
    <row r="377">
      <c r="A377">
        <f>_xlfn.XLOOKUP("3029-10-0",Trip[trip_id],Trip[trip_id],"Não encontrado")</f>
        <v/>
      </c>
      <c r="B377" s="53" t="n">
        <v>0.7527777777777778</v>
      </c>
      <c r="C377" s="53" t="n">
        <v>0.7527777777777778</v>
      </c>
      <c r="D377">
        <f>_xlfn.XLOOKUP(200008803,Stops[stop_id],Stops[stop_id],"Não encontrado")</f>
        <v/>
      </c>
      <c r="E377" t="n">
        <v>41</v>
      </c>
    </row>
    <row r="378">
      <c r="A378">
        <f>_xlfn.XLOOKUP("3029-10-0",Trip[trip_id],Trip[trip_id],"Não encontrado")</f>
        <v/>
      </c>
      <c r="B378" s="53" t="n">
        <v>0.7538888888888889</v>
      </c>
      <c r="C378" s="53" t="n">
        <v>0.7538888888888889</v>
      </c>
      <c r="D378">
        <f>_xlfn.XLOOKUP(820008804,Stops[stop_id],Stops[stop_id],"Não encontrado")</f>
        <v/>
      </c>
      <c r="E378" t="n">
        <v>42</v>
      </c>
    </row>
    <row r="379">
      <c r="A379">
        <f>_xlfn.XLOOKUP("3029-10-0",Trip[trip_id],Trip[trip_id],"Não encontrado")</f>
        <v/>
      </c>
      <c r="B379" s="53" t="n">
        <v>0.755</v>
      </c>
      <c r="C379" s="53" t="n">
        <v>0.755</v>
      </c>
      <c r="D379">
        <f>_xlfn.XLOOKUP(8209203,Stops[stop_id],Stops[stop_id],"Não encontrado")</f>
        <v/>
      </c>
      <c r="E379" t="n">
        <v>43</v>
      </c>
    </row>
    <row r="380">
      <c r="A380">
        <f>_xlfn.XLOOKUP("3029-10-0",Trip[trip_id],Trip[trip_id],"Não encontrado")</f>
        <v/>
      </c>
      <c r="B380" s="53" t="n">
        <v>0.7561111111111111</v>
      </c>
      <c r="C380" s="53" t="n">
        <v>0.7561111111111111</v>
      </c>
      <c r="D380">
        <f>_xlfn.XLOOKUP(820008806,Stops[stop_id],Stops[stop_id],"Não encontrado")</f>
        <v/>
      </c>
      <c r="E380" t="n">
        <v>44</v>
      </c>
    </row>
    <row r="381">
      <c r="A381">
        <f>_xlfn.XLOOKUP("3029-10-0",Trip[trip_id],Trip[trip_id],"Não encontrado")</f>
        <v/>
      </c>
      <c r="B381" s="53" t="n">
        <v>0.7572222222222222</v>
      </c>
      <c r="C381" s="53" t="n">
        <v>0.7572222222222222</v>
      </c>
      <c r="D381">
        <f>_xlfn.XLOOKUP(820008807,Stops[stop_id],Stops[stop_id],"Não encontrado")</f>
        <v/>
      </c>
      <c r="E381" t="n">
        <v>45</v>
      </c>
    </row>
    <row r="382">
      <c r="A382">
        <f>_xlfn.XLOOKUP("3029-10-0",Trip[trip_id],Trip[trip_id],"Não encontrado")</f>
        <v/>
      </c>
      <c r="B382" s="53" t="n">
        <v>0.7583333333333333</v>
      </c>
      <c r="C382" s="53" t="n">
        <v>0.7583333333333333</v>
      </c>
      <c r="D382">
        <f>_xlfn.XLOOKUP(820008856,Stops[stop_id],Stops[stop_id],"Não encontrado")</f>
        <v/>
      </c>
      <c r="E382" t="n">
        <v>46</v>
      </c>
    </row>
    <row r="383">
      <c r="A383">
        <f>_xlfn.XLOOKUP("3029-10-0",Trip[trip_id],Trip[trip_id],"Não encontrado")</f>
        <v/>
      </c>
      <c r="B383" s="53" t="n">
        <v>0.7594444444444445</v>
      </c>
      <c r="C383" s="53" t="n">
        <v>0.7594444444444445</v>
      </c>
      <c r="D383">
        <f>_xlfn.XLOOKUP(820008857,Stops[stop_id],Stops[stop_id],"Não encontrado")</f>
        <v/>
      </c>
      <c r="E383" t="n">
        <v>47</v>
      </c>
    </row>
    <row r="384">
      <c r="A384">
        <f>_xlfn.XLOOKUP("3029-10-0",Trip[trip_id],Trip[trip_id],"Não encontrado")</f>
        <v/>
      </c>
      <c r="B384" s="53" t="n">
        <v>0.7605555555555555</v>
      </c>
      <c r="C384" s="53" t="n">
        <v>0.7605555555555555</v>
      </c>
      <c r="D384">
        <f>_xlfn.XLOOKUP(8210279,Stops[stop_id],Stops[stop_id],"Não encontrado")</f>
        <v/>
      </c>
      <c r="E384" t="n">
        <v>48</v>
      </c>
    </row>
    <row r="385">
      <c r="A385">
        <f>_xlfn.XLOOKUP("3029-10-0",Trip[trip_id],Trip[trip_id],"Não encontrado")</f>
        <v/>
      </c>
      <c r="B385" s="53" t="n">
        <v>0.7616666666666667</v>
      </c>
      <c r="C385" s="53" t="n">
        <v>0.7616666666666667</v>
      </c>
      <c r="D385">
        <f>_xlfn.XLOOKUP(820008812,Stops[stop_id],Stops[stop_id],"Não encontrado")</f>
        <v/>
      </c>
      <c r="E385" t="n">
        <v>49</v>
      </c>
    </row>
    <row r="386">
      <c r="A386">
        <f>_xlfn.XLOOKUP("3029-10-0",Trip[trip_id],Trip[trip_id],"Não encontrado")</f>
        <v/>
      </c>
      <c r="B386" s="53" t="n">
        <v>0.7627777777777778</v>
      </c>
      <c r="C386" s="53" t="n">
        <v>0.7627777777777778</v>
      </c>
      <c r="D386">
        <f>_xlfn.XLOOKUP(8210261,Stops[stop_id],Stops[stop_id],"Não encontrado")</f>
        <v/>
      </c>
      <c r="E386" t="n">
        <v>50</v>
      </c>
    </row>
    <row r="387">
      <c r="A387">
        <f>_xlfn.XLOOKUP("3029-10-0",Trip[trip_id],Trip[trip_id],"Não encontrado")</f>
        <v/>
      </c>
      <c r="B387" s="53" t="n">
        <v>0.7652777777777777</v>
      </c>
      <c r="C387" s="53" t="n">
        <v>0.7652777777777777</v>
      </c>
      <c r="D387">
        <f>_xlfn.XLOOKUP(8210189,Stops[stop_id],Stops[stop_id],"Não encontrado")</f>
        <v/>
      </c>
      <c r="E387" t="n">
        <v>51</v>
      </c>
    </row>
    <row r="388">
      <c r="A388">
        <f>_xlfn.XLOOKUP("3029-10-1",Trip[trip_id],Trip[trip_id],"Não encontrado")</f>
        <v/>
      </c>
      <c r="B388" s="53" t="n">
        <v>0.7083333333333334</v>
      </c>
      <c r="C388" s="53" t="n">
        <v>0.7083333333333334</v>
      </c>
      <c r="D388">
        <f>_xlfn.XLOOKUP(8210189,Stops[stop_id],Stops[stop_id],"Não encontrado")</f>
        <v/>
      </c>
      <c r="E388" t="n">
        <v>1</v>
      </c>
    </row>
    <row r="389">
      <c r="A389">
        <f>_xlfn.XLOOKUP("3029-10-1",Trip[trip_id],Trip[trip_id],"Não encontrado")</f>
        <v/>
      </c>
      <c r="B389" s="53" t="n">
        <v>0.7096643518518518</v>
      </c>
      <c r="C389" s="53" t="n">
        <v>0.7096643518518518</v>
      </c>
      <c r="D389">
        <f>_xlfn.XLOOKUP(8209765,Stops[stop_id],Stops[stop_id],"Não encontrado")</f>
        <v/>
      </c>
      <c r="E389" t="n">
        <v>2</v>
      </c>
    </row>
    <row r="390">
      <c r="A390">
        <f>_xlfn.XLOOKUP("3029-10-1",Trip[trip_id],Trip[trip_id],"Não encontrado")</f>
        <v/>
      </c>
      <c r="B390" s="53" t="n">
        <v>0.7109953703703704</v>
      </c>
      <c r="C390" s="53" t="n">
        <v>0.7109953703703704</v>
      </c>
      <c r="D390">
        <f>_xlfn.XLOOKUP(820012500,Stops[stop_id],Stops[stop_id],"Não encontrado")</f>
        <v/>
      </c>
      <c r="E390" t="n">
        <v>3</v>
      </c>
    </row>
    <row r="391">
      <c r="A391">
        <f>_xlfn.XLOOKUP("3029-10-1",Trip[trip_id],Trip[trip_id],"Não encontrado")</f>
        <v/>
      </c>
      <c r="B391" s="53" t="n">
        <v>0.7123263888888889</v>
      </c>
      <c r="C391" s="53" t="n">
        <v>0.7123263888888889</v>
      </c>
      <c r="D391">
        <f>_xlfn.XLOOKUP(8210236,Stops[stop_id],Stops[stop_id],"Não encontrado")</f>
        <v/>
      </c>
      <c r="E391" t="n">
        <v>4</v>
      </c>
    </row>
    <row r="392">
      <c r="A392">
        <f>_xlfn.XLOOKUP("3029-10-1",Trip[trip_id],Trip[trip_id],"Não encontrado")</f>
        <v/>
      </c>
      <c r="B392" s="53" t="n">
        <v>0.7136574074074075</v>
      </c>
      <c r="C392" s="53" t="n">
        <v>0.7136574074074075</v>
      </c>
      <c r="D392">
        <f>_xlfn.XLOOKUP(200012214,Stops[stop_id],Stops[stop_id],"Não encontrado")</f>
        <v/>
      </c>
      <c r="E392" t="n">
        <v>5</v>
      </c>
    </row>
    <row r="393">
      <c r="A393">
        <f>_xlfn.XLOOKUP("3029-10-1",Trip[trip_id],Trip[trip_id],"Não encontrado")</f>
        <v/>
      </c>
      <c r="B393" s="53" t="n">
        <v>0.7149884259259259</v>
      </c>
      <c r="C393" s="53" t="n">
        <v>0.7149884259259259</v>
      </c>
      <c r="D393">
        <f>_xlfn.XLOOKUP(200012216,Stops[stop_id],Stops[stop_id],"Não encontrado")</f>
        <v/>
      </c>
      <c r="E393" t="n">
        <v>6</v>
      </c>
    </row>
    <row r="394">
      <c r="A394">
        <f>_xlfn.XLOOKUP("3029-10-1",Trip[trip_id],Trip[trip_id],"Não encontrado")</f>
        <v/>
      </c>
      <c r="B394" s="53" t="n">
        <v>0.7163194444444444</v>
      </c>
      <c r="C394" s="53" t="n">
        <v>0.7163194444444444</v>
      </c>
      <c r="D394">
        <f>_xlfn.XLOOKUP(200012219,Stops[stop_id],Stops[stop_id],"Não encontrado")</f>
        <v/>
      </c>
      <c r="E394" t="n">
        <v>7</v>
      </c>
    </row>
    <row r="395">
      <c r="A395">
        <f>_xlfn.XLOOKUP("3029-10-1",Trip[trip_id],Trip[trip_id],"Não encontrado")</f>
        <v/>
      </c>
      <c r="B395" s="53" t="n">
        <v>0.717650462962963</v>
      </c>
      <c r="C395" s="53" t="n">
        <v>0.717650462962963</v>
      </c>
      <c r="D395">
        <f>_xlfn.XLOOKUP(200012221,Stops[stop_id],Stops[stop_id],"Não encontrado")</f>
        <v/>
      </c>
      <c r="E395" t="n">
        <v>8</v>
      </c>
    </row>
    <row r="396">
      <c r="A396">
        <f>_xlfn.XLOOKUP("3029-10-1",Trip[trip_id],Trip[trip_id],"Não encontrado")</f>
        <v/>
      </c>
      <c r="B396" s="53" t="n">
        <v>0.7189814814814814</v>
      </c>
      <c r="C396" s="53" t="n">
        <v>0.7189814814814814</v>
      </c>
      <c r="D396">
        <f>_xlfn.XLOOKUP(200012222,Stops[stop_id],Stops[stop_id],"Não encontrado")</f>
        <v/>
      </c>
      <c r="E396" t="n">
        <v>9</v>
      </c>
    </row>
    <row r="397">
      <c r="A397">
        <f>_xlfn.XLOOKUP("3029-10-1",Trip[trip_id],Trip[trip_id],"Não encontrado")</f>
        <v/>
      </c>
      <c r="B397" s="53" t="n">
        <v>0.7203125</v>
      </c>
      <c r="C397" s="53" t="n">
        <v>0.7203125</v>
      </c>
      <c r="D397">
        <f>_xlfn.XLOOKUP(200012225,Stops[stop_id],Stops[stop_id],"Não encontrado")</f>
        <v/>
      </c>
      <c r="E397" t="n">
        <v>10</v>
      </c>
    </row>
    <row r="398">
      <c r="A398">
        <f>_xlfn.XLOOKUP("3029-10-1",Trip[trip_id],Trip[trip_id],"Não encontrado")</f>
        <v/>
      </c>
      <c r="B398" s="53" t="n">
        <v>0.7216435185185185</v>
      </c>
      <c r="C398" s="53" t="n">
        <v>0.7216435185185185</v>
      </c>
      <c r="D398">
        <f>_xlfn.XLOOKUP(200012235,Stops[stop_id],Stops[stop_id],"Não encontrado")</f>
        <v/>
      </c>
      <c r="E398" t="n">
        <v>11</v>
      </c>
    </row>
    <row r="399">
      <c r="A399">
        <f>_xlfn.XLOOKUP("3029-10-1",Trip[trip_id],Trip[trip_id],"Não encontrado")</f>
        <v/>
      </c>
      <c r="B399" s="53" t="n">
        <v>0.7229745370370371</v>
      </c>
      <c r="C399" s="53" t="n">
        <v>0.7229745370370371</v>
      </c>
      <c r="D399">
        <f>_xlfn.XLOOKUP(200012234,Stops[stop_id],Stops[stop_id],"Não encontrado")</f>
        <v/>
      </c>
      <c r="E399" t="n">
        <v>12</v>
      </c>
    </row>
    <row r="400">
      <c r="A400">
        <f>_xlfn.XLOOKUP("3029-10-1",Trip[trip_id],Trip[trip_id],"Não encontrado")</f>
        <v/>
      </c>
      <c r="B400" s="53" t="n">
        <v>0.7243055555555555</v>
      </c>
      <c r="C400" s="53" t="n">
        <v>0.7243055555555555</v>
      </c>
      <c r="D400">
        <f>_xlfn.XLOOKUP(2009276,Stops[stop_id],Stops[stop_id],"Não encontrado")</f>
        <v/>
      </c>
      <c r="E400" t="n">
        <v>13</v>
      </c>
    </row>
    <row r="401">
      <c r="A401">
        <f>_xlfn.XLOOKUP("3029-10-1",Trip[trip_id],Trip[trip_id],"Não encontrado")</f>
        <v/>
      </c>
      <c r="B401" s="53" t="n">
        <v>0.7256365740740741</v>
      </c>
      <c r="C401" s="53" t="n">
        <v>0.7256365740740741</v>
      </c>
      <c r="D401">
        <f>_xlfn.XLOOKUP(200008621,Stops[stop_id],Stops[stop_id],"Não encontrado")</f>
        <v/>
      </c>
      <c r="E401" t="n">
        <v>14</v>
      </c>
    </row>
    <row r="402">
      <c r="A402">
        <f>_xlfn.XLOOKUP("3029-10-1",Trip[trip_id],Trip[trip_id],"Não encontrado")</f>
        <v/>
      </c>
      <c r="B402" s="53" t="n">
        <v>0.7269675925925926</v>
      </c>
      <c r="C402" s="53" t="n">
        <v>0.7269675925925926</v>
      </c>
      <c r="D402">
        <f>_xlfn.XLOOKUP(200008619,Stops[stop_id],Stops[stop_id],"Não encontrado")</f>
        <v/>
      </c>
      <c r="E402" t="n">
        <v>15</v>
      </c>
    </row>
    <row r="403">
      <c r="A403">
        <f>_xlfn.XLOOKUP("3029-10-1",Trip[trip_id],Trip[trip_id],"Não encontrado")</f>
        <v/>
      </c>
      <c r="B403" s="53" t="n">
        <v>0.7282986111111112</v>
      </c>
      <c r="C403" s="53" t="n">
        <v>0.7282986111111112</v>
      </c>
      <c r="D403">
        <f>_xlfn.XLOOKUP(2009067,Stops[stop_id],Stops[stop_id],"Não encontrado")</f>
        <v/>
      </c>
      <c r="E403" t="n">
        <v>16</v>
      </c>
    </row>
    <row r="404">
      <c r="A404">
        <f>_xlfn.XLOOKUP("3029-10-1",Trip[trip_id],Trip[trip_id],"Não encontrado")</f>
        <v/>
      </c>
      <c r="B404" s="53" t="n">
        <v>0.7296296296296296</v>
      </c>
      <c r="C404" s="53" t="n">
        <v>0.7296296296296296</v>
      </c>
      <c r="D404">
        <f>_xlfn.XLOOKUP(200008616,Stops[stop_id],Stops[stop_id],"Não encontrado")</f>
        <v/>
      </c>
      <c r="E404" t="n">
        <v>17</v>
      </c>
    </row>
    <row r="405">
      <c r="A405">
        <f>_xlfn.XLOOKUP("3029-10-1",Trip[trip_id],Trip[trip_id],"Não encontrado")</f>
        <v/>
      </c>
      <c r="B405" s="53" t="n">
        <v>0.7309606481481481</v>
      </c>
      <c r="C405" s="53" t="n">
        <v>0.7309606481481481</v>
      </c>
      <c r="D405">
        <f>_xlfn.XLOOKUP(2009263,Stops[stop_id],Stops[stop_id],"Não encontrado")</f>
        <v/>
      </c>
      <c r="E405" t="n">
        <v>18</v>
      </c>
    </row>
    <row r="406">
      <c r="A406">
        <f>_xlfn.XLOOKUP("3029-10-1",Trip[trip_id],Trip[trip_id],"Não encontrado")</f>
        <v/>
      </c>
      <c r="B406" s="53" t="n">
        <v>0.7322916666666667</v>
      </c>
      <c r="C406" s="53" t="n">
        <v>0.7322916666666667</v>
      </c>
      <c r="D406">
        <f>_xlfn.XLOOKUP(200008638,Stops[stop_id],Stops[stop_id],"Não encontrado")</f>
        <v/>
      </c>
      <c r="E406" t="n">
        <v>19</v>
      </c>
    </row>
    <row r="407">
      <c r="A407">
        <f>_xlfn.XLOOKUP("3029-10-1",Trip[trip_id],Trip[trip_id],"Não encontrado")</f>
        <v/>
      </c>
      <c r="B407" s="53" t="n">
        <v>0.7336226851851851</v>
      </c>
      <c r="C407" s="53" t="n">
        <v>0.7336226851851851</v>
      </c>
      <c r="D407">
        <f>_xlfn.XLOOKUP(870008636,Stops[stop_id],Stops[stop_id],"Não encontrado")</f>
        <v/>
      </c>
      <c r="E407" t="n">
        <v>20</v>
      </c>
    </row>
    <row r="408">
      <c r="A408">
        <f>_xlfn.XLOOKUP("3029-10-1",Trip[trip_id],Trip[trip_id],"Não encontrado")</f>
        <v/>
      </c>
      <c r="B408" s="53" t="n">
        <v>0.7349537037037037</v>
      </c>
      <c r="C408" s="53" t="n">
        <v>0.7349537037037037</v>
      </c>
      <c r="D408">
        <f>_xlfn.XLOOKUP(8704811,Stops[stop_id],Stops[stop_id],"Não encontrado")</f>
        <v/>
      </c>
      <c r="E408" t="n">
        <v>21</v>
      </c>
    </row>
    <row r="409">
      <c r="A409">
        <f>_xlfn.XLOOKUP("3029-10-1",Trip[trip_id],Trip[trip_id],"Não encontrado")</f>
        <v/>
      </c>
      <c r="B409" s="53" t="n">
        <v>0.7362847222222222</v>
      </c>
      <c r="C409" s="53" t="n">
        <v>0.7362847222222222</v>
      </c>
      <c r="D409">
        <f>_xlfn.XLOOKUP(870012603,Stops[stop_id],Stops[stop_id],"Não encontrado")</f>
        <v/>
      </c>
      <c r="E409" t="n">
        <v>22</v>
      </c>
    </row>
    <row r="410">
      <c r="A410">
        <f>_xlfn.XLOOKUP("3029-10-1",Trip[trip_id],Trip[trip_id],"Não encontrado")</f>
        <v/>
      </c>
      <c r="B410" s="53" t="n">
        <v>0.7376157407407408</v>
      </c>
      <c r="C410" s="53" t="n">
        <v>0.7376157407407408</v>
      </c>
      <c r="D410">
        <f>_xlfn.XLOOKUP(870008666,Stops[stop_id],Stops[stop_id],"Não encontrado")</f>
        <v/>
      </c>
      <c r="E410" t="n">
        <v>23</v>
      </c>
    </row>
    <row r="411">
      <c r="A411">
        <f>_xlfn.XLOOKUP("3029-10-1",Trip[trip_id],Trip[trip_id],"Não encontrado")</f>
        <v/>
      </c>
      <c r="B411" s="53" t="n">
        <v>0.7389467592592592</v>
      </c>
      <c r="C411" s="53" t="n">
        <v>0.7389467592592592</v>
      </c>
      <c r="D411">
        <f>_xlfn.XLOOKUP(870008650,Stops[stop_id],Stops[stop_id],"Não encontrado")</f>
        <v/>
      </c>
      <c r="E411" t="n">
        <v>24</v>
      </c>
    </row>
    <row r="412">
      <c r="A412">
        <f>_xlfn.XLOOKUP("3029-10-1",Trip[trip_id],Trip[trip_id],"Não encontrado")</f>
        <v/>
      </c>
      <c r="B412" s="53" t="n">
        <v>0.7402777777777778</v>
      </c>
      <c r="C412" s="53" t="n">
        <v>0.7402777777777778</v>
      </c>
      <c r="D412">
        <f>_xlfn.XLOOKUP(870012606,Stops[stop_id],Stops[stop_id],"Não encontrado")</f>
        <v/>
      </c>
      <c r="E412" t="n">
        <v>25</v>
      </c>
    </row>
    <row r="413">
      <c r="A413">
        <f>_xlfn.XLOOKUP("3029-10-1",Trip[trip_id],Trip[trip_id],"Não encontrado")</f>
        <v/>
      </c>
      <c r="B413" s="53" t="n">
        <v>0.7416087962962963</v>
      </c>
      <c r="C413" s="53" t="n">
        <v>0.7416087962962963</v>
      </c>
      <c r="D413">
        <f>_xlfn.XLOOKUP(870012608,Stops[stop_id],Stops[stop_id],"Não encontrado")</f>
        <v/>
      </c>
      <c r="E413" t="n">
        <v>26</v>
      </c>
    </row>
    <row r="414">
      <c r="A414">
        <f>_xlfn.XLOOKUP("3029-10-1",Trip[trip_id],Trip[trip_id],"Não encontrado")</f>
        <v/>
      </c>
      <c r="B414" s="53" t="n">
        <v>0.7429398148148149</v>
      </c>
      <c r="C414" s="53" t="n">
        <v>0.7429398148148149</v>
      </c>
      <c r="D414">
        <f>_xlfn.XLOOKUP(8709778,Stops[stop_id],Stops[stop_id],"Não encontrado")</f>
        <v/>
      </c>
      <c r="E414" t="n">
        <v>27</v>
      </c>
    </row>
    <row r="415">
      <c r="A415">
        <f>_xlfn.XLOOKUP("3029-10-1",Trip[trip_id],Trip[trip_id],"Não encontrado")</f>
        <v/>
      </c>
      <c r="B415" s="53" t="n">
        <v>0.7442708333333333</v>
      </c>
      <c r="C415" s="53" t="n">
        <v>0.7442708333333333</v>
      </c>
      <c r="D415">
        <f>_xlfn.XLOOKUP(870008567,Stops[stop_id],Stops[stop_id],"Não encontrado")</f>
        <v/>
      </c>
      <c r="E415" t="n">
        <v>28</v>
      </c>
    </row>
    <row r="416">
      <c r="A416">
        <f>_xlfn.XLOOKUP("3029-10-1",Trip[trip_id],Trip[trip_id],"Não encontrado")</f>
        <v/>
      </c>
      <c r="B416" s="53" t="n">
        <v>0.7456018518518519</v>
      </c>
      <c r="C416" s="53" t="n">
        <v>0.7456018518518519</v>
      </c>
      <c r="D416">
        <f>_xlfn.XLOOKUP(8704850,Stops[stop_id],Stops[stop_id],"Não encontrado")</f>
        <v/>
      </c>
      <c r="E416" t="n">
        <v>29</v>
      </c>
    </row>
    <row r="417">
      <c r="A417">
        <f>_xlfn.XLOOKUP("3029-10-1",Trip[trip_id],Trip[trip_id],"Não encontrado")</f>
        <v/>
      </c>
      <c r="B417" s="53" t="n">
        <v>0.7469328703703704</v>
      </c>
      <c r="C417" s="53" t="n">
        <v>0.7469328703703704</v>
      </c>
      <c r="D417">
        <f>_xlfn.XLOOKUP(8704588,Stops[stop_id],Stops[stop_id],"Não encontrado")</f>
        <v/>
      </c>
      <c r="E417" t="n">
        <v>30</v>
      </c>
    </row>
    <row r="418">
      <c r="A418">
        <f>_xlfn.XLOOKUP("3029-10-1",Trip[trip_id],Trip[trip_id],"Não encontrado")</f>
        <v/>
      </c>
      <c r="B418" s="53" t="n">
        <v>0.7482638888888888</v>
      </c>
      <c r="C418" s="53" t="n">
        <v>0.7482638888888888</v>
      </c>
      <c r="D418">
        <f>_xlfn.XLOOKUP(8704591,Stops[stop_id],Stops[stop_id],"Não encontrado")</f>
        <v/>
      </c>
      <c r="E418" t="n">
        <v>31</v>
      </c>
    </row>
    <row r="419">
      <c r="A419">
        <f>_xlfn.XLOOKUP("3029-10-1",Trip[trip_id],Trip[trip_id],"Não encontrado")</f>
        <v/>
      </c>
      <c r="B419" s="53" t="n">
        <v>0.7495949074074074</v>
      </c>
      <c r="C419" s="53" t="n">
        <v>0.7495949074074074</v>
      </c>
      <c r="D419">
        <f>_xlfn.XLOOKUP(8704593,Stops[stop_id],Stops[stop_id],"Não encontrado")</f>
        <v/>
      </c>
      <c r="E419" t="n">
        <v>32</v>
      </c>
    </row>
    <row r="420">
      <c r="A420">
        <f>_xlfn.XLOOKUP("3029-10-1",Trip[trip_id],Trip[trip_id],"Não encontrado")</f>
        <v/>
      </c>
      <c r="B420" s="53" t="n">
        <v>0.7509259259259259</v>
      </c>
      <c r="C420" s="53" t="n">
        <v>0.7509259259259259</v>
      </c>
      <c r="D420">
        <f>_xlfn.XLOOKUP(404596,Stops[stop_id],Stops[stop_id],"Não encontrado")</f>
        <v/>
      </c>
      <c r="E420" t="n">
        <v>33</v>
      </c>
    </row>
    <row r="421">
      <c r="A421">
        <f>_xlfn.XLOOKUP("3029-10-1",Trip[trip_id],Trip[trip_id],"Não encontrado")</f>
        <v/>
      </c>
      <c r="B421" s="53" t="n">
        <v>0.7522569444444445</v>
      </c>
      <c r="C421" s="53" t="n">
        <v>0.7522569444444445</v>
      </c>
      <c r="D421">
        <f>_xlfn.XLOOKUP(404643,Stops[stop_id],Stops[stop_id],"Não encontrado")</f>
        <v/>
      </c>
      <c r="E421" t="n">
        <v>34</v>
      </c>
    </row>
    <row r="422">
      <c r="A422">
        <f>_xlfn.XLOOKUP("3029-10-1",Trip[trip_id],Trip[trip_id],"Não encontrado")</f>
        <v/>
      </c>
      <c r="B422" s="53" t="n">
        <v>0.7535879629629629</v>
      </c>
      <c r="C422" s="53" t="n">
        <v>0.7535879629629629</v>
      </c>
      <c r="D422">
        <f>_xlfn.XLOOKUP(404734,Stops[stop_id],Stops[stop_id],"Não encontrado")</f>
        <v/>
      </c>
      <c r="E422" t="n">
        <v>35</v>
      </c>
    </row>
    <row r="423">
      <c r="A423">
        <f>_xlfn.XLOOKUP("3029-10-1",Trip[trip_id],Trip[trip_id],"Não encontrado")</f>
        <v/>
      </c>
      <c r="B423" s="53" t="n">
        <v>0.7549189814814815</v>
      </c>
      <c r="C423" s="53" t="n">
        <v>0.7549189814814815</v>
      </c>
      <c r="D423">
        <f>_xlfn.XLOOKUP(409058,Stops[stop_id],Stops[stop_id],"Não encontrado")</f>
        <v/>
      </c>
      <c r="E423" t="n">
        <v>36</v>
      </c>
    </row>
    <row r="424">
      <c r="A424">
        <f>_xlfn.XLOOKUP("3029-10-1",Trip[trip_id],Trip[trip_id],"Não encontrado")</f>
        <v/>
      </c>
      <c r="B424" s="53" t="n">
        <v>0.75625</v>
      </c>
      <c r="C424" s="53" t="n">
        <v>0.75625</v>
      </c>
      <c r="D424">
        <f>_xlfn.XLOOKUP(409084,Stops[stop_id],Stops[stop_id],"Não encontrado")</f>
        <v/>
      </c>
      <c r="E424" t="n">
        <v>37</v>
      </c>
    </row>
    <row r="425">
      <c r="A425">
        <f>_xlfn.XLOOKUP("3029-10-1",Trip[trip_id],Trip[trip_id],"Não encontrado")</f>
        <v/>
      </c>
      <c r="B425" s="53" t="n">
        <v>0.7575810185185186</v>
      </c>
      <c r="C425" s="53" t="n">
        <v>0.7575810185185186</v>
      </c>
      <c r="D425">
        <f>_xlfn.XLOOKUP(40005495,Stops[stop_id],Stops[stop_id],"Não encontrado")</f>
        <v/>
      </c>
      <c r="E425" t="n">
        <v>38</v>
      </c>
    </row>
    <row r="426">
      <c r="A426">
        <f>_xlfn.XLOOKUP("3029-10-1",Trip[trip_id],Trip[trip_id],"Não encontrado")</f>
        <v/>
      </c>
      <c r="B426" s="53" t="n">
        <v>0.758912037037037</v>
      </c>
      <c r="C426" s="53" t="n">
        <v>0.758912037037037</v>
      </c>
      <c r="D426">
        <f>_xlfn.XLOOKUP(40005493,Stops[stop_id],Stops[stop_id],"Não encontrado")</f>
        <v/>
      </c>
      <c r="E426" t="n">
        <v>39</v>
      </c>
    </row>
    <row r="427">
      <c r="A427">
        <f>_xlfn.XLOOKUP("3029-10-1",Trip[trip_id],Trip[trip_id],"Não encontrado")</f>
        <v/>
      </c>
      <c r="B427" s="53" t="n">
        <v>0.7602430555555556</v>
      </c>
      <c r="C427" s="53" t="n">
        <v>0.7602430555555556</v>
      </c>
      <c r="D427">
        <f>_xlfn.XLOOKUP(409027,Stops[stop_id],Stops[stop_id],"Não encontrado")</f>
        <v/>
      </c>
      <c r="E427" t="n">
        <v>40</v>
      </c>
    </row>
    <row r="428">
      <c r="A428">
        <f>_xlfn.XLOOKUP("3029-10-1",Trip[trip_id],Trip[trip_id],"Não encontrado")</f>
        <v/>
      </c>
      <c r="B428" s="53" t="n">
        <v>0.7615740740740741</v>
      </c>
      <c r="C428" s="53" t="n">
        <v>0.7615740740740741</v>
      </c>
      <c r="D428">
        <f>_xlfn.XLOOKUP(409063,Stops[stop_id],Stops[stop_id],"Não encontrado")</f>
        <v/>
      </c>
      <c r="E428" t="n">
        <v>41</v>
      </c>
    </row>
    <row r="429">
      <c r="A429">
        <f>_xlfn.XLOOKUP("3029-10-1",Trip[trip_id],Trip[trip_id],"Não encontrado")</f>
        <v/>
      </c>
      <c r="B429" s="53" t="n">
        <v>0.7629050925925925</v>
      </c>
      <c r="C429" s="53" t="n">
        <v>0.7629050925925925</v>
      </c>
      <c r="D429">
        <f>_xlfn.XLOOKUP(409070,Stops[stop_id],Stops[stop_id],"Não encontrado")</f>
        <v/>
      </c>
      <c r="E429" t="n">
        <v>42</v>
      </c>
    </row>
    <row r="430">
      <c r="A430">
        <f>_xlfn.XLOOKUP("3029-10-1",Trip[trip_id],Trip[trip_id],"Não encontrado")</f>
        <v/>
      </c>
      <c r="B430" s="53" t="n">
        <v>0.7659722222222223</v>
      </c>
      <c r="C430" s="53" t="n">
        <v>0.7659722222222223</v>
      </c>
      <c r="D430">
        <f>_xlfn.XLOOKUP(40005509,Stops[stop_id],Stops[stop_id],"Não encontrado")</f>
        <v/>
      </c>
      <c r="E430" t="n">
        <v>43</v>
      </c>
    </row>
    <row r="431">
      <c r="A431">
        <f>_xlfn.XLOOKUP("311C-10-0",Trip[trip_id],Trip[trip_id],"Não encontrado")</f>
        <v/>
      </c>
      <c r="B431" s="53" t="n">
        <v>0.5416666666666666</v>
      </c>
      <c r="C431" s="53" t="n">
        <v>0.5416666666666666</v>
      </c>
      <c r="D431">
        <f>_xlfn.XLOOKUP(7405519,Stops[stop_id],Stops[stop_id],"Não encontrado")</f>
        <v/>
      </c>
      <c r="E431" t="n">
        <v>1</v>
      </c>
    </row>
    <row r="432">
      <c r="A432">
        <f>_xlfn.XLOOKUP("311C-10-0",Trip[trip_id],Trip[trip_id],"Não encontrado")</f>
        <v/>
      </c>
      <c r="B432" s="53" t="n">
        <v>0.5433449074074074</v>
      </c>
      <c r="C432" s="53" t="n">
        <v>0.5433449074074074</v>
      </c>
      <c r="D432">
        <f>_xlfn.XLOOKUP(740006605,Stops[stop_id],Stops[stop_id],"Não encontrado")</f>
        <v/>
      </c>
      <c r="E432" t="n">
        <v>2</v>
      </c>
    </row>
    <row r="433">
      <c r="A433">
        <f>_xlfn.XLOOKUP("311C-10-0",Trip[trip_id],Trip[trip_id],"Não encontrado")</f>
        <v/>
      </c>
      <c r="B433" s="53" t="n">
        <v>0.5450231481481481</v>
      </c>
      <c r="C433" s="53" t="n">
        <v>0.5450231481481481</v>
      </c>
      <c r="D433">
        <f>_xlfn.XLOOKUP(740006396,Stops[stop_id],Stops[stop_id],"Não encontrado")</f>
        <v/>
      </c>
      <c r="E433" t="n">
        <v>3</v>
      </c>
    </row>
    <row r="434">
      <c r="A434">
        <f>_xlfn.XLOOKUP("311C-10-0",Trip[trip_id],Trip[trip_id],"Não encontrado")</f>
        <v/>
      </c>
      <c r="B434" s="53" t="n">
        <v>0.5467013888888889</v>
      </c>
      <c r="C434" s="53" t="n">
        <v>0.5467013888888889</v>
      </c>
      <c r="D434">
        <f>_xlfn.XLOOKUP(740006399,Stops[stop_id],Stops[stop_id],"Não encontrado")</f>
        <v/>
      </c>
      <c r="E434" t="n">
        <v>4</v>
      </c>
    </row>
    <row r="435">
      <c r="A435">
        <f>_xlfn.XLOOKUP("311C-10-0",Trip[trip_id],Trip[trip_id],"Não encontrado")</f>
        <v/>
      </c>
      <c r="B435" s="53" t="n">
        <v>0.5483796296296296</v>
      </c>
      <c r="C435" s="53" t="n">
        <v>0.5483796296296296</v>
      </c>
      <c r="D435">
        <f>_xlfn.XLOOKUP(740006400,Stops[stop_id],Stops[stop_id],"Não encontrado")</f>
        <v/>
      </c>
      <c r="E435" t="n">
        <v>5</v>
      </c>
    </row>
    <row r="436">
      <c r="A436">
        <f>_xlfn.XLOOKUP("311C-10-0",Trip[trip_id],Trip[trip_id],"Não encontrado")</f>
        <v/>
      </c>
      <c r="B436" s="53" t="n">
        <v>0.5500578703703703</v>
      </c>
      <c r="C436" s="53" t="n">
        <v>0.5500578703703703</v>
      </c>
      <c r="D436">
        <f>_xlfn.XLOOKUP(740006519,Stops[stop_id],Stops[stop_id],"Não encontrado")</f>
        <v/>
      </c>
      <c r="E436" t="n">
        <v>6</v>
      </c>
    </row>
    <row r="437">
      <c r="A437">
        <f>_xlfn.XLOOKUP("311C-10-0",Trip[trip_id],Trip[trip_id],"Não encontrado")</f>
        <v/>
      </c>
      <c r="B437" s="53" t="n">
        <v>0.5517361111111111</v>
      </c>
      <c r="C437" s="53" t="n">
        <v>0.5517361111111111</v>
      </c>
      <c r="D437">
        <f>_xlfn.XLOOKUP(740006520,Stops[stop_id],Stops[stop_id],"Não encontrado")</f>
        <v/>
      </c>
      <c r="E437" t="n">
        <v>7</v>
      </c>
    </row>
    <row r="438">
      <c r="A438">
        <f>_xlfn.XLOOKUP("311C-10-0",Trip[trip_id],Trip[trip_id],"Não encontrado")</f>
        <v/>
      </c>
      <c r="B438" s="53" t="n">
        <v>0.5534143518518518</v>
      </c>
      <c r="C438" s="53" t="n">
        <v>0.5534143518518518</v>
      </c>
      <c r="D438">
        <f>_xlfn.XLOOKUP(740006420,Stops[stop_id],Stops[stop_id],"Não encontrado")</f>
        <v/>
      </c>
      <c r="E438" t="n">
        <v>8</v>
      </c>
    </row>
    <row r="439">
      <c r="A439">
        <f>_xlfn.XLOOKUP("311C-10-0",Trip[trip_id],Trip[trip_id],"Não encontrado")</f>
        <v/>
      </c>
      <c r="B439" s="53" t="n">
        <v>0.5550925925925926</v>
      </c>
      <c r="C439" s="53" t="n">
        <v>0.5550925925925926</v>
      </c>
      <c r="D439">
        <f>_xlfn.XLOOKUP(950006421,Stops[stop_id],Stops[stop_id],"Não encontrado")</f>
        <v/>
      </c>
      <c r="E439" t="n">
        <v>9</v>
      </c>
    </row>
    <row r="440">
      <c r="A440">
        <f>_xlfn.XLOOKUP("311C-10-0",Trip[trip_id],Trip[trip_id],"Não encontrado")</f>
        <v/>
      </c>
      <c r="B440" s="53" t="n">
        <v>0.5567708333333333</v>
      </c>
      <c r="C440" s="53" t="n">
        <v>0.5567708333333333</v>
      </c>
      <c r="D440">
        <f>_xlfn.XLOOKUP(950006423,Stops[stop_id],Stops[stop_id],"Não encontrado")</f>
        <v/>
      </c>
      <c r="E440" t="n">
        <v>10</v>
      </c>
    </row>
    <row r="441">
      <c r="A441">
        <f>_xlfn.XLOOKUP("311C-10-0",Trip[trip_id],Trip[trip_id],"Não encontrado")</f>
        <v/>
      </c>
      <c r="B441" s="53" t="n">
        <v>0.5584490740740741</v>
      </c>
      <c r="C441" s="53" t="n">
        <v>0.5584490740740741</v>
      </c>
      <c r="D441">
        <f>_xlfn.XLOOKUP(950006426,Stops[stop_id],Stops[stop_id],"Não encontrado")</f>
        <v/>
      </c>
      <c r="E441" t="n">
        <v>11</v>
      </c>
    </row>
    <row r="442">
      <c r="A442">
        <f>_xlfn.XLOOKUP("311C-10-0",Trip[trip_id],Trip[trip_id],"Não encontrado")</f>
        <v/>
      </c>
      <c r="B442" s="53" t="n">
        <v>0.5601273148148148</v>
      </c>
      <c r="C442" s="53" t="n">
        <v>0.5601273148148148</v>
      </c>
      <c r="D442">
        <f>_xlfn.XLOOKUP(950006427,Stops[stop_id],Stops[stop_id],"Não encontrado")</f>
        <v/>
      </c>
      <c r="E442" t="n">
        <v>12</v>
      </c>
    </row>
    <row r="443">
      <c r="A443">
        <f>_xlfn.XLOOKUP("311C-10-0",Trip[trip_id],Trip[trip_id],"Não encontrado")</f>
        <v/>
      </c>
      <c r="B443" s="53" t="n">
        <v>0.5618055555555556</v>
      </c>
      <c r="C443" s="53" t="n">
        <v>0.5618055555555556</v>
      </c>
      <c r="D443">
        <f>_xlfn.XLOOKUP(950006429,Stops[stop_id],Stops[stop_id],"Não encontrado")</f>
        <v/>
      </c>
      <c r="E443" t="n">
        <v>13</v>
      </c>
    </row>
    <row r="444">
      <c r="A444">
        <f>_xlfn.XLOOKUP("311C-10-0",Trip[trip_id],Trip[trip_id],"Não encontrado")</f>
        <v/>
      </c>
      <c r="B444" s="53" t="n">
        <v>0.5634837962962963</v>
      </c>
      <c r="C444" s="53" t="n">
        <v>0.5634837962962963</v>
      </c>
      <c r="D444">
        <f>_xlfn.XLOOKUP(950006431,Stops[stop_id],Stops[stop_id],"Não encontrado")</f>
        <v/>
      </c>
      <c r="E444" t="n">
        <v>14</v>
      </c>
    </row>
    <row r="445">
      <c r="A445">
        <f>_xlfn.XLOOKUP("311C-10-0",Trip[trip_id],Trip[trip_id],"Não encontrado")</f>
        <v/>
      </c>
      <c r="B445" s="53" t="n">
        <v>0.565162037037037</v>
      </c>
      <c r="C445" s="53" t="n">
        <v>0.565162037037037</v>
      </c>
      <c r="D445">
        <f>_xlfn.XLOOKUP(950006557,Stops[stop_id],Stops[stop_id],"Não encontrado")</f>
        <v/>
      </c>
      <c r="E445" t="n">
        <v>15</v>
      </c>
    </row>
    <row r="446">
      <c r="A446">
        <f>_xlfn.XLOOKUP("311C-10-0",Trip[trip_id],Trip[trip_id],"Não encontrado")</f>
        <v/>
      </c>
      <c r="B446" s="53" t="n">
        <v>0.5668402777777778</v>
      </c>
      <c r="C446" s="53" t="n">
        <v>0.5668402777777778</v>
      </c>
      <c r="D446">
        <f>_xlfn.XLOOKUP(950006555,Stops[stop_id],Stops[stop_id],"Não encontrado")</f>
        <v/>
      </c>
      <c r="E446" t="n">
        <v>16</v>
      </c>
    </row>
    <row r="447">
      <c r="A447">
        <f>_xlfn.XLOOKUP("311C-10-0",Trip[trip_id],Trip[trip_id],"Não encontrado")</f>
        <v/>
      </c>
      <c r="B447" s="53" t="n">
        <v>0.5685185185185185</v>
      </c>
      <c r="C447" s="53" t="n">
        <v>0.5685185185185185</v>
      </c>
      <c r="D447">
        <f>_xlfn.XLOOKUP(950006688,Stops[stop_id],Stops[stop_id],"Não encontrado")</f>
        <v/>
      </c>
      <c r="E447" t="n">
        <v>17</v>
      </c>
    </row>
    <row r="448">
      <c r="A448">
        <f>_xlfn.XLOOKUP("311C-10-0",Trip[trip_id],Trip[trip_id],"Não encontrado")</f>
        <v/>
      </c>
      <c r="B448" s="53" t="n">
        <v>0.5701967592592593</v>
      </c>
      <c r="C448" s="53" t="n">
        <v>0.5701967592592593</v>
      </c>
      <c r="D448">
        <f>_xlfn.XLOOKUP(950006689,Stops[stop_id],Stops[stop_id],"Não encontrado")</f>
        <v/>
      </c>
      <c r="E448" t="n">
        <v>18</v>
      </c>
    </row>
    <row r="449">
      <c r="A449">
        <f>_xlfn.XLOOKUP("311C-10-0",Trip[trip_id],Trip[trip_id],"Não encontrado")</f>
        <v/>
      </c>
      <c r="B449" s="53" t="n">
        <v>0.571875</v>
      </c>
      <c r="C449" s="53" t="n">
        <v>0.571875</v>
      </c>
      <c r="D449">
        <f>_xlfn.XLOOKUP(950006690,Stops[stop_id],Stops[stop_id],"Não encontrado")</f>
        <v/>
      </c>
      <c r="E449" t="n">
        <v>19</v>
      </c>
    </row>
    <row r="450">
      <c r="A450">
        <f>_xlfn.XLOOKUP("311C-10-0",Trip[trip_id],Trip[trip_id],"Não encontrado")</f>
        <v/>
      </c>
      <c r="B450" s="53" t="n">
        <v>0.5735532407407408</v>
      </c>
      <c r="C450" s="53" t="n">
        <v>0.5735532407407408</v>
      </c>
      <c r="D450">
        <f>_xlfn.XLOOKUP(950006691,Stops[stop_id],Stops[stop_id],"Não encontrado")</f>
        <v/>
      </c>
      <c r="E450" t="n">
        <v>20</v>
      </c>
    </row>
    <row r="451">
      <c r="A451">
        <f>_xlfn.XLOOKUP("311C-10-0",Trip[trip_id],Trip[trip_id],"Não encontrado")</f>
        <v/>
      </c>
      <c r="B451" s="53" t="n">
        <v>0.5752314814814815</v>
      </c>
      <c r="C451" s="53" t="n">
        <v>0.5752314814814815</v>
      </c>
      <c r="D451">
        <f>_xlfn.XLOOKUP(950006621,Stops[stop_id],Stops[stop_id],"Não encontrado")</f>
        <v/>
      </c>
      <c r="E451" t="n">
        <v>21</v>
      </c>
    </row>
    <row r="452">
      <c r="A452">
        <f>_xlfn.XLOOKUP("311C-10-0",Trip[trip_id],Trip[trip_id],"Não encontrado")</f>
        <v/>
      </c>
      <c r="B452" s="53" t="n">
        <v>0.5769097222222223</v>
      </c>
      <c r="C452" s="53" t="n">
        <v>0.5769097222222223</v>
      </c>
      <c r="D452">
        <f>_xlfn.XLOOKUP(950006619,Stops[stop_id],Stops[stop_id],"Não encontrado")</f>
        <v/>
      </c>
      <c r="E452" t="n">
        <v>22</v>
      </c>
    </row>
    <row r="453">
      <c r="A453">
        <f>_xlfn.XLOOKUP("311C-10-0",Trip[trip_id],Trip[trip_id],"Não encontrado")</f>
        <v/>
      </c>
      <c r="B453" s="53" t="n">
        <v>0.578587962962963</v>
      </c>
      <c r="C453" s="53" t="n">
        <v>0.578587962962963</v>
      </c>
      <c r="D453">
        <f>_xlfn.XLOOKUP(950006616,Stops[stop_id],Stops[stop_id],"Não encontrado")</f>
        <v/>
      </c>
      <c r="E453" t="n">
        <v>23</v>
      </c>
    </row>
    <row r="454">
      <c r="A454">
        <f>_xlfn.XLOOKUP("311C-10-0",Trip[trip_id],Trip[trip_id],"Não encontrado")</f>
        <v/>
      </c>
      <c r="B454" s="53" t="n">
        <v>0.5802662037037037</v>
      </c>
      <c r="C454" s="53" t="n">
        <v>0.5802662037037037</v>
      </c>
      <c r="D454">
        <f>_xlfn.XLOOKUP(9505320,Stops[stop_id],Stops[stop_id],"Não encontrado")</f>
        <v/>
      </c>
      <c r="E454" t="n">
        <v>24</v>
      </c>
    </row>
    <row r="455">
      <c r="A455">
        <f>_xlfn.XLOOKUP("311C-10-0",Trip[trip_id],Trip[trip_id],"Não encontrado")</f>
        <v/>
      </c>
      <c r="B455" s="53" t="n">
        <v>0.5819444444444445</v>
      </c>
      <c r="C455" s="53" t="n">
        <v>0.5819444444444445</v>
      </c>
      <c r="D455">
        <f>_xlfn.XLOOKUP(9505562,Stops[stop_id],Stops[stop_id],"Não encontrado")</f>
        <v/>
      </c>
      <c r="E455" t="n">
        <v>25</v>
      </c>
    </row>
    <row r="456">
      <c r="A456">
        <f>_xlfn.XLOOKUP("311C-10-0",Trip[trip_id],Trip[trip_id],"Não encontrado")</f>
        <v/>
      </c>
      <c r="B456" s="53" t="n">
        <v>0.5836226851851852</v>
      </c>
      <c r="C456" s="53" t="n">
        <v>0.5836226851851852</v>
      </c>
      <c r="D456">
        <f>_xlfn.XLOOKUP(950014189,Stops[stop_id],Stops[stop_id],"Não encontrado")</f>
        <v/>
      </c>
      <c r="E456" t="n">
        <v>26</v>
      </c>
    </row>
    <row r="457">
      <c r="A457">
        <f>_xlfn.XLOOKUP("311C-10-0",Trip[trip_id],Trip[trip_id],"Não encontrado")</f>
        <v/>
      </c>
      <c r="B457" s="53" t="n">
        <v>0.585300925925926</v>
      </c>
      <c r="C457" s="53" t="n">
        <v>0.585300925925926</v>
      </c>
      <c r="D457">
        <f>_xlfn.XLOOKUP(950014141,Stops[stop_id],Stops[stop_id],"Não encontrado")</f>
        <v/>
      </c>
      <c r="E457" t="n">
        <v>27</v>
      </c>
    </row>
    <row r="458">
      <c r="A458">
        <f>_xlfn.XLOOKUP("311C-10-0",Trip[trip_id],Trip[trip_id],"Não encontrado")</f>
        <v/>
      </c>
      <c r="B458" s="53" t="n">
        <v>0.5869791666666667</v>
      </c>
      <c r="C458" s="53" t="n">
        <v>0.5869791666666667</v>
      </c>
      <c r="D458">
        <f>_xlfn.XLOOKUP(540014144,Stops[stop_id],Stops[stop_id],"Não encontrado")</f>
        <v/>
      </c>
      <c r="E458" t="n">
        <v>28</v>
      </c>
    </row>
    <row r="459">
      <c r="A459">
        <f>_xlfn.XLOOKUP("311C-10-0",Trip[trip_id],Trip[trip_id],"Não encontrado")</f>
        <v/>
      </c>
      <c r="B459" s="53" t="n">
        <v>0.5886574074074075</v>
      </c>
      <c r="C459" s="53" t="n">
        <v>0.5886574074074075</v>
      </c>
      <c r="D459">
        <f>_xlfn.XLOOKUP(540014147,Stops[stop_id],Stops[stop_id],"Não encontrado")</f>
        <v/>
      </c>
      <c r="E459" t="n">
        <v>29</v>
      </c>
    </row>
    <row r="460">
      <c r="A460">
        <f>_xlfn.XLOOKUP("311C-10-0",Trip[trip_id],Trip[trip_id],"Não encontrado")</f>
        <v/>
      </c>
      <c r="B460" s="53" t="n">
        <v>0.5903356481481481</v>
      </c>
      <c r="C460" s="53" t="n">
        <v>0.5903356481481481</v>
      </c>
      <c r="D460">
        <f>_xlfn.XLOOKUP(540014149,Stops[stop_id],Stops[stop_id],"Não encontrado")</f>
        <v/>
      </c>
      <c r="E460" t="n">
        <v>30</v>
      </c>
    </row>
    <row r="461">
      <c r="A461">
        <f>_xlfn.XLOOKUP("311C-10-0",Trip[trip_id],Trip[trip_id],"Não encontrado")</f>
        <v/>
      </c>
      <c r="B461" s="53" t="n">
        <v>0.5920138888888888</v>
      </c>
      <c r="C461" s="53" t="n">
        <v>0.5920138888888888</v>
      </c>
      <c r="D461">
        <f>_xlfn.XLOOKUP(540014151,Stops[stop_id],Stops[stop_id],"Não encontrado")</f>
        <v/>
      </c>
      <c r="E461" t="n">
        <v>31</v>
      </c>
    </row>
    <row r="462">
      <c r="A462">
        <f>_xlfn.XLOOKUP("311C-10-0",Trip[trip_id],Trip[trip_id],"Não encontrado")</f>
        <v/>
      </c>
      <c r="B462" s="53" t="n">
        <v>0.5936921296296296</v>
      </c>
      <c r="C462" s="53" t="n">
        <v>0.5936921296296296</v>
      </c>
      <c r="D462">
        <f>_xlfn.XLOOKUP(540014153,Stops[stop_id],Stops[stop_id],"Não encontrado")</f>
        <v/>
      </c>
      <c r="E462" t="n">
        <v>32</v>
      </c>
    </row>
    <row r="463">
      <c r="A463">
        <f>_xlfn.XLOOKUP("311C-10-0",Trip[trip_id],Trip[trip_id],"Não encontrado")</f>
        <v/>
      </c>
      <c r="B463" s="53" t="n">
        <v>0.5953703703703703</v>
      </c>
      <c r="C463" s="53" t="n">
        <v>0.5953703703703703</v>
      </c>
      <c r="D463">
        <f>_xlfn.XLOOKUP(5410094,Stops[stop_id],Stops[stop_id],"Não encontrado")</f>
        <v/>
      </c>
      <c r="E463" t="n">
        <v>33</v>
      </c>
    </row>
    <row r="464">
      <c r="A464">
        <f>_xlfn.XLOOKUP("311C-10-0",Trip[trip_id],Trip[trip_id],"Não encontrado")</f>
        <v/>
      </c>
      <c r="B464" s="53" t="n">
        <v>0.5970486111111111</v>
      </c>
      <c r="C464" s="53" t="n">
        <v>0.5970486111111111</v>
      </c>
      <c r="D464">
        <f>_xlfn.XLOOKUP(540014156,Stops[stop_id],Stops[stop_id],"Não encontrado")</f>
        <v/>
      </c>
      <c r="E464" t="n">
        <v>34</v>
      </c>
    </row>
    <row r="465">
      <c r="A465">
        <f>_xlfn.XLOOKUP("311C-10-0",Trip[trip_id],Trip[trip_id],"Não encontrado")</f>
        <v/>
      </c>
      <c r="B465" s="53" t="n">
        <v>0.5987268518518518</v>
      </c>
      <c r="C465" s="53" t="n">
        <v>0.5987268518518518</v>
      </c>
      <c r="D465">
        <f>_xlfn.XLOOKUP(540014157,Stops[stop_id],Stops[stop_id],"Não encontrado")</f>
        <v/>
      </c>
      <c r="E465" t="n">
        <v>35</v>
      </c>
    </row>
    <row r="466">
      <c r="A466">
        <f>_xlfn.XLOOKUP("311C-10-0",Trip[trip_id],Trip[trip_id],"Não encontrado")</f>
        <v/>
      </c>
      <c r="B466" s="53" t="n">
        <v>0.6004050925925926</v>
      </c>
      <c r="C466" s="53" t="n">
        <v>0.6004050925925926</v>
      </c>
      <c r="D466">
        <f>_xlfn.XLOOKUP(80014359,Stops[stop_id],Stops[stop_id],"Não encontrado")</f>
        <v/>
      </c>
      <c r="E466" t="n">
        <v>36</v>
      </c>
    </row>
    <row r="467">
      <c r="A467">
        <f>_xlfn.XLOOKUP("311C-10-0",Trip[trip_id],Trip[trip_id],"Não encontrado")</f>
        <v/>
      </c>
      <c r="B467" s="53" t="n">
        <v>0.6020833333333333</v>
      </c>
      <c r="C467" s="53" t="n">
        <v>0.6020833333333333</v>
      </c>
      <c r="D467">
        <f>_xlfn.XLOOKUP(80014360,Stops[stop_id],Stops[stop_id],"Não encontrado")</f>
        <v/>
      </c>
      <c r="E467" t="n">
        <v>37</v>
      </c>
    </row>
    <row r="468">
      <c r="A468">
        <f>_xlfn.XLOOKUP("311C-10-0",Trip[trip_id],Trip[trip_id],"Não encontrado")</f>
        <v/>
      </c>
      <c r="B468" s="53" t="n">
        <v>0.603761574074074</v>
      </c>
      <c r="C468" s="53" t="n">
        <v>0.603761574074074</v>
      </c>
      <c r="D468">
        <f>_xlfn.XLOOKUP(80014362,Stops[stop_id],Stops[stop_id],"Não encontrado")</f>
        <v/>
      </c>
      <c r="E468" t="n">
        <v>38</v>
      </c>
    </row>
    <row r="469">
      <c r="A469">
        <f>_xlfn.XLOOKUP("311C-10-0",Trip[trip_id],Trip[trip_id],"Não encontrado")</f>
        <v/>
      </c>
      <c r="B469" s="53" t="n">
        <v>0.6054398148148148</v>
      </c>
      <c r="C469" s="53" t="n">
        <v>0.6054398148148148</v>
      </c>
      <c r="D469">
        <f>_xlfn.XLOOKUP(80014363,Stops[stop_id],Stops[stop_id],"Não encontrado")</f>
        <v/>
      </c>
      <c r="E469" t="n">
        <v>39</v>
      </c>
    </row>
    <row r="470">
      <c r="A470">
        <f>_xlfn.XLOOKUP("311C-10-0",Trip[trip_id],Trip[trip_id],"Não encontrado")</f>
        <v/>
      </c>
      <c r="B470" s="53" t="n">
        <v>0.6071180555555555</v>
      </c>
      <c r="C470" s="53" t="n">
        <v>0.6071180555555555</v>
      </c>
      <c r="D470">
        <f>_xlfn.XLOOKUP(80014355,Stops[stop_id],Stops[stop_id],"Não encontrado")</f>
        <v/>
      </c>
      <c r="E470" t="n">
        <v>40</v>
      </c>
    </row>
    <row r="471">
      <c r="A471">
        <f>_xlfn.XLOOKUP("311C-10-0",Trip[trip_id],Trip[trip_id],"Não encontrado")</f>
        <v/>
      </c>
      <c r="B471" s="53" t="n">
        <v>0.6087962962962963</v>
      </c>
      <c r="C471" s="53" t="n">
        <v>0.6087962962962963</v>
      </c>
      <c r="D471">
        <f>_xlfn.XLOOKUP(570014306,Stops[stop_id],Stops[stop_id],"Não encontrado")</f>
        <v/>
      </c>
      <c r="E471" t="n">
        <v>41</v>
      </c>
    </row>
    <row r="472">
      <c r="A472">
        <f>_xlfn.XLOOKUP("311C-10-0",Trip[trip_id],Trip[trip_id],"Não encontrado")</f>
        <v/>
      </c>
      <c r="B472" s="53" t="n">
        <v>0.610474537037037</v>
      </c>
      <c r="C472" s="53" t="n">
        <v>0.610474537037037</v>
      </c>
      <c r="D472">
        <f>_xlfn.XLOOKUP(100014307,Stops[stop_id],Stops[stop_id],"Não encontrado")</f>
        <v/>
      </c>
      <c r="E472" t="n">
        <v>42</v>
      </c>
    </row>
    <row r="473">
      <c r="A473">
        <f>_xlfn.XLOOKUP("311C-10-0",Trip[trip_id],Trip[trip_id],"Não encontrado")</f>
        <v/>
      </c>
      <c r="B473" s="53" t="n">
        <v>0.6121527777777778</v>
      </c>
      <c r="C473" s="53" t="n">
        <v>0.6121527777777778</v>
      </c>
      <c r="D473">
        <f>_xlfn.XLOOKUP(100014308,Stops[stop_id],Stops[stop_id],"Não encontrado")</f>
        <v/>
      </c>
      <c r="E473" t="n">
        <v>43</v>
      </c>
    </row>
    <row r="474">
      <c r="A474">
        <f>_xlfn.XLOOKUP("311C-10-0",Trip[trip_id],Trip[trip_id],"Não encontrado")</f>
        <v/>
      </c>
      <c r="B474" s="53" t="n">
        <v>0.6138310185185185</v>
      </c>
      <c r="C474" s="53" t="n">
        <v>0.6138310185185185</v>
      </c>
      <c r="D474">
        <f>_xlfn.XLOOKUP(100014309,Stops[stop_id],Stops[stop_id],"Não encontrado")</f>
        <v/>
      </c>
      <c r="E474" t="n">
        <v>44</v>
      </c>
    </row>
    <row r="475">
      <c r="A475">
        <f>_xlfn.XLOOKUP("311C-10-0",Trip[trip_id],Trip[trip_id],"Não encontrado")</f>
        <v/>
      </c>
      <c r="B475" s="53" t="n">
        <v>0.6155092592592593</v>
      </c>
      <c r="C475" s="53" t="n">
        <v>0.6155092592592593</v>
      </c>
      <c r="D475">
        <f>_xlfn.XLOOKUP(1009854,Stops[stop_id],Stops[stop_id],"Não encontrado")</f>
        <v/>
      </c>
      <c r="E475" t="n">
        <v>45</v>
      </c>
    </row>
    <row r="476">
      <c r="A476">
        <f>_xlfn.XLOOKUP("311C-10-0",Trip[trip_id],Trip[trip_id],"Não encontrado")</f>
        <v/>
      </c>
      <c r="B476" s="53" t="n">
        <v>0.6171875</v>
      </c>
      <c r="C476" s="53" t="n">
        <v>0.6171875</v>
      </c>
      <c r="D476">
        <f>_xlfn.XLOOKUP(1010105,Stops[stop_id],Stops[stop_id],"Não encontrado")</f>
        <v/>
      </c>
      <c r="E476" t="n">
        <v>46</v>
      </c>
    </row>
    <row r="477">
      <c r="A477">
        <f>_xlfn.XLOOKUP("311C-10-0",Trip[trip_id],Trip[trip_id],"Não encontrado")</f>
        <v/>
      </c>
      <c r="B477" s="53" t="n">
        <v>0.6188657407407407</v>
      </c>
      <c r="C477" s="53" t="n">
        <v>0.6188657407407407</v>
      </c>
      <c r="D477">
        <f>_xlfn.XLOOKUP(90008175,Stops[stop_id],Stops[stop_id],"Não encontrado")</f>
        <v/>
      </c>
      <c r="E477" t="n">
        <v>47</v>
      </c>
    </row>
    <row r="478">
      <c r="A478">
        <f>_xlfn.XLOOKUP("311C-10-0",Trip[trip_id],Trip[trip_id],"Não encontrado")</f>
        <v/>
      </c>
      <c r="B478" s="53" t="n">
        <v>0.6205439814814815</v>
      </c>
      <c r="C478" s="53" t="n">
        <v>0.6205439814814815</v>
      </c>
      <c r="D478">
        <f>_xlfn.XLOOKUP(90013937,Stops[stop_id],Stops[stop_id],"Não encontrado")</f>
        <v/>
      </c>
      <c r="E478" t="n">
        <v>48</v>
      </c>
    </row>
    <row r="479">
      <c r="A479">
        <f>_xlfn.XLOOKUP("311C-10-0",Trip[trip_id],Trip[trip_id],"Não encontrado")</f>
        <v/>
      </c>
      <c r="B479" s="53" t="n">
        <v>0.6222222222222222</v>
      </c>
      <c r="C479" s="53" t="n">
        <v>0.6222222222222222</v>
      </c>
      <c r="D479">
        <f>_xlfn.XLOOKUP(90013939,Stops[stop_id],Stops[stop_id],"Não encontrado")</f>
        <v/>
      </c>
      <c r="E479" t="n">
        <v>49</v>
      </c>
    </row>
    <row r="480">
      <c r="A480">
        <f>_xlfn.XLOOKUP("311C-10-0",Trip[trip_id],Trip[trip_id],"Não encontrado")</f>
        <v/>
      </c>
      <c r="B480" s="53" t="n">
        <v>0.623900462962963</v>
      </c>
      <c r="C480" s="53" t="n">
        <v>0.623900462962963</v>
      </c>
      <c r="D480">
        <f>_xlfn.XLOOKUP(90013911,Stops[stop_id],Stops[stop_id],"Não encontrado")</f>
        <v/>
      </c>
      <c r="E480" t="n">
        <v>50</v>
      </c>
    </row>
    <row r="481">
      <c r="A481">
        <f>_xlfn.XLOOKUP("311C-10-0",Trip[trip_id],Trip[trip_id],"Não encontrado")</f>
        <v/>
      </c>
      <c r="B481" s="53" t="n">
        <v>0.6255787037037037</v>
      </c>
      <c r="C481" s="53" t="n">
        <v>0.6255787037037037</v>
      </c>
      <c r="D481">
        <f>_xlfn.XLOOKUP(90013912,Stops[stop_id],Stops[stop_id],"Não encontrado")</f>
        <v/>
      </c>
      <c r="E481" t="n">
        <v>51</v>
      </c>
    </row>
    <row r="482">
      <c r="A482">
        <f>_xlfn.XLOOKUP("311C-10-0",Trip[trip_id],Trip[trip_id],"Não encontrado")</f>
        <v/>
      </c>
      <c r="B482" s="53" t="n">
        <v>0.6272569444444445</v>
      </c>
      <c r="C482" s="53" t="n">
        <v>0.6272569444444445</v>
      </c>
      <c r="D482">
        <f>_xlfn.XLOOKUP(910819,Stops[stop_id],Stops[stop_id],"Não encontrado")</f>
        <v/>
      </c>
      <c r="E482" t="n">
        <v>52</v>
      </c>
    </row>
    <row r="483">
      <c r="A483">
        <f>_xlfn.XLOOKUP("311C-10-0",Trip[trip_id],Trip[trip_id],"Não encontrado")</f>
        <v/>
      </c>
      <c r="B483" s="53" t="n">
        <v>0.6289351851851852</v>
      </c>
      <c r="C483" s="53" t="n">
        <v>0.6289351851851852</v>
      </c>
      <c r="D483">
        <f>_xlfn.XLOOKUP(90013918,Stops[stop_id],Stops[stop_id],"Não encontrado")</f>
        <v/>
      </c>
      <c r="E483" t="n">
        <v>53</v>
      </c>
    </row>
    <row r="484">
      <c r="A484">
        <f>_xlfn.XLOOKUP("311C-10-0",Trip[trip_id],Trip[trip_id],"Não encontrado")</f>
        <v/>
      </c>
      <c r="B484" s="53" t="n">
        <v>0.630613425925926</v>
      </c>
      <c r="C484" s="53" t="n">
        <v>0.630613425925926</v>
      </c>
      <c r="D484">
        <f>_xlfn.XLOOKUP(910817,Stops[stop_id],Stops[stop_id],"Não encontrado")</f>
        <v/>
      </c>
      <c r="E484" t="n">
        <v>54</v>
      </c>
    </row>
    <row r="485">
      <c r="A485">
        <f>_xlfn.XLOOKUP("311C-10-0",Trip[trip_id],Trip[trip_id],"Não encontrado")</f>
        <v/>
      </c>
      <c r="B485" s="53" t="n">
        <v>0.6322916666666667</v>
      </c>
      <c r="C485" s="53" t="n">
        <v>0.6322916666666667</v>
      </c>
      <c r="D485">
        <f>_xlfn.XLOOKUP(90013942,Stops[stop_id],Stops[stop_id],"Não encontrado")</f>
        <v/>
      </c>
      <c r="E485" t="n">
        <v>55</v>
      </c>
    </row>
    <row r="486">
      <c r="A486">
        <f>_xlfn.XLOOKUP("311C-10-0",Trip[trip_id],Trip[trip_id],"Não encontrado")</f>
        <v/>
      </c>
      <c r="B486" s="53" t="n">
        <v>0.6339699074074074</v>
      </c>
      <c r="C486" s="53" t="n">
        <v>0.6339699074074074</v>
      </c>
      <c r="D486">
        <f>_xlfn.XLOOKUP(910810,Stops[stop_id],Stops[stop_id],"Não encontrado")</f>
        <v/>
      </c>
      <c r="E486" t="n">
        <v>56</v>
      </c>
    </row>
    <row r="487">
      <c r="A487">
        <f>_xlfn.XLOOKUP("311C-10-0",Trip[trip_id],Trip[trip_id],"Não encontrado")</f>
        <v/>
      </c>
      <c r="B487" s="53" t="n">
        <v>0.6356481481481482</v>
      </c>
      <c r="C487" s="53" t="n">
        <v>0.6356481481481482</v>
      </c>
      <c r="D487">
        <f>_xlfn.XLOOKUP(910803,Stops[stop_id],Stops[stop_id],"Não encontrado")</f>
        <v/>
      </c>
      <c r="E487" t="n">
        <v>57</v>
      </c>
    </row>
    <row r="488">
      <c r="A488">
        <f>_xlfn.XLOOKUP("311C-10-0",Trip[trip_id],Trip[trip_id],"Não encontrado")</f>
        <v/>
      </c>
      <c r="B488" s="53" t="n">
        <v>0.6395833333333333</v>
      </c>
      <c r="C488" s="53" t="n">
        <v>0.6395833333333333</v>
      </c>
      <c r="D488">
        <f>_xlfn.XLOOKUP(910818,Stops[stop_id],Stops[stop_id],"Não encontrado")</f>
        <v/>
      </c>
      <c r="E488" t="n">
        <v>58</v>
      </c>
    </row>
    <row r="489">
      <c r="A489">
        <f>_xlfn.XLOOKUP("311C-10-1",Trip[trip_id],Trip[trip_id],"Não encontrado")</f>
        <v/>
      </c>
      <c r="B489" s="53" t="n">
        <v>0.625</v>
      </c>
      <c r="C489" s="53" t="n">
        <v>0.625</v>
      </c>
      <c r="D489">
        <f>_xlfn.XLOOKUP(910818,Stops[stop_id],Stops[stop_id],"Não encontrado")</f>
        <v/>
      </c>
      <c r="E489" t="n">
        <v>1</v>
      </c>
    </row>
    <row r="490">
      <c r="A490">
        <f>_xlfn.XLOOKUP("311C-10-1",Trip[trip_id],Trip[trip_id],"Não encontrado")</f>
        <v/>
      </c>
      <c r="B490" s="53" t="n">
        <v>0.6269328703703704</v>
      </c>
      <c r="C490" s="53" t="n">
        <v>0.6269328703703704</v>
      </c>
      <c r="D490">
        <f>_xlfn.XLOOKUP(910811,Stops[stop_id],Stops[stop_id],"Não encontrado")</f>
        <v/>
      </c>
      <c r="E490" t="n">
        <v>2</v>
      </c>
    </row>
    <row r="491">
      <c r="A491">
        <f>_xlfn.XLOOKUP("311C-10-1",Trip[trip_id],Trip[trip_id],"Não encontrado")</f>
        <v/>
      </c>
      <c r="B491" s="53" t="n">
        <v>0.6288657407407408</v>
      </c>
      <c r="C491" s="53" t="n">
        <v>0.6288657407407408</v>
      </c>
      <c r="D491">
        <f>_xlfn.XLOOKUP(90013921,Stops[stop_id],Stops[stop_id],"Não encontrado")</f>
        <v/>
      </c>
      <c r="E491" t="n">
        <v>3</v>
      </c>
    </row>
    <row r="492">
      <c r="A492">
        <f>_xlfn.XLOOKUP("311C-10-1",Trip[trip_id],Trip[trip_id],"Não encontrado")</f>
        <v/>
      </c>
      <c r="B492" s="53" t="n">
        <v>0.6307986111111111</v>
      </c>
      <c r="C492" s="53" t="n">
        <v>0.6307986111111111</v>
      </c>
      <c r="D492">
        <f>_xlfn.XLOOKUP(90013922,Stops[stop_id],Stops[stop_id],"Não encontrado")</f>
        <v/>
      </c>
      <c r="E492" t="n">
        <v>4</v>
      </c>
    </row>
    <row r="493">
      <c r="A493">
        <f>_xlfn.XLOOKUP("311C-10-1",Trip[trip_id],Trip[trip_id],"Não encontrado")</f>
        <v/>
      </c>
      <c r="B493" s="53" t="n">
        <v>0.6327314814814815</v>
      </c>
      <c r="C493" s="53" t="n">
        <v>0.6327314814814815</v>
      </c>
      <c r="D493">
        <f>_xlfn.XLOOKUP(90013923,Stops[stop_id],Stops[stop_id],"Não encontrado")</f>
        <v/>
      </c>
      <c r="E493" t="n">
        <v>5</v>
      </c>
    </row>
    <row r="494">
      <c r="A494">
        <f>_xlfn.XLOOKUP("311C-10-1",Trip[trip_id],Trip[trip_id],"Não encontrado")</f>
        <v/>
      </c>
      <c r="B494" s="53" t="n">
        <v>0.6346643518518519</v>
      </c>
      <c r="C494" s="53" t="n">
        <v>0.6346643518518519</v>
      </c>
      <c r="D494">
        <f>_xlfn.XLOOKUP(7014516,Stops[stop_id],Stops[stop_id],"Não encontrado")</f>
        <v/>
      </c>
      <c r="E494" t="n">
        <v>6</v>
      </c>
    </row>
    <row r="495">
      <c r="A495">
        <f>_xlfn.XLOOKUP("311C-10-1",Trip[trip_id],Trip[trip_id],"Não encontrado")</f>
        <v/>
      </c>
      <c r="B495" s="53" t="n">
        <v>0.6365972222222223</v>
      </c>
      <c r="C495" s="53" t="n">
        <v>0.6365972222222223</v>
      </c>
      <c r="D495">
        <f>_xlfn.XLOOKUP(7014520,Stops[stop_id],Stops[stop_id],"Não encontrado")</f>
        <v/>
      </c>
      <c r="E495" t="n">
        <v>7</v>
      </c>
    </row>
    <row r="496">
      <c r="A496">
        <f>_xlfn.XLOOKUP("311C-10-1",Trip[trip_id],Trip[trip_id],"Não encontrado")</f>
        <v/>
      </c>
      <c r="B496" s="53" t="n">
        <v>0.6385300925925926</v>
      </c>
      <c r="C496" s="53" t="n">
        <v>0.6385300925925926</v>
      </c>
      <c r="D496">
        <f>_xlfn.XLOOKUP(6714635,Stops[stop_id],Stops[stop_id],"Não encontrado")</f>
        <v/>
      </c>
      <c r="E496" t="n">
        <v>8</v>
      </c>
    </row>
    <row r="497">
      <c r="A497">
        <f>_xlfn.XLOOKUP("311C-10-1",Trip[trip_id],Trip[trip_id],"Não encontrado")</f>
        <v/>
      </c>
      <c r="B497" s="53" t="n">
        <v>0.640462962962963</v>
      </c>
      <c r="C497" s="53" t="n">
        <v>0.640462962962963</v>
      </c>
      <c r="D497">
        <f>_xlfn.XLOOKUP(6700100,Stops[stop_id],Stops[stop_id],"Não encontrado")</f>
        <v/>
      </c>
      <c r="E497" t="n">
        <v>9</v>
      </c>
    </row>
    <row r="498">
      <c r="A498">
        <f>_xlfn.XLOOKUP("311C-10-1",Trip[trip_id],Trip[trip_id],"Não encontrado")</f>
        <v/>
      </c>
      <c r="B498" s="53" t="n">
        <v>0.6423958333333334</v>
      </c>
      <c r="C498" s="53" t="n">
        <v>0.6423958333333334</v>
      </c>
      <c r="D498">
        <f>_xlfn.XLOOKUP(6700106,Stops[stop_id],Stops[stop_id],"Não encontrado")</f>
        <v/>
      </c>
      <c r="E498" t="n">
        <v>10</v>
      </c>
    </row>
    <row r="499">
      <c r="A499">
        <f>_xlfn.XLOOKUP("311C-10-1",Trip[trip_id],Trip[trip_id],"Não encontrado")</f>
        <v/>
      </c>
      <c r="B499" s="53" t="n">
        <v>0.6443287037037037</v>
      </c>
      <c r="C499" s="53" t="n">
        <v>0.6443287037037037</v>
      </c>
      <c r="D499">
        <f>_xlfn.XLOOKUP(6714636,Stops[stop_id],Stops[stop_id],"Não encontrado")</f>
        <v/>
      </c>
      <c r="E499" t="n">
        <v>11</v>
      </c>
    </row>
    <row r="500">
      <c r="A500">
        <f>_xlfn.XLOOKUP("311C-10-1",Trip[trip_id],Trip[trip_id],"Não encontrado")</f>
        <v/>
      </c>
      <c r="B500" s="53" t="n">
        <v>0.646261574074074</v>
      </c>
      <c r="C500" s="53" t="n">
        <v>0.646261574074074</v>
      </c>
      <c r="D500">
        <f>_xlfn.XLOOKUP(90007105,Stops[stop_id],Stops[stop_id],"Não encontrado")</f>
        <v/>
      </c>
      <c r="E500" t="n">
        <v>12</v>
      </c>
    </row>
    <row r="501">
      <c r="A501">
        <f>_xlfn.XLOOKUP("311C-10-1",Trip[trip_id],Trip[trip_id],"Não encontrado")</f>
        <v/>
      </c>
      <c r="B501" s="53" t="n">
        <v>0.6481944444444444</v>
      </c>
      <c r="C501" s="53" t="n">
        <v>0.6481944444444444</v>
      </c>
      <c r="D501">
        <f>_xlfn.XLOOKUP(90007106,Stops[stop_id],Stops[stop_id],"Não encontrado")</f>
        <v/>
      </c>
      <c r="E501" t="n">
        <v>13</v>
      </c>
    </row>
    <row r="502">
      <c r="A502">
        <f>_xlfn.XLOOKUP("311C-10-1",Trip[trip_id],Trip[trip_id],"Não encontrado")</f>
        <v/>
      </c>
      <c r="B502" s="53" t="n">
        <v>0.6501273148148148</v>
      </c>
      <c r="C502" s="53" t="n">
        <v>0.6501273148148148</v>
      </c>
      <c r="D502">
        <f>_xlfn.XLOOKUP(100017111,Stops[stop_id],Stops[stop_id],"Não encontrado")</f>
        <v/>
      </c>
      <c r="E502" t="n">
        <v>14</v>
      </c>
    </row>
    <row r="503">
      <c r="A503">
        <f>_xlfn.XLOOKUP("311C-10-1",Trip[trip_id],Trip[trip_id],"Não encontrado")</f>
        <v/>
      </c>
      <c r="B503" s="53" t="n">
        <v>0.6520601851851852</v>
      </c>
      <c r="C503" s="53" t="n">
        <v>0.6520601851851852</v>
      </c>
      <c r="D503">
        <f>_xlfn.XLOOKUP(100014335,Stops[stop_id],Stops[stop_id],"Não encontrado")</f>
        <v/>
      </c>
      <c r="E503" t="n">
        <v>15</v>
      </c>
    </row>
    <row r="504">
      <c r="A504">
        <f>_xlfn.XLOOKUP("311C-10-1",Trip[trip_id],Trip[trip_id],"Não encontrado")</f>
        <v/>
      </c>
      <c r="B504" s="53" t="n">
        <v>0.6539930555555555</v>
      </c>
      <c r="C504" s="53" t="n">
        <v>0.6539930555555555</v>
      </c>
      <c r="D504">
        <f>_xlfn.XLOOKUP(100014334,Stops[stop_id],Stops[stop_id],"Não encontrado")</f>
        <v/>
      </c>
      <c r="E504" t="n">
        <v>16</v>
      </c>
    </row>
    <row r="505">
      <c r="A505">
        <f>_xlfn.XLOOKUP("311C-10-1",Trip[trip_id],Trip[trip_id],"Não encontrado")</f>
        <v/>
      </c>
      <c r="B505" s="53" t="n">
        <v>0.6559259259259259</v>
      </c>
      <c r="C505" s="53" t="n">
        <v>0.6559259259259259</v>
      </c>
      <c r="D505">
        <f>_xlfn.XLOOKUP(100014333,Stops[stop_id],Stops[stop_id],"Não encontrado")</f>
        <v/>
      </c>
      <c r="E505" t="n">
        <v>17</v>
      </c>
    </row>
    <row r="506">
      <c r="A506">
        <f>_xlfn.XLOOKUP("311C-10-1",Trip[trip_id],Trip[trip_id],"Não encontrado")</f>
        <v/>
      </c>
      <c r="B506" s="53" t="n">
        <v>0.6578587962962963</v>
      </c>
      <c r="C506" s="53" t="n">
        <v>0.6578587962962963</v>
      </c>
      <c r="D506">
        <f>_xlfn.XLOOKUP(100014332,Stops[stop_id],Stops[stop_id],"Não encontrado")</f>
        <v/>
      </c>
      <c r="E506" t="n">
        <v>18</v>
      </c>
    </row>
    <row r="507">
      <c r="A507">
        <f>_xlfn.XLOOKUP("311C-10-1",Trip[trip_id],Trip[trip_id],"Não encontrado")</f>
        <v/>
      </c>
      <c r="B507" s="53" t="n">
        <v>0.6597916666666667</v>
      </c>
      <c r="C507" s="53" t="n">
        <v>0.6597916666666667</v>
      </c>
      <c r="D507">
        <f>_xlfn.XLOOKUP(100014331,Stops[stop_id],Stops[stop_id],"Não encontrado")</f>
        <v/>
      </c>
      <c r="E507" t="n">
        <v>19</v>
      </c>
    </row>
    <row r="508">
      <c r="A508">
        <f>_xlfn.XLOOKUP("311C-10-1",Trip[trip_id],Trip[trip_id],"Não encontrado")</f>
        <v/>
      </c>
      <c r="B508" s="53" t="n">
        <v>0.661724537037037</v>
      </c>
      <c r="C508" s="53" t="n">
        <v>0.661724537037037</v>
      </c>
      <c r="D508">
        <f>_xlfn.XLOOKUP(100015942,Stops[stop_id],Stops[stop_id],"Não encontrado")</f>
        <v/>
      </c>
      <c r="E508" t="n">
        <v>20</v>
      </c>
    </row>
    <row r="509">
      <c r="A509">
        <f>_xlfn.XLOOKUP("311C-10-1",Trip[trip_id],Trip[trip_id],"Não encontrado")</f>
        <v/>
      </c>
      <c r="B509" s="53" t="n">
        <v>0.6636574074074074</v>
      </c>
      <c r="C509" s="53" t="n">
        <v>0.6636574074074074</v>
      </c>
      <c r="D509">
        <f>_xlfn.XLOOKUP(100015943,Stops[stop_id],Stops[stop_id],"Não encontrado")</f>
        <v/>
      </c>
      <c r="E509" t="n">
        <v>21</v>
      </c>
    </row>
    <row r="510">
      <c r="A510">
        <f>_xlfn.XLOOKUP("311C-10-1",Trip[trip_id],Trip[trip_id],"Não encontrado")</f>
        <v/>
      </c>
      <c r="B510" s="53" t="n">
        <v>0.6655902777777778</v>
      </c>
      <c r="C510" s="53" t="n">
        <v>0.6655902777777778</v>
      </c>
      <c r="D510">
        <f>_xlfn.XLOOKUP(100014356,Stops[stop_id],Stops[stop_id],"Não encontrado")</f>
        <v/>
      </c>
      <c r="E510" t="n">
        <v>22</v>
      </c>
    </row>
    <row r="511">
      <c r="A511">
        <f>_xlfn.XLOOKUP("311C-10-1",Trip[trip_id],Trip[trip_id],"Não encontrado")</f>
        <v/>
      </c>
      <c r="B511" s="53" t="n">
        <v>0.6675231481481482</v>
      </c>
      <c r="C511" s="53" t="n">
        <v>0.6675231481481482</v>
      </c>
      <c r="D511">
        <f>_xlfn.XLOOKUP(100014357,Stops[stop_id],Stops[stop_id],"Não encontrado")</f>
        <v/>
      </c>
      <c r="E511" t="n">
        <v>23</v>
      </c>
    </row>
    <row r="512">
      <c r="A512">
        <f>_xlfn.XLOOKUP("311C-10-1",Trip[trip_id],Trip[trip_id],"Não encontrado")</f>
        <v/>
      </c>
      <c r="B512" s="53" t="n">
        <v>0.6694560185185185</v>
      </c>
      <c r="C512" s="53" t="n">
        <v>0.6694560185185185</v>
      </c>
      <c r="D512">
        <f>_xlfn.XLOOKUP(100014358,Stops[stop_id],Stops[stop_id],"Não encontrado")</f>
        <v/>
      </c>
      <c r="E512" t="n">
        <v>24</v>
      </c>
    </row>
    <row r="513">
      <c r="A513">
        <f>_xlfn.XLOOKUP("311C-10-1",Trip[trip_id],Trip[trip_id],"Não encontrado")</f>
        <v/>
      </c>
      <c r="B513" s="53" t="n">
        <v>0.6713888888888889</v>
      </c>
      <c r="C513" s="53" t="n">
        <v>0.6713888888888889</v>
      </c>
      <c r="D513">
        <f>_xlfn.XLOOKUP(5410170,Stops[stop_id],Stops[stop_id],"Não encontrado")</f>
        <v/>
      </c>
      <c r="E513" t="n">
        <v>25</v>
      </c>
    </row>
    <row r="514">
      <c r="A514">
        <f>_xlfn.XLOOKUP("311C-10-1",Trip[trip_id],Trip[trip_id],"Não encontrado")</f>
        <v/>
      </c>
      <c r="B514" s="53" t="n">
        <v>0.6733217592592593</v>
      </c>
      <c r="C514" s="53" t="n">
        <v>0.6733217592592593</v>
      </c>
      <c r="D514">
        <f>_xlfn.XLOOKUP(540014155,Stops[stop_id],Stops[stop_id],"Não encontrado")</f>
        <v/>
      </c>
      <c r="E514" t="n">
        <v>26</v>
      </c>
    </row>
    <row r="515">
      <c r="A515">
        <f>_xlfn.XLOOKUP("311C-10-1",Trip[trip_id],Trip[trip_id],"Não encontrado")</f>
        <v/>
      </c>
      <c r="B515" s="53" t="n">
        <v>0.6752546296296297</v>
      </c>
      <c r="C515" s="53" t="n">
        <v>0.6752546296296297</v>
      </c>
      <c r="D515">
        <f>_xlfn.XLOOKUP(540014154,Stops[stop_id],Stops[stop_id],"Não encontrado")</f>
        <v/>
      </c>
      <c r="E515" t="n">
        <v>27</v>
      </c>
    </row>
    <row r="516">
      <c r="A516">
        <f>_xlfn.XLOOKUP("311C-10-1",Trip[trip_id],Trip[trip_id],"Não encontrado")</f>
        <v/>
      </c>
      <c r="B516" s="53" t="n">
        <v>0.6771875000000001</v>
      </c>
      <c r="C516" s="53" t="n">
        <v>0.6771875000000001</v>
      </c>
      <c r="D516">
        <f>_xlfn.XLOOKUP(540014152,Stops[stop_id],Stops[stop_id],"Não encontrado")</f>
        <v/>
      </c>
      <c r="E516" t="n">
        <v>28</v>
      </c>
    </row>
    <row r="517">
      <c r="A517">
        <f>_xlfn.XLOOKUP("311C-10-1",Trip[trip_id],Trip[trip_id],"Não encontrado")</f>
        <v/>
      </c>
      <c r="B517" s="53" t="n">
        <v>0.6791203703703703</v>
      </c>
      <c r="C517" s="53" t="n">
        <v>0.6791203703703703</v>
      </c>
      <c r="D517">
        <f>_xlfn.XLOOKUP(540014150,Stops[stop_id],Stops[stop_id],"Não encontrado")</f>
        <v/>
      </c>
      <c r="E517" t="n">
        <v>29</v>
      </c>
    </row>
    <row r="518">
      <c r="A518">
        <f>_xlfn.XLOOKUP("311C-10-1",Trip[trip_id],Trip[trip_id],"Não encontrado")</f>
        <v/>
      </c>
      <c r="B518" s="53" t="n">
        <v>0.6810532407407407</v>
      </c>
      <c r="C518" s="53" t="n">
        <v>0.6810532407407407</v>
      </c>
      <c r="D518">
        <f>_xlfn.XLOOKUP(540014148,Stops[stop_id],Stops[stop_id],"Não encontrado")</f>
        <v/>
      </c>
      <c r="E518" t="n">
        <v>30</v>
      </c>
    </row>
    <row r="519">
      <c r="A519">
        <f>_xlfn.XLOOKUP("311C-10-1",Trip[trip_id],Trip[trip_id],"Não encontrado")</f>
        <v/>
      </c>
      <c r="B519" s="53" t="n">
        <v>0.6829861111111111</v>
      </c>
      <c r="C519" s="53" t="n">
        <v>0.6829861111111111</v>
      </c>
      <c r="D519">
        <f>_xlfn.XLOOKUP(540014146,Stops[stop_id],Stops[stop_id],"Não encontrado")</f>
        <v/>
      </c>
      <c r="E519" t="n">
        <v>31</v>
      </c>
    </row>
    <row r="520">
      <c r="A520">
        <f>_xlfn.XLOOKUP("311C-10-1",Trip[trip_id],Trip[trip_id],"Não encontrado")</f>
        <v/>
      </c>
      <c r="B520" s="53" t="n">
        <v>0.6849189814814814</v>
      </c>
      <c r="C520" s="53" t="n">
        <v>0.6849189814814814</v>
      </c>
      <c r="D520">
        <f>_xlfn.XLOOKUP(540014145,Stops[stop_id],Stops[stop_id],"Não encontrado")</f>
        <v/>
      </c>
      <c r="E520" t="n">
        <v>32</v>
      </c>
    </row>
    <row r="521">
      <c r="A521">
        <f>_xlfn.XLOOKUP("311C-10-1",Trip[trip_id],Trip[trip_id],"Não encontrado")</f>
        <v/>
      </c>
      <c r="B521" s="53" t="n">
        <v>0.6868518518518518</v>
      </c>
      <c r="C521" s="53" t="n">
        <v>0.6868518518518518</v>
      </c>
      <c r="D521">
        <f>_xlfn.XLOOKUP(950014142,Stops[stop_id],Stops[stop_id],"Não encontrado")</f>
        <v/>
      </c>
      <c r="E521" t="n">
        <v>33</v>
      </c>
    </row>
    <row r="522">
      <c r="A522">
        <f>_xlfn.XLOOKUP("311C-10-1",Trip[trip_id],Trip[trip_id],"Não encontrado")</f>
        <v/>
      </c>
      <c r="B522" s="53" t="n">
        <v>0.6887847222222222</v>
      </c>
      <c r="C522" s="53" t="n">
        <v>0.6887847222222222</v>
      </c>
      <c r="D522">
        <f>_xlfn.XLOOKUP(950006615,Stops[stop_id],Stops[stop_id],"Não encontrado")</f>
        <v/>
      </c>
      <c r="E522" t="n">
        <v>34</v>
      </c>
    </row>
    <row r="523">
      <c r="A523">
        <f>_xlfn.XLOOKUP("311C-10-1",Trip[trip_id],Trip[trip_id],"Não encontrado")</f>
        <v/>
      </c>
      <c r="B523" s="53" t="n">
        <v>0.6907175925925926</v>
      </c>
      <c r="C523" s="53" t="n">
        <v>0.6907175925925926</v>
      </c>
      <c r="D523">
        <f>_xlfn.XLOOKUP(950006674,Stops[stop_id],Stops[stop_id],"Não encontrado")</f>
        <v/>
      </c>
      <c r="E523" t="n">
        <v>35</v>
      </c>
    </row>
    <row r="524">
      <c r="A524">
        <f>_xlfn.XLOOKUP("311C-10-1",Trip[trip_id],Trip[trip_id],"Não encontrado")</f>
        <v/>
      </c>
      <c r="B524" s="53" t="n">
        <v>0.692650462962963</v>
      </c>
      <c r="C524" s="53" t="n">
        <v>0.692650462962963</v>
      </c>
      <c r="D524">
        <f>_xlfn.XLOOKUP(950006800,Stops[stop_id],Stops[stop_id],"Não encontrado")</f>
        <v/>
      </c>
      <c r="E524" t="n">
        <v>36</v>
      </c>
    </row>
    <row r="525">
      <c r="A525">
        <f>_xlfn.XLOOKUP("311C-10-1",Trip[trip_id],Trip[trip_id],"Não encontrado")</f>
        <v/>
      </c>
      <c r="B525" s="53" t="n">
        <v>0.6945833333333333</v>
      </c>
      <c r="C525" s="53" t="n">
        <v>0.6945833333333333</v>
      </c>
      <c r="D525">
        <f>_xlfn.XLOOKUP(950006617,Stops[stop_id],Stops[stop_id],"Não encontrado")</f>
        <v/>
      </c>
      <c r="E525" t="n">
        <v>37</v>
      </c>
    </row>
    <row r="526">
      <c r="A526">
        <f>_xlfn.XLOOKUP("311C-10-1",Trip[trip_id],Trip[trip_id],"Não encontrado")</f>
        <v/>
      </c>
      <c r="B526" s="53" t="n">
        <v>0.6965162037037037</v>
      </c>
      <c r="C526" s="53" t="n">
        <v>0.6965162037037037</v>
      </c>
      <c r="D526">
        <f>_xlfn.XLOOKUP(950006618,Stops[stop_id],Stops[stop_id],"Não encontrado")</f>
        <v/>
      </c>
      <c r="E526" t="n">
        <v>38</v>
      </c>
    </row>
    <row r="527">
      <c r="A527">
        <f>_xlfn.XLOOKUP("311C-10-1",Trip[trip_id],Trip[trip_id],"Não encontrado")</f>
        <v/>
      </c>
      <c r="B527" s="53" t="n">
        <v>0.6984490740740741</v>
      </c>
      <c r="C527" s="53" t="n">
        <v>0.6984490740740741</v>
      </c>
      <c r="D527">
        <f>_xlfn.XLOOKUP(950006620,Stops[stop_id],Stops[stop_id],"Não encontrado")</f>
        <v/>
      </c>
      <c r="E527" t="n">
        <v>39</v>
      </c>
    </row>
    <row r="528">
      <c r="A528">
        <f>_xlfn.XLOOKUP("311C-10-1",Trip[trip_id],Trip[trip_id],"Não encontrado")</f>
        <v/>
      </c>
      <c r="B528" s="53" t="n">
        <v>0.7003819444444445</v>
      </c>
      <c r="C528" s="53" t="n">
        <v>0.7003819444444445</v>
      </c>
      <c r="D528">
        <f>_xlfn.XLOOKUP(950006692,Stops[stop_id],Stops[stop_id],"Não encontrado")</f>
        <v/>
      </c>
      <c r="E528" t="n">
        <v>40</v>
      </c>
    </row>
    <row r="529">
      <c r="A529">
        <f>_xlfn.XLOOKUP("311C-10-1",Trip[trip_id],Trip[trip_id],"Não encontrado")</f>
        <v/>
      </c>
      <c r="B529" s="53" t="n">
        <v>0.7023148148148148</v>
      </c>
      <c r="C529" s="53" t="n">
        <v>0.7023148148148148</v>
      </c>
      <c r="D529">
        <f>_xlfn.XLOOKUP(950006693,Stops[stop_id],Stops[stop_id],"Não encontrado")</f>
        <v/>
      </c>
      <c r="E529" t="n">
        <v>41</v>
      </c>
    </row>
    <row r="530">
      <c r="A530">
        <f>_xlfn.XLOOKUP("311C-10-1",Trip[trip_id],Trip[trip_id],"Não encontrado")</f>
        <v/>
      </c>
      <c r="B530" s="53" t="n">
        <v>0.7042476851851852</v>
      </c>
      <c r="C530" s="53" t="n">
        <v>0.7042476851851852</v>
      </c>
      <c r="D530">
        <f>_xlfn.XLOOKUP(950006694,Stops[stop_id],Stops[stop_id],"Não encontrado")</f>
        <v/>
      </c>
      <c r="E530" t="n">
        <v>42</v>
      </c>
    </row>
    <row r="531">
      <c r="A531">
        <f>_xlfn.XLOOKUP("311C-10-1",Trip[trip_id],Trip[trip_id],"Não encontrado")</f>
        <v/>
      </c>
      <c r="B531" s="53" t="n">
        <v>0.7061805555555556</v>
      </c>
      <c r="C531" s="53" t="n">
        <v>0.7061805555555556</v>
      </c>
      <c r="D531">
        <f>_xlfn.XLOOKUP(9505016,Stops[stop_id],Stops[stop_id],"Não encontrado")</f>
        <v/>
      </c>
      <c r="E531" t="n">
        <v>43</v>
      </c>
    </row>
    <row r="532">
      <c r="A532">
        <f>_xlfn.XLOOKUP("311C-10-1",Trip[trip_id],Trip[trip_id],"Não encontrado")</f>
        <v/>
      </c>
      <c r="B532" s="53" t="n">
        <v>0.708113425925926</v>
      </c>
      <c r="C532" s="53" t="n">
        <v>0.708113425925926</v>
      </c>
      <c r="D532">
        <f>_xlfn.XLOOKUP(950006556,Stops[stop_id],Stops[stop_id],"Não encontrado")</f>
        <v/>
      </c>
      <c r="E532" t="n">
        <v>44</v>
      </c>
    </row>
    <row r="533">
      <c r="A533">
        <f>_xlfn.XLOOKUP("311C-10-1",Trip[trip_id],Trip[trip_id],"Não encontrado")</f>
        <v/>
      </c>
      <c r="B533" s="53" t="n">
        <v>0.7100462962962963</v>
      </c>
      <c r="C533" s="53" t="n">
        <v>0.7100462962962963</v>
      </c>
      <c r="D533">
        <f>_xlfn.XLOOKUP(950006432,Stops[stop_id],Stops[stop_id],"Não encontrado")</f>
        <v/>
      </c>
      <c r="E533" t="n">
        <v>45</v>
      </c>
    </row>
    <row r="534">
      <c r="A534">
        <f>_xlfn.XLOOKUP("311C-10-1",Trip[trip_id],Trip[trip_id],"Não encontrado")</f>
        <v/>
      </c>
      <c r="B534" s="53" t="n">
        <v>0.7119791666666667</v>
      </c>
      <c r="C534" s="53" t="n">
        <v>0.7119791666666667</v>
      </c>
      <c r="D534">
        <f>_xlfn.XLOOKUP(950006430,Stops[stop_id],Stops[stop_id],"Não encontrado")</f>
        <v/>
      </c>
      <c r="E534" t="n">
        <v>46</v>
      </c>
    </row>
    <row r="535">
      <c r="A535">
        <f>_xlfn.XLOOKUP("311C-10-1",Trip[trip_id],Trip[trip_id],"Não encontrado")</f>
        <v/>
      </c>
      <c r="B535" s="53" t="n">
        <v>0.713912037037037</v>
      </c>
      <c r="C535" s="53" t="n">
        <v>0.713912037037037</v>
      </c>
      <c r="D535">
        <f>_xlfn.XLOOKUP(950006428,Stops[stop_id],Stops[stop_id],"Não encontrado")</f>
        <v/>
      </c>
      <c r="E535" t="n">
        <v>47</v>
      </c>
    </row>
    <row r="536">
      <c r="A536">
        <f>_xlfn.XLOOKUP("311C-10-1",Trip[trip_id],Trip[trip_id],"Não encontrado")</f>
        <v/>
      </c>
      <c r="B536" s="53" t="n">
        <v>0.7158449074074074</v>
      </c>
      <c r="C536" s="53" t="n">
        <v>0.7158449074074074</v>
      </c>
      <c r="D536">
        <f>_xlfn.XLOOKUP(950006425,Stops[stop_id],Stops[stop_id],"Não encontrado")</f>
        <v/>
      </c>
      <c r="E536" t="n">
        <v>48</v>
      </c>
    </row>
    <row r="537">
      <c r="A537">
        <f>_xlfn.XLOOKUP("311C-10-1",Trip[trip_id],Trip[trip_id],"Não encontrado")</f>
        <v/>
      </c>
      <c r="B537" s="53" t="n">
        <v>0.7177777777777777</v>
      </c>
      <c r="C537" s="53" t="n">
        <v>0.7177777777777777</v>
      </c>
      <c r="D537">
        <f>_xlfn.XLOOKUP(950006424,Stops[stop_id],Stops[stop_id],"Não encontrado")</f>
        <v/>
      </c>
      <c r="E537" t="n">
        <v>49</v>
      </c>
    </row>
    <row r="538">
      <c r="A538">
        <f>_xlfn.XLOOKUP("311C-10-1",Trip[trip_id],Trip[trip_id],"Não encontrado")</f>
        <v/>
      </c>
      <c r="B538" s="53" t="n">
        <v>0.7197106481481481</v>
      </c>
      <c r="C538" s="53" t="n">
        <v>0.7197106481481481</v>
      </c>
      <c r="D538">
        <f>_xlfn.XLOOKUP(950006422,Stops[stop_id],Stops[stop_id],"Não encontrado")</f>
        <v/>
      </c>
      <c r="E538" t="n">
        <v>50</v>
      </c>
    </row>
    <row r="539">
      <c r="A539">
        <f>_xlfn.XLOOKUP("311C-10-1",Trip[trip_id],Trip[trip_id],"Não encontrado")</f>
        <v/>
      </c>
      <c r="B539" s="53" t="n">
        <v>0.7216435185185185</v>
      </c>
      <c r="C539" s="53" t="n">
        <v>0.7216435185185185</v>
      </c>
      <c r="D539">
        <f>_xlfn.XLOOKUP(7405499,Stops[stop_id],Stops[stop_id],"Não encontrado")</f>
        <v/>
      </c>
      <c r="E539" t="n">
        <v>51</v>
      </c>
    </row>
    <row r="540">
      <c r="A540">
        <f>_xlfn.XLOOKUP("311C-10-1",Trip[trip_id],Trip[trip_id],"Não encontrado")</f>
        <v/>
      </c>
      <c r="B540" s="53" t="n">
        <v>0.7235763888888889</v>
      </c>
      <c r="C540" s="53" t="n">
        <v>0.7235763888888889</v>
      </c>
      <c r="D540">
        <f>_xlfn.XLOOKUP(740006522,Stops[stop_id],Stops[stop_id],"Não encontrado")</f>
        <v/>
      </c>
      <c r="E540" t="n">
        <v>52</v>
      </c>
    </row>
    <row r="541">
      <c r="A541">
        <f>_xlfn.XLOOKUP("311C-10-1",Trip[trip_id],Trip[trip_id],"Não encontrado")</f>
        <v/>
      </c>
      <c r="B541" s="53" t="n">
        <v>0.7255092592592592</v>
      </c>
      <c r="C541" s="53" t="n">
        <v>0.7255092592592592</v>
      </c>
      <c r="D541">
        <f>_xlfn.XLOOKUP(740006523,Stops[stop_id],Stops[stop_id],"Não encontrado")</f>
        <v/>
      </c>
      <c r="E541" t="n">
        <v>53</v>
      </c>
    </row>
    <row r="542">
      <c r="A542">
        <f>_xlfn.XLOOKUP("311C-10-1",Trip[trip_id],Trip[trip_id],"Não encontrado")</f>
        <v/>
      </c>
      <c r="B542" s="53" t="n">
        <v>0.7274421296296296</v>
      </c>
      <c r="C542" s="53" t="n">
        <v>0.7274421296296296</v>
      </c>
      <c r="D542">
        <f>_xlfn.XLOOKUP(740006398,Stops[stop_id],Stops[stop_id],"Não encontrado")</f>
        <v/>
      </c>
      <c r="E542" t="n">
        <v>54</v>
      </c>
    </row>
    <row r="543">
      <c r="A543">
        <f>_xlfn.XLOOKUP("311C-10-1",Trip[trip_id],Trip[trip_id],"Não encontrado")</f>
        <v/>
      </c>
      <c r="B543" s="53" t="n">
        <v>0.729375</v>
      </c>
      <c r="C543" s="53" t="n">
        <v>0.729375</v>
      </c>
      <c r="D543">
        <f>_xlfn.XLOOKUP(740006395,Stops[stop_id],Stops[stop_id],"Não encontrado")</f>
        <v/>
      </c>
      <c r="E543" t="n">
        <v>55</v>
      </c>
    </row>
    <row r="544">
      <c r="A544">
        <f>_xlfn.XLOOKUP("311C-10-1",Trip[trip_id],Trip[trip_id],"Não encontrado")</f>
        <v/>
      </c>
      <c r="B544" s="53" t="n">
        <v>0.7333333333333333</v>
      </c>
      <c r="C544" s="53" t="n">
        <v>0.7333333333333333</v>
      </c>
      <c r="D544">
        <f>_xlfn.XLOOKUP(7405519,Stops[stop_id],Stops[stop_id],"Não encontrado")</f>
        <v/>
      </c>
      <c r="E544" t="n">
        <v>56</v>
      </c>
    </row>
    <row r="545">
      <c r="A545">
        <f>_xlfn.XLOOKUP("351F-10-0",Trip[trip_id],Trip[trip_id],"Não encontrado")</f>
        <v/>
      </c>
      <c r="B545" s="53" t="n">
        <v>0.6666666666666666</v>
      </c>
      <c r="C545" s="53" t="n">
        <v>0.6666666666666666</v>
      </c>
      <c r="D545">
        <f>_xlfn.XLOOKUP(380004223,Stops[stop_id],Stops[stop_id],"Não encontrado")</f>
        <v/>
      </c>
      <c r="E545" t="n">
        <v>1</v>
      </c>
    </row>
    <row r="546">
      <c r="A546">
        <f>_xlfn.XLOOKUP("351F-10-0",Trip[trip_id],Trip[trip_id],"Não encontrado")</f>
        <v/>
      </c>
      <c r="B546" s="53" t="n">
        <v>0.6678472222222223</v>
      </c>
      <c r="C546" s="53" t="n">
        <v>0.6678472222222223</v>
      </c>
      <c r="D546">
        <f>_xlfn.XLOOKUP(380004053,Stops[stop_id],Stops[stop_id],"Não encontrado")</f>
        <v/>
      </c>
      <c r="E546" t="n">
        <v>2</v>
      </c>
    </row>
    <row r="547">
      <c r="A547">
        <f>_xlfn.XLOOKUP("351F-10-0",Trip[trip_id],Trip[trip_id],"Não encontrado")</f>
        <v/>
      </c>
      <c r="B547" s="53" t="n">
        <v>0.6690277777777778</v>
      </c>
      <c r="C547" s="53" t="n">
        <v>0.6690277777777778</v>
      </c>
      <c r="D547">
        <f>_xlfn.XLOOKUP(380004307,Stops[stop_id],Stops[stop_id],"Não encontrado")</f>
        <v/>
      </c>
      <c r="E547" t="n">
        <v>3</v>
      </c>
    </row>
    <row r="548">
      <c r="A548">
        <f>_xlfn.XLOOKUP("351F-10-0",Trip[trip_id],Trip[trip_id],"Não encontrado")</f>
        <v/>
      </c>
      <c r="B548" s="53" t="n">
        <v>0.6702083333333333</v>
      </c>
      <c r="C548" s="53" t="n">
        <v>0.6702083333333333</v>
      </c>
      <c r="D548">
        <f>_xlfn.XLOOKUP(380004309,Stops[stop_id],Stops[stop_id],"Não encontrado")</f>
        <v/>
      </c>
      <c r="E548" t="n">
        <v>4</v>
      </c>
    </row>
    <row r="549">
      <c r="A549">
        <f>_xlfn.XLOOKUP("351F-10-0",Trip[trip_id],Trip[trip_id],"Não encontrado")</f>
        <v/>
      </c>
      <c r="B549" s="53" t="n">
        <v>0.6713888888888889</v>
      </c>
      <c r="C549" s="53" t="n">
        <v>0.6713888888888889</v>
      </c>
      <c r="D549">
        <f>_xlfn.XLOOKUP(380003704,Stops[stop_id],Stops[stop_id],"Não encontrado")</f>
        <v/>
      </c>
      <c r="E549" t="n">
        <v>5</v>
      </c>
    </row>
    <row r="550">
      <c r="A550">
        <f>_xlfn.XLOOKUP("351F-10-0",Trip[trip_id],Trip[trip_id],"Não encontrado")</f>
        <v/>
      </c>
      <c r="B550" s="53" t="n">
        <v>0.6725694444444444</v>
      </c>
      <c r="C550" s="53" t="n">
        <v>0.6725694444444444</v>
      </c>
      <c r="D550">
        <f>_xlfn.XLOOKUP(380003696,Stops[stop_id],Stops[stop_id],"Não encontrado")</f>
        <v/>
      </c>
      <c r="E550" t="n">
        <v>6</v>
      </c>
    </row>
    <row r="551">
      <c r="A551">
        <f>_xlfn.XLOOKUP("351F-10-0",Trip[trip_id],Trip[trip_id],"Não encontrado")</f>
        <v/>
      </c>
      <c r="B551" s="53" t="n">
        <v>0.67375</v>
      </c>
      <c r="C551" s="53" t="n">
        <v>0.67375</v>
      </c>
      <c r="D551">
        <f>_xlfn.XLOOKUP(380003693,Stops[stop_id],Stops[stop_id],"Não encontrado")</f>
        <v/>
      </c>
      <c r="E551" t="n">
        <v>7</v>
      </c>
    </row>
    <row r="552">
      <c r="A552">
        <f>_xlfn.XLOOKUP("351F-10-0",Trip[trip_id],Trip[trip_id],"Não encontrado")</f>
        <v/>
      </c>
      <c r="B552" s="53" t="n">
        <v>0.6749305555555556</v>
      </c>
      <c r="C552" s="53" t="n">
        <v>0.6749305555555556</v>
      </c>
      <c r="D552">
        <f>_xlfn.XLOOKUP(3812743,Stops[stop_id],Stops[stop_id],"Não encontrado")</f>
        <v/>
      </c>
      <c r="E552" t="n">
        <v>8</v>
      </c>
    </row>
    <row r="553">
      <c r="A553">
        <f>_xlfn.XLOOKUP("351F-10-0",Trip[trip_id],Trip[trip_id],"Não encontrado")</f>
        <v/>
      </c>
      <c r="B553" s="53" t="n">
        <v>0.6761111111111111</v>
      </c>
      <c r="C553" s="53" t="n">
        <v>0.6761111111111111</v>
      </c>
      <c r="D553">
        <f>_xlfn.XLOOKUP(940003689,Stops[stop_id],Stops[stop_id],"Não encontrado")</f>
        <v/>
      </c>
      <c r="E553" t="n">
        <v>9</v>
      </c>
    </row>
    <row r="554">
      <c r="A554">
        <f>_xlfn.XLOOKUP("351F-10-0",Trip[trip_id],Trip[trip_id],"Não encontrado")</f>
        <v/>
      </c>
      <c r="B554" s="53" t="n">
        <v>0.6772916666666666</v>
      </c>
      <c r="C554" s="53" t="n">
        <v>0.6772916666666666</v>
      </c>
      <c r="D554">
        <f>_xlfn.XLOOKUP(940003687,Stops[stop_id],Stops[stop_id],"Não encontrado")</f>
        <v/>
      </c>
      <c r="E554" t="n">
        <v>10</v>
      </c>
    </row>
    <row r="555">
      <c r="A555">
        <f>_xlfn.XLOOKUP("351F-10-0",Trip[trip_id],Trip[trip_id],"Não encontrado")</f>
        <v/>
      </c>
      <c r="B555" s="53" t="n">
        <v>0.6784722222222223</v>
      </c>
      <c r="C555" s="53" t="n">
        <v>0.6784722222222223</v>
      </c>
      <c r="D555">
        <f>_xlfn.XLOOKUP(940003757,Stops[stop_id],Stops[stop_id],"Não encontrado")</f>
        <v/>
      </c>
      <c r="E555" t="n">
        <v>11</v>
      </c>
    </row>
    <row r="556">
      <c r="A556">
        <f>_xlfn.XLOOKUP("351F-10-0",Trip[trip_id],Trip[trip_id],"Não encontrado")</f>
        <v/>
      </c>
      <c r="B556" s="53" t="n">
        <v>0.6796527777777778</v>
      </c>
      <c r="C556" s="53" t="n">
        <v>0.6796527777777778</v>
      </c>
      <c r="D556">
        <f>_xlfn.XLOOKUP(940004126,Stops[stop_id],Stops[stop_id],"Não encontrado")</f>
        <v/>
      </c>
      <c r="E556" t="n">
        <v>12</v>
      </c>
    </row>
    <row r="557">
      <c r="A557">
        <f>_xlfn.XLOOKUP("351F-10-0",Trip[trip_id],Trip[trip_id],"Não encontrado")</f>
        <v/>
      </c>
      <c r="B557" s="53" t="n">
        <v>0.6808333333333333</v>
      </c>
      <c r="C557" s="53" t="n">
        <v>0.6808333333333333</v>
      </c>
      <c r="D557">
        <f>_xlfn.XLOOKUP(940003716,Stops[stop_id],Stops[stop_id],"Não encontrado")</f>
        <v/>
      </c>
      <c r="E557" t="n">
        <v>13</v>
      </c>
    </row>
    <row r="558">
      <c r="A558">
        <f>_xlfn.XLOOKUP("351F-10-0",Trip[trip_id],Trip[trip_id],"Não encontrado")</f>
        <v/>
      </c>
      <c r="B558" s="53" t="n">
        <v>0.6820138888888889</v>
      </c>
      <c r="C558" s="53" t="n">
        <v>0.6820138888888889</v>
      </c>
      <c r="D558">
        <f>_xlfn.XLOOKUP(940003718,Stops[stop_id],Stops[stop_id],"Não encontrado")</f>
        <v/>
      </c>
      <c r="E558" t="n">
        <v>14</v>
      </c>
    </row>
    <row r="559">
      <c r="A559">
        <f>_xlfn.XLOOKUP("351F-10-0",Trip[trip_id],Trip[trip_id],"Não encontrado")</f>
        <v/>
      </c>
      <c r="B559" s="53" t="n">
        <v>0.6831944444444444</v>
      </c>
      <c r="C559" s="53" t="n">
        <v>0.6831944444444444</v>
      </c>
      <c r="D559">
        <f>_xlfn.XLOOKUP(940003723,Stops[stop_id],Stops[stop_id],"Não encontrado")</f>
        <v/>
      </c>
      <c r="E559" t="n">
        <v>15</v>
      </c>
    </row>
    <row r="560">
      <c r="A560">
        <f>_xlfn.XLOOKUP("351F-10-0",Trip[trip_id],Trip[trip_id],"Não encontrado")</f>
        <v/>
      </c>
      <c r="B560" s="53" t="n">
        <v>0.684375</v>
      </c>
      <c r="C560" s="53" t="n">
        <v>0.684375</v>
      </c>
      <c r="D560">
        <f>_xlfn.XLOOKUP(940003725,Stops[stop_id],Stops[stop_id],"Não encontrado")</f>
        <v/>
      </c>
      <c r="E560" t="n">
        <v>16</v>
      </c>
    </row>
    <row r="561">
      <c r="A561">
        <f>_xlfn.XLOOKUP("351F-10-0",Trip[trip_id],Trip[trip_id],"Não encontrado")</f>
        <v/>
      </c>
      <c r="B561" s="53" t="n">
        <v>0.6855555555555556</v>
      </c>
      <c r="C561" s="53" t="n">
        <v>0.6855555555555556</v>
      </c>
      <c r="D561">
        <f>_xlfn.XLOOKUP(940003727,Stops[stop_id],Stops[stop_id],"Não encontrado")</f>
        <v/>
      </c>
      <c r="E561" t="n">
        <v>17</v>
      </c>
    </row>
    <row r="562">
      <c r="A562">
        <f>_xlfn.XLOOKUP("351F-10-0",Trip[trip_id],Trip[trip_id],"Não encontrado")</f>
        <v/>
      </c>
      <c r="B562" s="53" t="n">
        <v>0.6867361111111111</v>
      </c>
      <c r="C562" s="53" t="n">
        <v>0.6867361111111111</v>
      </c>
      <c r="D562">
        <f>_xlfn.XLOOKUP(9412251,Stops[stop_id],Stops[stop_id],"Não encontrado")</f>
        <v/>
      </c>
      <c r="E562" t="n">
        <v>18</v>
      </c>
    </row>
    <row r="563">
      <c r="A563">
        <f>_xlfn.XLOOKUP("351F-10-0",Trip[trip_id],Trip[trip_id],"Não encontrado")</f>
        <v/>
      </c>
      <c r="B563" s="53" t="n">
        <v>0.6879166666666666</v>
      </c>
      <c r="C563" s="53" t="n">
        <v>0.6879166666666666</v>
      </c>
      <c r="D563">
        <f>_xlfn.XLOOKUP(940003767,Stops[stop_id],Stops[stop_id],"Não encontrado")</f>
        <v/>
      </c>
      <c r="E563" t="n">
        <v>19</v>
      </c>
    </row>
    <row r="564">
      <c r="A564">
        <f>_xlfn.XLOOKUP("351F-10-0",Trip[trip_id],Trip[trip_id],"Não encontrado")</f>
        <v/>
      </c>
      <c r="B564" s="53" t="n">
        <v>0.6890972222222222</v>
      </c>
      <c r="C564" s="53" t="n">
        <v>0.6890972222222222</v>
      </c>
      <c r="D564">
        <f>_xlfn.XLOOKUP(940003886,Stops[stop_id],Stops[stop_id],"Não encontrado")</f>
        <v/>
      </c>
      <c r="E564" t="n">
        <v>20</v>
      </c>
    </row>
    <row r="565">
      <c r="A565">
        <f>_xlfn.XLOOKUP("351F-10-0",Trip[trip_id],Trip[trip_id],"Não encontrado")</f>
        <v/>
      </c>
      <c r="B565" s="53" t="n">
        <v>0.6902777777777778</v>
      </c>
      <c r="C565" s="53" t="n">
        <v>0.6902777777777778</v>
      </c>
      <c r="D565">
        <f>_xlfn.XLOOKUP(940004427,Stops[stop_id],Stops[stop_id],"Não encontrado")</f>
        <v/>
      </c>
      <c r="E565" t="n">
        <v>21</v>
      </c>
    </row>
    <row r="566">
      <c r="A566">
        <f>_xlfn.XLOOKUP("351F-10-0",Trip[trip_id],Trip[trip_id],"Não encontrado")</f>
        <v/>
      </c>
      <c r="B566" s="53" t="n">
        <v>0.6914583333333333</v>
      </c>
      <c r="C566" s="53" t="n">
        <v>0.6914583333333333</v>
      </c>
      <c r="D566">
        <f>_xlfn.XLOOKUP(940004420,Stops[stop_id],Stops[stop_id],"Não encontrado")</f>
        <v/>
      </c>
      <c r="E566" t="n">
        <v>22</v>
      </c>
    </row>
    <row r="567">
      <c r="A567">
        <f>_xlfn.XLOOKUP("351F-10-0",Trip[trip_id],Trip[trip_id],"Não encontrado")</f>
        <v/>
      </c>
      <c r="B567" s="53" t="n">
        <v>0.6926388888888889</v>
      </c>
      <c r="C567" s="53" t="n">
        <v>0.6926388888888889</v>
      </c>
      <c r="D567">
        <f>_xlfn.XLOOKUP(940003780,Stops[stop_id],Stops[stop_id],"Não encontrado")</f>
        <v/>
      </c>
      <c r="E567" t="n">
        <v>23</v>
      </c>
    </row>
    <row r="568">
      <c r="A568">
        <f>_xlfn.XLOOKUP("351F-10-0",Trip[trip_id],Trip[trip_id],"Não encontrado")</f>
        <v/>
      </c>
      <c r="B568" s="53" t="n">
        <v>0.6938194444444444</v>
      </c>
      <c r="C568" s="53" t="n">
        <v>0.6938194444444444</v>
      </c>
      <c r="D568">
        <f>_xlfn.XLOOKUP(940003781,Stops[stop_id],Stops[stop_id],"Não encontrado")</f>
        <v/>
      </c>
      <c r="E568" t="n">
        <v>24</v>
      </c>
    </row>
    <row r="569">
      <c r="A569">
        <f>_xlfn.XLOOKUP("351F-10-0",Trip[trip_id],Trip[trip_id],"Não encontrado")</f>
        <v/>
      </c>
      <c r="B569" s="53" t="n">
        <v>0.695</v>
      </c>
      <c r="C569" s="53" t="n">
        <v>0.695</v>
      </c>
      <c r="D569">
        <f>_xlfn.XLOOKUP(940003783,Stops[stop_id],Stops[stop_id],"Não encontrado")</f>
        <v/>
      </c>
      <c r="E569" t="n">
        <v>25</v>
      </c>
    </row>
    <row r="570">
      <c r="A570">
        <f>_xlfn.XLOOKUP("351F-10-0",Trip[trip_id],Trip[trip_id],"Não encontrado")</f>
        <v/>
      </c>
      <c r="B570" s="53" t="n">
        <v>0.6961805555555556</v>
      </c>
      <c r="C570" s="53" t="n">
        <v>0.6961805555555556</v>
      </c>
      <c r="D570">
        <f>_xlfn.XLOOKUP(910003785,Stops[stop_id],Stops[stop_id],"Não encontrado")</f>
        <v/>
      </c>
      <c r="E570" t="n">
        <v>26</v>
      </c>
    </row>
    <row r="571">
      <c r="A571">
        <f>_xlfn.XLOOKUP("351F-10-0",Trip[trip_id],Trip[trip_id],"Não encontrado")</f>
        <v/>
      </c>
      <c r="B571" s="53" t="n">
        <v>0.6973611111111111</v>
      </c>
      <c r="C571" s="53" t="n">
        <v>0.6973611111111111</v>
      </c>
      <c r="D571">
        <f>_xlfn.XLOOKUP(940003787,Stops[stop_id],Stops[stop_id],"Não encontrado")</f>
        <v/>
      </c>
      <c r="E571" t="n">
        <v>27</v>
      </c>
    </row>
    <row r="572">
      <c r="A572">
        <f>_xlfn.XLOOKUP("351F-10-0",Trip[trip_id],Trip[trip_id],"Não encontrado")</f>
        <v/>
      </c>
      <c r="B572" s="53" t="n">
        <v>0.6985416666666666</v>
      </c>
      <c r="C572" s="53" t="n">
        <v>0.6985416666666666</v>
      </c>
      <c r="D572">
        <f>_xlfn.XLOOKUP(910000912,Stops[stop_id],Stops[stop_id],"Não encontrado")</f>
        <v/>
      </c>
      <c r="E572" t="n">
        <v>28</v>
      </c>
    </row>
    <row r="573">
      <c r="A573">
        <f>_xlfn.XLOOKUP("351F-10-0",Trip[trip_id],Trip[trip_id],"Não encontrado")</f>
        <v/>
      </c>
      <c r="B573" s="53" t="n">
        <v>0.6997222222222222</v>
      </c>
      <c r="C573" s="53" t="n">
        <v>0.6997222222222222</v>
      </c>
      <c r="D573">
        <f>_xlfn.XLOOKUP(910000910,Stops[stop_id],Stops[stop_id],"Não encontrado")</f>
        <v/>
      </c>
      <c r="E573" t="n">
        <v>29</v>
      </c>
    </row>
    <row r="574">
      <c r="A574">
        <f>_xlfn.XLOOKUP("351F-10-0",Trip[trip_id],Trip[trip_id],"Não encontrado")</f>
        <v/>
      </c>
      <c r="B574" s="53" t="n">
        <v>0.7009027777777778</v>
      </c>
      <c r="C574" s="53" t="n">
        <v>0.7009027777777778</v>
      </c>
      <c r="D574">
        <f>_xlfn.XLOOKUP(910000893,Stops[stop_id],Stops[stop_id],"Não encontrado")</f>
        <v/>
      </c>
      <c r="E574" t="n">
        <v>30</v>
      </c>
    </row>
    <row r="575">
      <c r="A575">
        <f>_xlfn.XLOOKUP("351F-10-0",Trip[trip_id],Trip[trip_id],"Não encontrado")</f>
        <v/>
      </c>
      <c r="B575" s="53" t="n">
        <v>0.7020833333333333</v>
      </c>
      <c r="C575" s="53" t="n">
        <v>0.7020833333333333</v>
      </c>
      <c r="D575">
        <f>_xlfn.XLOOKUP(910017229,Stops[stop_id],Stops[stop_id],"Não encontrado")</f>
        <v/>
      </c>
      <c r="E575" t="n">
        <v>31</v>
      </c>
    </row>
    <row r="576">
      <c r="A576">
        <f>_xlfn.XLOOKUP("351F-10-0",Trip[trip_id],Trip[trip_id],"Não encontrado")</f>
        <v/>
      </c>
      <c r="B576" s="53" t="n">
        <v>0.7032638888888889</v>
      </c>
      <c r="C576" s="53" t="n">
        <v>0.7032638888888889</v>
      </c>
      <c r="D576">
        <f>_xlfn.XLOOKUP(910000890,Stops[stop_id],Stops[stop_id],"Não encontrado")</f>
        <v/>
      </c>
      <c r="E576" t="n">
        <v>32</v>
      </c>
    </row>
    <row r="577">
      <c r="A577">
        <f>_xlfn.XLOOKUP("351F-10-0",Trip[trip_id],Trip[trip_id],"Não encontrado")</f>
        <v/>
      </c>
      <c r="B577" s="53" t="n">
        <v>0.7044444444444444</v>
      </c>
      <c r="C577" s="53" t="n">
        <v>0.7044444444444444</v>
      </c>
      <c r="D577">
        <f>_xlfn.XLOOKUP(910000888,Stops[stop_id],Stops[stop_id],"Não encontrado")</f>
        <v/>
      </c>
      <c r="E577" t="n">
        <v>33</v>
      </c>
    </row>
    <row r="578">
      <c r="A578">
        <f>_xlfn.XLOOKUP("351F-10-0",Trip[trip_id],Trip[trip_id],"Não encontrado")</f>
        <v/>
      </c>
      <c r="B578" s="53" t="n">
        <v>0.7056249999999999</v>
      </c>
      <c r="C578" s="53" t="n">
        <v>0.7056249999999999</v>
      </c>
      <c r="D578">
        <f>_xlfn.XLOOKUP(910002010,Stops[stop_id],Stops[stop_id],"Não encontrado")</f>
        <v/>
      </c>
      <c r="E578" t="n">
        <v>34</v>
      </c>
    </row>
    <row r="579">
      <c r="A579">
        <f>_xlfn.XLOOKUP("351F-10-0",Trip[trip_id],Trip[trip_id],"Não encontrado")</f>
        <v/>
      </c>
      <c r="B579" s="53" t="n">
        <v>0.7068055555555556</v>
      </c>
      <c r="C579" s="53" t="n">
        <v>0.7068055555555556</v>
      </c>
      <c r="D579">
        <f>_xlfn.XLOOKUP(910002012,Stops[stop_id],Stops[stop_id],"Não encontrado")</f>
        <v/>
      </c>
      <c r="E579" t="n">
        <v>35</v>
      </c>
    </row>
    <row r="580">
      <c r="A580">
        <f>_xlfn.XLOOKUP("351F-10-0",Trip[trip_id],Trip[trip_id],"Não encontrado")</f>
        <v/>
      </c>
      <c r="B580" s="53" t="n">
        <v>0.7079861111111111</v>
      </c>
      <c r="C580" s="53" t="n">
        <v>0.7079861111111111</v>
      </c>
      <c r="D580">
        <f>_xlfn.XLOOKUP(910000862,Stops[stop_id],Stops[stop_id],"Não encontrado")</f>
        <v/>
      </c>
      <c r="E580" t="n">
        <v>36</v>
      </c>
    </row>
    <row r="581">
      <c r="A581">
        <f>_xlfn.XLOOKUP("351F-10-0",Trip[trip_id],Trip[trip_id],"Não encontrado")</f>
        <v/>
      </c>
      <c r="B581" s="53" t="n">
        <v>0.7091666666666666</v>
      </c>
      <c r="C581" s="53" t="n">
        <v>0.7091666666666666</v>
      </c>
      <c r="D581">
        <f>_xlfn.XLOOKUP(910000864,Stops[stop_id],Stops[stop_id],"Não encontrado")</f>
        <v/>
      </c>
      <c r="E581" t="n">
        <v>37</v>
      </c>
    </row>
    <row r="582">
      <c r="A582">
        <f>_xlfn.XLOOKUP("351F-10-0",Trip[trip_id],Trip[trip_id],"Não encontrado")</f>
        <v/>
      </c>
      <c r="B582" s="53" t="n">
        <v>0.7103472222222222</v>
      </c>
      <c r="C582" s="53" t="n">
        <v>0.7103472222222222</v>
      </c>
      <c r="D582">
        <f>_xlfn.XLOOKUP(910000866,Stops[stop_id],Stops[stop_id],"Não encontrado")</f>
        <v/>
      </c>
      <c r="E582" t="n">
        <v>38</v>
      </c>
    </row>
    <row r="583">
      <c r="A583">
        <f>_xlfn.XLOOKUP("351F-10-0",Trip[trip_id],Trip[trip_id],"Não encontrado")</f>
        <v/>
      </c>
      <c r="B583" s="53" t="n">
        <v>0.7115277777777778</v>
      </c>
      <c r="C583" s="53" t="n">
        <v>0.7115277777777778</v>
      </c>
      <c r="D583">
        <f>_xlfn.XLOOKUP(910000867,Stops[stop_id],Stops[stop_id],"Não encontrado")</f>
        <v/>
      </c>
      <c r="E583" t="n">
        <v>39</v>
      </c>
    </row>
    <row r="584">
      <c r="A584">
        <f>_xlfn.XLOOKUP("351F-10-0",Trip[trip_id],Trip[trip_id],"Não encontrado")</f>
        <v/>
      </c>
      <c r="B584" s="53" t="n">
        <v>0.7127083333333334</v>
      </c>
      <c r="C584" s="53" t="n">
        <v>0.7127083333333334</v>
      </c>
      <c r="D584">
        <f>_xlfn.XLOOKUP(910000869,Stops[stop_id],Stops[stop_id],"Não encontrado")</f>
        <v/>
      </c>
      <c r="E584" t="n">
        <v>40</v>
      </c>
    </row>
    <row r="585">
      <c r="A585">
        <f>_xlfn.XLOOKUP("351F-10-0",Trip[trip_id],Trip[trip_id],"Não encontrado")</f>
        <v/>
      </c>
      <c r="B585" s="53" t="n">
        <v>0.7138888888888889</v>
      </c>
      <c r="C585" s="53" t="n">
        <v>0.7138888888888889</v>
      </c>
      <c r="D585">
        <f>_xlfn.XLOOKUP(910000871,Stops[stop_id],Stops[stop_id],"Não encontrado")</f>
        <v/>
      </c>
      <c r="E585" t="n">
        <v>41</v>
      </c>
    </row>
    <row r="586">
      <c r="A586">
        <f>_xlfn.XLOOKUP("351F-10-0",Trip[trip_id],Trip[trip_id],"Não encontrado")</f>
        <v/>
      </c>
      <c r="B586" s="53" t="n">
        <v>0.7150694444444444</v>
      </c>
      <c r="C586" s="53" t="n">
        <v>0.7150694444444444</v>
      </c>
      <c r="D586">
        <f>_xlfn.XLOOKUP(910002007,Stops[stop_id],Stops[stop_id],"Não encontrado")</f>
        <v/>
      </c>
      <c r="E586" t="n">
        <v>42</v>
      </c>
    </row>
    <row r="587">
      <c r="A587">
        <f>_xlfn.XLOOKUP("351F-10-0",Trip[trip_id],Trip[trip_id],"Não encontrado")</f>
        <v/>
      </c>
      <c r="B587" s="53" t="n">
        <v>0.7162500000000001</v>
      </c>
      <c r="C587" s="53" t="n">
        <v>0.7162500000000001</v>
      </c>
      <c r="D587">
        <f>_xlfn.XLOOKUP(80014371,Stops[stop_id],Stops[stop_id],"Não encontrado")</f>
        <v/>
      </c>
      <c r="E587" t="n">
        <v>43</v>
      </c>
    </row>
    <row r="588">
      <c r="A588">
        <f>_xlfn.XLOOKUP("351F-10-0",Trip[trip_id],Trip[trip_id],"Não encontrado")</f>
        <v/>
      </c>
      <c r="B588" s="53" t="n">
        <v>0.7174305555555556</v>
      </c>
      <c r="C588" s="53" t="n">
        <v>0.7174305555555556</v>
      </c>
      <c r="D588">
        <f>_xlfn.XLOOKUP(810534,Stops[stop_id],Stops[stop_id],"Não encontrado")</f>
        <v/>
      </c>
      <c r="E588" t="n">
        <v>44</v>
      </c>
    </row>
    <row r="589">
      <c r="A589">
        <f>_xlfn.XLOOKUP("351F-10-0",Trip[trip_id],Trip[trip_id],"Não encontrado")</f>
        <v/>
      </c>
      <c r="B589" s="53" t="n">
        <v>0.7186111111111111</v>
      </c>
      <c r="C589" s="53" t="n">
        <v>0.7186111111111111</v>
      </c>
      <c r="D589">
        <f>_xlfn.XLOOKUP(810588,Stops[stop_id],Stops[stop_id],"Não encontrado")</f>
        <v/>
      </c>
      <c r="E589" t="n">
        <v>45</v>
      </c>
    </row>
    <row r="590">
      <c r="A590">
        <f>_xlfn.XLOOKUP("351F-10-0",Trip[trip_id],Trip[trip_id],"Não encontrado")</f>
        <v/>
      </c>
      <c r="B590" s="53" t="n">
        <v>0.7197916666666667</v>
      </c>
      <c r="C590" s="53" t="n">
        <v>0.7197916666666667</v>
      </c>
      <c r="D590">
        <f>_xlfn.XLOOKUP(80014380,Stops[stop_id],Stops[stop_id],"Não encontrado")</f>
        <v/>
      </c>
      <c r="E590" t="n">
        <v>46</v>
      </c>
    </row>
    <row r="591">
      <c r="A591">
        <f>_xlfn.XLOOKUP("351F-10-0",Trip[trip_id],Trip[trip_id],"Não encontrado")</f>
        <v/>
      </c>
      <c r="B591" s="53" t="n">
        <v>0.7209722222222222</v>
      </c>
      <c r="C591" s="53" t="n">
        <v>0.7209722222222222</v>
      </c>
      <c r="D591">
        <f>_xlfn.XLOOKUP(80014381,Stops[stop_id],Stops[stop_id],"Não encontrado")</f>
        <v/>
      </c>
      <c r="E591" t="n">
        <v>47</v>
      </c>
    </row>
    <row r="592">
      <c r="A592">
        <f>_xlfn.XLOOKUP("351F-10-0",Trip[trip_id],Trip[trip_id],"Não encontrado")</f>
        <v/>
      </c>
      <c r="B592" s="53" t="n">
        <v>0.7221527777777778</v>
      </c>
      <c r="C592" s="53" t="n">
        <v>0.7221527777777778</v>
      </c>
      <c r="D592">
        <f>_xlfn.XLOOKUP(80014382,Stops[stop_id],Stops[stop_id],"Não encontrado")</f>
        <v/>
      </c>
      <c r="E592" t="n">
        <v>48</v>
      </c>
    </row>
    <row r="593">
      <c r="A593">
        <f>_xlfn.XLOOKUP("351F-10-0",Trip[trip_id],Trip[trip_id],"Não encontrado")</f>
        <v/>
      </c>
      <c r="B593" s="53" t="n">
        <v>0.7233333333333334</v>
      </c>
      <c r="C593" s="53" t="n">
        <v>0.7233333333333334</v>
      </c>
      <c r="D593">
        <f>_xlfn.XLOOKUP(80014486,Stops[stop_id],Stops[stop_id],"Não encontrado")</f>
        <v/>
      </c>
      <c r="E593" t="n">
        <v>49</v>
      </c>
    </row>
    <row r="594">
      <c r="A594">
        <f>_xlfn.XLOOKUP("351F-10-0",Trip[trip_id],Trip[trip_id],"Não encontrado")</f>
        <v/>
      </c>
      <c r="B594" s="53" t="n">
        <v>0.7245138888888889</v>
      </c>
      <c r="C594" s="53" t="n">
        <v>0.7245138888888889</v>
      </c>
      <c r="D594">
        <f>_xlfn.XLOOKUP(80014531,Stops[stop_id],Stops[stop_id],"Não encontrado")</f>
        <v/>
      </c>
      <c r="E594" t="n">
        <v>50</v>
      </c>
    </row>
    <row r="595">
      <c r="A595">
        <f>_xlfn.XLOOKUP("351F-10-0",Trip[trip_id],Trip[trip_id],"Não encontrado")</f>
        <v/>
      </c>
      <c r="B595" s="53" t="n">
        <v>0.7256944444444444</v>
      </c>
      <c r="C595" s="53" t="n">
        <v>0.7256944444444444</v>
      </c>
      <c r="D595">
        <f>_xlfn.XLOOKUP(80014532,Stops[stop_id],Stops[stop_id],"Não encontrado")</f>
        <v/>
      </c>
      <c r="E595" t="n">
        <v>51</v>
      </c>
    </row>
    <row r="596">
      <c r="A596">
        <f>_xlfn.XLOOKUP("351F-10-0",Trip[trip_id],Trip[trip_id],"Não encontrado")</f>
        <v/>
      </c>
      <c r="B596" s="53" t="n">
        <v>0.726875</v>
      </c>
      <c r="C596" s="53" t="n">
        <v>0.726875</v>
      </c>
      <c r="D596">
        <f>_xlfn.XLOOKUP(80014533,Stops[stop_id],Stops[stop_id],"Não encontrado")</f>
        <v/>
      </c>
      <c r="E596" t="n">
        <v>52</v>
      </c>
    </row>
    <row r="597">
      <c r="A597">
        <f>_xlfn.XLOOKUP("351F-10-0",Trip[trip_id],Trip[trip_id],"Não encontrado")</f>
        <v/>
      </c>
      <c r="B597" s="53" t="n">
        <v>0.7280555555555556</v>
      </c>
      <c r="C597" s="53" t="n">
        <v>0.7280555555555556</v>
      </c>
      <c r="D597">
        <f>_xlfn.XLOOKUP(540014084,Stops[stop_id],Stops[stop_id],"Não encontrado")</f>
        <v/>
      </c>
      <c r="E597" t="n">
        <v>53</v>
      </c>
    </row>
    <row r="598">
      <c r="A598">
        <f>_xlfn.XLOOKUP("351F-10-0",Trip[trip_id],Trip[trip_id],"Não encontrado")</f>
        <v/>
      </c>
      <c r="B598" s="53" t="n">
        <v>0.7292361111111111</v>
      </c>
      <c r="C598" s="53" t="n">
        <v>0.7292361111111111</v>
      </c>
      <c r="D598">
        <f>_xlfn.XLOOKUP(540014085,Stops[stop_id],Stops[stop_id],"Não encontrado")</f>
        <v/>
      </c>
      <c r="E598" t="n">
        <v>54</v>
      </c>
    </row>
    <row r="599">
      <c r="A599">
        <f>_xlfn.XLOOKUP("351F-10-0",Trip[trip_id],Trip[trip_id],"Não encontrado")</f>
        <v/>
      </c>
      <c r="B599" s="53" t="n">
        <v>0.7304166666666667</v>
      </c>
      <c r="C599" s="53" t="n">
        <v>0.7304166666666667</v>
      </c>
      <c r="D599">
        <f>_xlfn.XLOOKUP(540014086,Stops[stop_id],Stops[stop_id],"Não encontrado")</f>
        <v/>
      </c>
      <c r="E599" t="n">
        <v>55</v>
      </c>
    </row>
    <row r="600">
      <c r="A600">
        <f>_xlfn.XLOOKUP("351F-10-0",Trip[trip_id],Trip[trip_id],"Não encontrado")</f>
        <v/>
      </c>
      <c r="B600" s="53" t="n">
        <v>0.7315972222222222</v>
      </c>
      <c r="C600" s="53" t="n">
        <v>0.7315972222222222</v>
      </c>
      <c r="D600">
        <f>_xlfn.XLOOKUP(80014176,Stops[stop_id],Stops[stop_id],"Não encontrado")</f>
        <v/>
      </c>
      <c r="E600" t="n">
        <v>56</v>
      </c>
    </row>
    <row r="601">
      <c r="A601">
        <f>_xlfn.XLOOKUP("351F-10-0",Trip[trip_id],Trip[trip_id],"Não encontrado")</f>
        <v/>
      </c>
      <c r="B601" s="53" t="n">
        <v>0.7327777777777778</v>
      </c>
      <c r="C601" s="53" t="n">
        <v>0.7327777777777778</v>
      </c>
      <c r="D601">
        <f>_xlfn.XLOOKUP(80014177,Stops[stop_id],Stops[stop_id],"Não encontrado")</f>
        <v/>
      </c>
      <c r="E601" t="n">
        <v>57</v>
      </c>
    </row>
    <row r="602">
      <c r="A602">
        <f>_xlfn.XLOOKUP("351F-10-0",Trip[trip_id],Trip[trip_id],"Não encontrado")</f>
        <v/>
      </c>
      <c r="B602" s="53" t="n">
        <v>0.7339583333333334</v>
      </c>
      <c r="C602" s="53" t="n">
        <v>0.7339583333333334</v>
      </c>
      <c r="D602">
        <f>_xlfn.XLOOKUP(809675,Stops[stop_id],Stops[stop_id],"Não encontrado")</f>
        <v/>
      </c>
      <c r="E602" t="n">
        <v>58</v>
      </c>
    </row>
    <row r="603">
      <c r="A603">
        <f>_xlfn.XLOOKUP("351F-10-0",Trip[trip_id],Trip[trip_id],"Não encontrado")</f>
        <v/>
      </c>
      <c r="B603" s="53" t="n">
        <v>0.7351388888888889</v>
      </c>
      <c r="C603" s="53" t="n">
        <v>0.7351388888888889</v>
      </c>
      <c r="D603">
        <f>_xlfn.XLOOKUP(810612,Stops[stop_id],Stops[stop_id],"Não encontrado")</f>
        <v/>
      </c>
      <c r="E603" t="n">
        <v>59</v>
      </c>
    </row>
    <row r="604">
      <c r="A604">
        <f>_xlfn.XLOOKUP("351F-10-0",Trip[trip_id],Trip[trip_id],"Não encontrado")</f>
        <v/>
      </c>
      <c r="B604" s="53" t="n">
        <v>0.7363194444444444</v>
      </c>
      <c r="C604" s="53" t="n">
        <v>0.7363194444444444</v>
      </c>
      <c r="D604">
        <f>_xlfn.XLOOKUP(820008420,Stops[stop_id],Stops[stop_id],"Não encontrado")</f>
        <v/>
      </c>
      <c r="E604" t="n">
        <v>60</v>
      </c>
    </row>
    <row r="605">
      <c r="A605">
        <f>_xlfn.XLOOKUP("351F-10-0",Trip[trip_id],Trip[trip_id],"Não encontrado")</f>
        <v/>
      </c>
      <c r="B605" s="53" t="n">
        <v>0.7375</v>
      </c>
      <c r="C605" s="53" t="n">
        <v>0.7375</v>
      </c>
      <c r="D605">
        <f>_xlfn.XLOOKUP(820008486,Stops[stop_id],Stops[stop_id],"Não encontrado")</f>
        <v/>
      </c>
      <c r="E605" t="n">
        <v>61</v>
      </c>
    </row>
    <row r="606">
      <c r="A606">
        <f>_xlfn.XLOOKUP("351F-10-0",Trip[trip_id],Trip[trip_id],"Não encontrado")</f>
        <v/>
      </c>
      <c r="B606" s="53" t="n">
        <v>0.7386805555555556</v>
      </c>
      <c r="C606" s="53" t="n">
        <v>0.7386805555555556</v>
      </c>
      <c r="D606">
        <f>_xlfn.XLOOKUP(820008575,Stops[stop_id],Stops[stop_id],"Não encontrado")</f>
        <v/>
      </c>
      <c r="E606" t="n">
        <v>62</v>
      </c>
    </row>
    <row r="607">
      <c r="A607">
        <f>_xlfn.XLOOKUP("351F-10-0",Trip[trip_id],Trip[trip_id],"Não encontrado")</f>
        <v/>
      </c>
      <c r="B607" s="53" t="n">
        <v>0.7398611111111111</v>
      </c>
      <c r="C607" s="53" t="n">
        <v>0.7398611111111111</v>
      </c>
      <c r="D607">
        <f>_xlfn.XLOOKUP(820012208,Stops[stop_id],Stops[stop_id],"Não encontrado")</f>
        <v/>
      </c>
      <c r="E607" t="n">
        <v>63</v>
      </c>
    </row>
    <row r="608">
      <c r="A608">
        <f>_xlfn.XLOOKUP("351F-10-0",Trip[trip_id],Trip[trip_id],"Não encontrado")</f>
        <v/>
      </c>
      <c r="B608" s="53" t="n">
        <v>0.7410416666666667</v>
      </c>
      <c r="C608" s="53" t="n">
        <v>0.7410416666666667</v>
      </c>
      <c r="D608">
        <f>_xlfn.XLOOKUP(820012209,Stops[stop_id],Stops[stop_id],"Não encontrado")</f>
        <v/>
      </c>
      <c r="E608" t="n">
        <v>64</v>
      </c>
    </row>
    <row r="609">
      <c r="A609">
        <f>_xlfn.XLOOKUP("351F-10-0",Trip[trip_id],Trip[trip_id],"Não encontrado")</f>
        <v/>
      </c>
      <c r="B609" s="53" t="n">
        <v>0.7422222222222222</v>
      </c>
      <c r="C609" s="53" t="n">
        <v>0.7422222222222222</v>
      </c>
      <c r="D609">
        <f>_xlfn.XLOOKUP(820012204,Stops[stop_id],Stops[stop_id],"Não encontrado")</f>
        <v/>
      </c>
      <c r="E609" t="n">
        <v>65</v>
      </c>
    </row>
    <row r="610">
      <c r="A610">
        <f>_xlfn.XLOOKUP("351F-10-0",Trip[trip_id],Trip[trip_id],"Não encontrado")</f>
        <v/>
      </c>
      <c r="B610" s="53" t="n">
        <v>0.7434027777777777</v>
      </c>
      <c r="C610" s="53" t="n">
        <v>0.7434027777777777</v>
      </c>
      <c r="D610">
        <f>_xlfn.XLOOKUP(820012202,Stops[stop_id],Stops[stop_id],"Não encontrado")</f>
        <v/>
      </c>
      <c r="E610" t="n">
        <v>66</v>
      </c>
    </row>
    <row r="611">
      <c r="A611">
        <f>_xlfn.XLOOKUP("351F-10-0",Trip[trip_id],Trip[trip_id],"Não encontrado")</f>
        <v/>
      </c>
      <c r="B611" s="53" t="n">
        <v>0.7445833333333334</v>
      </c>
      <c r="C611" s="53" t="n">
        <v>0.7445833333333334</v>
      </c>
      <c r="D611">
        <f>_xlfn.XLOOKUP(820012199,Stops[stop_id],Stops[stop_id],"Não encontrado")</f>
        <v/>
      </c>
      <c r="E611" t="n">
        <v>67</v>
      </c>
    </row>
    <row r="612">
      <c r="A612">
        <f>_xlfn.XLOOKUP("351F-10-0",Trip[trip_id],Trip[trip_id],"Não encontrado")</f>
        <v/>
      </c>
      <c r="B612" s="53" t="n">
        <v>0.7457638888888889</v>
      </c>
      <c r="C612" s="53" t="n">
        <v>0.7457638888888889</v>
      </c>
      <c r="D612">
        <f>_xlfn.XLOOKUP(8209159,Stops[stop_id],Stops[stop_id],"Não encontrado")</f>
        <v/>
      </c>
      <c r="E612" t="n">
        <v>68</v>
      </c>
    </row>
    <row r="613">
      <c r="A613">
        <f>_xlfn.XLOOKUP("351F-10-0",Trip[trip_id],Trip[trip_id],"Não encontrado")</f>
        <v/>
      </c>
      <c r="B613" s="53" t="n">
        <v>0.7469444444444444</v>
      </c>
      <c r="C613" s="53" t="n">
        <v>0.7469444444444444</v>
      </c>
      <c r="D613">
        <f>_xlfn.XLOOKUP(8209155,Stops[stop_id],Stops[stop_id],"Não encontrado")</f>
        <v/>
      </c>
      <c r="E613" t="n">
        <v>69</v>
      </c>
    </row>
    <row r="614">
      <c r="A614">
        <f>_xlfn.XLOOKUP("351F-10-0",Trip[trip_id],Trip[trip_id],"Não encontrado")</f>
        <v/>
      </c>
      <c r="B614" s="53" t="n">
        <v>0.748125</v>
      </c>
      <c r="C614" s="53" t="n">
        <v>0.748125</v>
      </c>
      <c r="D614">
        <f>_xlfn.XLOOKUP(820012187,Stops[stop_id],Stops[stop_id],"Não encontrado")</f>
        <v/>
      </c>
      <c r="E614" t="n">
        <v>70</v>
      </c>
    </row>
    <row r="615">
      <c r="A615">
        <f>_xlfn.XLOOKUP("351F-10-0",Trip[trip_id],Trip[trip_id],"Não encontrado")</f>
        <v/>
      </c>
      <c r="B615" s="53" t="n">
        <v>0.7493055555555556</v>
      </c>
      <c r="C615" s="53" t="n">
        <v>0.7493055555555556</v>
      </c>
      <c r="D615">
        <f>_xlfn.XLOOKUP(820012185,Stops[stop_id],Stops[stop_id],"Não encontrado")</f>
        <v/>
      </c>
      <c r="E615" t="n">
        <v>71</v>
      </c>
    </row>
    <row r="616">
      <c r="A616">
        <f>_xlfn.XLOOKUP("351F-10-0",Trip[trip_id],Trip[trip_id],"Não encontrado")</f>
        <v/>
      </c>
      <c r="B616" s="53" t="n">
        <v>0.7504861111111111</v>
      </c>
      <c r="C616" s="53" t="n">
        <v>0.7504861111111111</v>
      </c>
      <c r="D616">
        <f>_xlfn.XLOOKUP(8209119,Stops[stop_id],Stops[stop_id],"Não encontrado")</f>
        <v/>
      </c>
      <c r="E616" t="n">
        <v>72</v>
      </c>
    </row>
    <row r="617">
      <c r="A617">
        <f>_xlfn.XLOOKUP("351F-10-0",Trip[trip_id],Trip[trip_id],"Não encontrado")</f>
        <v/>
      </c>
      <c r="B617" s="53" t="n">
        <v>0.7516666666666667</v>
      </c>
      <c r="C617" s="53" t="n">
        <v>0.7516666666666667</v>
      </c>
      <c r="D617">
        <f>_xlfn.XLOOKUP(870012181,Stops[stop_id],Stops[stop_id],"Não encontrado")</f>
        <v/>
      </c>
      <c r="E617" t="n">
        <v>73</v>
      </c>
    </row>
    <row r="618">
      <c r="A618">
        <f>_xlfn.XLOOKUP("351F-10-0",Trip[trip_id],Trip[trip_id],"Não encontrado")</f>
        <v/>
      </c>
      <c r="B618" s="53" t="n">
        <v>0.7528472222222222</v>
      </c>
      <c r="C618" s="53" t="n">
        <v>0.7528472222222222</v>
      </c>
      <c r="D618">
        <f>_xlfn.XLOOKUP(8709784,Stops[stop_id],Stops[stop_id],"Não encontrado")</f>
        <v/>
      </c>
      <c r="E618" t="n">
        <v>74</v>
      </c>
    </row>
    <row r="619">
      <c r="A619">
        <f>_xlfn.XLOOKUP("351F-10-0",Trip[trip_id],Trip[trip_id],"Não encontrado")</f>
        <v/>
      </c>
      <c r="B619" s="53" t="n">
        <v>0.7540277777777777</v>
      </c>
      <c r="C619" s="53" t="n">
        <v>0.7540277777777777</v>
      </c>
      <c r="D619">
        <f>_xlfn.XLOOKUP(870012175,Stops[stop_id],Stops[stop_id],"Não encontrado")</f>
        <v/>
      </c>
      <c r="E619" t="n">
        <v>75</v>
      </c>
    </row>
    <row r="620">
      <c r="A620">
        <f>_xlfn.XLOOKUP("351F-10-0",Trip[trip_id],Trip[trip_id],"Não encontrado")</f>
        <v/>
      </c>
      <c r="B620" s="53" t="n">
        <v>0.7552083333333334</v>
      </c>
      <c r="C620" s="53" t="n">
        <v>0.7552083333333334</v>
      </c>
      <c r="D620">
        <f>_xlfn.XLOOKUP(870012177,Stops[stop_id],Stops[stop_id],"Não encontrado")</f>
        <v/>
      </c>
      <c r="E620" t="n">
        <v>76</v>
      </c>
    </row>
    <row r="621">
      <c r="A621">
        <f>_xlfn.XLOOKUP("351F-10-0",Trip[trip_id],Trip[trip_id],"Não encontrado")</f>
        <v/>
      </c>
      <c r="B621" s="53" t="n">
        <v>0.7563888888888889</v>
      </c>
      <c r="C621" s="53" t="n">
        <v>0.7563888888888889</v>
      </c>
      <c r="D621">
        <f>_xlfn.XLOOKUP(870012179,Stops[stop_id],Stops[stop_id],"Não encontrado")</f>
        <v/>
      </c>
      <c r="E621" t="n">
        <v>77</v>
      </c>
    </row>
    <row r="622">
      <c r="A622">
        <f>_xlfn.XLOOKUP("351F-10-0",Trip[trip_id],Trip[trip_id],"Não encontrado")</f>
        <v/>
      </c>
      <c r="B622" s="53" t="n">
        <v>0.7575694444444444</v>
      </c>
      <c r="C622" s="53" t="n">
        <v>0.7575694444444444</v>
      </c>
      <c r="D622">
        <f>_xlfn.XLOOKUP(870012601,Stops[stop_id],Stops[stop_id],"Não encontrado")</f>
        <v/>
      </c>
      <c r="E622" t="n">
        <v>78</v>
      </c>
    </row>
    <row r="623">
      <c r="A623">
        <f>_xlfn.XLOOKUP("351F-10-0",Trip[trip_id],Trip[trip_id],"Não encontrado")</f>
        <v/>
      </c>
      <c r="B623" s="53" t="n">
        <v>0.75875</v>
      </c>
      <c r="C623" s="53" t="n">
        <v>0.75875</v>
      </c>
      <c r="D623">
        <f>_xlfn.XLOOKUP(870012600,Stops[stop_id],Stops[stop_id],"Não encontrado")</f>
        <v/>
      </c>
      <c r="E623" t="n">
        <v>79</v>
      </c>
    </row>
    <row r="624">
      <c r="A624">
        <f>_xlfn.XLOOKUP("351F-10-0",Trip[trip_id],Trip[trip_id],"Não encontrado")</f>
        <v/>
      </c>
      <c r="B624" s="53" t="n">
        <v>0.7599305555555556</v>
      </c>
      <c r="C624" s="53" t="n">
        <v>0.7599305555555556</v>
      </c>
      <c r="D624">
        <f>_xlfn.XLOOKUP(870012603,Stops[stop_id],Stops[stop_id],"Não encontrado")</f>
        <v/>
      </c>
      <c r="E624" t="n">
        <v>80</v>
      </c>
    </row>
    <row r="625">
      <c r="A625">
        <f>_xlfn.XLOOKUP("351F-10-0",Trip[trip_id],Trip[trip_id],"Não encontrado")</f>
        <v/>
      </c>
      <c r="B625" s="53" t="n">
        <v>0.7611111111111111</v>
      </c>
      <c r="C625" s="53" t="n">
        <v>0.7611111111111111</v>
      </c>
      <c r="D625">
        <f>_xlfn.XLOOKUP(870008666,Stops[stop_id],Stops[stop_id],"Não encontrado")</f>
        <v/>
      </c>
      <c r="E625" t="n">
        <v>81</v>
      </c>
    </row>
    <row r="626">
      <c r="A626">
        <f>_xlfn.XLOOKUP("351F-10-0",Trip[trip_id],Trip[trip_id],"Não encontrado")</f>
        <v/>
      </c>
      <c r="B626" s="53" t="n">
        <v>0.7622916666666667</v>
      </c>
      <c r="C626" s="53" t="n">
        <v>0.7622916666666667</v>
      </c>
      <c r="D626">
        <f>_xlfn.XLOOKUP(870008650,Stops[stop_id],Stops[stop_id],"Não encontrado")</f>
        <v/>
      </c>
      <c r="E626" t="n">
        <v>82</v>
      </c>
    </row>
    <row r="627">
      <c r="A627">
        <f>_xlfn.XLOOKUP("351F-10-0",Trip[trip_id],Trip[trip_id],"Não encontrado")</f>
        <v/>
      </c>
      <c r="B627" s="53" t="n">
        <v>0.7634722222222222</v>
      </c>
      <c r="C627" s="53" t="n">
        <v>0.7634722222222222</v>
      </c>
      <c r="D627">
        <f>_xlfn.XLOOKUP(870012606,Stops[stop_id],Stops[stop_id],"Não encontrado")</f>
        <v/>
      </c>
      <c r="E627" t="n">
        <v>83</v>
      </c>
    </row>
    <row r="628">
      <c r="A628">
        <f>_xlfn.XLOOKUP("351F-10-0",Trip[trip_id],Trip[trip_id],"Não encontrado")</f>
        <v/>
      </c>
      <c r="B628" s="53" t="n">
        <v>0.7646527777777777</v>
      </c>
      <c r="C628" s="53" t="n">
        <v>0.7646527777777777</v>
      </c>
      <c r="D628">
        <f>_xlfn.XLOOKUP(870012608,Stops[stop_id],Stops[stop_id],"Não encontrado")</f>
        <v/>
      </c>
      <c r="E628" t="n">
        <v>84</v>
      </c>
    </row>
    <row r="629">
      <c r="A629">
        <f>_xlfn.XLOOKUP("351F-10-0",Trip[trip_id],Trip[trip_id],"Não encontrado")</f>
        <v/>
      </c>
      <c r="B629" s="53" t="n">
        <v>0.7658333333333334</v>
      </c>
      <c r="C629" s="53" t="n">
        <v>0.7658333333333334</v>
      </c>
      <c r="D629">
        <f>_xlfn.XLOOKUP(8709778,Stops[stop_id],Stops[stop_id],"Não encontrado")</f>
        <v/>
      </c>
      <c r="E629" t="n">
        <v>85</v>
      </c>
    </row>
    <row r="630">
      <c r="A630">
        <f>_xlfn.XLOOKUP("351F-10-0",Trip[trip_id],Trip[trip_id],"Não encontrado")</f>
        <v/>
      </c>
      <c r="B630" s="53" t="n">
        <v>0.7670138888888889</v>
      </c>
      <c r="C630" s="53" t="n">
        <v>0.7670138888888889</v>
      </c>
      <c r="D630">
        <f>_xlfn.XLOOKUP(870008567,Stops[stop_id],Stops[stop_id],"Não encontrado")</f>
        <v/>
      </c>
      <c r="E630" t="n">
        <v>86</v>
      </c>
    </row>
    <row r="631">
      <c r="A631">
        <f>_xlfn.XLOOKUP("351F-10-0",Trip[trip_id],Trip[trip_id],"Não encontrado")</f>
        <v/>
      </c>
      <c r="B631" s="53" t="n">
        <v>0.7681944444444444</v>
      </c>
      <c r="C631" s="53" t="n">
        <v>0.7681944444444444</v>
      </c>
      <c r="D631">
        <f>_xlfn.XLOOKUP(8704850,Stops[stop_id],Stops[stop_id],"Não encontrado")</f>
        <v/>
      </c>
      <c r="E631" t="n">
        <v>87</v>
      </c>
    </row>
    <row r="632">
      <c r="A632">
        <f>_xlfn.XLOOKUP("351F-10-0",Trip[trip_id],Trip[trip_id],"Não encontrado")</f>
        <v/>
      </c>
      <c r="B632" s="53" t="n">
        <v>0.769375</v>
      </c>
      <c r="C632" s="53" t="n">
        <v>0.769375</v>
      </c>
      <c r="D632">
        <f>_xlfn.XLOOKUP(8704588,Stops[stop_id],Stops[stop_id],"Não encontrado")</f>
        <v/>
      </c>
      <c r="E632" t="n">
        <v>88</v>
      </c>
    </row>
    <row r="633">
      <c r="A633">
        <f>_xlfn.XLOOKUP("351F-10-0",Trip[trip_id],Trip[trip_id],"Não encontrado")</f>
        <v/>
      </c>
      <c r="B633" s="53" t="n">
        <v>0.7705555555555555</v>
      </c>
      <c r="C633" s="53" t="n">
        <v>0.7705555555555555</v>
      </c>
      <c r="D633">
        <f>_xlfn.XLOOKUP(40005594,Stops[stop_id],Stops[stop_id],"Não encontrado")</f>
        <v/>
      </c>
      <c r="E633" t="n">
        <v>89</v>
      </c>
    </row>
    <row r="634">
      <c r="A634">
        <f>_xlfn.XLOOKUP("351F-10-0",Trip[trip_id],Trip[trip_id],"Não encontrado")</f>
        <v/>
      </c>
      <c r="B634" s="53" t="n">
        <v>0.7717361111111111</v>
      </c>
      <c r="C634" s="53" t="n">
        <v>0.7717361111111111</v>
      </c>
      <c r="D634">
        <f>_xlfn.XLOOKUP(40005596,Stops[stop_id],Stops[stop_id],"Não encontrado")</f>
        <v/>
      </c>
      <c r="E634" t="n">
        <v>90</v>
      </c>
    </row>
    <row r="635">
      <c r="A635">
        <f>_xlfn.XLOOKUP("351F-10-0",Trip[trip_id],Trip[trip_id],"Não encontrado")</f>
        <v/>
      </c>
      <c r="B635" s="53" t="n">
        <v>0.7729166666666667</v>
      </c>
      <c r="C635" s="53" t="n">
        <v>0.7729166666666667</v>
      </c>
      <c r="D635">
        <f>_xlfn.XLOOKUP(40005598,Stops[stop_id],Stops[stop_id],"Não encontrado")</f>
        <v/>
      </c>
      <c r="E635" t="n">
        <v>91</v>
      </c>
    </row>
    <row r="636">
      <c r="A636">
        <f>_xlfn.XLOOKUP("351F-10-0",Trip[trip_id],Trip[trip_id],"Não encontrado")</f>
        <v/>
      </c>
      <c r="B636" s="53" t="n">
        <v>0.7740972222222222</v>
      </c>
      <c r="C636" s="53" t="n">
        <v>0.7740972222222222</v>
      </c>
      <c r="D636">
        <f>_xlfn.XLOOKUP(40005600,Stops[stop_id],Stops[stop_id],"Não encontrado")</f>
        <v/>
      </c>
      <c r="E636" t="n">
        <v>92</v>
      </c>
    </row>
    <row r="637">
      <c r="A637">
        <f>_xlfn.XLOOKUP("351F-10-0",Trip[trip_id],Trip[trip_id],"Não encontrado")</f>
        <v/>
      </c>
      <c r="B637" s="53" t="n">
        <v>0.7752777777777777</v>
      </c>
      <c r="C637" s="53" t="n">
        <v>0.7752777777777777</v>
      </c>
      <c r="D637">
        <f>_xlfn.XLOOKUP(40008548,Stops[stop_id],Stops[stop_id],"Não encontrado")</f>
        <v/>
      </c>
      <c r="E637" t="n">
        <v>93</v>
      </c>
    </row>
    <row r="638">
      <c r="A638">
        <f>_xlfn.XLOOKUP("351F-10-0",Trip[trip_id],Trip[trip_id],"Não encontrado")</f>
        <v/>
      </c>
      <c r="B638" s="53" t="n">
        <v>0.7764583333333334</v>
      </c>
      <c r="C638" s="53" t="n">
        <v>0.7764583333333334</v>
      </c>
      <c r="D638">
        <f>_xlfn.XLOOKUP(40008556,Stops[stop_id],Stops[stop_id],"Não encontrado")</f>
        <v/>
      </c>
      <c r="E638" t="n">
        <v>94</v>
      </c>
    </row>
    <row r="639">
      <c r="A639">
        <f>_xlfn.XLOOKUP("351F-10-0",Trip[trip_id],Trip[trip_id],"Não encontrado")</f>
        <v/>
      </c>
      <c r="B639" s="53" t="n">
        <v>0.7776388888888889</v>
      </c>
      <c r="C639" s="53" t="n">
        <v>0.7776388888888889</v>
      </c>
      <c r="D639">
        <f>_xlfn.XLOOKUP(40008560,Stops[stop_id],Stops[stop_id],"Não encontrado")</f>
        <v/>
      </c>
      <c r="E639" t="n">
        <v>95</v>
      </c>
    </row>
    <row r="640">
      <c r="A640">
        <f>_xlfn.XLOOKUP("351F-10-0",Trip[trip_id],Trip[trip_id],"Não encontrado")</f>
        <v/>
      </c>
      <c r="B640" s="53" t="n">
        <v>0.7788194444444444</v>
      </c>
      <c r="C640" s="53" t="n">
        <v>0.7788194444444444</v>
      </c>
      <c r="D640">
        <f>_xlfn.XLOOKUP(40008562,Stops[stop_id],Stops[stop_id],"Não encontrado")</f>
        <v/>
      </c>
      <c r="E640" t="n">
        <v>96</v>
      </c>
    </row>
    <row r="641">
      <c r="A641">
        <f>_xlfn.XLOOKUP("351F-10-0",Trip[trip_id],Trip[trip_id],"Não encontrado")</f>
        <v/>
      </c>
      <c r="B641" s="53" t="n">
        <v>0.78</v>
      </c>
      <c r="C641" s="53" t="n">
        <v>0.78</v>
      </c>
      <c r="D641">
        <f>_xlfn.XLOOKUP(40008563,Stops[stop_id],Stops[stop_id],"Não encontrado")</f>
        <v/>
      </c>
      <c r="E641" t="n">
        <v>97</v>
      </c>
    </row>
    <row r="642">
      <c r="A642">
        <f>_xlfn.XLOOKUP("351F-10-0",Trip[trip_id],Trip[trip_id],"Não encontrado")</f>
        <v/>
      </c>
      <c r="B642" s="53" t="n">
        <v>0.7811805555555555</v>
      </c>
      <c r="C642" s="53" t="n">
        <v>0.7811805555555555</v>
      </c>
      <c r="D642">
        <f>_xlfn.XLOOKUP(40012596,Stops[stop_id],Stops[stop_id],"Não encontrado")</f>
        <v/>
      </c>
      <c r="E642" t="n">
        <v>98</v>
      </c>
    </row>
    <row r="643">
      <c r="A643">
        <f>_xlfn.XLOOKUP("351F-10-0",Trip[trip_id],Trip[trip_id],"Não encontrado")</f>
        <v/>
      </c>
      <c r="B643" s="53" t="n">
        <v>0.7840277777777778</v>
      </c>
      <c r="C643" s="53" t="n">
        <v>0.7840277777777778</v>
      </c>
      <c r="D643">
        <f>_xlfn.XLOOKUP(200012426,Stops[stop_id],Stops[stop_id],"Não encontrado")</f>
        <v/>
      </c>
      <c r="E643" t="n">
        <v>99</v>
      </c>
    </row>
    <row r="644">
      <c r="A644">
        <f>_xlfn.XLOOKUP("351F-10-1",Trip[trip_id],Trip[trip_id],"Não encontrado")</f>
        <v/>
      </c>
      <c r="B644" s="53" t="n">
        <v>0.6666666666666666</v>
      </c>
      <c r="C644" s="53" t="n">
        <v>0.6666666666666666</v>
      </c>
      <c r="D644">
        <f>_xlfn.XLOOKUP(200012426,Stops[stop_id],Stops[stop_id],"Não encontrado")</f>
        <v/>
      </c>
      <c r="E644" t="n">
        <v>1</v>
      </c>
    </row>
    <row r="645">
      <c r="A645">
        <f>_xlfn.XLOOKUP("351F-10-1",Trip[trip_id],Trip[trip_id],"Não encontrado")</f>
        <v/>
      </c>
      <c r="B645" s="53" t="n">
        <v>0.6677893518518518</v>
      </c>
      <c r="C645" s="53" t="n">
        <v>0.6677893518518518</v>
      </c>
      <c r="D645">
        <f>_xlfn.XLOOKUP(40012343,Stops[stop_id],Stops[stop_id],"Não encontrado")</f>
        <v/>
      </c>
      <c r="E645" t="n">
        <v>2</v>
      </c>
    </row>
    <row r="646">
      <c r="A646">
        <f>_xlfn.XLOOKUP("351F-10-1",Trip[trip_id],Trip[trip_id],"Não encontrado")</f>
        <v/>
      </c>
      <c r="B646" s="53" t="n">
        <v>0.6689120370370371</v>
      </c>
      <c r="C646" s="53" t="n">
        <v>0.6689120370370371</v>
      </c>
      <c r="D646">
        <f>_xlfn.XLOOKUP(40008564,Stops[stop_id],Stops[stop_id],"Não encontrado")</f>
        <v/>
      </c>
      <c r="E646" t="n">
        <v>3</v>
      </c>
    </row>
    <row r="647">
      <c r="A647">
        <f>_xlfn.XLOOKUP("351F-10-1",Trip[trip_id],Trip[trip_id],"Não encontrado")</f>
        <v/>
      </c>
      <c r="B647" s="53" t="n">
        <v>0.6700347222222223</v>
      </c>
      <c r="C647" s="53" t="n">
        <v>0.6700347222222223</v>
      </c>
      <c r="D647">
        <f>_xlfn.XLOOKUP(40008561,Stops[stop_id],Stops[stop_id],"Não encontrado")</f>
        <v/>
      </c>
      <c r="E647" t="n">
        <v>4</v>
      </c>
    </row>
    <row r="648">
      <c r="A648">
        <f>_xlfn.XLOOKUP("351F-10-1",Trip[trip_id],Trip[trip_id],"Não encontrado")</f>
        <v/>
      </c>
      <c r="B648" s="53" t="n">
        <v>0.6711574074074074</v>
      </c>
      <c r="C648" s="53" t="n">
        <v>0.6711574074074074</v>
      </c>
      <c r="D648">
        <f>_xlfn.XLOOKUP(40008552,Stops[stop_id],Stops[stop_id],"Não encontrado")</f>
        <v/>
      </c>
      <c r="E648" t="n">
        <v>5</v>
      </c>
    </row>
    <row r="649">
      <c r="A649">
        <f>_xlfn.XLOOKUP("351F-10-1",Trip[trip_id],Trip[trip_id],"Não encontrado")</f>
        <v/>
      </c>
      <c r="B649" s="53" t="n">
        <v>0.6722800925925926</v>
      </c>
      <c r="C649" s="53" t="n">
        <v>0.6722800925925926</v>
      </c>
      <c r="D649">
        <f>_xlfn.XLOOKUP(40008549,Stops[stop_id],Stops[stop_id],"Não encontrado")</f>
        <v/>
      </c>
      <c r="E649" t="n">
        <v>6</v>
      </c>
    </row>
    <row r="650">
      <c r="A650">
        <f>_xlfn.XLOOKUP("351F-10-1",Trip[trip_id],Trip[trip_id],"Não encontrado")</f>
        <v/>
      </c>
      <c r="B650" s="53" t="n">
        <v>0.6734027777777778</v>
      </c>
      <c r="C650" s="53" t="n">
        <v>0.6734027777777778</v>
      </c>
      <c r="D650">
        <f>_xlfn.XLOOKUP(40005601,Stops[stop_id],Stops[stop_id],"Não encontrado")</f>
        <v/>
      </c>
      <c r="E650" t="n">
        <v>7</v>
      </c>
    </row>
    <row r="651">
      <c r="A651">
        <f>_xlfn.XLOOKUP("351F-10-1",Trip[trip_id],Trip[trip_id],"Não encontrado")</f>
        <v/>
      </c>
      <c r="B651" s="53" t="n">
        <v>0.674525462962963</v>
      </c>
      <c r="C651" s="53" t="n">
        <v>0.674525462962963</v>
      </c>
      <c r="D651">
        <f>_xlfn.XLOOKUP(40005599,Stops[stop_id],Stops[stop_id],"Não encontrado")</f>
        <v/>
      </c>
      <c r="E651" t="n">
        <v>8</v>
      </c>
    </row>
    <row r="652">
      <c r="A652">
        <f>_xlfn.XLOOKUP("351F-10-1",Trip[trip_id],Trip[trip_id],"Não encontrado")</f>
        <v/>
      </c>
      <c r="B652" s="53" t="n">
        <v>0.6756481481481481</v>
      </c>
      <c r="C652" s="53" t="n">
        <v>0.6756481481481481</v>
      </c>
      <c r="D652">
        <f>_xlfn.XLOOKUP(40005597,Stops[stop_id],Stops[stop_id],"Não encontrado")</f>
        <v/>
      </c>
      <c r="E652" t="n">
        <v>9</v>
      </c>
    </row>
    <row r="653">
      <c r="A653">
        <f>_xlfn.XLOOKUP("351F-10-1",Trip[trip_id],Trip[trip_id],"Não encontrado")</f>
        <v/>
      </c>
      <c r="B653" s="53" t="n">
        <v>0.6767708333333333</v>
      </c>
      <c r="C653" s="53" t="n">
        <v>0.6767708333333333</v>
      </c>
      <c r="D653">
        <f>_xlfn.XLOOKUP(40005595,Stops[stop_id],Stops[stop_id],"Não encontrado")</f>
        <v/>
      </c>
      <c r="E653" t="n">
        <v>10</v>
      </c>
    </row>
    <row r="654">
      <c r="A654">
        <f>_xlfn.XLOOKUP("351F-10-1",Trip[trip_id],Trip[trip_id],"Não encontrado")</f>
        <v/>
      </c>
      <c r="B654" s="53" t="n">
        <v>0.6778935185185185</v>
      </c>
      <c r="C654" s="53" t="n">
        <v>0.6778935185185185</v>
      </c>
      <c r="D654">
        <f>_xlfn.XLOOKUP(40008569,Stops[stop_id],Stops[stop_id],"Não encontrado")</f>
        <v/>
      </c>
      <c r="E654" t="n">
        <v>11</v>
      </c>
    </row>
    <row r="655">
      <c r="A655">
        <f>_xlfn.XLOOKUP("351F-10-1",Trip[trip_id],Trip[trip_id],"Não encontrado")</f>
        <v/>
      </c>
      <c r="B655" s="53" t="n">
        <v>0.6790162037037037</v>
      </c>
      <c r="C655" s="53" t="n">
        <v>0.6790162037037037</v>
      </c>
      <c r="D655">
        <f>_xlfn.XLOOKUP(40008570,Stops[stop_id],Stops[stop_id],"Não encontrado")</f>
        <v/>
      </c>
      <c r="E655" t="n">
        <v>12</v>
      </c>
    </row>
    <row r="656">
      <c r="A656">
        <f>_xlfn.XLOOKUP("351F-10-1",Trip[trip_id],Trip[trip_id],"Não encontrado")</f>
        <v/>
      </c>
      <c r="B656" s="53" t="n">
        <v>0.6801388888888888</v>
      </c>
      <c r="C656" s="53" t="n">
        <v>0.6801388888888888</v>
      </c>
      <c r="D656">
        <f>_xlfn.XLOOKUP(870012610,Stops[stop_id],Stops[stop_id],"Não encontrado")</f>
        <v/>
      </c>
      <c r="E656" t="n">
        <v>13</v>
      </c>
    </row>
    <row r="657">
      <c r="A657">
        <f>_xlfn.XLOOKUP("351F-10-1",Trip[trip_id],Trip[trip_id],"Não encontrado")</f>
        <v/>
      </c>
      <c r="B657" s="53" t="n">
        <v>0.6812615740740741</v>
      </c>
      <c r="C657" s="53" t="n">
        <v>0.6812615740740741</v>
      </c>
      <c r="D657">
        <f>_xlfn.XLOOKUP(870012607,Stops[stop_id],Stops[stop_id],"Não encontrado")</f>
        <v/>
      </c>
      <c r="E657" t="n">
        <v>14</v>
      </c>
    </row>
    <row r="658">
      <c r="A658">
        <f>_xlfn.XLOOKUP("351F-10-1",Trip[trip_id],Trip[trip_id],"Não encontrado")</f>
        <v/>
      </c>
      <c r="B658" s="53" t="n">
        <v>0.6823842592592593</v>
      </c>
      <c r="C658" s="53" t="n">
        <v>0.6823842592592593</v>
      </c>
      <c r="D658">
        <f>_xlfn.XLOOKUP(870012605,Stops[stop_id],Stops[stop_id],"Não encontrado")</f>
        <v/>
      </c>
      <c r="E658" t="n">
        <v>15</v>
      </c>
    </row>
    <row r="659">
      <c r="A659">
        <f>_xlfn.XLOOKUP("351F-10-1",Trip[trip_id],Trip[trip_id],"Não encontrado")</f>
        <v/>
      </c>
      <c r="B659" s="53" t="n">
        <v>0.6835069444444445</v>
      </c>
      <c r="C659" s="53" t="n">
        <v>0.6835069444444445</v>
      </c>
      <c r="D659">
        <f>_xlfn.XLOOKUP(870008649,Stops[stop_id],Stops[stop_id],"Não encontrado")</f>
        <v/>
      </c>
      <c r="E659" t="n">
        <v>16</v>
      </c>
    </row>
    <row r="660">
      <c r="A660">
        <f>_xlfn.XLOOKUP("351F-10-1",Trip[trip_id],Trip[trip_id],"Não encontrado")</f>
        <v/>
      </c>
      <c r="B660" s="53" t="n">
        <v>0.6846296296296296</v>
      </c>
      <c r="C660" s="53" t="n">
        <v>0.6846296296296296</v>
      </c>
      <c r="D660">
        <f>_xlfn.XLOOKUP(870008667,Stops[stop_id],Stops[stop_id],"Não encontrado")</f>
        <v/>
      </c>
      <c r="E660" t="n">
        <v>17</v>
      </c>
    </row>
    <row r="661">
      <c r="A661">
        <f>_xlfn.XLOOKUP("351F-10-1",Trip[trip_id],Trip[trip_id],"Não encontrado")</f>
        <v/>
      </c>
      <c r="B661" s="53" t="n">
        <v>0.6857523148148148</v>
      </c>
      <c r="C661" s="53" t="n">
        <v>0.6857523148148148</v>
      </c>
      <c r="D661">
        <f>_xlfn.XLOOKUP(870012612,Stops[stop_id],Stops[stop_id],"Não encontrado")</f>
        <v/>
      </c>
      <c r="E661" t="n">
        <v>18</v>
      </c>
    </row>
    <row r="662">
      <c r="A662">
        <f>_xlfn.XLOOKUP("351F-10-1",Trip[trip_id],Trip[trip_id],"Não encontrado")</f>
        <v/>
      </c>
      <c r="B662" s="53" t="n">
        <v>0.686875</v>
      </c>
      <c r="C662" s="53" t="n">
        <v>0.686875</v>
      </c>
      <c r="D662">
        <f>_xlfn.XLOOKUP(870012602,Stops[stop_id],Stops[stop_id],"Não encontrado")</f>
        <v/>
      </c>
      <c r="E662" t="n">
        <v>19</v>
      </c>
    </row>
    <row r="663">
      <c r="A663">
        <f>_xlfn.XLOOKUP("351F-10-1",Trip[trip_id],Trip[trip_id],"Não encontrado")</f>
        <v/>
      </c>
      <c r="B663" s="53" t="n">
        <v>0.6879976851851852</v>
      </c>
      <c r="C663" s="53" t="n">
        <v>0.6879976851851852</v>
      </c>
      <c r="D663">
        <f>_xlfn.XLOOKUP(870012180,Stops[stop_id],Stops[stop_id],"Não encontrado")</f>
        <v/>
      </c>
      <c r="E663" t="n">
        <v>20</v>
      </c>
    </row>
    <row r="664">
      <c r="A664">
        <f>_xlfn.XLOOKUP("351F-10-1",Trip[trip_id],Trip[trip_id],"Não encontrado")</f>
        <v/>
      </c>
      <c r="B664" s="53" t="n">
        <v>0.6891203703703703</v>
      </c>
      <c r="C664" s="53" t="n">
        <v>0.6891203703703703</v>
      </c>
      <c r="D664">
        <f>_xlfn.XLOOKUP(870012176,Stops[stop_id],Stops[stop_id],"Não encontrado")</f>
        <v/>
      </c>
      <c r="E664" t="n">
        <v>21</v>
      </c>
    </row>
    <row r="665">
      <c r="A665">
        <f>_xlfn.XLOOKUP("351F-10-1",Trip[trip_id],Trip[trip_id],"Não encontrado")</f>
        <v/>
      </c>
      <c r="B665" s="53" t="n">
        <v>0.6902430555555555</v>
      </c>
      <c r="C665" s="53" t="n">
        <v>0.6902430555555555</v>
      </c>
      <c r="D665">
        <f>_xlfn.XLOOKUP(870012174,Stops[stop_id],Stops[stop_id],"Não encontrado")</f>
        <v/>
      </c>
      <c r="E665" t="n">
        <v>22</v>
      </c>
    </row>
    <row r="666">
      <c r="A666">
        <f>_xlfn.XLOOKUP("351F-10-1",Trip[trip_id],Trip[trip_id],"Não encontrado")</f>
        <v/>
      </c>
      <c r="B666" s="53" t="n">
        <v>0.6913657407407408</v>
      </c>
      <c r="C666" s="53" t="n">
        <v>0.6913657407407408</v>
      </c>
      <c r="D666">
        <f>_xlfn.XLOOKUP(200012182,Stops[stop_id],Stops[stop_id],"Não encontrado")</f>
        <v/>
      </c>
      <c r="E666" t="n">
        <v>23</v>
      </c>
    </row>
    <row r="667">
      <c r="A667">
        <f>_xlfn.XLOOKUP("351F-10-1",Trip[trip_id],Trip[trip_id],"Não encontrado")</f>
        <v/>
      </c>
      <c r="B667" s="53" t="n">
        <v>0.692488425925926</v>
      </c>
      <c r="C667" s="53" t="n">
        <v>0.692488425925926</v>
      </c>
      <c r="D667">
        <f>_xlfn.XLOOKUP(200012183,Stops[stop_id],Stops[stop_id],"Não encontrado")</f>
        <v/>
      </c>
      <c r="E667" t="n">
        <v>24</v>
      </c>
    </row>
    <row r="668">
      <c r="A668">
        <f>_xlfn.XLOOKUP("351F-10-1",Trip[trip_id],Trip[trip_id],"Não encontrado")</f>
        <v/>
      </c>
      <c r="B668" s="53" t="n">
        <v>0.6936111111111111</v>
      </c>
      <c r="C668" s="53" t="n">
        <v>0.6936111111111111</v>
      </c>
      <c r="D668">
        <f>_xlfn.XLOOKUP(200012184,Stops[stop_id],Stops[stop_id],"Não encontrado")</f>
        <v/>
      </c>
      <c r="E668" t="n">
        <v>25</v>
      </c>
    </row>
    <row r="669">
      <c r="A669">
        <f>_xlfn.XLOOKUP("351F-10-1",Trip[trip_id],Trip[trip_id],"Não encontrado")</f>
        <v/>
      </c>
      <c r="B669" s="53" t="n">
        <v>0.6947337962962963</v>
      </c>
      <c r="C669" s="53" t="n">
        <v>0.6947337962962963</v>
      </c>
      <c r="D669">
        <f>_xlfn.XLOOKUP(200012186,Stops[stop_id],Stops[stop_id],"Não encontrado")</f>
        <v/>
      </c>
      <c r="E669" t="n">
        <v>26</v>
      </c>
    </row>
    <row r="670">
      <c r="A670">
        <f>_xlfn.XLOOKUP("351F-10-1",Trip[trip_id],Trip[trip_id],"Não encontrado")</f>
        <v/>
      </c>
      <c r="B670" s="53" t="n">
        <v>0.6958564814814815</v>
      </c>
      <c r="C670" s="53" t="n">
        <v>0.6958564814814815</v>
      </c>
      <c r="D670">
        <f>_xlfn.XLOOKUP(200012188,Stops[stop_id],Stops[stop_id],"Não encontrado")</f>
        <v/>
      </c>
      <c r="E670" t="n">
        <v>27</v>
      </c>
    </row>
    <row r="671">
      <c r="A671">
        <f>_xlfn.XLOOKUP("351F-10-1",Trip[trip_id],Trip[trip_id],"Não encontrado")</f>
        <v/>
      </c>
      <c r="B671" s="53" t="n">
        <v>0.6969791666666667</v>
      </c>
      <c r="C671" s="53" t="n">
        <v>0.6969791666666667</v>
      </c>
      <c r="D671">
        <f>_xlfn.XLOOKUP(8210280,Stops[stop_id],Stops[stop_id],"Não encontrado")</f>
        <v/>
      </c>
      <c r="E671" t="n">
        <v>28</v>
      </c>
    </row>
    <row r="672">
      <c r="A672">
        <f>_xlfn.XLOOKUP("351F-10-1",Trip[trip_id],Trip[trip_id],"Não encontrado")</f>
        <v/>
      </c>
      <c r="B672" s="53" t="n">
        <v>0.6981018518518518</v>
      </c>
      <c r="C672" s="53" t="n">
        <v>0.6981018518518518</v>
      </c>
      <c r="D672">
        <f>_xlfn.XLOOKUP(8210275,Stops[stop_id],Stops[stop_id],"Não encontrado")</f>
        <v/>
      </c>
      <c r="E672" t="n">
        <v>29</v>
      </c>
    </row>
    <row r="673">
      <c r="A673">
        <f>_xlfn.XLOOKUP("351F-10-1",Trip[trip_id],Trip[trip_id],"Não encontrado")</f>
        <v/>
      </c>
      <c r="B673" s="53" t="n">
        <v>0.699224537037037</v>
      </c>
      <c r="C673" s="53" t="n">
        <v>0.699224537037037</v>
      </c>
      <c r="D673">
        <f>_xlfn.XLOOKUP(8210274,Stops[stop_id],Stops[stop_id],"Não encontrado")</f>
        <v/>
      </c>
      <c r="E673" t="n">
        <v>30</v>
      </c>
    </row>
    <row r="674">
      <c r="A674">
        <f>_xlfn.XLOOKUP("351F-10-1",Trip[trip_id],Trip[trip_id],"Não encontrado")</f>
        <v/>
      </c>
      <c r="B674" s="53" t="n">
        <v>0.7003472222222222</v>
      </c>
      <c r="C674" s="53" t="n">
        <v>0.7003472222222222</v>
      </c>
      <c r="D674">
        <f>_xlfn.XLOOKUP(8210273,Stops[stop_id],Stops[stop_id],"Não encontrado")</f>
        <v/>
      </c>
      <c r="E674" t="n">
        <v>31</v>
      </c>
    </row>
    <row r="675">
      <c r="A675">
        <f>_xlfn.XLOOKUP("351F-10-1",Trip[trip_id],Trip[trip_id],"Não encontrado")</f>
        <v/>
      </c>
      <c r="B675" s="53" t="n">
        <v>0.7014699074074074</v>
      </c>
      <c r="C675" s="53" t="n">
        <v>0.7014699074074074</v>
      </c>
      <c r="D675">
        <f>_xlfn.XLOOKUP(8210272,Stops[stop_id],Stops[stop_id],"Não encontrado")</f>
        <v/>
      </c>
      <c r="E675" t="n">
        <v>32</v>
      </c>
    </row>
    <row r="676">
      <c r="A676">
        <f>_xlfn.XLOOKUP("351F-10-1",Trip[trip_id],Trip[trip_id],"Não encontrado")</f>
        <v/>
      </c>
      <c r="B676" s="53" t="n">
        <v>0.7025925925925925</v>
      </c>
      <c r="C676" s="53" t="n">
        <v>0.7025925925925925</v>
      </c>
      <c r="D676">
        <f>_xlfn.XLOOKUP(8210271,Stops[stop_id],Stops[stop_id],"Não encontrado")</f>
        <v/>
      </c>
      <c r="E676" t="n">
        <v>33</v>
      </c>
    </row>
    <row r="677">
      <c r="A677">
        <f>_xlfn.XLOOKUP("351F-10-1",Trip[trip_id],Trip[trip_id],"Não encontrado")</f>
        <v/>
      </c>
      <c r="B677" s="53" t="n">
        <v>0.7037152777777778</v>
      </c>
      <c r="C677" s="53" t="n">
        <v>0.7037152777777778</v>
      </c>
      <c r="D677">
        <f>_xlfn.XLOOKUP(8210270,Stops[stop_id],Stops[stop_id],"Não encontrado")</f>
        <v/>
      </c>
      <c r="E677" t="n">
        <v>34</v>
      </c>
    </row>
    <row r="678">
      <c r="A678">
        <f>_xlfn.XLOOKUP("351F-10-1",Trip[trip_id],Trip[trip_id],"Não encontrado")</f>
        <v/>
      </c>
      <c r="B678" s="53" t="n">
        <v>0.704837962962963</v>
      </c>
      <c r="C678" s="53" t="n">
        <v>0.704837962962963</v>
      </c>
      <c r="D678">
        <f>_xlfn.XLOOKUP(820008845,Stops[stop_id],Stops[stop_id],"Não encontrado")</f>
        <v/>
      </c>
      <c r="E678" t="n">
        <v>35</v>
      </c>
    </row>
    <row r="679">
      <c r="A679">
        <f>_xlfn.XLOOKUP("351F-10-1",Trip[trip_id],Trip[trip_id],"Não encontrado")</f>
        <v/>
      </c>
      <c r="B679" s="53" t="n">
        <v>0.7059606481481482</v>
      </c>
      <c r="C679" s="53" t="n">
        <v>0.7059606481481482</v>
      </c>
      <c r="D679">
        <f>_xlfn.XLOOKUP(820008846,Stops[stop_id],Stops[stop_id],"Não encontrado")</f>
        <v/>
      </c>
      <c r="E679" t="n">
        <v>36</v>
      </c>
    </row>
    <row r="680">
      <c r="A680">
        <f>_xlfn.XLOOKUP("351F-10-1",Trip[trip_id],Trip[trip_id],"Não encontrado")</f>
        <v/>
      </c>
      <c r="B680" s="53" t="n">
        <v>0.7070833333333333</v>
      </c>
      <c r="C680" s="53" t="n">
        <v>0.7070833333333333</v>
      </c>
      <c r="D680">
        <f>_xlfn.XLOOKUP(820008812,Stops[stop_id],Stops[stop_id],"Não encontrado")</f>
        <v/>
      </c>
      <c r="E680" t="n">
        <v>37</v>
      </c>
    </row>
    <row r="681">
      <c r="A681">
        <f>_xlfn.XLOOKUP("351F-10-1",Trip[trip_id],Trip[trip_id],"Não encontrado")</f>
        <v/>
      </c>
      <c r="B681" s="53" t="n">
        <v>0.7082060185185185</v>
      </c>
      <c r="C681" s="53" t="n">
        <v>0.7082060185185185</v>
      </c>
      <c r="D681">
        <f>_xlfn.XLOOKUP(8210261,Stops[stop_id],Stops[stop_id],"Não encontrado")</f>
        <v/>
      </c>
      <c r="E681" t="n">
        <v>38</v>
      </c>
    </row>
    <row r="682">
      <c r="A682">
        <f>_xlfn.XLOOKUP("351F-10-1",Trip[trip_id],Trip[trip_id],"Não encontrado")</f>
        <v/>
      </c>
      <c r="B682" s="53" t="n">
        <v>0.7093287037037037</v>
      </c>
      <c r="C682" s="53" t="n">
        <v>0.7093287037037037</v>
      </c>
      <c r="D682">
        <f>_xlfn.XLOOKUP(820005518,Stops[stop_id],Stops[stop_id],"Não encontrado")</f>
        <v/>
      </c>
      <c r="E682" t="n">
        <v>39</v>
      </c>
    </row>
    <row r="683">
      <c r="A683">
        <f>_xlfn.XLOOKUP("351F-10-1",Trip[trip_id],Trip[trip_id],"Não encontrado")</f>
        <v/>
      </c>
      <c r="B683" s="53" t="n">
        <v>0.7104513888888889</v>
      </c>
      <c r="C683" s="53" t="n">
        <v>0.7104513888888889</v>
      </c>
      <c r="D683">
        <f>_xlfn.XLOOKUP(8210283,Stops[stop_id],Stops[stop_id],"Não encontrado")</f>
        <v/>
      </c>
      <c r="E683" t="n">
        <v>40</v>
      </c>
    </row>
    <row r="684">
      <c r="A684">
        <f>_xlfn.XLOOKUP("351F-10-1",Trip[trip_id],Trip[trip_id],"Não encontrado")</f>
        <v/>
      </c>
      <c r="B684" s="53" t="n">
        <v>0.711574074074074</v>
      </c>
      <c r="C684" s="53" t="n">
        <v>0.711574074074074</v>
      </c>
      <c r="D684">
        <f>_xlfn.XLOOKUP(809564,Stops[stop_id],Stops[stop_id],"Não encontrado")</f>
        <v/>
      </c>
      <c r="E684" t="n">
        <v>41</v>
      </c>
    </row>
    <row r="685">
      <c r="A685">
        <f>_xlfn.XLOOKUP("351F-10-1",Trip[trip_id],Trip[trip_id],"Não encontrado")</f>
        <v/>
      </c>
      <c r="B685" s="53" t="n">
        <v>0.7126967592592592</v>
      </c>
      <c r="C685" s="53" t="n">
        <v>0.7126967592592592</v>
      </c>
      <c r="D685">
        <f>_xlfn.XLOOKUP(810613,Stops[stop_id],Stops[stop_id],"Não encontrado")</f>
        <v/>
      </c>
      <c r="E685" t="n">
        <v>42</v>
      </c>
    </row>
    <row r="686">
      <c r="A686">
        <f>_xlfn.XLOOKUP("351F-10-1",Trip[trip_id],Trip[trip_id],"Não encontrado")</f>
        <v/>
      </c>
      <c r="B686" s="53" t="n">
        <v>0.7138194444444445</v>
      </c>
      <c r="C686" s="53" t="n">
        <v>0.7138194444444445</v>
      </c>
      <c r="D686">
        <f>_xlfn.XLOOKUP(80014081,Stops[stop_id],Stops[stop_id],"Não encontrado")</f>
        <v/>
      </c>
      <c r="E686" t="n">
        <v>43</v>
      </c>
    </row>
    <row r="687">
      <c r="A687">
        <f>_xlfn.XLOOKUP("351F-10-1",Trip[trip_id],Trip[trip_id],"Não encontrado")</f>
        <v/>
      </c>
      <c r="B687" s="53" t="n">
        <v>0.7149421296296297</v>
      </c>
      <c r="C687" s="53" t="n">
        <v>0.7149421296296297</v>
      </c>
      <c r="D687">
        <f>_xlfn.XLOOKUP(80014082,Stops[stop_id],Stops[stop_id],"Não encontrado")</f>
        <v/>
      </c>
      <c r="E687" t="n">
        <v>44</v>
      </c>
    </row>
    <row r="688">
      <c r="A688">
        <f>_xlfn.XLOOKUP("351F-10-1",Trip[trip_id],Trip[trip_id],"Não encontrado")</f>
        <v/>
      </c>
      <c r="B688" s="53" t="n">
        <v>0.7160648148148148</v>
      </c>
      <c r="C688" s="53" t="n">
        <v>0.7160648148148148</v>
      </c>
      <c r="D688">
        <f>_xlfn.XLOOKUP(810610,Stops[stop_id],Stops[stop_id],"Não encontrado")</f>
        <v/>
      </c>
      <c r="E688" t="n">
        <v>45</v>
      </c>
    </row>
    <row r="689">
      <c r="A689">
        <f>_xlfn.XLOOKUP("351F-10-1",Trip[trip_id],Trip[trip_id],"Não encontrado")</f>
        <v/>
      </c>
      <c r="B689" s="53" t="n">
        <v>0.7171875</v>
      </c>
      <c r="C689" s="53" t="n">
        <v>0.7171875</v>
      </c>
      <c r="D689">
        <f>_xlfn.XLOOKUP(80014505,Stops[stop_id],Stops[stop_id],"Não encontrado")</f>
        <v/>
      </c>
      <c r="E689" t="n">
        <v>46</v>
      </c>
    </row>
    <row r="690">
      <c r="A690">
        <f>_xlfn.XLOOKUP("351F-10-1",Trip[trip_id],Trip[trip_id],"Não encontrado")</f>
        <v/>
      </c>
      <c r="B690" s="53" t="n">
        <v>0.7183101851851852</v>
      </c>
      <c r="C690" s="53" t="n">
        <v>0.7183101851851852</v>
      </c>
      <c r="D690">
        <f>_xlfn.XLOOKUP(80014521,Stops[stop_id],Stops[stop_id],"Não encontrado")</f>
        <v/>
      </c>
      <c r="E690" t="n">
        <v>47</v>
      </c>
    </row>
    <row r="691">
      <c r="A691">
        <f>_xlfn.XLOOKUP("351F-10-1",Trip[trip_id],Trip[trip_id],"Não encontrado")</f>
        <v/>
      </c>
      <c r="B691" s="53" t="n">
        <v>0.7194328703703704</v>
      </c>
      <c r="C691" s="53" t="n">
        <v>0.7194328703703704</v>
      </c>
      <c r="D691">
        <f>_xlfn.XLOOKUP(80014530,Stops[stop_id],Stops[stop_id],"Não encontrado")</f>
        <v/>
      </c>
      <c r="E691" t="n">
        <v>48</v>
      </c>
    </row>
    <row r="692">
      <c r="A692">
        <f>_xlfn.XLOOKUP("351F-10-1",Trip[trip_id],Trip[trip_id],"Não encontrado")</f>
        <v/>
      </c>
      <c r="B692" s="53" t="n">
        <v>0.7205555555555555</v>
      </c>
      <c r="C692" s="53" t="n">
        <v>0.7205555555555555</v>
      </c>
      <c r="D692">
        <f>_xlfn.XLOOKUP(80014367,Stops[stop_id],Stops[stop_id],"Não encontrado")</f>
        <v/>
      </c>
      <c r="E692" t="n">
        <v>49</v>
      </c>
    </row>
    <row r="693">
      <c r="A693">
        <f>_xlfn.XLOOKUP("351F-10-1",Trip[trip_id],Trip[trip_id],"Não encontrado")</f>
        <v/>
      </c>
      <c r="B693" s="53" t="n">
        <v>0.7216782407407407</v>
      </c>
      <c r="C693" s="53" t="n">
        <v>0.7216782407407407</v>
      </c>
      <c r="D693">
        <f>_xlfn.XLOOKUP(80014368,Stops[stop_id],Stops[stop_id],"Não encontrado")</f>
        <v/>
      </c>
      <c r="E693" t="n">
        <v>50</v>
      </c>
    </row>
    <row r="694">
      <c r="A694">
        <f>_xlfn.XLOOKUP("351F-10-1",Trip[trip_id],Trip[trip_id],"Não encontrado")</f>
        <v/>
      </c>
      <c r="B694" s="53" t="n">
        <v>0.7228009259259259</v>
      </c>
      <c r="C694" s="53" t="n">
        <v>0.7228009259259259</v>
      </c>
      <c r="D694">
        <f>_xlfn.XLOOKUP(80014369,Stops[stop_id],Stops[stop_id],"Não encontrado")</f>
        <v/>
      </c>
      <c r="E694" t="n">
        <v>51</v>
      </c>
    </row>
    <row r="695">
      <c r="A695">
        <f>_xlfn.XLOOKUP("351F-10-1",Trip[trip_id],Trip[trip_id],"Não encontrado")</f>
        <v/>
      </c>
      <c r="B695" s="53" t="n">
        <v>0.7239236111111111</v>
      </c>
      <c r="C695" s="53" t="n">
        <v>0.7239236111111111</v>
      </c>
      <c r="D695">
        <f>_xlfn.XLOOKUP(80014370,Stops[stop_id],Stops[stop_id],"Não encontrado")</f>
        <v/>
      </c>
      <c r="E695" t="n">
        <v>52</v>
      </c>
    </row>
    <row r="696">
      <c r="A696">
        <f>_xlfn.XLOOKUP("351F-10-1",Trip[trip_id],Trip[trip_id],"Não encontrado")</f>
        <v/>
      </c>
      <c r="B696" s="53" t="n">
        <v>0.7250462962962962</v>
      </c>
      <c r="C696" s="53" t="n">
        <v>0.7250462962962962</v>
      </c>
      <c r="D696">
        <f>_xlfn.XLOOKUP(810614,Stops[stop_id],Stops[stop_id],"Não encontrado")</f>
        <v/>
      </c>
      <c r="E696" t="n">
        <v>53</v>
      </c>
    </row>
    <row r="697">
      <c r="A697">
        <f>_xlfn.XLOOKUP("351F-10-1",Trip[trip_id],Trip[trip_id],"Não encontrado")</f>
        <v/>
      </c>
      <c r="B697" s="53" t="n">
        <v>0.7261689814814815</v>
      </c>
      <c r="C697" s="53" t="n">
        <v>0.7261689814814815</v>
      </c>
      <c r="D697">
        <f>_xlfn.XLOOKUP(9110540,Stops[stop_id],Stops[stop_id],"Não encontrado")</f>
        <v/>
      </c>
      <c r="E697" t="n">
        <v>54</v>
      </c>
    </row>
    <row r="698">
      <c r="A698">
        <f>_xlfn.XLOOKUP("351F-10-1",Trip[trip_id],Trip[trip_id],"Não encontrado")</f>
        <v/>
      </c>
      <c r="B698" s="53" t="n">
        <v>0.7272916666666667</v>
      </c>
      <c r="C698" s="53" t="n">
        <v>0.7272916666666667</v>
      </c>
      <c r="D698">
        <f>_xlfn.XLOOKUP(910000872,Stops[stop_id],Stops[stop_id],"Não encontrado")</f>
        <v/>
      </c>
      <c r="E698" t="n">
        <v>55</v>
      </c>
    </row>
    <row r="699">
      <c r="A699">
        <f>_xlfn.XLOOKUP("351F-10-1",Trip[trip_id],Trip[trip_id],"Não encontrado")</f>
        <v/>
      </c>
      <c r="B699" s="53" t="n">
        <v>0.7284143518518519</v>
      </c>
      <c r="C699" s="53" t="n">
        <v>0.7284143518518519</v>
      </c>
      <c r="D699">
        <f>_xlfn.XLOOKUP(910000870,Stops[stop_id],Stops[stop_id],"Não encontrado")</f>
        <v/>
      </c>
      <c r="E699" t="n">
        <v>56</v>
      </c>
    </row>
    <row r="700">
      <c r="A700">
        <f>_xlfn.XLOOKUP("351F-10-1",Trip[trip_id],Trip[trip_id],"Não encontrado")</f>
        <v/>
      </c>
      <c r="B700" s="53" t="n">
        <v>0.729537037037037</v>
      </c>
      <c r="C700" s="53" t="n">
        <v>0.729537037037037</v>
      </c>
      <c r="D700">
        <f>_xlfn.XLOOKUP(910000868,Stops[stop_id],Stops[stop_id],"Não encontrado")</f>
        <v/>
      </c>
      <c r="E700" t="n">
        <v>57</v>
      </c>
    </row>
    <row r="701">
      <c r="A701">
        <f>_xlfn.XLOOKUP("351F-10-1",Trip[trip_id],Trip[trip_id],"Não encontrado")</f>
        <v/>
      </c>
      <c r="B701" s="53" t="n">
        <v>0.7306597222222222</v>
      </c>
      <c r="C701" s="53" t="n">
        <v>0.7306597222222222</v>
      </c>
      <c r="D701">
        <f>_xlfn.XLOOKUP(910000865,Stops[stop_id],Stops[stop_id],"Não encontrado")</f>
        <v/>
      </c>
      <c r="E701" t="n">
        <v>58</v>
      </c>
    </row>
    <row r="702">
      <c r="A702">
        <f>_xlfn.XLOOKUP("351F-10-1",Trip[trip_id],Trip[trip_id],"Não encontrado")</f>
        <v/>
      </c>
      <c r="B702" s="53" t="n">
        <v>0.7317824074074074</v>
      </c>
      <c r="C702" s="53" t="n">
        <v>0.7317824074074074</v>
      </c>
      <c r="D702">
        <f>_xlfn.XLOOKUP(910000863,Stops[stop_id],Stops[stop_id],"Não encontrado")</f>
        <v/>
      </c>
      <c r="E702" t="n">
        <v>59</v>
      </c>
    </row>
    <row r="703">
      <c r="A703">
        <f>_xlfn.XLOOKUP("351F-10-1",Trip[trip_id],Trip[trip_id],"Não encontrado")</f>
        <v/>
      </c>
      <c r="B703" s="53" t="n">
        <v>0.7329050925925926</v>
      </c>
      <c r="C703" s="53" t="n">
        <v>0.7329050925925926</v>
      </c>
      <c r="D703">
        <f>_xlfn.XLOOKUP(910002013,Stops[stop_id],Stops[stop_id],"Não encontrado")</f>
        <v/>
      </c>
      <c r="E703" t="n">
        <v>60</v>
      </c>
    </row>
    <row r="704">
      <c r="A704">
        <f>_xlfn.XLOOKUP("351F-10-1",Trip[trip_id],Trip[trip_id],"Não encontrado")</f>
        <v/>
      </c>
      <c r="B704" s="53" t="n">
        <v>0.7340277777777777</v>
      </c>
      <c r="C704" s="53" t="n">
        <v>0.7340277777777777</v>
      </c>
      <c r="D704">
        <f>_xlfn.XLOOKUP(910002011,Stops[stop_id],Stops[stop_id],"Não encontrado")</f>
        <v/>
      </c>
      <c r="E704" t="n">
        <v>61</v>
      </c>
    </row>
    <row r="705">
      <c r="A705">
        <f>_xlfn.XLOOKUP("351F-10-1",Trip[trip_id],Trip[trip_id],"Não encontrado")</f>
        <v/>
      </c>
      <c r="B705" s="53" t="n">
        <v>0.7351504629629629</v>
      </c>
      <c r="C705" s="53" t="n">
        <v>0.7351504629629629</v>
      </c>
      <c r="D705">
        <f>_xlfn.XLOOKUP(910002009,Stops[stop_id],Stops[stop_id],"Não encontrado")</f>
        <v/>
      </c>
      <c r="E705" t="n">
        <v>62</v>
      </c>
    </row>
    <row r="706">
      <c r="A706">
        <f>_xlfn.XLOOKUP("351F-10-1",Trip[trip_id],Trip[trip_id],"Não encontrado")</f>
        <v/>
      </c>
      <c r="B706" s="53" t="n">
        <v>0.7362731481481481</v>
      </c>
      <c r="C706" s="53" t="n">
        <v>0.7362731481481481</v>
      </c>
      <c r="D706">
        <f>_xlfn.XLOOKUP(910002008,Stops[stop_id],Stops[stop_id],"Não encontrado")</f>
        <v/>
      </c>
      <c r="E706" t="n">
        <v>63</v>
      </c>
    </row>
    <row r="707">
      <c r="A707">
        <f>_xlfn.XLOOKUP("351F-10-1",Trip[trip_id],Trip[trip_id],"Não encontrado")</f>
        <v/>
      </c>
      <c r="B707" s="53" t="n">
        <v>0.7373958333333334</v>
      </c>
      <c r="C707" s="53" t="n">
        <v>0.7373958333333334</v>
      </c>
      <c r="D707">
        <f>_xlfn.XLOOKUP(910000889,Stops[stop_id],Stops[stop_id],"Não encontrado")</f>
        <v/>
      </c>
      <c r="E707" t="n">
        <v>64</v>
      </c>
    </row>
    <row r="708">
      <c r="A708">
        <f>_xlfn.XLOOKUP("351F-10-1",Trip[trip_id],Trip[trip_id],"Não encontrado")</f>
        <v/>
      </c>
      <c r="B708" s="53" t="n">
        <v>0.7385185185185185</v>
      </c>
      <c r="C708" s="53" t="n">
        <v>0.7385185185185185</v>
      </c>
      <c r="D708">
        <f>_xlfn.XLOOKUP(910000891,Stops[stop_id],Stops[stop_id],"Não encontrado")</f>
        <v/>
      </c>
      <c r="E708" t="n">
        <v>65</v>
      </c>
    </row>
    <row r="709">
      <c r="A709">
        <f>_xlfn.XLOOKUP("351F-10-1",Trip[trip_id],Trip[trip_id],"Não encontrado")</f>
        <v/>
      </c>
      <c r="B709" s="53" t="n">
        <v>0.7396412037037037</v>
      </c>
      <c r="C709" s="53" t="n">
        <v>0.7396412037037037</v>
      </c>
      <c r="D709">
        <f>_xlfn.XLOOKUP(910000892,Stops[stop_id],Stops[stop_id],"Não encontrado")</f>
        <v/>
      </c>
      <c r="E709" t="n">
        <v>66</v>
      </c>
    </row>
    <row r="710">
      <c r="A710">
        <f>_xlfn.XLOOKUP("351F-10-1",Trip[trip_id],Trip[trip_id],"Não encontrado")</f>
        <v/>
      </c>
      <c r="B710" s="53" t="n">
        <v>0.7407638888888889</v>
      </c>
      <c r="C710" s="53" t="n">
        <v>0.7407638888888889</v>
      </c>
      <c r="D710">
        <f>_xlfn.XLOOKUP(910000909,Stops[stop_id],Stops[stop_id],"Não encontrado")</f>
        <v/>
      </c>
      <c r="E710" t="n">
        <v>67</v>
      </c>
    </row>
    <row r="711">
      <c r="A711">
        <f>_xlfn.XLOOKUP("351F-10-1",Trip[trip_id],Trip[trip_id],"Não encontrado")</f>
        <v/>
      </c>
      <c r="B711" s="53" t="n">
        <v>0.7418865740740741</v>
      </c>
      <c r="C711" s="53" t="n">
        <v>0.7418865740740741</v>
      </c>
      <c r="D711">
        <f>_xlfn.XLOOKUP(910000911,Stops[stop_id],Stops[stop_id],"Não encontrado")</f>
        <v/>
      </c>
      <c r="E711" t="n">
        <v>68</v>
      </c>
    </row>
    <row r="712">
      <c r="A712">
        <f>_xlfn.XLOOKUP("351F-10-1",Trip[trip_id],Trip[trip_id],"Não encontrado")</f>
        <v/>
      </c>
      <c r="B712" s="53" t="n">
        <v>0.7430092592592593</v>
      </c>
      <c r="C712" s="53" t="n">
        <v>0.7430092592592593</v>
      </c>
      <c r="D712">
        <f>_xlfn.XLOOKUP(910003786,Stops[stop_id],Stops[stop_id],"Não encontrado")</f>
        <v/>
      </c>
      <c r="E712" t="n">
        <v>69</v>
      </c>
    </row>
    <row r="713">
      <c r="A713">
        <f>_xlfn.XLOOKUP("351F-10-1",Trip[trip_id],Trip[trip_id],"Não encontrado")</f>
        <v/>
      </c>
      <c r="B713" s="53" t="n">
        <v>0.7441319444444444</v>
      </c>
      <c r="C713" s="53" t="n">
        <v>0.7441319444444444</v>
      </c>
      <c r="D713">
        <f>_xlfn.XLOOKUP(910003784,Stops[stop_id],Stops[stop_id],"Não encontrado")</f>
        <v/>
      </c>
      <c r="E713" t="n">
        <v>70</v>
      </c>
    </row>
    <row r="714">
      <c r="A714">
        <f>_xlfn.XLOOKUP("351F-10-1",Trip[trip_id],Trip[trip_id],"Não encontrado")</f>
        <v/>
      </c>
      <c r="B714" s="53" t="n">
        <v>0.7452546296296296</v>
      </c>
      <c r="C714" s="53" t="n">
        <v>0.7452546296296296</v>
      </c>
      <c r="D714">
        <f>_xlfn.XLOOKUP(910003782,Stops[stop_id],Stops[stop_id],"Não encontrado")</f>
        <v/>
      </c>
      <c r="E714" t="n">
        <v>71</v>
      </c>
    </row>
    <row r="715">
      <c r="A715">
        <f>_xlfn.XLOOKUP("351F-10-1",Trip[trip_id],Trip[trip_id],"Não encontrado")</f>
        <v/>
      </c>
      <c r="B715" s="53" t="n">
        <v>0.7463773148148148</v>
      </c>
      <c r="C715" s="53" t="n">
        <v>0.7463773148148148</v>
      </c>
      <c r="D715">
        <f>_xlfn.XLOOKUP(910003778,Stops[stop_id],Stops[stop_id],"Não encontrado")</f>
        <v/>
      </c>
      <c r="E715" t="n">
        <v>72</v>
      </c>
    </row>
    <row r="716">
      <c r="A716">
        <f>_xlfn.XLOOKUP("351F-10-1",Trip[trip_id],Trip[trip_id],"Não encontrado")</f>
        <v/>
      </c>
      <c r="B716" s="53" t="n">
        <v>0.7475000000000001</v>
      </c>
      <c r="C716" s="53" t="n">
        <v>0.7475000000000001</v>
      </c>
      <c r="D716">
        <f>_xlfn.XLOOKUP(9112457,Stops[stop_id],Stops[stop_id],"Não encontrado")</f>
        <v/>
      </c>
      <c r="E716" t="n">
        <v>73</v>
      </c>
    </row>
    <row r="717">
      <c r="A717">
        <f>_xlfn.XLOOKUP("351F-10-1",Trip[trip_id],Trip[trip_id],"Não encontrado")</f>
        <v/>
      </c>
      <c r="B717" s="53" t="n">
        <v>0.7486226851851852</v>
      </c>
      <c r="C717" s="53" t="n">
        <v>0.7486226851851852</v>
      </c>
      <c r="D717">
        <f>_xlfn.XLOOKUP(940004358,Stops[stop_id],Stops[stop_id],"Não encontrado")</f>
        <v/>
      </c>
      <c r="E717" t="n">
        <v>74</v>
      </c>
    </row>
    <row r="718">
      <c r="A718">
        <f>_xlfn.XLOOKUP("351F-10-1",Trip[trip_id],Trip[trip_id],"Não encontrado")</f>
        <v/>
      </c>
      <c r="B718" s="53" t="n">
        <v>0.7497453703703704</v>
      </c>
      <c r="C718" s="53" t="n">
        <v>0.7497453703703704</v>
      </c>
      <c r="D718">
        <f>_xlfn.XLOOKUP(9412668,Stops[stop_id],Stops[stop_id],"Não encontrado")</f>
        <v/>
      </c>
      <c r="E718" t="n">
        <v>75</v>
      </c>
    </row>
    <row r="719">
      <c r="A719">
        <f>_xlfn.XLOOKUP("351F-10-1",Trip[trip_id],Trip[trip_id],"Não encontrado")</f>
        <v/>
      </c>
      <c r="B719" s="53" t="n">
        <v>0.7508680555555556</v>
      </c>
      <c r="C719" s="53" t="n">
        <v>0.7508680555555556</v>
      </c>
      <c r="D719">
        <f>_xlfn.XLOOKUP(940004359,Stops[stop_id],Stops[stop_id],"Não encontrado")</f>
        <v/>
      </c>
      <c r="E719" t="n">
        <v>76</v>
      </c>
    </row>
    <row r="720">
      <c r="A720">
        <f>_xlfn.XLOOKUP("351F-10-1",Trip[trip_id],Trip[trip_id],"Não encontrado")</f>
        <v/>
      </c>
      <c r="B720" s="53" t="n">
        <v>0.7519907407407408</v>
      </c>
      <c r="C720" s="53" t="n">
        <v>0.7519907407407408</v>
      </c>
      <c r="D720">
        <f>_xlfn.XLOOKUP(940004032,Stops[stop_id],Stops[stop_id],"Não encontrado")</f>
        <v/>
      </c>
      <c r="E720" t="n">
        <v>77</v>
      </c>
    </row>
    <row r="721">
      <c r="A721">
        <f>_xlfn.XLOOKUP("351F-10-1",Trip[trip_id],Trip[trip_id],"Não encontrado")</f>
        <v/>
      </c>
      <c r="B721" s="53" t="n">
        <v>0.7531134259259259</v>
      </c>
      <c r="C721" s="53" t="n">
        <v>0.7531134259259259</v>
      </c>
      <c r="D721">
        <f>_xlfn.XLOOKUP(9412250,Stops[stop_id],Stops[stop_id],"Não encontrado")</f>
        <v/>
      </c>
      <c r="E721" t="n">
        <v>78</v>
      </c>
    </row>
    <row r="722">
      <c r="A722">
        <f>_xlfn.XLOOKUP("351F-10-1",Trip[trip_id],Trip[trip_id],"Não encontrado")</f>
        <v/>
      </c>
      <c r="B722" s="53" t="n">
        <v>0.7542361111111111</v>
      </c>
      <c r="C722" s="53" t="n">
        <v>0.7542361111111111</v>
      </c>
      <c r="D722">
        <f>_xlfn.XLOOKUP(940003728,Stops[stop_id],Stops[stop_id],"Não encontrado")</f>
        <v/>
      </c>
      <c r="E722" t="n">
        <v>79</v>
      </c>
    </row>
    <row r="723">
      <c r="A723">
        <f>_xlfn.XLOOKUP("351F-10-1",Trip[trip_id],Trip[trip_id],"Não encontrado")</f>
        <v/>
      </c>
      <c r="B723" s="53" t="n">
        <v>0.7553587962962963</v>
      </c>
      <c r="C723" s="53" t="n">
        <v>0.7553587962962963</v>
      </c>
      <c r="D723">
        <f>_xlfn.XLOOKUP(940003726,Stops[stop_id],Stops[stop_id],"Não encontrado")</f>
        <v/>
      </c>
      <c r="E723" t="n">
        <v>80</v>
      </c>
    </row>
    <row r="724">
      <c r="A724">
        <f>_xlfn.XLOOKUP("351F-10-1",Trip[trip_id],Trip[trip_id],"Não encontrado")</f>
        <v/>
      </c>
      <c r="B724" s="53" t="n">
        <v>0.7564814814814815</v>
      </c>
      <c r="C724" s="53" t="n">
        <v>0.7564814814814815</v>
      </c>
      <c r="D724">
        <f>_xlfn.XLOOKUP(940003724,Stops[stop_id],Stops[stop_id],"Não encontrado")</f>
        <v/>
      </c>
      <c r="E724" t="n">
        <v>81</v>
      </c>
    </row>
    <row r="725">
      <c r="A725">
        <f>_xlfn.XLOOKUP("351F-10-1",Trip[trip_id],Trip[trip_id],"Não encontrado")</f>
        <v/>
      </c>
      <c r="B725" s="53" t="n">
        <v>0.7576041666666666</v>
      </c>
      <c r="C725" s="53" t="n">
        <v>0.7576041666666666</v>
      </c>
      <c r="D725">
        <f>_xlfn.XLOOKUP(940003721,Stops[stop_id],Stops[stop_id],"Não encontrado")</f>
        <v/>
      </c>
      <c r="E725" t="n">
        <v>82</v>
      </c>
    </row>
    <row r="726">
      <c r="A726">
        <f>_xlfn.XLOOKUP("351F-10-1",Trip[trip_id],Trip[trip_id],"Não encontrado")</f>
        <v/>
      </c>
      <c r="B726" s="53" t="n">
        <v>0.7587268518518518</v>
      </c>
      <c r="C726" s="53" t="n">
        <v>0.7587268518518518</v>
      </c>
      <c r="D726">
        <f>_xlfn.XLOOKUP(940003717,Stops[stop_id],Stops[stop_id],"Não encontrado")</f>
        <v/>
      </c>
      <c r="E726" t="n">
        <v>83</v>
      </c>
    </row>
    <row r="727">
      <c r="A727">
        <f>_xlfn.XLOOKUP("351F-10-1",Trip[trip_id],Trip[trip_id],"Não encontrado")</f>
        <v/>
      </c>
      <c r="B727" s="53" t="n">
        <v>0.7598495370370371</v>
      </c>
      <c r="C727" s="53" t="n">
        <v>0.7598495370370371</v>
      </c>
      <c r="D727">
        <f>_xlfn.XLOOKUP(940003715,Stops[stop_id],Stops[stop_id],"Não encontrado")</f>
        <v/>
      </c>
      <c r="E727" t="n">
        <v>84</v>
      </c>
    </row>
    <row r="728">
      <c r="A728">
        <f>_xlfn.XLOOKUP("351F-10-1",Trip[trip_id],Trip[trip_id],"Não encontrado")</f>
        <v/>
      </c>
      <c r="B728" s="53" t="n">
        <v>0.7609722222222223</v>
      </c>
      <c r="C728" s="53" t="n">
        <v>0.7609722222222223</v>
      </c>
      <c r="D728">
        <f>_xlfn.XLOOKUP(9412669,Stops[stop_id],Stops[stop_id],"Não encontrado")</f>
        <v/>
      </c>
      <c r="E728" t="n">
        <v>85</v>
      </c>
    </row>
    <row r="729">
      <c r="A729">
        <f>_xlfn.XLOOKUP("351F-10-1",Trip[trip_id],Trip[trip_id],"Não encontrado")</f>
        <v/>
      </c>
      <c r="B729" s="53" t="n">
        <v>0.7620949074074074</v>
      </c>
      <c r="C729" s="53" t="n">
        <v>0.7620949074074074</v>
      </c>
      <c r="D729">
        <f>_xlfn.XLOOKUP(940003756,Stops[stop_id],Stops[stop_id],"Não encontrado")</f>
        <v/>
      </c>
      <c r="E729" t="n">
        <v>86</v>
      </c>
    </row>
    <row r="730">
      <c r="A730">
        <f>_xlfn.XLOOKUP("351F-10-1",Trip[trip_id],Trip[trip_id],"Não encontrado")</f>
        <v/>
      </c>
      <c r="B730" s="53" t="n">
        <v>0.7632175925925926</v>
      </c>
      <c r="C730" s="53" t="n">
        <v>0.7632175925925926</v>
      </c>
      <c r="D730">
        <f>_xlfn.XLOOKUP(940003688,Stops[stop_id],Stops[stop_id],"Não encontrado")</f>
        <v/>
      </c>
      <c r="E730" t="n">
        <v>87</v>
      </c>
    </row>
    <row r="731">
      <c r="A731">
        <f>_xlfn.XLOOKUP("351F-10-1",Trip[trip_id],Trip[trip_id],"Não encontrado")</f>
        <v/>
      </c>
      <c r="B731" s="53" t="n">
        <v>0.7643402777777778</v>
      </c>
      <c r="C731" s="53" t="n">
        <v>0.7643402777777778</v>
      </c>
      <c r="D731">
        <f>_xlfn.XLOOKUP(940003690,Stops[stop_id],Stops[stop_id],"Não encontrado")</f>
        <v/>
      </c>
      <c r="E731" t="n">
        <v>88</v>
      </c>
    </row>
    <row r="732">
      <c r="A732">
        <f>_xlfn.XLOOKUP("351F-10-1",Trip[trip_id],Trip[trip_id],"Não encontrado")</f>
        <v/>
      </c>
      <c r="B732" s="53" t="n">
        <v>0.765462962962963</v>
      </c>
      <c r="C732" s="53" t="n">
        <v>0.765462962962963</v>
      </c>
      <c r="D732">
        <f>_xlfn.XLOOKUP(380003692,Stops[stop_id],Stops[stop_id],"Não encontrado")</f>
        <v/>
      </c>
      <c r="E732" t="n">
        <v>89</v>
      </c>
    </row>
    <row r="733">
      <c r="A733">
        <f>_xlfn.XLOOKUP("351F-10-1",Trip[trip_id],Trip[trip_id],"Não encontrado")</f>
        <v/>
      </c>
      <c r="B733" s="53" t="n">
        <v>0.7665856481481481</v>
      </c>
      <c r="C733" s="53" t="n">
        <v>0.7665856481481481</v>
      </c>
      <c r="D733">
        <f>_xlfn.XLOOKUP(380003694,Stops[stop_id],Stops[stop_id],"Não encontrado")</f>
        <v/>
      </c>
      <c r="E733" t="n">
        <v>90</v>
      </c>
    </row>
    <row r="734">
      <c r="A734">
        <f>_xlfn.XLOOKUP("351F-10-1",Trip[trip_id],Trip[trip_id],"Não encontrado")</f>
        <v/>
      </c>
      <c r="B734" s="53" t="n">
        <v>0.7677083333333333</v>
      </c>
      <c r="C734" s="53" t="n">
        <v>0.7677083333333333</v>
      </c>
      <c r="D734">
        <f>_xlfn.XLOOKUP(3812764,Stops[stop_id],Stops[stop_id],"Não encontrado")</f>
        <v/>
      </c>
      <c r="E734" t="n">
        <v>91</v>
      </c>
    </row>
    <row r="735">
      <c r="A735">
        <f>_xlfn.XLOOKUP("351F-10-1",Trip[trip_id],Trip[trip_id],"Não encontrado")</f>
        <v/>
      </c>
      <c r="B735" s="53" t="n">
        <v>0.7688310185185185</v>
      </c>
      <c r="C735" s="53" t="n">
        <v>0.7688310185185185</v>
      </c>
      <c r="D735">
        <f>_xlfn.XLOOKUP(380003705,Stops[stop_id],Stops[stop_id],"Não encontrado")</f>
        <v/>
      </c>
      <c r="E735" t="n">
        <v>92</v>
      </c>
    </row>
    <row r="736">
      <c r="A736">
        <f>_xlfn.XLOOKUP("351F-10-1",Trip[trip_id],Trip[trip_id],"Não encontrado")</f>
        <v/>
      </c>
      <c r="B736" s="53" t="n">
        <v>0.7699537037037038</v>
      </c>
      <c r="C736" s="53" t="n">
        <v>0.7699537037037038</v>
      </c>
      <c r="D736">
        <f>_xlfn.XLOOKUP(380004308,Stops[stop_id],Stops[stop_id],"Não encontrado")</f>
        <v/>
      </c>
      <c r="E736" t="n">
        <v>93</v>
      </c>
    </row>
    <row r="737">
      <c r="A737">
        <f>_xlfn.XLOOKUP("351F-10-1",Trip[trip_id],Trip[trip_id],"Não encontrado")</f>
        <v/>
      </c>
      <c r="B737" s="53" t="n">
        <v>0.7710763888888889</v>
      </c>
      <c r="C737" s="53" t="n">
        <v>0.7710763888888889</v>
      </c>
      <c r="D737">
        <f>_xlfn.XLOOKUP(380004306,Stops[stop_id],Stops[stop_id],"Não encontrado")</f>
        <v/>
      </c>
      <c r="E737" t="n">
        <v>94</v>
      </c>
    </row>
    <row r="738">
      <c r="A738">
        <f>_xlfn.XLOOKUP("351F-10-1",Trip[trip_id],Trip[trip_id],"Não encontrado")</f>
        <v/>
      </c>
      <c r="B738" s="53" t="n">
        <v>0.7721990740740741</v>
      </c>
      <c r="C738" s="53" t="n">
        <v>0.7721990740740741</v>
      </c>
      <c r="D738">
        <f>_xlfn.XLOOKUP(380004054,Stops[stop_id],Stops[stop_id],"Não encontrado")</f>
        <v/>
      </c>
      <c r="E738" t="n">
        <v>95</v>
      </c>
    </row>
    <row r="739">
      <c r="A739">
        <f>_xlfn.XLOOKUP("351F-10-1",Trip[trip_id],Trip[trip_id],"Não encontrado")</f>
        <v/>
      </c>
      <c r="B739" s="53" t="n">
        <v>0.7733217592592593</v>
      </c>
      <c r="C739" s="53" t="n">
        <v>0.7733217592592593</v>
      </c>
      <c r="D739">
        <f>_xlfn.XLOOKUP(380004233,Stops[stop_id],Stops[stop_id],"Não encontrado")</f>
        <v/>
      </c>
      <c r="E739" t="n">
        <v>96</v>
      </c>
    </row>
    <row r="740">
      <c r="A740">
        <f>_xlfn.XLOOKUP("351F-10-1",Trip[trip_id],Trip[trip_id],"Não encontrado")</f>
        <v/>
      </c>
      <c r="B740" s="53" t="n">
        <v>0.7744444444444445</v>
      </c>
      <c r="C740" s="53" t="n">
        <v>0.7744444444444445</v>
      </c>
      <c r="D740">
        <f>_xlfn.XLOOKUP(380004232,Stops[stop_id],Stops[stop_id],"Não encontrado")</f>
        <v/>
      </c>
      <c r="E740" t="n">
        <v>97</v>
      </c>
    </row>
    <row r="741">
      <c r="A741">
        <f>_xlfn.XLOOKUP("351F-10-1",Trip[trip_id],Trip[trip_id],"Não encontrado")</f>
        <v/>
      </c>
      <c r="B741" s="53" t="n">
        <v>0.7755671296296296</v>
      </c>
      <c r="C741" s="53" t="n">
        <v>0.7755671296296296</v>
      </c>
      <c r="D741">
        <f>_xlfn.XLOOKUP(380004373,Stops[stop_id],Stops[stop_id],"Não encontrado")</f>
        <v/>
      </c>
      <c r="E741" t="n">
        <v>98</v>
      </c>
    </row>
    <row r="742">
      <c r="A742">
        <f>_xlfn.XLOOKUP("351F-10-1",Trip[trip_id],Trip[trip_id],"Não encontrado")</f>
        <v/>
      </c>
      <c r="B742" s="53" t="n">
        <v>0.7766898148148148</v>
      </c>
      <c r="C742" s="53" t="n">
        <v>0.7766898148148148</v>
      </c>
      <c r="D742">
        <f>_xlfn.XLOOKUP(380004219,Stops[stop_id],Stops[stop_id],"Não encontrado")</f>
        <v/>
      </c>
      <c r="E742" t="n">
        <v>99</v>
      </c>
    </row>
    <row r="743">
      <c r="A743">
        <f>_xlfn.XLOOKUP("351F-10-1",Trip[trip_id],Trip[trip_id],"Não encontrado")</f>
        <v/>
      </c>
      <c r="B743" s="53" t="n">
        <v>0.7798611111111111</v>
      </c>
      <c r="C743" s="53" t="n">
        <v>0.7798611111111111</v>
      </c>
      <c r="D743">
        <f>_xlfn.XLOOKUP(380004223,Stops[stop_id],Stops[stop_id],"Não encontrado")</f>
        <v/>
      </c>
      <c r="E743" t="n">
        <v>100</v>
      </c>
    </row>
    <row r="744">
      <c r="A744">
        <f>_xlfn.XLOOKUP("372U-10-0",Trip[trip_id],Trip[trip_id],"Não encontrado")</f>
        <v/>
      </c>
      <c r="B744" s="53" t="n">
        <v>0.7083333333333334</v>
      </c>
      <c r="C744" s="53" t="n">
        <v>0.7083333333333334</v>
      </c>
      <c r="D744">
        <f>_xlfn.XLOOKUP(200008614,Stops[stop_id],Stops[stop_id],"Não encontrado")</f>
        <v/>
      </c>
      <c r="E744" t="n">
        <v>1</v>
      </c>
    </row>
    <row r="745">
      <c r="A745">
        <f>_xlfn.XLOOKUP("372U-10-0",Trip[trip_id],Trip[trip_id],"Não encontrado")</f>
        <v/>
      </c>
      <c r="B745" s="53" t="n">
        <v>0.7095254629629629</v>
      </c>
      <c r="C745" s="53" t="n">
        <v>0.7095254629629629</v>
      </c>
      <c r="D745">
        <f>_xlfn.XLOOKUP(200008615,Stops[stop_id],Stops[stop_id],"Não encontrado")</f>
        <v/>
      </c>
      <c r="E745" t="n">
        <v>2</v>
      </c>
    </row>
    <row r="746">
      <c r="A746">
        <f>_xlfn.XLOOKUP("372U-10-0",Trip[trip_id],Trip[trip_id],"Não encontrado")</f>
        <v/>
      </c>
      <c r="B746" s="53" t="n">
        <v>0.7107175925925926</v>
      </c>
      <c r="C746" s="53" t="n">
        <v>0.7107175925925926</v>
      </c>
      <c r="D746">
        <f>_xlfn.XLOOKUP(2009282,Stops[stop_id],Stops[stop_id],"Não encontrado")</f>
        <v/>
      </c>
      <c r="E746" t="n">
        <v>3</v>
      </c>
    </row>
    <row r="747">
      <c r="A747">
        <f>_xlfn.XLOOKUP("372U-10-0",Trip[trip_id],Trip[trip_id],"Não encontrado")</f>
        <v/>
      </c>
      <c r="B747" s="53" t="n">
        <v>0.7119097222222223</v>
      </c>
      <c r="C747" s="53" t="n">
        <v>0.7119097222222223</v>
      </c>
      <c r="D747">
        <f>_xlfn.XLOOKUP(200008617,Stops[stop_id],Stops[stop_id],"Não encontrado")</f>
        <v/>
      </c>
      <c r="E747" t="n">
        <v>4</v>
      </c>
    </row>
    <row r="748">
      <c r="A748">
        <f>_xlfn.XLOOKUP("372U-10-0",Trip[trip_id],Trip[trip_id],"Não encontrado")</f>
        <v/>
      </c>
      <c r="B748" s="53" t="n">
        <v>0.7131018518518518</v>
      </c>
      <c r="C748" s="53" t="n">
        <v>0.7131018518518518</v>
      </c>
      <c r="D748">
        <f>_xlfn.XLOOKUP(2009285,Stops[stop_id],Stops[stop_id],"Não encontrado")</f>
        <v/>
      </c>
      <c r="E748" t="n">
        <v>5</v>
      </c>
    </row>
    <row r="749">
      <c r="A749">
        <f>_xlfn.XLOOKUP("372U-10-0",Trip[trip_id],Trip[trip_id],"Não encontrado")</f>
        <v/>
      </c>
      <c r="B749" s="53" t="n">
        <v>0.7142939814814815</v>
      </c>
      <c r="C749" s="53" t="n">
        <v>0.7142939814814815</v>
      </c>
      <c r="D749">
        <f>_xlfn.XLOOKUP(200008629,Stops[stop_id],Stops[stop_id],"Não encontrado")</f>
        <v/>
      </c>
      <c r="E749" t="n">
        <v>6</v>
      </c>
    </row>
    <row r="750">
      <c r="A750">
        <f>_xlfn.XLOOKUP("372U-10-0",Trip[trip_id],Trip[trip_id],"Não encontrado")</f>
        <v/>
      </c>
      <c r="B750" s="53" t="n">
        <v>0.7154861111111112</v>
      </c>
      <c r="C750" s="53" t="n">
        <v>0.7154861111111112</v>
      </c>
      <c r="D750">
        <f>_xlfn.XLOOKUP(2009247,Stops[stop_id],Stops[stop_id],"Não encontrado")</f>
        <v/>
      </c>
      <c r="E750" t="n">
        <v>7</v>
      </c>
    </row>
    <row r="751">
      <c r="A751">
        <f>_xlfn.XLOOKUP("372U-10-0",Trip[trip_id],Trip[trip_id],"Não encontrado")</f>
        <v/>
      </c>
      <c r="B751" s="53" t="n">
        <v>0.7166782407407407</v>
      </c>
      <c r="C751" s="53" t="n">
        <v>0.7166782407407407</v>
      </c>
      <c r="D751">
        <f>_xlfn.XLOOKUP(200008631,Stops[stop_id],Stops[stop_id],"Não encontrado")</f>
        <v/>
      </c>
      <c r="E751" t="n">
        <v>8</v>
      </c>
    </row>
    <row r="752">
      <c r="A752">
        <f>_xlfn.XLOOKUP("372U-10-0",Trip[trip_id],Trip[trip_id],"Não encontrado")</f>
        <v/>
      </c>
      <c r="B752" s="53" t="n">
        <v>0.7178703703703704</v>
      </c>
      <c r="C752" s="53" t="n">
        <v>0.7178703703703704</v>
      </c>
      <c r="D752">
        <f>_xlfn.XLOOKUP(200008632,Stops[stop_id],Stops[stop_id],"Não encontrado")</f>
        <v/>
      </c>
      <c r="E752" t="n">
        <v>9</v>
      </c>
    </row>
    <row r="753">
      <c r="A753">
        <f>_xlfn.XLOOKUP("372U-10-0",Trip[trip_id],Trip[trip_id],"Não encontrado")</f>
        <v/>
      </c>
      <c r="B753" s="53" t="n">
        <v>0.7190625</v>
      </c>
      <c r="C753" s="53" t="n">
        <v>0.7190625</v>
      </c>
      <c r="D753">
        <f>_xlfn.XLOOKUP(870008634,Stops[stop_id],Stops[stop_id],"Não encontrado")</f>
        <v/>
      </c>
      <c r="E753" t="n">
        <v>10</v>
      </c>
    </row>
    <row r="754">
      <c r="A754">
        <f>_xlfn.XLOOKUP("372U-10-0",Trip[trip_id],Trip[trip_id],"Não encontrado")</f>
        <v/>
      </c>
      <c r="B754" s="53" t="n">
        <v>0.7202546296296296</v>
      </c>
      <c r="C754" s="53" t="n">
        <v>0.7202546296296296</v>
      </c>
      <c r="D754">
        <f>_xlfn.XLOOKUP(870008644,Stops[stop_id],Stops[stop_id],"Não encontrado")</f>
        <v/>
      </c>
      <c r="E754" t="n">
        <v>11</v>
      </c>
    </row>
    <row r="755">
      <c r="A755">
        <f>_xlfn.XLOOKUP("372U-10-0",Trip[trip_id],Trip[trip_id],"Não encontrado")</f>
        <v/>
      </c>
      <c r="B755" s="53" t="n">
        <v>0.7214467592592593</v>
      </c>
      <c r="C755" s="53" t="n">
        <v>0.7214467592592593</v>
      </c>
      <c r="D755">
        <f>_xlfn.XLOOKUP(8704808,Stops[stop_id],Stops[stop_id],"Não encontrado")</f>
        <v/>
      </c>
      <c r="E755" t="n">
        <v>12</v>
      </c>
    </row>
    <row r="756">
      <c r="A756">
        <f>_xlfn.XLOOKUP("372U-10-0",Trip[trip_id],Trip[trip_id],"Não encontrado")</f>
        <v/>
      </c>
      <c r="B756" s="53" t="n">
        <v>0.7226388888888889</v>
      </c>
      <c r="C756" s="53" t="n">
        <v>0.7226388888888889</v>
      </c>
      <c r="D756">
        <f>_xlfn.XLOOKUP(870008645,Stops[stop_id],Stops[stop_id],"Não encontrado")</f>
        <v/>
      </c>
      <c r="E756" t="n">
        <v>13</v>
      </c>
    </row>
    <row r="757">
      <c r="A757">
        <f>_xlfn.XLOOKUP("372U-10-0",Trip[trip_id],Trip[trip_id],"Não encontrado")</f>
        <v/>
      </c>
      <c r="B757" s="53" t="n">
        <v>0.7238310185185185</v>
      </c>
      <c r="C757" s="53" t="n">
        <v>0.7238310185185185</v>
      </c>
      <c r="D757">
        <f>_xlfn.XLOOKUP(870008648,Stops[stop_id],Stops[stop_id],"Não encontrado")</f>
        <v/>
      </c>
      <c r="E757" t="n">
        <v>14</v>
      </c>
    </row>
    <row r="758">
      <c r="A758">
        <f>_xlfn.XLOOKUP("372U-10-0",Trip[trip_id],Trip[trip_id],"Não encontrado")</f>
        <v/>
      </c>
      <c r="B758" s="53" t="n">
        <v>0.7250231481481482</v>
      </c>
      <c r="C758" s="53" t="n">
        <v>0.7250231481481482</v>
      </c>
      <c r="D758">
        <f>_xlfn.XLOOKUP(870008649,Stops[stop_id],Stops[stop_id],"Não encontrado")</f>
        <v/>
      </c>
      <c r="E758" t="n">
        <v>15</v>
      </c>
    </row>
    <row r="759">
      <c r="A759">
        <f>_xlfn.XLOOKUP("372U-10-0",Trip[trip_id],Trip[trip_id],"Não encontrado")</f>
        <v/>
      </c>
      <c r="B759" s="53" t="n">
        <v>0.7262152777777777</v>
      </c>
      <c r="C759" s="53" t="n">
        <v>0.7262152777777777</v>
      </c>
      <c r="D759">
        <f>_xlfn.XLOOKUP(870008667,Stops[stop_id],Stops[stop_id],"Não encontrado")</f>
        <v/>
      </c>
      <c r="E759" t="n">
        <v>16</v>
      </c>
    </row>
    <row r="760">
      <c r="A760">
        <f>_xlfn.XLOOKUP("372U-10-0",Trip[trip_id],Trip[trip_id],"Não encontrado")</f>
        <v/>
      </c>
      <c r="B760" s="53" t="n">
        <v>0.7274074074074074</v>
      </c>
      <c r="C760" s="53" t="n">
        <v>0.7274074074074074</v>
      </c>
      <c r="D760">
        <f>_xlfn.XLOOKUP(870012612,Stops[stop_id],Stops[stop_id],"Não encontrado")</f>
        <v/>
      </c>
      <c r="E760" t="n">
        <v>17</v>
      </c>
    </row>
    <row r="761">
      <c r="A761">
        <f>_xlfn.XLOOKUP("372U-10-0",Trip[trip_id],Trip[trip_id],"Não encontrado")</f>
        <v/>
      </c>
      <c r="B761" s="53" t="n">
        <v>0.7285995370370371</v>
      </c>
      <c r="C761" s="53" t="n">
        <v>0.7285995370370371</v>
      </c>
      <c r="D761">
        <f>_xlfn.XLOOKUP(870012602,Stops[stop_id],Stops[stop_id],"Não encontrado")</f>
        <v/>
      </c>
      <c r="E761" t="n">
        <v>18</v>
      </c>
    </row>
    <row r="762">
      <c r="A762">
        <f>_xlfn.XLOOKUP("372U-10-0",Trip[trip_id],Trip[trip_id],"Não encontrado")</f>
        <v/>
      </c>
      <c r="B762" s="53" t="n">
        <v>0.7297916666666666</v>
      </c>
      <c r="C762" s="53" t="n">
        <v>0.7297916666666666</v>
      </c>
      <c r="D762">
        <f>_xlfn.XLOOKUP(870012180,Stops[stop_id],Stops[stop_id],"Não encontrado")</f>
        <v/>
      </c>
      <c r="E762" t="n">
        <v>19</v>
      </c>
    </row>
    <row r="763">
      <c r="A763">
        <f>_xlfn.XLOOKUP("372U-10-0",Trip[trip_id],Trip[trip_id],"Não encontrado")</f>
        <v/>
      </c>
      <c r="B763" s="53" t="n">
        <v>0.7309837962962963</v>
      </c>
      <c r="C763" s="53" t="n">
        <v>0.7309837962962963</v>
      </c>
      <c r="D763">
        <f>_xlfn.XLOOKUP(870008707,Stops[stop_id],Stops[stop_id],"Não encontrado")</f>
        <v/>
      </c>
      <c r="E763" t="n">
        <v>20</v>
      </c>
    </row>
    <row r="764">
      <c r="A764">
        <f>_xlfn.XLOOKUP("372U-10-0",Trip[trip_id],Trip[trip_id],"Não encontrado")</f>
        <v/>
      </c>
      <c r="B764" s="53" t="n">
        <v>0.732175925925926</v>
      </c>
      <c r="C764" s="53" t="n">
        <v>0.732175925925926</v>
      </c>
      <c r="D764">
        <f>_xlfn.XLOOKUP(870008709,Stops[stop_id],Stops[stop_id],"Não encontrado")</f>
        <v/>
      </c>
      <c r="E764" t="n">
        <v>21</v>
      </c>
    </row>
    <row r="765">
      <c r="A765">
        <f>_xlfn.XLOOKUP("372U-10-0",Trip[trip_id],Trip[trip_id],"Não encontrado")</f>
        <v/>
      </c>
      <c r="B765" s="53" t="n">
        <v>0.7333680555555555</v>
      </c>
      <c r="C765" s="53" t="n">
        <v>0.7333680555555555</v>
      </c>
      <c r="D765">
        <f>_xlfn.XLOOKUP(8709761,Stops[stop_id],Stops[stop_id],"Não encontrado")</f>
        <v/>
      </c>
      <c r="E765" t="n">
        <v>22</v>
      </c>
    </row>
    <row r="766">
      <c r="A766">
        <f>_xlfn.XLOOKUP("372U-10-0",Trip[trip_id],Trip[trip_id],"Não encontrado")</f>
        <v/>
      </c>
      <c r="B766" s="53" t="n">
        <v>0.7345601851851852</v>
      </c>
      <c r="C766" s="53" t="n">
        <v>0.7345601851851852</v>
      </c>
      <c r="D766">
        <f>_xlfn.XLOOKUP(870008712,Stops[stop_id],Stops[stop_id],"Não encontrado")</f>
        <v/>
      </c>
      <c r="E766" t="n">
        <v>23</v>
      </c>
    </row>
    <row r="767">
      <c r="A767">
        <f>_xlfn.XLOOKUP("372U-10-0",Trip[trip_id],Trip[trip_id],"Não encontrado")</f>
        <v/>
      </c>
      <c r="B767" s="53" t="n">
        <v>0.7357523148148148</v>
      </c>
      <c r="C767" s="53" t="n">
        <v>0.7357523148148148</v>
      </c>
      <c r="D767">
        <f>_xlfn.XLOOKUP(870008842,Stops[stop_id],Stops[stop_id],"Não encontrado")</f>
        <v/>
      </c>
      <c r="E767" t="n">
        <v>24</v>
      </c>
    </row>
    <row r="768">
      <c r="A768">
        <f>_xlfn.XLOOKUP("372U-10-0",Trip[trip_id],Trip[trip_id],"Não encontrado")</f>
        <v/>
      </c>
      <c r="B768" s="53" t="n">
        <v>0.7369444444444444</v>
      </c>
      <c r="C768" s="53" t="n">
        <v>0.7369444444444444</v>
      </c>
      <c r="D768">
        <f>_xlfn.XLOOKUP(870008839,Stops[stop_id],Stops[stop_id],"Não encontrado")</f>
        <v/>
      </c>
      <c r="E768" t="n">
        <v>25</v>
      </c>
    </row>
    <row r="769">
      <c r="A769">
        <f>_xlfn.XLOOKUP("372U-10-0",Trip[trip_id],Trip[trip_id],"Não encontrado")</f>
        <v/>
      </c>
      <c r="B769" s="53" t="n">
        <v>0.7381365740740741</v>
      </c>
      <c r="C769" s="53" t="n">
        <v>0.7381365740740741</v>
      </c>
      <c r="D769">
        <f>_xlfn.XLOOKUP(820012169,Stops[stop_id],Stops[stop_id],"Não encontrado")</f>
        <v/>
      </c>
      <c r="E769" t="n">
        <v>26</v>
      </c>
    </row>
    <row r="770">
      <c r="A770">
        <f>_xlfn.XLOOKUP("372U-10-0",Trip[trip_id],Trip[trip_id],"Não encontrado")</f>
        <v/>
      </c>
      <c r="B770" s="53" t="n">
        <v>0.7393287037037037</v>
      </c>
      <c r="C770" s="53" t="n">
        <v>0.7393287037037037</v>
      </c>
      <c r="D770">
        <f>_xlfn.XLOOKUP(820012166,Stops[stop_id],Stops[stop_id],"Não encontrado")</f>
        <v/>
      </c>
      <c r="E770" t="n">
        <v>27</v>
      </c>
    </row>
    <row r="771">
      <c r="A771">
        <f>_xlfn.XLOOKUP("372U-10-0",Trip[trip_id],Trip[trip_id],"Não encontrado")</f>
        <v/>
      </c>
      <c r="B771" s="53" t="n">
        <v>0.7405208333333333</v>
      </c>
      <c r="C771" s="53" t="n">
        <v>0.7405208333333333</v>
      </c>
      <c r="D771">
        <f>_xlfn.XLOOKUP(820008836,Stops[stop_id],Stops[stop_id],"Não encontrado")</f>
        <v/>
      </c>
      <c r="E771" t="n">
        <v>28</v>
      </c>
    </row>
    <row r="772">
      <c r="A772">
        <f>_xlfn.XLOOKUP("372U-10-0",Trip[trip_id],Trip[trip_id],"Não encontrado")</f>
        <v/>
      </c>
      <c r="B772" s="53" t="n">
        <v>0.741712962962963</v>
      </c>
      <c r="C772" s="53" t="n">
        <v>0.741712962962963</v>
      </c>
      <c r="D772">
        <f>_xlfn.XLOOKUP(870008834,Stops[stop_id],Stops[stop_id],"Não encontrado")</f>
        <v/>
      </c>
      <c r="E772" t="n">
        <v>29</v>
      </c>
    </row>
    <row r="773">
      <c r="A773">
        <f>_xlfn.XLOOKUP("372U-10-0",Trip[trip_id],Trip[trip_id],"Não encontrado")</f>
        <v/>
      </c>
      <c r="B773" s="53" t="n">
        <v>0.7429050925925926</v>
      </c>
      <c r="C773" s="53" t="n">
        <v>0.7429050925925926</v>
      </c>
      <c r="D773">
        <f>_xlfn.XLOOKUP(10008831,Stops[stop_id],Stops[stop_id],"Não encontrado")</f>
        <v/>
      </c>
      <c r="E773" t="n">
        <v>30</v>
      </c>
    </row>
    <row r="774">
      <c r="A774">
        <f>_xlfn.XLOOKUP("372U-10-0",Trip[trip_id],Trip[trip_id],"Não encontrado")</f>
        <v/>
      </c>
      <c r="B774" s="53" t="n">
        <v>0.7440972222222222</v>
      </c>
      <c r="C774" s="53" t="n">
        <v>0.7440972222222222</v>
      </c>
      <c r="D774">
        <f>_xlfn.XLOOKUP(8210213,Stops[stop_id],Stops[stop_id],"Não encontrado")</f>
        <v/>
      </c>
      <c r="E774" t="n">
        <v>31</v>
      </c>
    </row>
    <row r="775">
      <c r="A775">
        <f>_xlfn.XLOOKUP("372U-10-0",Trip[trip_id],Trip[trip_id],"Não encontrado")</f>
        <v/>
      </c>
      <c r="B775" s="53" t="n">
        <v>0.7452893518518519</v>
      </c>
      <c r="C775" s="53" t="n">
        <v>0.7452893518518519</v>
      </c>
      <c r="D775">
        <f>_xlfn.XLOOKUP(820008845,Stops[stop_id],Stops[stop_id],"Não encontrado")</f>
        <v/>
      </c>
      <c r="E775" t="n">
        <v>32</v>
      </c>
    </row>
    <row r="776">
      <c r="A776">
        <f>_xlfn.XLOOKUP("372U-10-0",Trip[trip_id],Trip[trip_id],"Não encontrado")</f>
        <v/>
      </c>
      <c r="B776" s="53" t="n">
        <v>0.7464814814814815</v>
      </c>
      <c r="C776" s="53" t="n">
        <v>0.7464814814814815</v>
      </c>
      <c r="D776">
        <f>_xlfn.XLOOKUP(820008846,Stops[stop_id],Stops[stop_id],"Não encontrado")</f>
        <v/>
      </c>
      <c r="E776" t="n">
        <v>33</v>
      </c>
    </row>
    <row r="777">
      <c r="A777">
        <f>_xlfn.XLOOKUP("372U-10-0",Trip[trip_id],Trip[trip_id],"Não encontrado")</f>
        <v/>
      </c>
      <c r="B777" s="53" t="n">
        <v>0.7476736111111111</v>
      </c>
      <c r="C777" s="53" t="n">
        <v>0.7476736111111111</v>
      </c>
      <c r="D777">
        <f>_xlfn.XLOOKUP(820008812,Stops[stop_id],Stops[stop_id],"Não encontrado")</f>
        <v/>
      </c>
      <c r="E777" t="n">
        <v>34</v>
      </c>
    </row>
    <row r="778">
      <c r="A778">
        <f>_xlfn.XLOOKUP("372U-10-0",Trip[trip_id],Trip[trip_id],"Não encontrado")</f>
        <v/>
      </c>
      <c r="B778" s="53" t="n">
        <v>0.7488657407407407</v>
      </c>
      <c r="C778" s="53" t="n">
        <v>0.7488657407407407</v>
      </c>
      <c r="D778">
        <f>_xlfn.XLOOKUP(8210261,Stops[stop_id],Stops[stop_id],"Não encontrado")</f>
        <v/>
      </c>
      <c r="E778" t="n">
        <v>35</v>
      </c>
    </row>
    <row r="779">
      <c r="A779">
        <f>_xlfn.XLOOKUP("372U-10-0",Trip[trip_id],Trip[trip_id],"Não encontrado")</f>
        <v/>
      </c>
      <c r="B779" s="53" t="n">
        <v>0.7513888888888889</v>
      </c>
      <c r="C779" s="53" t="n">
        <v>0.7513888888888889</v>
      </c>
      <c r="D779">
        <f>_xlfn.XLOOKUP(8210188,Stops[stop_id],Stops[stop_id],"Não encontrado")</f>
        <v/>
      </c>
      <c r="E779" t="n">
        <v>36</v>
      </c>
    </row>
    <row r="780">
      <c r="A780">
        <f>_xlfn.XLOOKUP("372U-10-1",Trip[trip_id],Trip[trip_id],"Não encontrado")</f>
        <v/>
      </c>
      <c r="B780" s="53" t="n">
        <v>0.7083333333333334</v>
      </c>
      <c r="C780" s="53" t="n">
        <v>0.7083333333333334</v>
      </c>
      <c r="D780">
        <f>_xlfn.XLOOKUP(8210188,Stops[stop_id],Stops[stop_id],"Não encontrado")</f>
        <v/>
      </c>
      <c r="E780" t="n">
        <v>1</v>
      </c>
    </row>
    <row r="781">
      <c r="A781">
        <f>_xlfn.XLOOKUP("372U-10-1",Trip[trip_id],Trip[trip_id],"Não encontrado")</f>
        <v/>
      </c>
      <c r="B781" s="53" t="n">
        <v>0.7094328703703704</v>
      </c>
      <c r="C781" s="53" t="n">
        <v>0.7094328703703704</v>
      </c>
      <c r="D781">
        <f>_xlfn.XLOOKUP(820008420,Stops[stop_id],Stops[stop_id],"Não encontrado")</f>
        <v/>
      </c>
      <c r="E781" t="n">
        <v>2</v>
      </c>
    </row>
    <row r="782">
      <c r="A782">
        <f>_xlfn.XLOOKUP("372U-10-1",Trip[trip_id],Trip[trip_id],"Não encontrado")</f>
        <v/>
      </c>
      <c r="B782" s="53" t="n">
        <v>0.7105324074074074</v>
      </c>
      <c r="C782" s="53" t="n">
        <v>0.7105324074074074</v>
      </c>
      <c r="D782">
        <f>_xlfn.XLOOKUP(820008486,Stops[stop_id],Stops[stop_id],"Não encontrado")</f>
        <v/>
      </c>
      <c r="E782" t="n">
        <v>3</v>
      </c>
    </row>
    <row r="783">
      <c r="A783">
        <f>_xlfn.XLOOKUP("372U-10-1",Trip[trip_id],Trip[trip_id],"Não encontrado")</f>
        <v/>
      </c>
      <c r="B783" s="53" t="n">
        <v>0.7116319444444444</v>
      </c>
      <c r="C783" s="53" t="n">
        <v>0.7116319444444444</v>
      </c>
      <c r="D783">
        <f>_xlfn.XLOOKUP(820008575,Stops[stop_id],Stops[stop_id],"Não encontrado")</f>
        <v/>
      </c>
      <c r="E783" t="n">
        <v>4</v>
      </c>
    </row>
    <row r="784">
      <c r="A784">
        <f>_xlfn.XLOOKUP("372U-10-1",Trip[trip_id],Trip[trip_id],"Não encontrado")</f>
        <v/>
      </c>
      <c r="B784" s="53" t="n">
        <v>0.7127314814814815</v>
      </c>
      <c r="C784" s="53" t="n">
        <v>0.7127314814814815</v>
      </c>
      <c r="D784">
        <f>_xlfn.XLOOKUP(109776,Stops[stop_id],Stops[stop_id],"Não encontrado")</f>
        <v/>
      </c>
      <c r="E784" t="n">
        <v>5</v>
      </c>
    </row>
    <row r="785">
      <c r="A785">
        <f>_xlfn.XLOOKUP("372U-10-1",Trip[trip_id],Trip[trip_id],"Não encontrado")</f>
        <v/>
      </c>
      <c r="B785" s="53" t="n">
        <v>0.7138310185185185</v>
      </c>
      <c r="C785" s="53" t="n">
        <v>0.7138310185185185</v>
      </c>
      <c r="D785">
        <f>_xlfn.XLOOKUP(10008832,Stops[stop_id],Stops[stop_id],"Não encontrado")</f>
        <v/>
      </c>
      <c r="E785" t="n">
        <v>6</v>
      </c>
    </row>
    <row r="786">
      <c r="A786">
        <f>_xlfn.XLOOKUP("372U-10-1",Trip[trip_id],Trip[trip_id],"Não encontrado")</f>
        <v/>
      </c>
      <c r="B786" s="53" t="n">
        <v>0.7149305555555555</v>
      </c>
      <c r="C786" s="53" t="n">
        <v>0.7149305555555555</v>
      </c>
      <c r="D786">
        <f>_xlfn.XLOOKUP(8709781,Stops[stop_id],Stops[stop_id],"Não encontrado")</f>
        <v/>
      </c>
      <c r="E786" t="n">
        <v>7</v>
      </c>
    </row>
    <row r="787">
      <c r="A787">
        <f>_xlfn.XLOOKUP("372U-10-1",Trip[trip_id],Trip[trip_id],"Não encontrado")</f>
        <v/>
      </c>
      <c r="B787" s="53" t="n">
        <v>0.7160300925925925</v>
      </c>
      <c r="C787" s="53" t="n">
        <v>0.7160300925925925</v>
      </c>
      <c r="D787">
        <f>_xlfn.XLOOKUP(870008835,Stops[stop_id],Stops[stop_id],"Não encontrado")</f>
        <v/>
      </c>
      <c r="E787" t="n">
        <v>8</v>
      </c>
    </row>
    <row r="788">
      <c r="A788">
        <f>_xlfn.XLOOKUP("372U-10-1",Trip[trip_id],Trip[trip_id],"Não encontrado")</f>
        <v/>
      </c>
      <c r="B788" s="53" t="n">
        <v>0.7171296296296297</v>
      </c>
      <c r="C788" s="53" t="n">
        <v>0.7171296296296297</v>
      </c>
      <c r="D788">
        <f>_xlfn.XLOOKUP(870012167,Stops[stop_id],Stops[stop_id],"Não encontrado")</f>
        <v/>
      </c>
      <c r="E788" t="n">
        <v>9</v>
      </c>
    </row>
    <row r="789">
      <c r="A789">
        <f>_xlfn.XLOOKUP("372U-10-1",Trip[trip_id],Trip[trip_id],"Não encontrado")</f>
        <v/>
      </c>
      <c r="B789" s="53" t="n">
        <v>0.7182291666666667</v>
      </c>
      <c r="C789" s="53" t="n">
        <v>0.7182291666666667</v>
      </c>
      <c r="D789">
        <f>_xlfn.XLOOKUP(870012170,Stops[stop_id],Stops[stop_id],"Não encontrado")</f>
        <v/>
      </c>
      <c r="E789" t="n">
        <v>10</v>
      </c>
    </row>
    <row r="790">
      <c r="A790">
        <f>_xlfn.XLOOKUP("372U-10-1",Trip[trip_id],Trip[trip_id],"Não encontrado")</f>
        <v/>
      </c>
      <c r="B790" s="53" t="n">
        <v>0.7193287037037037</v>
      </c>
      <c r="C790" s="53" t="n">
        <v>0.7193287037037037</v>
      </c>
      <c r="D790">
        <f>_xlfn.XLOOKUP(8709759,Stops[stop_id],Stops[stop_id],"Não encontrado")</f>
        <v/>
      </c>
      <c r="E790" t="n">
        <v>11</v>
      </c>
    </row>
    <row r="791">
      <c r="A791">
        <f>_xlfn.XLOOKUP("372U-10-1",Trip[trip_id],Trip[trip_id],"Não encontrado")</f>
        <v/>
      </c>
      <c r="B791" s="53" t="n">
        <v>0.7204282407407407</v>
      </c>
      <c r="C791" s="53" t="n">
        <v>0.7204282407407407</v>
      </c>
      <c r="D791">
        <f>_xlfn.XLOOKUP(870008843,Stops[stop_id],Stops[stop_id],"Não encontrado")</f>
        <v/>
      </c>
      <c r="E791" t="n">
        <v>12</v>
      </c>
    </row>
    <row r="792">
      <c r="A792">
        <f>_xlfn.XLOOKUP("372U-10-1",Trip[trip_id],Trip[trip_id],"Não encontrado")</f>
        <v/>
      </c>
      <c r="B792" s="53" t="n">
        <v>0.7215277777777778</v>
      </c>
      <c r="C792" s="53" t="n">
        <v>0.7215277777777778</v>
      </c>
      <c r="D792">
        <f>_xlfn.XLOOKUP(8709725,Stops[stop_id],Stops[stop_id],"Não encontrado")</f>
        <v/>
      </c>
      <c r="E792" t="n">
        <v>13</v>
      </c>
    </row>
    <row r="793">
      <c r="A793">
        <f>_xlfn.XLOOKUP("372U-10-1",Trip[trip_id],Trip[trip_id],"Não encontrado")</f>
        <v/>
      </c>
      <c r="B793" s="53" t="n">
        <v>0.7226273148148148</v>
      </c>
      <c r="C793" s="53" t="n">
        <v>0.7226273148148148</v>
      </c>
      <c r="D793">
        <f>_xlfn.XLOOKUP(8709131,Stops[stop_id],Stops[stop_id],"Não encontrado")</f>
        <v/>
      </c>
      <c r="E793" t="n">
        <v>14</v>
      </c>
    </row>
    <row r="794">
      <c r="A794">
        <f>_xlfn.XLOOKUP("372U-10-1",Trip[trip_id],Trip[trip_id],"Não encontrado")</f>
        <v/>
      </c>
      <c r="B794" s="53" t="n">
        <v>0.7237268518518518</v>
      </c>
      <c r="C794" s="53" t="n">
        <v>0.7237268518518518</v>
      </c>
      <c r="D794">
        <f>_xlfn.XLOOKUP(8709757,Stops[stop_id],Stops[stop_id],"Não encontrado")</f>
        <v/>
      </c>
      <c r="E794" t="n">
        <v>15</v>
      </c>
    </row>
    <row r="795">
      <c r="A795">
        <f>_xlfn.XLOOKUP("372U-10-1",Trip[trip_id],Trip[trip_id],"Não encontrado")</f>
        <v/>
      </c>
      <c r="B795" s="53" t="n">
        <v>0.7248263888888888</v>
      </c>
      <c r="C795" s="53" t="n">
        <v>0.7248263888888888</v>
      </c>
      <c r="D795">
        <f>_xlfn.XLOOKUP(8709774,Stops[stop_id],Stops[stop_id],"Não encontrado")</f>
        <v/>
      </c>
      <c r="E795" t="n">
        <v>16</v>
      </c>
    </row>
    <row r="796">
      <c r="A796">
        <f>_xlfn.XLOOKUP("372U-10-1",Trip[trip_id],Trip[trip_id],"Não encontrado")</f>
        <v/>
      </c>
      <c r="B796" s="53" t="n">
        <v>0.725925925925926</v>
      </c>
      <c r="C796" s="53" t="n">
        <v>0.725925925925926</v>
      </c>
      <c r="D796">
        <f>_xlfn.XLOOKUP(8709775,Stops[stop_id],Stops[stop_id],"Não encontrado")</f>
        <v/>
      </c>
      <c r="E796" t="n">
        <v>17</v>
      </c>
    </row>
    <row r="797">
      <c r="A797">
        <f>_xlfn.XLOOKUP("372U-10-1",Trip[trip_id],Trip[trip_id],"Não encontrado")</f>
        <v/>
      </c>
      <c r="B797" s="53" t="n">
        <v>0.727025462962963</v>
      </c>
      <c r="C797" s="53" t="n">
        <v>0.727025462962963</v>
      </c>
      <c r="D797">
        <f>_xlfn.XLOOKUP(870008708,Stops[stop_id],Stops[stop_id],"Não encontrado")</f>
        <v/>
      </c>
      <c r="E797" t="n">
        <v>18</v>
      </c>
    </row>
    <row r="798">
      <c r="A798">
        <f>_xlfn.XLOOKUP("372U-10-1",Trip[trip_id],Trip[trip_id],"Não encontrado")</f>
        <v/>
      </c>
      <c r="B798" s="53" t="n">
        <v>0.728125</v>
      </c>
      <c r="C798" s="53" t="n">
        <v>0.728125</v>
      </c>
      <c r="D798">
        <f>_xlfn.XLOOKUP(870012601,Stops[stop_id],Stops[stop_id],"Não encontrado")</f>
        <v/>
      </c>
      <c r="E798" t="n">
        <v>19</v>
      </c>
    </row>
    <row r="799">
      <c r="A799">
        <f>_xlfn.XLOOKUP("372U-10-1",Trip[trip_id],Trip[trip_id],"Não encontrado")</f>
        <v/>
      </c>
      <c r="B799" s="53" t="n">
        <v>0.729224537037037</v>
      </c>
      <c r="C799" s="53" t="n">
        <v>0.729224537037037</v>
      </c>
      <c r="D799">
        <f>_xlfn.XLOOKUP(870012600,Stops[stop_id],Stops[stop_id],"Não encontrado")</f>
        <v/>
      </c>
      <c r="E799" t="n">
        <v>20</v>
      </c>
    </row>
    <row r="800">
      <c r="A800">
        <f>_xlfn.XLOOKUP("372U-10-1",Trip[trip_id],Trip[trip_id],"Não encontrado")</f>
        <v/>
      </c>
      <c r="B800" s="53" t="n">
        <v>0.7303240740740741</v>
      </c>
      <c r="C800" s="53" t="n">
        <v>0.7303240740740741</v>
      </c>
      <c r="D800">
        <f>_xlfn.XLOOKUP(870012603,Stops[stop_id],Stops[stop_id],"Não encontrado")</f>
        <v/>
      </c>
      <c r="E800" t="n">
        <v>21</v>
      </c>
    </row>
    <row r="801">
      <c r="A801">
        <f>_xlfn.XLOOKUP("372U-10-1",Trip[trip_id],Trip[trip_id],"Não encontrado")</f>
        <v/>
      </c>
      <c r="B801" s="53" t="n">
        <v>0.7314236111111111</v>
      </c>
      <c r="C801" s="53" t="n">
        <v>0.7314236111111111</v>
      </c>
      <c r="D801">
        <f>_xlfn.XLOOKUP(870008666,Stops[stop_id],Stops[stop_id],"Não encontrado")</f>
        <v/>
      </c>
      <c r="E801" t="n">
        <v>22</v>
      </c>
    </row>
    <row r="802">
      <c r="A802">
        <f>_xlfn.XLOOKUP("372U-10-1",Trip[trip_id],Trip[trip_id],"Não encontrado")</f>
        <v/>
      </c>
      <c r="B802" s="53" t="n">
        <v>0.7325231481481481</v>
      </c>
      <c r="C802" s="53" t="n">
        <v>0.7325231481481481</v>
      </c>
      <c r="D802">
        <f>_xlfn.XLOOKUP(870008650,Stops[stop_id],Stops[stop_id],"Não encontrado")</f>
        <v/>
      </c>
      <c r="E802" t="n">
        <v>23</v>
      </c>
    </row>
    <row r="803">
      <c r="A803">
        <f>_xlfn.XLOOKUP("372U-10-1",Trip[trip_id],Trip[trip_id],"Não encontrado")</f>
        <v/>
      </c>
      <c r="B803" s="53" t="n">
        <v>0.7336226851851851</v>
      </c>
      <c r="C803" s="53" t="n">
        <v>0.7336226851851851</v>
      </c>
      <c r="D803">
        <f>_xlfn.XLOOKUP(870008649,Stops[stop_id],Stops[stop_id],"Não encontrado")</f>
        <v/>
      </c>
      <c r="E803" t="n">
        <v>24</v>
      </c>
    </row>
    <row r="804">
      <c r="A804">
        <f>_xlfn.XLOOKUP("372U-10-1",Trip[trip_id],Trip[trip_id],"Não encontrado")</f>
        <v/>
      </c>
      <c r="B804" s="53" t="n">
        <v>0.7347222222222223</v>
      </c>
      <c r="C804" s="53" t="n">
        <v>0.7347222222222223</v>
      </c>
      <c r="D804">
        <f>_xlfn.XLOOKUP(8709751,Stops[stop_id],Stops[stop_id],"Não encontrado")</f>
        <v/>
      </c>
      <c r="E804" t="n">
        <v>25</v>
      </c>
    </row>
    <row r="805">
      <c r="A805">
        <f>_xlfn.XLOOKUP("372U-10-1",Trip[trip_id],Trip[trip_id],"Não encontrado")</f>
        <v/>
      </c>
      <c r="B805" s="53" t="n">
        <v>0.7358217592592593</v>
      </c>
      <c r="C805" s="53" t="n">
        <v>0.7358217592592593</v>
      </c>
      <c r="D805">
        <f>_xlfn.XLOOKUP(870008668,Stops[stop_id],Stops[stop_id],"Não encontrado")</f>
        <v/>
      </c>
      <c r="E805" t="n">
        <v>26</v>
      </c>
    </row>
    <row r="806">
      <c r="A806">
        <f>_xlfn.XLOOKUP("372U-10-1",Trip[trip_id],Trip[trip_id],"Não encontrado")</f>
        <v/>
      </c>
      <c r="B806" s="53" t="n">
        <v>0.7369212962962963</v>
      </c>
      <c r="C806" s="53" t="n">
        <v>0.7369212962962963</v>
      </c>
      <c r="D806">
        <f>_xlfn.XLOOKUP(870008635,Stops[stop_id],Stops[stop_id],"Não encontrado")</f>
        <v/>
      </c>
      <c r="E806" t="n">
        <v>27</v>
      </c>
    </row>
    <row r="807">
      <c r="A807">
        <f>_xlfn.XLOOKUP("372U-10-1",Trip[trip_id],Trip[trip_id],"Não encontrado")</f>
        <v/>
      </c>
      <c r="B807" s="53" t="n">
        <v>0.7380208333333333</v>
      </c>
      <c r="C807" s="53" t="n">
        <v>0.7380208333333333</v>
      </c>
      <c r="D807">
        <f>_xlfn.XLOOKUP(200008633,Stops[stop_id],Stops[stop_id],"Não encontrado")</f>
        <v/>
      </c>
      <c r="E807" t="n">
        <v>28</v>
      </c>
    </row>
    <row r="808">
      <c r="A808">
        <f>_xlfn.XLOOKUP("372U-10-1",Trip[trip_id],Trip[trip_id],"Não encontrado")</f>
        <v/>
      </c>
      <c r="B808" s="53" t="n">
        <v>0.7391203703703704</v>
      </c>
      <c r="C808" s="53" t="n">
        <v>0.7391203703703704</v>
      </c>
      <c r="D808">
        <f>_xlfn.XLOOKUP(200008630,Stops[stop_id],Stops[stop_id],"Não encontrado")</f>
        <v/>
      </c>
      <c r="E808" t="n">
        <v>29</v>
      </c>
    </row>
    <row r="809">
      <c r="A809">
        <f>_xlfn.XLOOKUP("372U-10-1",Trip[trip_id],Trip[trip_id],"Não encontrado")</f>
        <v/>
      </c>
      <c r="B809" s="53" t="n">
        <v>0.7402199074074074</v>
      </c>
      <c r="C809" s="53" t="n">
        <v>0.7402199074074074</v>
      </c>
      <c r="D809">
        <f>_xlfn.XLOOKUP(200008628,Stops[stop_id],Stops[stop_id],"Não encontrado")</f>
        <v/>
      </c>
      <c r="E809" t="n">
        <v>30</v>
      </c>
    </row>
    <row r="810">
      <c r="A810">
        <f>_xlfn.XLOOKUP("372U-10-1",Trip[trip_id],Trip[trip_id],"Não encontrado")</f>
        <v/>
      </c>
      <c r="B810" s="53" t="n">
        <v>0.7413194444444444</v>
      </c>
      <c r="C810" s="53" t="n">
        <v>0.7413194444444444</v>
      </c>
      <c r="D810">
        <f>_xlfn.XLOOKUP(2009067,Stops[stop_id],Stops[stop_id],"Não encontrado")</f>
        <v/>
      </c>
      <c r="E810" t="n">
        <v>31</v>
      </c>
    </row>
    <row r="811">
      <c r="A811">
        <f>_xlfn.XLOOKUP("372U-10-1",Trip[trip_id],Trip[trip_id],"Não encontrado")</f>
        <v/>
      </c>
      <c r="B811" s="53" t="n">
        <v>0.7424189814814814</v>
      </c>
      <c r="C811" s="53" t="n">
        <v>0.7424189814814814</v>
      </c>
      <c r="D811">
        <f>_xlfn.XLOOKUP(200008616,Stops[stop_id],Stops[stop_id],"Não encontrado")</f>
        <v/>
      </c>
      <c r="E811" t="n">
        <v>32</v>
      </c>
    </row>
    <row r="812">
      <c r="A812">
        <f>_xlfn.XLOOKUP("372U-10-1",Trip[trip_id],Trip[trip_id],"Não encontrado")</f>
        <v/>
      </c>
      <c r="B812" s="53" t="n">
        <v>0.7435185185185185</v>
      </c>
      <c r="C812" s="53" t="n">
        <v>0.7435185185185185</v>
      </c>
      <c r="D812">
        <f>_xlfn.XLOOKUP(2009263,Stops[stop_id],Stops[stop_id],"Não encontrado")</f>
        <v/>
      </c>
      <c r="E812" t="n">
        <v>33</v>
      </c>
    </row>
    <row r="813">
      <c r="A813">
        <f>_xlfn.XLOOKUP("372U-10-1",Trip[trip_id],Trip[trip_id],"Não encontrado")</f>
        <v/>
      </c>
      <c r="B813" s="53" t="n">
        <v>0.7446180555555556</v>
      </c>
      <c r="C813" s="53" t="n">
        <v>0.7446180555555556</v>
      </c>
      <c r="D813">
        <f>_xlfn.XLOOKUP(200008640,Stops[stop_id],Stops[stop_id],"Não encontrado")</f>
        <v/>
      </c>
      <c r="E813" t="n">
        <v>34</v>
      </c>
    </row>
    <row r="814">
      <c r="A814">
        <f>_xlfn.XLOOKUP("372U-10-1",Trip[trip_id],Trip[trip_id],"Não encontrado")</f>
        <v/>
      </c>
      <c r="B814" s="53" t="n">
        <v>0.7457175925925926</v>
      </c>
      <c r="C814" s="53" t="n">
        <v>0.7457175925925926</v>
      </c>
      <c r="D814">
        <f>_xlfn.XLOOKUP(200008641,Stops[stop_id],Stops[stop_id],"Não encontrado")</f>
        <v/>
      </c>
      <c r="E814" t="n">
        <v>35</v>
      </c>
    </row>
    <row r="815">
      <c r="A815">
        <f>_xlfn.XLOOKUP("372U-10-1",Trip[trip_id],Trip[trip_id],"Não encontrado")</f>
        <v/>
      </c>
      <c r="B815" s="53" t="n">
        <v>0.7468171296296297</v>
      </c>
      <c r="C815" s="53" t="n">
        <v>0.7468171296296297</v>
      </c>
      <c r="D815">
        <f>_xlfn.XLOOKUP(200008642,Stops[stop_id],Stops[stop_id],"Não encontrado")</f>
        <v/>
      </c>
      <c r="E815" t="n">
        <v>36</v>
      </c>
    </row>
    <row r="816">
      <c r="A816">
        <f>_xlfn.XLOOKUP("372U-10-1",Trip[trip_id],Trip[trip_id],"Não encontrado")</f>
        <v/>
      </c>
      <c r="B816" s="53" t="n">
        <v>0.7493055555555556</v>
      </c>
      <c r="C816" s="53" t="n">
        <v>0.7493055555555556</v>
      </c>
      <c r="D816">
        <f>_xlfn.XLOOKUP(200008614,Stops[stop_id],Stops[stop_id],"Não encontrado")</f>
        <v/>
      </c>
      <c r="E816" t="n">
        <v>37</v>
      </c>
    </row>
    <row r="817">
      <c r="A817">
        <f>_xlfn.XLOOKUP("373M-10-0",Trip[trip_id],Trip[trip_id],"Não encontrado")</f>
        <v/>
      </c>
      <c r="B817" s="53" t="n">
        <v>0.6666666666666666</v>
      </c>
      <c r="C817" s="53" t="n">
        <v>0.6666666666666666</v>
      </c>
      <c r="D817">
        <f>_xlfn.XLOOKUP(740006493,Stops[stop_id],Stops[stop_id],"Não encontrado")</f>
        <v/>
      </c>
      <c r="E817" t="n">
        <v>1</v>
      </c>
    </row>
    <row r="818">
      <c r="A818">
        <f>_xlfn.XLOOKUP("373M-10-0",Trip[trip_id],Trip[trip_id],"Não encontrado")</f>
        <v/>
      </c>
      <c r="B818" s="53" t="n">
        <v>0.6678356481481481</v>
      </c>
      <c r="C818" s="53" t="n">
        <v>0.6678356481481481</v>
      </c>
      <c r="D818">
        <f>_xlfn.XLOOKUP(740006492,Stops[stop_id],Stops[stop_id],"Não encontrado")</f>
        <v/>
      </c>
      <c r="E818" t="n">
        <v>2</v>
      </c>
    </row>
    <row r="819">
      <c r="A819">
        <f>_xlfn.XLOOKUP("373M-10-0",Trip[trip_id],Trip[trip_id],"Não encontrado")</f>
        <v/>
      </c>
      <c r="B819" s="53" t="n">
        <v>0.6690046296296296</v>
      </c>
      <c r="C819" s="53" t="n">
        <v>0.6690046296296296</v>
      </c>
      <c r="D819">
        <f>_xlfn.XLOOKUP(740006491,Stops[stop_id],Stops[stop_id],"Não encontrado")</f>
        <v/>
      </c>
      <c r="E819" t="n">
        <v>3</v>
      </c>
    </row>
    <row r="820">
      <c r="A820">
        <f>_xlfn.XLOOKUP("373M-10-0",Trip[trip_id],Trip[trip_id],"Não encontrado")</f>
        <v/>
      </c>
      <c r="B820" s="53" t="n">
        <v>0.6701736111111111</v>
      </c>
      <c r="C820" s="53" t="n">
        <v>0.6701736111111111</v>
      </c>
      <c r="D820">
        <f>_xlfn.XLOOKUP(740006489,Stops[stop_id],Stops[stop_id],"Não encontrado")</f>
        <v/>
      </c>
      <c r="E820" t="n">
        <v>4</v>
      </c>
    </row>
    <row r="821">
      <c r="A821">
        <f>_xlfn.XLOOKUP("373M-10-0",Trip[trip_id],Trip[trip_id],"Não encontrado")</f>
        <v/>
      </c>
      <c r="B821" s="53" t="n">
        <v>0.6713425925925925</v>
      </c>
      <c r="C821" s="53" t="n">
        <v>0.6713425925925925</v>
      </c>
      <c r="D821">
        <f>_xlfn.XLOOKUP(740006388,Stops[stop_id],Stops[stop_id],"Não encontrado")</f>
        <v/>
      </c>
      <c r="E821" t="n">
        <v>5</v>
      </c>
    </row>
    <row r="822">
      <c r="A822">
        <f>_xlfn.XLOOKUP("373M-10-0",Trip[trip_id],Trip[trip_id],"Não encontrado")</f>
        <v/>
      </c>
      <c r="B822" s="53" t="n">
        <v>0.672511574074074</v>
      </c>
      <c r="C822" s="53" t="n">
        <v>0.672511574074074</v>
      </c>
      <c r="D822">
        <f>_xlfn.XLOOKUP(740006389,Stops[stop_id],Stops[stop_id],"Não encontrado")</f>
        <v/>
      </c>
      <c r="E822" t="n">
        <v>6</v>
      </c>
    </row>
    <row r="823">
      <c r="A823">
        <f>_xlfn.XLOOKUP("373M-10-0",Trip[trip_id],Trip[trip_id],"Não encontrado")</f>
        <v/>
      </c>
      <c r="B823" s="53" t="n">
        <v>0.6736805555555555</v>
      </c>
      <c r="C823" s="53" t="n">
        <v>0.6736805555555555</v>
      </c>
      <c r="D823">
        <f>_xlfn.XLOOKUP(7405488,Stops[stop_id],Stops[stop_id],"Não encontrado")</f>
        <v/>
      </c>
      <c r="E823" t="n">
        <v>7</v>
      </c>
    </row>
    <row r="824">
      <c r="A824">
        <f>_xlfn.XLOOKUP("373M-10-0",Trip[trip_id],Trip[trip_id],"Não encontrado")</f>
        <v/>
      </c>
      <c r="B824" s="53" t="n">
        <v>0.674849537037037</v>
      </c>
      <c r="C824" s="53" t="n">
        <v>0.674849537037037</v>
      </c>
      <c r="D824">
        <f>_xlfn.XLOOKUP(740006396,Stops[stop_id],Stops[stop_id],"Não encontrado")</f>
        <v/>
      </c>
      <c r="E824" t="n">
        <v>8</v>
      </c>
    </row>
    <row r="825">
      <c r="A825">
        <f>_xlfn.XLOOKUP("373M-10-0",Trip[trip_id],Trip[trip_id],"Não encontrado")</f>
        <v/>
      </c>
      <c r="B825" s="53" t="n">
        <v>0.6760185185185185</v>
      </c>
      <c r="C825" s="53" t="n">
        <v>0.6760185185185185</v>
      </c>
      <c r="D825">
        <f>_xlfn.XLOOKUP(740006399,Stops[stop_id],Stops[stop_id],"Não encontrado")</f>
        <v/>
      </c>
      <c r="E825" t="n">
        <v>9</v>
      </c>
    </row>
    <row r="826">
      <c r="A826">
        <f>_xlfn.XLOOKUP("373M-10-0",Trip[trip_id],Trip[trip_id],"Não encontrado")</f>
        <v/>
      </c>
      <c r="B826" s="53" t="n">
        <v>0.6771875000000001</v>
      </c>
      <c r="C826" s="53" t="n">
        <v>0.6771875000000001</v>
      </c>
      <c r="D826">
        <f>_xlfn.XLOOKUP(740006400,Stops[stop_id],Stops[stop_id],"Não encontrado")</f>
        <v/>
      </c>
      <c r="E826" t="n">
        <v>10</v>
      </c>
    </row>
    <row r="827">
      <c r="A827">
        <f>_xlfn.XLOOKUP("373M-10-0",Trip[trip_id],Trip[trip_id],"Não encontrado")</f>
        <v/>
      </c>
      <c r="B827" s="53" t="n">
        <v>0.6783564814814815</v>
      </c>
      <c r="C827" s="53" t="n">
        <v>0.6783564814814815</v>
      </c>
      <c r="D827">
        <f>_xlfn.XLOOKUP(740006519,Stops[stop_id],Stops[stop_id],"Não encontrado")</f>
        <v/>
      </c>
      <c r="E827" t="n">
        <v>11</v>
      </c>
    </row>
    <row r="828">
      <c r="A828">
        <f>_xlfn.XLOOKUP("373M-10-0",Trip[trip_id],Trip[trip_id],"Não encontrado")</f>
        <v/>
      </c>
      <c r="B828" s="53" t="n">
        <v>0.679525462962963</v>
      </c>
      <c r="C828" s="53" t="n">
        <v>0.679525462962963</v>
      </c>
      <c r="D828">
        <f>_xlfn.XLOOKUP(740006520,Stops[stop_id],Stops[stop_id],"Não encontrado")</f>
        <v/>
      </c>
      <c r="E828" t="n">
        <v>12</v>
      </c>
    </row>
    <row r="829">
      <c r="A829">
        <f>_xlfn.XLOOKUP("373M-10-0",Trip[trip_id],Trip[trip_id],"Não encontrado")</f>
        <v/>
      </c>
      <c r="B829" s="53" t="n">
        <v>0.6806944444444445</v>
      </c>
      <c r="C829" s="53" t="n">
        <v>0.6806944444444445</v>
      </c>
      <c r="D829">
        <f>_xlfn.XLOOKUP(7405483,Stops[stop_id],Stops[stop_id],"Não encontrado")</f>
        <v/>
      </c>
      <c r="E829" t="n">
        <v>13</v>
      </c>
    </row>
    <row r="830">
      <c r="A830">
        <f>_xlfn.XLOOKUP("373M-10-0",Trip[trip_id],Trip[trip_id],"Não encontrado")</f>
        <v/>
      </c>
      <c r="B830" s="53" t="n">
        <v>0.681863425925926</v>
      </c>
      <c r="C830" s="53" t="n">
        <v>0.681863425925926</v>
      </c>
      <c r="D830">
        <f>_xlfn.XLOOKUP(740006632,Stops[stop_id],Stops[stop_id],"Não encontrado")</f>
        <v/>
      </c>
      <c r="E830" t="n">
        <v>14</v>
      </c>
    </row>
    <row r="831">
      <c r="A831">
        <f>_xlfn.XLOOKUP("373M-10-0",Trip[trip_id],Trip[trip_id],"Não encontrado")</f>
        <v/>
      </c>
      <c r="B831" s="53" t="n">
        <v>0.6830324074074074</v>
      </c>
      <c r="C831" s="53" t="n">
        <v>0.6830324074074074</v>
      </c>
      <c r="D831">
        <f>_xlfn.XLOOKUP(740006634,Stops[stop_id],Stops[stop_id],"Não encontrado")</f>
        <v/>
      </c>
      <c r="E831" t="n">
        <v>15</v>
      </c>
    </row>
    <row r="832">
      <c r="A832">
        <f>_xlfn.XLOOKUP("373M-10-0",Trip[trip_id],Trip[trip_id],"Não encontrado")</f>
        <v/>
      </c>
      <c r="B832" s="53" t="n">
        <v>0.6842013888888889</v>
      </c>
      <c r="C832" s="53" t="n">
        <v>0.6842013888888889</v>
      </c>
      <c r="D832">
        <f>_xlfn.XLOOKUP(740006635,Stops[stop_id],Stops[stop_id],"Não encontrado")</f>
        <v/>
      </c>
      <c r="E832" t="n">
        <v>16</v>
      </c>
    </row>
    <row r="833">
      <c r="A833">
        <f>_xlfn.XLOOKUP("373M-10-0",Trip[trip_id],Trip[trip_id],"Não encontrado")</f>
        <v/>
      </c>
      <c r="B833" s="53" t="n">
        <v>0.6853703703703704</v>
      </c>
      <c r="C833" s="53" t="n">
        <v>0.6853703703703704</v>
      </c>
      <c r="D833">
        <f>_xlfn.XLOOKUP(740006637,Stops[stop_id],Stops[stop_id],"Não encontrado")</f>
        <v/>
      </c>
      <c r="E833" t="n">
        <v>17</v>
      </c>
    </row>
    <row r="834">
      <c r="A834">
        <f>_xlfn.XLOOKUP("373M-10-0",Trip[trip_id],Trip[trip_id],"Não encontrado")</f>
        <v/>
      </c>
      <c r="B834" s="53" t="n">
        <v>0.6865393518518519</v>
      </c>
      <c r="C834" s="53" t="n">
        <v>0.6865393518518519</v>
      </c>
      <c r="D834">
        <f>_xlfn.XLOOKUP(740006410,Stops[stop_id],Stops[stop_id],"Não encontrado")</f>
        <v/>
      </c>
      <c r="E834" t="n">
        <v>18</v>
      </c>
    </row>
    <row r="835">
      <c r="A835">
        <f>_xlfn.XLOOKUP("373M-10-0",Trip[trip_id],Trip[trip_id],"Não encontrado")</f>
        <v/>
      </c>
      <c r="B835" s="53" t="n">
        <v>0.6877083333333334</v>
      </c>
      <c r="C835" s="53" t="n">
        <v>0.6877083333333334</v>
      </c>
      <c r="D835">
        <f>_xlfn.XLOOKUP(740006411,Stops[stop_id],Stops[stop_id],"Não encontrado")</f>
        <v/>
      </c>
      <c r="E835" t="n">
        <v>19</v>
      </c>
    </row>
    <row r="836">
      <c r="A836">
        <f>_xlfn.XLOOKUP("373M-10-0",Trip[trip_id],Trip[trip_id],"Não encontrado")</f>
        <v/>
      </c>
      <c r="B836" s="53" t="n">
        <v>0.6888773148148148</v>
      </c>
      <c r="C836" s="53" t="n">
        <v>0.6888773148148148</v>
      </c>
      <c r="D836">
        <f>_xlfn.XLOOKUP(740006412,Stops[stop_id],Stops[stop_id],"Não encontrado")</f>
        <v/>
      </c>
      <c r="E836" t="n">
        <v>20</v>
      </c>
    </row>
    <row r="837">
      <c r="A837">
        <f>_xlfn.XLOOKUP("373M-10-0",Trip[trip_id],Trip[trip_id],"Não encontrado")</f>
        <v/>
      </c>
      <c r="B837" s="53" t="n">
        <v>0.6900462962962963</v>
      </c>
      <c r="C837" s="53" t="n">
        <v>0.6900462962962963</v>
      </c>
      <c r="D837">
        <f>_xlfn.XLOOKUP(740006415,Stops[stop_id],Stops[stop_id],"Não encontrado")</f>
        <v/>
      </c>
      <c r="E837" t="n">
        <v>21</v>
      </c>
    </row>
    <row r="838">
      <c r="A838">
        <f>_xlfn.XLOOKUP("373M-10-0",Trip[trip_id],Trip[trip_id],"Não encontrado")</f>
        <v/>
      </c>
      <c r="B838" s="53" t="n">
        <v>0.6912152777777778</v>
      </c>
      <c r="C838" s="53" t="n">
        <v>0.6912152777777778</v>
      </c>
      <c r="D838">
        <f>_xlfn.XLOOKUP(740006416,Stops[stop_id],Stops[stop_id],"Não encontrado")</f>
        <v/>
      </c>
      <c r="E838" t="n">
        <v>22</v>
      </c>
    </row>
    <row r="839">
      <c r="A839">
        <f>_xlfn.XLOOKUP("373M-10-0",Trip[trip_id],Trip[trip_id],"Não encontrado")</f>
        <v/>
      </c>
      <c r="B839" s="53" t="n">
        <v>0.6923842592592593</v>
      </c>
      <c r="C839" s="53" t="n">
        <v>0.6923842592592593</v>
      </c>
      <c r="D839">
        <f>_xlfn.XLOOKUP(7404896,Stops[stop_id],Stops[stop_id],"Não encontrado")</f>
        <v/>
      </c>
      <c r="E839" t="n">
        <v>23</v>
      </c>
    </row>
    <row r="840">
      <c r="A840">
        <f>_xlfn.XLOOKUP("373M-10-0",Trip[trip_id],Trip[trip_id],"Não encontrado")</f>
        <v/>
      </c>
      <c r="B840" s="53" t="n">
        <v>0.6935532407407408</v>
      </c>
      <c r="C840" s="53" t="n">
        <v>0.6935532407407408</v>
      </c>
      <c r="D840">
        <f>_xlfn.XLOOKUP(950006630,Stops[stop_id],Stops[stop_id],"Não encontrado")</f>
        <v/>
      </c>
      <c r="E840" t="n">
        <v>24</v>
      </c>
    </row>
    <row r="841">
      <c r="A841">
        <f>_xlfn.XLOOKUP("373M-10-0",Trip[trip_id],Trip[trip_id],"Não encontrado")</f>
        <v/>
      </c>
      <c r="B841" s="53" t="n">
        <v>0.6947222222222222</v>
      </c>
      <c r="C841" s="53" t="n">
        <v>0.6947222222222222</v>
      </c>
      <c r="D841">
        <f>_xlfn.XLOOKUP(950006650,Stops[stop_id],Stops[stop_id],"Não encontrado")</f>
        <v/>
      </c>
      <c r="E841" t="n">
        <v>25</v>
      </c>
    </row>
    <row r="842">
      <c r="A842">
        <f>_xlfn.XLOOKUP("373M-10-0",Trip[trip_id],Trip[trip_id],"Não encontrado")</f>
        <v/>
      </c>
      <c r="B842" s="53" t="n">
        <v>0.6958912037037037</v>
      </c>
      <c r="C842" s="53" t="n">
        <v>0.6958912037037037</v>
      </c>
      <c r="D842">
        <f>_xlfn.XLOOKUP(950006627,Stops[stop_id],Stops[stop_id],"Não encontrado")</f>
        <v/>
      </c>
      <c r="E842" t="n">
        <v>26</v>
      </c>
    </row>
    <row r="843">
      <c r="A843">
        <f>_xlfn.XLOOKUP("373M-10-0",Trip[trip_id],Trip[trip_id],"Não encontrado")</f>
        <v/>
      </c>
      <c r="B843" s="53" t="n">
        <v>0.6970601851851852</v>
      </c>
      <c r="C843" s="53" t="n">
        <v>0.6970601851851852</v>
      </c>
      <c r="D843">
        <f>_xlfn.XLOOKUP(950006623,Stops[stop_id],Stops[stop_id],"Não encontrado")</f>
        <v/>
      </c>
      <c r="E843" t="n">
        <v>27</v>
      </c>
    </row>
    <row r="844">
      <c r="A844">
        <f>_xlfn.XLOOKUP("373M-10-0",Trip[trip_id],Trip[trip_id],"Não encontrado")</f>
        <v/>
      </c>
      <c r="B844" s="53" t="n">
        <v>0.6982291666666667</v>
      </c>
      <c r="C844" s="53" t="n">
        <v>0.6982291666666667</v>
      </c>
      <c r="D844">
        <f>_xlfn.XLOOKUP(950006621,Stops[stop_id],Stops[stop_id],"Não encontrado")</f>
        <v/>
      </c>
      <c r="E844" t="n">
        <v>28</v>
      </c>
    </row>
    <row r="845">
      <c r="A845">
        <f>_xlfn.XLOOKUP("373M-10-0",Trip[trip_id],Trip[trip_id],"Não encontrado")</f>
        <v/>
      </c>
      <c r="B845" s="53" t="n">
        <v>0.6993981481481482</v>
      </c>
      <c r="C845" s="53" t="n">
        <v>0.6993981481481482</v>
      </c>
      <c r="D845">
        <f>_xlfn.XLOOKUP(950006619,Stops[stop_id],Stops[stop_id],"Não encontrado")</f>
        <v/>
      </c>
      <c r="E845" t="n">
        <v>29</v>
      </c>
    </row>
    <row r="846">
      <c r="A846">
        <f>_xlfn.XLOOKUP("373M-10-0",Trip[trip_id],Trip[trip_id],"Não encontrado")</f>
        <v/>
      </c>
      <c r="B846" s="53" t="n">
        <v>0.7005671296296296</v>
      </c>
      <c r="C846" s="53" t="n">
        <v>0.7005671296296296</v>
      </c>
      <c r="D846">
        <f>_xlfn.XLOOKUP(950006616,Stops[stop_id],Stops[stop_id],"Não encontrado")</f>
        <v/>
      </c>
      <c r="E846" t="n">
        <v>30</v>
      </c>
    </row>
    <row r="847">
      <c r="A847">
        <f>_xlfn.XLOOKUP("373M-10-0",Trip[trip_id],Trip[trip_id],"Não encontrado")</f>
        <v/>
      </c>
      <c r="B847" s="53" t="n">
        <v>0.7017361111111111</v>
      </c>
      <c r="C847" s="53" t="n">
        <v>0.7017361111111111</v>
      </c>
      <c r="D847">
        <f>_xlfn.XLOOKUP(9505320,Stops[stop_id],Stops[stop_id],"Não encontrado")</f>
        <v/>
      </c>
      <c r="E847" t="n">
        <v>31</v>
      </c>
    </row>
    <row r="848">
      <c r="A848">
        <f>_xlfn.XLOOKUP("373M-10-0",Trip[trip_id],Trip[trip_id],"Não encontrado")</f>
        <v/>
      </c>
      <c r="B848" s="53" t="n">
        <v>0.7029050925925926</v>
      </c>
      <c r="C848" s="53" t="n">
        <v>0.7029050925925926</v>
      </c>
      <c r="D848">
        <f>_xlfn.XLOOKUP(9505562,Stops[stop_id],Stops[stop_id],"Não encontrado")</f>
        <v/>
      </c>
      <c r="E848" t="n">
        <v>32</v>
      </c>
    </row>
    <row r="849">
      <c r="A849">
        <f>_xlfn.XLOOKUP("373M-10-0",Trip[trip_id],Trip[trip_id],"Não encontrado")</f>
        <v/>
      </c>
      <c r="B849" s="53" t="n">
        <v>0.7040740740740741</v>
      </c>
      <c r="C849" s="53" t="n">
        <v>0.7040740740740741</v>
      </c>
      <c r="D849">
        <f>_xlfn.XLOOKUP(950014189,Stops[stop_id],Stops[stop_id],"Não encontrado")</f>
        <v/>
      </c>
      <c r="E849" t="n">
        <v>33</v>
      </c>
    </row>
    <row r="850">
      <c r="A850">
        <f>_xlfn.XLOOKUP("373M-10-0",Trip[trip_id],Trip[trip_id],"Não encontrado")</f>
        <v/>
      </c>
      <c r="B850" s="53" t="n">
        <v>0.7052430555555556</v>
      </c>
      <c r="C850" s="53" t="n">
        <v>0.7052430555555556</v>
      </c>
      <c r="D850">
        <f>_xlfn.XLOOKUP(950014141,Stops[stop_id],Stops[stop_id],"Não encontrado")</f>
        <v/>
      </c>
      <c r="E850" t="n">
        <v>34</v>
      </c>
    </row>
    <row r="851">
      <c r="A851">
        <f>_xlfn.XLOOKUP("373M-10-0",Trip[trip_id],Trip[trip_id],"Não encontrado")</f>
        <v/>
      </c>
      <c r="B851" s="53" t="n">
        <v>0.706412037037037</v>
      </c>
      <c r="C851" s="53" t="n">
        <v>0.706412037037037</v>
      </c>
      <c r="D851">
        <f>_xlfn.XLOOKUP(540014144,Stops[stop_id],Stops[stop_id],"Não encontrado")</f>
        <v/>
      </c>
      <c r="E851" t="n">
        <v>35</v>
      </c>
    </row>
    <row r="852">
      <c r="A852">
        <f>_xlfn.XLOOKUP("373M-10-0",Trip[trip_id],Trip[trip_id],"Não encontrado")</f>
        <v/>
      </c>
      <c r="B852" s="53" t="n">
        <v>0.7075810185185185</v>
      </c>
      <c r="C852" s="53" t="n">
        <v>0.7075810185185185</v>
      </c>
      <c r="D852">
        <f>_xlfn.XLOOKUP(540014147,Stops[stop_id],Stops[stop_id],"Não encontrado")</f>
        <v/>
      </c>
      <c r="E852" t="n">
        <v>36</v>
      </c>
    </row>
    <row r="853">
      <c r="A853">
        <f>_xlfn.XLOOKUP("373M-10-0",Trip[trip_id],Trip[trip_id],"Não encontrado")</f>
        <v/>
      </c>
      <c r="B853" s="53" t="n">
        <v>0.70875</v>
      </c>
      <c r="C853" s="53" t="n">
        <v>0.70875</v>
      </c>
      <c r="D853">
        <f>_xlfn.XLOOKUP(540014149,Stops[stop_id],Stops[stop_id],"Não encontrado")</f>
        <v/>
      </c>
      <c r="E853" t="n">
        <v>37</v>
      </c>
    </row>
    <row r="854">
      <c r="A854">
        <f>_xlfn.XLOOKUP("373M-10-0",Trip[trip_id],Trip[trip_id],"Não encontrado")</f>
        <v/>
      </c>
      <c r="B854" s="53" t="n">
        <v>0.7099189814814815</v>
      </c>
      <c r="C854" s="53" t="n">
        <v>0.7099189814814815</v>
      </c>
      <c r="D854">
        <f>_xlfn.XLOOKUP(540014151,Stops[stop_id],Stops[stop_id],"Não encontrado")</f>
        <v/>
      </c>
      <c r="E854" t="n">
        <v>38</v>
      </c>
    </row>
    <row r="855">
      <c r="A855">
        <f>_xlfn.XLOOKUP("373M-10-0",Trip[trip_id],Trip[trip_id],"Não encontrado")</f>
        <v/>
      </c>
      <c r="B855" s="53" t="n">
        <v>0.7110879629629629</v>
      </c>
      <c r="C855" s="53" t="n">
        <v>0.7110879629629629</v>
      </c>
      <c r="D855">
        <f>_xlfn.XLOOKUP(540014153,Stops[stop_id],Stops[stop_id],"Não encontrado")</f>
        <v/>
      </c>
      <c r="E855" t="n">
        <v>39</v>
      </c>
    </row>
    <row r="856">
      <c r="A856">
        <f>_xlfn.XLOOKUP("373M-10-0",Trip[trip_id],Trip[trip_id],"Não encontrado")</f>
        <v/>
      </c>
      <c r="B856" s="53" t="n">
        <v>0.7122569444444444</v>
      </c>
      <c r="C856" s="53" t="n">
        <v>0.7122569444444444</v>
      </c>
      <c r="D856">
        <f>_xlfn.XLOOKUP(5410094,Stops[stop_id],Stops[stop_id],"Não encontrado")</f>
        <v/>
      </c>
      <c r="E856" t="n">
        <v>40</v>
      </c>
    </row>
    <row r="857">
      <c r="A857">
        <f>_xlfn.XLOOKUP("373M-10-0",Trip[trip_id],Trip[trip_id],"Não encontrado")</f>
        <v/>
      </c>
      <c r="B857" s="53" t="n">
        <v>0.7134259259259259</v>
      </c>
      <c r="C857" s="53" t="n">
        <v>0.7134259259259259</v>
      </c>
      <c r="D857">
        <f>_xlfn.XLOOKUP(540014156,Stops[stop_id],Stops[stop_id],"Não encontrado")</f>
        <v/>
      </c>
      <c r="E857" t="n">
        <v>41</v>
      </c>
    </row>
    <row r="858">
      <c r="A858">
        <f>_xlfn.XLOOKUP("373M-10-0",Trip[trip_id],Trip[trip_id],"Não encontrado")</f>
        <v/>
      </c>
      <c r="B858" s="53" t="n">
        <v>0.7145949074074074</v>
      </c>
      <c r="C858" s="53" t="n">
        <v>0.7145949074074074</v>
      </c>
      <c r="D858">
        <f>_xlfn.XLOOKUP(540014161,Stops[stop_id],Stops[stop_id],"Não encontrado")</f>
        <v/>
      </c>
      <c r="E858" t="n">
        <v>42</v>
      </c>
    </row>
    <row r="859">
      <c r="A859">
        <f>_xlfn.XLOOKUP("373M-10-0",Trip[trip_id],Trip[trip_id],"Não encontrado")</f>
        <v/>
      </c>
      <c r="B859" s="53" t="n">
        <v>0.7157638888888889</v>
      </c>
      <c r="C859" s="53" t="n">
        <v>0.7157638888888889</v>
      </c>
      <c r="D859">
        <f>_xlfn.XLOOKUP(540014163,Stops[stop_id],Stops[stop_id],"Não encontrado")</f>
        <v/>
      </c>
      <c r="E859" t="n">
        <v>43</v>
      </c>
    </row>
    <row r="860">
      <c r="A860">
        <f>_xlfn.XLOOKUP("373M-10-0",Trip[trip_id],Trip[trip_id],"Não encontrado")</f>
        <v/>
      </c>
      <c r="B860" s="53" t="n">
        <v>0.7169328703703703</v>
      </c>
      <c r="C860" s="53" t="n">
        <v>0.7169328703703703</v>
      </c>
      <c r="D860">
        <f>_xlfn.XLOOKUP(5410051,Stops[stop_id],Stops[stop_id],"Não encontrado")</f>
        <v/>
      </c>
      <c r="E860" t="n">
        <v>44</v>
      </c>
    </row>
    <row r="861">
      <c r="A861">
        <f>_xlfn.XLOOKUP("373M-10-0",Trip[trip_id],Trip[trip_id],"Não encontrado")</f>
        <v/>
      </c>
      <c r="B861" s="53" t="n">
        <v>0.7181018518518518</v>
      </c>
      <c r="C861" s="53" t="n">
        <v>0.7181018518518518</v>
      </c>
      <c r="D861">
        <f>_xlfn.XLOOKUP(540014164,Stops[stop_id],Stops[stop_id],"Não encontrado")</f>
        <v/>
      </c>
      <c r="E861" t="n">
        <v>45</v>
      </c>
    </row>
    <row r="862">
      <c r="A862">
        <f>_xlfn.XLOOKUP("373M-10-0",Trip[trip_id],Trip[trip_id],"Não encontrado")</f>
        <v/>
      </c>
      <c r="B862" s="53" t="n">
        <v>0.7192708333333333</v>
      </c>
      <c r="C862" s="53" t="n">
        <v>0.7192708333333333</v>
      </c>
      <c r="D862">
        <f>_xlfn.XLOOKUP(540014165,Stops[stop_id],Stops[stop_id],"Não encontrado")</f>
        <v/>
      </c>
      <c r="E862" t="n">
        <v>46</v>
      </c>
    </row>
    <row r="863">
      <c r="A863">
        <f>_xlfn.XLOOKUP("373M-10-0",Trip[trip_id],Trip[trip_id],"Não encontrado")</f>
        <v/>
      </c>
      <c r="B863" s="53" t="n">
        <v>0.7204398148148148</v>
      </c>
      <c r="C863" s="53" t="n">
        <v>0.7204398148148148</v>
      </c>
      <c r="D863">
        <f>_xlfn.XLOOKUP(810556,Stops[stop_id],Stops[stop_id],"Não encontrado")</f>
        <v/>
      </c>
      <c r="E863" t="n">
        <v>47</v>
      </c>
    </row>
    <row r="864">
      <c r="A864">
        <f>_xlfn.XLOOKUP("373M-10-0",Trip[trip_id],Trip[trip_id],"Não encontrado")</f>
        <v/>
      </c>
      <c r="B864" s="53" t="n">
        <v>0.7216087962962963</v>
      </c>
      <c r="C864" s="53" t="n">
        <v>0.7216087962962963</v>
      </c>
      <c r="D864">
        <f>_xlfn.XLOOKUP(809671,Stops[stop_id],Stops[stop_id],"Não encontrado")</f>
        <v/>
      </c>
      <c r="E864" t="n">
        <v>48</v>
      </c>
    </row>
    <row r="865">
      <c r="A865">
        <f>_xlfn.XLOOKUP("373M-10-0",Trip[trip_id],Trip[trip_id],"Não encontrado")</f>
        <v/>
      </c>
      <c r="B865" s="53" t="n">
        <v>0.7227777777777777</v>
      </c>
      <c r="C865" s="53" t="n">
        <v>0.7227777777777777</v>
      </c>
      <c r="D865">
        <f>_xlfn.XLOOKUP(80014109,Stops[stop_id],Stops[stop_id],"Não encontrado")</f>
        <v/>
      </c>
      <c r="E865" t="n">
        <v>49</v>
      </c>
    </row>
    <row r="866">
      <c r="A866">
        <f>_xlfn.XLOOKUP("373M-10-0",Trip[trip_id],Trip[trip_id],"Não encontrado")</f>
        <v/>
      </c>
      <c r="B866" s="53" t="n">
        <v>0.7239467592592592</v>
      </c>
      <c r="C866" s="53" t="n">
        <v>0.7239467592592592</v>
      </c>
      <c r="D866">
        <f>_xlfn.XLOOKUP(80014177,Stops[stop_id],Stops[stop_id],"Não encontrado")</f>
        <v/>
      </c>
      <c r="E866" t="n">
        <v>50</v>
      </c>
    </row>
    <row r="867">
      <c r="A867">
        <f>_xlfn.XLOOKUP("373M-10-0",Trip[trip_id],Trip[trip_id],"Não encontrado")</f>
        <v/>
      </c>
      <c r="B867" s="53" t="n">
        <v>0.7251157407407407</v>
      </c>
      <c r="C867" s="53" t="n">
        <v>0.7251157407407407</v>
      </c>
      <c r="D867">
        <f>_xlfn.XLOOKUP(809675,Stops[stop_id],Stops[stop_id],"Não encontrado")</f>
        <v/>
      </c>
      <c r="E867" t="n">
        <v>51</v>
      </c>
    </row>
    <row r="868">
      <c r="A868">
        <f>_xlfn.XLOOKUP("373M-10-0",Trip[trip_id],Trip[trip_id],"Não encontrado")</f>
        <v/>
      </c>
      <c r="B868" s="53" t="n">
        <v>0.7262847222222222</v>
      </c>
      <c r="C868" s="53" t="n">
        <v>0.7262847222222222</v>
      </c>
      <c r="D868">
        <f>_xlfn.XLOOKUP(810612,Stops[stop_id],Stops[stop_id],"Não encontrado")</f>
        <v/>
      </c>
      <c r="E868" t="n">
        <v>52</v>
      </c>
    </row>
    <row r="869">
      <c r="A869">
        <f>_xlfn.XLOOKUP("373M-10-0",Trip[trip_id],Trip[trip_id],"Não encontrado")</f>
        <v/>
      </c>
      <c r="B869" s="53" t="n">
        <v>0.7291666666666666</v>
      </c>
      <c r="C869" s="53" t="n">
        <v>0.7291666666666666</v>
      </c>
      <c r="D869">
        <f>_xlfn.XLOOKUP(8210283,Stops[stop_id],Stops[stop_id],"Não encontrado")</f>
        <v/>
      </c>
      <c r="E869" t="n">
        <v>53</v>
      </c>
    </row>
    <row r="870">
      <c r="A870">
        <f>_xlfn.XLOOKUP("373M-10-1",Trip[trip_id],Trip[trip_id],"Não encontrado")</f>
        <v/>
      </c>
      <c r="B870" s="53" t="n">
        <v>0.7083333333333334</v>
      </c>
      <c r="C870" s="53" t="n">
        <v>0.7083333333333334</v>
      </c>
      <c r="D870">
        <f>_xlfn.XLOOKUP(8210199,Stops[stop_id],Stops[stop_id],"Não encontrado")</f>
        <v/>
      </c>
      <c r="E870" t="n">
        <v>1</v>
      </c>
    </row>
    <row r="871">
      <c r="A871">
        <f>_xlfn.XLOOKUP("373M-10-1",Trip[trip_id],Trip[trip_id],"Não encontrado")</f>
        <v/>
      </c>
      <c r="B871" s="53" t="n">
        <v>0.7093518518518519</v>
      </c>
      <c r="C871" s="53" t="n">
        <v>0.7093518518518519</v>
      </c>
      <c r="D871">
        <f>_xlfn.XLOOKUP(820008420,Stops[stop_id],Stops[stop_id],"Não encontrado")</f>
        <v/>
      </c>
      <c r="E871" t="n">
        <v>2</v>
      </c>
    </row>
    <row r="872">
      <c r="A872">
        <f>_xlfn.XLOOKUP("373M-10-1",Trip[trip_id],Trip[trip_id],"Não encontrado")</f>
        <v/>
      </c>
      <c r="B872" s="53" t="n">
        <v>0.7103703703703703</v>
      </c>
      <c r="C872" s="53" t="n">
        <v>0.7103703703703703</v>
      </c>
      <c r="D872">
        <f>_xlfn.XLOOKUP(8209718,Stops[stop_id],Stops[stop_id],"Não encontrado")</f>
        <v/>
      </c>
      <c r="E872" t="n">
        <v>3</v>
      </c>
    </row>
    <row r="873">
      <c r="A873">
        <f>_xlfn.XLOOKUP("373M-10-1",Trip[trip_id],Trip[trip_id],"Não encontrado")</f>
        <v/>
      </c>
      <c r="B873" s="53" t="n">
        <v>0.7113888888888888</v>
      </c>
      <c r="C873" s="53" t="n">
        <v>0.7113888888888888</v>
      </c>
      <c r="D873">
        <f>_xlfn.XLOOKUP(809564,Stops[stop_id],Stops[stop_id],"Não encontrado")</f>
        <v/>
      </c>
      <c r="E873" t="n">
        <v>4</v>
      </c>
    </row>
    <row r="874">
      <c r="A874">
        <f>_xlfn.XLOOKUP("373M-10-1",Trip[trip_id],Trip[trip_id],"Não encontrado")</f>
        <v/>
      </c>
      <c r="B874" s="53" t="n">
        <v>0.7124074074074074</v>
      </c>
      <c r="C874" s="53" t="n">
        <v>0.7124074074074074</v>
      </c>
      <c r="D874">
        <f>_xlfn.XLOOKUP(810613,Stops[stop_id],Stops[stop_id],"Não encontrado")</f>
        <v/>
      </c>
      <c r="E874" t="n">
        <v>5</v>
      </c>
    </row>
    <row r="875">
      <c r="A875">
        <f>_xlfn.XLOOKUP("373M-10-1",Trip[trip_id],Trip[trip_id],"Não encontrado")</f>
        <v/>
      </c>
      <c r="B875" s="53" t="n">
        <v>0.7134259259259259</v>
      </c>
      <c r="C875" s="53" t="n">
        <v>0.7134259259259259</v>
      </c>
      <c r="D875">
        <f>_xlfn.XLOOKUP(80014081,Stops[stop_id],Stops[stop_id],"Não encontrado")</f>
        <v/>
      </c>
      <c r="E875" t="n">
        <v>6</v>
      </c>
    </row>
    <row r="876">
      <c r="A876">
        <f>_xlfn.XLOOKUP("373M-10-1",Trip[trip_id],Trip[trip_id],"Não encontrado")</f>
        <v/>
      </c>
      <c r="B876" s="53" t="n">
        <v>0.7144444444444444</v>
      </c>
      <c r="C876" s="53" t="n">
        <v>0.7144444444444444</v>
      </c>
      <c r="D876">
        <f>_xlfn.XLOOKUP(80014082,Stops[stop_id],Stops[stop_id],"Não encontrado")</f>
        <v/>
      </c>
      <c r="E876" t="n">
        <v>7</v>
      </c>
    </row>
    <row r="877">
      <c r="A877">
        <f>_xlfn.XLOOKUP("373M-10-1",Trip[trip_id],Trip[trip_id],"Não encontrado")</f>
        <v/>
      </c>
      <c r="B877" s="53" t="n">
        <v>0.715462962962963</v>
      </c>
      <c r="C877" s="53" t="n">
        <v>0.715462962962963</v>
      </c>
      <c r="D877">
        <f>_xlfn.XLOOKUP(810610,Stops[stop_id],Stops[stop_id],"Não encontrado")</f>
        <v/>
      </c>
      <c r="E877" t="n">
        <v>8</v>
      </c>
    </row>
    <row r="878">
      <c r="A878">
        <f>_xlfn.XLOOKUP("373M-10-1",Trip[trip_id],Trip[trip_id],"Não encontrado")</f>
        <v/>
      </c>
      <c r="B878" s="53" t="n">
        <v>0.7164814814814815</v>
      </c>
      <c r="C878" s="53" t="n">
        <v>0.7164814814814815</v>
      </c>
      <c r="D878">
        <f>_xlfn.XLOOKUP(540014084,Stops[stop_id],Stops[stop_id],"Não encontrado")</f>
        <v/>
      </c>
      <c r="E878" t="n">
        <v>9</v>
      </c>
    </row>
    <row r="879">
      <c r="A879">
        <f>_xlfn.XLOOKUP("373M-10-1",Trip[trip_id],Trip[trip_id],"Não encontrado")</f>
        <v/>
      </c>
      <c r="B879" s="53" t="n">
        <v>0.7175</v>
      </c>
      <c r="C879" s="53" t="n">
        <v>0.7175</v>
      </c>
      <c r="D879">
        <f>_xlfn.XLOOKUP(540014085,Stops[stop_id],Stops[stop_id],"Não encontrado")</f>
        <v/>
      </c>
      <c r="E879" t="n">
        <v>10</v>
      </c>
    </row>
    <row r="880">
      <c r="A880">
        <f>_xlfn.XLOOKUP("373M-10-1",Trip[trip_id],Trip[trip_id],"Não encontrado")</f>
        <v/>
      </c>
      <c r="B880" s="53" t="n">
        <v>0.7185185185185186</v>
      </c>
      <c r="C880" s="53" t="n">
        <v>0.7185185185185186</v>
      </c>
      <c r="D880">
        <f>_xlfn.XLOOKUP(540014086,Stops[stop_id],Stops[stop_id],"Não encontrado")</f>
        <v/>
      </c>
      <c r="E880" t="n">
        <v>11</v>
      </c>
    </row>
    <row r="881">
      <c r="A881">
        <f>_xlfn.XLOOKUP("373M-10-1",Trip[trip_id],Trip[trip_id],"Não encontrado")</f>
        <v/>
      </c>
      <c r="B881" s="53" t="n">
        <v>0.7195370370370371</v>
      </c>
      <c r="C881" s="53" t="n">
        <v>0.7195370370370371</v>
      </c>
      <c r="D881">
        <f>_xlfn.XLOOKUP(540014173,Stops[stop_id],Stops[stop_id],"Não encontrado")</f>
        <v/>
      </c>
      <c r="E881" t="n">
        <v>12</v>
      </c>
    </row>
    <row r="882">
      <c r="A882">
        <f>_xlfn.XLOOKUP("373M-10-1",Trip[trip_id],Trip[trip_id],"Não encontrado")</f>
        <v/>
      </c>
      <c r="B882" s="53" t="n">
        <v>0.7205555555555555</v>
      </c>
      <c r="C882" s="53" t="n">
        <v>0.7205555555555555</v>
      </c>
      <c r="D882">
        <f>_xlfn.XLOOKUP(540014171,Stops[stop_id],Stops[stop_id],"Não encontrado")</f>
        <v/>
      </c>
      <c r="E882" t="n">
        <v>13</v>
      </c>
    </row>
    <row r="883">
      <c r="A883">
        <f>_xlfn.XLOOKUP("373M-10-1",Trip[trip_id],Trip[trip_id],"Não encontrado")</f>
        <v/>
      </c>
      <c r="B883" s="53" t="n">
        <v>0.721574074074074</v>
      </c>
      <c r="C883" s="53" t="n">
        <v>0.721574074074074</v>
      </c>
      <c r="D883">
        <f>_xlfn.XLOOKUP(540014169,Stops[stop_id],Stops[stop_id],"Não encontrado")</f>
        <v/>
      </c>
      <c r="E883" t="n">
        <v>14</v>
      </c>
    </row>
    <row r="884">
      <c r="A884">
        <f>_xlfn.XLOOKUP("373M-10-1",Trip[trip_id],Trip[trip_id],"Não encontrado")</f>
        <v/>
      </c>
      <c r="B884" s="53" t="n">
        <v>0.7225925925925926</v>
      </c>
      <c r="C884" s="53" t="n">
        <v>0.7225925925925926</v>
      </c>
      <c r="D884">
        <f>_xlfn.XLOOKUP(540014183,Stops[stop_id],Stops[stop_id],"Não encontrado")</f>
        <v/>
      </c>
      <c r="E884" t="n">
        <v>15</v>
      </c>
    </row>
    <row r="885">
      <c r="A885">
        <f>_xlfn.XLOOKUP("373M-10-1",Trip[trip_id],Trip[trip_id],"Não encontrado")</f>
        <v/>
      </c>
      <c r="B885" s="53" t="n">
        <v>0.7236111111111111</v>
      </c>
      <c r="C885" s="53" t="n">
        <v>0.7236111111111111</v>
      </c>
      <c r="D885">
        <f>_xlfn.XLOOKUP(5410185,Stops[stop_id],Stops[stop_id],"Não encontrado")</f>
        <v/>
      </c>
      <c r="E885" t="n">
        <v>16</v>
      </c>
    </row>
    <row r="886">
      <c r="A886">
        <f>_xlfn.XLOOKUP("373M-10-1",Trip[trip_id],Trip[trip_id],"Não encontrado")</f>
        <v/>
      </c>
      <c r="B886" s="53" t="n">
        <v>0.7246296296296296</v>
      </c>
      <c r="C886" s="53" t="n">
        <v>0.7246296296296296</v>
      </c>
      <c r="D886">
        <f>_xlfn.XLOOKUP(540014236,Stops[stop_id],Stops[stop_id],"Não encontrado")</f>
        <v/>
      </c>
      <c r="E886" t="n">
        <v>17</v>
      </c>
    </row>
    <row r="887">
      <c r="A887">
        <f>_xlfn.XLOOKUP("373M-10-1",Trip[trip_id],Trip[trip_id],"Não encontrado")</f>
        <v/>
      </c>
      <c r="B887" s="53" t="n">
        <v>0.7256481481481482</v>
      </c>
      <c r="C887" s="53" t="n">
        <v>0.7256481481481482</v>
      </c>
      <c r="D887">
        <f>_xlfn.XLOOKUP(5410099,Stops[stop_id],Stops[stop_id],"Não encontrado")</f>
        <v/>
      </c>
      <c r="E887" t="n">
        <v>18</v>
      </c>
    </row>
    <row r="888">
      <c r="A888">
        <f>_xlfn.XLOOKUP("373M-10-1",Trip[trip_id],Trip[trip_id],"Não encontrado")</f>
        <v/>
      </c>
      <c r="B888" s="53" t="n">
        <v>0.7266666666666667</v>
      </c>
      <c r="C888" s="53" t="n">
        <v>0.7266666666666667</v>
      </c>
      <c r="D888">
        <f>_xlfn.XLOOKUP(540014154,Stops[stop_id],Stops[stop_id],"Não encontrado")</f>
        <v/>
      </c>
      <c r="E888" t="n">
        <v>19</v>
      </c>
    </row>
    <row r="889">
      <c r="A889">
        <f>_xlfn.XLOOKUP("373M-10-1",Trip[trip_id],Trip[trip_id],"Não encontrado")</f>
        <v/>
      </c>
      <c r="B889" s="53" t="n">
        <v>0.7276851851851852</v>
      </c>
      <c r="C889" s="53" t="n">
        <v>0.7276851851851852</v>
      </c>
      <c r="D889">
        <f>_xlfn.XLOOKUP(540014152,Stops[stop_id],Stops[stop_id],"Não encontrado")</f>
        <v/>
      </c>
      <c r="E889" t="n">
        <v>20</v>
      </c>
    </row>
    <row r="890">
      <c r="A890">
        <f>_xlfn.XLOOKUP("373M-10-1",Trip[trip_id],Trip[trip_id],"Não encontrado")</f>
        <v/>
      </c>
      <c r="B890" s="53" t="n">
        <v>0.7287037037037037</v>
      </c>
      <c r="C890" s="53" t="n">
        <v>0.7287037037037037</v>
      </c>
      <c r="D890">
        <f>_xlfn.XLOOKUP(540014150,Stops[stop_id],Stops[stop_id],"Não encontrado")</f>
        <v/>
      </c>
      <c r="E890" t="n">
        <v>21</v>
      </c>
    </row>
    <row r="891">
      <c r="A891">
        <f>_xlfn.XLOOKUP("373M-10-1",Trip[trip_id],Trip[trip_id],"Não encontrado")</f>
        <v/>
      </c>
      <c r="B891" s="53" t="n">
        <v>0.7297222222222223</v>
      </c>
      <c r="C891" s="53" t="n">
        <v>0.7297222222222223</v>
      </c>
      <c r="D891">
        <f>_xlfn.XLOOKUP(540014148,Stops[stop_id],Stops[stop_id],"Não encontrado")</f>
        <v/>
      </c>
      <c r="E891" t="n">
        <v>22</v>
      </c>
    </row>
    <row r="892">
      <c r="A892">
        <f>_xlfn.XLOOKUP("373M-10-1",Trip[trip_id],Trip[trip_id],"Não encontrado")</f>
        <v/>
      </c>
      <c r="B892" s="53" t="n">
        <v>0.7307407407407407</v>
      </c>
      <c r="C892" s="53" t="n">
        <v>0.7307407407407407</v>
      </c>
      <c r="D892">
        <f>_xlfn.XLOOKUP(540014146,Stops[stop_id],Stops[stop_id],"Não encontrado")</f>
        <v/>
      </c>
      <c r="E892" t="n">
        <v>23</v>
      </c>
    </row>
    <row r="893">
      <c r="A893">
        <f>_xlfn.XLOOKUP("373M-10-1",Trip[trip_id],Trip[trip_id],"Não encontrado")</f>
        <v/>
      </c>
      <c r="B893" s="53" t="n">
        <v>0.7317592592592592</v>
      </c>
      <c r="C893" s="53" t="n">
        <v>0.7317592592592592</v>
      </c>
      <c r="D893">
        <f>_xlfn.XLOOKUP(540014145,Stops[stop_id],Stops[stop_id],"Não encontrado")</f>
        <v/>
      </c>
      <c r="E893" t="n">
        <v>24</v>
      </c>
    </row>
    <row r="894">
      <c r="A894">
        <f>_xlfn.XLOOKUP("373M-10-1",Trip[trip_id],Trip[trip_id],"Não encontrado")</f>
        <v/>
      </c>
      <c r="B894" s="53" t="n">
        <v>0.7327777777777778</v>
      </c>
      <c r="C894" s="53" t="n">
        <v>0.7327777777777778</v>
      </c>
      <c r="D894">
        <f>_xlfn.XLOOKUP(950014142,Stops[stop_id],Stops[stop_id],"Não encontrado")</f>
        <v/>
      </c>
      <c r="E894" t="n">
        <v>25</v>
      </c>
    </row>
    <row r="895">
      <c r="A895">
        <f>_xlfn.XLOOKUP("373M-10-1",Trip[trip_id],Trip[trip_id],"Não encontrado")</f>
        <v/>
      </c>
      <c r="B895" s="53" t="n">
        <v>0.7337962962962963</v>
      </c>
      <c r="C895" s="53" t="n">
        <v>0.7337962962962963</v>
      </c>
      <c r="D895">
        <f>_xlfn.XLOOKUP(950006615,Stops[stop_id],Stops[stop_id],"Não encontrado")</f>
        <v/>
      </c>
      <c r="E895" t="n">
        <v>26</v>
      </c>
    </row>
    <row r="896">
      <c r="A896">
        <f>_xlfn.XLOOKUP("373M-10-1",Trip[trip_id],Trip[trip_id],"Não encontrado")</f>
        <v/>
      </c>
      <c r="B896" s="53" t="n">
        <v>0.7348148148148148</v>
      </c>
      <c r="C896" s="53" t="n">
        <v>0.7348148148148148</v>
      </c>
      <c r="D896">
        <f>_xlfn.XLOOKUP(950006674,Stops[stop_id],Stops[stop_id],"Não encontrado")</f>
        <v/>
      </c>
      <c r="E896" t="n">
        <v>27</v>
      </c>
    </row>
    <row r="897">
      <c r="A897">
        <f>_xlfn.XLOOKUP("373M-10-1",Trip[trip_id],Trip[trip_id],"Não encontrado")</f>
        <v/>
      </c>
      <c r="B897" s="53" t="n">
        <v>0.7358333333333333</v>
      </c>
      <c r="C897" s="53" t="n">
        <v>0.7358333333333333</v>
      </c>
      <c r="D897">
        <f>_xlfn.XLOOKUP(950006800,Stops[stop_id],Stops[stop_id],"Não encontrado")</f>
        <v/>
      </c>
      <c r="E897" t="n">
        <v>28</v>
      </c>
    </row>
    <row r="898">
      <c r="A898">
        <f>_xlfn.XLOOKUP("373M-10-1",Trip[trip_id],Trip[trip_id],"Não encontrado")</f>
        <v/>
      </c>
      <c r="B898" s="53" t="n">
        <v>0.7368518518518519</v>
      </c>
      <c r="C898" s="53" t="n">
        <v>0.7368518518518519</v>
      </c>
      <c r="D898">
        <f>_xlfn.XLOOKUP(950006617,Stops[stop_id],Stops[stop_id],"Não encontrado")</f>
        <v/>
      </c>
      <c r="E898" t="n">
        <v>29</v>
      </c>
    </row>
    <row r="899">
      <c r="A899">
        <f>_xlfn.XLOOKUP("373M-10-1",Trip[trip_id],Trip[trip_id],"Não encontrado")</f>
        <v/>
      </c>
      <c r="B899" s="53" t="n">
        <v>0.7378703703703704</v>
      </c>
      <c r="C899" s="53" t="n">
        <v>0.7378703703703704</v>
      </c>
      <c r="D899">
        <f>_xlfn.XLOOKUP(950006618,Stops[stop_id],Stops[stop_id],"Não encontrado")</f>
        <v/>
      </c>
      <c r="E899" t="n">
        <v>30</v>
      </c>
    </row>
    <row r="900">
      <c r="A900">
        <f>_xlfn.XLOOKUP("373M-10-1",Trip[trip_id],Trip[trip_id],"Não encontrado")</f>
        <v/>
      </c>
      <c r="B900" s="53" t="n">
        <v>0.7388888888888889</v>
      </c>
      <c r="C900" s="53" t="n">
        <v>0.7388888888888889</v>
      </c>
      <c r="D900">
        <f>_xlfn.XLOOKUP(950006620,Stops[stop_id],Stops[stop_id],"Não encontrado")</f>
        <v/>
      </c>
      <c r="E900" t="n">
        <v>31</v>
      </c>
    </row>
    <row r="901">
      <c r="A901">
        <f>_xlfn.XLOOKUP("373M-10-1",Trip[trip_id],Trip[trip_id],"Não encontrado")</f>
        <v/>
      </c>
      <c r="B901" s="53" t="n">
        <v>0.7399074074074075</v>
      </c>
      <c r="C901" s="53" t="n">
        <v>0.7399074074074075</v>
      </c>
      <c r="D901">
        <f>_xlfn.XLOOKUP(950006622,Stops[stop_id],Stops[stop_id],"Não encontrado")</f>
        <v/>
      </c>
      <c r="E901" t="n">
        <v>32</v>
      </c>
    </row>
    <row r="902">
      <c r="A902">
        <f>_xlfn.XLOOKUP("373M-10-1",Trip[trip_id],Trip[trip_id],"Não encontrado")</f>
        <v/>
      </c>
      <c r="B902" s="53" t="n">
        <v>0.7409259259259259</v>
      </c>
      <c r="C902" s="53" t="n">
        <v>0.7409259259259259</v>
      </c>
      <c r="D902">
        <f>_xlfn.XLOOKUP(950006624,Stops[stop_id],Stops[stop_id],"Não encontrado")</f>
        <v/>
      </c>
      <c r="E902" t="n">
        <v>33</v>
      </c>
    </row>
    <row r="903">
      <c r="A903">
        <f>_xlfn.XLOOKUP("373M-10-1",Trip[trip_id],Trip[trip_id],"Não encontrado")</f>
        <v/>
      </c>
      <c r="B903" s="53" t="n">
        <v>0.7419444444444444</v>
      </c>
      <c r="C903" s="53" t="n">
        <v>0.7419444444444444</v>
      </c>
      <c r="D903">
        <f>_xlfn.XLOOKUP(950006625,Stops[stop_id],Stops[stop_id],"Não encontrado")</f>
        <v/>
      </c>
      <c r="E903" t="n">
        <v>34</v>
      </c>
    </row>
    <row r="904">
      <c r="A904">
        <f>_xlfn.XLOOKUP("373M-10-1",Trip[trip_id],Trip[trip_id],"Não encontrado")</f>
        <v/>
      </c>
      <c r="B904" s="53" t="n">
        <v>0.7429629629629629</v>
      </c>
      <c r="C904" s="53" t="n">
        <v>0.7429629629629629</v>
      </c>
      <c r="D904">
        <f>_xlfn.XLOOKUP(950006626,Stops[stop_id],Stops[stop_id],"Não encontrado")</f>
        <v/>
      </c>
      <c r="E904" t="n">
        <v>35</v>
      </c>
    </row>
    <row r="905">
      <c r="A905">
        <f>_xlfn.XLOOKUP("373M-10-1",Trip[trip_id],Trip[trip_id],"Não encontrado")</f>
        <v/>
      </c>
      <c r="B905" s="53" t="n">
        <v>0.7439814814814815</v>
      </c>
      <c r="C905" s="53" t="n">
        <v>0.7439814814814815</v>
      </c>
      <c r="D905">
        <f>_xlfn.XLOOKUP(950006628,Stops[stop_id],Stops[stop_id],"Não encontrado")</f>
        <v/>
      </c>
      <c r="E905" t="n">
        <v>36</v>
      </c>
    </row>
    <row r="906">
      <c r="A906">
        <f>_xlfn.XLOOKUP("373M-10-1",Trip[trip_id],Trip[trip_id],"Não encontrado")</f>
        <v/>
      </c>
      <c r="B906" s="53" t="n">
        <v>0.745</v>
      </c>
      <c r="C906" s="53" t="n">
        <v>0.745</v>
      </c>
      <c r="D906">
        <f>_xlfn.XLOOKUP(950006629,Stops[stop_id],Stops[stop_id],"Não encontrado")</f>
        <v/>
      </c>
      <c r="E906" t="n">
        <v>37</v>
      </c>
    </row>
    <row r="907">
      <c r="A907">
        <f>_xlfn.XLOOKUP("373M-10-1",Trip[trip_id],Trip[trip_id],"Não encontrado")</f>
        <v/>
      </c>
      <c r="B907" s="53" t="n">
        <v>0.7460185185185185</v>
      </c>
      <c r="C907" s="53" t="n">
        <v>0.7460185185185185</v>
      </c>
      <c r="D907">
        <f>_xlfn.XLOOKUP(950006631,Stops[stop_id],Stops[stop_id],"Não encontrado")</f>
        <v/>
      </c>
      <c r="E907" t="n">
        <v>38</v>
      </c>
    </row>
    <row r="908">
      <c r="A908">
        <f>_xlfn.XLOOKUP("373M-10-1",Trip[trip_id],Trip[trip_id],"Não encontrado")</f>
        <v/>
      </c>
      <c r="B908" s="53" t="n">
        <v>0.7470370370370371</v>
      </c>
      <c r="C908" s="53" t="n">
        <v>0.7470370370370371</v>
      </c>
      <c r="D908">
        <f>_xlfn.XLOOKUP(740006514,Stops[stop_id],Stops[stop_id],"Não encontrado")</f>
        <v/>
      </c>
      <c r="E908" t="n">
        <v>39</v>
      </c>
    </row>
    <row r="909">
      <c r="A909">
        <f>_xlfn.XLOOKUP("373M-10-1",Trip[trip_id],Trip[trip_id],"Não encontrado")</f>
        <v/>
      </c>
      <c r="B909" s="53" t="n">
        <v>0.7480555555555556</v>
      </c>
      <c r="C909" s="53" t="n">
        <v>0.7480555555555556</v>
      </c>
      <c r="D909">
        <f>_xlfn.XLOOKUP(740006417,Stops[stop_id],Stops[stop_id],"Não encontrado")</f>
        <v/>
      </c>
      <c r="E909" t="n">
        <v>40</v>
      </c>
    </row>
    <row r="910">
      <c r="A910">
        <f>_xlfn.XLOOKUP("373M-10-1",Trip[trip_id],Trip[trip_id],"Não encontrado")</f>
        <v/>
      </c>
      <c r="B910" s="53" t="n">
        <v>0.7490740740740741</v>
      </c>
      <c r="C910" s="53" t="n">
        <v>0.7490740740740741</v>
      </c>
      <c r="D910">
        <f>_xlfn.XLOOKUP(740006414,Stops[stop_id],Stops[stop_id],"Não encontrado")</f>
        <v/>
      </c>
      <c r="E910" t="n">
        <v>41</v>
      </c>
    </row>
    <row r="911">
      <c r="A911">
        <f>_xlfn.XLOOKUP("373M-10-1",Trip[trip_id],Trip[trip_id],"Não encontrado")</f>
        <v/>
      </c>
      <c r="B911" s="53" t="n">
        <v>0.7500925925925926</v>
      </c>
      <c r="C911" s="53" t="n">
        <v>0.7500925925925926</v>
      </c>
      <c r="D911">
        <f>_xlfn.XLOOKUP(740006413,Stops[stop_id],Stops[stop_id],"Não encontrado")</f>
        <v/>
      </c>
      <c r="E911" t="n">
        <v>42</v>
      </c>
    </row>
    <row r="912">
      <c r="A912">
        <f>_xlfn.XLOOKUP("373M-10-1",Trip[trip_id],Trip[trip_id],"Não encontrado")</f>
        <v/>
      </c>
      <c r="B912" s="53" t="n">
        <v>0.7511111111111111</v>
      </c>
      <c r="C912" s="53" t="n">
        <v>0.7511111111111111</v>
      </c>
      <c r="D912">
        <f>_xlfn.XLOOKUP(7405512,Stops[stop_id],Stops[stop_id],"Não encontrado")</f>
        <v/>
      </c>
      <c r="E912" t="n">
        <v>43</v>
      </c>
    </row>
    <row r="913">
      <c r="A913">
        <f>_xlfn.XLOOKUP("373M-10-1",Trip[trip_id],Trip[trip_id],"Não encontrado")</f>
        <v/>
      </c>
      <c r="B913" s="53" t="n">
        <v>0.7521296296296296</v>
      </c>
      <c r="C913" s="53" t="n">
        <v>0.7521296296296296</v>
      </c>
      <c r="D913">
        <f>_xlfn.XLOOKUP(7405361,Stops[stop_id],Stops[stop_id],"Não encontrado")</f>
        <v/>
      </c>
      <c r="E913" t="n">
        <v>44</v>
      </c>
    </row>
    <row r="914">
      <c r="A914">
        <f>_xlfn.XLOOKUP("373M-10-1",Trip[trip_id],Trip[trip_id],"Não encontrado")</f>
        <v/>
      </c>
      <c r="B914" s="53" t="n">
        <v>0.7531481481481481</v>
      </c>
      <c r="C914" s="53" t="n">
        <v>0.7531481481481481</v>
      </c>
      <c r="D914">
        <f>_xlfn.XLOOKUP(740012712,Stops[stop_id],Stops[stop_id],"Não encontrado")</f>
        <v/>
      </c>
      <c r="E914" t="n">
        <v>45</v>
      </c>
    </row>
    <row r="915">
      <c r="A915">
        <f>_xlfn.XLOOKUP("373M-10-1",Trip[trip_id],Trip[trip_id],"Não encontrado")</f>
        <v/>
      </c>
      <c r="B915" s="53" t="n">
        <v>0.7541666666666667</v>
      </c>
      <c r="C915" s="53" t="n">
        <v>0.7541666666666667</v>
      </c>
      <c r="D915">
        <f>_xlfn.XLOOKUP(740006638,Stops[stop_id],Stops[stop_id],"Não encontrado")</f>
        <v/>
      </c>
      <c r="E915" t="n">
        <v>46</v>
      </c>
    </row>
    <row r="916">
      <c r="A916">
        <f>_xlfn.XLOOKUP("373M-10-1",Trip[trip_id],Trip[trip_id],"Não encontrado")</f>
        <v/>
      </c>
      <c r="B916" s="53" t="n">
        <v>0.7551851851851852</v>
      </c>
      <c r="C916" s="53" t="n">
        <v>0.7551851851851852</v>
      </c>
      <c r="D916">
        <f>_xlfn.XLOOKUP(740006636,Stops[stop_id],Stops[stop_id],"Não encontrado")</f>
        <v/>
      </c>
      <c r="E916" t="n">
        <v>47</v>
      </c>
    </row>
    <row r="917">
      <c r="A917">
        <f>_xlfn.XLOOKUP("373M-10-1",Trip[trip_id],Trip[trip_id],"Não encontrado")</f>
        <v/>
      </c>
      <c r="B917" s="53" t="n">
        <v>0.7562037037037037</v>
      </c>
      <c r="C917" s="53" t="n">
        <v>0.7562037037037037</v>
      </c>
      <c r="D917">
        <f>_xlfn.XLOOKUP(7405509,Stops[stop_id],Stops[stop_id],"Não encontrado")</f>
        <v/>
      </c>
      <c r="E917" t="n">
        <v>48</v>
      </c>
    </row>
    <row r="918">
      <c r="A918">
        <f>_xlfn.XLOOKUP("373M-10-1",Trip[trip_id],Trip[trip_id],"Não encontrado")</f>
        <v/>
      </c>
      <c r="B918" s="53" t="n">
        <v>0.7572222222222222</v>
      </c>
      <c r="C918" s="53" t="n">
        <v>0.7572222222222222</v>
      </c>
      <c r="D918">
        <f>_xlfn.XLOOKUP(7405363,Stops[stop_id],Stops[stop_id],"Não encontrado")</f>
        <v/>
      </c>
      <c r="E918" t="n">
        <v>49</v>
      </c>
    </row>
    <row r="919">
      <c r="A919">
        <f>_xlfn.XLOOKUP("373M-10-1",Trip[trip_id],Trip[trip_id],"Não encontrado")</f>
        <v/>
      </c>
      <c r="B919" s="53" t="n">
        <v>0.7582407407407408</v>
      </c>
      <c r="C919" s="53" t="n">
        <v>0.7582407407407408</v>
      </c>
      <c r="D919">
        <f>_xlfn.XLOOKUP(7405418,Stops[stop_id],Stops[stop_id],"Não encontrado")</f>
        <v/>
      </c>
      <c r="E919" t="n">
        <v>50</v>
      </c>
    </row>
    <row r="920">
      <c r="A920">
        <f>_xlfn.XLOOKUP("373M-10-1",Trip[trip_id],Trip[trip_id],"Não encontrado")</f>
        <v/>
      </c>
      <c r="B920" s="53" t="n">
        <v>0.7592592592592593</v>
      </c>
      <c r="C920" s="53" t="n">
        <v>0.7592592592592593</v>
      </c>
      <c r="D920">
        <f>_xlfn.XLOOKUP(740006518,Stops[stop_id],Stops[stop_id],"Não encontrado")</f>
        <v/>
      </c>
      <c r="E920" t="n">
        <v>51</v>
      </c>
    </row>
    <row r="921">
      <c r="A921">
        <f>_xlfn.XLOOKUP("373M-10-1",Trip[trip_id],Trip[trip_id],"Não encontrado")</f>
        <v/>
      </c>
      <c r="B921" s="53" t="n">
        <v>0.7602777777777778</v>
      </c>
      <c r="C921" s="53" t="n">
        <v>0.7602777777777778</v>
      </c>
      <c r="D921">
        <f>_xlfn.XLOOKUP(740006419,Stops[stop_id],Stops[stop_id],"Não encontrado")</f>
        <v/>
      </c>
      <c r="E921" t="n">
        <v>52</v>
      </c>
    </row>
    <row r="922">
      <c r="A922">
        <f>_xlfn.XLOOKUP("373M-10-1",Trip[trip_id],Trip[trip_id],"Não encontrado")</f>
        <v/>
      </c>
      <c r="B922" s="53" t="n">
        <v>0.7612962962962962</v>
      </c>
      <c r="C922" s="53" t="n">
        <v>0.7612962962962962</v>
      </c>
      <c r="D922">
        <f>_xlfn.XLOOKUP(7404439,Stops[stop_id],Stops[stop_id],"Não encontrado")</f>
        <v/>
      </c>
      <c r="E922" t="n">
        <v>53</v>
      </c>
    </row>
    <row r="923">
      <c r="A923">
        <f>_xlfn.XLOOKUP("373M-10-1",Trip[trip_id],Trip[trip_id],"Não encontrado")</f>
        <v/>
      </c>
      <c r="B923" s="53" t="n">
        <v>0.7623148148148148</v>
      </c>
      <c r="C923" s="53" t="n">
        <v>0.7623148148148148</v>
      </c>
      <c r="D923">
        <f>_xlfn.XLOOKUP(7404440,Stops[stop_id],Stops[stop_id],"Não encontrado")</f>
        <v/>
      </c>
      <c r="E923" t="n">
        <v>54</v>
      </c>
    </row>
    <row r="924">
      <c r="A924">
        <f>_xlfn.XLOOKUP("373M-10-1",Trip[trip_id],Trip[trip_id],"Não encontrado")</f>
        <v/>
      </c>
      <c r="B924" s="53" t="n">
        <v>0.7633333333333333</v>
      </c>
      <c r="C924" s="53" t="n">
        <v>0.7633333333333333</v>
      </c>
      <c r="D924">
        <f>_xlfn.XLOOKUP(7405499,Stops[stop_id],Stops[stop_id],"Não encontrado")</f>
        <v/>
      </c>
      <c r="E924" t="n">
        <v>55</v>
      </c>
    </row>
    <row r="925">
      <c r="A925">
        <f>_xlfn.XLOOKUP("373M-10-1",Trip[trip_id],Trip[trip_id],"Não encontrado")</f>
        <v/>
      </c>
      <c r="B925" s="53" t="n">
        <v>0.7643518518518518</v>
      </c>
      <c r="C925" s="53" t="n">
        <v>0.7643518518518518</v>
      </c>
      <c r="D925">
        <f>_xlfn.XLOOKUP(740006522,Stops[stop_id],Stops[stop_id],"Não encontrado")</f>
        <v/>
      </c>
      <c r="E925" t="n">
        <v>56</v>
      </c>
    </row>
    <row r="926">
      <c r="A926">
        <f>_xlfn.XLOOKUP("373M-10-1",Trip[trip_id],Trip[trip_id],"Não encontrado")</f>
        <v/>
      </c>
      <c r="B926" s="53" t="n">
        <v>0.7653703703703704</v>
      </c>
      <c r="C926" s="53" t="n">
        <v>0.7653703703703704</v>
      </c>
      <c r="D926">
        <f>_xlfn.XLOOKUP(740006523,Stops[stop_id],Stops[stop_id],"Não encontrado")</f>
        <v/>
      </c>
      <c r="E926" t="n">
        <v>57</v>
      </c>
    </row>
    <row r="927">
      <c r="A927">
        <f>_xlfn.XLOOKUP("373M-10-1",Trip[trip_id],Trip[trip_id],"Não encontrado")</f>
        <v/>
      </c>
      <c r="B927" s="53" t="n">
        <v>0.7663888888888889</v>
      </c>
      <c r="C927" s="53" t="n">
        <v>0.7663888888888889</v>
      </c>
      <c r="D927">
        <f>_xlfn.XLOOKUP(740006398,Stops[stop_id],Stops[stop_id],"Não encontrado")</f>
        <v/>
      </c>
      <c r="E927" t="n">
        <v>58</v>
      </c>
    </row>
    <row r="928">
      <c r="A928">
        <f>_xlfn.XLOOKUP("373M-10-1",Trip[trip_id],Trip[trip_id],"Não encontrado")</f>
        <v/>
      </c>
      <c r="B928" s="53" t="n">
        <v>0.7674074074074074</v>
      </c>
      <c r="C928" s="53" t="n">
        <v>0.7674074074074074</v>
      </c>
      <c r="D928">
        <f>_xlfn.XLOOKUP(740006395,Stops[stop_id],Stops[stop_id],"Não encontrado")</f>
        <v/>
      </c>
      <c r="E928" t="n">
        <v>59</v>
      </c>
    </row>
    <row r="929">
      <c r="A929">
        <f>_xlfn.XLOOKUP("373M-10-1",Trip[trip_id],Trip[trip_id],"Não encontrado")</f>
        <v/>
      </c>
      <c r="B929" s="53" t="n">
        <v>0.768425925925926</v>
      </c>
      <c r="C929" s="53" t="n">
        <v>0.768425925925926</v>
      </c>
      <c r="D929">
        <f>_xlfn.XLOOKUP(7405489,Stops[stop_id],Stops[stop_id],"Não encontrado")</f>
        <v/>
      </c>
      <c r="E929" t="n">
        <v>60</v>
      </c>
    </row>
    <row r="930">
      <c r="A930">
        <f>_xlfn.XLOOKUP("373M-10-1",Trip[trip_id],Trip[trip_id],"Não encontrado")</f>
        <v/>
      </c>
      <c r="B930" s="53" t="n">
        <v>0.7694444444444445</v>
      </c>
      <c r="C930" s="53" t="n">
        <v>0.7694444444444445</v>
      </c>
      <c r="D930">
        <f>_xlfn.XLOOKUP(740006390,Stops[stop_id],Stops[stop_id],"Não encontrado")</f>
        <v/>
      </c>
      <c r="E930" t="n">
        <v>61</v>
      </c>
    </row>
    <row r="931">
      <c r="A931">
        <f>_xlfn.XLOOKUP("373M-10-1",Trip[trip_id],Trip[trip_id],"Não encontrado")</f>
        <v/>
      </c>
      <c r="B931" s="53" t="n">
        <v>0.770462962962963</v>
      </c>
      <c r="C931" s="53" t="n">
        <v>0.770462962962963</v>
      </c>
      <c r="D931">
        <f>_xlfn.XLOOKUP(7405386,Stops[stop_id],Stops[stop_id],"Não encontrado")</f>
        <v/>
      </c>
      <c r="E931" t="n">
        <v>62</v>
      </c>
    </row>
    <row r="932">
      <c r="A932">
        <f>_xlfn.XLOOKUP("373M-10-1",Trip[trip_id],Trip[trip_id],"Não encontrado")</f>
        <v/>
      </c>
      <c r="B932" s="53" t="n">
        <v>0.7714814814814814</v>
      </c>
      <c r="C932" s="53" t="n">
        <v>0.7714814814814814</v>
      </c>
      <c r="D932">
        <f>_xlfn.XLOOKUP(740006387,Stops[stop_id],Stops[stop_id],"Não encontrado")</f>
        <v/>
      </c>
      <c r="E932" t="n">
        <v>63</v>
      </c>
    </row>
    <row r="933">
      <c r="A933">
        <f>_xlfn.XLOOKUP("373M-10-1",Trip[trip_id],Trip[trip_id],"Não encontrado")</f>
        <v/>
      </c>
      <c r="B933" s="53" t="n">
        <v>0.7725</v>
      </c>
      <c r="C933" s="53" t="n">
        <v>0.7725</v>
      </c>
      <c r="D933">
        <f>_xlfn.XLOOKUP(740006490,Stops[stop_id],Stops[stop_id],"Não encontrado")</f>
        <v/>
      </c>
      <c r="E933" t="n">
        <v>64</v>
      </c>
    </row>
    <row r="934">
      <c r="A934">
        <f>_xlfn.XLOOKUP("373M-10-1",Trip[trip_id],Trip[trip_id],"Não encontrado")</f>
        <v/>
      </c>
      <c r="B934" s="53" t="n">
        <v>0.775</v>
      </c>
      <c r="C934" s="53" t="n">
        <v>0.775</v>
      </c>
      <c r="D934">
        <f>_xlfn.XLOOKUP(740006493,Stops[stop_id],Stops[stop_id],"Não encontrado")</f>
        <v/>
      </c>
      <c r="E934" t="n">
        <v>65</v>
      </c>
    </row>
    <row r="935">
      <c r="A935">
        <f>_xlfn.XLOOKUP("373T-10-0",Trip[trip_id],Trip[trip_id],"Não encontrado")</f>
        <v/>
      </c>
      <c r="B935" s="53" t="n">
        <v>0.7083333333333334</v>
      </c>
      <c r="C935" s="53" t="n">
        <v>0.7083333333333334</v>
      </c>
      <c r="D935">
        <f>_xlfn.XLOOKUP(7504852,Stops[stop_id],Stops[stop_id],"Não encontrado")</f>
        <v/>
      </c>
      <c r="E935" t="n">
        <v>1</v>
      </c>
    </row>
    <row r="936">
      <c r="A936">
        <f>_xlfn.XLOOKUP("373T-10-0",Trip[trip_id],Trip[trip_id],"Não encontrado")</f>
        <v/>
      </c>
      <c r="B936" s="53" t="n">
        <v>0.7094328703703704</v>
      </c>
      <c r="C936" s="53" t="n">
        <v>0.7094328703703704</v>
      </c>
      <c r="D936">
        <f>_xlfn.XLOOKUP(750006278,Stops[stop_id],Stops[stop_id],"Não encontrado")</f>
        <v/>
      </c>
      <c r="E936" t="n">
        <v>2</v>
      </c>
    </row>
    <row r="937">
      <c r="A937">
        <f>_xlfn.XLOOKUP("373T-10-0",Trip[trip_id],Trip[trip_id],"Não encontrado")</f>
        <v/>
      </c>
      <c r="B937" s="53" t="n">
        <v>0.7105324074074074</v>
      </c>
      <c r="C937" s="53" t="n">
        <v>0.7105324074074074</v>
      </c>
      <c r="D937">
        <f>_xlfn.XLOOKUP(750006280,Stops[stop_id],Stops[stop_id],"Não encontrado")</f>
        <v/>
      </c>
      <c r="E937" t="n">
        <v>3</v>
      </c>
    </row>
    <row r="938">
      <c r="A938">
        <f>_xlfn.XLOOKUP("373T-10-0",Trip[trip_id],Trip[trip_id],"Não encontrado")</f>
        <v/>
      </c>
      <c r="B938" s="53" t="n">
        <v>0.7116319444444444</v>
      </c>
      <c r="C938" s="53" t="n">
        <v>0.7116319444444444</v>
      </c>
      <c r="D938">
        <f>_xlfn.XLOOKUP(750006282,Stops[stop_id],Stops[stop_id],"Não encontrado")</f>
        <v/>
      </c>
      <c r="E938" t="n">
        <v>4</v>
      </c>
    </row>
    <row r="939">
      <c r="A939">
        <f>_xlfn.XLOOKUP("373T-10-0",Trip[trip_id],Trip[trip_id],"Não encontrado")</f>
        <v/>
      </c>
      <c r="B939" s="53" t="n">
        <v>0.7127314814814815</v>
      </c>
      <c r="C939" s="53" t="n">
        <v>0.7127314814814815</v>
      </c>
      <c r="D939">
        <f>_xlfn.XLOOKUP(7504391,Stops[stop_id],Stops[stop_id],"Não encontrado")</f>
        <v/>
      </c>
      <c r="E939" t="n">
        <v>5</v>
      </c>
    </row>
    <row r="940">
      <c r="A940">
        <f>_xlfn.XLOOKUP("373T-10-0",Trip[trip_id],Trip[trip_id],"Não encontrado")</f>
        <v/>
      </c>
      <c r="B940" s="53" t="n">
        <v>0.7138310185185185</v>
      </c>
      <c r="C940" s="53" t="n">
        <v>0.7138310185185185</v>
      </c>
      <c r="D940">
        <f>_xlfn.XLOOKUP(780006287,Stops[stop_id],Stops[stop_id],"Não encontrado")</f>
        <v/>
      </c>
      <c r="E940" t="n">
        <v>6</v>
      </c>
    </row>
    <row r="941">
      <c r="A941">
        <f>_xlfn.XLOOKUP("373T-10-0",Trip[trip_id],Trip[trip_id],"Não encontrado")</f>
        <v/>
      </c>
      <c r="B941" s="53" t="n">
        <v>0.7149305555555555</v>
      </c>
      <c r="C941" s="53" t="n">
        <v>0.7149305555555555</v>
      </c>
      <c r="D941">
        <f>_xlfn.XLOOKUP(780006290,Stops[stop_id],Stops[stop_id],"Não encontrado")</f>
        <v/>
      </c>
      <c r="E941" t="n">
        <v>7</v>
      </c>
    </row>
    <row r="942">
      <c r="A942">
        <f>_xlfn.XLOOKUP("373T-10-0",Trip[trip_id],Trip[trip_id],"Não encontrado")</f>
        <v/>
      </c>
      <c r="B942" s="53" t="n">
        <v>0.7160300925925925</v>
      </c>
      <c r="C942" s="53" t="n">
        <v>0.7160300925925925</v>
      </c>
      <c r="D942">
        <f>_xlfn.XLOOKUP(7804421,Stops[stop_id],Stops[stop_id],"Não encontrado")</f>
        <v/>
      </c>
      <c r="E942" t="n">
        <v>8</v>
      </c>
    </row>
    <row r="943">
      <c r="A943">
        <f>_xlfn.XLOOKUP("373T-10-0",Trip[trip_id],Trip[trip_id],"Não encontrado")</f>
        <v/>
      </c>
      <c r="B943" s="53" t="n">
        <v>0.7171296296296297</v>
      </c>
      <c r="C943" s="53" t="n">
        <v>0.7171296296296297</v>
      </c>
      <c r="D943">
        <f>_xlfn.XLOOKUP(7804420,Stops[stop_id],Stops[stop_id],"Não encontrado")</f>
        <v/>
      </c>
      <c r="E943" t="n">
        <v>9</v>
      </c>
    </row>
    <row r="944">
      <c r="A944">
        <f>_xlfn.XLOOKUP("373T-10-0",Trip[trip_id],Trip[trip_id],"Não encontrado")</f>
        <v/>
      </c>
      <c r="B944" s="53" t="n">
        <v>0.7182291666666667</v>
      </c>
      <c r="C944" s="53" t="n">
        <v>0.7182291666666667</v>
      </c>
      <c r="D944">
        <f>_xlfn.XLOOKUP(780006292,Stops[stop_id],Stops[stop_id],"Não encontrado")</f>
        <v/>
      </c>
      <c r="E944" t="n">
        <v>10</v>
      </c>
    </row>
    <row r="945">
      <c r="A945">
        <f>_xlfn.XLOOKUP("373T-10-0",Trip[trip_id],Trip[trip_id],"Não encontrado")</f>
        <v/>
      </c>
      <c r="B945" s="53" t="n">
        <v>0.7193287037037037</v>
      </c>
      <c r="C945" s="53" t="n">
        <v>0.7193287037037037</v>
      </c>
      <c r="D945">
        <f>_xlfn.XLOOKUP(780006305,Stops[stop_id],Stops[stop_id],"Não encontrado")</f>
        <v/>
      </c>
      <c r="E945" t="n">
        <v>11</v>
      </c>
    </row>
    <row r="946">
      <c r="A946">
        <f>_xlfn.XLOOKUP("373T-10-0",Trip[trip_id],Trip[trip_id],"Não encontrado")</f>
        <v/>
      </c>
      <c r="B946" s="53" t="n">
        <v>0.7204282407407407</v>
      </c>
      <c r="C946" s="53" t="n">
        <v>0.7204282407407407</v>
      </c>
      <c r="D946">
        <f>_xlfn.XLOOKUP(7805166,Stops[stop_id],Stops[stop_id],"Não encontrado")</f>
        <v/>
      </c>
      <c r="E946" t="n">
        <v>12</v>
      </c>
    </row>
    <row r="947">
      <c r="A947">
        <f>_xlfn.XLOOKUP("373T-10-0",Trip[trip_id],Trip[trip_id],"Não encontrado")</f>
        <v/>
      </c>
      <c r="B947" s="53" t="n">
        <v>0.7215277777777778</v>
      </c>
      <c r="C947" s="53" t="n">
        <v>0.7215277777777778</v>
      </c>
      <c r="D947">
        <f>_xlfn.XLOOKUP(780006297,Stops[stop_id],Stops[stop_id],"Não encontrado")</f>
        <v/>
      </c>
      <c r="E947" t="n">
        <v>13</v>
      </c>
    </row>
    <row r="948">
      <c r="A948">
        <f>_xlfn.XLOOKUP("373T-10-0",Trip[trip_id],Trip[trip_id],"Não encontrado")</f>
        <v/>
      </c>
      <c r="B948" s="53" t="n">
        <v>0.7226273148148148</v>
      </c>
      <c r="C948" s="53" t="n">
        <v>0.7226273148148148</v>
      </c>
      <c r="D948">
        <f>_xlfn.XLOOKUP(780006298,Stops[stop_id],Stops[stop_id],"Não encontrado")</f>
        <v/>
      </c>
      <c r="E948" t="n">
        <v>14</v>
      </c>
    </row>
    <row r="949">
      <c r="A949">
        <f>_xlfn.XLOOKUP("373T-10-0",Trip[trip_id],Trip[trip_id],"Não encontrado")</f>
        <v/>
      </c>
      <c r="B949" s="53" t="n">
        <v>0.7237268518518518</v>
      </c>
      <c r="C949" s="53" t="n">
        <v>0.7237268518518518</v>
      </c>
      <c r="D949">
        <f>_xlfn.XLOOKUP(780006302,Stops[stop_id],Stops[stop_id],"Não encontrado")</f>
        <v/>
      </c>
      <c r="E949" t="n">
        <v>15</v>
      </c>
    </row>
    <row r="950">
      <c r="A950">
        <f>_xlfn.XLOOKUP("373T-10-0",Trip[trip_id],Trip[trip_id],"Não encontrado")</f>
        <v/>
      </c>
      <c r="B950" s="53" t="n">
        <v>0.7248263888888888</v>
      </c>
      <c r="C950" s="53" t="n">
        <v>0.7248263888888888</v>
      </c>
      <c r="D950">
        <f>_xlfn.XLOOKUP(7805136,Stops[stop_id],Stops[stop_id],"Não encontrado")</f>
        <v/>
      </c>
      <c r="E950" t="n">
        <v>16</v>
      </c>
    </row>
    <row r="951">
      <c r="A951">
        <f>_xlfn.XLOOKUP("373T-10-0",Trip[trip_id],Trip[trip_id],"Não encontrado")</f>
        <v/>
      </c>
      <c r="B951" s="53" t="n">
        <v>0.725925925925926</v>
      </c>
      <c r="C951" s="53" t="n">
        <v>0.725925925925926</v>
      </c>
      <c r="D951">
        <f>_xlfn.XLOOKUP(7805134,Stops[stop_id],Stops[stop_id],"Não encontrado")</f>
        <v/>
      </c>
      <c r="E951" t="n">
        <v>17</v>
      </c>
    </row>
    <row r="952">
      <c r="A952">
        <f>_xlfn.XLOOKUP("373T-10-0",Trip[trip_id],Trip[trip_id],"Não encontrado")</f>
        <v/>
      </c>
      <c r="B952" s="53" t="n">
        <v>0.727025462962963</v>
      </c>
      <c r="C952" s="53" t="n">
        <v>0.727025462962963</v>
      </c>
      <c r="D952">
        <f>_xlfn.XLOOKUP(780005533,Stops[stop_id],Stops[stop_id],"Não encontrado")</f>
        <v/>
      </c>
      <c r="E952" t="n">
        <v>18</v>
      </c>
    </row>
    <row r="953">
      <c r="A953">
        <f>_xlfn.XLOOKUP("373T-10-0",Trip[trip_id],Trip[trip_id],"Não encontrado")</f>
        <v/>
      </c>
      <c r="B953" s="53" t="n">
        <v>0.728125</v>
      </c>
      <c r="C953" s="53" t="n">
        <v>0.728125</v>
      </c>
      <c r="D953">
        <f>_xlfn.XLOOKUP(7805246,Stops[stop_id],Stops[stop_id],"Não encontrado")</f>
        <v/>
      </c>
      <c r="E953" t="n">
        <v>19</v>
      </c>
    </row>
    <row r="954">
      <c r="A954">
        <f>_xlfn.XLOOKUP("373T-10-0",Trip[trip_id],Trip[trip_id],"Não encontrado")</f>
        <v/>
      </c>
      <c r="B954" s="53" t="n">
        <v>0.729224537037037</v>
      </c>
      <c r="C954" s="53" t="n">
        <v>0.729224537037037</v>
      </c>
      <c r="D954">
        <f>_xlfn.XLOOKUP(780005555,Stops[stop_id],Stops[stop_id],"Não encontrado")</f>
        <v/>
      </c>
      <c r="E954" t="n">
        <v>20</v>
      </c>
    </row>
    <row r="955">
      <c r="A955">
        <f>_xlfn.XLOOKUP("373T-10-0",Trip[trip_id],Trip[trip_id],"Não encontrado")</f>
        <v/>
      </c>
      <c r="B955" s="53" t="n">
        <v>0.7303240740740741</v>
      </c>
      <c r="C955" s="53" t="n">
        <v>0.7303240740740741</v>
      </c>
      <c r="D955">
        <f>_xlfn.XLOOKUP(40005572,Stops[stop_id],Stops[stop_id],"Não encontrado")</f>
        <v/>
      </c>
      <c r="E955" t="n">
        <v>21</v>
      </c>
    </row>
    <row r="956">
      <c r="A956">
        <f>_xlfn.XLOOKUP("373T-10-0",Trip[trip_id],Trip[trip_id],"Não encontrado")</f>
        <v/>
      </c>
      <c r="B956" s="53" t="n">
        <v>0.7314236111111111</v>
      </c>
      <c r="C956" s="53" t="n">
        <v>0.7314236111111111</v>
      </c>
      <c r="D956">
        <f>_xlfn.XLOOKUP(780006365,Stops[stop_id],Stops[stop_id],"Não encontrado")</f>
        <v/>
      </c>
      <c r="E956" t="n">
        <v>22</v>
      </c>
    </row>
    <row r="957">
      <c r="A957">
        <f>_xlfn.XLOOKUP("373T-10-0",Trip[trip_id],Trip[trip_id],"Não encontrado")</f>
        <v/>
      </c>
      <c r="B957" s="53" t="n">
        <v>0.7325231481481481</v>
      </c>
      <c r="C957" s="53" t="n">
        <v>0.7325231481481481</v>
      </c>
      <c r="D957">
        <f>_xlfn.XLOOKUP(7804661,Stops[stop_id],Stops[stop_id],"Não encontrado")</f>
        <v/>
      </c>
      <c r="E957" t="n">
        <v>23</v>
      </c>
    </row>
    <row r="958">
      <c r="A958">
        <f>_xlfn.XLOOKUP("373T-10-0",Trip[trip_id],Trip[trip_id],"Não encontrado")</f>
        <v/>
      </c>
      <c r="B958" s="53" t="n">
        <v>0.7336226851851851</v>
      </c>
      <c r="C958" s="53" t="n">
        <v>0.7336226851851851</v>
      </c>
      <c r="D958">
        <f>_xlfn.XLOOKUP(7805128,Stops[stop_id],Stops[stop_id],"Não encontrado")</f>
        <v/>
      </c>
      <c r="E958" t="n">
        <v>24</v>
      </c>
    </row>
    <row r="959">
      <c r="A959">
        <f>_xlfn.XLOOKUP("373T-10-0",Trip[trip_id],Trip[trip_id],"Não encontrado")</f>
        <v/>
      </c>
      <c r="B959" s="53" t="n">
        <v>0.7347222222222223</v>
      </c>
      <c r="C959" s="53" t="n">
        <v>0.7347222222222223</v>
      </c>
      <c r="D959">
        <f>_xlfn.XLOOKUP(780006360,Stops[stop_id],Stops[stop_id],"Não encontrado")</f>
        <v/>
      </c>
      <c r="E959" t="n">
        <v>25</v>
      </c>
    </row>
    <row r="960">
      <c r="A960">
        <f>_xlfn.XLOOKUP("373T-10-0",Trip[trip_id],Trip[trip_id],"Não encontrado")</f>
        <v/>
      </c>
      <c r="B960" s="53" t="n">
        <v>0.7358217592592593</v>
      </c>
      <c r="C960" s="53" t="n">
        <v>0.7358217592592593</v>
      </c>
      <c r="D960">
        <f>_xlfn.XLOOKUP(780006358,Stops[stop_id],Stops[stop_id],"Não encontrado")</f>
        <v/>
      </c>
      <c r="E960" t="n">
        <v>26</v>
      </c>
    </row>
    <row r="961">
      <c r="A961">
        <f>_xlfn.XLOOKUP("373T-10-0",Trip[trip_id],Trip[trip_id],"Não encontrado")</f>
        <v/>
      </c>
      <c r="B961" s="53" t="n">
        <v>0.7369212962962963</v>
      </c>
      <c r="C961" s="53" t="n">
        <v>0.7369212962962963</v>
      </c>
      <c r="D961">
        <f>_xlfn.XLOOKUP(780006357,Stops[stop_id],Stops[stop_id],"Não encontrado")</f>
        <v/>
      </c>
      <c r="E961" t="n">
        <v>27</v>
      </c>
    </row>
    <row r="962">
      <c r="A962">
        <f>_xlfn.XLOOKUP("373T-10-0",Trip[trip_id],Trip[trip_id],"Não encontrado")</f>
        <v/>
      </c>
      <c r="B962" s="53" t="n">
        <v>0.7380208333333333</v>
      </c>
      <c r="C962" s="53" t="n">
        <v>0.7380208333333333</v>
      </c>
      <c r="D962">
        <f>_xlfn.XLOOKUP(780006670,Stops[stop_id],Stops[stop_id],"Não encontrado")</f>
        <v/>
      </c>
      <c r="E962" t="n">
        <v>28</v>
      </c>
    </row>
    <row r="963">
      <c r="A963">
        <f>_xlfn.XLOOKUP("373T-10-0",Trip[trip_id],Trip[trip_id],"Não encontrado")</f>
        <v/>
      </c>
      <c r="B963" s="53" t="n">
        <v>0.7391203703703704</v>
      </c>
      <c r="C963" s="53" t="n">
        <v>0.7391203703703704</v>
      </c>
      <c r="D963">
        <f>_xlfn.XLOOKUP(780006668,Stops[stop_id],Stops[stop_id],"Não encontrado")</f>
        <v/>
      </c>
      <c r="E963" t="n">
        <v>29</v>
      </c>
    </row>
    <row r="964">
      <c r="A964">
        <f>_xlfn.XLOOKUP("373T-10-0",Trip[trip_id],Trip[trip_id],"Não encontrado")</f>
        <v/>
      </c>
      <c r="B964" s="53" t="n">
        <v>0.7402199074074074</v>
      </c>
      <c r="C964" s="53" t="n">
        <v>0.7402199074074074</v>
      </c>
      <c r="D964">
        <f>_xlfn.XLOOKUP(780006665,Stops[stop_id],Stops[stop_id],"Não encontrado")</f>
        <v/>
      </c>
      <c r="E964" t="n">
        <v>30</v>
      </c>
    </row>
    <row r="965">
      <c r="A965">
        <f>_xlfn.XLOOKUP("373T-10-0",Trip[trip_id],Trip[trip_id],"Não encontrado")</f>
        <v/>
      </c>
      <c r="B965" s="53" t="n">
        <v>0.7413194444444444</v>
      </c>
      <c r="C965" s="53" t="n">
        <v>0.7413194444444444</v>
      </c>
      <c r="D965">
        <f>_xlfn.XLOOKUP(740006526,Stops[stop_id],Stops[stop_id],"Não encontrado")</f>
        <v/>
      </c>
      <c r="E965" t="n">
        <v>31</v>
      </c>
    </row>
    <row r="966">
      <c r="A966">
        <f>_xlfn.XLOOKUP("373T-10-0",Trip[trip_id],Trip[trip_id],"Não encontrado")</f>
        <v/>
      </c>
      <c r="B966" s="53" t="n">
        <v>0.7424189814814814</v>
      </c>
      <c r="C966" s="53" t="n">
        <v>0.7424189814814814</v>
      </c>
      <c r="D966">
        <f>_xlfn.XLOOKUP(7405481,Stops[stop_id],Stops[stop_id],"Não encontrado")</f>
        <v/>
      </c>
      <c r="E966" t="n">
        <v>32</v>
      </c>
    </row>
    <row r="967">
      <c r="A967">
        <f>_xlfn.XLOOKUP("373T-10-0",Trip[trip_id],Trip[trip_id],"Não encontrado")</f>
        <v/>
      </c>
      <c r="B967" s="53" t="n">
        <v>0.7435185185185185</v>
      </c>
      <c r="C967" s="53" t="n">
        <v>0.7435185185185185</v>
      </c>
      <c r="D967">
        <f>_xlfn.XLOOKUP(740006529,Stops[stop_id],Stops[stop_id],"Não encontrado")</f>
        <v/>
      </c>
      <c r="E967" t="n">
        <v>33</v>
      </c>
    </row>
    <row r="968">
      <c r="A968">
        <f>_xlfn.XLOOKUP("373T-10-0",Trip[trip_id],Trip[trip_id],"Não encontrado")</f>
        <v/>
      </c>
      <c r="B968" s="53" t="n">
        <v>0.7446180555555556</v>
      </c>
      <c r="C968" s="53" t="n">
        <v>0.7446180555555556</v>
      </c>
      <c r="D968">
        <f>_xlfn.XLOOKUP(740006531,Stops[stop_id],Stops[stop_id],"Não encontrado")</f>
        <v/>
      </c>
      <c r="E968" t="n">
        <v>34</v>
      </c>
    </row>
    <row r="969">
      <c r="A969">
        <f>_xlfn.XLOOKUP("373T-10-0",Trip[trip_id],Trip[trip_id],"Não encontrado")</f>
        <v/>
      </c>
      <c r="B969" s="53" t="n">
        <v>0.7457175925925926</v>
      </c>
      <c r="C969" s="53" t="n">
        <v>0.7457175925925926</v>
      </c>
      <c r="D969">
        <f>_xlfn.XLOOKUP(740006714,Stops[stop_id],Stops[stop_id],"Não encontrado")</f>
        <v/>
      </c>
      <c r="E969" t="n">
        <v>35</v>
      </c>
    </row>
    <row r="970">
      <c r="A970">
        <f>_xlfn.XLOOKUP("373T-10-0",Trip[trip_id],Trip[trip_id],"Não encontrado")</f>
        <v/>
      </c>
      <c r="B970" s="53" t="n">
        <v>0.7468171296296297</v>
      </c>
      <c r="C970" s="53" t="n">
        <v>0.7468171296296297</v>
      </c>
      <c r="D970">
        <f>_xlfn.XLOOKUP(740006717,Stops[stop_id],Stops[stop_id],"Não encontrado")</f>
        <v/>
      </c>
      <c r="E970" t="n">
        <v>36</v>
      </c>
    </row>
    <row r="971">
      <c r="A971">
        <f>_xlfn.XLOOKUP("373T-10-0",Trip[trip_id],Trip[trip_id],"Não encontrado")</f>
        <v/>
      </c>
      <c r="B971" s="53" t="n">
        <v>0.7479166666666667</v>
      </c>
      <c r="C971" s="53" t="n">
        <v>0.7479166666666667</v>
      </c>
      <c r="D971">
        <f>_xlfn.XLOOKUP(7404936,Stops[stop_id],Stops[stop_id],"Não encontrado")</f>
        <v/>
      </c>
      <c r="E971" t="n">
        <v>37</v>
      </c>
    </row>
    <row r="972">
      <c r="A972">
        <f>_xlfn.XLOOKUP("373T-10-0",Trip[trip_id],Trip[trip_id],"Não encontrado")</f>
        <v/>
      </c>
      <c r="B972" s="53" t="n">
        <v>0.7490162037037037</v>
      </c>
      <c r="C972" s="53" t="n">
        <v>0.7490162037037037</v>
      </c>
      <c r="D972">
        <f>_xlfn.XLOOKUP(740006719,Stops[stop_id],Stops[stop_id],"Não encontrado")</f>
        <v/>
      </c>
      <c r="E972" t="n">
        <v>38</v>
      </c>
    </row>
    <row r="973">
      <c r="A973">
        <f>_xlfn.XLOOKUP("373T-10-0",Trip[trip_id],Trip[trip_id],"Não encontrado")</f>
        <v/>
      </c>
      <c r="B973" s="53" t="n">
        <v>0.7501157407407407</v>
      </c>
      <c r="C973" s="53" t="n">
        <v>0.7501157407407407</v>
      </c>
      <c r="D973">
        <f>_xlfn.XLOOKUP(740006722,Stops[stop_id],Stops[stop_id],"Não encontrado")</f>
        <v/>
      </c>
      <c r="E973" t="n">
        <v>39</v>
      </c>
    </row>
    <row r="974">
      <c r="A974">
        <f>_xlfn.XLOOKUP("373T-10-0",Trip[trip_id],Trip[trip_id],"Não encontrado")</f>
        <v/>
      </c>
      <c r="B974" s="53" t="n">
        <v>0.7512152777777777</v>
      </c>
      <c r="C974" s="53" t="n">
        <v>0.7512152777777777</v>
      </c>
      <c r="D974">
        <f>_xlfn.XLOOKUP(740006723,Stops[stop_id],Stops[stop_id],"Não encontrado")</f>
        <v/>
      </c>
      <c r="E974" t="n">
        <v>40</v>
      </c>
    </row>
    <row r="975">
      <c r="A975">
        <f>_xlfn.XLOOKUP("373T-10-0",Trip[trip_id],Trip[trip_id],"Não encontrado")</f>
        <v/>
      </c>
      <c r="B975" s="53" t="n">
        <v>0.7523148148148148</v>
      </c>
      <c r="C975" s="53" t="n">
        <v>0.7523148148148148</v>
      </c>
      <c r="D975">
        <f>_xlfn.XLOOKUP(7404880,Stops[stop_id],Stops[stop_id],"Não encontrado")</f>
        <v/>
      </c>
      <c r="E975" t="n">
        <v>41</v>
      </c>
    </row>
    <row r="976">
      <c r="A976">
        <f>_xlfn.XLOOKUP("373T-10-0",Trip[trip_id],Trip[trip_id],"Não encontrado")</f>
        <v/>
      </c>
      <c r="B976" s="53" t="n">
        <v>0.7534143518518519</v>
      </c>
      <c r="C976" s="53" t="n">
        <v>0.7534143518518519</v>
      </c>
      <c r="D976">
        <f>_xlfn.XLOOKUP(7405524,Stops[stop_id],Stops[stop_id],"Não encontrado")</f>
        <v/>
      </c>
      <c r="E976" t="n">
        <v>42</v>
      </c>
    </row>
    <row r="977">
      <c r="A977">
        <f>_xlfn.XLOOKUP("373T-10-0",Trip[trip_id],Trip[trip_id],"Não encontrado")</f>
        <v/>
      </c>
      <c r="B977" s="53" t="n">
        <v>0.7545138888888889</v>
      </c>
      <c r="C977" s="53" t="n">
        <v>0.7545138888888889</v>
      </c>
      <c r="D977">
        <f>_xlfn.XLOOKUP(740006728,Stops[stop_id],Stops[stop_id],"Não encontrado")</f>
        <v/>
      </c>
      <c r="E977" t="n">
        <v>43</v>
      </c>
    </row>
    <row r="978">
      <c r="A978">
        <f>_xlfn.XLOOKUP("373T-10-0",Trip[trip_id],Trip[trip_id],"Não encontrado")</f>
        <v/>
      </c>
      <c r="B978" s="53" t="n">
        <v>0.755613425925926</v>
      </c>
      <c r="C978" s="53" t="n">
        <v>0.755613425925926</v>
      </c>
      <c r="D978">
        <f>_xlfn.XLOOKUP(740006730,Stops[stop_id],Stops[stop_id],"Não encontrado")</f>
        <v/>
      </c>
      <c r="E978" t="n">
        <v>44</v>
      </c>
    </row>
    <row r="979">
      <c r="A979">
        <f>_xlfn.XLOOKUP("373T-10-0",Trip[trip_id],Trip[trip_id],"Não encontrado")</f>
        <v/>
      </c>
      <c r="B979" s="53" t="n">
        <v>0.756712962962963</v>
      </c>
      <c r="C979" s="53" t="n">
        <v>0.756712962962963</v>
      </c>
      <c r="D979">
        <f>_xlfn.XLOOKUP(9505490,Stops[stop_id],Stops[stop_id],"Não encontrado")</f>
        <v/>
      </c>
      <c r="E979" t="n">
        <v>45</v>
      </c>
    </row>
    <row r="980">
      <c r="A980">
        <f>_xlfn.XLOOKUP("373T-10-0",Trip[trip_id],Trip[trip_id],"Não encontrado")</f>
        <v/>
      </c>
      <c r="B980" s="53" t="n">
        <v>0.7578125</v>
      </c>
      <c r="C980" s="53" t="n">
        <v>0.7578125</v>
      </c>
      <c r="D980">
        <f>_xlfn.XLOOKUP(950012726,Stops[stop_id],Stops[stop_id],"Não encontrado")</f>
        <v/>
      </c>
      <c r="E980" t="n">
        <v>46</v>
      </c>
    </row>
    <row r="981">
      <c r="A981">
        <f>_xlfn.XLOOKUP("373T-10-0",Trip[trip_id],Trip[trip_id],"Não encontrado")</f>
        <v/>
      </c>
      <c r="B981" s="53" t="n">
        <v>0.758912037037037</v>
      </c>
      <c r="C981" s="53" t="n">
        <v>0.758912037037037</v>
      </c>
      <c r="D981">
        <f>_xlfn.XLOOKUP(950012727,Stops[stop_id],Stops[stop_id],"Não encontrado")</f>
        <v/>
      </c>
      <c r="E981" t="n">
        <v>47</v>
      </c>
    </row>
    <row r="982">
      <c r="A982">
        <f>_xlfn.XLOOKUP("373T-10-0",Trip[trip_id],Trip[trip_id],"Não encontrado")</f>
        <v/>
      </c>
      <c r="B982" s="53" t="n">
        <v>0.760011574074074</v>
      </c>
      <c r="C982" s="53" t="n">
        <v>0.760011574074074</v>
      </c>
      <c r="D982">
        <f>_xlfn.XLOOKUP(9505636,Stops[stop_id],Stops[stop_id],"Não encontrado")</f>
        <v/>
      </c>
      <c r="E982" t="n">
        <v>48</v>
      </c>
    </row>
    <row r="983">
      <c r="A983">
        <f>_xlfn.XLOOKUP("373T-10-0",Trip[trip_id],Trip[trip_id],"Não encontrado")</f>
        <v/>
      </c>
      <c r="B983" s="53" t="n">
        <v>0.7611111111111111</v>
      </c>
      <c r="C983" s="53" t="n">
        <v>0.7611111111111111</v>
      </c>
      <c r="D983">
        <f>_xlfn.XLOOKUP(9505635,Stops[stop_id],Stops[stop_id],"Não encontrado")</f>
        <v/>
      </c>
      <c r="E983" t="n">
        <v>49</v>
      </c>
    </row>
    <row r="984">
      <c r="A984">
        <f>_xlfn.XLOOKUP("373T-10-0",Trip[trip_id],Trip[trip_id],"Não encontrado")</f>
        <v/>
      </c>
      <c r="B984" s="53" t="n">
        <v>0.7622106481481481</v>
      </c>
      <c r="C984" s="53" t="n">
        <v>0.7622106481481481</v>
      </c>
      <c r="D984">
        <f>_xlfn.XLOOKUP(950014141,Stops[stop_id],Stops[stop_id],"Não encontrado")</f>
        <v/>
      </c>
      <c r="E984" t="n">
        <v>50</v>
      </c>
    </row>
    <row r="985">
      <c r="A985">
        <f>_xlfn.XLOOKUP("373T-10-0",Trip[trip_id],Trip[trip_id],"Não encontrado")</f>
        <v/>
      </c>
      <c r="B985" s="53" t="n">
        <v>0.7633101851851852</v>
      </c>
      <c r="C985" s="53" t="n">
        <v>0.7633101851851852</v>
      </c>
      <c r="D985">
        <f>_xlfn.XLOOKUP(540014144,Stops[stop_id],Stops[stop_id],"Não encontrado")</f>
        <v/>
      </c>
      <c r="E985" t="n">
        <v>51</v>
      </c>
    </row>
    <row r="986">
      <c r="A986">
        <f>_xlfn.XLOOKUP("373T-10-0",Trip[trip_id],Trip[trip_id],"Não encontrado")</f>
        <v/>
      </c>
      <c r="B986" s="53" t="n">
        <v>0.7644097222222223</v>
      </c>
      <c r="C986" s="53" t="n">
        <v>0.7644097222222223</v>
      </c>
      <c r="D986">
        <f>_xlfn.XLOOKUP(540014147,Stops[stop_id],Stops[stop_id],"Não encontrado")</f>
        <v/>
      </c>
      <c r="E986" t="n">
        <v>52</v>
      </c>
    </row>
    <row r="987">
      <c r="A987">
        <f>_xlfn.XLOOKUP("373T-10-0",Trip[trip_id],Trip[trip_id],"Não encontrado")</f>
        <v/>
      </c>
      <c r="B987" s="53" t="n">
        <v>0.7655092592592593</v>
      </c>
      <c r="C987" s="53" t="n">
        <v>0.7655092592592593</v>
      </c>
      <c r="D987">
        <f>_xlfn.XLOOKUP(540014149,Stops[stop_id],Stops[stop_id],"Não encontrado")</f>
        <v/>
      </c>
      <c r="E987" t="n">
        <v>53</v>
      </c>
    </row>
    <row r="988">
      <c r="A988">
        <f>_xlfn.XLOOKUP("373T-10-0",Trip[trip_id],Trip[trip_id],"Não encontrado")</f>
        <v/>
      </c>
      <c r="B988" s="53" t="n">
        <v>0.7666087962962963</v>
      </c>
      <c r="C988" s="53" t="n">
        <v>0.7666087962962963</v>
      </c>
      <c r="D988">
        <f>_xlfn.XLOOKUP(540014151,Stops[stop_id],Stops[stop_id],"Não encontrado")</f>
        <v/>
      </c>
      <c r="E988" t="n">
        <v>54</v>
      </c>
    </row>
    <row r="989">
      <c r="A989">
        <f>_xlfn.XLOOKUP("373T-10-0",Trip[trip_id],Trip[trip_id],"Não encontrado")</f>
        <v/>
      </c>
      <c r="B989" s="53" t="n">
        <v>0.7677083333333333</v>
      </c>
      <c r="C989" s="53" t="n">
        <v>0.7677083333333333</v>
      </c>
      <c r="D989">
        <f>_xlfn.XLOOKUP(540014153,Stops[stop_id],Stops[stop_id],"Não encontrado")</f>
        <v/>
      </c>
      <c r="E989" t="n">
        <v>55</v>
      </c>
    </row>
    <row r="990">
      <c r="A990">
        <f>_xlfn.XLOOKUP("373T-10-0",Trip[trip_id],Trip[trip_id],"Não encontrado")</f>
        <v/>
      </c>
      <c r="B990" s="53" t="n">
        <v>0.7688078703703703</v>
      </c>
      <c r="C990" s="53" t="n">
        <v>0.7688078703703703</v>
      </c>
      <c r="D990">
        <f>_xlfn.XLOOKUP(5410094,Stops[stop_id],Stops[stop_id],"Não encontrado")</f>
        <v/>
      </c>
      <c r="E990" t="n">
        <v>56</v>
      </c>
    </row>
    <row r="991">
      <c r="A991">
        <f>_xlfn.XLOOKUP("373T-10-0",Trip[trip_id],Trip[trip_id],"Não encontrado")</f>
        <v/>
      </c>
      <c r="B991" s="53" t="n">
        <v>0.7699074074074074</v>
      </c>
      <c r="C991" s="53" t="n">
        <v>0.7699074074074074</v>
      </c>
      <c r="D991">
        <f>_xlfn.XLOOKUP(540014156,Stops[stop_id],Stops[stop_id],"Não encontrado")</f>
        <v/>
      </c>
      <c r="E991" t="n">
        <v>57</v>
      </c>
    </row>
    <row r="992">
      <c r="A992">
        <f>_xlfn.XLOOKUP("373T-10-0",Trip[trip_id],Trip[trip_id],"Não encontrado")</f>
        <v/>
      </c>
      <c r="B992" s="53" t="n">
        <v>0.7710069444444444</v>
      </c>
      <c r="C992" s="53" t="n">
        <v>0.7710069444444444</v>
      </c>
      <c r="D992">
        <f>_xlfn.XLOOKUP(540014157,Stops[stop_id],Stops[stop_id],"Não encontrado")</f>
        <v/>
      </c>
      <c r="E992" t="n">
        <v>58</v>
      </c>
    </row>
    <row r="993">
      <c r="A993">
        <f>_xlfn.XLOOKUP("373T-10-0",Trip[trip_id],Trip[trip_id],"Não encontrado")</f>
        <v/>
      </c>
      <c r="B993" s="53" t="n">
        <v>0.7721064814814815</v>
      </c>
      <c r="C993" s="53" t="n">
        <v>0.7721064814814815</v>
      </c>
      <c r="D993">
        <f>_xlfn.XLOOKUP(540014159,Stops[stop_id],Stops[stop_id],"Não encontrado")</f>
        <v/>
      </c>
      <c r="E993" t="n">
        <v>59</v>
      </c>
    </row>
    <row r="994">
      <c r="A994">
        <f>_xlfn.XLOOKUP("373T-10-0",Trip[trip_id],Trip[trip_id],"Não encontrado")</f>
        <v/>
      </c>
      <c r="B994" s="53" t="n">
        <v>0.7732060185185186</v>
      </c>
      <c r="C994" s="53" t="n">
        <v>0.7732060185185186</v>
      </c>
      <c r="D994">
        <f>_xlfn.XLOOKUP(5410183,Stops[stop_id],Stops[stop_id],"Não encontrado")</f>
        <v/>
      </c>
      <c r="E994" t="n">
        <v>60</v>
      </c>
    </row>
    <row r="995">
      <c r="A995">
        <f>_xlfn.XLOOKUP("373T-10-0",Trip[trip_id],Trip[trip_id],"Não encontrado")</f>
        <v/>
      </c>
      <c r="B995" s="53" t="n">
        <v>0.7756944444444445</v>
      </c>
      <c r="C995" s="53" t="n">
        <v>0.7756944444444445</v>
      </c>
      <c r="D995">
        <f>_xlfn.XLOOKUP(540014254,Stops[stop_id],Stops[stop_id],"Não encontrado")</f>
        <v/>
      </c>
      <c r="E995" t="n">
        <v>61</v>
      </c>
    </row>
    <row r="996">
      <c r="A996">
        <f>_xlfn.XLOOKUP("373T-10-1",Trip[trip_id],Trip[trip_id],"Não encontrado")</f>
        <v/>
      </c>
      <c r="B996" s="53" t="n">
        <v>0.7083333333333334</v>
      </c>
      <c r="C996" s="53" t="n">
        <v>0.7083333333333334</v>
      </c>
      <c r="D996">
        <f>_xlfn.XLOOKUP(540014254,Stops[stop_id],Stops[stop_id],"Não encontrado")</f>
        <v/>
      </c>
      <c r="E996" t="n">
        <v>1</v>
      </c>
    </row>
    <row r="997">
      <c r="A997">
        <f>_xlfn.XLOOKUP("373T-10-1",Trip[trip_id],Trip[trip_id],"Não encontrado")</f>
        <v/>
      </c>
      <c r="B997" s="53" t="n">
        <v>0.7095717592592593</v>
      </c>
      <c r="C997" s="53" t="n">
        <v>0.7095717592592593</v>
      </c>
      <c r="D997">
        <f>_xlfn.XLOOKUP(540014259,Stops[stop_id],Stops[stop_id],"Não encontrado")</f>
        <v/>
      </c>
      <c r="E997" t="n">
        <v>2</v>
      </c>
    </row>
    <row r="998">
      <c r="A998">
        <f>_xlfn.XLOOKUP("373T-10-1",Trip[trip_id],Trip[trip_id],"Não encontrado")</f>
        <v/>
      </c>
      <c r="B998" s="53" t="n">
        <v>0.7108101851851852</v>
      </c>
      <c r="C998" s="53" t="n">
        <v>0.7108101851851852</v>
      </c>
      <c r="D998">
        <f>_xlfn.XLOOKUP(5410188,Stops[stop_id],Stops[stop_id],"Não encontrado")</f>
        <v/>
      </c>
      <c r="E998" t="n">
        <v>3</v>
      </c>
    </row>
    <row r="999">
      <c r="A999">
        <f>_xlfn.XLOOKUP("373T-10-1",Trip[trip_id],Trip[trip_id],"Não encontrado")</f>
        <v/>
      </c>
      <c r="B999" s="53" t="n">
        <v>0.7120486111111111</v>
      </c>
      <c r="C999" s="53" t="n">
        <v>0.7120486111111111</v>
      </c>
      <c r="D999">
        <f>_xlfn.XLOOKUP(5410209,Stops[stop_id],Stops[stop_id],"Não encontrado")</f>
        <v/>
      </c>
      <c r="E999" t="n">
        <v>4</v>
      </c>
    </row>
    <row r="1000">
      <c r="A1000">
        <f>_xlfn.XLOOKUP("373T-10-1",Trip[trip_id],Trip[trip_id],"Não encontrado")</f>
        <v/>
      </c>
      <c r="B1000" s="53" t="n">
        <v>0.713287037037037</v>
      </c>
      <c r="C1000" s="53" t="n">
        <v>0.713287037037037</v>
      </c>
      <c r="D1000">
        <f>_xlfn.XLOOKUP(540014160,Stops[stop_id],Stops[stop_id],"Não encontrado")</f>
        <v/>
      </c>
      <c r="E1000" t="n">
        <v>5</v>
      </c>
    </row>
    <row r="1001">
      <c r="A1001">
        <f>_xlfn.XLOOKUP("373T-10-1",Trip[trip_id],Trip[trip_id],"Não encontrado")</f>
        <v/>
      </c>
      <c r="B1001" s="53" t="n">
        <v>0.7145254629629629</v>
      </c>
      <c r="C1001" s="53" t="n">
        <v>0.7145254629629629</v>
      </c>
      <c r="D1001">
        <f>_xlfn.XLOOKUP(540014155,Stops[stop_id],Stops[stop_id],"Não encontrado")</f>
        <v/>
      </c>
      <c r="E1001" t="n">
        <v>6</v>
      </c>
    </row>
    <row r="1002">
      <c r="A1002">
        <f>_xlfn.XLOOKUP("373T-10-1",Trip[trip_id],Trip[trip_id],"Não encontrado")</f>
        <v/>
      </c>
      <c r="B1002" s="53" t="n">
        <v>0.7157638888888889</v>
      </c>
      <c r="C1002" s="53" t="n">
        <v>0.7157638888888889</v>
      </c>
      <c r="D1002">
        <f>_xlfn.XLOOKUP(540014154,Stops[stop_id],Stops[stop_id],"Não encontrado")</f>
        <v/>
      </c>
      <c r="E1002" t="n">
        <v>7</v>
      </c>
    </row>
    <row r="1003">
      <c r="A1003">
        <f>_xlfn.XLOOKUP("373T-10-1",Trip[trip_id],Trip[trip_id],"Não encontrado")</f>
        <v/>
      </c>
      <c r="B1003" s="53" t="n">
        <v>0.7170023148148148</v>
      </c>
      <c r="C1003" s="53" t="n">
        <v>0.7170023148148148</v>
      </c>
      <c r="D1003">
        <f>_xlfn.XLOOKUP(540014152,Stops[stop_id],Stops[stop_id],"Não encontrado")</f>
        <v/>
      </c>
      <c r="E1003" t="n">
        <v>8</v>
      </c>
    </row>
    <row r="1004">
      <c r="A1004">
        <f>_xlfn.XLOOKUP("373T-10-1",Trip[trip_id],Trip[trip_id],"Não encontrado")</f>
        <v/>
      </c>
      <c r="B1004" s="53" t="n">
        <v>0.7182407407407407</v>
      </c>
      <c r="C1004" s="53" t="n">
        <v>0.7182407407407407</v>
      </c>
      <c r="D1004">
        <f>_xlfn.XLOOKUP(540014150,Stops[stop_id],Stops[stop_id],"Não encontrado")</f>
        <v/>
      </c>
      <c r="E1004" t="n">
        <v>9</v>
      </c>
    </row>
    <row r="1005">
      <c r="A1005">
        <f>_xlfn.XLOOKUP("373T-10-1",Trip[trip_id],Trip[trip_id],"Não encontrado")</f>
        <v/>
      </c>
      <c r="B1005" s="53" t="n">
        <v>0.7194791666666667</v>
      </c>
      <c r="C1005" s="53" t="n">
        <v>0.7194791666666667</v>
      </c>
      <c r="D1005">
        <f>_xlfn.XLOOKUP(540014148,Stops[stop_id],Stops[stop_id],"Não encontrado")</f>
        <v/>
      </c>
      <c r="E1005" t="n">
        <v>10</v>
      </c>
    </row>
    <row r="1006">
      <c r="A1006">
        <f>_xlfn.XLOOKUP("373T-10-1",Trip[trip_id],Trip[trip_id],"Não encontrado")</f>
        <v/>
      </c>
      <c r="B1006" s="53" t="n">
        <v>0.7207175925925926</v>
      </c>
      <c r="C1006" s="53" t="n">
        <v>0.7207175925925926</v>
      </c>
      <c r="D1006">
        <f>_xlfn.XLOOKUP(540014146,Stops[stop_id],Stops[stop_id],"Não encontrado")</f>
        <v/>
      </c>
      <c r="E1006" t="n">
        <v>11</v>
      </c>
    </row>
    <row r="1007">
      <c r="A1007">
        <f>_xlfn.XLOOKUP("373T-10-1",Trip[trip_id],Trip[trip_id],"Não encontrado")</f>
        <v/>
      </c>
      <c r="B1007" s="53" t="n">
        <v>0.7219560185185185</v>
      </c>
      <c r="C1007" s="53" t="n">
        <v>0.7219560185185185</v>
      </c>
      <c r="D1007">
        <f>_xlfn.XLOOKUP(540014145,Stops[stop_id],Stops[stop_id],"Não encontrado")</f>
        <v/>
      </c>
      <c r="E1007" t="n">
        <v>12</v>
      </c>
    </row>
    <row r="1008">
      <c r="A1008">
        <f>_xlfn.XLOOKUP("373T-10-1",Trip[trip_id],Trip[trip_id],"Não encontrado")</f>
        <v/>
      </c>
      <c r="B1008" s="53" t="n">
        <v>0.7231944444444445</v>
      </c>
      <c r="C1008" s="53" t="n">
        <v>0.7231944444444445</v>
      </c>
      <c r="D1008">
        <f>_xlfn.XLOOKUP(950014142,Stops[stop_id],Stops[stop_id],"Não encontrado")</f>
        <v/>
      </c>
      <c r="E1008" t="n">
        <v>13</v>
      </c>
    </row>
    <row r="1009">
      <c r="A1009">
        <f>_xlfn.XLOOKUP("373T-10-1",Trip[trip_id],Trip[trip_id],"Não encontrado")</f>
        <v/>
      </c>
      <c r="B1009" s="53" t="n">
        <v>0.7244328703703704</v>
      </c>
      <c r="C1009" s="53" t="n">
        <v>0.7244328703703704</v>
      </c>
      <c r="D1009">
        <f>_xlfn.XLOOKUP(9505468,Stops[stop_id],Stops[stop_id],"Não encontrado")</f>
        <v/>
      </c>
      <c r="E1009" t="n">
        <v>14</v>
      </c>
    </row>
    <row r="1010">
      <c r="A1010">
        <f>_xlfn.XLOOKUP("373T-10-1",Trip[trip_id],Trip[trip_id],"Não encontrado")</f>
        <v/>
      </c>
      <c r="B1010" s="53" t="n">
        <v>0.7256712962962963</v>
      </c>
      <c r="C1010" s="53" t="n">
        <v>0.7256712962962963</v>
      </c>
      <c r="D1010">
        <f>_xlfn.XLOOKUP(9505620,Stops[stop_id],Stops[stop_id],"Não encontrado")</f>
        <v/>
      </c>
      <c r="E1010" t="n">
        <v>15</v>
      </c>
    </row>
    <row r="1011">
      <c r="A1011">
        <f>_xlfn.XLOOKUP("373T-10-1",Trip[trip_id],Trip[trip_id],"Não encontrado")</f>
        <v/>
      </c>
      <c r="B1011" s="53" t="n">
        <v>0.7269097222222223</v>
      </c>
      <c r="C1011" s="53" t="n">
        <v>0.7269097222222223</v>
      </c>
      <c r="D1011">
        <f>_xlfn.XLOOKUP(950014268,Stops[stop_id],Stops[stop_id],"Não encontrado")</f>
        <v/>
      </c>
      <c r="E1011" t="n">
        <v>16</v>
      </c>
    </row>
    <row r="1012">
      <c r="A1012">
        <f>_xlfn.XLOOKUP("373T-10-1",Trip[trip_id],Trip[trip_id],"Não encontrado")</f>
        <v/>
      </c>
      <c r="B1012" s="53" t="n">
        <v>0.7281481481481481</v>
      </c>
      <c r="C1012" s="53" t="n">
        <v>0.7281481481481481</v>
      </c>
      <c r="D1012">
        <f>_xlfn.XLOOKUP(950014269,Stops[stop_id],Stops[stop_id],"Não encontrado")</f>
        <v/>
      </c>
      <c r="E1012" t="n">
        <v>17</v>
      </c>
    </row>
    <row r="1013">
      <c r="A1013">
        <f>_xlfn.XLOOKUP("373T-10-1",Trip[trip_id],Trip[trip_id],"Não encontrado")</f>
        <v/>
      </c>
      <c r="B1013" s="53" t="n">
        <v>0.729386574074074</v>
      </c>
      <c r="C1013" s="53" t="n">
        <v>0.729386574074074</v>
      </c>
      <c r="D1013">
        <f>_xlfn.XLOOKUP(950012711,Stops[stop_id],Stops[stop_id],"Não encontrado")</f>
        <v/>
      </c>
      <c r="E1013" t="n">
        <v>18</v>
      </c>
    </row>
    <row r="1014">
      <c r="A1014">
        <f>_xlfn.XLOOKUP("373T-10-1",Trip[trip_id],Trip[trip_id],"Não encontrado")</f>
        <v/>
      </c>
      <c r="B1014" s="53" t="n">
        <v>0.730625</v>
      </c>
      <c r="C1014" s="53" t="n">
        <v>0.730625</v>
      </c>
      <c r="D1014">
        <f>_xlfn.XLOOKUP(740012712,Stops[stop_id],Stops[stop_id],"Não encontrado")</f>
        <v/>
      </c>
      <c r="E1014" t="n">
        <v>19</v>
      </c>
    </row>
    <row r="1015">
      <c r="A1015">
        <f>_xlfn.XLOOKUP("373T-10-1",Trip[trip_id],Trip[trip_id],"Não encontrado")</f>
        <v/>
      </c>
      <c r="B1015" s="53" t="n">
        <v>0.7318634259259259</v>
      </c>
      <c r="C1015" s="53" t="n">
        <v>0.7318634259259259</v>
      </c>
      <c r="D1015">
        <f>_xlfn.XLOOKUP(740006731,Stops[stop_id],Stops[stop_id],"Não encontrado")</f>
        <v/>
      </c>
      <c r="E1015" t="n">
        <v>20</v>
      </c>
    </row>
    <row r="1016">
      <c r="A1016">
        <f>_xlfn.XLOOKUP("373T-10-1",Trip[trip_id],Trip[trip_id],"Não encontrado")</f>
        <v/>
      </c>
      <c r="B1016" s="53" t="n">
        <v>0.7331018518518518</v>
      </c>
      <c r="C1016" s="53" t="n">
        <v>0.7331018518518518</v>
      </c>
      <c r="D1016">
        <f>_xlfn.XLOOKUP(740006729,Stops[stop_id],Stops[stop_id],"Não encontrado")</f>
        <v/>
      </c>
      <c r="E1016" t="n">
        <v>21</v>
      </c>
    </row>
    <row r="1017">
      <c r="A1017">
        <f>_xlfn.XLOOKUP("373T-10-1",Trip[trip_id],Trip[trip_id],"Não encontrado")</f>
        <v/>
      </c>
      <c r="B1017" s="53" t="n">
        <v>0.7343402777777778</v>
      </c>
      <c r="C1017" s="53" t="n">
        <v>0.7343402777777778</v>
      </c>
      <c r="D1017">
        <f>_xlfn.XLOOKUP(740006727,Stops[stop_id],Stops[stop_id],"Não encontrado")</f>
        <v/>
      </c>
      <c r="E1017" t="n">
        <v>22</v>
      </c>
    </row>
    <row r="1018">
      <c r="A1018">
        <f>_xlfn.XLOOKUP("373T-10-1",Trip[trip_id],Trip[trip_id],"Não encontrado")</f>
        <v/>
      </c>
      <c r="B1018" s="53" t="n">
        <v>0.7355787037037037</v>
      </c>
      <c r="C1018" s="53" t="n">
        <v>0.7355787037037037</v>
      </c>
      <c r="D1018">
        <f>_xlfn.XLOOKUP(740006725,Stops[stop_id],Stops[stop_id],"Não encontrado")</f>
        <v/>
      </c>
      <c r="E1018" t="n">
        <v>23</v>
      </c>
    </row>
    <row r="1019">
      <c r="A1019">
        <f>_xlfn.XLOOKUP("373T-10-1",Trip[trip_id],Trip[trip_id],"Não encontrado")</f>
        <v/>
      </c>
      <c r="B1019" s="53" t="n">
        <v>0.7368171296296296</v>
      </c>
      <c r="C1019" s="53" t="n">
        <v>0.7368171296296296</v>
      </c>
      <c r="D1019">
        <f>_xlfn.XLOOKUP(740006724,Stops[stop_id],Stops[stop_id],"Não encontrado")</f>
        <v/>
      </c>
      <c r="E1019" t="n">
        <v>24</v>
      </c>
    </row>
    <row r="1020">
      <c r="A1020">
        <f>_xlfn.XLOOKUP("373T-10-1",Trip[trip_id],Trip[trip_id],"Não encontrado")</f>
        <v/>
      </c>
      <c r="B1020" s="53" t="n">
        <v>0.7380555555555556</v>
      </c>
      <c r="C1020" s="53" t="n">
        <v>0.7380555555555556</v>
      </c>
      <c r="D1020">
        <f>_xlfn.XLOOKUP(740006721,Stops[stop_id],Stops[stop_id],"Não encontrado")</f>
        <v/>
      </c>
      <c r="E1020" t="n">
        <v>25</v>
      </c>
    </row>
    <row r="1021">
      <c r="A1021">
        <f>_xlfn.XLOOKUP("373T-10-1",Trip[trip_id],Trip[trip_id],"Não encontrado")</f>
        <v/>
      </c>
      <c r="B1021" s="53" t="n">
        <v>0.7392939814814815</v>
      </c>
      <c r="C1021" s="53" t="n">
        <v>0.7392939814814815</v>
      </c>
      <c r="D1021">
        <f>_xlfn.XLOOKUP(740006720,Stops[stop_id],Stops[stop_id],"Não encontrado")</f>
        <v/>
      </c>
      <c r="E1021" t="n">
        <v>26</v>
      </c>
    </row>
    <row r="1022">
      <c r="A1022">
        <f>_xlfn.XLOOKUP("373T-10-1",Trip[trip_id],Trip[trip_id],"Não encontrado")</f>
        <v/>
      </c>
      <c r="B1022" s="53" t="n">
        <v>0.7405324074074074</v>
      </c>
      <c r="C1022" s="53" t="n">
        <v>0.7405324074074074</v>
      </c>
      <c r="D1022">
        <f>_xlfn.XLOOKUP(740006718,Stops[stop_id],Stops[stop_id],"Não encontrado")</f>
        <v/>
      </c>
      <c r="E1022" t="n">
        <v>27</v>
      </c>
    </row>
    <row r="1023">
      <c r="A1023">
        <f>_xlfn.XLOOKUP("373T-10-1",Trip[trip_id],Trip[trip_id],"Não encontrado")</f>
        <v/>
      </c>
      <c r="B1023" s="53" t="n">
        <v>0.7417708333333334</v>
      </c>
      <c r="C1023" s="53" t="n">
        <v>0.7417708333333334</v>
      </c>
      <c r="D1023">
        <f>_xlfn.XLOOKUP(740006716,Stops[stop_id],Stops[stop_id],"Não encontrado")</f>
        <v/>
      </c>
      <c r="E1023" t="n">
        <v>28</v>
      </c>
    </row>
    <row r="1024">
      <c r="A1024">
        <f>_xlfn.XLOOKUP("373T-10-1",Trip[trip_id],Trip[trip_id],"Não encontrado")</f>
        <v/>
      </c>
      <c r="B1024" s="53" t="n">
        <v>0.7430092592592593</v>
      </c>
      <c r="C1024" s="53" t="n">
        <v>0.7430092592592593</v>
      </c>
      <c r="D1024">
        <f>_xlfn.XLOOKUP(740006715,Stops[stop_id],Stops[stop_id],"Não encontrado")</f>
        <v/>
      </c>
      <c r="E1024" t="n">
        <v>29</v>
      </c>
    </row>
    <row r="1025">
      <c r="A1025">
        <f>_xlfn.XLOOKUP("373T-10-1",Trip[trip_id],Trip[trip_id],"Não encontrado")</f>
        <v/>
      </c>
      <c r="B1025" s="53" t="n">
        <v>0.7442476851851851</v>
      </c>
      <c r="C1025" s="53" t="n">
        <v>0.7442476851851851</v>
      </c>
      <c r="D1025">
        <f>_xlfn.XLOOKUP(740006525,Stops[stop_id],Stops[stop_id],"Não encontrado")</f>
        <v/>
      </c>
      <c r="E1025" t="n">
        <v>30</v>
      </c>
    </row>
    <row r="1026">
      <c r="A1026">
        <f>_xlfn.XLOOKUP("373T-10-1",Trip[trip_id],Trip[trip_id],"Não encontrado")</f>
        <v/>
      </c>
      <c r="B1026" s="53" t="n">
        <v>0.7454861111111111</v>
      </c>
      <c r="C1026" s="53" t="n">
        <v>0.7454861111111111</v>
      </c>
      <c r="D1026">
        <f>_xlfn.XLOOKUP(740006532,Stops[stop_id],Stops[stop_id],"Não encontrado")</f>
        <v/>
      </c>
      <c r="E1026" t="n">
        <v>31</v>
      </c>
    </row>
    <row r="1027">
      <c r="A1027">
        <f>_xlfn.XLOOKUP("373T-10-1",Trip[trip_id],Trip[trip_id],"Não encontrado")</f>
        <v/>
      </c>
      <c r="B1027" s="53" t="n">
        <v>0.746724537037037</v>
      </c>
      <c r="C1027" s="53" t="n">
        <v>0.746724537037037</v>
      </c>
      <c r="D1027">
        <f>_xlfn.XLOOKUP(740006530,Stops[stop_id],Stops[stop_id],"Não encontrado")</f>
        <v/>
      </c>
      <c r="E1027" t="n">
        <v>32</v>
      </c>
    </row>
    <row r="1028">
      <c r="A1028">
        <f>_xlfn.XLOOKUP("373T-10-1",Trip[trip_id],Trip[trip_id],"Não encontrado")</f>
        <v/>
      </c>
      <c r="B1028" s="53" t="n">
        <v>0.7479629629629629</v>
      </c>
      <c r="C1028" s="53" t="n">
        <v>0.7479629629629629</v>
      </c>
      <c r="D1028">
        <f>_xlfn.XLOOKUP(740006528,Stops[stop_id],Stops[stop_id],"Não encontrado")</f>
        <v/>
      </c>
      <c r="E1028" t="n">
        <v>33</v>
      </c>
    </row>
    <row r="1029">
      <c r="A1029">
        <f>_xlfn.XLOOKUP("373T-10-1",Trip[trip_id],Trip[trip_id],"Não encontrado")</f>
        <v/>
      </c>
      <c r="B1029" s="53" t="n">
        <v>0.7492013888888889</v>
      </c>
      <c r="C1029" s="53" t="n">
        <v>0.7492013888888889</v>
      </c>
      <c r="D1029">
        <f>_xlfn.XLOOKUP(7404969,Stops[stop_id],Stops[stop_id],"Não encontrado")</f>
        <v/>
      </c>
      <c r="E1029" t="n">
        <v>34</v>
      </c>
    </row>
    <row r="1030">
      <c r="A1030">
        <f>_xlfn.XLOOKUP("373T-10-1",Trip[trip_id],Trip[trip_id],"Não encontrado")</f>
        <v/>
      </c>
      <c r="B1030" s="53" t="n">
        <v>0.7504398148148148</v>
      </c>
      <c r="C1030" s="53" t="n">
        <v>0.7504398148148148</v>
      </c>
      <c r="D1030">
        <f>_xlfn.XLOOKUP(780006666,Stops[stop_id],Stops[stop_id],"Não encontrado")</f>
        <v/>
      </c>
      <c r="E1030" t="n">
        <v>35</v>
      </c>
    </row>
    <row r="1031">
      <c r="A1031">
        <f>_xlfn.XLOOKUP("373T-10-1",Trip[trip_id],Trip[trip_id],"Não encontrado")</f>
        <v/>
      </c>
      <c r="B1031" s="53" t="n">
        <v>0.7516782407407407</v>
      </c>
      <c r="C1031" s="53" t="n">
        <v>0.7516782407407407</v>
      </c>
      <c r="D1031">
        <f>_xlfn.XLOOKUP(780006667,Stops[stop_id],Stops[stop_id],"Não encontrado")</f>
        <v/>
      </c>
      <c r="E1031" t="n">
        <v>36</v>
      </c>
    </row>
    <row r="1032">
      <c r="A1032">
        <f>_xlfn.XLOOKUP("373T-10-1",Trip[trip_id],Trip[trip_id],"Não encontrado")</f>
        <v/>
      </c>
      <c r="B1032" s="53" t="n">
        <v>0.7529166666666667</v>
      </c>
      <c r="C1032" s="53" t="n">
        <v>0.7529166666666667</v>
      </c>
      <c r="D1032">
        <f>_xlfn.XLOOKUP(780006669,Stops[stop_id],Stops[stop_id],"Não encontrado")</f>
        <v/>
      </c>
      <c r="E1032" t="n">
        <v>37</v>
      </c>
    </row>
    <row r="1033">
      <c r="A1033">
        <f>_xlfn.XLOOKUP("373T-10-1",Trip[trip_id],Trip[trip_id],"Não encontrado")</f>
        <v/>
      </c>
      <c r="B1033" s="53" t="n">
        <v>0.7541550925925926</v>
      </c>
      <c r="C1033" s="53" t="n">
        <v>0.7541550925925926</v>
      </c>
      <c r="D1033">
        <f>_xlfn.XLOOKUP(780006671,Stops[stop_id],Stops[stop_id],"Não encontrado")</f>
        <v/>
      </c>
      <c r="E1033" t="n">
        <v>38</v>
      </c>
    </row>
    <row r="1034">
      <c r="A1034">
        <f>_xlfn.XLOOKUP("373T-10-1",Trip[trip_id],Trip[trip_id],"Não encontrado")</f>
        <v/>
      </c>
      <c r="B1034" s="53" t="n">
        <v>0.7553935185185185</v>
      </c>
      <c r="C1034" s="53" t="n">
        <v>0.7553935185185185</v>
      </c>
      <c r="D1034">
        <f>_xlfn.XLOOKUP(780006356,Stops[stop_id],Stops[stop_id],"Não encontrado")</f>
        <v/>
      </c>
      <c r="E1034" t="n">
        <v>39</v>
      </c>
    </row>
    <row r="1035">
      <c r="A1035">
        <f>_xlfn.XLOOKUP("373T-10-1",Trip[trip_id],Trip[trip_id],"Não encontrado")</f>
        <v/>
      </c>
      <c r="B1035" s="53" t="n">
        <v>0.7566319444444445</v>
      </c>
      <c r="C1035" s="53" t="n">
        <v>0.7566319444444445</v>
      </c>
      <c r="D1035">
        <f>_xlfn.XLOOKUP(780006359,Stops[stop_id],Stops[stop_id],"Não encontrado")</f>
        <v/>
      </c>
      <c r="E1035" t="n">
        <v>40</v>
      </c>
    </row>
    <row r="1036">
      <c r="A1036">
        <f>_xlfn.XLOOKUP("373T-10-1",Trip[trip_id],Trip[trip_id],"Não encontrado")</f>
        <v/>
      </c>
      <c r="B1036" s="53" t="n">
        <v>0.7578703703703704</v>
      </c>
      <c r="C1036" s="53" t="n">
        <v>0.7578703703703704</v>
      </c>
      <c r="D1036">
        <f>_xlfn.XLOOKUP(780006361,Stops[stop_id],Stops[stop_id],"Não encontrado")</f>
        <v/>
      </c>
      <c r="E1036" t="n">
        <v>41</v>
      </c>
    </row>
    <row r="1037">
      <c r="A1037">
        <f>_xlfn.XLOOKUP("373T-10-1",Trip[trip_id],Trip[trip_id],"Não encontrado")</f>
        <v/>
      </c>
      <c r="B1037" s="53" t="n">
        <v>0.7591087962962964</v>
      </c>
      <c r="C1037" s="53" t="n">
        <v>0.7591087962962964</v>
      </c>
      <c r="D1037">
        <f>_xlfn.XLOOKUP(780006363,Stops[stop_id],Stops[stop_id],"Não encontrado")</f>
        <v/>
      </c>
      <c r="E1037" t="n">
        <v>42</v>
      </c>
    </row>
    <row r="1038">
      <c r="A1038">
        <f>_xlfn.XLOOKUP("373T-10-1",Trip[trip_id],Trip[trip_id],"Não encontrado")</f>
        <v/>
      </c>
      <c r="B1038" s="53" t="n">
        <v>0.7603472222222222</v>
      </c>
      <c r="C1038" s="53" t="n">
        <v>0.7603472222222222</v>
      </c>
      <c r="D1038">
        <f>_xlfn.XLOOKUP(7804662,Stops[stop_id],Stops[stop_id],"Não encontrado")</f>
        <v/>
      </c>
      <c r="E1038" t="n">
        <v>43</v>
      </c>
    </row>
    <row r="1039">
      <c r="A1039">
        <f>_xlfn.XLOOKUP("373T-10-1",Trip[trip_id],Trip[trip_id],"Não encontrado")</f>
        <v/>
      </c>
      <c r="B1039" s="53" t="n">
        <v>0.7615856481481481</v>
      </c>
      <c r="C1039" s="53" t="n">
        <v>0.7615856481481481</v>
      </c>
      <c r="D1039">
        <f>_xlfn.XLOOKUP(780006364,Stops[stop_id],Stops[stop_id],"Não encontrado")</f>
        <v/>
      </c>
      <c r="E1039" t="n">
        <v>44</v>
      </c>
    </row>
    <row r="1040">
      <c r="A1040">
        <f>_xlfn.XLOOKUP("373T-10-1",Trip[trip_id],Trip[trip_id],"Não encontrado")</f>
        <v/>
      </c>
      <c r="B1040" s="53" t="n">
        <v>0.762824074074074</v>
      </c>
      <c r="C1040" s="53" t="n">
        <v>0.762824074074074</v>
      </c>
      <c r="D1040">
        <f>_xlfn.XLOOKUP(780005556,Stops[stop_id],Stops[stop_id],"Não encontrado")</f>
        <v/>
      </c>
      <c r="E1040" t="n">
        <v>45</v>
      </c>
    </row>
    <row r="1041">
      <c r="A1041">
        <f>_xlfn.XLOOKUP("373T-10-1",Trip[trip_id],Trip[trip_id],"Não encontrado")</f>
        <v/>
      </c>
      <c r="B1041" s="53" t="n">
        <v>0.7640625</v>
      </c>
      <c r="C1041" s="53" t="n">
        <v>0.7640625</v>
      </c>
      <c r="D1041">
        <f>_xlfn.XLOOKUP(780005553,Stops[stop_id],Stops[stop_id],"Não encontrado")</f>
        <v/>
      </c>
      <c r="E1041" t="n">
        <v>46</v>
      </c>
    </row>
    <row r="1042">
      <c r="A1042">
        <f>_xlfn.XLOOKUP("373T-10-1",Trip[trip_id],Trip[trip_id],"Não encontrado")</f>
        <v/>
      </c>
      <c r="B1042" s="53" t="n">
        <v>0.7653009259259259</v>
      </c>
      <c r="C1042" s="53" t="n">
        <v>0.7653009259259259</v>
      </c>
      <c r="D1042">
        <f>_xlfn.XLOOKUP(780005532,Stops[stop_id],Stops[stop_id],"Não encontrado")</f>
        <v/>
      </c>
      <c r="E1042" t="n">
        <v>47</v>
      </c>
    </row>
    <row r="1043">
      <c r="A1043">
        <f>_xlfn.XLOOKUP("373T-10-1",Trip[trip_id],Trip[trip_id],"Não encontrado")</f>
        <v/>
      </c>
      <c r="B1043" s="53" t="n">
        <v>0.7665393518518518</v>
      </c>
      <c r="C1043" s="53" t="n">
        <v>0.7665393518518518</v>
      </c>
      <c r="D1043">
        <f>_xlfn.XLOOKUP(780006300,Stops[stop_id],Stops[stop_id],"Não encontrado")</f>
        <v/>
      </c>
      <c r="E1043" t="n">
        <v>48</v>
      </c>
    </row>
    <row r="1044">
      <c r="A1044">
        <f>_xlfn.XLOOKUP("373T-10-1",Trip[trip_id],Trip[trip_id],"Não encontrado")</f>
        <v/>
      </c>
      <c r="B1044" s="53" t="n">
        <v>0.7677777777777778</v>
      </c>
      <c r="C1044" s="53" t="n">
        <v>0.7677777777777778</v>
      </c>
      <c r="D1044">
        <f>_xlfn.XLOOKUP(780006301,Stops[stop_id],Stops[stop_id],"Não encontrado")</f>
        <v/>
      </c>
      <c r="E1044" t="n">
        <v>49</v>
      </c>
    </row>
    <row r="1045">
      <c r="A1045">
        <f>_xlfn.XLOOKUP("373T-10-1",Trip[trip_id],Trip[trip_id],"Não encontrado")</f>
        <v/>
      </c>
      <c r="B1045" s="53" t="n">
        <v>0.7690162037037037</v>
      </c>
      <c r="C1045" s="53" t="n">
        <v>0.7690162037037037</v>
      </c>
      <c r="D1045">
        <f>_xlfn.XLOOKUP(780006303,Stops[stop_id],Stops[stop_id],"Não encontrado")</f>
        <v/>
      </c>
      <c r="E1045" t="n">
        <v>50</v>
      </c>
    </row>
    <row r="1046">
      <c r="A1046">
        <f>_xlfn.XLOOKUP("373T-10-1",Trip[trip_id],Trip[trip_id],"Não encontrado")</f>
        <v/>
      </c>
      <c r="B1046" s="53" t="n">
        <v>0.7702546296296297</v>
      </c>
      <c r="C1046" s="53" t="n">
        <v>0.7702546296296297</v>
      </c>
      <c r="D1046">
        <f>_xlfn.XLOOKUP(780006299,Stops[stop_id],Stops[stop_id],"Não encontrado")</f>
        <v/>
      </c>
      <c r="E1046" t="n">
        <v>51</v>
      </c>
    </row>
    <row r="1047">
      <c r="A1047">
        <f>_xlfn.XLOOKUP("373T-10-1",Trip[trip_id],Trip[trip_id],"Não encontrado")</f>
        <v/>
      </c>
      <c r="B1047" s="53" t="n">
        <v>0.7714930555555556</v>
      </c>
      <c r="C1047" s="53" t="n">
        <v>0.7714930555555556</v>
      </c>
      <c r="D1047">
        <f>_xlfn.XLOOKUP(780006296,Stops[stop_id],Stops[stop_id],"Não encontrado")</f>
        <v/>
      </c>
      <c r="E1047" t="n">
        <v>52</v>
      </c>
    </row>
    <row r="1048">
      <c r="A1048">
        <f>_xlfn.XLOOKUP("373T-10-1",Trip[trip_id],Trip[trip_id],"Não encontrado")</f>
        <v/>
      </c>
      <c r="B1048" s="53" t="n">
        <v>0.7727314814814815</v>
      </c>
      <c r="C1048" s="53" t="n">
        <v>0.7727314814814815</v>
      </c>
      <c r="D1048">
        <f>_xlfn.XLOOKUP(7804356,Stops[stop_id],Stops[stop_id],"Não encontrado")</f>
        <v/>
      </c>
      <c r="E1048" t="n">
        <v>53</v>
      </c>
    </row>
    <row r="1049">
      <c r="A1049">
        <f>_xlfn.XLOOKUP("373T-10-1",Trip[trip_id],Trip[trip_id],"Não encontrado")</f>
        <v/>
      </c>
      <c r="B1049" s="53" t="n">
        <v>0.7739699074074075</v>
      </c>
      <c r="C1049" s="53" t="n">
        <v>0.7739699074074075</v>
      </c>
      <c r="D1049">
        <f>_xlfn.XLOOKUP(780006304,Stops[stop_id],Stops[stop_id],"Não encontrado")</f>
        <v/>
      </c>
      <c r="E1049" t="n">
        <v>54</v>
      </c>
    </row>
    <row r="1050">
      <c r="A1050">
        <f>_xlfn.XLOOKUP("373T-10-1",Trip[trip_id],Trip[trip_id],"Não encontrado")</f>
        <v/>
      </c>
      <c r="B1050" s="53" t="n">
        <v>0.7752083333333334</v>
      </c>
      <c r="C1050" s="53" t="n">
        <v>0.7752083333333334</v>
      </c>
      <c r="D1050">
        <f>_xlfn.XLOOKUP(780006291,Stops[stop_id],Stops[stop_id],"Não encontrado")</f>
        <v/>
      </c>
      <c r="E1050" t="n">
        <v>55</v>
      </c>
    </row>
    <row r="1051">
      <c r="A1051">
        <f>_xlfn.XLOOKUP("373T-10-1",Trip[trip_id],Trip[trip_id],"Não encontrado")</f>
        <v/>
      </c>
      <c r="B1051" s="53" t="n">
        <v>0.7764467592592592</v>
      </c>
      <c r="C1051" s="53" t="n">
        <v>0.7764467592592592</v>
      </c>
      <c r="D1051">
        <f>_xlfn.XLOOKUP(780006289,Stops[stop_id],Stops[stop_id],"Não encontrado")</f>
        <v/>
      </c>
      <c r="E1051" t="n">
        <v>56</v>
      </c>
    </row>
    <row r="1052">
      <c r="A1052">
        <f>_xlfn.XLOOKUP("373T-10-1",Trip[trip_id],Trip[trip_id],"Não encontrado")</f>
        <v/>
      </c>
      <c r="B1052" s="53" t="n">
        <v>0.7776851851851851</v>
      </c>
      <c r="C1052" s="53" t="n">
        <v>0.7776851851851851</v>
      </c>
      <c r="D1052">
        <f>_xlfn.XLOOKUP(7804393,Stops[stop_id],Stops[stop_id],"Não encontrado")</f>
        <v/>
      </c>
      <c r="E1052" t="n">
        <v>57</v>
      </c>
    </row>
    <row r="1053">
      <c r="A1053">
        <f>_xlfn.XLOOKUP("373T-10-1",Trip[trip_id],Trip[trip_id],"Não encontrado")</f>
        <v/>
      </c>
      <c r="B1053" s="53" t="n">
        <v>0.7789236111111111</v>
      </c>
      <c r="C1053" s="53" t="n">
        <v>0.7789236111111111</v>
      </c>
      <c r="D1053">
        <f>_xlfn.XLOOKUP(750006285,Stops[stop_id],Stops[stop_id],"Não encontrado")</f>
        <v/>
      </c>
      <c r="E1053" t="n">
        <v>58</v>
      </c>
    </row>
    <row r="1054">
      <c r="A1054">
        <f>_xlfn.XLOOKUP("373T-10-1",Trip[trip_id],Trip[trip_id],"Não encontrado")</f>
        <v/>
      </c>
      <c r="B1054" s="53" t="n">
        <v>0.780162037037037</v>
      </c>
      <c r="C1054" s="53" t="n">
        <v>0.780162037037037</v>
      </c>
      <c r="D1054">
        <f>_xlfn.XLOOKUP(750006281,Stops[stop_id],Stops[stop_id],"Não encontrado")</f>
        <v/>
      </c>
      <c r="E1054" t="n">
        <v>59</v>
      </c>
    </row>
    <row r="1055">
      <c r="A1055">
        <f>_xlfn.XLOOKUP("373T-10-1",Trip[trip_id],Trip[trip_id],"Não encontrado")</f>
        <v/>
      </c>
      <c r="B1055" s="53" t="n">
        <v>0.7814004629629629</v>
      </c>
      <c r="C1055" s="53" t="n">
        <v>0.7814004629629629</v>
      </c>
      <c r="D1055">
        <f>_xlfn.XLOOKUP(750006279,Stops[stop_id],Stops[stop_id],"Não encontrado")</f>
        <v/>
      </c>
      <c r="E1055" t="n">
        <v>60</v>
      </c>
    </row>
    <row r="1056">
      <c r="A1056">
        <f>_xlfn.XLOOKUP("373T-10-1",Trip[trip_id],Trip[trip_id],"Não encontrado")</f>
        <v/>
      </c>
      <c r="B1056" s="53" t="n">
        <v>0.7840277777777778</v>
      </c>
      <c r="C1056" s="53" t="n">
        <v>0.7840277777777778</v>
      </c>
      <c r="D1056">
        <f>_xlfn.XLOOKUP(7504852,Stops[stop_id],Stops[stop_id],"Não encontrado")</f>
        <v/>
      </c>
      <c r="E1056" t="n">
        <v>61</v>
      </c>
    </row>
    <row r="1057">
      <c r="A1057">
        <f>_xlfn.XLOOKUP("3762-10-0",Trip[trip_id],Trip[trip_id],"Não encontrado")</f>
        <v/>
      </c>
      <c r="B1057" s="53" t="n">
        <v>0.7083333333333334</v>
      </c>
      <c r="C1057" s="53" t="n">
        <v>0.7083333333333334</v>
      </c>
      <c r="D1057">
        <f>_xlfn.XLOOKUP(780006319,Stops[stop_id],Stops[stop_id],"Não encontrado")</f>
        <v/>
      </c>
      <c r="E1057" t="n">
        <v>1</v>
      </c>
    </row>
    <row r="1058">
      <c r="A1058">
        <f>_xlfn.XLOOKUP("3762-10-0",Trip[trip_id],Trip[trip_id],"Não encontrado")</f>
        <v/>
      </c>
      <c r="B1058" s="53" t="n">
        <v>0.7093518518518519</v>
      </c>
      <c r="C1058" s="53" t="n">
        <v>0.7093518518518519</v>
      </c>
      <c r="D1058">
        <f>_xlfn.XLOOKUP(7805131,Stops[stop_id],Stops[stop_id],"Não encontrado")</f>
        <v/>
      </c>
      <c r="E1058" t="n">
        <v>2</v>
      </c>
    </row>
    <row r="1059">
      <c r="A1059">
        <f>_xlfn.XLOOKUP("3762-10-0",Trip[trip_id],Trip[trip_id],"Não encontrado")</f>
        <v/>
      </c>
      <c r="B1059" s="53" t="n">
        <v>0.7103703703703703</v>
      </c>
      <c r="C1059" s="53" t="n">
        <v>0.7103703703703703</v>
      </c>
      <c r="D1059">
        <f>_xlfn.XLOOKUP(780005530,Stops[stop_id],Stops[stop_id],"Não encontrado")</f>
        <v/>
      </c>
      <c r="E1059" t="n">
        <v>3</v>
      </c>
    </row>
    <row r="1060">
      <c r="A1060">
        <f>_xlfn.XLOOKUP("3762-10-0",Trip[trip_id],Trip[trip_id],"Não encontrado")</f>
        <v/>
      </c>
      <c r="B1060" s="53" t="n">
        <v>0.7113888888888888</v>
      </c>
      <c r="C1060" s="53" t="n">
        <v>0.7113888888888888</v>
      </c>
      <c r="D1060">
        <f>_xlfn.XLOOKUP(780005533,Stops[stop_id],Stops[stop_id],"Não encontrado")</f>
        <v/>
      </c>
      <c r="E1060" t="n">
        <v>4</v>
      </c>
    </row>
    <row r="1061">
      <c r="A1061">
        <f>_xlfn.XLOOKUP("3762-10-0",Trip[trip_id],Trip[trip_id],"Não encontrado")</f>
        <v/>
      </c>
      <c r="B1061" s="53" t="n">
        <v>0.7124074074074074</v>
      </c>
      <c r="C1061" s="53" t="n">
        <v>0.7124074074074074</v>
      </c>
      <c r="D1061">
        <f>_xlfn.XLOOKUP(40005535,Stops[stop_id],Stops[stop_id],"Não encontrado")</f>
        <v/>
      </c>
      <c r="E1061" t="n">
        <v>5</v>
      </c>
    </row>
    <row r="1062">
      <c r="A1062">
        <f>_xlfn.XLOOKUP("3762-10-0",Trip[trip_id],Trip[trip_id],"Não encontrado")</f>
        <v/>
      </c>
      <c r="B1062" s="53" t="n">
        <v>0.7134259259259259</v>
      </c>
      <c r="C1062" s="53" t="n">
        <v>0.7134259259259259</v>
      </c>
      <c r="D1062">
        <f>_xlfn.XLOOKUP(40005536,Stops[stop_id],Stops[stop_id],"Não encontrado")</f>
        <v/>
      </c>
      <c r="E1062" t="n">
        <v>6</v>
      </c>
    </row>
    <row r="1063">
      <c r="A1063">
        <f>_xlfn.XLOOKUP("3762-10-0",Trip[trip_id],Trip[trip_id],"Não encontrado")</f>
        <v/>
      </c>
      <c r="B1063" s="53" t="n">
        <v>0.7144444444444444</v>
      </c>
      <c r="C1063" s="53" t="n">
        <v>0.7144444444444444</v>
      </c>
      <c r="D1063">
        <f>_xlfn.XLOOKUP(40005538,Stops[stop_id],Stops[stop_id],"Não encontrado")</f>
        <v/>
      </c>
      <c r="E1063" t="n">
        <v>7</v>
      </c>
    </row>
    <row r="1064">
      <c r="A1064">
        <f>_xlfn.XLOOKUP("3762-10-0",Trip[trip_id],Trip[trip_id],"Não encontrado")</f>
        <v/>
      </c>
      <c r="B1064" s="53" t="n">
        <v>0.715462962962963</v>
      </c>
      <c r="C1064" s="53" t="n">
        <v>0.715462962962963</v>
      </c>
      <c r="D1064">
        <f>_xlfn.XLOOKUP(40005541,Stops[stop_id],Stops[stop_id],"Não encontrado")</f>
        <v/>
      </c>
      <c r="E1064" t="n">
        <v>8</v>
      </c>
    </row>
    <row r="1065">
      <c r="A1065">
        <f>_xlfn.XLOOKUP("3762-10-0",Trip[trip_id],Trip[trip_id],"Não encontrado")</f>
        <v/>
      </c>
      <c r="B1065" s="53" t="n">
        <v>0.7164814814814815</v>
      </c>
      <c r="C1065" s="53" t="n">
        <v>0.7164814814814815</v>
      </c>
      <c r="D1065">
        <f>_xlfn.XLOOKUP(404599,Stops[stop_id],Stops[stop_id],"Não encontrado")</f>
        <v/>
      </c>
      <c r="E1065" t="n">
        <v>9</v>
      </c>
    </row>
    <row r="1066">
      <c r="A1066">
        <f>_xlfn.XLOOKUP("3762-10-0",Trip[trip_id],Trip[trip_id],"Não encontrado")</f>
        <v/>
      </c>
      <c r="B1066" s="53" t="n">
        <v>0.7175</v>
      </c>
      <c r="C1066" s="53" t="n">
        <v>0.7175</v>
      </c>
      <c r="D1066">
        <f>_xlfn.XLOOKUP(404598,Stops[stop_id],Stops[stop_id],"Não encontrado")</f>
        <v/>
      </c>
      <c r="E1066" t="n">
        <v>10</v>
      </c>
    </row>
    <row r="1067">
      <c r="A1067">
        <f>_xlfn.XLOOKUP("3762-10-0",Trip[trip_id],Trip[trip_id],"Não encontrado")</f>
        <v/>
      </c>
      <c r="B1067" s="53" t="n">
        <v>0.7185185185185186</v>
      </c>
      <c r="C1067" s="53" t="n">
        <v>0.7185185185185186</v>
      </c>
      <c r="D1067">
        <f>_xlfn.XLOOKUP(404597,Stops[stop_id],Stops[stop_id],"Não encontrado")</f>
        <v/>
      </c>
      <c r="E1067" t="n">
        <v>11</v>
      </c>
    </row>
    <row r="1068">
      <c r="A1068">
        <f>_xlfn.XLOOKUP("3762-10-0",Trip[trip_id],Trip[trip_id],"Não encontrado")</f>
        <v/>
      </c>
      <c r="B1068" s="53" t="n">
        <v>0.7195370370370371</v>
      </c>
      <c r="C1068" s="53" t="n">
        <v>0.7195370370370371</v>
      </c>
      <c r="D1068">
        <f>_xlfn.XLOOKUP(404595,Stops[stop_id],Stops[stop_id],"Não encontrado")</f>
        <v/>
      </c>
      <c r="E1068" t="n">
        <v>12</v>
      </c>
    </row>
    <row r="1069">
      <c r="A1069">
        <f>_xlfn.XLOOKUP("3762-10-0",Trip[trip_id],Trip[trip_id],"Não encontrado")</f>
        <v/>
      </c>
      <c r="B1069" s="53" t="n">
        <v>0.7205555555555555</v>
      </c>
      <c r="C1069" s="53" t="n">
        <v>0.7205555555555555</v>
      </c>
      <c r="D1069">
        <f>_xlfn.XLOOKUP(404592,Stops[stop_id],Stops[stop_id],"Não encontrado")</f>
        <v/>
      </c>
      <c r="E1069" t="n">
        <v>13</v>
      </c>
    </row>
    <row r="1070">
      <c r="A1070">
        <f>_xlfn.XLOOKUP("3762-10-0",Trip[trip_id],Trip[trip_id],"Não encontrado")</f>
        <v/>
      </c>
      <c r="B1070" s="53" t="n">
        <v>0.721574074074074</v>
      </c>
      <c r="C1070" s="53" t="n">
        <v>0.721574074074074</v>
      </c>
      <c r="D1070">
        <f>_xlfn.XLOOKUP(404590,Stops[stop_id],Stops[stop_id],"Não encontrado")</f>
        <v/>
      </c>
      <c r="E1070" t="n">
        <v>14</v>
      </c>
    </row>
    <row r="1071">
      <c r="A1071">
        <f>_xlfn.XLOOKUP("3762-10-0",Trip[trip_id],Trip[trip_id],"Não encontrado")</f>
        <v/>
      </c>
      <c r="B1071" s="53" t="n">
        <v>0.7225925925925926</v>
      </c>
      <c r="C1071" s="53" t="n">
        <v>0.7225925925925926</v>
      </c>
      <c r="D1071">
        <f>_xlfn.XLOOKUP(40008569,Stops[stop_id],Stops[stop_id],"Não encontrado")</f>
        <v/>
      </c>
      <c r="E1071" t="n">
        <v>15</v>
      </c>
    </row>
    <row r="1072">
      <c r="A1072">
        <f>_xlfn.XLOOKUP("3762-10-0",Trip[trip_id],Trip[trip_id],"Não encontrado")</f>
        <v/>
      </c>
      <c r="B1072" s="53" t="n">
        <v>0.7236111111111111</v>
      </c>
      <c r="C1072" s="53" t="n">
        <v>0.7236111111111111</v>
      </c>
      <c r="D1072">
        <f>_xlfn.XLOOKUP(40008570,Stops[stop_id],Stops[stop_id],"Não encontrado")</f>
        <v/>
      </c>
      <c r="E1072" t="n">
        <v>16</v>
      </c>
    </row>
    <row r="1073">
      <c r="A1073">
        <f>_xlfn.XLOOKUP("3762-10-0",Trip[trip_id],Trip[trip_id],"Não encontrado")</f>
        <v/>
      </c>
      <c r="B1073" s="53" t="n">
        <v>0.7246296296296296</v>
      </c>
      <c r="C1073" s="53" t="n">
        <v>0.7246296296296296</v>
      </c>
      <c r="D1073">
        <f>_xlfn.XLOOKUP(870012610,Stops[stop_id],Stops[stop_id],"Não encontrado")</f>
        <v/>
      </c>
      <c r="E1073" t="n">
        <v>17</v>
      </c>
    </row>
    <row r="1074">
      <c r="A1074">
        <f>_xlfn.XLOOKUP("3762-10-0",Trip[trip_id],Trip[trip_id],"Não encontrado")</f>
        <v/>
      </c>
      <c r="B1074" s="53" t="n">
        <v>0.7256481481481482</v>
      </c>
      <c r="C1074" s="53" t="n">
        <v>0.7256481481481482</v>
      </c>
      <c r="D1074">
        <f>_xlfn.XLOOKUP(870012607,Stops[stop_id],Stops[stop_id],"Não encontrado")</f>
        <v/>
      </c>
      <c r="E1074" t="n">
        <v>18</v>
      </c>
    </row>
    <row r="1075">
      <c r="A1075">
        <f>_xlfn.XLOOKUP("3762-10-0",Trip[trip_id],Trip[trip_id],"Não encontrado")</f>
        <v/>
      </c>
      <c r="B1075" s="53" t="n">
        <v>0.7266666666666667</v>
      </c>
      <c r="C1075" s="53" t="n">
        <v>0.7266666666666667</v>
      </c>
      <c r="D1075">
        <f>_xlfn.XLOOKUP(870012605,Stops[stop_id],Stops[stop_id],"Não encontrado")</f>
        <v/>
      </c>
      <c r="E1075" t="n">
        <v>19</v>
      </c>
    </row>
    <row r="1076">
      <c r="A1076">
        <f>_xlfn.XLOOKUP("3762-10-0",Trip[trip_id],Trip[trip_id],"Não encontrado")</f>
        <v/>
      </c>
      <c r="B1076" s="53" t="n">
        <v>0.7276851851851852</v>
      </c>
      <c r="C1076" s="53" t="n">
        <v>0.7276851851851852</v>
      </c>
      <c r="D1076">
        <f>_xlfn.XLOOKUP(870008649,Stops[stop_id],Stops[stop_id],"Não encontrado")</f>
        <v/>
      </c>
      <c r="E1076" t="n">
        <v>20</v>
      </c>
    </row>
    <row r="1077">
      <c r="A1077">
        <f>_xlfn.XLOOKUP("3762-10-0",Trip[trip_id],Trip[trip_id],"Não encontrado")</f>
        <v/>
      </c>
      <c r="B1077" s="53" t="n">
        <v>0.7287037037037037</v>
      </c>
      <c r="C1077" s="53" t="n">
        <v>0.7287037037037037</v>
      </c>
      <c r="D1077">
        <f>_xlfn.XLOOKUP(8709751,Stops[stop_id],Stops[stop_id],"Não encontrado")</f>
        <v/>
      </c>
      <c r="E1077" t="n">
        <v>21</v>
      </c>
    </row>
    <row r="1078">
      <c r="A1078">
        <f>_xlfn.XLOOKUP("3762-10-0",Trip[trip_id],Trip[trip_id],"Não encontrado")</f>
        <v/>
      </c>
      <c r="B1078" s="53" t="n">
        <v>0.7297222222222223</v>
      </c>
      <c r="C1078" s="53" t="n">
        <v>0.7297222222222223</v>
      </c>
      <c r="D1078">
        <f>_xlfn.XLOOKUP(870008668,Stops[stop_id],Stops[stop_id],"Não encontrado")</f>
        <v/>
      </c>
      <c r="E1078" t="n">
        <v>22</v>
      </c>
    </row>
    <row r="1079">
      <c r="A1079">
        <f>_xlfn.XLOOKUP("3762-10-0",Trip[trip_id],Trip[trip_id],"Não encontrado")</f>
        <v/>
      </c>
      <c r="B1079" s="53" t="n">
        <v>0.7307407407407407</v>
      </c>
      <c r="C1079" s="53" t="n">
        <v>0.7307407407407407</v>
      </c>
      <c r="D1079">
        <f>_xlfn.XLOOKUP(870008635,Stops[stop_id],Stops[stop_id],"Não encontrado")</f>
        <v/>
      </c>
      <c r="E1079" t="n">
        <v>23</v>
      </c>
    </row>
    <row r="1080">
      <c r="A1080">
        <f>_xlfn.XLOOKUP("3762-10-0",Trip[trip_id],Trip[trip_id],"Não encontrado")</f>
        <v/>
      </c>
      <c r="B1080" s="53" t="n">
        <v>0.7317592592592592</v>
      </c>
      <c r="C1080" s="53" t="n">
        <v>0.7317592592592592</v>
      </c>
      <c r="D1080">
        <f>_xlfn.XLOOKUP(870008683,Stops[stop_id],Stops[stop_id],"Não encontrado")</f>
        <v/>
      </c>
      <c r="E1080" t="n">
        <v>24</v>
      </c>
    </row>
    <row r="1081">
      <c r="A1081">
        <f>_xlfn.XLOOKUP("3762-10-0",Trip[trip_id],Trip[trip_id],"Não encontrado")</f>
        <v/>
      </c>
      <c r="B1081" s="53" t="n">
        <v>0.7327777777777778</v>
      </c>
      <c r="C1081" s="53" t="n">
        <v>0.7327777777777778</v>
      </c>
      <c r="D1081">
        <f>_xlfn.XLOOKUP(8709700,Stops[stop_id],Stops[stop_id],"Não encontrado")</f>
        <v/>
      </c>
      <c r="E1081" t="n">
        <v>25</v>
      </c>
    </row>
    <row r="1082">
      <c r="A1082">
        <f>_xlfn.XLOOKUP("3762-10-0",Trip[trip_id],Trip[trip_id],"Não encontrado")</f>
        <v/>
      </c>
      <c r="B1082" s="53" t="n">
        <v>0.7337962962962963</v>
      </c>
      <c r="C1082" s="53" t="n">
        <v>0.7337962962962963</v>
      </c>
      <c r="D1082">
        <f>_xlfn.XLOOKUP(870008681,Stops[stop_id],Stops[stop_id],"Não encontrado")</f>
        <v/>
      </c>
      <c r="E1082" t="n">
        <v>26</v>
      </c>
    </row>
    <row r="1083">
      <c r="A1083">
        <f>_xlfn.XLOOKUP("3762-10-0",Trip[trip_id],Trip[trip_id],"Não encontrado")</f>
        <v/>
      </c>
      <c r="B1083" s="53" t="n">
        <v>0.7348148148148148</v>
      </c>
      <c r="C1083" s="53" t="n">
        <v>0.7348148148148148</v>
      </c>
      <c r="D1083">
        <f>_xlfn.XLOOKUP(870008679,Stops[stop_id],Stops[stop_id],"Não encontrado")</f>
        <v/>
      </c>
      <c r="E1083" t="n">
        <v>27</v>
      </c>
    </row>
    <row r="1084">
      <c r="A1084">
        <f>_xlfn.XLOOKUP("3762-10-0",Trip[trip_id],Trip[trip_id],"Não encontrado")</f>
        <v/>
      </c>
      <c r="B1084" s="53" t="n">
        <v>0.7358333333333333</v>
      </c>
      <c r="C1084" s="53" t="n">
        <v>0.7358333333333333</v>
      </c>
      <c r="D1084">
        <f>_xlfn.XLOOKUP(870008685,Stops[stop_id],Stops[stop_id],"Não encontrado")</f>
        <v/>
      </c>
      <c r="E1084" t="n">
        <v>28</v>
      </c>
    </row>
    <row r="1085">
      <c r="A1085">
        <f>_xlfn.XLOOKUP("3762-10-0",Trip[trip_id],Trip[trip_id],"Não encontrado")</f>
        <v/>
      </c>
      <c r="B1085" s="53" t="n">
        <v>0.7368518518518519</v>
      </c>
      <c r="C1085" s="53" t="n">
        <v>0.7368518518518519</v>
      </c>
      <c r="D1085">
        <f>_xlfn.XLOOKUP(870008687,Stops[stop_id],Stops[stop_id],"Não encontrado")</f>
        <v/>
      </c>
      <c r="E1085" t="n">
        <v>29</v>
      </c>
    </row>
    <row r="1086">
      <c r="A1086">
        <f>_xlfn.XLOOKUP("3762-10-0",Trip[trip_id],Trip[trip_id],"Não encontrado")</f>
        <v/>
      </c>
      <c r="B1086" s="53" t="n">
        <v>0.7378703703703704</v>
      </c>
      <c r="C1086" s="53" t="n">
        <v>0.7378703703703704</v>
      </c>
      <c r="D1086">
        <f>_xlfn.XLOOKUP(870008688,Stops[stop_id],Stops[stop_id],"Não encontrado")</f>
        <v/>
      </c>
      <c r="E1086" t="n">
        <v>30</v>
      </c>
    </row>
    <row r="1087">
      <c r="A1087">
        <f>_xlfn.XLOOKUP("3762-10-0",Trip[trip_id],Trip[trip_id],"Não encontrado")</f>
        <v/>
      </c>
      <c r="B1087" s="53" t="n">
        <v>0.7388888888888889</v>
      </c>
      <c r="C1087" s="53" t="n">
        <v>0.7388888888888889</v>
      </c>
      <c r="D1087">
        <f>_xlfn.XLOOKUP(870008690,Stops[stop_id],Stops[stop_id],"Não encontrado")</f>
        <v/>
      </c>
      <c r="E1087" t="n">
        <v>31</v>
      </c>
    </row>
    <row r="1088">
      <c r="A1088">
        <f>_xlfn.XLOOKUP("3762-10-0",Trip[trip_id],Trip[trip_id],"Não encontrado")</f>
        <v/>
      </c>
      <c r="B1088" s="53" t="n">
        <v>0.7399074074074075</v>
      </c>
      <c r="C1088" s="53" t="n">
        <v>0.7399074074074075</v>
      </c>
      <c r="D1088">
        <f>_xlfn.XLOOKUP(870008692,Stops[stop_id],Stops[stop_id],"Não encontrado")</f>
        <v/>
      </c>
      <c r="E1088" t="n">
        <v>32</v>
      </c>
    </row>
    <row r="1089">
      <c r="A1089">
        <f>_xlfn.XLOOKUP("3762-10-0",Trip[trip_id],Trip[trip_id],"Não encontrado")</f>
        <v/>
      </c>
      <c r="B1089" s="53" t="n">
        <v>0.7409259259259259</v>
      </c>
      <c r="C1089" s="53" t="n">
        <v>0.7409259259259259</v>
      </c>
      <c r="D1089">
        <f>_xlfn.XLOOKUP(200008694,Stops[stop_id],Stops[stop_id],"Não encontrado")</f>
        <v/>
      </c>
      <c r="E1089" t="n">
        <v>33</v>
      </c>
    </row>
    <row r="1090">
      <c r="A1090">
        <f>_xlfn.XLOOKUP("3762-10-0",Trip[trip_id],Trip[trip_id],"Não encontrado")</f>
        <v/>
      </c>
      <c r="B1090" s="53" t="n">
        <v>0.7419444444444444</v>
      </c>
      <c r="C1090" s="53" t="n">
        <v>0.7419444444444444</v>
      </c>
      <c r="D1090">
        <f>_xlfn.XLOOKUP(200008697,Stops[stop_id],Stops[stop_id],"Não encontrado")</f>
        <v/>
      </c>
      <c r="E1090" t="n">
        <v>34</v>
      </c>
    </row>
    <row r="1091">
      <c r="A1091">
        <f>_xlfn.XLOOKUP("3762-10-0",Trip[trip_id],Trip[trip_id],"Não encontrado")</f>
        <v/>
      </c>
      <c r="B1091" s="53" t="n">
        <v>0.7429629629629629</v>
      </c>
      <c r="C1091" s="53" t="n">
        <v>0.7429629629629629</v>
      </c>
      <c r="D1091">
        <f>_xlfn.XLOOKUP(200008698,Stops[stop_id],Stops[stop_id],"Não encontrado")</f>
        <v/>
      </c>
      <c r="E1091" t="n">
        <v>35</v>
      </c>
    </row>
    <row r="1092">
      <c r="A1092">
        <f>_xlfn.XLOOKUP("3762-10-0",Trip[trip_id],Trip[trip_id],"Não encontrado")</f>
        <v/>
      </c>
      <c r="B1092" s="53" t="n">
        <v>0.7439814814814815</v>
      </c>
      <c r="C1092" s="53" t="n">
        <v>0.7439814814814815</v>
      </c>
      <c r="D1092">
        <f>_xlfn.XLOOKUP(2009275,Stops[stop_id],Stops[stop_id],"Não encontrado")</f>
        <v/>
      </c>
      <c r="E1092" t="n">
        <v>36</v>
      </c>
    </row>
    <row r="1093">
      <c r="A1093">
        <f>_xlfn.XLOOKUP("3762-10-0",Trip[trip_id],Trip[trip_id],"Não encontrado")</f>
        <v/>
      </c>
      <c r="B1093" s="53" t="n">
        <v>0.745</v>
      </c>
      <c r="C1093" s="53" t="n">
        <v>0.745</v>
      </c>
      <c r="D1093">
        <f>_xlfn.XLOOKUP(2009254,Stops[stop_id],Stops[stop_id],"Não encontrado")</f>
        <v/>
      </c>
      <c r="E1093" t="n">
        <v>37</v>
      </c>
    </row>
    <row r="1094">
      <c r="A1094">
        <f>_xlfn.XLOOKUP("3762-10-0",Trip[trip_id],Trip[trip_id],"Não encontrado")</f>
        <v/>
      </c>
      <c r="B1094" s="53" t="n">
        <v>0.7460185185185185</v>
      </c>
      <c r="C1094" s="53" t="n">
        <v>0.7460185185185185</v>
      </c>
      <c r="D1094">
        <f>_xlfn.XLOOKUP(2009267,Stops[stop_id],Stops[stop_id],"Não encontrado")</f>
        <v/>
      </c>
      <c r="E1094" t="n">
        <v>38</v>
      </c>
    </row>
    <row r="1095">
      <c r="A1095">
        <f>_xlfn.XLOOKUP("3762-10-0",Trip[trip_id],Trip[trip_id],"Não encontrado")</f>
        <v/>
      </c>
      <c r="B1095" s="53" t="n">
        <v>0.7470370370370371</v>
      </c>
      <c r="C1095" s="53" t="n">
        <v>0.7470370370370371</v>
      </c>
      <c r="D1095">
        <f>_xlfn.XLOOKUP(200008702,Stops[stop_id],Stops[stop_id],"Não encontrado")</f>
        <v/>
      </c>
      <c r="E1095" t="n">
        <v>39</v>
      </c>
    </row>
    <row r="1096">
      <c r="A1096">
        <f>_xlfn.XLOOKUP("3762-10-0",Trip[trip_id],Trip[trip_id],"Não encontrado")</f>
        <v/>
      </c>
      <c r="B1096" s="53" t="n">
        <v>0.7480555555555556</v>
      </c>
      <c r="C1096" s="53" t="n">
        <v>0.7480555555555556</v>
      </c>
      <c r="D1096">
        <f>_xlfn.XLOOKUP(200008704,Stops[stop_id],Stops[stop_id],"Não encontrado")</f>
        <v/>
      </c>
      <c r="E1096" t="n">
        <v>40</v>
      </c>
    </row>
    <row r="1097">
      <c r="A1097">
        <f>_xlfn.XLOOKUP("3762-10-0",Trip[trip_id],Trip[trip_id],"Não encontrado")</f>
        <v/>
      </c>
      <c r="B1097" s="53" t="n">
        <v>0.7490740740740741</v>
      </c>
      <c r="C1097" s="53" t="n">
        <v>0.7490740740740741</v>
      </c>
      <c r="D1097">
        <f>_xlfn.XLOOKUP(200008706,Stops[stop_id],Stops[stop_id],"Não encontrado")</f>
        <v/>
      </c>
      <c r="E1097" t="n">
        <v>41</v>
      </c>
    </row>
    <row r="1098">
      <c r="A1098">
        <f>_xlfn.XLOOKUP("3762-10-0",Trip[trip_id],Trip[trip_id],"Não encontrado")</f>
        <v/>
      </c>
      <c r="B1098" s="53" t="n">
        <v>0.7500925925925926</v>
      </c>
      <c r="C1098" s="53" t="n">
        <v>0.7500925925925926</v>
      </c>
      <c r="D1098">
        <f>_xlfn.XLOOKUP(8210280,Stops[stop_id],Stops[stop_id],"Não encontrado")</f>
        <v/>
      </c>
      <c r="E1098" t="n">
        <v>42</v>
      </c>
    </row>
    <row r="1099">
      <c r="A1099">
        <f>_xlfn.XLOOKUP("3762-10-0",Trip[trip_id],Trip[trip_id],"Não encontrado")</f>
        <v/>
      </c>
      <c r="B1099" s="53" t="n">
        <v>0.7511111111111111</v>
      </c>
      <c r="C1099" s="53" t="n">
        <v>0.7511111111111111</v>
      </c>
      <c r="D1099">
        <f>_xlfn.XLOOKUP(8210275,Stops[stop_id],Stops[stop_id],"Não encontrado")</f>
        <v/>
      </c>
      <c r="E1099" t="n">
        <v>43</v>
      </c>
    </row>
    <row r="1100">
      <c r="A1100">
        <f>_xlfn.XLOOKUP("3762-10-0",Trip[trip_id],Trip[trip_id],"Não encontrado")</f>
        <v/>
      </c>
      <c r="B1100" s="53" t="n">
        <v>0.7521296296296296</v>
      </c>
      <c r="C1100" s="53" t="n">
        <v>0.7521296296296296</v>
      </c>
      <c r="D1100">
        <f>_xlfn.XLOOKUP(8209197,Stops[stop_id],Stops[stop_id],"Não encontrado")</f>
        <v/>
      </c>
      <c r="E1100" t="n">
        <v>44</v>
      </c>
    </row>
    <row r="1101">
      <c r="A1101">
        <f>_xlfn.XLOOKUP("3762-10-0",Trip[trip_id],Trip[trip_id],"Não encontrado")</f>
        <v/>
      </c>
      <c r="B1101" s="53" t="n">
        <v>0.7531481481481481</v>
      </c>
      <c r="C1101" s="53" t="n">
        <v>0.7531481481481481</v>
      </c>
      <c r="D1101">
        <f>_xlfn.XLOOKUP(8209203,Stops[stop_id],Stops[stop_id],"Não encontrado")</f>
        <v/>
      </c>
      <c r="E1101" t="n">
        <v>45</v>
      </c>
    </row>
    <row r="1102">
      <c r="A1102">
        <f>_xlfn.XLOOKUP("3762-10-0",Trip[trip_id],Trip[trip_id],"Não encontrado")</f>
        <v/>
      </c>
      <c r="B1102" s="53" t="n">
        <v>0.7541666666666667</v>
      </c>
      <c r="C1102" s="53" t="n">
        <v>0.7541666666666667</v>
      </c>
      <c r="D1102">
        <f>_xlfn.XLOOKUP(820008806,Stops[stop_id],Stops[stop_id],"Não encontrado")</f>
        <v/>
      </c>
      <c r="E1102" t="n">
        <v>46</v>
      </c>
    </row>
    <row r="1103">
      <c r="A1103">
        <f>_xlfn.XLOOKUP("3762-10-0",Trip[trip_id],Trip[trip_id],"Não encontrado")</f>
        <v/>
      </c>
      <c r="B1103" s="53" t="n">
        <v>0.7551851851851852</v>
      </c>
      <c r="C1103" s="53" t="n">
        <v>0.7551851851851852</v>
      </c>
      <c r="D1103">
        <f>_xlfn.XLOOKUP(820008807,Stops[stop_id],Stops[stop_id],"Não encontrado")</f>
        <v/>
      </c>
      <c r="E1103" t="n">
        <v>47</v>
      </c>
    </row>
    <row r="1104">
      <c r="A1104">
        <f>_xlfn.XLOOKUP("3762-10-0",Trip[trip_id],Trip[trip_id],"Não encontrado")</f>
        <v/>
      </c>
      <c r="B1104" s="53" t="n">
        <v>0.7562037037037037</v>
      </c>
      <c r="C1104" s="53" t="n">
        <v>0.7562037037037037</v>
      </c>
      <c r="D1104">
        <f>_xlfn.XLOOKUP(820008856,Stops[stop_id],Stops[stop_id],"Não encontrado")</f>
        <v/>
      </c>
      <c r="E1104" t="n">
        <v>48</v>
      </c>
    </row>
    <row r="1105">
      <c r="A1105">
        <f>_xlfn.XLOOKUP("3762-10-0",Trip[trip_id],Trip[trip_id],"Não encontrado")</f>
        <v/>
      </c>
      <c r="B1105" s="53" t="n">
        <v>0.7572222222222222</v>
      </c>
      <c r="C1105" s="53" t="n">
        <v>0.7572222222222222</v>
      </c>
      <c r="D1105">
        <f>_xlfn.XLOOKUP(820008857,Stops[stop_id],Stops[stop_id],"Não encontrado")</f>
        <v/>
      </c>
      <c r="E1105" t="n">
        <v>49</v>
      </c>
    </row>
    <row r="1106">
      <c r="A1106">
        <f>_xlfn.XLOOKUP("3762-10-0",Trip[trip_id],Trip[trip_id],"Não encontrado")</f>
        <v/>
      </c>
      <c r="B1106" s="53" t="n">
        <v>0.7582407407407408</v>
      </c>
      <c r="C1106" s="53" t="n">
        <v>0.7582407407407408</v>
      </c>
      <c r="D1106">
        <f>_xlfn.XLOOKUP(8210279,Stops[stop_id],Stops[stop_id],"Não encontrado")</f>
        <v/>
      </c>
      <c r="E1106" t="n">
        <v>50</v>
      </c>
    </row>
    <row r="1107">
      <c r="A1107">
        <f>_xlfn.XLOOKUP("3762-10-0",Trip[trip_id],Trip[trip_id],"Não encontrado")</f>
        <v/>
      </c>
      <c r="B1107" s="53" t="n">
        <v>0.7592592592592593</v>
      </c>
      <c r="C1107" s="53" t="n">
        <v>0.7592592592592593</v>
      </c>
      <c r="D1107">
        <f>_xlfn.XLOOKUP(820008812,Stops[stop_id],Stops[stop_id],"Não encontrado")</f>
        <v/>
      </c>
      <c r="E1107" t="n">
        <v>51</v>
      </c>
    </row>
    <row r="1108">
      <c r="A1108">
        <f>_xlfn.XLOOKUP("3762-10-0",Trip[trip_id],Trip[trip_id],"Não encontrado")</f>
        <v/>
      </c>
      <c r="B1108" s="53" t="n">
        <v>0.7602777777777778</v>
      </c>
      <c r="C1108" s="53" t="n">
        <v>0.7602777777777778</v>
      </c>
      <c r="D1108">
        <f>_xlfn.XLOOKUP(8210261,Stops[stop_id],Stops[stop_id],"Não encontrado")</f>
        <v/>
      </c>
      <c r="E1108" t="n">
        <v>52</v>
      </c>
    </row>
    <row r="1109">
      <c r="A1109">
        <f>_xlfn.XLOOKUP("3762-10-0",Trip[trip_id],Trip[trip_id],"Não encontrado")</f>
        <v/>
      </c>
      <c r="B1109" s="53" t="n">
        <v>0.7625</v>
      </c>
      <c r="C1109" s="53" t="n">
        <v>0.7625</v>
      </c>
      <c r="D1109">
        <f>_xlfn.XLOOKUP(8210187,Stops[stop_id],Stops[stop_id],"Não encontrado")</f>
        <v/>
      </c>
      <c r="E1109" t="n">
        <v>53</v>
      </c>
    </row>
    <row r="1110">
      <c r="A1110">
        <f>_xlfn.XLOOKUP("3762-10-1",Trip[trip_id],Trip[trip_id],"Não encontrado")</f>
        <v/>
      </c>
      <c r="B1110" s="53" t="n">
        <v>0.7083333333333334</v>
      </c>
      <c r="C1110" s="53" t="n">
        <v>0.7083333333333334</v>
      </c>
      <c r="D1110">
        <f>_xlfn.XLOOKUP(8210187,Stops[stop_id],Stops[stop_id],"Não encontrado")</f>
        <v/>
      </c>
      <c r="E1110" t="n">
        <v>1</v>
      </c>
    </row>
    <row r="1111">
      <c r="A1111">
        <f>_xlfn.XLOOKUP("3762-10-1",Trip[trip_id],Trip[trip_id],"Não encontrado")</f>
        <v/>
      </c>
      <c r="B1111" s="53" t="n">
        <v>0.7095370370370371</v>
      </c>
      <c r="C1111" s="53" t="n">
        <v>0.7095370370370371</v>
      </c>
      <c r="D1111">
        <f>_xlfn.XLOOKUP(820008420,Stops[stop_id],Stops[stop_id],"Não encontrado")</f>
        <v/>
      </c>
      <c r="E1111" t="n">
        <v>2</v>
      </c>
    </row>
    <row r="1112">
      <c r="A1112">
        <f>_xlfn.XLOOKUP("3762-10-1",Trip[trip_id],Trip[trip_id],"Não encontrado")</f>
        <v/>
      </c>
      <c r="B1112" s="53" t="n">
        <v>0.7107407407407408</v>
      </c>
      <c r="C1112" s="53" t="n">
        <v>0.7107407407407408</v>
      </c>
      <c r="D1112">
        <f>_xlfn.XLOOKUP(8209773,Stops[stop_id],Stops[stop_id],"Não encontrado")</f>
        <v/>
      </c>
      <c r="E1112" t="n">
        <v>3</v>
      </c>
    </row>
    <row r="1113">
      <c r="A1113">
        <f>_xlfn.XLOOKUP("3762-10-1",Trip[trip_id],Trip[trip_id],"Não encontrado")</f>
        <v/>
      </c>
      <c r="B1113" s="53" t="n">
        <v>0.7119444444444445</v>
      </c>
      <c r="C1113" s="53" t="n">
        <v>0.7119444444444445</v>
      </c>
      <c r="D1113">
        <f>_xlfn.XLOOKUP(820008761,Stops[stop_id],Stops[stop_id],"Não encontrado")</f>
        <v/>
      </c>
      <c r="E1113" t="n">
        <v>4</v>
      </c>
    </row>
    <row r="1114">
      <c r="A1114">
        <f>_xlfn.XLOOKUP("3762-10-1",Trip[trip_id],Trip[trip_id],"Não encontrado")</f>
        <v/>
      </c>
      <c r="B1114" s="53" t="n">
        <v>0.7131481481481482</v>
      </c>
      <c r="C1114" s="53" t="n">
        <v>0.7131481481481482</v>
      </c>
      <c r="D1114">
        <f>_xlfn.XLOOKUP(8210288,Stops[stop_id],Stops[stop_id],"Não encontrado")</f>
        <v/>
      </c>
      <c r="E1114" t="n">
        <v>5</v>
      </c>
    </row>
    <row r="1115">
      <c r="A1115">
        <f>_xlfn.XLOOKUP("3762-10-1",Trip[trip_id],Trip[trip_id],"Não encontrado")</f>
        <v/>
      </c>
      <c r="B1115" s="53" t="n">
        <v>0.7143518518518519</v>
      </c>
      <c r="C1115" s="53" t="n">
        <v>0.7143518518518519</v>
      </c>
      <c r="D1115">
        <f>_xlfn.XLOOKUP(8209683,Stops[stop_id],Stops[stop_id],"Não encontrado")</f>
        <v/>
      </c>
      <c r="E1115" t="n">
        <v>6</v>
      </c>
    </row>
    <row r="1116">
      <c r="A1116">
        <f>_xlfn.XLOOKUP("3762-10-1",Trip[trip_id],Trip[trip_id],"Não encontrado")</f>
        <v/>
      </c>
      <c r="B1116" s="53" t="n">
        <v>0.7155555555555555</v>
      </c>
      <c r="C1116" s="53" t="n">
        <v>0.7155555555555555</v>
      </c>
      <c r="D1116">
        <f>_xlfn.XLOOKUP(8209682,Stops[stop_id],Stops[stop_id],"Não encontrado")</f>
        <v/>
      </c>
      <c r="E1116" t="n">
        <v>7</v>
      </c>
    </row>
    <row r="1117">
      <c r="A1117">
        <f>_xlfn.XLOOKUP("3762-10-1",Trip[trip_id],Trip[trip_id],"Não encontrado")</f>
        <v/>
      </c>
      <c r="B1117" s="53" t="n">
        <v>0.7167592592592592</v>
      </c>
      <c r="C1117" s="53" t="n">
        <v>0.7167592592592592</v>
      </c>
      <c r="D1117">
        <f>_xlfn.XLOOKUP(8209202,Stops[stop_id],Stops[stop_id],"Não encontrado")</f>
        <v/>
      </c>
      <c r="E1117" t="n">
        <v>8</v>
      </c>
    </row>
    <row r="1118">
      <c r="A1118">
        <f>_xlfn.XLOOKUP("3762-10-1",Trip[trip_id],Trip[trip_id],"Não encontrado")</f>
        <v/>
      </c>
      <c r="B1118" s="53" t="n">
        <v>0.7179629629629629</v>
      </c>
      <c r="C1118" s="53" t="n">
        <v>0.7179629629629629</v>
      </c>
      <c r="D1118">
        <f>_xlfn.XLOOKUP(8210209,Stops[stop_id],Stops[stop_id],"Não encontrado")</f>
        <v/>
      </c>
      <c r="E1118" t="n">
        <v>9</v>
      </c>
    </row>
    <row r="1119">
      <c r="A1119">
        <f>_xlfn.XLOOKUP("3762-10-1",Trip[trip_id],Trip[trip_id],"Não encontrado")</f>
        <v/>
      </c>
      <c r="B1119" s="53" t="n">
        <v>0.7191666666666666</v>
      </c>
      <c r="C1119" s="53" t="n">
        <v>0.7191666666666666</v>
      </c>
      <c r="D1119">
        <f>_xlfn.XLOOKUP(8210185,Stops[stop_id],Stops[stop_id],"Não encontrado")</f>
        <v/>
      </c>
      <c r="E1119" t="n">
        <v>10</v>
      </c>
    </row>
    <row r="1120">
      <c r="A1120">
        <f>_xlfn.XLOOKUP("3762-10-1",Trip[trip_id],Trip[trip_id],"Não encontrado")</f>
        <v/>
      </c>
      <c r="B1120" s="53" t="n">
        <v>0.7203703703703703</v>
      </c>
      <c r="C1120" s="53" t="n">
        <v>0.7203703703703703</v>
      </c>
      <c r="D1120">
        <f>_xlfn.XLOOKUP(8210227,Stops[stop_id],Stops[stop_id],"Não encontrado")</f>
        <v/>
      </c>
      <c r="E1120" t="n">
        <v>11</v>
      </c>
    </row>
    <row r="1121">
      <c r="A1121">
        <f>_xlfn.XLOOKUP("3762-10-1",Trip[trip_id],Trip[trip_id],"Não encontrado")</f>
        <v/>
      </c>
      <c r="B1121" s="53" t="n">
        <v>0.721574074074074</v>
      </c>
      <c r="C1121" s="53" t="n">
        <v>0.721574074074074</v>
      </c>
      <c r="D1121">
        <f>_xlfn.XLOOKUP(8209155,Stops[stop_id],Stops[stop_id],"Não encontrado")</f>
        <v/>
      </c>
      <c r="E1121" t="n">
        <v>12</v>
      </c>
    </row>
    <row r="1122">
      <c r="A1122">
        <f>_xlfn.XLOOKUP("3762-10-1",Trip[trip_id],Trip[trip_id],"Não encontrado")</f>
        <v/>
      </c>
      <c r="B1122" s="53" t="n">
        <v>0.7227777777777777</v>
      </c>
      <c r="C1122" s="53" t="n">
        <v>0.7227777777777777</v>
      </c>
      <c r="D1122">
        <f>_xlfn.XLOOKUP(200008705,Stops[stop_id],Stops[stop_id],"Não encontrado")</f>
        <v/>
      </c>
      <c r="E1122" t="n">
        <v>13</v>
      </c>
    </row>
    <row r="1123">
      <c r="A1123">
        <f>_xlfn.XLOOKUP("3762-10-1",Trip[trip_id],Trip[trip_id],"Não encontrado")</f>
        <v/>
      </c>
      <c r="B1123" s="53" t="n">
        <v>0.7239814814814814</v>
      </c>
      <c r="C1123" s="53" t="n">
        <v>0.7239814814814814</v>
      </c>
      <c r="D1123">
        <f>_xlfn.XLOOKUP(200008703,Stops[stop_id],Stops[stop_id],"Não encontrado")</f>
        <v/>
      </c>
      <c r="E1123" t="n">
        <v>14</v>
      </c>
    </row>
    <row r="1124">
      <c r="A1124">
        <f>_xlfn.XLOOKUP("3762-10-1",Trip[trip_id],Trip[trip_id],"Não encontrado")</f>
        <v/>
      </c>
      <c r="B1124" s="53" t="n">
        <v>0.7251851851851852</v>
      </c>
      <c r="C1124" s="53" t="n">
        <v>0.7251851851851852</v>
      </c>
      <c r="D1124">
        <f>_xlfn.XLOOKUP(200008701,Stops[stop_id],Stops[stop_id],"Não encontrado")</f>
        <v/>
      </c>
      <c r="E1124" t="n">
        <v>15</v>
      </c>
    </row>
    <row r="1125">
      <c r="A1125">
        <f>_xlfn.XLOOKUP("3762-10-1",Trip[trip_id],Trip[trip_id],"Não encontrado")</f>
        <v/>
      </c>
      <c r="B1125" s="53" t="n">
        <v>0.7263888888888889</v>
      </c>
      <c r="C1125" s="53" t="n">
        <v>0.7263888888888889</v>
      </c>
      <c r="D1125">
        <f>_xlfn.XLOOKUP(2009275,Stops[stop_id],Stops[stop_id],"Não encontrado")</f>
        <v/>
      </c>
      <c r="E1125" t="n">
        <v>16</v>
      </c>
    </row>
    <row r="1126">
      <c r="A1126">
        <f>_xlfn.XLOOKUP("3762-10-1",Trip[trip_id],Trip[trip_id],"Não encontrado")</f>
        <v/>
      </c>
      <c r="B1126" s="53" t="n">
        <v>0.7275925925925926</v>
      </c>
      <c r="C1126" s="53" t="n">
        <v>0.7275925925925926</v>
      </c>
      <c r="D1126">
        <f>_xlfn.XLOOKUP(2009268,Stops[stop_id],Stops[stop_id],"Não encontrado")</f>
        <v/>
      </c>
      <c r="E1126" t="n">
        <v>17</v>
      </c>
    </row>
    <row r="1127">
      <c r="A1127">
        <f>_xlfn.XLOOKUP("3762-10-1",Trip[trip_id],Trip[trip_id],"Não encontrado")</f>
        <v/>
      </c>
      <c r="B1127" s="53" t="n">
        <v>0.7287962962962963</v>
      </c>
      <c r="C1127" s="53" t="n">
        <v>0.7287962962962963</v>
      </c>
      <c r="D1127">
        <f>_xlfn.XLOOKUP(200008699,Stops[stop_id],Stops[stop_id],"Não encontrado")</f>
        <v/>
      </c>
      <c r="E1127" t="n">
        <v>18</v>
      </c>
    </row>
    <row r="1128">
      <c r="A1128">
        <f>_xlfn.XLOOKUP("3762-10-1",Trip[trip_id],Trip[trip_id],"Não encontrado")</f>
        <v/>
      </c>
      <c r="B1128" s="53" t="n">
        <v>0.73</v>
      </c>
      <c r="C1128" s="53" t="n">
        <v>0.73</v>
      </c>
      <c r="D1128">
        <f>_xlfn.XLOOKUP(200008696,Stops[stop_id],Stops[stop_id],"Não encontrado")</f>
        <v/>
      </c>
      <c r="E1128" t="n">
        <v>19</v>
      </c>
    </row>
    <row r="1129">
      <c r="A1129">
        <f>_xlfn.XLOOKUP("3762-10-1",Trip[trip_id],Trip[trip_id],"Não encontrado")</f>
        <v/>
      </c>
      <c r="B1129" s="53" t="n">
        <v>0.7312037037037037</v>
      </c>
      <c r="C1129" s="53" t="n">
        <v>0.7312037037037037</v>
      </c>
      <c r="D1129">
        <f>_xlfn.XLOOKUP(200008695,Stops[stop_id],Stops[stop_id],"Não encontrado")</f>
        <v/>
      </c>
      <c r="E1129" t="n">
        <v>20</v>
      </c>
    </row>
    <row r="1130">
      <c r="A1130">
        <f>_xlfn.XLOOKUP("3762-10-1",Trip[trip_id],Trip[trip_id],"Não encontrado")</f>
        <v/>
      </c>
      <c r="B1130" s="53" t="n">
        <v>0.7324074074074074</v>
      </c>
      <c r="C1130" s="53" t="n">
        <v>0.7324074074074074</v>
      </c>
      <c r="D1130">
        <f>_xlfn.XLOOKUP(200008693,Stops[stop_id],Stops[stop_id],"Não encontrado")</f>
        <v/>
      </c>
      <c r="E1130" t="n">
        <v>21</v>
      </c>
    </row>
    <row r="1131">
      <c r="A1131">
        <f>_xlfn.XLOOKUP("3762-10-1",Trip[trip_id],Trip[trip_id],"Não encontrado")</f>
        <v/>
      </c>
      <c r="B1131" s="53" t="n">
        <v>0.7336111111111111</v>
      </c>
      <c r="C1131" s="53" t="n">
        <v>0.7336111111111111</v>
      </c>
      <c r="D1131">
        <f>_xlfn.XLOOKUP(870008691,Stops[stop_id],Stops[stop_id],"Não encontrado")</f>
        <v/>
      </c>
      <c r="E1131" t="n">
        <v>22</v>
      </c>
    </row>
    <row r="1132">
      <c r="A1132">
        <f>_xlfn.XLOOKUP("3762-10-1",Trip[trip_id],Trip[trip_id],"Não encontrado")</f>
        <v/>
      </c>
      <c r="B1132" s="53" t="n">
        <v>0.7348148148148148</v>
      </c>
      <c r="C1132" s="53" t="n">
        <v>0.7348148148148148</v>
      </c>
      <c r="D1132">
        <f>_xlfn.XLOOKUP(870008689,Stops[stop_id],Stops[stop_id],"Não encontrado")</f>
        <v/>
      </c>
      <c r="E1132" t="n">
        <v>23</v>
      </c>
    </row>
    <row r="1133">
      <c r="A1133">
        <f>_xlfn.XLOOKUP("3762-10-1",Trip[trip_id],Trip[trip_id],"Não encontrado")</f>
        <v/>
      </c>
      <c r="B1133" s="53" t="n">
        <v>0.7360185185185185</v>
      </c>
      <c r="C1133" s="53" t="n">
        <v>0.7360185185185185</v>
      </c>
      <c r="D1133">
        <f>_xlfn.XLOOKUP(870008686,Stops[stop_id],Stops[stop_id],"Não encontrado")</f>
        <v/>
      </c>
      <c r="E1133" t="n">
        <v>24</v>
      </c>
    </row>
    <row r="1134">
      <c r="A1134">
        <f>_xlfn.XLOOKUP("3762-10-1",Trip[trip_id],Trip[trip_id],"Não encontrado")</f>
        <v/>
      </c>
      <c r="B1134" s="53" t="n">
        <v>0.7372222222222222</v>
      </c>
      <c r="C1134" s="53" t="n">
        <v>0.7372222222222222</v>
      </c>
      <c r="D1134">
        <f>_xlfn.XLOOKUP(870008680,Stops[stop_id],Stops[stop_id],"Não encontrado")</f>
        <v/>
      </c>
      <c r="E1134" t="n">
        <v>25</v>
      </c>
    </row>
    <row r="1135">
      <c r="A1135">
        <f>_xlfn.XLOOKUP("3762-10-1",Trip[trip_id],Trip[trip_id],"Não encontrado")</f>
        <v/>
      </c>
      <c r="B1135" s="53" t="n">
        <v>0.7384259259259259</v>
      </c>
      <c r="C1135" s="53" t="n">
        <v>0.7384259259259259</v>
      </c>
      <c r="D1135">
        <f>_xlfn.XLOOKUP(8709701,Stops[stop_id],Stops[stop_id],"Não encontrado")</f>
        <v/>
      </c>
      <c r="E1135" t="n">
        <v>26</v>
      </c>
    </row>
    <row r="1136">
      <c r="A1136">
        <f>_xlfn.XLOOKUP("3762-10-1",Trip[trip_id],Trip[trip_id],"Não encontrado")</f>
        <v/>
      </c>
      <c r="B1136" s="53" t="n">
        <v>0.7396296296296296</v>
      </c>
      <c r="C1136" s="53" t="n">
        <v>0.7396296296296296</v>
      </c>
      <c r="D1136">
        <f>_xlfn.XLOOKUP(870008682,Stops[stop_id],Stops[stop_id],"Não encontrado")</f>
        <v/>
      </c>
      <c r="E1136" t="n">
        <v>27</v>
      </c>
    </row>
    <row r="1137">
      <c r="A1137">
        <f>_xlfn.XLOOKUP("3762-10-1",Trip[trip_id],Trip[trip_id],"Não encontrado")</f>
        <v/>
      </c>
      <c r="B1137" s="53" t="n">
        <v>0.7408333333333333</v>
      </c>
      <c r="C1137" s="53" t="n">
        <v>0.7408333333333333</v>
      </c>
      <c r="D1137">
        <f>_xlfn.XLOOKUP(870008634,Stops[stop_id],Stops[stop_id],"Não encontrado")</f>
        <v/>
      </c>
      <c r="E1137" t="n">
        <v>28</v>
      </c>
    </row>
    <row r="1138">
      <c r="A1138">
        <f>_xlfn.XLOOKUP("3762-10-1",Trip[trip_id],Trip[trip_id],"Não encontrado")</f>
        <v/>
      </c>
      <c r="B1138" s="53" t="n">
        <v>0.7420370370370371</v>
      </c>
      <c r="C1138" s="53" t="n">
        <v>0.7420370370370371</v>
      </c>
      <c r="D1138">
        <f>_xlfn.XLOOKUP(8704811,Stops[stop_id],Stops[stop_id],"Não encontrado")</f>
        <v/>
      </c>
      <c r="E1138" t="n">
        <v>29</v>
      </c>
    </row>
    <row r="1139">
      <c r="A1139">
        <f>_xlfn.XLOOKUP("3762-10-1",Trip[trip_id],Trip[trip_id],"Não encontrado")</f>
        <v/>
      </c>
      <c r="B1139" s="53" t="n">
        <v>0.7432407407407408</v>
      </c>
      <c r="C1139" s="53" t="n">
        <v>0.7432407407407408</v>
      </c>
      <c r="D1139">
        <f>_xlfn.XLOOKUP(870012603,Stops[stop_id],Stops[stop_id],"Não encontrado")</f>
        <v/>
      </c>
      <c r="E1139" t="n">
        <v>30</v>
      </c>
    </row>
    <row r="1140">
      <c r="A1140">
        <f>_xlfn.XLOOKUP("3762-10-1",Trip[trip_id],Trip[trip_id],"Não encontrado")</f>
        <v/>
      </c>
      <c r="B1140" s="53" t="n">
        <v>0.7444444444444445</v>
      </c>
      <c r="C1140" s="53" t="n">
        <v>0.7444444444444445</v>
      </c>
      <c r="D1140">
        <f>_xlfn.XLOOKUP(870008666,Stops[stop_id],Stops[stop_id],"Não encontrado")</f>
        <v/>
      </c>
      <c r="E1140" t="n">
        <v>31</v>
      </c>
    </row>
    <row r="1141">
      <c r="A1141">
        <f>_xlfn.XLOOKUP("3762-10-1",Trip[trip_id],Trip[trip_id],"Não encontrado")</f>
        <v/>
      </c>
      <c r="B1141" s="53" t="n">
        <v>0.7456481481481482</v>
      </c>
      <c r="C1141" s="53" t="n">
        <v>0.7456481481481482</v>
      </c>
      <c r="D1141">
        <f>_xlfn.XLOOKUP(870008650,Stops[stop_id],Stops[stop_id],"Não encontrado")</f>
        <v/>
      </c>
      <c r="E1141" t="n">
        <v>32</v>
      </c>
    </row>
    <row r="1142">
      <c r="A1142">
        <f>_xlfn.XLOOKUP("3762-10-1",Trip[trip_id],Trip[trip_id],"Não encontrado")</f>
        <v/>
      </c>
      <c r="B1142" s="53" t="n">
        <v>0.7468518518518519</v>
      </c>
      <c r="C1142" s="53" t="n">
        <v>0.7468518518518519</v>
      </c>
      <c r="D1142">
        <f>_xlfn.XLOOKUP(870012606,Stops[stop_id],Stops[stop_id],"Não encontrado")</f>
        <v/>
      </c>
      <c r="E1142" t="n">
        <v>33</v>
      </c>
    </row>
    <row r="1143">
      <c r="A1143">
        <f>_xlfn.XLOOKUP("3762-10-1",Trip[trip_id],Trip[trip_id],"Não encontrado")</f>
        <v/>
      </c>
      <c r="B1143" s="53" t="n">
        <v>0.7480555555555556</v>
      </c>
      <c r="C1143" s="53" t="n">
        <v>0.7480555555555556</v>
      </c>
      <c r="D1143">
        <f>_xlfn.XLOOKUP(870012608,Stops[stop_id],Stops[stop_id],"Não encontrado")</f>
        <v/>
      </c>
      <c r="E1143" t="n">
        <v>34</v>
      </c>
    </row>
    <row r="1144">
      <c r="A1144">
        <f>_xlfn.XLOOKUP("3762-10-1",Trip[trip_id],Trip[trip_id],"Não encontrado")</f>
        <v/>
      </c>
      <c r="B1144" s="53" t="n">
        <v>0.7492592592592593</v>
      </c>
      <c r="C1144" s="53" t="n">
        <v>0.7492592592592593</v>
      </c>
      <c r="D1144">
        <f>_xlfn.XLOOKUP(8709778,Stops[stop_id],Stops[stop_id],"Não encontrado")</f>
        <v/>
      </c>
      <c r="E1144" t="n">
        <v>35</v>
      </c>
    </row>
    <row r="1145">
      <c r="A1145">
        <f>_xlfn.XLOOKUP("3762-10-1",Trip[trip_id],Trip[trip_id],"Não encontrado")</f>
        <v/>
      </c>
      <c r="B1145" s="53" t="n">
        <v>0.750462962962963</v>
      </c>
      <c r="C1145" s="53" t="n">
        <v>0.750462962962963</v>
      </c>
      <c r="D1145">
        <f>_xlfn.XLOOKUP(870008567,Stops[stop_id],Stops[stop_id],"Não encontrado")</f>
        <v/>
      </c>
      <c r="E1145" t="n">
        <v>36</v>
      </c>
    </row>
    <row r="1146">
      <c r="A1146">
        <f>_xlfn.XLOOKUP("3762-10-1",Trip[trip_id],Trip[trip_id],"Não encontrado")</f>
        <v/>
      </c>
      <c r="B1146" s="53" t="n">
        <v>0.7516666666666667</v>
      </c>
      <c r="C1146" s="53" t="n">
        <v>0.7516666666666667</v>
      </c>
      <c r="D1146">
        <f>_xlfn.XLOOKUP(8704850,Stops[stop_id],Stops[stop_id],"Não encontrado")</f>
        <v/>
      </c>
      <c r="E1146" t="n">
        <v>37</v>
      </c>
    </row>
    <row r="1147">
      <c r="A1147">
        <f>_xlfn.XLOOKUP("3762-10-1",Trip[trip_id],Trip[trip_id],"Não encontrado")</f>
        <v/>
      </c>
      <c r="B1147" s="53" t="n">
        <v>0.7528703703703704</v>
      </c>
      <c r="C1147" s="53" t="n">
        <v>0.7528703703703704</v>
      </c>
      <c r="D1147">
        <f>_xlfn.XLOOKUP(8704588,Stops[stop_id],Stops[stop_id],"Não encontrado")</f>
        <v/>
      </c>
      <c r="E1147" t="n">
        <v>38</v>
      </c>
    </row>
    <row r="1148">
      <c r="A1148">
        <f>_xlfn.XLOOKUP("3762-10-1",Trip[trip_id],Trip[trip_id],"Não encontrado")</f>
        <v/>
      </c>
      <c r="B1148" s="53" t="n">
        <v>0.7540740740740741</v>
      </c>
      <c r="C1148" s="53" t="n">
        <v>0.7540740740740741</v>
      </c>
      <c r="D1148">
        <f>_xlfn.XLOOKUP(8704591,Stops[stop_id],Stops[stop_id],"Não encontrado")</f>
        <v/>
      </c>
      <c r="E1148" t="n">
        <v>39</v>
      </c>
    </row>
    <row r="1149">
      <c r="A1149">
        <f>_xlfn.XLOOKUP("3762-10-1",Trip[trip_id],Trip[trip_id],"Não encontrado")</f>
        <v/>
      </c>
      <c r="B1149" s="53" t="n">
        <v>0.7552777777777778</v>
      </c>
      <c r="C1149" s="53" t="n">
        <v>0.7552777777777778</v>
      </c>
      <c r="D1149">
        <f>_xlfn.XLOOKUP(8704593,Stops[stop_id],Stops[stop_id],"Não encontrado")</f>
        <v/>
      </c>
      <c r="E1149" t="n">
        <v>40</v>
      </c>
    </row>
    <row r="1150">
      <c r="A1150">
        <f>_xlfn.XLOOKUP("3762-10-1",Trip[trip_id],Trip[trip_id],"Não encontrado")</f>
        <v/>
      </c>
      <c r="B1150" s="53" t="n">
        <v>0.7564814814814815</v>
      </c>
      <c r="C1150" s="53" t="n">
        <v>0.7564814814814815</v>
      </c>
      <c r="D1150">
        <f>_xlfn.XLOOKUP(404596,Stops[stop_id],Stops[stop_id],"Não encontrado")</f>
        <v/>
      </c>
      <c r="E1150" t="n">
        <v>41</v>
      </c>
    </row>
    <row r="1151">
      <c r="A1151">
        <f>_xlfn.XLOOKUP("3762-10-1",Trip[trip_id],Trip[trip_id],"Não encontrado")</f>
        <v/>
      </c>
      <c r="B1151" s="53" t="n">
        <v>0.7576851851851852</v>
      </c>
      <c r="C1151" s="53" t="n">
        <v>0.7576851851851852</v>
      </c>
      <c r="D1151">
        <f>_xlfn.XLOOKUP(40005540,Stops[stop_id],Stops[stop_id],"Não encontrado")</f>
        <v/>
      </c>
      <c r="E1151" t="n">
        <v>42</v>
      </c>
    </row>
    <row r="1152">
      <c r="A1152">
        <f>_xlfn.XLOOKUP("3762-10-1",Trip[trip_id],Trip[trip_id],"Não encontrado")</f>
        <v/>
      </c>
      <c r="B1152" s="53" t="n">
        <v>0.7588888888888888</v>
      </c>
      <c r="C1152" s="53" t="n">
        <v>0.7588888888888888</v>
      </c>
      <c r="D1152">
        <f>_xlfn.XLOOKUP(40005539,Stops[stop_id],Stops[stop_id],"Não encontrado")</f>
        <v/>
      </c>
      <c r="E1152" t="n">
        <v>43</v>
      </c>
    </row>
    <row r="1153">
      <c r="A1153">
        <f>_xlfn.XLOOKUP("3762-10-1",Trip[trip_id],Trip[trip_id],"Não encontrado")</f>
        <v/>
      </c>
      <c r="B1153" s="53" t="n">
        <v>0.7600925925925925</v>
      </c>
      <c r="C1153" s="53" t="n">
        <v>0.7600925925925925</v>
      </c>
      <c r="D1153">
        <f>_xlfn.XLOOKUP(409080,Stops[stop_id],Stops[stop_id],"Não encontrado")</f>
        <v/>
      </c>
      <c r="E1153" t="n">
        <v>44</v>
      </c>
    </row>
    <row r="1154">
      <c r="A1154">
        <f>_xlfn.XLOOKUP("3762-10-1",Trip[trip_id],Trip[trip_id],"Não encontrado")</f>
        <v/>
      </c>
      <c r="B1154" s="53" t="n">
        <v>0.7612962962962962</v>
      </c>
      <c r="C1154" s="53" t="n">
        <v>0.7612962962962962</v>
      </c>
      <c r="D1154">
        <f>_xlfn.XLOOKUP(40005534,Stops[stop_id],Stops[stop_id],"Não encontrado")</f>
        <v/>
      </c>
      <c r="E1154" t="n">
        <v>45</v>
      </c>
    </row>
    <row r="1155">
      <c r="A1155">
        <f>_xlfn.XLOOKUP("3762-10-1",Trip[trip_id],Trip[trip_id],"Não encontrado")</f>
        <v/>
      </c>
      <c r="B1155" s="53" t="n">
        <v>0.7625</v>
      </c>
      <c r="C1155" s="53" t="n">
        <v>0.7625</v>
      </c>
      <c r="D1155">
        <f>_xlfn.XLOOKUP(780005532,Stops[stop_id],Stops[stop_id],"Não encontrado")</f>
        <v/>
      </c>
      <c r="E1155" t="n">
        <v>46</v>
      </c>
    </row>
    <row r="1156">
      <c r="A1156">
        <f>_xlfn.XLOOKUP("3762-10-1",Trip[trip_id],Trip[trip_id],"Não encontrado")</f>
        <v/>
      </c>
      <c r="B1156" s="53" t="n">
        <v>0.7637037037037037</v>
      </c>
      <c r="C1156" s="53" t="n">
        <v>0.7637037037037037</v>
      </c>
      <c r="D1156">
        <f>_xlfn.XLOOKUP(780005531,Stops[stop_id],Stops[stop_id],"Não encontrado")</f>
        <v/>
      </c>
      <c r="E1156" t="n">
        <v>47</v>
      </c>
    </row>
    <row r="1157">
      <c r="A1157">
        <f>_xlfn.XLOOKUP("3762-10-1",Trip[trip_id],Trip[trip_id],"Não encontrado")</f>
        <v/>
      </c>
      <c r="B1157" s="53" t="n">
        <v>0.7649074074074074</v>
      </c>
      <c r="C1157" s="53" t="n">
        <v>0.7649074074074074</v>
      </c>
      <c r="D1157">
        <f>_xlfn.XLOOKUP(7805132,Stops[stop_id],Stops[stop_id],"Não encontrado")</f>
        <v/>
      </c>
      <c r="E1157" t="n">
        <v>48</v>
      </c>
    </row>
    <row r="1158">
      <c r="A1158">
        <f>_xlfn.XLOOKUP("3762-10-1",Trip[trip_id],Trip[trip_id],"Não encontrado")</f>
        <v/>
      </c>
      <c r="B1158" s="53" t="n">
        <v>0.7673611111111112</v>
      </c>
      <c r="C1158" s="53" t="n">
        <v>0.7673611111111112</v>
      </c>
      <c r="D1158">
        <f>_xlfn.XLOOKUP(780006319,Stops[stop_id],Stops[stop_id],"Não encontrado")</f>
        <v/>
      </c>
      <c r="E1158" t="n">
        <v>49</v>
      </c>
    </row>
    <row r="1159">
      <c r="A1159">
        <f>_xlfn.XLOOKUP("3763-10-0",Trip[trip_id],Trip[trip_id],"Não encontrado")</f>
        <v/>
      </c>
      <c r="B1159" s="53" t="n">
        <v>0.7083333333333334</v>
      </c>
      <c r="C1159" s="53" t="n">
        <v>0.7083333333333334</v>
      </c>
      <c r="D1159">
        <f>_xlfn.XLOOKUP(200012435,Stops[stop_id],Stops[stop_id],"Não encontrado")</f>
        <v/>
      </c>
      <c r="E1159" t="n">
        <v>1</v>
      </c>
    </row>
    <row r="1160">
      <c r="A1160">
        <f>_xlfn.XLOOKUP("3763-10-0",Trip[trip_id],Trip[trip_id],"Não encontrado")</f>
        <v/>
      </c>
      <c r="B1160" s="53" t="n">
        <v>0.7095254629629629</v>
      </c>
      <c r="C1160" s="53" t="n">
        <v>0.7095254629629629</v>
      </c>
      <c r="D1160">
        <f>_xlfn.XLOOKUP(200012340,Stops[stop_id],Stops[stop_id],"Não encontrado")</f>
        <v/>
      </c>
      <c r="E1160" t="n">
        <v>2</v>
      </c>
    </row>
    <row r="1161">
      <c r="A1161">
        <f>_xlfn.XLOOKUP("3763-10-0",Trip[trip_id],Trip[trip_id],"Não encontrado")</f>
        <v/>
      </c>
      <c r="B1161" s="53" t="n">
        <v>0.7107175925925926</v>
      </c>
      <c r="C1161" s="53" t="n">
        <v>0.7107175925925926</v>
      </c>
      <c r="D1161">
        <f>_xlfn.XLOOKUP(2009281,Stops[stop_id],Stops[stop_id],"Não encontrado")</f>
        <v/>
      </c>
      <c r="E1161" t="n">
        <v>3</v>
      </c>
    </row>
    <row r="1162">
      <c r="A1162">
        <f>_xlfn.XLOOKUP("3763-10-0",Trip[trip_id],Trip[trip_id],"Não encontrado")</f>
        <v/>
      </c>
      <c r="B1162" s="53" t="n">
        <v>0.7119097222222223</v>
      </c>
      <c r="C1162" s="53" t="n">
        <v>0.7119097222222223</v>
      </c>
      <c r="D1162">
        <f>_xlfn.XLOOKUP(2009272,Stops[stop_id],Stops[stop_id],"Não encontrado")</f>
        <v/>
      </c>
      <c r="E1162" t="n">
        <v>4</v>
      </c>
    </row>
    <row r="1163">
      <c r="A1163">
        <f>_xlfn.XLOOKUP("3763-10-0",Trip[trip_id],Trip[trip_id],"Não encontrado")</f>
        <v/>
      </c>
      <c r="B1163" s="53" t="n">
        <v>0.7131018518518518</v>
      </c>
      <c r="C1163" s="53" t="n">
        <v>0.7131018518518518</v>
      </c>
      <c r="D1163">
        <f>_xlfn.XLOOKUP(200008601,Stops[stop_id],Stops[stop_id],"Não encontrado")</f>
        <v/>
      </c>
      <c r="E1163" t="n">
        <v>5</v>
      </c>
    </row>
    <row r="1164">
      <c r="A1164">
        <f>_xlfn.XLOOKUP("3763-10-0",Trip[trip_id],Trip[trip_id],"Não encontrado")</f>
        <v/>
      </c>
      <c r="B1164" s="53" t="n">
        <v>0.7142939814814815</v>
      </c>
      <c r="C1164" s="53" t="n">
        <v>0.7142939814814815</v>
      </c>
      <c r="D1164">
        <f>_xlfn.XLOOKUP(200008599,Stops[stop_id],Stops[stop_id],"Não encontrado")</f>
        <v/>
      </c>
      <c r="E1164" t="n">
        <v>6</v>
      </c>
    </row>
    <row r="1165">
      <c r="A1165">
        <f>_xlfn.XLOOKUP("3763-10-0",Trip[trip_id],Trip[trip_id],"Não encontrado")</f>
        <v/>
      </c>
      <c r="B1165" s="53" t="n">
        <v>0.7154861111111112</v>
      </c>
      <c r="C1165" s="53" t="n">
        <v>0.7154861111111112</v>
      </c>
      <c r="D1165">
        <f>_xlfn.XLOOKUP(870008596,Stops[stop_id],Stops[stop_id],"Não encontrado")</f>
        <v/>
      </c>
      <c r="E1165" t="n">
        <v>7</v>
      </c>
    </row>
    <row r="1166">
      <c r="A1166">
        <f>_xlfn.XLOOKUP("3763-10-0",Trip[trip_id],Trip[trip_id],"Não encontrado")</f>
        <v/>
      </c>
      <c r="B1166" s="53" t="n">
        <v>0.7166782407407407</v>
      </c>
      <c r="C1166" s="53" t="n">
        <v>0.7166782407407407</v>
      </c>
      <c r="D1166">
        <f>_xlfn.XLOOKUP(870008595,Stops[stop_id],Stops[stop_id],"Não encontrado")</f>
        <v/>
      </c>
      <c r="E1166" t="n">
        <v>8</v>
      </c>
    </row>
    <row r="1167">
      <c r="A1167">
        <f>_xlfn.XLOOKUP("3763-10-0",Trip[trip_id],Trip[trip_id],"Não encontrado")</f>
        <v/>
      </c>
      <c r="B1167" s="53" t="n">
        <v>0.7178703703703704</v>
      </c>
      <c r="C1167" s="53" t="n">
        <v>0.7178703703703704</v>
      </c>
      <c r="D1167">
        <f>_xlfn.XLOOKUP(870008646,Stops[stop_id],Stops[stop_id],"Não encontrado")</f>
        <v/>
      </c>
      <c r="E1167" t="n">
        <v>9</v>
      </c>
    </row>
    <row r="1168">
      <c r="A1168">
        <f>_xlfn.XLOOKUP("3763-10-0",Trip[trip_id],Trip[trip_id],"Não encontrado")</f>
        <v/>
      </c>
      <c r="B1168" s="53" t="n">
        <v>0.7190625</v>
      </c>
      <c r="C1168" s="53" t="n">
        <v>0.7190625</v>
      </c>
      <c r="D1168">
        <f>_xlfn.XLOOKUP(870008648,Stops[stop_id],Stops[stop_id],"Não encontrado")</f>
        <v/>
      </c>
      <c r="E1168" t="n">
        <v>10</v>
      </c>
    </row>
    <row r="1169">
      <c r="A1169">
        <f>_xlfn.XLOOKUP("3763-10-0",Trip[trip_id],Trip[trip_id],"Não encontrado")</f>
        <v/>
      </c>
      <c r="B1169" s="53" t="n">
        <v>0.7202546296296296</v>
      </c>
      <c r="C1169" s="53" t="n">
        <v>0.7202546296296296</v>
      </c>
      <c r="D1169">
        <f>_xlfn.XLOOKUP(870008649,Stops[stop_id],Stops[stop_id],"Não encontrado")</f>
        <v/>
      </c>
      <c r="E1169" t="n">
        <v>11</v>
      </c>
    </row>
    <row r="1170">
      <c r="A1170">
        <f>_xlfn.XLOOKUP("3763-10-0",Trip[trip_id],Trip[trip_id],"Não encontrado")</f>
        <v/>
      </c>
      <c r="B1170" s="53" t="n">
        <v>0.7214467592592593</v>
      </c>
      <c r="C1170" s="53" t="n">
        <v>0.7214467592592593</v>
      </c>
      <c r="D1170">
        <f>_xlfn.XLOOKUP(870008667,Stops[stop_id],Stops[stop_id],"Não encontrado")</f>
        <v/>
      </c>
      <c r="E1170" t="n">
        <v>12</v>
      </c>
    </row>
    <row r="1171">
      <c r="A1171">
        <f>_xlfn.XLOOKUP("3763-10-0",Trip[trip_id],Trip[trip_id],"Não encontrado")</f>
        <v/>
      </c>
      <c r="B1171" s="53" t="n">
        <v>0.7226388888888889</v>
      </c>
      <c r="C1171" s="53" t="n">
        <v>0.7226388888888889</v>
      </c>
      <c r="D1171">
        <f>_xlfn.XLOOKUP(870008664,Stops[stop_id],Stops[stop_id],"Não encontrado")</f>
        <v/>
      </c>
      <c r="E1171" t="n">
        <v>13</v>
      </c>
    </row>
    <row r="1172">
      <c r="A1172">
        <f>_xlfn.XLOOKUP("3763-10-0",Trip[trip_id],Trip[trip_id],"Não encontrado")</f>
        <v/>
      </c>
      <c r="B1172" s="53" t="n">
        <v>0.7238310185185185</v>
      </c>
      <c r="C1172" s="53" t="n">
        <v>0.7238310185185185</v>
      </c>
      <c r="D1172">
        <f>_xlfn.XLOOKUP(870008661,Stops[stop_id],Stops[stop_id],"Não encontrado")</f>
        <v/>
      </c>
      <c r="E1172" t="n">
        <v>14</v>
      </c>
    </row>
    <row r="1173">
      <c r="A1173">
        <f>_xlfn.XLOOKUP("3763-10-0",Trip[trip_id],Trip[trip_id],"Não encontrado")</f>
        <v/>
      </c>
      <c r="B1173" s="53" t="n">
        <v>0.7250231481481482</v>
      </c>
      <c r="C1173" s="53" t="n">
        <v>0.7250231481481482</v>
      </c>
      <c r="D1173">
        <f>_xlfn.XLOOKUP(870008677,Stops[stop_id],Stops[stop_id],"Não encontrado")</f>
        <v/>
      </c>
      <c r="E1173" t="n">
        <v>15</v>
      </c>
    </row>
    <row r="1174">
      <c r="A1174">
        <f>_xlfn.XLOOKUP("3763-10-0",Trip[trip_id],Trip[trip_id],"Não encontrado")</f>
        <v/>
      </c>
      <c r="B1174" s="53" t="n">
        <v>0.7262152777777777</v>
      </c>
      <c r="C1174" s="53" t="n">
        <v>0.7262152777777777</v>
      </c>
      <c r="D1174">
        <f>_xlfn.XLOOKUP(8709762,Stops[stop_id],Stops[stop_id],"Não encontrado")</f>
        <v/>
      </c>
      <c r="E1174" t="n">
        <v>16</v>
      </c>
    </row>
    <row r="1175">
      <c r="A1175">
        <f>_xlfn.XLOOKUP("3763-10-0",Trip[trip_id],Trip[trip_id],"Não encontrado")</f>
        <v/>
      </c>
      <c r="B1175" s="53" t="n">
        <v>0.7274074074074074</v>
      </c>
      <c r="C1175" s="53" t="n">
        <v>0.7274074074074074</v>
      </c>
      <c r="D1175">
        <f>_xlfn.XLOOKUP(8709785,Stops[stop_id],Stops[stop_id],"Não encontrado")</f>
        <v/>
      </c>
      <c r="E1175" t="n">
        <v>17</v>
      </c>
    </row>
    <row r="1176">
      <c r="A1176">
        <f>_xlfn.XLOOKUP("3763-10-0",Trip[trip_id],Trip[trip_id],"Não encontrado")</f>
        <v/>
      </c>
      <c r="B1176" s="53" t="n">
        <v>0.7285995370370371</v>
      </c>
      <c r="C1176" s="53" t="n">
        <v>0.7285995370370371</v>
      </c>
      <c r="D1176">
        <f>_xlfn.XLOOKUP(870008671,Stops[stop_id],Stops[stop_id],"Não encontrado")</f>
        <v/>
      </c>
      <c r="E1176" t="n">
        <v>18</v>
      </c>
    </row>
    <row r="1177">
      <c r="A1177">
        <f>_xlfn.XLOOKUP("3763-10-0",Trip[trip_id],Trip[trip_id],"Não encontrado")</f>
        <v/>
      </c>
      <c r="B1177" s="53" t="n">
        <v>0.7297916666666666</v>
      </c>
      <c r="C1177" s="53" t="n">
        <v>0.7297916666666666</v>
      </c>
      <c r="D1177">
        <f>_xlfn.XLOOKUP(870008670,Stops[stop_id],Stops[stop_id],"Não encontrado")</f>
        <v/>
      </c>
      <c r="E1177" t="n">
        <v>19</v>
      </c>
    </row>
    <row r="1178">
      <c r="A1178">
        <f>_xlfn.XLOOKUP("3763-10-0",Trip[trip_id],Trip[trip_id],"Não encontrado")</f>
        <v/>
      </c>
      <c r="B1178" s="53" t="n">
        <v>0.7309837962962963</v>
      </c>
      <c r="C1178" s="53" t="n">
        <v>0.7309837962962963</v>
      </c>
      <c r="D1178">
        <f>_xlfn.XLOOKUP(870008678,Stops[stop_id],Stops[stop_id],"Não encontrado")</f>
        <v/>
      </c>
      <c r="E1178" t="n">
        <v>20</v>
      </c>
    </row>
    <row r="1179">
      <c r="A1179">
        <f>_xlfn.XLOOKUP("3763-10-0",Trip[trip_id],Trip[trip_id],"Não encontrado")</f>
        <v/>
      </c>
      <c r="B1179" s="53" t="n">
        <v>0.732175925925926</v>
      </c>
      <c r="C1179" s="53" t="n">
        <v>0.732175925925926</v>
      </c>
      <c r="D1179">
        <f>_xlfn.XLOOKUP(870012180,Stops[stop_id],Stops[stop_id],"Não encontrado")</f>
        <v/>
      </c>
      <c r="E1179" t="n">
        <v>21</v>
      </c>
    </row>
    <row r="1180">
      <c r="A1180">
        <f>_xlfn.XLOOKUP("3763-10-0",Trip[trip_id],Trip[trip_id],"Não encontrado")</f>
        <v/>
      </c>
      <c r="B1180" s="53" t="n">
        <v>0.7333680555555555</v>
      </c>
      <c r="C1180" s="53" t="n">
        <v>0.7333680555555555</v>
      </c>
      <c r="D1180">
        <f>_xlfn.XLOOKUP(870012176,Stops[stop_id],Stops[stop_id],"Não encontrado")</f>
        <v/>
      </c>
      <c r="E1180" t="n">
        <v>22</v>
      </c>
    </row>
    <row r="1181">
      <c r="A1181">
        <f>_xlfn.XLOOKUP("3763-10-0",Trip[trip_id],Trip[trip_id],"Não encontrado")</f>
        <v/>
      </c>
      <c r="B1181" s="53" t="n">
        <v>0.7345601851851852</v>
      </c>
      <c r="C1181" s="53" t="n">
        <v>0.7345601851851852</v>
      </c>
      <c r="D1181">
        <f>_xlfn.XLOOKUP(870012174,Stops[stop_id],Stops[stop_id],"Não encontrado")</f>
        <v/>
      </c>
      <c r="E1181" t="n">
        <v>23</v>
      </c>
    </row>
    <row r="1182">
      <c r="A1182">
        <f>_xlfn.XLOOKUP("3763-10-0",Trip[trip_id],Trip[trip_id],"Não encontrado")</f>
        <v/>
      </c>
      <c r="B1182" s="53" t="n">
        <v>0.7357523148148148</v>
      </c>
      <c r="C1182" s="53" t="n">
        <v>0.7357523148148148</v>
      </c>
      <c r="D1182">
        <f>_xlfn.XLOOKUP(200012182,Stops[stop_id],Stops[stop_id],"Não encontrado")</f>
        <v/>
      </c>
      <c r="E1182" t="n">
        <v>24</v>
      </c>
    </row>
    <row r="1183">
      <c r="A1183">
        <f>_xlfn.XLOOKUP("3763-10-0",Trip[trip_id],Trip[trip_id],"Não encontrado")</f>
        <v/>
      </c>
      <c r="B1183" s="53" t="n">
        <v>0.7369444444444444</v>
      </c>
      <c r="C1183" s="53" t="n">
        <v>0.7369444444444444</v>
      </c>
      <c r="D1183">
        <f>_xlfn.XLOOKUP(200012183,Stops[stop_id],Stops[stop_id],"Não encontrado")</f>
        <v/>
      </c>
      <c r="E1183" t="n">
        <v>25</v>
      </c>
    </row>
    <row r="1184">
      <c r="A1184">
        <f>_xlfn.XLOOKUP("3763-10-0",Trip[trip_id],Trip[trip_id],"Não encontrado")</f>
        <v/>
      </c>
      <c r="B1184" s="53" t="n">
        <v>0.7381365740740741</v>
      </c>
      <c r="C1184" s="53" t="n">
        <v>0.7381365740740741</v>
      </c>
      <c r="D1184">
        <f>_xlfn.XLOOKUP(200012184,Stops[stop_id],Stops[stop_id],"Não encontrado")</f>
        <v/>
      </c>
      <c r="E1184" t="n">
        <v>26</v>
      </c>
    </row>
    <row r="1185">
      <c r="A1185">
        <f>_xlfn.XLOOKUP("3763-10-0",Trip[trip_id],Trip[trip_id],"Não encontrado")</f>
        <v/>
      </c>
      <c r="B1185" s="53" t="n">
        <v>0.7393287037037037</v>
      </c>
      <c r="C1185" s="53" t="n">
        <v>0.7393287037037037</v>
      </c>
      <c r="D1185">
        <f>_xlfn.XLOOKUP(200012186,Stops[stop_id],Stops[stop_id],"Não encontrado")</f>
        <v/>
      </c>
      <c r="E1185" t="n">
        <v>27</v>
      </c>
    </row>
    <row r="1186">
      <c r="A1186">
        <f>_xlfn.XLOOKUP("3763-10-0",Trip[trip_id],Trip[trip_id],"Não encontrado")</f>
        <v/>
      </c>
      <c r="B1186" s="53" t="n">
        <v>0.7405208333333333</v>
      </c>
      <c r="C1186" s="53" t="n">
        <v>0.7405208333333333</v>
      </c>
      <c r="D1186">
        <f>_xlfn.XLOOKUP(200012188,Stops[stop_id],Stops[stop_id],"Não encontrado")</f>
        <v/>
      </c>
      <c r="E1186" t="n">
        <v>28</v>
      </c>
    </row>
    <row r="1187">
      <c r="A1187">
        <f>_xlfn.XLOOKUP("3763-10-0",Trip[trip_id],Trip[trip_id],"Não encontrado")</f>
        <v/>
      </c>
      <c r="B1187" s="53" t="n">
        <v>0.741712962962963</v>
      </c>
      <c r="C1187" s="53" t="n">
        <v>0.741712962962963</v>
      </c>
      <c r="D1187">
        <f>_xlfn.XLOOKUP(8210280,Stops[stop_id],Stops[stop_id],"Não encontrado")</f>
        <v/>
      </c>
      <c r="E1187" t="n">
        <v>29</v>
      </c>
    </row>
    <row r="1188">
      <c r="A1188">
        <f>_xlfn.XLOOKUP("3763-10-0",Trip[trip_id],Trip[trip_id],"Não encontrado")</f>
        <v/>
      </c>
      <c r="B1188" s="53" t="n">
        <v>0.7429050925925926</v>
      </c>
      <c r="C1188" s="53" t="n">
        <v>0.7429050925925926</v>
      </c>
      <c r="D1188">
        <f>_xlfn.XLOOKUP(8210275,Stops[stop_id],Stops[stop_id],"Não encontrado")</f>
        <v/>
      </c>
      <c r="E1188" t="n">
        <v>30</v>
      </c>
    </row>
    <row r="1189">
      <c r="A1189">
        <f>_xlfn.XLOOKUP("3763-10-0",Trip[trip_id],Trip[trip_id],"Não encontrado")</f>
        <v/>
      </c>
      <c r="B1189" s="53" t="n">
        <v>0.7440972222222222</v>
      </c>
      <c r="C1189" s="53" t="n">
        <v>0.7440972222222222</v>
      </c>
      <c r="D1189">
        <f>_xlfn.XLOOKUP(8210274,Stops[stop_id],Stops[stop_id],"Não encontrado")</f>
        <v/>
      </c>
      <c r="E1189" t="n">
        <v>31</v>
      </c>
    </row>
    <row r="1190">
      <c r="A1190">
        <f>_xlfn.XLOOKUP("3763-10-0",Trip[trip_id],Trip[trip_id],"Não encontrado")</f>
        <v/>
      </c>
      <c r="B1190" s="53" t="n">
        <v>0.7452893518518519</v>
      </c>
      <c r="C1190" s="53" t="n">
        <v>0.7452893518518519</v>
      </c>
      <c r="D1190">
        <f>_xlfn.XLOOKUP(8210273,Stops[stop_id],Stops[stop_id],"Não encontrado")</f>
        <v/>
      </c>
      <c r="E1190" t="n">
        <v>32</v>
      </c>
    </row>
    <row r="1191">
      <c r="A1191">
        <f>_xlfn.XLOOKUP("3763-10-0",Trip[trip_id],Trip[trip_id],"Não encontrado")</f>
        <v/>
      </c>
      <c r="B1191" s="53" t="n">
        <v>0.7464814814814815</v>
      </c>
      <c r="C1191" s="53" t="n">
        <v>0.7464814814814815</v>
      </c>
      <c r="D1191">
        <f>_xlfn.XLOOKUP(8210272,Stops[stop_id],Stops[stop_id],"Não encontrado")</f>
        <v/>
      </c>
      <c r="E1191" t="n">
        <v>33</v>
      </c>
    </row>
    <row r="1192">
      <c r="A1192">
        <f>_xlfn.XLOOKUP("3763-10-0",Trip[trip_id],Trip[trip_id],"Não encontrado")</f>
        <v/>
      </c>
      <c r="B1192" s="53" t="n">
        <v>0.7476736111111111</v>
      </c>
      <c r="C1192" s="53" t="n">
        <v>0.7476736111111111</v>
      </c>
      <c r="D1192">
        <f>_xlfn.XLOOKUP(8210271,Stops[stop_id],Stops[stop_id],"Não encontrado")</f>
        <v/>
      </c>
      <c r="E1192" t="n">
        <v>34</v>
      </c>
    </row>
    <row r="1193">
      <c r="A1193">
        <f>_xlfn.XLOOKUP("3763-10-0",Trip[trip_id],Trip[trip_id],"Não encontrado")</f>
        <v/>
      </c>
      <c r="B1193" s="53" t="n">
        <v>0.7488657407407407</v>
      </c>
      <c r="C1193" s="53" t="n">
        <v>0.7488657407407407</v>
      </c>
      <c r="D1193">
        <f>_xlfn.XLOOKUP(8210270,Stops[stop_id],Stops[stop_id],"Não encontrado")</f>
        <v/>
      </c>
      <c r="E1193" t="n">
        <v>35</v>
      </c>
    </row>
    <row r="1194">
      <c r="A1194">
        <f>_xlfn.XLOOKUP("3763-10-0",Trip[trip_id],Trip[trip_id],"Não encontrado")</f>
        <v/>
      </c>
      <c r="B1194" s="53" t="n">
        <v>0.7500578703703704</v>
      </c>
      <c r="C1194" s="53" t="n">
        <v>0.7500578703703704</v>
      </c>
      <c r="D1194">
        <f>_xlfn.XLOOKUP(820008845,Stops[stop_id],Stops[stop_id],"Não encontrado")</f>
        <v/>
      </c>
      <c r="E1194" t="n">
        <v>36</v>
      </c>
    </row>
    <row r="1195">
      <c r="A1195">
        <f>_xlfn.XLOOKUP("3763-10-0",Trip[trip_id],Trip[trip_id],"Não encontrado")</f>
        <v/>
      </c>
      <c r="B1195" s="53" t="n">
        <v>0.75125</v>
      </c>
      <c r="C1195" s="53" t="n">
        <v>0.75125</v>
      </c>
      <c r="D1195">
        <f>_xlfn.XLOOKUP(820008846,Stops[stop_id],Stops[stop_id],"Não encontrado")</f>
        <v/>
      </c>
      <c r="E1195" t="n">
        <v>37</v>
      </c>
    </row>
    <row r="1196">
      <c r="A1196">
        <f>_xlfn.XLOOKUP("3763-10-0",Trip[trip_id],Trip[trip_id],"Não encontrado")</f>
        <v/>
      </c>
      <c r="B1196" s="53" t="n">
        <v>0.7524421296296296</v>
      </c>
      <c r="C1196" s="53" t="n">
        <v>0.7524421296296296</v>
      </c>
      <c r="D1196">
        <f>_xlfn.XLOOKUP(820008812,Stops[stop_id],Stops[stop_id],"Não encontrado")</f>
        <v/>
      </c>
      <c r="E1196" t="n">
        <v>38</v>
      </c>
    </row>
    <row r="1197">
      <c r="A1197">
        <f>_xlfn.XLOOKUP("3763-10-0",Trip[trip_id],Trip[trip_id],"Não encontrado")</f>
        <v/>
      </c>
      <c r="B1197" s="53" t="n">
        <v>0.7536342592592593</v>
      </c>
      <c r="C1197" s="53" t="n">
        <v>0.7536342592592593</v>
      </c>
      <c r="D1197">
        <f>_xlfn.XLOOKUP(8210261,Stops[stop_id],Stops[stop_id],"Não encontrado")</f>
        <v/>
      </c>
      <c r="E1197" t="n">
        <v>39</v>
      </c>
    </row>
    <row r="1198">
      <c r="A1198">
        <f>_xlfn.XLOOKUP("3763-10-0",Trip[trip_id],Trip[trip_id],"Não encontrado")</f>
        <v/>
      </c>
      <c r="B1198" s="53" t="n">
        <v>0.75625</v>
      </c>
      <c r="C1198" s="53" t="n">
        <v>0.75625</v>
      </c>
      <c r="D1198">
        <f>_xlfn.XLOOKUP(8210186,Stops[stop_id],Stops[stop_id],"Não encontrado")</f>
        <v/>
      </c>
      <c r="E1198" t="n">
        <v>40</v>
      </c>
    </row>
    <row r="1199">
      <c r="A1199">
        <f>_xlfn.XLOOKUP("3763-10-1",Trip[trip_id],Trip[trip_id],"Não encontrado")</f>
        <v/>
      </c>
      <c r="B1199" s="53" t="n">
        <v>0.7083333333333334</v>
      </c>
      <c r="C1199" s="53" t="n">
        <v>0.7083333333333334</v>
      </c>
      <c r="D1199">
        <f>_xlfn.XLOOKUP(8210186,Stops[stop_id],Stops[stop_id],"Não encontrado")</f>
        <v/>
      </c>
      <c r="E1199" t="n">
        <v>1</v>
      </c>
    </row>
    <row r="1200">
      <c r="A1200">
        <f>_xlfn.XLOOKUP("3763-10-1",Trip[trip_id],Trip[trip_id],"Não encontrado")</f>
        <v/>
      </c>
      <c r="B1200" s="53" t="n">
        <v>0.7094212962962962</v>
      </c>
      <c r="C1200" s="53" t="n">
        <v>0.7094212962962962</v>
      </c>
      <c r="D1200">
        <f>_xlfn.XLOOKUP(820008420,Stops[stop_id],Stops[stop_id],"Não encontrado")</f>
        <v/>
      </c>
      <c r="E1200" t="n">
        <v>2</v>
      </c>
    </row>
    <row r="1201">
      <c r="A1201">
        <f>_xlfn.XLOOKUP("3763-10-1",Trip[trip_id],Trip[trip_id],"Não encontrado")</f>
        <v/>
      </c>
      <c r="B1201" s="53" t="n">
        <v>0.7105092592592592</v>
      </c>
      <c r="C1201" s="53" t="n">
        <v>0.7105092592592592</v>
      </c>
      <c r="D1201">
        <f>_xlfn.XLOOKUP(820008486,Stops[stop_id],Stops[stop_id],"Não encontrado")</f>
        <v/>
      </c>
      <c r="E1201" t="n">
        <v>3</v>
      </c>
    </row>
    <row r="1202">
      <c r="A1202">
        <f>_xlfn.XLOOKUP("3763-10-1",Trip[trip_id],Trip[trip_id],"Não encontrado")</f>
        <v/>
      </c>
      <c r="B1202" s="53" t="n">
        <v>0.7115972222222222</v>
      </c>
      <c r="C1202" s="53" t="n">
        <v>0.7115972222222222</v>
      </c>
      <c r="D1202">
        <f>_xlfn.XLOOKUP(820008575,Stops[stop_id],Stops[stop_id],"Não encontrado")</f>
        <v/>
      </c>
      <c r="E1202" t="n">
        <v>4</v>
      </c>
    </row>
    <row r="1203">
      <c r="A1203">
        <f>_xlfn.XLOOKUP("3763-10-1",Trip[trip_id],Trip[trip_id],"Não encontrado")</f>
        <v/>
      </c>
      <c r="B1203" s="53" t="n">
        <v>0.7126851851851852</v>
      </c>
      <c r="C1203" s="53" t="n">
        <v>0.7126851851851852</v>
      </c>
      <c r="D1203">
        <f>_xlfn.XLOOKUP(820012208,Stops[stop_id],Stops[stop_id],"Não encontrado")</f>
        <v/>
      </c>
      <c r="E1203" t="n">
        <v>5</v>
      </c>
    </row>
    <row r="1204">
      <c r="A1204">
        <f>_xlfn.XLOOKUP("3763-10-1",Trip[trip_id],Trip[trip_id],"Não encontrado")</f>
        <v/>
      </c>
      <c r="B1204" s="53" t="n">
        <v>0.7137731481481482</v>
      </c>
      <c r="C1204" s="53" t="n">
        <v>0.7137731481481482</v>
      </c>
      <c r="D1204">
        <f>_xlfn.XLOOKUP(820012209,Stops[stop_id],Stops[stop_id],"Não encontrado")</f>
        <v/>
      </c>
      <c r="E1204" t="n">
        <v>6</v>
      </c>
    </row>
    <row r="1205">
      <c r="A1205">
        <f>_xlfn.XLOOKUP("3763-10-1",Trip[trip_id],Trip[trip_id],"Não encontrado")</f>
        <v/>
      </c>
      <c r="B1205" s="53" t="n">
        <v>0.7148611111111111</v>
      </c>
      <c r="C1205" s="53" t="n">
        <v>0.7148611111111111</v>
      </c>
      <c r="D1205">
        <f>_xlfn.XLOOKUP(820012204,Stops[stop_id],Stops[stop_id],"Não encontrado")</f>
        <v/>
      </c>
      <c r="E1205" t="n">
        <v>7</v>
      </c>
    </row>
    <row r="1206">
      <c r="A1206">
        <f>_xlfn.XLOOKUP("3763-10-1",Trip[trip_id],Trip[trip_id],"Não encontrado")</f>
        <v/>
      </c>
      <c r="B1206" s="53" t="n">
        <v>0.715949074074074</v>
      </c>
      <c r="C1206" s="53" t="n">
        <v>0.715949074074074</v>
      </c>
      <c r="D1206">
        <f>_xlfn.XLOOKUP(820012202,Stops[stop_id],Stops[stop_id],"Não encontrado")</f>
        <v/>
      </c>
      <c r="E1206" t="n">
        <v>8</v>
      </c>
    </row>
    <row r="1207">
      <c r="A1207">
        <f>_xlfn.XLOOKUP("3763-10-1",Trip[trip_id],Trip[trip_id],"Não encontrado")</f>
        <v/>
      </c>
      <c r="B1207" s="53" t="n">
        <v>0.717037037037037</v>
      </c>
      <c r="C1207" s="53" t="n">
        <v>0.717037037037037</v>
      </c>
      <c r="D1207">
        <f>_xlfn.XLOOKUP(820012199,Stops[stop_id],Stops[stop_id],"Não encontrado")</f>
        <v/>
      </c>
      <c r="E1207" t="n">
        <v>9</v>
      </c>
    </row>
    <row r="1208">
      <c r="A1208">
        <f>_xlfn.XLOOKUP("3763-10-1",Trip[trip_id],Trip[trip_id],"Não encontrado")</f>
        <v/>
      </c>
      <c r="B1208" s="53" t="n">
        <v>0.718125</v>
      </c>
      <c r="C1208" s="53" t="n">
        <v>0.718125</v>
      </c>
      <c r="D1208">
        <f>_xlfn.XLOOKUP(8209159,Stops[stop_id],Stops[stop_id],"Não encontrado")</f>
        <v/>
      </c>
      <c r="E1208" t="n">
        <v>10</v>
      </c>
    </row>
    <row r="1209">
      <c r="A1209">
        <f>_xlfn.XLOOKUP("3763-10-1",Trip[trip_id],Trip[trip_id],"Não encontrado")</f>
        <v/>
      </c>
      <c r="B1209" s="53" t="n">
        <v>0.719212962962963</v>
      </c>
      <c r="C1209" s="53" t="n">
        <v>0.719212962962963</v>
      </c>
      <c r="D1209">
        <f>_xlfn.XLOOKUP(8209155,Stops[stop_id],Stops[stop_id],"Não encontrado")</f>
        <v/>
      </c>
      <c r="E1209" t="n">
        <v>11</v>
      </c>
    </row>
    <row r="1210">
      <c r="A1210">
        <f>_xlfn.XLOOKUP("3763-10-1",Trip[trip_id],Trip[trip_id],"Não encontrado")</f>
        <v/>
      </c>
      <c r="B1210" s="53" t="n">
        <v>0.7203009259259259</v>
      </c>
      <c r="C1210" s="53" t="n">
        <v>0.7203009259259259</v>
      </c>
      <c r="D1210">
        <f>_xlfn.XLOOKUP(820012187,Stops[stop_id],Stops[stop_id],"Não encontrado")</f>
        <v/>
      </c>
      <c r="E1210" t="n">
        <v>12</v>
      </c>
    </row>
    <row r="1211">
      <c r="A1211">
        <f>_xlfn.XLOOKUP("3763-10-1",Trip[trip_id],Trip[trip_id],"Não encontrado")</f>
        <v/>
      </c>
      <c r="B1211" s="53" t="n">
        <v>0.7213888888888889</v>
      </c>
      <c r="C1211" s="53" t="n">
        <v>0.7213888888888889</v>
      </c>
      <c r="D1211">
        <f>_xlfn.XLOOKUP(820012185,Stops[stop_id],Stops[stop_id],"Não encontrado")</f>
        <v/>
      </c>
      <c r="E1211" t="n">
        <v>13</v>
      </c>
    </row>
    <row r="1212">
      <c r="A1212">
        <f>_xlfn.XLOOKUP("3763-10-1",Trip[trip_id],Trip[trip_id],"Não encontrado")</f>
        <v/>
      </c>
      <c r="B1212" s="53" t="n">
        <v>0.7224768518518518</v>
      </c>
      <c r="C1212" s="53" t="n">
        <v>0.7224768518518518</v>
      </c>
      <c r="D1212">
        <f>_xlfn.XLOOKUP(8209119,Stops[stop_id],Stops[stop_id],"Não encontrado")</f>
        <v/>
      </c>
      <c r="E1212" t="n">
        <v>14</v>
      </c>
    </row>
    <row r="1213">
      <c r="A1213">
        <f>_xlfn.XLOOKUP("3763-10-1",Trip[trip_id],Trip[trip_id],"Não encontrado")</f>
        <v/>
      </c>
      <c r="B1213" s="53" t="n">
        <v>0.7235648148148148</v>
      </c>
      <c r="C1213" s="53" t="n">
        <v>0.7235648148148148</v>
      </c>
      <c r="D1213">
        <f>_xlfn.XLOOKUP(870012181,Stops[stop_id],Stops[stop_id],"Não encontrado")</f>
        <v/>
      </c>
      <c r="E1213" t="n">
        <v>15</v>
      </c>
    </row>
    <row r="1214">
      <c r="A1214">
        <f>_xlfn.XLOOKUP("3763-10-1",Trip[trip_id],Trip[trip_id],"Não encontrado")</f>
        <v/>
      </c>
      <c r="B1214" s="53" t="n">
        <v>0.7246527777777778</v>
      </c>
      <c r="C1214" s="53" t="n">
        <v>0.7246527777777778</v>
      </c>
      <c r="D1214">
        <f>_xlfn.XLOOKUP(8709784,Stops[stop_id],Stops[stop_id],"Não encontrado")</f>
        <v/>
      </c>
      <c r="E1214" t="n">
        <v>16</v>
      </c>
    </row>
    <row r="1215">
      <c r="A1215">
        <f>_xlfn.XLOOKUP("3763-10-1",Trip[trip_id],Trip[trip_id],"Não encontrado")</f>
        <v/>
      </c>
      <c r="B1215" s="53" t="n">
        <v>0.7257407407407407</v>
      </c>
      <c r="C1215" s="53" t="n">
        <v>0.7257407407407407</v>
      </c>
      <c r="D1215">
        <f>_xlfn.XLOOKUP(870012175,Stops[stop_id],Stops[stop_id],"Não encontrado")</f>
        <v/>
      </c>
      <c r="E1215" t="n">
        <v>17</v>
      </c>
    </row>
    <row r="1216">
      <c r="A1216">
        <f>_xlfn.XLOOKUP("3763-10-1",Trip[trip_id],Trip[trip_id],"Não encontrado")</f>
        <v/>
      </c>
      <c r="B1216" s="53" t="n">
        <v>0.7268287037037037</v>
      </c>
      <c r="C1216" s="53" t="n">
        <v>0.7268287037037037</v>
      </c>
      <c r="D1216">
        <f>_xlfn.XLOOKUP(870012177,Stops[stop_id],Stops[stop_id],"Não encontrado")</f>
        <v/>
      </c>
      <c r="E1216" t="n">
        <v>18</v>
      </c>
    </row>
    <row r="1217">
      <c r="A1217">
        <f>_xlfn.XLOOKUP("3763-10-1",Trip[trip_id],Trip[trip_id],"Não encontrado")</f>
        <v/>
      </c>
      <c r="B1217" s="53" t="n">
        <v>0.7279166666666667</v>
      </c>
      <c r="C1217" s="53" t="n">
        <v>0.7279166666666667</v>
      </c>
      <c r="D1217">
        <f>_xlfn.XLOOKUP(870012179,Stops[stop_id],Stops[stop_id],"Não encontrado")</f>
        <v/>
      </c>
      <c r="E1217" t="n">
        <v>19</v>
      </c>
    </row>
    <row r="1218">
      <c r="A1218">
        <f>_xlfn.XLOOKUP("3763-10-1",Trip[trip_id],Trip[trip_id],"Não encontrado")</f>
        <v/>
      </c>
      <c r="B1218" s="53" t="n">
        <v>0.7290046296296296</v>
      </c>
      <c r="C1218" s="53" t="n">
        <v>0.7290046296296296</v>
      </c>
      <c r="D1218">
        <f>_xlfn.XLOOKUP(870008669,Stops[stop_id],Stops[stop_id],"Não encontrado")</f>
        <v/>
      </c>
      <c r="E1218" t="n">
        <v>20</v>
      </c>
    </row>
    <row r="1219">
      <c r="A1219">
        <f>_xlfn.XLOOKUP("3763-10-1",Trip[trip_id],Trip[trip_id],"Não encontrado")</f>
        <v/>
      </c>
      <c r="B1219" s="53" t="n">
        <v>0.7300925925925926</v>
      </c>
      <c r="C1219" s="53" t="n">
        <v>0.7300925925925926</v>
      </c>
      <c r="D1219">
        <f>_xlfn.XLOOKUP(8709782,Stops[stop_id],Stops[stop_id],"Não encontrado")</f>
        <v/>
      </c>
      <c r="E1219" t="n">
        <v>21</v>
      </c>
    </row>
    <row r="1220">
      <c r="A1220">
        <f>_xlfn.XLOOKUP("3763-10-1",Trip[trip_id],Trip[trip_id],"Não encontrado")</f>
        <v/>
      </c>
      <c r="B1220" s="53" t="n">
        <v>0.7311805555555555</v>
      </c>
      <c r="C1220" s="53" t="n">
        <v>0.7311805555555555</v>
      </c>
      <c r="D1220">
        <f>_xlfn.XLOOKUP(8709783,Stops[stop_id],Stops[stop_id],"Não encontrado")</f>
        <v/>
      </c>
      <c r="E1220" t="n">
        <v>22</v>
      </c>
    </row>
    <row r="1221">
      <c r="A1221">
        <f>_xlfn.XLOOKUP("3763-10-1",Trip[trip_id],Trip[trip_id],"Não encontrado")</f>
        <v/>
      </c>
      <c r="B1221" s="53" t="n">
        <v>0.7322685185185185</v>
      </c>
      <c r="C1221" s="53" t="n">
        <v>0.7322685185185185</v>
      </c>
      <c r="D1221">
        <f>_xlfn.XLOOKUP(870008673,Stops[stop_id],Stops[stop_id],"Não encontrado")</f>
        <v/>
      </c>
      <c r="E1221" t="n">
        <v>23</v>
      </c>
    </row>
    <row r="1222">
      <c r="A1222">
        <f>_xlfn.XLOOKUP("3763-10-1",Trip[trip_id],Trip[trip_id],"Não encontrado")</f>
        <v/>
      </c>
      <c r="B1222" s="53" t="n">
        <v>0.7333564814814815</v>
      </c>
      <c r="C1222" s="53" t="n">
        <v>0.7333564814814815</v>
      </c>
      <c r="D1222">
        <f>_xlfn.XLOOKUP(870008676,Stops[stop_id],Stops[stop_id],"Não encontrado")</f>
        <v/>
      </c>
      <c r="E1222" t="n">
        <v>24</v>
      </c>
    </row>
    <row r="1223">
      <c r="A1223">
        <f>_xlfn.XLOOKUP("3763-10-1",Trip[trip_id],Trip[trip_id],"Não encontrado")</f>
        <v/>
      </c>
      <c r="B1223" s="53" t="n">
        <v>0.7344444444444445</v>
      </c>
      <c r="C1223" s="53" t="n">
        <v>0.7344444444444445</v>
      </c>
      <c r="D1223">
        <f>_xlfn.XLOOKUP(870008662,Stops[stop_id],Stops[stop_id],"Não encontrado")</f>
        <v/>
      </c>
      <c r="E1223" t="n">
        <v>25</v>
      </c>
    </row>
    <row r="1224">
      <c r="A1224">
        <f>_xlfn.XLOOKUP("3763-10-1",Trip[trip_id],Trip[trip_id],"Não encontrado")</f>
        <v/>
      </c>
      <c r="B1224" s="53" t="n">
        <v>0.7355324074074074</v>
      </c>
      <c r="C1224" s="53" t="n">
        <v>0.7355324074074074</v>
      </c>
      <c r="D1224">
        <f>_xlfn.XLOOKUP(870008663,Stops[stop_id],Stops[stop_id],"Não encontrado")</f>
        <v/>
      </c>
      <c r="E1224" t="n">
        <v>26</v>
      </c>
    </row>
    <row r="1225">
      <c r="A1225">
        <f>_xlfn.XLOOKUP("3763-10-1",Trip[trip_id],Trip[trip_id],"Não encontrado")</f>
        <v/>
      </c>
      <c r="B1225" s="53" t="n">
        <v>0.7366203703703704</v>
      </c>
      <c r="C1225" s="53" t="n">
        <v>0.7366203703703704</v>
      </c>
      <c r="D1225">
        <f>_xlfn.XLOOKUP(870008665,Stops[stop_id],Stops[stop_id],"Não encontrado")</f>
        <v/>
      </c>
      <c r="E1225" t="n">
        <v>27</v>
      </c>
    </row>
    <row r="1226">
      <c r="A1226">
        <f>_xlfn.XLOOKUP("3763-10-1",Trip[trip_id],Trip[trip_id],"Não encontrado")</f>
        <v/>
      </c>
      <c r="B1226" s="53" t="n">
        <v>0.7377083333333333</v>
      </c>
      <c r="C1226" s="53" t="n">
        <v>0.7377083333333333</v>
      </c>
      <c r="D1226">
        <f>_xlfn.XLOOKUP(870008666,Stops[stop_id],Stops[stop_id],"Não encontrado")</f>
        <v/>
      </c>
      <c r="E1226" t="n">
        <v>28</v>
      </c>
    </row>
    <row r="1227">
      <c r="A1227">
        <f>_xlfn.XLOOKUP("3763-10-1",Trip[trip_id],Trip[trip_id],"Não encontrado")</f>
        <v/>
      </c>
      <c r="B1227" s="53" t="n">
        <v>0.7387962962962963</v>
      </c>
      <c r="C1227" s="53" t="n">
        <v>0.7387962962962963</v>
      </c>
      <c r="D1227">
        <f>_xlfn.XLOOKUP(870008650,Stops[stop_id],Stops[stop_id],"Não encontrado")</f>
        <v/>
      </c>
      <c r="E1227" t="n">
        <v>29</v>
      </c>
    </row>
    <row r="1228">
      <c r="A1228">
        <f>_xlfn.XLOOKUP("3763-10-1",Trip[trip_id],Trip[trip_id],"Não encontrado")</f>
        <v/>
      </c>
      <c r="B1228" s="53" t="n">
        <v>0.7398842592592593</v>
      </c>
      <c r="C1228" s="53" t="n">
        <v>0.7398842592592593</v>
      </c>
      <c r="D1228">
        <f>_xlfn.XLOOKUP(8704812,Stops[stop_id],Stops[stop_id],"Não encontrado")</f>
        <v/>
      </c>
      <c r="E1228" t="n">
        <v>30</v>
      </c>
    </row>
    <row r="1229">
      <c r="A1229">
        <f>_xlfn.XLOOKUP("3763-10-1",Trip[trip_id],Trip[trip_id],"Não encontrado")</f>
        <v/>
      </c>
      <c r="B1229" s="53" t="n">
        <v>0.7409722222222223</v>
      </c>
      <c r="C1229" s="53" t="n">
        <v>0.7409722222222223</v>
      </c>
      <c r="D1229">
        <f>_xlfn.XLOOKUP(870008647,Stops[stop_id],Stops[stop_id],"Não encontrado")</f>
        <v/>
      </c>
      <c r="E1229" t="n">
        <v>31</v>
      </c>
    </row>
    <row r="1230">
      <c r="A1230">
        <f>_xlfn.XLOOKUP("3763-10-1",Trip[trip_id],Trip[trip_id],"Não encontrado")</f>
        <v/>
      </c>
      <c r="B1230" s="53" t="n">
        <v>0.7420601851851852</v>
      </c>
      <c r="C1230" s="53" t="n">
        <v>0.7420601851851852</v>
      </c>
      <c r="D1230">
        <f>_xlfn.XLOOKUP(8704817,Stops[stop_id],Stops[stop_id],"Não encontrado")</f>
        <v/>
      </c>
      <c r="E1230" t="n">
        <v>32</v>
      </c>
    </row>
    <row r="1231">
      <c r="A1231">
        <f>_xlfn.XLOOKUP("3763-10-1",Trip[trip_id],Trip[trip_id],"Não encontrado")</f>
        <v/>
      </c>
      <c r="B1231" s="53" t="n">
        <v>0.7431481481481481</v>
      </c>
      <c r="C1231" s="53" t="n">
        <v>0.7431481481481481</v>
      </c>
      <c r="D1231">
        <f>_xlfn.XLOOKUP(870008578,Stops[stop_id],Stops[stop_id],"Não encontrado")</f>
        <v/>
      </c>
      <c r="E1231" t="n">
        <v>33</v>
      </c>
    </row>
    <row r="1232">
      <c r="A1232">
        <f>_xlfn.XLOOKUP("3763-10-1",Trip[trip_id],Trip[trip_id],"Não encontrado")</f>
        <v/>
      </c>
      <c r="B1232" s="53" t="n">
        <v>0.7442361111111111</v>
      </c>
      <c r="C1232" s="53" t="n">
        <v>0.7442361111111111</v>
      </c>
      <c r="D1232">
        <f>_xlfn.XLOOKUP(870008593,Stops[stop_id],Stops[stop_id],"Não encontrado")</f>
        <v/>
      </c>
      <c r="E1232" t="n">
        <v>34</v>
      </c>
    </row>
    <row r="1233">
      <c r="A1233">
        <f>_xlfn.XLOOKUP("3763-10-1",Trip[trip_id],Trip[trip_id],"Não encontrado")</f>
        <v/>
      </c>
      <c r="B1233" s="53" t="n">
        <v>0.7453240740740741</v>
      </c>
      <c r="C1233" s="53" t="n">
        <v>0.7453240740740741</v>
      </c>
      <c r="D1233">
        <f>_xlfn.XLOOKUP(870008594,Stops[stop_id],Stops[stop_id],"Não encontrado")</f>
        <v/>
      </c>
      <c r="E1233" t="n">
        <v>35</v>
      </c>
    </row>
    <row r="1234">
      <c r="A1234">
        <f>_xlfn.XLOOKUP("3763-10-1",Trip[trip_id],Trip[trip_id],"Não encontrado")</f>
        <v/>
      </c>
      <c r="B1234" s="53" t="n">
        <v>0.7464120370370371</v>
      </c>
      <c r="C1234" s="53" t="n">
        <v>0.7464120370370371</v>
      </c>
      <c r="D1234">
        <f>_xlfn.XLOOKUP(2009277,Stops[stop_id],Stops[stop_id],"Não encontrado")</f>
        <v/>
      </c>
      <c r="E1234" t="n">
        <v>36</v>
      </c>
    </row>
    <row r="1235">
      <c r="A1235">
        <f>_xlfn.XLOOKUP("3763-10-1",Trip[trip_id],Trip[trip_id],"Não encontrado")</f>
        <v/>
      </c>
      <c r="B1235" s="53" t="n">
        <v>0.7475000000000001</v>
      </c>
      <c r="C1235" s="53" t="n">
        <v>0.7475000000000001</v>
      </c>
      <c r="D1235">
        <f>_xlfn.XLOOKUP(200008598,Stops[stop_id],Stops[stop_id],"Não encontrado")</f>
        <v/>
      </c>
      <c r="E1235" t="n">
        <v>37</v>
      </c>
    </row>
    <row r="1236">
      <c r="A1236">
        <f>_xlfn.XLOOKUP("3763-10-1",Trip[trip_id],Trip[trip_id],"Não encontrado")</f>
        <v/>
      </c>
      <c r="B1236" s="53" t="n">
        <v>0.7485879629629629</v>
      </c>
      <c r="C1236" s="53" t="n">
        <v>0.7485879629629629</v>
      </c>
      <c r="D1236">
        <f>_xlfn.XLOOKUP(200008600,Stops[stop_id],Stops[stop_id],"Não encontrado")</f>
        <v/>
      </c>
      <c r="E1236" t="n">
        <v>38</v>
      </c>
    </row>
    <row r="1237">
      <c r="A1237">
        <f>_xlfn.XLOOKUP("3763-10-1",Trip[trip_id],Trip[trip_id],"Não encontrado")</f>
        <v/>
      </c>
      <c r="B1237" s="53" t="n">
        <v>0.7496759259259259</v>
      </c>
      <c r="C1237" s="53" t="n">
        <v>0.7496759259259259</v>
      </c>
      <c r="D1237">
        <f>_xlfn.XLOOKUP(2009261,Stops[stop_id],Stops[stop_id],"Não encontrado")</f>
        <v/>
      </c>
      <c r="E1237" t="n">
        <v>39</v>
      </c>
    </row>
    <row r="1238">
      <c r="A1238">
        <f>_xlfn.XLOOKUP("3763-10-1",Trip[trip_id],Trip[trip_id],"Não encontrado")</f>
        <v/>
      </c>
      <c r="B1238" s="53" t="n">
        <v>0.7507638888888889</v>
      </c>
      <c r="C1238" s="53" t="n">
        <v>0.7507638888888889</v>
      </c>
      <c r="D1238">
        <f>_xlfn.XLOOKUP(200008602,Stops[stop_id],Stops[stop_id],"Não encontrado")</f>
        <v/>
      </c>
      <c r="E1238" t="n">
        <v>40</v>
      </c>
    </row>
    <row r="1239">
      <c r="A1239">
        <f>_xlfn.XLOOKUP("3763-10-1",Trip[trip_id],Trip[trip_id],"Não encontrado")</f>
        <v/>
      </c>
      <c r="B1239" s="53" t="n">
        <v>0.7518518518518519</v>
      </c>
      <c r="C1239" s="53" t="n">
        <v>0.7518518518518519</v>
      </c>
      <c r="D1239">
        <f>_xlfn.XLOOKUP(2009273,Stops[stop_id],Stops[stop_id],"Não encontrado")</f>
        <v/>
      </c>
      <c r="E1239" t="n">
        <v>41</v>
      </c>
    </row>
    <row r="1240">
      <c r="A1240">
        <f>_xlfn.XLOOKUP("3763-10-1",Trip[trip_id],Trip[trip_id],"Não encontrado")</f>
        <v/>
      </c>
      <c r="B1240" s="53" t="n">
        <v>0.7541666666666667</v>
      </c>
      <c r="C1240" s="53" t="n">
        <v>0.7541666666666667</v>
      </c>
      <c r="D1240">
        <f>_xlfn.XLOOKUP(200012435,Stops[stop_id],Stops[stop_id],"Não encontrado")</f>
        <v/>
      </c>
      <c r="E1240" t="n">
        <v>42</v>
      </c>
    </row>
    <row r="1241">
      <c r="A1241">
        <f>_xlfn.XLOOKUP("407F-10-0",Trip[trip_id],Trip[trip_id],"Não encontrado")</f>
        <v/>
      </c>
      <c r="B1241" s="53" t="n">
        <v>0.7083333333333334</v>
      </c>
      <c r="C1241" s="53" t="n">
        <v>0.7083333333333334</v>
      </c>
      <c r="D1241">
        <f>_xlfn.XLOOKUP(750006772,Stops[stop_id],Stops[stop_id],"Não encontrado")</f>
        <v/>
      </c>
      <c r="E1241" t="n">
        <v>1</v>
      </c>
    </row>
    <row r="1242">
      <c r="A1242">
        <f>_xlfn.XLOOKUP("407F-10-0",Trip[trip_id],Trip[trip_id],"Não encontrado")</f>
        <v/>
      </c>
      <c r="B1242" s="53" t="n">
        <v>0.7094212962962962</v>
      </c>
      <c r="C1242" s="53" t="n">
        <v>0.7094212962962962</v>
      </c>
      <c r="D1242">
        <f>_xlfn.XLOOKUP(750006127,Stops[stop_id],Stops[stop_id],"Não encontrado")</f>
        <v/>
      </c>
      <c r="E1242" t="n">
        <v>2</v>
      </c>
    </row>
    <row r="1243">
      <c r="A1243">
        <f>_xlfn.XLOOKUP("407F-10-0",Trip[trip_id],Trip[trip_id],"Não encontrado")</f>
        <v/>
      </c>
      <c r="B1243" s="53" t="n">
        <v>0.7105092592592592</v>
      </c>
      <c r="C1243" s="53" t="n">
        <v>0.7105092592592592</v>
      </c>
      <c r="D1243">
        <f>_xlfn.XLOOKUP(750006130,Stops[stop_id],Stops[stop_id],"Não encontrado")</f>
        <v/>
      </c>
      <c r="E1243" t="n">
        <v>3</v>
      </c>
    </row>
    <row r="1244">
      <c r="A1244">
        <f>_xlfn.XLOOKUP("407F-10-0",Trip[trip_id],Trip[trip_id],"Não encontrado")</f>
        <v/>
      </c>
      <c r="B1244" s="53" t="n">
        <v>0.7115972222222222</v>
      </c>
      <c r="C1244" s="53" t="n">
        <v>0.7115972222222222</v>
      </c>
      <c r="D1244">
        <f>_xlfn.XLOOKUP(750006132,Stops[stop_id],Stops[stop_id],"Não encontrado")</f>
        <v/>
      </c>
      <c r="E1244" t="n">
        <v>4</v>
      </c>
    </row>
    <row r="1245">
      <c r="A1245">
        <f>_xlfn.XLOOKUP("407F-10-0",Trip[trip_id],Trip[trip_id],"Não encontrado")</f>
        <v/>
      </c>
      <c r="B1245" s="53" t="n">
        <v>0.7126851851851852</v>
      </c>
      <c r="C1245" s="53" t="n">
        <v>0.7126851851851852</v>
      </c>
      <c r="D1245">
        <f>_xlfn.XLOOKUP(750006133,Stops[stop_id],Stops[stop_id],"Não encontrado")</f>
        <v/>
      </c>
      <c r="E1245" t="n">
        <v>5</v>
      </c>
    </row>
    <row r="1246">
      <c r="A1246">
        <f>_xlfn.XLOOKUP("407F-10-0",Trip[trip_id],Trip[trip_id],"Não encontrado")</f>
        <v/>
      </c>
      <c r="B1246" s="53" t="n">
        <v>0.7137731481481482</v>
      </c>
      <c r="C1246" s="53" t="n">
        <v>0.7137731481481482</v>
      </c>
      <c r="D1246">
        <f>_xlfn.XLOOKUP(750006136,Stops[stop_id],Stops[stop_id],"Não encontrado")</f>
        <v/>
      </c>
      <c r="E1246" t="n">
        <v>6</v>
      </c>
    </row>
    <row r="1247">
      <c r="A1247">
        <f>_xlfn.XLOOKUP("407F-10-0",Trip[trip_id],Trip[trip_id],"Não encontrado")</f>
        <v/>
      </c>
      <c r="B1247" s="53" t="n">
        <v>0.7148611111111111</v>
      </c>
      <c r="C1247" s="53" t="n">
        <v>0.7148611111111111</v>
      </c>
      <c r="D1247">
        <f>_xlfn.XLOOKUP(750006137,Stops[stop_id],Stops[stop_id],"Não encontrado")</f>
        <v/>
      </c>
      <c r="E1247" t="n">
        <v>7</v>
      </c>
    </row>
    <row r="1248">
      <c r="A1248">
        <f>_xlfn.XLOOKUP("407F-10-0",Trip[trip_id],Trip[trip_id],"Não encontrado")</f>
        <v/>
      </c>
      <c r="B1248" s="53" t="n">
        <v>0.715949074074074</v>
      </c>
      <c r="C1248" s="53" t="n">
        <v>0.715949074074074</v>
      </c>
      <c r="D1248">
        <f>_xlfn.XLOOKUP(750006201,Stops[stop_id],Stops[stop_id],"Não encontrado")</f>
        <v/>
      </c>
      <c r="E1248" t="n">
        <v>8</v>
      </c>
    </row>
    <row r="1249">
      <c r="A1249">
        <f>_xlfn.XLOOKUP("407F-10-0",Trip[trip_id],Trip[trip_id],"Não encontrado")</f>
        <v/>
      </c>
      <c r="B1249" s="53" t="n">
        <v>0.717037037037037</v>
      </c>
      <c r="C1249" s="53" t="n">
        <v>0.717037037037037</v>
      </c>
      <c r="D1249">
        <f>_xlfn.XLOOKUP(750006199,Stops[stop_id],Stops[stop_id],"Não encontrado")</f>
        <v/>
      </c>
      <c r="E1249" t="n">
        <v>9</v>
      </c>
    </row>
    <row r="1250">
      <c r="A1250">
        <f>_xlfn.XLOOKUP("407F-10-0",Trip[trip_id],Trip[trip_id],"Não encontrado")</f>
        <v/>
      </c>
      <c r="B1250" s="53" t="n">
        <v>0.718125</v>
      </c>
      <c r="C1250" s="53" t="n">
        <v>0.718125</v>
      </c>
      <c r="D1250">
        <f>_xlfn.XLOOKUP(750006198,Stops[stop_id],Stops[stop_id],"Não encontrado")</f>
        <v/>
      </c>
      <c r="E1250" t="n">
        <v>10</v>
      </c>
    </row>
    <row r="1251">
      <c r="A1251">
        <f>_xlfn.XLOOKUP("407F-10-0",Trip[trip_id],Trip[trip_id],"Não encontrado")</f>
        <v/>
      </c>
      <c r="B1251" s="53" t="n">
        <v>0.719212962962963</v>
      </c>
      <c r="C1251" s="53" t="n">
        <v>0.719212962962963</v>
      </c>
      <c r="D1251">
        <f>_xlfn.XLOOKUP(750006196,Stops[stop_id],Stops[stop_id],"Não encontrado")</f>
        <v/>
      </c>
      <c r="E1251" t="n">
        <v>11</v>
      </c>
    </row>
    <row r="1252">
      <c r="A1252">
        <f>_xlfn.XLOOKUP("407F-10-0",Trip[trip_id],Trip[trip_id],"Não encontrado")</f>
        <v/>
      </c>
      <c r="B1252" s="53" t="n">
        <v>0.7203009259259259</v>
      </c>
      <c r="C1252" s="53" t="n">
        <v>0.7203009259259259</v>
      </c>
      <c r="D1252">
        <f>_xlfn.XLOOKUP(7504831,Stops[stop_id],Stops[stop_id],"Não encontrado")</f>
        <v/>
      </c>
      <c r="E1252" t="n">
        <v>12</v>
      </c>
    </row>
    <row r="1253">
      <c r="A1253">
        <f>_xlfn.XLOOKUP("407F-10-0",Trip[trip_id],Trip[trip_id],"Não encontrado")</f>
        <v/>
      </c>
      <c r="B1253" s="53" t="n">
        <v>0.7213888888888889</v>
      </c>
      <c r="C1253" s="53" t="n">
        <v>0.7213888888888889</v>
      </c>
      <c r="D1253">
        <f>_xlfn.XLOOKUP(7504993,Stops[stop_id],Stops[stop_id],"Não encontrado")</f>
        <v/>
      </c>
      <c r="E1253" t="n">
        <v>13</v>
      </c>
    </row>
    <row r="1254">
      <c r="A1254">
        <f>_xlfn.XLOOKUP("407F-10-0",Trip[trip_id],Trip[trip_id],"Não encontrado")</f>
        <v/>
      </c>
      <c r="B1254" s="53" t="n">
        <v>0.7224768518518518</v>
      </c>
      <c r="C1254" s="53" t="n">
        <v>0.7224768518518518</v>
      </c>
      <c r="D1254">
        <f>_xlfn.XLOOKUP(7504995,Stops[stop_id],Stops[stop_id],"Não encontrado")</f>
        <v/>
      </c>
      <c r="E1254" t="n">
        <v>14</v>
      </c>
    </row>
    <row r="1255">
      <c r="A1255">
        <f>_xlfn.XLOOKUP("407F-10-0",Trip[trip_id],Trip[trip_id],"Não encontrado")</f>
        <v/>
      </c>
      <c r="B1255" s="53" t="n">
        <v>0.7235648148148148</v>
      </c>
      <c r="C1255" s="53" t="n">
        <v>0.7235648148148148</v>
      </c>
      <c r="D1255">
        <f>_xlfn.XLOOKUP(750012299,Stops[stop_id],Stops[stop_id],"Não encontrado")</f>
        <v/>
      </c>
      <c r="E1255" t="n">
        <v>15</v>
      </c>
    </row>
    <row r="1256">
      <c r="A1256">
        <f>_xlfn.XLOOKUP("407F-10-0",Trip[trip_id],Trip[trip_id],"Não encontrado")</f>
        <v/>
      </c>
      <c r="B1256" s="53" t="n">
        <v>0.7246527777777778</v>
      </c>
      <c r="C1256" s="53" t="n">
        <v>0.7246527777777778</v>
      </c>
      <c r="D1256">
        <f>_xlfn.XLOOKUP(750012300,Stops[stop_id],Stops[stop_id],"Não encontrado")</f>
        <v/>
      </c>
      <c r="E1256" t="n">
        <v>16</v>
      </c>
    </row>
    <row r="1257">
      <c r="A1257">
        <f>_xlfn.XLOOKUP("407F-10-0",Trip[trip_id],Trip[trip_id],"Não encontrado")</f>
        <v/>
      </c>
      <c r="B1257" s="53" t="n">
        <v>0.7257407407407407</v>
      </c>
      <c r="C1257" s="53" t="n">
        <v>0.7257407407407407</v>
      </c>
      <c r="D1257">
        <f>_xlfn.XLOOKUP(750012301,Stops[stop_id],Stops[stop_id],"Não encontrado")</f>
        <v/>
      </c>
      <c r="E1257" t="n">
        <v>17</v>
      </c>
    </row>
    <row r="1258">
      <c r="A1258">
        <f>_xlfn.XLOOKUP("407F-10-0",Trip[trip_id],Trip[trip_id],"Não encontrado")</f>
        <v/>
      </c>
      <c r="B1258" s="53" t="n">
        <v>0.7268287037037037</v>
      </c>
      <c r="C1258" s="53" t="n">
        <v>0.7268287037037037</v>
      </c>
      <c r="D1258">
        <f>_xlfn.XLOOKUP(40012302,Stops[stop_id],Stops[stop_id],"Não encontrado")</f>
        <v/>
      </c>
      <c r="E1258" t="n">
        <v>18</v>
      </c>
    </row>
    <row r="1259">
      <c r="A1259">
        <f>_xlfn.XLOOKUP("407F-10-0",Trip[trip_id],Trip[trip_id],"Não encontrado")</f>
        <v/>
      </c>
      <c r="B1259" s="53" t="n">
        <v>0.7279166666666667</v>
      </c>
      <c r="C1259" s="53" t="n">
        <v>0.7279166666666667</v>
      </c>
      <c r="D1259">
        <f>_xlfn.XLOOKUP(40008543,Stops[stop_id],Stops[stop_id],"Não encontrado")</f>
        <v/>
      </c>
      <c r="E1259" t="n">
        <v>19</v>
      </c>
    </row>
    <row r="1260">
      <c r="A1260">
        <f>_xlfn.XLOOKUP("407F-10-0",Trip[trip_id],Trip[trip_id],"Não encontrado")</f>
        <v/>
      </c>
      <c r="B1260" s="53" t="n">
        <v>0.7290046296296296</v>
      </c>
      <c r="C1260" s="53" t="n">
        <v>0.7290046296296296</v>
      </c>
      <c r="D1260">
        <f>_xlfn.XLOOKUP(404735,Stops[stop_id],Stops[stop_id],"Não encontrado")</f>
        <v/>
      </c>
      <c r="E1260" t="n">
        <v>20</v>
      </c>
    </row>
    <row r="1261">
      <c r="A1261">
        <f>_xlfn.XLOOKUP("407F-10-0",Trip[trip_id],Trip[trip_id],"Não encontrado")</f>
        <v/>
      </c>
      <c r="B1261" s="53" t="n">
        <v>0.7300925925925926</v>
      </c>
      <c r="C1261" s="53" t="n">
        <v>0.7300925925925926</v>
      </c>
      <c r="D1261">
        <f>_xlfn.XLOOKUP(404729,Stops[stop_id],Stops[stop_id],"Não encontrado")</f>
        <v/>
      </c>
      <c r="E1261" t="n">
        <v>21</v>
      </c>
    </row>
    <row r="1262">
      <c r="A1262">
        <f>_xlfn.XLOOKUP("407F-10-0",Trip[trip_id],Trip[trip_id],"Não encontrado")</f>
        <v/>
      </c>
      <c r="B1262" s="53" t="n">
        <v>0.7311805555555555</v>
      </c>
      <c r="C1262" s="53" t="n">
        <v>0.7311805555555555</v>
      </c>
      <c r="D1262">
        <f>_xlfn.XLOOKUP(404733,Stops[stop_id],Stops[stop_id],"Não encontrado")</f>
        <v/>
      </c>
      <c r="E1262" t="n">
        <v>22</v>
      </c>
    </row>
    <row r="1263">
      <c r="A1263">
        <f>_xlfn.XLOOKUP("407F-10-0",Trip[trip_id],Trip[trip_id],"Não encontrado")</f>
        <v/>
      </c>
      <c r="B1263" s="53" t="n">
        <v>0.7322685185185185</v>
      </c>
      <c r="C1263" s="53" t="n">
        <v>0.7322685185185185</v>
      </c>
      <c r="D1263">
        <f>_xlfn.XLOOKUP(404602,Stops[stop_id],Stops[stop_id],"Não encontrado")</f>
        <v/>
      </c>
      <c r="E1263" t="n">
        <v>23</v>
      </c>
    </row>
    <row r="1264">
      <c r="A1264">
        <f>_xlfn.XLOOKUP("407F-10-0",Trip[trip_id],Trip[trip_id],"Não encontrado")</f>
        <v/>
      </c>
      <c r="B1264" s="53" t="n">
        <v>0.7333564814814815</v>
      </c>
      <c r="C1264" s="53" t="n">
        <v>0.7333564814814815</v>
      </c>
      <c r="D1264">
        <f>_xlfn.XLOOKUP(404599,Stops[stop_id],Stops[stop_id],"Não encontrado")</f>
        <v/>
      </c>
      <c r="E1264" t="n">
        <v>24</v>
      </c>
    </row>
    <row r="1265">
      <c r="A1265">
        <f>_xlfn.XLOOKUP("407F-10-0",Trip[trip_id],Trip[trip_id],"Não encontrado")</f>
        <v/>
      </c>
      <c r="B1265" s="53" t="n">
        <v>0.7344444444444445</v>
      </c>
      <c r="C1265" s="53" t="n">
        <v>0.7344444444444445</v>
      </c>
      <c r="D1265">
        <f>_xlfn.XLOOKUP(404598,Stops[stop_id],Stops[stop_id],"Não encontrado")</f>
        <v/>
      </c>
      <c r="E1265" t="n">
        <v>25</v>
      </c>
    </row>
    <row r="1266">
      <c r="A1266">
        <f>_xlfn.XLOOKUP("407F-10-0",Trip[trip_id],Trip[trip_id],"Não encontrado")</f>
        <v/>
      </c>
      <c r="B1266" s="53" t="n">
        <v>0.7355324074074074</v>
      </c>
      <c r="C1266" s="53" t="n">
        <v>0.7355324074074074</v>
      </c>
      <c r="D1266">
        <f>_xlfn.XLOOKUP(404597,Stops[stop_id],Stops[stop_id],"Não encontrado")</f>
        <v/>
      </c>
      <c r="E1266" t="n">
        <v>26</v>
      </c>
    </row>
    <row r="1267">
      <c r="A1267">
        <f>_xlfn.XLOOKUP("407F-10-0",Trip[trip_id],Trip[trip_id],"Não encontrado")</f>
        <v/>
      </c>
      <c r="B1267" s="53" t="n">
        <v>0.7366203703703704</v>
      </c>
      <c r="C1267" s="53" t="n">
        <v>0.7366203703703704</v>
      </c>
      <c r="D1267">
        <f>_xlfn.XLOOKUP(404595,Stops[stop_id],Stops[stop_id],"Não encontrado")</f>
        <v/>
      </c>
      <c r="E1267" t="n">
        <v>27</v>
      </c>
    </row>
    <row r="1268">
      <c r="A1268">
        <f>_xlfn.XLOOKUP("407F-10-0",Trip[trip_id],Trip[trip_id],"Não encontrado")</f>
        <v/>
      </c>
      <c r="B1268" s="53" t="n">
        <v>0.7377083333333333</v>
      </c>
      <c r="C1268" s="53" t="n">
        <v>0.7377083333333333</v>
      </c>
      <c r="D1268">
        <f>_xlfn.XLOOKUP(404592,Stops[stop_id],Stops[stop_id],"Não encontrado")</f>
        <v/>
      </c>
      <c r="E1268" t="n">
        <v>28</v>
      </c>
    </row>
    <row r="1269">
      <c r="A1269">
        <f>_xlfn.XLOOKUP("407F-10-0",Trip[trip_id],Trip[trip_id],"Não encontrado")</f>
        <v/>
      </c>
      <c r="B1269" s="53" t="n">
        <v>0.7387962962962963</v>
      </c>
      <c r="C1269" s="53" t="n">
        <v>0.7387962962962963</v>
      </c>
      <c r="D1269">
        <f>_xlfn.XLOOKUP(404590,Stops[stop_id],Stops[stop_id],"Não encontrado")</f>
        <v/>
      </c>
      <c r="E1269" t="n">
        <v>29</v>
      </c>
    </row>
    <row r="1270">
      <c r="A1270">
        <f>_xlfn.XLOOKUP("407F-10-0",Trip[trip_id],Trip[trip_id],"Não encontrado")</f>
        <v/>
      </c>
      <c r="B1270" s="53" t="n">
        <v>0.7398842592592593</v>
      </c>
      <c r="C1270" s="53" t="n">
        <v>0.7398842592592593</v>
      </c>
      <c r="D1270">
        <f>_xlfn.XLOOKUP(40008569,Stops[stop_id],Stops[stop_id],"Não encontrado")</f>
        <v/>
      </c>
      <c r="E1270" t="n">
        <v>30</v>
      </c>
    </row>
    <row r="1271">
      <c r="A1271">
        <f>_xlfn.XLOOKUP("407F-10-0",Trip[trip_id],Trip[trip_id],"Não encontrado")</f>
        <v/>
      </c>
      <c r="B1271" s="53" t="n">
        <v>0.7409722222222223</v>
      </c>
      <c r="C1271" s="53" t="n">
        <v>0.7409722222222223</v>
      </c>
      <c r="D1271">
        <f>_xlfn.XLOOKUP(40008570,Stops[stop_id],Stops[stop_id],"Não encontrado")</f>
        <v/>
      </c>
      <c r="E1271" t="n">
        <v>31</v>
      </c>
    </row>
    <row r="1272">
      <c r="A1272">
        <f>_xlfn.XLOOKUP("407F-10-0",Trip[trip_id],Trip[trip_id],"Não encontrado")</f>
        <v/>
      </c>
      <c r="B1272" s="53" t="n">
        <v>0.7420601851851852</v>
      </c>
      <c r="C1272" s="53" t="n">
        <v>0.7420601851851852</v>
      </c>
      <c r="D1272">
        <f>_xlfn.XLOOKUP(870012610,Stops[stop_id],Stops[stop_id],"Não encontrado")</f>
        <v/>
      </c>
      <c r="E1272" t="n">
        <v>32</v>
      </c>
    </row>
    <row r="1273">
      <c r="A1273">
        <f>_xlfn.XLOOKUP("407F-10-0",Trip[trip_id],Trip[trip_id],"Não encontrado")</f>
        <v/>
      </c>
      <c r="B1273" s="53" t="n">
        <v>0.7431481481481481</v>
      </c>
      <c r="C1273" s="53" t="n">
        <v>0.7431481481481481</v>
      </c>
      <c r="D1273">
        <f>_xlfn.XLOOKUP(870012607,Stops[stop_id],Stops[stop_id],"Não encontrado")</f>
        <v/>
      </c>
      <c r="E1273" t="n">
        <v>33</v>
      </c>
    </row>
    <row r="1274">
      <c r="A1274">
        <f>_xlfn.XLOOKUP("407F-10-0",Trip[trip_id],Trip[trip_id],"Não encontrado")</f>
        <v/>
      </c>
      <c r="B1274" s="53" t="n">
        <v>0.7442361111111111</v>
      </c>
      <c r="C1274" s="53" t="n">
        <v>0.7442361111111111</v>
      </c>
      <c r="D1274">
        <f>_xlfn.XLOOKUP(870012605,Stops[stop_id],Stops[stop_id],"Não encontrado")</f>
        <v/>
      </c>
      <c r="E1274" t="n">
        <v>34</v>
      </c>
    </row>
    <row r="1275">
      <c r="A1275">
        <f>_xlfn.XLOOKUP("407F-10-0",Trip[trip_id],Trip[trip_id],"Não encontrado")</f>
        <v/>
      </c>
      <c r="B1275" s="53" t="n">
        <v>0.7453240740740741</v>
      </c>
      <c r="C1275" s="53" t="n">
        <v>0.7453240740740741</v>
      </c>
      <c r="D1275">
        <f>_xlfn.XLOOKUP(870008649,Stops[stop_id],Stops[stop_id],"Não encontrado")</f>
        <v/>
      </c>
      <c r="E1275" t="n">
        <v>35</v>
      </c>
    </row>
    <row r="1276">
      <c r="A1276">
        <f>_xlfn.XLOOKUP("407F-10-0",Trip[trip_id],Trip[trip_id],"Não encontrado")</f>
        <v/>
      </c>
      <c r="B1276" s="53" t="n">
        <v>0.7464120370370371</v>
      </c>
      <c r="C1276" s="53" t="n">
        <v>0.7464120370370371</v>
      </c>
      <c r="D1276">
        <f>_xlfn.XLOOKUP(870008667,Stops[stop_id],Stops[stop_id],"Não encontrado")</f>
        <v/>
      </c>
      <c r="E1276" t="n">
        <v>36</v>
      </c>
    </row>
    <row r="1277">
      <c r="A1277">
        <f>_xlfn.XLOOKUP("407F-10-0",Trip[trip_id],Trip[trip_id],"Não encontrado")</f>
        <v/>
      </c>
      <c r="B1277" s="53" t="n">
        <v>0.7475000000000001</v>
      </c>
      <c r="C1277" s="53" t="n">
        <v>0.7475000000000001</v>
      </c>
      <c r="D1277">
        <f>_xlfn.XLOOKUP(870012612,Stops[stop_id],Stops[stop_id],"Não encontrado")</f>
        <v/>
      </c>
      <c r="E1277" t="n">
        <v>37</v>
      </c>
    </row>
    <row r="1278">
      <c r="A1278">
        <f>_xlfn.XLOOKUP("407F-10-0",Trip[trip_id],Trip[trip_id],"Não encontrado")</f>
        <v/>
      </c>
      <c r="B1278" s="53" t="n">
        <v>0.7485879629629629</v>
      </c>
      <c r="C1278" s="53" t="n">
        <v>0.7485879629629629</v>
      </c>
      <c r="D1278">
        <f>_xlfn.XLOOKUP(870012602,Stops[stop_id],Stops[stop_id],"Não encontrado")</f>
        <v/>
      </c>
      <c r="E1278" t="n">
        <v>38</v>
      </c>
    </row>
    <row r="1279">
      <c r="A1279">
        <f>_xlfn.XLOOKUP("407F-10-0",Trip[trip_id],Trip[trip_id],"Não encontrado")</f>
        <v/>
      </c>
      <c r="B1279" s="53" t="n">
        <v>0.7496759259259259</v>
      </c>
      <c r="C1279" s="53" t="n">
        <v>0.7496759259259259</v>
      </c>
      <c r="D1279">
        <f>_xlfn.XLOOKUP(870012180,Stops[stop_id],Stops[stop_id],"Não encontrado")</f>
        <v/>
      </c>
      <c r="E1279" t="n">
        <v>39</v>
      </c>
    </row>
    <row r="1280">
      <c r="A1280">
        <f>_xlfn.XLOOKUP("407F-10-0",Trip[trip_id],Trip[trip_id],"Não encontrado")</f>
        <v/>
      </c>
      <c r="B1280" s="53" t="n">
        <v>0.7507638888888889</v>
      </c>
      <c r="C1280" s="53" t="n">
        <v>0.7507638888888889</v>
      </c>
      <c r="D1280">
        <f>_xlfn.XLOOKUP(870008707,Stops[stop_id],Stops[stop_id],"Não encontrado")</f>
        <v/>
      </c>
      <c r="E1280" t="n">
        <v>40</v>
      </c>
    </row>
    <row r="1281">
      <c r="A1281">
        <f>_xlfn.XLOOKUP("407F-10-0",Trip[trip_id],Trip[trip_id],"Não encontrado")</f>
        <v/>
      </c>
      <c r="B1281" s="53" t="n">
        <v>0.7518518518518519</v>
      </c>
      <c r="C1281" s="53" t="n">
        <v>0.7518518518518519</v>
      </c>
      <c r="D1281">
        <f>_xlfn.XLOOKUP(870008709,Stops[stop_id],Stops[stop_id],"Não encontrado")</f>
        <v/>
      </c>
      <c r="E1281" t="n">
        <v>41</v>
      </c>
    </row>
    <row r="1282">
      <c r="A1282">
        <f>_xlfn.XLOOKUP("407F-10-0",Trip[trip_id],Trip[trip_id],"Não encontrado")</f>
        <v/>
      </c>
      <c r="B1282" s="53" t="n">
        <v>0.7529398148148149</v>
      </c>
      <c r="C1282" s="53" t="n">
        <v>0.7529398148148149</v>
      </c>
      <c r="D1282">
        <f>_xlfn.XLOOKUP(8709761,Stops[stop_id],Stops[stop_id],"Não encontrado")</f>
        <v/>
      </c>
      <c r="E1282" t="n">
        <v>42</v>
      </c>
    </row>
    <row r="1283">
      <c r="A1283">
        <f>_xlfn.XLOOKUP("407F-10-0",Trip[trip_id],Trip[trip_id],"Não encontrado")</f>
        <v/>
      </c>
      <c r="B1283" s="53" t="n">
        <v>0.7540277777777777</v>
      </c>
      <c r="C1283" s="53" t="n">
        <v>0.7540277777777777</v>
      </c>
      <c r="D1283">
        <f>_xlfn.XLOOKUP(870008712,Stops[stop_id],Stops[stop_id],"Não encontrado")</f>
        <v/>
      </c>
      <c r="E1283" t="n">
        <v>43</v>
      </c>
    </row>
    <row r="1284">
      <c r="A1284">
        <f>_xlfn.XLOOKUP("407F-10-0",Trip[trip_id],Trip[trip_id],"Não encontrado")</f>
        <v/>
      </c>
      <c r="B1284" s="53" t="n">
        <v>0.7551157407407407</v>
      </c>
      <c r="C1284" s="53" t="n">
        <v>0.7551157407407407</v>
      </c>
      <c r="D1284">
        <f>_xlfn.XLOOKUP(8709771,Stops[stop_id],Stops[stop_id],"Não encontrado")</f>
        <v/>
      </c>
      <c r="E1284" t="n">
        <v>44</v>
      </c>
    </row>
    <row r="1285">
      <c r="A1285">
        <f>_xlfn.XLOOKUP("407F-10-0",Trip[trip_id],Trip[trip_id],"Não encontrado")</f>
        <v/>
      </c>
      <c r="B1285" s="53" t="n">
        <v>0.7562037037037037</v>
      </c>
      <c r="C1285" s="53" t="n">
        <v>0.7562037037037037</v>
      </c>
      <c r="D1285">
        <f>_xlfn.XLOOKUP(870008714,Stops[stop_id],Stops[stop_id],"Não encontrado")</f>
        <v/>
      </c>
      <c r="E1285" t="n">
        <v>45</v>
      </c>
    </row>
    <row r="1286">
      <c r="A1286">
        <f>_xlfn.XLOOKUP("407F-10-0",Trip[trip_id],Trip[trip_id],"Não encontrado")</f>
        <v/>
      </c>
      <c r="B1286" s="53" t="n">
        <v>0.7572916666666667</v>
      </c>
      <c r="C1286" s="53" t="n">
        <v>0.7572916666666667</v>
      </c>
      <c r="D1286">
        <f>_xlfn.XLOOKUP(10008719,Stops[stop_id],Stops[stop_id],"Não encontrado")</f>
        <v/>
      </c>
      <c r="E1286" t="n">
        <v>46</v>
      </c>
    </row>
    <row r="1287">
      <c r="A1287">
        <f>_xlfn.XLOOKUP("407F-10-0",Trip[trip_id],Trip[trip_id],"Não encontrado")</f>
        <v/>
      </c>
      <c r="B1287" s="53" t="n">
        <v>0.7583796296296297</v>
      </c>
      <c r="C1287" s="53" t="n">
        <v>0.7583796296296297</v>
      </c>
      <c r="D1287">
        <f>_xlfn.XLOOKUP(10008721,Stops[stop_id],Stops[stop_id],"Não encontrado")</f>
        <v/>
      </c>
      <c r="E1287" t="n">
        <v>47</v>
      </c>
    </row>
    <row r="1288">
      <c r="A1288">
        <f>_xlfn.XLOOKUP("407F-10-0",Trip[trip_id],Trip[trip_id],"Não encontrado")</f>
        <v/>
      </c>
      <c r="B1288" s="53" t="n">
        <v>0.7594675925925926</v>
      </c>
      <c r="C1288" s="53" t="n">
        <v>0.7594675925925926</v>
      </c>
      <c r="D1288">
        <f>_xlfn.XLOOKUP(10008723,Stops[stop_id],Stops[stop_id],"Não encontrado")</f>
        <v/>
      </c>
      <c r="E1288" t="n">
        <v>48</v>
      </c>
    </row>
    <row r="1289">
      <c r="A1289">
        <f>_xlfn.XLOOKUP("407F-10-0",Trip[trip_id],Trip[trip_id],"Não encontrado")</f>
        <v/>
      </c>
      <c r="B1289" s="53" t="n">
        <v>0.7605555555555555</v>
      </c>
      <c r="C1289" s="53" t="n">
        <v>0.7605555555555555</v>
      </c>
      <c r="D1289">
        <f>_xlfn.XLOOKUP(10008724,Stops[stop_id],Stops[stop_id],"Não encontrado")</f>
        <v/>
      </c>
      <c r="E1289" t="n">
        <v>49</v>
      </c>
    </row>
    <row r="1290">
      <c r="A1290">
        <f>_xlfn.XLOOKUP("407F-10-0",Trip[trip_id],Trip[trip_id],"Não encontrado")</f>
        <v/>
      </c>
      <c r="B1290" s="53" t="n">
        <v>0.7616435185185185</v>
      </c>
      <c r="C1290" s="53" t="n">
        <v>0.7616435185185185</v>
      </c>
      <c r="D1290">
        <f>_xlfn.XLOOKUP(10008726,Stops[stop_id],Stops[stop_id],"Não encontrado")</f>
        <v/>
      </c>
      <c r="E1290" t="n">
        <v>50</v>
      </c>
    </row>
    <row r="1291">
      <c r="A1291">
        <f>_xlfn.XLOOKUP("407F-10-0",Trip[trip_id],Trip[trip_id],"Não encontrado")</f>
        <v/>
      </c>
      <c r="B1291" s="53" t="n">
        <v>0.7627314814814815</v>
      </c>
      <c r="C1291" s="53" t="n">
        <v>0.7627314814814815</v>
      </c>
      <c r="D1291">
        <f>_xlfn.XLOOKUP(10014098,Stops[stop_id],Stops[stop_id],"Não encontrado")</f>
        <v/>
      </c>
      <c r="E1291" t="n">
        <v>51</v>
      </c>
    </row>
    <row r="1292">
      <c r="A1292">
        <f>_xlfn.XLOOKUP("407F-10-0",Trip[trip_id],Trip[trip_id],"Não encontrado")</f>
        <v/>
      </c>
      <c r="B1292" s="53" t="n">
        <v>0.7638194444444445</v>
      </c>
      <c r="C1292" s="53" t="n">
        <v>0.7638194444444445</v>
      </c>
      <c r="D1292">
        <f>_xlfn.XLOOKUP(10014100,Stops[stop_id],Stops[stop_id],"Não encontrado")</f>
        <v/>
      </c>
      <c r="E1292" t="n">
        <v>52</v>
      </c>
    </row>
    <row r="1293">
      <c r="A1293">
        <f>_xlfn.XLOOKUP("407F-10-0",Trip[trip_id],Trip[trip_id],"Não encontrado")</f>
        <v/>
      </c>
      <c r="B1293" s="53" t="n">
        <v>0.7649074074074074</v>
      </c>
      <c r="C1293" s="53" t="n">
        <v>0.7649074074074074</v>
      </c>
      <c r="D1293">
        <f>_xlfn.XLOOKUP(80014104,Stops[stop_id],Stops[stop_id],"Não encontrado")</f>
        <v/>
      </c>
      <c r="E1293" t="n">
        <v>53</v>
      </c>
    </row>
    <row r="1294">
      <c r="A1294">
        <f>_xlfn.XLOOKUP("407F-10-0",Trip[trip_id],Trip[trip_id],"Não encontrado")</f>
        <v/>
      </c>
      <c r="B1294" s="53" t="n">
        <v>0.7659953703703704</v>
      </c>
      <c r="C1294" s="53" t="n">
        <v>0.7659953703703704</v>
      </c>
      <c r="D1294">
        <f>_xlfn.XLOOKUP(80014107,Stops[stop_id],Stops[stop_id],"Não encontrado")</f>
        <v/>
      </c>
      <c r="E1294" t="n">
        <v>54</v>
      </c>
    </row>
    <row r="1295">
      <c r="A1295">
        <f>_xlfn.XLOOKUP("407F-10-0",Trip[trip_id],Trip[trip_id],"Não encontrado")</f>
        <v/>
      </c>
      <c r="B1295" s="53" t="n">
        <v>0.7670833333333333</v>
      </c>
      <c r="C1295" s="53" t="n">
        <v>0.7670833333333333</v>
      </c>
      <c r="D1295">
        <f>_xlfn.XLOOKUP(80014081,Stops[stop_id],Stops[stop_id],"Não encontrado")</f>
        <v/>
      </c>
      <c r="E1295" t="n">
        <v>55</v>
      </c>
    </row>
    <row r="1296">
      <c r="A1296">
        <f>_xlfn.XLOOKUP("407F-10-0",Trip[trip_id],Trip[trip_id],"Não encontrado")</f>
        <v/>
      </c>
      <c r="B1296" s="53" t="n">
        <v>0.7681712962962963</v>
      </c>
      <c r="C1296" s="53" t="n">
        <v>0.7681712962962963</v>
      </c>
      <c r="D1296">
        <f>_xlfn.XLOOKUP(80014082,Stops[stop_id],Stops[stop_id],"Não encontrado")</f>
        <v/>
      </c>
      <c r="E1296" t="n">
        <v>56</v>
      </c>
    </row>
    <row r="1297">
      <c r="A1297">
        <f>_xlfn.XLOOKUP("407F-10-0",Trip[trip_id],Trip[trip_id],"Não encontrado")</f>
        <v/>
      </c>
      <c r="B1297" s="53" t="n">
        <v>0.7692592592592593</v>
      </c>
      <c r="C1297" s="53" t="n">
        <v>0.7692592592592593</v>
      </c>
      <c r="D1297">
        <f>_xlfn.XLOOKUP(810610,Stops[stop_id],Stops[stop_id],"Não encontrado")</f>
        <v/>
      </c>
      <c r="E1297" t="n">
        <v>57</v>
      </c>
    </row>
    <row r="1298">
      <c r="A1298">
        <f>_xlfn.XLOOKUP("407F-10-0",Trip[trip_id],Trip[trip_id],"Não encontrado")</f>
        <v/>
      </c>
      <c r="B1298" s="53" t="n">
        <v>0.7703472222222222</v>
      </c>
      <c r="C1298" s="53" t="n">
        <v>0.7703472222222222</v>
      </c>
      <c r="D1298">
        <f>_xlfn.XLOOKUP(80014505,Stops[stop_id],Stops[stop_id],"Não encontrado")</f>
        <v/>
      </c>
      <c r="E1298" t="n">
        <v>58</v>
      </c>
    </row>
    <row r="1299">
      <c r="A1299">
        <f>_xlfn.XLOOKUP("407F-10-0",Trip[trip_id],Trip[trip_id],"Não encontrado")</f>
        <v/>
      </c>
      <c r="B1299" s="53" t="n">
        <v>0.7729166666666667</v>
      </c>
      <c r="C1299" s="53" t="n">
        <v>0.7729166666666667</v>
      </c>
      <c r="D1299">
        <f>_xlfn.XLOOKUP(80014510,Stops[stop_id],Stops[stop_id],"Não encontrado")</f>
        <v/>
      </c>
      <c r="E1299" t="n">
        <v>59</v>
      </c>
    </row>
    <row r="1300">
      <c r="A1300">
        <f>_xlfn.XLOOKUP("407F-10-1",Trip[trip_id],Trip[trip_id],"Não encontrado")</f>
        <v/>
      </c>
      <c r="B1300" s="53" t="n">
        <v>0.7083333333333334</v>
      </c>
      <c r="C1300" s="53" t="n">
        <v>0.7083333333333334</v>
      </c>
      <c r="D1300">
        <f>_xlfn.XLOOKUP(80014510,Stops[stop_id],Stops[stop_id],"Não encontrado")</f>
        <v/>
      </c>
      <c r="E1300" t="n">
        <v>1</v>
      </c>
    </row>
    <row r="1301">
      <c r="A1301">
        <f>_xlfn.XLOOKUP("407F-10-1",Trip[trip_id],Trip[trip_id],"Não encontrado")</f>
        <v/>
      </c>
      <c r="B1301" s="53" t="n">
        <v>0.7096180555555556</v>
      </c>
      <c r="C1301" s="53" t="n">
        <v>0.7096180555555556</v>
      </c>
      <c r="D1301">
        <f>_xlfn.XLOOKUP(80014519,Stops[stop_id],Stops[stop_id],"Não encontrado")</f>
        <v/>
      </c>
      <c r="E1301" t="n">
        <v>2</v>
      </c>
    </row>
    <row r="1302">
      <c r="A1302">
        <f>_xlfn.XLOOKUP("407F-10-1",Trip[trip_id],Trip[trip_id],"Não encontrado")</f>
        <v/>
      </c>
      <c r="B1302" s="53" t="n">
        <v>0.7109027777777778</v>
      </c>
      <c r="C1302" s="53" t="n">
        <v>0.7109027777777778</v>
      </c>
      <c r="D1302">
        <f>_xlfn.XLOOKUP(80014520,Stops[stop_id],Stops[stop_id],"Não encontrado")</f>
        <v/>
      </c>
      <c r="E1302" t="n">
        <v>3</v>
      </c>
    </row>
    <row r="1303">
      <c r="A1303">
        <f>_xlfn.XLOOKUP("407F-10-1",Trip[trip_id],Trip[trip_id],"Não encontrado")</f>
        <v/>
      </c>
      <c r="B1303" s="53" t="n">
        <v>0.7121875</v>
      </c>
      <c r="C1303" s="53" t="n">
        <v>0.7121875</v>
      </c>
      <c r="D1303">
        <f>_xlfn.XLOOKUP(80014533,Stops[stop_id],Stops[stop_id],"Não encontrado")</f>
        <v/>
      </c>
      <c r="E1303" t="n">
        <v>4</v>
      </c>
    </row>
    <row r="1304">
      <c r="A1304">
        <f>_xlfn.XLOOKUP("407F-10-1",Trip[trip_id],Trip[trip_id],"Não encontrado")</f>
        <v/>
      </c>
      <c r="B1304" s="53" t="n">
        <v>0.7134722222222222</v>
      </c>
      <c r="C1304" s="53" t="n">
        <v>0.7134722222222222</v>
      </c>
      <c r="D1304">
        <f>_xlfn.XLOOKUP(540014084,Stops[stop_id],Stops[stop_id],"Não encontrado")</f>
        <v/>
      </c>
      <c r="E1304" t="n">
        <v>5</v>
      </c>
    </row>
    <row r="1305">
      <c r="A1305">
        <f>_xlfn.XLOOKUP("407F-10-1",Trip[trip_id],Trip[trip_id],"Não encontrado")</f>
        <v/>
      </c>
      <c r="B1305" s="53" t="n">
        <v>0.7147569444444445</v>
      </c>
      <c r="C1305" s="53" t="n">
        <v>0.7147569444444445</v>
      </c>
      <c r="D1305">
        <f>_xlfn.XLOOKUP(810556,Stops[stop_id],Stops[stop_id],"Não encontrado")</f>
        <v/>
      </c>
      <c r="E1305" t="n">
        <v>6</v>
      </c>
    </row>
    <row r="1306">
      <c r="A1306">
        <f>_xlfn.XLOOKUP("407F-10-1",Trip[trip_id],Trip[trip_id],"Não encontrado")</f>
        <v/>
      </c>
      <c r="B1306" s="53" t="n">
        <v>0.7160416666666667</v>
      </c>
      <c r="C1306" s="53" t="n">
        <v>0.7160416666666667</v>
      </c>
      <c r="D1306">
        <f>_xlfn.XLOOKUP(809671,Stops[stop_id],Stops[stop_id],"Não encontrado")</f>
        <v/>
      </c>
      <c r="E1306" t="n">
        <v>7</v>
      </c>
    </row>
    <row r="1307">
      <c r="A1307">
        <f>_xlfn.XLOOKUP("407F-10-1",Trip[trip_id],Trip[trip_id],"Não encontrado")</f>
        <v/>
      </c>
      <c r="B1307" s="53" t="n">
        <v>0.7173263888888889</v>
      </c>
      <c r="C1307" s="53" t="n">
        <v>0.7173263888888889</v>
      </c>
      <c r="D1307">
        <f>_xlfn.XLOOKUP(80014167,Stops[stop_id],Stops[stop_id],"Não encontrado")</f>
        <v/>
      </c>
      <c r="E1307" t="n">
        <v>8</v>
      </c>
    </row>
    <row r="1308">
      <c r="A1308">
        <f>_xlfn.XLOOKUP("407F-10-1",Trip[trip_id],Trip[trip_id],"Não encontrado")</f>
        <v/>
      </c>
      <c r="B1308" s="53" t="n">
        <v>0.7186111111111111</v>
      </c>
      <c r="C1308" s="53" t="n">
        <v>0.7186111111111111</v>
      </c>
      <c r="D1308">
        <f>_xlfn.XLOOKUP(80014106,Stops[stop_id],Stops[stop_id],"Não encontrado")</f>
        <v/>
      </c>
      <c r="E1308" t="n">
        <v>9</v>
      </c>
    </row>
    <row r="1309">
      <c r="A1309">
        <f>_xlfn.XLOOKUP("407F-10-1",Trip[trip_id],Trip[trip_id],"Não encontrado")</f>
        <v/>
      </c>
      <c r="B1309" s="53" t="n">
        <v>0.7198958333333333</v>
      </c>
      <c r="C1309" s="53" t="n">
        <v>0.7198958333333333</v>
      </c>
      <c r="D1309">
        <f>_xlfn.XLOOKUP(80014105,Stops[stop_id],Stops[stop_id],"Não encontrado")</f>
        <v/>
      </c>
      <c r="E1309" t="n">
        <v>10</v>
      </c>
    </row>
    <row r="1310">
      <c r="A1310">
        <f>_xlfn.XLOOKUP("407F-10-1",Trip[trip_id],Trip[trip_id],"Não encontrado")</f>
        <v/>
      </c>
      <c r="B1310" s="53" t="n">
        <v>0.7211805555555556</v>
      </c>
      <c r="C1310" s="53" t="n">
        <v>0.7211805555555556</v>
      </c>
      <c r="D1310">
        <f>_xlfn.XLOOKUP(10014101,Stops[stop_id],Stops[stop_id],"Não encontrado")</f>
        <v/>
      </c>
      <c r="E1310" t="n">
        <v>11</v>
      </c>
    </row>
    <row r="1311">
      <c r="A1311">
        <f>_xlfn.XLOOKUP("407F-10-1",Trip[trip_id],Trip[trip_id],"Não encontrado")</f>
        <v/>
      </c>
      <c r="B1311" s="53" t="n">
        <v>0.7224652777777778</v>
      </c>
      <c r="C1311" s="53" t="n">
        <v>0.7224652777777778</v>
      </c>
      <c r="D1311">
        <f>_xlfn.XLOOKUP(10014099,Stops[stop_id],Stops[stop_id],"Não encontrado")</f>
        <v/>
      </c>
      <c r="E1311" t="n">
        <v>12</v>
      </c>
    </row>
    <row r="1312">
      <c r="A1312">
        <f>_xlfn.XLOOKUP("407F-10-1",Trip[trip_id],Trip[trip_id],"Não encontrado")</f>
        <v/>
      </c>
      <c r="B1312" s="53" t="n">
        <v>0.72375</v>
      </c>
      <c r="C1312" s="53" t="n">
        <v>0.72375</v>
      </c>
      <c r="D1312">
        <f>_xlfn.XLOOKUP(10008715,Stops[stop_id],Stops[stop_id],"Não encontrado")</f>
        <v/>
      </c>
      <c r="E1312" t="n">
        <v>13</v>
      </c>
    </row>
    <row r="1313">
      <c r="A1313">
        <f>_xlfn.XLOOKUP("407F-10-1",Trip[trip_id],Trip[trip_id],"Não encontrado")</f>
        <v/>
      </c>
      <c r="B1313" s="53" t="n">
        <v>0.7250347222222222</v>
      </c>
      <c r="C1313" s="53" t="n">
        <v>0.7250347222222222</v>
      </c>
      <c r="D1313">
        <f>_xlfn.XLOOKUP(10008716,Stops[stop_id],Stops[stop_id],"Não encontrado")</f>
        <v/>
      </c>
      <c r="E1313" t="n">
        <v>14</v>
      </c>
    </row>
    <row r="1314">
      <c r="A1314">
        <f>_xlfn.XLOOKUP("407F-10-1",Trip[trip_id],Trip[trip_id],"Não encontrado")</f>
        <v/>
      </c>
      <c r="B1314" s="53" t="n">
        <v>0.7263194444444444</v>
      </c>
      <c r="C1314" s="53" t="n">
        <v>0.7263194444444444</v>
      </c>
      <c r="D1314">
        <f>_xlfn.XLOOKUP(10008717,Stops[stop_id],Stops[stop_id],"Não encontrado")</f>
        <v/>
      </c>
      <c r="E1314" t="n">
        <v>15</v>
      </c>
    </row>
    <row r="1315">
      <c r="A1315">
        <f>_xlfn.XLOOKUP("407F-10-1",Trip[trip_id],Trip[trip_id],"Não encontrado")</f>
        <v/>
      </c>
      <c r="B1315" s="53" t="n">
        <v>0.7276041666666667</v>
      </c>
      <c r="C1315" s="53" t="n">
        <v>0.7276041666666667</v>
      </c>
      <c r="D1315">
        <f>_xlfn.XLOOKUP(10008718,Stops[stop_id],Stops[stop_id],"Não encontrado")</f>
        <v/>
      </c>
      <c r="E1315" t="n">
        <v>16</v>
      </c>
    </row>
    <row r="1316">
      <c r="A1316">
        <f>_xlfn.XLOOKUP("407F-10-1",Trip[trip_id],Trip[trip_id],"Não encontrado")</f>
        <v/>
      </c>
      <c r="B1316" s="53" t="n">
        <v>0.7288888888888889</v>
      </c>
      <c r="C1316" s="53" t="n">
        <v>0.7288888888888889</v>
      </c>
      <c r="D1316">
        <f>_xlfn.XLOOKUP(870008713,Stops[stop_id],Stops[stop_id],"Não encontrado")</f>
        <v/>
      </c>
      <c r="E1316" t="n">
        <v>17</v>
      </c>
    </row>
    <row r="1317">
      <c r="A1317">
        <f>_xlfn.XLOOKUP("407F-10-1",Trip[trip_id],Trip[trip_id],"Não encontrado")</f>
        <v/>
      </c>
      <c r="B1317" s="53" t="n">
        <v>0.7301736111111111</v>
      </c>
      <c r="C1317" s="53" t="n">
        <v>0.7301736111111111</v>
      </c>
      <c r="D1317">
        <f>_xlfn.XLOOKUP(8709131,Stops[stop_id],Stops[stop_id],"Não encontrado")</f>
        <v/>
      </c>
      <c r="E1317" t="n">
        <v>18</v>
      </c>
    </row>
    <row r="1318">
      <c r="A1318">
        <f>_xlfn.XLOOKUP("407F-10-1",Trip[trip_id],Trip[trip_id],"Não encontrado")</f>
        <v/>
      </c>
      <c r="B1318" s="53" t="n">
        <v>0.7314583333333333</v>
      </c>
      <c r="C1318" s="53" t="n">
        <v>0.7314583333333333</v>
      </c>
      <c r="D1318">
        <f>_xlfn.XLOOKUP(8709757,Stops[stop_id],Stops[stop_id],"Não encontrado")</f>
        <v/>
      </c>
      <c r="E1318" t="n">
        <v>19</v>
      </c>
    </row>
    <row r="1319">
      <c r="A1319">
        <f>_xlfn.XLOOKUP("407F-10-1",Trip[trip_id],Trip[trip_id],"Não encontrado")</f>
        <v/>
      </c>
      <c r="B1319" s="53" t="n">
        <v>0.7327430555555555</v>
      </c>
      <c r="C1319" s="53" t="n">
        <v>0.7327430555555555</v>
      </c>
      <c r="D1319">
        <f>_xlfn.XLOOKUP(8709774,Stops[stop_id],Stops[stop_id],"Não encontrado")</f>
        <v/>
      </c>
      <c r="E1319" t="n">
        <v>20</v>
      </c>
    </row>
    <row r="1320">
      <c r="A1320">
        <f>_xlfn.XLOOKUP("407F-10-1",Trip[trip_id],Trip[trip_id],"Não encontrado")</f>
        <v/>
      </c>
      <c r="B1320" s="53" t="n">
        <v>0.7340277777777777</v>
      </c>
      <c r="C1320" s="53" t="n">
        <v>0.7340277777777777</v>
      </c>
      <c r="D1320">
        <f>_xlfn.XLOOKUP(8709775,Stops[stop_id],Stops[stop_id],"Não encontrado")</f>
        <v/>
      </c>
      <c r="E1320" t="n">
        <v>21</v>
      </c>
    </row>
    <row r="1321">
      <c r="A1321">
        <f>_xlfn.XLOOKUP("407F-10-1",Trip[trip_id],Trip[trip_id],"Não encontrado")</f>
        <v/>
      </c>
      <c r="B1321" s="53" t="n">
        <v>0.7353125</v>
      </c>
      <c r="C1321" s="53" t="n">
        <v>0.7353125</v>
      </c>
      <c r="D1321">
        <f>_xlfn.XLOOKUP(870008708,Stops[stop_id],Stops[stop_id],"Não encontrado")</f>
        <v/>
      </c>
      <c r="E1321" t="n">
        <v>22</v>
      </c>
    </row>
    <row r="1322">
      <c r="A1322">
        <f>_xlfn.XLOOKUP("407F-10-1",Trip[trip_id],Trip[trip_id],"Não encontrado")</f>
        <v/>
      </c>
      <c r="B1322" s="53" t="n">
        <v>0.7365972222222222</v>
      </c>
      <c r="C1322" s="53" t="n">
        <v>0.7365972222222222</v>
      </c>
      <c r="D1322">
        <f>_xlfn.XLOOKUP(870012601,Stops[stop_id],Stops[stop_id],"Não encontrado")</f>
        <v/>
      </c>
      <c r="E1322" t="n">
        <v>23</v>
      </c>
    </row>
    <row r="1323">
      <c r="A1323">
        <f>_xlfn.XLOOKUP("407F-10-1",Trip[trip_id],Trip[trip_id],"Não encontrado")</f>
        <v/>
      </c>
      <c r="B1323" s="53" t="n">
        <v>0.7378819444444444</v>
      </c>
      <c r="C1323" s="53" t="n">
        <v>0.7378819444444444</v>
      </c>
      <c r="D1323">
        <f>_xlfn.XLOOKUP(870012600,Stops[stop_id],Stops[stop_id],"Não encontrado")</f>
        <v/>
      </c>
      <c r="E1323" t="n">
        <v>24</v>
      </c>
    </row>
    <row r="1324">
      <c r="A1324">
        <f>_xlfn.XLOOKUP("407F-10-1",Trip[trip_id],Trip[trip_id],"Não encontrado")</f>
        <v/>
      </c>
      <c r="B1324" s="53" t="n">
        <v>0.7391666666666666</v>
      </c>
      <c r="C1324" s="53" t="n">
        <v>0.7391666666666666</v>
      </c>
      <c r="D1324">
        <f>_xlfn.XLOOKUP(870012603,Stops[stop_id],Stops[stop_id],"Não encontrado")</f>
        <v/>
      </c>
      <c r="E1324" t="n">
        <v>25</v>
      </c>
    </row>
    <row r="1325">
      <c r="A1325">
        <f>_xlfn.XLOOKUP("407F-10-1",Trip[trip_id],Trip[trip_id],"Não encontrado")</f>
        <v/>
      </c>
      <c r="B1325" s="53" t="n">
        <v>0.7404513888888888</v>
      </c>
      <c r="C1325" s="53" t="n">
        <v>0.7404513888888888</v>
      </c>
      <c r="D1325">
        <f>_xlfn.XLOOKUP(870008666,Stops[stop_id],Stops[stop_id],"Não encontrado")</f>
        <v/>
      </c>
      <c r="E1325" t="n">
        <v>26</v>
      </c>
    </row>
    <row r="1326">
      <c r="A1326">
        <f>_xlfn.XLOOKUP("407F-10-1",Trip[trip_id],Trip[trip_id],"Não encontrado")</f>
        <v/>
      </c>
      <c r="B1326" s="53" t="n">
        <v>0.7417361111111112</v>
      </c>
      <c r="C1326" s="53" t="n">
        <v>0.7417361111111112</v>
      </c>
      <c r="D1326">
        <f>_xlfn.XLOOKUP(870008650,Stops[stop_id],Stops[stop_id],"Não encontrado")</f>
        <v/>
      </c>
      <c r="E1326" t="n">
        <v>27</v>
      </c>
    </row>
    <row r="1327">
      <c r="A1327">
        <f>_xlfn.XLOOKUP("407F-10-1",Trip[trip_id],Trip[trip_id],"Não encontrado")</f>
        <v/>
      </c>
      <c r="B1327" s="53" t="n">
        <v>0.7430208333333334</v>
      </c>
      <c r="C1327" s="53" t="n">
        <v>0.7430208333333334</v>
      </c>
      <c r="D1327">
        <f>_xlfn.XLOOKUP(870012606,Stops[stop_id],Stops[stop_id],"Não encontrado")</f>
        <v/>
      </c>
      <c r="E1327" t="n">
        <v>28</v>
      </c>
    </row>
    <row r="1328">
      <c r="A1328">
        <f>_xlfn.XLOOKUP("407F-10-1",Trip[trip_id],Trip[trip_id],"Não encontrado")</f>
        <v/>
      </c>
      <c r="B1328" s="53" t="n">
        <v>0.7443055555555556</v>
      </c>
      <c r="C1328" s="53" t="n">
        <v>0.7443055555555556</v>
      </c>
      <c r="D1328">
        <f>_xlfn.XLOOKUP(870012608,Stops[stop_id],Stops[stop_id],"Não encontrado")</f>
        <v/>
      </c>
      <c r="E1328" t="n">
        <v>29</v>
      </c>
    </row>
    <row r="1329">
      <c r="A1329">
        <f>_xlfn.XLOOKUP("407F-10-1",Trip[trip_id],Trip[trip_id],"Não encontrado")</f>
        <v/>
      </c>
      <c r="B1329" s="53" t="n">
        <v>0.7455902777777778</v>
      </c>
      <c r="C1329" s="53" t="n">
        <v>0.7455902777777778</v>
      </c>
      <c r="D1329">
        <f>_xlfn.XLOOKUP(8709778,Stops[stop_id],Stops[stop_id],"Não encontrado")</f>
        <v/>
      </c>
      <c r="E1329" t="n">
        <v>30</v>
      </c>
    </row>
    <row r="1330">
      <c r="A1330">
        <f>_xlfn.XLOOKUP("407F-10-1",Trip[trip_id],Trip[trip_id],"Não encontrado")</f>
        <v/>
      </c>
      <c r="B1330" s="53" t="n">
        <v>0.746875</v>
      </c>
      <c r="C1330" s="53" t="n">
        <v>0.746875</v>
      </c>
      <c r="D1330">
        <f>_xlfn.XLOOKUP(870008567,Stops[stop_id],Stops[stop_id],"Não encontrado")</f>
        <v/>
      </c>
      <c r="E1330" t="n">
        <v>31</v>
      </c>
    </row>
    <row r="1331">
      <c r="A1331">
        <f>_xlfn.XLOOKUP("407F-10-1",Trip[trip_id],Trip[trip_id],"Não encontrado")</f>
        <v/>
      </c>
      <c r="B1331" s="53" t="n">
        <v>0.7481597222222223</v>
      </c>
      <c r="C1331" s="53" t="n">
        <v>0.7481597222222223</v>
      </c>
      <c r="D1331">
        <f>_xlfn.XLOOKUP(8704850,Stops[stop_id],Stops[stop_id],"Não encontrado")</f>
        <v/>
      </c>
      <c r="E1331" t="n">
        <v>32</v>
      </c>
    </row>
    <row r="1332">
      <c r="A1332">
        <f>_xlfn.XLOOKUP("407F-10-1",Trip[trip_id],Trip[trip_id],"Não encontrado")</f>
        <v/>
      </c>
      <c r="B1332" s="53" t="n">
        <v>0.7494444444444445</v>
      </c>
      <c r="C1332" s="53" t="n">
        <v>0.7494444444444445</v>
      </c>
      <c r="D1332">
        <f>_xlfn.XLOOKUP(8704588,Stops[stop_id],Stops[stop_id],"Não encontrado")</f>
        <v/>
      </c>
      <c r="E1332" t="n">
        <v>33</v>
      </c>
    </row>
    <row r="1333">
      <c r="A1333">
        <f>_xlfn.XLOOKUP("407F-10-1",Trip[trip_id],Trip[trip_id],"Não encontrado")</f>
        <v/>
      </c>
      <c r="B1333" s="53" t="n">
        <v>0.7507291666666667</v>
      </c>
      <c r="C1333" s="53" t="n">
        <v>0.7507291666666667</v>
      </c>
      <c r="D1333">
        <f>_xlfn.XLOOKUP(8704591,Stops[stop_id],Stops[stop_id],"Não encontrado")</f>
        <v/>
      </c>
      <c r="E1333" t="n">
        <v>34</v>
      </c>
    </row>
    <row r="1334">
      <c r="A1334">
        <f>_xlfn.XLOOKUP("407F-10-1",Trip[trip_id],Trip[trip_id],"Não encontrado")</f>
        <v/>
      </c>
      <c r="B1334" s="53" t="n">
        <v>0.7520138888888889</v>
      </c>
      <c r="C1334" s="53" t="n">
        <v>0.7520138888888889</v>
      </c>
      <c r="D1334">
        <f>_xlfn.XLOOKUP(8704593,Stops[stop_id],Stops[stop_id],"Não encontrado")</f>
        <v/>
      </c>
      <c r="E1334" t="n">
        <v>35</v>
      </c>
    </row>
    <row r="1335">
      <c r="A1335">
        <f>_xlfn.XLOOKUP("407F-10-1",Trip[trip_id],Trip[trip_id],"Não encontrado")</f>
        <v/>
      </c>
      <c r="B1335" s="53" t="n">
        <v>0.7532986111111111</v>
      </c>
      <c r="C1335" s="53" t="n">
        <v>0.7532986111111111</v>
      </c>
      <c r="D1335">
        <f>_xlfn.XLOOKUP(404596,Stops[stop_id],Stops[stop_id],"Não encontrado")</f>
        <v/>
      </c>
      <c r="E1335" t="n">
        <v>36</v>
      </c>
    </row>
    <row r="1336">
      <c r="A1336">
        <f>_xlfn.XLOOKUP("407F-10-1",Trip[trip_id],Trip[trip_id],"Não encontrado")</f>
        <v/>
      </c>
      <c r="B1336" s="53" t="n">
        <v>0.7545833333333334</v>
      </c>
      <c r="C1336" s="53" t="n">
        <v>0.7545833333333334</v>
      </c>
      <c r="D1336">
        <f>_xlfn.XLOOKUP(404643,Stops[stop_id],Stops[stop_id],"Não encontrado")</f>
        <v/>
      </c>
      <c r="E1336" t="n">
        <v>37</v>
      </c>
    </row>
    <row r="1337">
      <c r="A1337">
        <f>_xlfn.XLOOKUP("407F-10-1",Trip[trip_id],Trip[trip_id],"Não encontrado")</f>
        <v/>
      </c>
      <c r="B1337" s="53" t="n">
        <v>0.7558680555555556</v>
      </c>
      <c r="C1337" s="53" t="n">
        <v>0.7558680555555556</v>
      </c>
      <c r="D1337">
        <f>_xlfn.XLOOKUP(404734,Stops[stop_id],Stops[stop_id],"Não encontrado")</f>
        <v/>
      </c>
      <c r="E1337" t="n">
        <v>38</v>
      </c>
    </row>
    <row r="1338">
      <c r="A1338">
        <f>_xlfn.XLOOKUP("407F-10-1",Trip[trip_id],Trip[trip_id],"Não encontrado")</f>
        <v/>
      </c>
      <c r="B1338" s="53" t="n">
        <v>0.7571527777777778</v>
      </c>
      <c r="C1338" s="53" t="n">
        <v>0.7571527777777778</v>
      </c>
      <c r="D1338">
        <f>_xlfn.XLOOKUP(404732,Stops[stop_id],Stops[stop_id],"Não encontrado")</f>
        <v/>
      </c>
      <c r="E1338" t="n">
        <v>39</v>
      </c>
    </row>
    <row r="1339">
      <c r="A1339">
        <f>_xlfn.XLOOKUP("407F-10-1",Trip[trip_id],Trip[trip_id],"Não encontrado")</f>
        <v/>
      </c>
      <c r="B1339" s="53" t="n">
        <v>0.7584375</v>
      </c>
      <c r="C1339" s="53" t="n">
        <v>0.7584375</v>
      </c>
      <c r="D1339">
        <f>_xlfn.XLOOKUP(404724,Stops[stop_id],Stops[stop_id],"Não encontrado")</f>
        <v/>
      </c>
      <c r="E1339" t="n">
        <v>40</v>
      </c>
    </row>
    <row r="1340">
      <c r="A1340">
        <f>_xlfn.XLOOKUP("407F-10-1",Trip[trip_id],Trip[trip_id],"Não encontrado")</f>
        <v/>
      </c>
      <c r="B1340" s="53" t="n">
        <v>0.7597222222222222</v>
      </c>
      <c r="C1340" s="53" t="n">
        <v>0.7597222222222222</v>
      </c>
      <c r="D1340">
        <f>_xlfn.XLOOKUP(750012296,Stops[stop_id],Stops[stop_id],"Não encontrado")</f>
        <v/>
      </c>
      <c r="E1340" t="n">
        <v>41</v>
      </c>
    </row>
    <row r="1341">
      <c r="A1341">
        <f>_xlfn.XLOOKUP("407F-10-1",Trip[trip_id],Trip[trip_id],"Não encontrado")</f>
        <v/>
      </c>
      <c r="B1341" s="53" t="n">
        <v>0.7610069444444445</v>
      </c>
      <c r="C1341" s="53" t="n">
        <v>0.7610069444444445</v>
      </c>
      <c r="D1341">
        <f>_xlfn.XLOOKUP(750012297,Stops[stop_id],Stops[stop_id],"Não encontrado")</f>
        <v/>
      </c>
      <c r="E1341" t="n">
        <v>42</v>
      </c>
    </row>
    <row r="1342">
      <c r="A1342">
        <f>_xlfn.XLOOKUP("407F-10-1",Trip[trip_id],Trip[trip_id],"Não encontrado")</f>
        <v/>
      </c>
      <c r="B1342" s="53" t="n">
        <v>0.7622916666666667</v>
      </c>
      <c r="C1342" s="53" t="n">
        <v>0.7622916666666667</v>
      </c>
      <c r="D1342">
        <f>_xlfn.XLOOKUP(750012298,Stops[stop_id],Stops[stop_id],"Não encontrado")</f>
        <v/>
      </c>
      <c r="E1342" t="n">
        <v>43</v>
      </c>
    </row>
    <row r="1343">
      <c r="A1343">
        <f>_xlfn.XLOOKUP("407F-10-1",Trip[trip_id],Trip[trip_id],"Não encontrado")</f>
        <v/>
      </c>
      <c r="B1343" s="53" t="n">
        <v>0.7635763888888889</v>
      </c>
      <c r="C1343" s="53" t="n">
        <v>0.7635763888888889</v>
      </c>
      <c r="D1343">
        <f>_xlfn.XLOOKUP(7504197,Stops[stop_id],Stops[stop_id],"Não encontrado")</f>
        <v/>
      </c>
      <c r="E1343" t="n">
        <v>44</v>
      </c>
    </row>
    <row r="1344">
      <c r="A1344">
        <f>_xlfn.XLOOKUP("407F-10-1",Trip[trip_id],Trip[trip_id],"Não encontrado")</f>
        <v/>
      </c>
      <c r="B1344" s="53" t="n">
        <v>0.7648611111111111</v>
      </c>
      <c r="C1344" s="53" t="n">
        <v>0.7648611111111111</v>
      </c>
      <c r="D1344">
        <f>_xlfn.XLOOKUP(7504960,Stops[stop_id],Stops[stop_id],"Não encontrado")</f>
        <v/>
      </c>
      <c r="E1344" t="n">
        <v>45</v>
      </c>
    </row>
    <row r="1345">
      <c r="A1345">
        <f>_xlfn.XLOOKUP("407F-10-1",Trip[trip_id],Trip[trip_id],"Não encontrado")</f>
        <v/>
      </c>
      <c r="B1345" s="53" t="n">
        <v>0.7661458333333333</v>
      </c>
      <c r="C1345" s="53" t="n">
        <v>0.7661458333333333</v>
      </c>
      <c r="D1345">
        <f>_xlfn.XLOOKUP(7504193,Stops[stop_id],Stops[stop_id],"Não encontrado")</f>
        <v/>
      </c>
      <c r="E1345" t="n">
        <v>46</v>
      </c>
    </row>
    <row r="1346">
      <c r="A1346">
        <f>_xlfn.XLOOKUP("407F-10-1",Trip[trip_id],Trip[trip_id],"Não encontrado")</f>
        <v/>
      </c>
      <c r="B1346" s="53" t="n">
        <v>0.7674305555555555</v>
      </c>
      <c r="C1346" s="53" t="n">
        <v>0.7674305555555555</v>
      </c>
      <c r="D1346">
        <f>_xlfn.XLOOKUP(750006195,Stops[stop_id],Stops[stop_id],"Não encontrado")</f>
        <v/>
      </c>
      <c r="E1346" t="n">
        <v>47</v>
      </c>
    </row>
    <row r="1347">
      <c r="A1347">
        <f>_xlfn.XLOOKUP("407F-10-1",Trip[trip_id],Trip[trip_id],"Não encontrado")</f>
        <v/>
      </c>
      <c r="B1347" s="53" t="n">
        <v>0.7687152777777778</v>
      </c>
      <c r="C1347" s="53" t="n">
        <v>0.7687152777777778</v>
      </c>
      <c r="D1347">
        <f>_xlfn.XLOOKUP(750006197,Stops[stop_id],Stops[stop_id],"Não encontrado")</f>
        <v/>
      </c>
      <c r="E1347" t="n">
        <v>48</v>
      </c>
    </row>
    <row r="1348">
      <c r="A1348">
        <f>_xlfn.XLOOKUP("407F-10-1",Trip[trip_id],Trip[trip_id],"Não encontrado")</f>
        <v/>
      </c>
      <c r="B1348" s="53" t="n">
        <v>0.77</v>
      </c>
      <c r="C1348" s="53" t="n">
        <v>0.77</v>
      </c>
      <c r="D1348">
        <f>_xlfn.XLOOKUP(750006200,Stops[stop_id],Stops[stop_id],"Não encontrado")</f>
        <v/>
      </c>
      <c r="E1348" t="n">
        <v>49</v>
      </c>
    </row>
    <row r="1349">
      <c r="A1349">
        <f>_xlfn.XLOOKUP("407F-10-1",Trip[trip_id],Trip[trip_id],"Não encontrado")</f>
        <v/>
      </c>
      <c r="B1349" s="53" t="n">
        <v>0.7712847222222222</v>
      </c>
      <c r="C1349" s="53" t="n">
        <v>0.7712847222222222</v>
      </c>
      <c r="D1349">
        <f>_xlfn.XLOOKUP(750006202,Stops[stop_id],Stops[stop_id],"Não encontrado")</f>
        <v/>
      </c>
      <c r="E1349" t="n">
        <v>50</v>
      </c>
    </row>
    <row r="1350">
      <c r="A1350">
        <f>_xlfn.XLOOKUP("407F-10-1",Trip[trip_id],Trip[trip_id],"Não encontrado")</f>
        <v/>
      </c>
      <c r="B1350" s="53" t="n">
        <v>0.7725694444444444</v>
      </c>
      <c r="C1350" s="53" t="n">
        <v>0.7725694444444444</v>
      </c>
      <c r="D1350">
        <f>_xlfn.XLOOKUP(750006138,Stops[stop_id],Stops[stop_id],"Não encontrado")</f>
        <v/>
      </c>
      <c r="E1350" t="n">
        <v>51</v>
      </c>
    </row>
    <row r="1351">
      <c r="A1351">
        <f>_xlfn.XLOOKUP("407F-10-1",Trip[trip_id],Trip[trip_id],"Não encontrado")</f>
        <v/>
      </c>
      <c r="B1351" s="53" t="n">
        <v>0.7738541666666666</v>
      </c>
      <c r="C1351" s="53" t="n">
        <v>0.7738541666666666</v>
      </c>
      <c r="D1351">
        <f>_xlfn.XLOOKUP(750006135,Stops[stop_id],Stops[stop_id],"Não encontrado")</f>
        <v/>
      </c>
      <c r="E1351" t="n">
        <v>52</v>
      </c>
    </row>
    <row r="1352">
      <c r="A1352">
        <f>_xlfn.XLOOKUP("407F-10-1",Trip[trip_id],Trip[trip_id],"Não encontrado")</f>
        <v/>
      </c>
      <c r="B1352" s="53" t="n">
        <v>0.7751388888888889</v>
      </c>
      <c r="C1352" s="53" t="n">
        <v>0.7751388888888889</v>
      </c>
      <c r="D1352">
        <f>_xlfn.XLOOKUP(750006134,Stops[stop_id],Stops[stop_id],"Não encontrado")</f>
        <v/>
      </c>
      <c r="E1352" t="n">
        <v>53</v>
      </c>
    </row>
    <row r="1353">
      <c r="A1353">
        <f>_xlfn.XLOOKUP("407F-10-1",Trip[trip_id],Trip[trip_id],"Não encontrado")</f>
        <v/>
      </c>
      <c r="B1353" s="53" t="n">
        <v>0.7764236111111111</v>
      </c>
      <c r="C1353" s="53" t="n">
        <v>0.7764236111111111</v>
      </c>
      <c r="D1353">
        <f>_xlfn.XLOOKUP(750006131,Stops[stop_id],Stops[stop_id],"Não encontrado")</f>
        <v/>
      </c>
      <c r="E1353" t="n">
        <v>54</v>
      </c>
    </row>
    <row r="1354">
      <c r="A1354">
        <f>_xlfn.XLOOKUP("407F-10-1",Trip[trip_id],Trip[trip_id],"Não encontrado")</f>
        <v/>
      </c>
      <c r="B1354" s="53" t="n">
        <v>0.7777083333333333</v>
      </c>
      <c r="C1354" s="53" t="n">
        <v>0.7777083333333333</v>
      </c>
      <c r="D1354">
        <f>_xlfn.XLOOKUP(750006129,Stops[stop_id],Stops[stop_id],"Não encontrado")</f>
        <v/>
      </c>
      <c r="E1354" t="n">
        <v>55</v>
      </c>
    </row>
    <row r="1355">
      <c r="A1355">
        <f>_xlfn.XLOOKUP("407F-10-1",Trip[trip_id],Trip[trip_id],"Não encontrado")</f>
        <v/>
      </c>
      <c r="B1355" s="53" t="n">
        <v>0.7805555555555556</v>
      </c>
      <c r="C1355" s="53" t="n">
        <v>0.7805555555555556</v>
      </c>
      <c r="D1355">
        <f>_xlfn.XLOOKUP(750006772,Stops[stop_id],Stops[stop_id],"Não encontrado")</f>
        <v/>
      </c>
      <c r="E1355" t="n">
        <v>56</v>
      </c>
    </row>
    <row r="1356">
      <c r="A1356">
        <f>_xlfn.XLOOKUP("4313-10-0",Trip[trip_id],Trip[trip_id],"Não encontrado")</f>
        <v/>
      </c>
      <c r="B1356" s="53" t="n">
        <v>0.25</v>
      </c>
      <c r="C1356" s="53" t="n">
        <v>0.25</v>
      </c>
      <c r="D1356">
        <f>_xlfn.XLOOKUP(250005914,Stops[stop_id],Stops[stop_id],"Não encontrado")</f>
        <v/>
      </c>
      <c r="E1356" t="n">
        <v>1</v>
      </c>
    </row>
    <row r="1357">
      <c r="A1357">
        <f>_xlfn.XLOOKUP("4313-10-0",Trip[trip_id],Trip[trip_id],"Não encontrado")</f>
        <v/>
      </c>
      <c r="B1357" s="53" t="n">
        <v>0.2513310185185185</v>
      </c>
      <c r="C1357" s="53" t="n">
        <v>0.2513310185185185</v>
      </c>
      <c r="D1357">
        <f>_xlfn.XLOOKUP(2514749,Stops[stop_id],Stops[stop_id],"Não encontrado")</f>
        <v/>
      </c>
      <c r="E1357" t="n">
        <v>2</v>
      </c>
    </row>
    <row r="1358">
      <c r="A1358">
        <f>_xlfn.XLOOKUP("4313-10-0",Trip[trip_id],Trip[trip_id],"Não encontrado")</f>
        <v/>
      </c>
      <c r="B1358" s="53" t="n">
        <v>0.252662037037037</v>
      </c>
      <c r="C1358" s="53" t="n">
        <v>0.252662037037037</v>
      </c>
      <c r="D1358">
        <f>_xlfn.XLOOKUP(250005836,Stops[stop_id],Stops[stop_id],"Não encontrado")</f>
        <v/>
      </c>
      <c r="E1358" t="n">
        <v>3</v>
      </c>
    </row>
    <row r="1359">
      <c r="A1359">
        <f>_xlfn.XLOOKUP("4313-10-0",Trip[trip_id],Trip[trip_id],"Não encontrado")</f>
        <v/>
      </c>
      <c r="B1359" s="53" t="n">
        <v>0.2539930555555556</v>
      </c>
      <c r="C1359" s="53" t="n">
        <v>0.2539930555555556</v>
      </c>
      <c r="D1359">
        <f>_xlfn.XLOOKUP(250012256,Stops[stop_id],Stops[stop_id],"Não encontrado")</f>
        <v/>
      </c>
      <c r="E1359" t="n">
        <v>4</v>
      </c>
    </row>
    <row r="1360">
      <c r="A1360">
        <f>_xlfn.XLOOKUP("4313-10-0",Trip[trip_id],Trip[trip_id],"Não encontrado")</f>
        <v/>
      </c>
      <c r="B1360" s="53" t="n">
        <v>0.2553240740740741</v>
      </c>
      <c r="C1360" s="53" t="n">
        <v>0.2553240740740741</v>
      </c>
      <c r="D1360">
        <f>_xlfn.XLOOKUP(250012257,Stops[stop_id],Stops[stop_id],"Não encontrado")</f>
        <v/>
      </c>
      <c r="E1360" t="n">
        <v>5</v>
      </c>
    </row>
    <row r="1361">
      <c r="A1361">
        <f>_xlfn.XLOOKUP("4313-10-0",Trip[trip_id],Trip[trip_id],"Não encontrado")</f>
        <v/>
      </c>
      <c r="B1361" s="53" t="n">
        <v>0.2566550925925926</v>
      </c>
      <c r="C1361" s="53" t="n">
        <v>0.2566550925925926</v>
      </c>
      <c r="D1361">
        <f>_xlfn.XLOOKUP(250012258,Stops[stop_id],Stops[stop_id],"Não encontrado")</f>
        <v/>
      </c>
      <c r="E1361" t="n">
        <v>6</v>
      </c>
    </row>
    <row r="1362">
      <c r="A1362">
        <f>_xlfn.XLOOKUP("4313-10-0",Trip[trip_id],Trip[trip_id],"Não encontrado")</f>
        <v/>
      </c>
      <c r="B1362" s="53" t="n">
        <v>0.2579861111111111</v>
      </c>
      <c r="C1362" s="53" t="n">
        <v>0.2579861111111111</v>
      </c>
      <c r="D1362">
        <f>_xlfn.XLOOKUP(250012259,Stops[stop_id],Stops[stop_id],"Não encontrado")</f>
        <v/>
      </c>
      <c r="E1362" t="n">
        <v>7</v>
      </c>
    </row>
    <row r="1363">
      <c r="A1363">
        <f>_xlfn.XLOOKUP("4313-10-0",Trip[trip_id],Trip[trip_id],"Não encontrado")</f>
        <v/>
      </c>
      <c r="B1363" s="53" t="n">
        <v>0.2593171296296296</v>
      </c>
      <c r="C1363" s="53" t="n">
        <v>0.2593171296296296</v>
      </c>
      <c r="D1363">
        <f>_xlfn.XLOOKUP(320012260,Stops[stop_id],Stops[stop_id],"Não encontrado")</f>
        <v/>
      </c>
      <c r="E1363" t="n">
        <v>8</v>
      </c>
    </row>
    <row r="1364">
      <c r="A1364">
        <f>_xlfn.XLOOKUP("4313-10-0",Trip[trip_id],Trip[trip_id],"Não encontrado")</f>
        <v/>
      </c>
      <c r="B1364" s="53" t="n">
        <v>0.2606481481481481</v>
      </c>
      <c r="C1364" s="53" t="n">
        <v>0.2606481481481481</v>
      </c>
      <c r="D1364">
        <f>_xlfn.XLOOKUP(3214597,Stops[stop_id],Stops[stop_id],"Não encontrado")</f>
        <v/>
      </c>
      <c r="E1364" t="n">
        <v>9</v>
      </c>
    </row>
    <row r="1365">
      <c r="A1365">
        <f>_xlfn.XLOOKUP("4313-10-0",Trip[trip_id],Trip[trip_id],"Não encontrado")</f>
        <v/>
      </c>
      <c r="B1365" s="53" t="n">
        <v>0.2619791666666667</v>
      </c>
      <c r="C1365" s="53" t="n">
        <v>0.2619791666666667</v>
      </c>
      <c r="D1365">
        <f>_xlfn.XLOOKUP(3214690,Stops[stop_id],Stops[stop_id],"Não encontrado")</f>
        <v/>
      </c>
      <c r="E1365" t="n">
        <v>10</v>
      </c>
    </row>
    <row r="1366">
      <c r="A1366">
        <f>_xlfn.XLOOKUP("4313-10-0",Trip[trip_id],Trip[trip_id],"Não encontrado")</f>
        <v/>
      </c>
      <c r="B1366" s="53" t="n">
        <v>0.2633101851851852</v>
      </c>
      <c r="C1366" s="53" t="n">
        <v>0.2633101851851852</v>
      </c>
      <c r="D1366">
        <f>_xlfn.XLOOKUP(3203691,Stops[stop_id],Stops[stop_id],"Não encontrado")</f>
        <v/>
      </c>
      <c r="E1366" t="n">
        <v>11</v>
      </c>
    </row>
    <row r="1367">
      <c r="A1367">
        <f>_xlfn.XLOOKUP("4313-10-0",Trip[trip_id],Trip[trip_id],"Não encontrado")</f>
        <v/>
      </c>
      <c r="B1367" s="53" t="n">
        <v>0.2646412037037037</v>
      </c>
      <c r="C1367" s="53" t="n">
        <v>0.2646412037037037</v>
      </c>
      <c r="D1367">
        <f>_xlfn.XLOOKUP(3203693,Stops[stop_id],Stops[stop_id],"Não encontrado")</f>
        <v/>
      </c>
      <c r="E1367" t="n">
        <v>12</v>
      </c>
    </row>
    <row r="1368">
      <c r="A1368">
        <f>_xlfn.XLOOKUP("4313-10-0",Trip[trip_id],Trip[trip_id],"Não encontrado")</f>
        <v/>
      </c>
      <c r="B1368" s="53" t="n">
        <v>0.2659722222222222</v>
      </c>
      <c r="C1368" s="53" t="n">
        <v>0.2659722222222222</v>
      </c>
      <c r="D1368">
        <f>_xlfn.XLOOKUP(320012264,Stops[stop_id],Stops[stop_id],"Não encontrado")</f>
        <v/>
      </c>
      <c r="E1368" t="n">
        <v>13</v>
      </c>
    </row>
    <row r="1369">
      <c r="A1369">
        <f>_xlfn.XLOOKUP("4313-10-0",Trip[trip_id],Trip[trip_id],"Não encontrado")</f>
        <v/>
      </c>
      <c r="B1369" s="53" t="n">
        <v>0.2673032407407407</v>
      </c>
      <c r="C1369" s="53" t="n">
        <v>0.2673032407407407</v>
      </c>
      <c r="D1369">
        <f>_xlfn.XLOOKUP(3214688,Stops[stop_id],Stops[stop_id],"Não encontrado")</f>
        <v/>
      </c>
      <c r="E1369" t="n">
        <v>14</v>
      </c>
    </row>
    <row r="1370">
      <c r="A1370">
        <f>_xlfn.XLOOKUP("4313-10-0",Trip[trip_id],Trip[trip_id],"Não encontrado")</f>
        <v/>
      </c>
      <c r="B1370" s="53" t="n">
        <v>0.2686342592592593</v>
      </c>
      <c r="C1370" s="53" t="n">
        <v>0.2686342592592593</v>
      </c>
      <c r="D1370">
        <f>_xlfn.XLOOKUP(320012267,Stops[stop_id],Stops[stop_id],"Não encontrado")</f>
        <v/>
      </c>
      <c r="E1370" t="n">
        <v>15</v>
      </c>
    </row>
    <row r="1371">
      <c r="A1371">
        <f>_xlfn.XLOOKUP("4313-10-0",Trip[trip_id],Trip[trip_id],"Não encontrado")</f>
        <v/>
      </c>
      <c r="B1371" s="53" t="n">
        <v>0.2699652777777778</v>
      </c>
      <c r="C1371" s="53" t="n">
        <v>0.2699652777777778</v>
      </c>
      <c r="D1371">
        <f>_xlfn.XLOOKUP(3214714,Stops[stop_id],Stops[stop_id],"Não encontrado")</f>
        <v/>
      </c>
      <c r="E1371" t="n">
        <v>16</v>
      </c>
    </row>
    <row r="1372">
      <c r="A1372">
        <f>_xlfn.XLOOKUP("4313-10-0",Trip[trip_id],Trip[trip_id],"Não encontrado")</f>
        <v/>
      </c>
      <c r="B1372" s="53" t="n">
        <v>0.2712962962962963</v>
      </c>
      <c r="C1372" s="53" t="n">
        <v>0.2712962962962963</v>
      </c>
      <c r="D1372">
        <f>_xlfn.XLOOKUP(3214730,Stops[stop_id],Stops[stop_id],"Não encontrado")</f>
        <v/>
      </c>
      <c r="E1372" t="n">
        <v>17</v>
      </c>
    </row>
    <row r="1373">
      <c r="A1373">
        <f>_xlfn.XLOOKUP("4313-10-0",Trip[trip_id],Trip[trip_id],"Não encontrado")</f>
        <v/>
      </c>
      <c r="B1373" s="53" t="n">
        <v>0.2726273148148148</v>
      </c>
      <c r="C1373" s="53" t="n">
        <v>0.2726273148148148</v>
      </c>
      <c r="D1373">
        <f>_xlfn.XLOOKUP(3214729,Stops[stop_id],Stops[stop_id],"Não encontrado")</f>
        <v/>
      </c>
      <c r="E1373" t="n">
        <v>18</v>
      </c>
    </row>
    <row r="1374">
      <c r="A1374">
        <f>_xlfn.XLOOKUP("4313-10-0",Trip[trip_id],Trip[trip_id],"Não encontrado")</f>
        <v/>
      </c>
      <c r="B1374" s="53" t="n">
        <v>0.2739583333333334</v>
      </c>
      <c r="C1374" s="53" t="n">
        <v>0.2739583333333334</v>
      </c>
      <c r="D1374">
        <f>_xlfn.XLOOKUP(3214728,Stops[stop_id],Stops[stop_id],"Não encontrado")</f>
        <v/>
      </c>
      <c r="E1374" t="n">
        <v>19</v>
      </c>
    </row>
    <row r="1375">
      <c r="A1375">
        <f>_xlfn.XLOOKUP("4313-10-0",Trip[trip_id],Trip[trip_id],"Não encontrado")</f>
        <v/>
      </c>
      <c r="B1375" s="53" t="n">
        <v>0.2752893518518518</v>
      </c>
      <c r="C1375" s="53" t="n">
        <v>0.2752893518518518</v>
      </c>
      <c r="D1375">
        <f>_xlfn.XLOOKUP(320012272,Stops[stop_id],Stops[stop_id],"Não encontrado")</f>
        <v/>
      </c>
      <c r="E1375" t="n">
        <v>20</v>
      </c>
    </row>
    <row r="1376">
      <c r="A1376">
        <f>_xlfn.XLOOKUP("4313-10-0",Trip[trip_id],Trip[trip_id],"Não encontrado")</f>
        <v/>
      </c>
      <c r="B1376" s="53" t="n">
        <v>0.2766203703703703</v>
      </c>
      <c r="C1376" s="53" t="n">
        <v>0.2766203703703703</v>
      </c>
      <c r="D1376">
        <f>_xlfn.XLOOKUP(3214727,Stops[stop_id],Stops[stop_id],"Não encontrado")</f>
        <v/>
      </c>
      <c r="E1376" t="n">
        <v>21</v>
      </c>
    </row>
    <row r="1377">
      <c r="A1377">
        <f>_xlfn.XLOOKUP("4313-10-0",Trip[trip_id],Trip[trip_id],"Não encontrado")</f>
        <v/>
      </c>
      <c r="B1377" s="53" t="n">
        <v>0.2779513888888889</v>
      </c>
      <c r="C1377" s="53" t="n">
        <v>0.2779513888888889</v>
      </c>
      <c r="D1377">
        <f>_xlfn.XLOOKUP(7504931,Stops[stop_id],Stops[stop_id],"Não encontrado")</f>
        <v/>
      </c>
      <c r="E1377" t="n">
        <v>22</v>
      </c>
    </row>
    <row r="1378">
      <c r="A1378">
        <f>_xlfn.XLOOKUP("4313-10-0",Trip[trip_id],Trip[trip_id],"Não encontrado")</f>
        <v/>
      </c>
      <c r="B1378" s="53" t="n">
        <v>0.2792824074074074</v>
      </c>
      <c r="C1378" s="53" t="n">
        <v>0.2792824074074074</v>
      </c>
      <c r="D1378">
        <f>_xlfn.XLOOKUP(7504781,Stops[stop_id],Stops[stop_id],"Não encontrado")</f>
        <v/>
      </c>
      <c r="E1378" t="n">
        <v>23</v>
      </c>
    </row>
    <row r="1379">
      <c r="A1379">
        <f>_xlfn.XLOOKUP("4313-10-0",Trip[trip_id],Trip[trip_id],"Não encontrado")</f>
        <v/>
      </c>
      <c r="B1379" s="53" t="n">
        <v>0.2806134259259259</v>
      </c>
      <c r="C1379" s="53" t="n">
        <v>0.2806134259259259</v>
      </c>
      <c r="D1379">
        <f>_xlfn.XLOOKUP(7504180,Stops[stop_id],Stops[stop_id],"Não encontrado")</f>
        <v/>
      </c>
      <c r="E1379" t="n">
        <v>24</v>
      </c>
    </row>
    <row r="1380">
      <c r="A1380">
        <f>_xlfn.XLOOKUP("4313-10-0",Trip[trip_id],Trip[trip_id],"Não encontrado")</f>
        <v/>
      </c>
      <c r="B1380" s="53" t="n">
        <v>0.2819444444444444</v>
      </c>
      <c r="C1380" s="53" t="n">
        <v>0.2819444444444444</v>
      </c>
      <c r="D1380">
        <f>_xlfn.XLOOKUP(7504994,Stops[stop_id],Stops[stop_id],"Não encontrado")</f>
        <v/>
      </c>
      <c r="E1380" t="n">
        <v>25</v>
      </c>
    </row>
    <row r="1381">
      <c r="A1381">
        <f>_xlfn.XLOOKUP("4313-10-0",Trip[trip_id],Trip[trip_id],"Não encontrado")</f>
        <v/>
      </c>
      <c r="B1381" s="53" t="n">
        <v>0.283275462962963</v>
      </c>
      <c r="C1381" s="53" t="n">
        <v>0.283275462962963</v>
      </c>
      <c r="D1381">
        <f>_xlfn.XLOOKUP(580007531,Stops[stop_id],Stops[stop_id],"Não encontrado")</f>
        <v/>
      </c>
      <c r="E1381" t="n">
        <v>26</v>
      </c>
    </row>
    <row r="1382">
      <c r="A1382">
        <f>_xlfn.XLOOKUP("4313-10-0",Trip[trip_id],Trip[trip_id],"Não encontrado")</f>
        <v/>
      </c>
      <c r="B1382" s="53" t="n">
        <v>0.2846064814814815</v>
      </c>
      <c r="C1382" s="53" t="n">
        <v>0.2846064814814815</v>
      </c>
      <c r="D1382">
        <f>_xlfn.XLOOKUP(2009230,Stops[stop_id],Stops[stop_id],"Não encontrado")</f>
        <v/>
      </c>
      <c r="E1382" t="n">
        <v>27</v>
      </c>
    </row>
    <row r="1383">
      <c r="A1383">
        <f>_xlfn.XLOOKUP("4313-10-0",Trip[trip_id],Trip[trip_id],"Não encontrado")</f>
        <v/>
      </c>
      <c r="B1383" s="53" t="n">
        <v>0.2859375</v>
      </c>
      <c r="C1383" s="53" t="n">
        <v>0.2859375</v>
      </c>
      <c r="D1383">
        <f>_xlfn.XLOOKUP(580007606,Stops[stop_id],Stops[stop_id],"Não encontrado")</f>
        <v/>
      </c>
      <c r="E1383" t="n">
        <v>28</v>
      </c>
    </row>
    <row r="1384">
      <c r="A1384">
        <f>_xlfn.XLOOKUP("4313-10-0",Trip[trip_id],Trip[trip_id],"Não encontrado")</f>
        <v/>
      </c>
      <c r="B1384" s="53" t="n">
        <v>0.2872685185185185</v>
      </c>
      <c r="C1384" s="53" t="n">
        <v>0.2872685185185185</v>
      </c>
      <c r="D1384">
        <f>_xlfn.XLOOKUP(240012627,Stops[stop_id],Stops[stop_id],"Não encontrado")</f>
        <v/>
      </c>
      <c r="E1384" t="n">
        <v>29</v>
      </c>
    </row>
    <row r="1385">
      <c r="A1385">
        <f>_xlfn.XLOOKUP("4313-10-0",Trip[trip_id],Trip[trip_id],"Não encontrado")</f>
        <v/>
      </c>
      <c r="B1385" s="53" t="n">
        <v>0.2885995370370371</v>
      </c>
      <c r="C1385" s="53" t="n">
        <v>0.2885995370370371</v>
      </c>
      <c r="D1385">
        <f>_xlfn.XLOOKUP(240012628,Stops[stop_id],Stops[stop_id],"Não encontrado")</f>
        <v/>
      </c>
      <c r="E1385" t="n">
        <v>30</v>
      </c>
    </row>
    <row r="1386">
      <c r="A1386">
        <f>_xlfn.XLOOKUP("4313-10-0",Trip[trip_id],Trip[trip_id],"Não encontrado")</f>
        <v/>
      </c>
      <c r="B1386" s="53" t="n">
        <v>0.2899305555555556</v>
      </c>
      <c r="C1386" s="53" t="n">
        <v>0.2899305555555556</v>
      </c>
      <c r="D1386">
        <f>_xlfn.XLOOKUP(240012629,Stops[stop_id],Stops[stop_id],"Não encontrado")</f>
        <v/>
      </c>
      <c r="E1386" t="n">
        <v>31</v>
      </c>
    </row>
    <row r="1387">
      <c r="A1387">
        <f>_xlfn.XLOOKUP("4313-10-0",Trip[trip_id],Trip[trip_id],"Não encontrado")</f>
        <v/>
      </c>
      <c r="B1387" s="53" t="n">
        <v>0.291261574074074</v>
      </c>
      <c r="C1387" s="53" t="n">
        <v>0.291261574074074</v>
      </c>
      <c r="D1387">
        <f>_xlfn.XLOOKUP(240012630,Stops[stop_id],Stops[stop_id],"Não encontrado")</f>
        <v/>
      </c>
      <c r="E1387" t="n">
        <v>32</v>
      </c>
    </row>
    <row r="1388">
      <c r="A1388">
        <f>_xlfn.XLOOKUP("4313-10-0",Trip[trip_id],Trip[trip_id],"Não encontrado")</f>
        <v/>
      </c>
      <c r="B1388" s="53" t="n">
        <v>0.2925925925925926</v>
      </c>
      <c r="C1388" s="53" t="n">
        <v>0.2925925925925926</v>
      </c>
      <c r="D1388">
        <f>_xlfn.XLOOKUP(240012631,Stops[stop_id],Stops[stop_id],"Não encontrado")</f>
        <v/>
      </c>
      <c r="E1388" t="n">
        <v>33</v>
      </c>
    </row>
    <row r="1389">
      <c r="A1389">
        <f>_xlfn.XLOOKUP("4313-10-0",Trip[trip_id],Trip[trip_id],"Não encontrado")</f>
        <v/>
      </c>
      <c r="B1389" s="53" t="n">
        <v>0.2939236111111111</v>
      </c>
      <c r="C1389" s="53" t="n">
        <v>0.2939236111111111</v>
      </c>
      <c r="D1389">
        <f>_xlfn.XLOOKUP(240012632,Stops[stop_id],Stops[stop_id],"Não encontrado")</f>
        <v/>
      </c>
      <c r="E1389" t="n">
        <v>34</v>
      </c>
    </row>
    <row r="1390">
      <c r="A1390">
        <f>_xlfn.XLOOKUP("4313-10-0",Trip[trip_id],Trip[trip_id],"Não encontrado")</f>
        <v/>
      </c>
      <c r="B1390" s="53" t="n">
        <v>0.2952546296296296</v>
      </c>
      <c r="C1390" s="53" t="n">
        <v>0.2952546296296296</v>
      </c>
      <c r="D1390">
        <f>_xlfn.XLOOKUP(240012633,Stops[stop_id],Stops[stop_id],"Não encontrado")</f>
        <v/>
      </c>
      <c r="E1390" t="n">
        <v>35</v>
      </c>
    </row>
    <row r="1391">
      <c r="A1391">
        <f>_xlfn.XLOOKUP("4313-10-0",Trip[trip_id],Trip[trip_id],"Não encontrado")</f>
        <v/>
      </c>
      <c r="B1391" s="53" t="n">
        <v>0.2965856481481481</v>
      </c>
      <c r="C1391" s="53" t="n">
        <v>0.2965856481481481</v>
      </c>
      <c r="D1391">
        <f>_xlfn.XLOOKUP(240012634,Stops[stop_id],Stops[stop_id],"Não encontrado")</f>
        <v/>
      </c>
      <c r="E1391" t="n">
        <v>36</v>
      </c>
    </row>
    <row r="1392">
      <c r="A1392">
        <f>_xlfn.XLOOKUP("4313-10-0",Trip[trip_id],Trip[trip_id],"Não encontrado")</f>
        <v/>
      </c>
      <c r="B1392" s="53" t="n">
        <v>0.2979166666666667</v>
      </c>
      <c r="C1392" s="53" t="n">
        <v>0.2979166666666667</v>
      </c>
      <c r="D1392">
        <f>_xlfn.XLOOKUP(240012635,Stops[stop_id],Stops[stop_id],"Não encontrado")</f>
        <v/>
      </c>
      <c r="E1392" t="n">
        <v>37</v>
      </c>
    </row>
    <row r="1393">
      <c r="A1393">
        <f>_xlfn.XLOOKUP("4313-10-0",Trip[trip_id],Trip[trip_id],"Não encontrado")</f>
        <v/>
      </c>
      <c r="B1393" s="53" t="n">
        <v>0.2992476851851852</v>
      </c>
      <c r="C1393" s="53" t="n">
        <v>0.2992476851851852</v>
      </c>
      <c r="D1393">
        <f>_xlfn.XLOOKUP(240012637,Stops[stop_id],Stops[stop_id],"Não encontrado")</f>
        <v/>
      </c>
      <c r="E1393" t="n">
        <v>38</v>
      </c>
    </row>
    <row r="1394">
      <c r="A1394">
        <f>_xlfn.XLOOKUP("4313-10-0",Trip[trip_id],Trip[trip_id],"Não encontrado")</f>
        <v/>
      </c>
      <c r="B1394" s="53" t="n">
        <v>0.3005787037037037</v>
      </c>
      <c r="C1394" s="53" t="n">
        <v>0.3005787037037037</v>
      </c>
      <c r="D1394">
        <f>_xlfn.XLOOKUP(240012636,Stops[stop_id],Stops[stop_id],"Não encontrado")</f>
        <v/>
      </c>
      <c r="E1394" t="n">
        <v>39</v>
      </c>
    </row>
    <row r="1395">
      <c r="A1395">
        <f>_xlfn.XLOOKUP("4313-10-0",Trip[trip_id],Trip[trip_id],"Não encontrado")</f>
        <v/>
      </c>
      <c r="B1395" s="53" t="n">
        <v>0.3019097222222222</v>
      </c>
      <c r="C1395" s="53" t="n">
        <v>0.3019097222222222</v>
      </c>
      <c r="D1395">
        <f>_xlfn.XLOOKUP(200012638,Stops[stop_id],Stops[stop_id],"Não encontrado")</f>
        <v/>
      </c>
      <c r="E1395" t="n">
        <v>40</v>
      </c>
    </row>
    <row r="1396">
      <c r="A1396">
        <f>_xlfn.XLOOKUP("4313-10-0",Trip[trip_id],Trip[trip_id],"Não encontrado")</f>
        <v/>
      </c>
      <c r="B1396" s="53" t="n">
        <v>0.3032407407407408</v>
      </c>
      <c r="C1396" s="53" t="n">
        <v>0.3032407407407408</v>
      </c>
      <c r="D1396">
        <f>_xlfn.XLOOKUP(930012639,Stops[stop_id],Stops[stop_id],"Não encontrado")</f>
        <v/>
      </c>
      <c r="E1396" t="n">
        <v>41</v>
      </c>
    </row>
    <row r="1397">
      <c r="A1397">
        <f>_xlfn.XLOOKUP("4313-10-0",Trip[trip_id],Trip[trip_id],"Não encontrado")</f>
        <v/>
      </c>
      <c r="B1397" s="53" t="n">
        <v>0.3045717592592593</v>
      </c>
      <c r="C1397" s="53" t="n">
        <v>0.3045717592592593</v>
      </c>
      <c r="D1397">
        <f>_xlfn.XLOOKUP(930012640,Stops[stop_id],Stops[stop_id],"Não encontrado")</f>
        <v/>
      </c>
      <c r="E1397" t="n">
        <v>42</v>
      </c>
    </row>
    <row r="1398">
      <c r="A1398">
        <f>_xlfn.XLOOKUP("4313-10-0",Trip[trip_id],Trip[trip_id],"Não encontrado")</f>
        <v/>
      </c>
      <c r="B1398" s="53" t="n">
        <v>0.3059027777777778</v>
      </c>
      <c r="C1398" s="53" t="n">
        <v>0.3059027777777778</v>
      </c>
      <c r="D1398">
        <f>_xlfn.XLOOKUP(930012641,Stops[stop_id],Stops[stop_id],"Não encontrado")</f>
        <v/>
      </c>
      <c r="E1398" t="n">
        <v>43</v>
      </c>
    </row>
    <row r="1399">
      <c r="A1399">
        <f>_xlfn.XLOOKUP("4313-10-0",Trip[trip_id],Trip[trip_id],"Não encontrado")</f>
        <v/>
      </c>
      <c r="B1399" s="53" t="n">
        <v>0.3072337962962963</v>
      </c>
      <c r="C1399" s="53" t="n">
        <v>0.3072337962962963</v>
      </c>
      <c r="D1399">
        <f>_xlfn.XLOOKUP(930012642,Stops[stop_id],Stops[stop_id],"Não encontrado")</f>
        <v/>
      </c>
      <c r="E1399" t="n">
        <v>44</v>
      </c>
    </row>
    <row r="1400">
      <c r="A1400">
        <f>_xlfn.XLOOKUP("4313-10-0",Trip[trip_id],Trip[trip_id],"Não encontrado")</f>
        <v/>
      </c>
      <c r="B1400" s="53" t="n">
        <v>0.3085648148148148</v>
      </c>
      <c r="C1400" s="53" t="n">
        <v>0.3085648148148148</v>
      </c>
      <c r="D1400">
        <f>_xlfn.XLOOKUP(930012643,Stops[stop_id],Stops[stop_id],"Não encontrado")</f>
        <v/>
      </c>
      <c r="E1400" t="n">
        <v>45</v>
      </c>
    </row>
    <row r="1401">
      <c r="A1401">
        <f>_xlfn.XLOOKUP("4313-10-0",Trip[trip_id],Trip[trip_id],"Não encontrado")</f>
        <v/>
      </c>
      <c r="B1401" s="53" t="n">
        <v>0.3098958333333333</v>
      </c>
      <c r="C1401" s="53" t="n">
        <v>0.3098958333333333</v>
      </c>
      <c r="D1401">
        <f>_xlfn.XLOOKUP(2009181,Stops[stop_id],Stops[stop_id],"Não encontrado")</f>
        <v/>
      </c>
      <c r="E1401" t="n">
        <v>46</v>
      </c>
    </row>
    <row r="1402">
      <c r="A1402">
        <f>_xlfn.XLOOKUP("4313-10-0",Trip[trip_id],Trip[trip_id],"Não encontrado")</f>
        <v/>
      </c>
      <c r="B1402" s="53" t="n">
        <v>0.3112268518518518</v>
      </c>
      <c r="C1402" s="53" t="n">
        <v>0.3112268518518518</v>
      </c>
      <c r="D1402">
        <f>_xlfn.XLOOKUP(200012645,Stops[stop_id],Stops[stop_id],"Não encontrado")</f>
        <v/>
      </c>
      <c r="E1402" t="n">
        <v>47</v>
      </c>
    </row>
    <row r="1403">
      <c r="A1403">
        <f>_xlfn.XLOOKUP("4313-10-0",Trip[trip_id],Trip[trip_id],"Não encontrado")</f>
        <v/>
      </c>
      <c r="B1403" s="53" t="n">
        <v>0.3125578703703704</v>
      </c>
      <c r="C1403" s="53" t="n">
        <v>0.3125578703703704</v>
      </c>
      <c r="D1403">
        <f>_xlfn.XLOOKUP(930012646,Stops[stop_id],Stops[stop_id],"Não encontrado")</f>
        <v/>
      </c>
      <c r="E1403" t="n">
        <v>48</v>
      </c>
    </row>
    <row r="1404">
      <c r="A1404">
        <f>_xlfn.XLOOKUP("4313-10-0",Trip[trip_id],Trip[trip_id],"Não encontrado")</f>
        <v/>
      </c>
      <c r="B1404" s="53" t="n">
        <v>0.3138888888888889</v>
      </c>
      <c r="C1404" s="53" t="n">
        <v>0.3138888888888889</v>
      </c>
      <c r="D1404">
        <f>_xlfn.XLOOKUP(820012014,Stops[stop_id],Stops[stop_id],"Não encontrado")</f>
        <v/>
      </c>
      <c r="E1404" t="n">
        <v>49</v>
      </c>
    </row>
    <row r="1405">
      <c r="A1405">
        <f>_xlfn.XLOOKUP("4313-10-0",Trip[trip_id],Trip[trip_id],"Não encontrado")</f>
        <v/>
      </c>
      <c r="B1405" s="53" t="n">
        <v>0.3152199074074074</v>
      </c>
      <c r="C1405" s="53" t="n">
        <v>0.3152199074074074</v>
      </c>
      <c r="D1405">
        <f>_xlfn.XLOOKUP(820012486,Stops[stop_id],Stops[stop_id],"Não encontrado")</f>
        <v/>
      </c>
      <c r="E1405" t="n">
        <v>50</v>
      </c>
    </row>
    <row r="1406">
      <c r="A1406">
        <f>_xlfn.XLOOKUP("4313-10-0",Trip[trip_id],Trip[trip_id],"Não encontrado")</f>
        <v/>
      </c>
      <c r="B1406" s="53" t="n">
        <v>0.3165509259259259</v>
      </c>
      <c r="C1406" s="53" t="n">
        <v>0.3165509259259259</v>
      </c>
      <c r="D1406">
        <f>_xlfn.XLOOKUP(8210206,Stops[stop_id],Stops[stop_id],"Não encontrado")</f>
        <v/>
      </c>
      <c r="E1406" t="n">
        <v>51</v>
      </c>
    </row>
    <row r="1407">
      <c r="A1407">
        <f>_xlfn.XLOOKUP("4313-10-0",Trip[trip_id],Trip[trip_id],"Não encontrado")</f>
        <v/>
      </c>
      <c r="B1407" s="53" t="n">
        <v>0.3178819444444445</v>
      </c>
      <c r="C1407" s="53" t="n">
        <v>0.3178819444444445</v>
      </c>
      <c r="D1407">
        <f>_xlfn.XLOOKUP(8209782,Stops[stop_id],Stops[stop_id],"Não encontrado")</f>
        <v/>
      </c>
      <c r="E1407" t="n">
        <v>52</v>
      </c>
    </row>
    <row r="1408">
      <c r="A1408">
        <f>_xlfn.XLOOKUP("4313-10-0",Trip[trip_id],Trip[trip_id],"Não encontrado")</f>
        <v/>
      </c>
      <c r="B1408" s="53" t="n">
        <v>0.319212962962963</v>
      </c>
      <c r="C1408" s="53" t="n">
        <v>0.319212962962963</v>
      </c>
      <c r="D1408">
        <f>_xlfn.XLOOKUP(80014597,Stops[stop_id],Stops[stop_id],"Não encontrado")</f>
        <v/>
      </c>
      <c r="E1408" t="n">
        <v>53</v>
      </c>
    </row>
    <row r="1409">
      <c r="A1409">
        <f>_xlfn.XLOOKUP("4313-10-0",Trip[trip_id],Trip[trip_id],"Não encontrado")</f>
        <v/>
      </c>
      <c r="B1409" s="53" t="n">
        <v>0.3205439814814815</v>
      </c>
      <c r="C1409" s="53" t="n">
        <v>0.3205439814814815</v>
      </c>
      <c r="D1409">
        <f>_xlfn.XLOOKUP(540014584,Stops[stop_id],Stops[stop_id],"Não encontrado")</f>
        <v/>
      </c>
      <c r="E1409" t="n">
        <v>54</v>
      </c>
    </row>
    <row r="1410">
      <c r="A1410">
        <f>_xlfn.XLOOKUP("4313-10-0",Trip[trip_id],Trip[trip_id],"Não encontrado")</f>
        <v/>
      </c>
      <c r="B1410" s="53" t="n">
        <v>0.321875</v>
      </c>
      <c r="C1410" s="53" t="n">
        <v>0.321875</v>
      </c>
      <c r="D1410">
        <f>_xlfn.XLOOKUP(540014585,Stops[stop_id],Stops[stop_id],"Não encontrado")</f>
        <v/>
      </c>
      <c r="E1410" t="n">
        <v>55</v>
      </c>
    </row>
    <row r="1411">
      <c r="A1411">
        <f>_xlfn.XLOOKUP("4313-10-0",Trip[trip_id],Trip[trip_id],"Não encontrado")</f>
        <v/>
      </c>
      <c r="B1411" s="53" t="n">
        <v>0.3232060185185185</v>
      </c>
      <c r="C1411" s="53" t="n">
        <v>0.3232060185185185</v>
      </c>
      <c r="D1411">
        <f>_xlfn.XLOOKUP(540014586,Stops[stop_id],Stops[stop_id],"Não encontrado")</f>
        <v/>
      </c>
      <c r="E1411" t="n">
        <v>56</v>
      </c>
    </row>
    <row r="1412">
      <c r="A1412">
        <f>_xlfn.XLOOKUP("4313-10-0",Trip[trip_id],Trip[trip_id],"Não encontrado")</f>
        <v/>
      </c>
      <c r="B1412" s="53" t="n">
        <v>0.324537037037037</v>
      </c>
      <c r="C1412" s="53" t="n">
        <v>0.324537037037037</v>
      </c>
      <c r="D1412">
        <f>_xlfn.XLOOKUP(540014587,Stops[stop_id],Stops[stop_id],"Não encontrado")</f>
        <v/>
      </c>
      <c r="E1412" t="n">
        <v>57</v>
      </c>
    </row>
    <row r="1413">
      <c r="A1413">
        <f>_xlfn.XLOOKUP("4313-10-0",Trip[trip_id],Trip[trip_id],"Não encontrado")</f>
        <v/>
      </c>
      <c r="B1413" s="53" t="n">
        <v>0.3258680555555555</v>
      </c>
      <c r="C1413" s="53" t="n">
        <v>0.3258680555555555</v>
      </c>
      <c r="D1413">
        <f>_xlfn.XLOOKUP(100014588,Stops[stop_id],Stops[stop_id],"Não encontrado")</f>
        <v/>
      </c>
      <c r="E1413" t="n">
        <v>58</v>
      </c>
    </row>
    <row r="1414">
      <c r="A1414">
        <f>_xlfn.XLOOKUP("4313-10-0",Trip[trip_id],Trip[trip_id],"Não encontrado")</f>
        <v/>
      </c>
      <c r="B1414" s="53" t="n">
        <v>0.3271990740740741</v>
      </c>
      <c r="C1414" s="53" t="n">
        <v>0.3271990740740741</v>
      </c>
      <c r="D1414">
        <f>_xlfn.XLOOKUP(1010076,Stops[stop_id],Stops[stop_id],"Não encontrado")</f>
        <v/>
      </c>
      <c r="E1414" t="n">
        <v>59</v>
      </c>
    </row>
    <row r="1415">
      <c r="A1415">
        <f>_xlfn.XLOOKUP("4313-10-0",Trip[trip_id],Trip[trip_id],"Não encontrado")</f>
        <v/>
      </c>
      <c r="B1415" s="53" t="n">
        <v>0.3285300925925926</v>
      </c>
      <c r="C1415" s="53" t="n">
        <v>0.3285300925925926</v>
      </c>
      <c r="D1415">
        <f>_xlfn.XLOOKUP(100014589,Stops[stop_id],Stops[stop_id],"Não encontrado")</f>
        <v/>
      </c>
      <c r="E1415" t="n">
        <v>60</v>
      </c>
    </row>
    <row r="1416">
      <c r="A1416">
        <f>_xlfn.XLOOKUP("4313-10-0",Trip[trip_id],Trip[trip_id],"Não encontrado")</f>
        <v/>
      </c>
      <c r="B1416" s="53" t="n">
        <v>0.3298611111111111</v>
      </c>
      <c r="C1416" s="53" t="n">
        <v>0.3298611111111111</v>
      </c>
      <c r="D1416">
        <f>_xlfn.XLOOKUP(1010107,Stops[stop_id],Stops[stop_id],"Não encontrado")</f>
        <v/>
      </c>
      <c r="E1416" t="n">
        <v>61</v>
      </c>
    </row>
    <row r="1417">
      <c r="A1417">
        <f>_xlfn.XLOOKUP("4313-10-0",Trip[trip_id],Trip[trip_id],"Não encontrado")</f>
        <v/>
      </c>
      <c r="B1417" s="53" t="n">
        <v>0.3311921296296296</v>
      </c>
      <c r="C1417" s="53" t="n">
        <v>0.3311921296296296</v>
      </c>
      <c r="D1417">
        <f>_xlfn.XLOOKUP(1010082,Stops[stop_id],Stops[stop_id],"Não encontrado")</f>
        <v/>
      </c>
      <c r="E1417" t="n">
        <v>62</v>
      </c>
    </row>
    <row r="1418">
      <c r="A1418">
        <f>_xlfn.XLOOKUP("4313-10-0",Trip[trip_id],Trip[trip_id],"Não encontrado")</f>
        <v/>
      </c>
      <c r="B1418" s="53" t="n">
        <v>0.3340277777777778</v>
      </c>
      <c r="C1418" s="53" t="n">
        <v>0.3340277777777778</v>
      </c>
      <c r="D1418">
        <f>_xlfn.XLOOKUP(800016531,Stops[stop_id],Stops[stop_id],"Não encontrado")</f>
        <v/>
      </c>
      <c r="E1418" t="n">
        <v>63</v>
      </c>
    </row>
    <row r="1419">
      <c r="A1419">
        <f>_xlfn.XLOOKUP("4313-10-1",Trip[trip_id],Trip[trip_id],"Não encontrado")</f>
        <v/>
      </c>
      <c r="B1419" s="53" t="n">
        <v>0.7083333333333334</v>
      </c>
      <c r="C1419" s="53" t="n">
        <v>0.7083333333333334</v>
      </c>
      <c r="D1419">
        <f>_xlfn.XLOOKUP(800016531,Stops[stop_id],Stops[stop_id],"Não encontrado")</f>
        <v/>
      </c>
      <c r="E1419" t="n">
        <v>1</v>
      </c>
    </row>
    <row r="1420">
      <c r="A1420">
        <f>_xlfn.XLOOKUP("4313-10-1",Trip[trip_id],Trip[trip_id],"Não encontrado")</f>
        <v/>
      </c>
      <c r="B1420" s="53" t="n">
        <v>0.7097222222222223</v>
      </c>
      <c r="C1420" s="53" t="n">
        <v>0.7097222222222223</v>
      </c>
      <c r="D1420">
        <f>_xlfn.XLOOKUP(800012673,Stops[stop_id],Stops[stop_id],"Não encontrado")</f>
        <v/>
      </c>
      <c r="E1420" t="n">
        <v>2</v>
      </c>
    </row>
    <row r="1421">
      <c r="A1421">
        <f>_xlfn.XLOOKUP("4313-10-1",Trip[trip_id],Trip[trip_id],"Não encontrado")</f>
        <v/>
      </c>
      <c r="B1421" s="53" t="n">
        <v>0.7111111111111111</v>
      </c>
      <c r="C1421" s="53" t="n">
        <v>0.7111111111111111</v>
      </c>
      <c r="D1421">
        <f>_xlfn.XLOOKUP(100014591,Stops[stop_id],Stops[stop_id],"Não encontrado")</f>
        <v/>
      </c>
      <c r="E1421" t="n">
        <v>3</v>
      </c>
    </row>
    <row r="1422">
      <c r="A1422">
        <f>_xlfn.XLOOKUP("4313-10-1",Trip[trip_id],Trip[trip_id],"Não encontrado")</f>
        <v/>
      </c>
      <c r="B1422" s="53" t="n">
        <v>0.7125</v>
      </c>
      <c r="C1422" s="53" t="n">
        <v>0.7125</v>
      </c>
      <c r="D1422">
        <f>_xlfn.XLOOKUP(100014592,Stops[stop_id],Stops[stop_id],"Não encontrado")</f>
        <v/>
      </c>
      <c r="E1422" t="n">
        <v>4</v>
      </c>
    </row>
    <row r="1423">
      <c r="A1423">
        <f>_xlfn.XLOOKUP("4313-10-1",Trip[trip_id],Trip[trip_id],"Não encontrado")</f>
        <v/>
      </c>
      <c r="B1423" s="53" t="n">
        <v>0.7138888888888889</v>
      </c>
      <c r="C1423" s="53" t="n">
        <v>0.7138888888888889</v>
      </c>
      <c r="D1423">
        <f>_xlfn.XLOOKUP(100014412,Stops[stop_id],Stops[stop_id],"Não encontrado")</f>
        <v/>
      </c>
      <c r="E1423" t="n">
        <v>5</v>
      </c>
    </row>
    <row r="1424">
      <c r="A1424">
        <f>_xlfn.XLOOKUP("4313-10-1",Trip[trip_id],Trip[trip_id],"Não encontrado")</f>
        <v/>
      </c>
      <c r="B1424" s="53" t="n">
        <v>0.7152777777777778</v>
      </c>
      <c r="C1424" s="53" t="n">
        <v>0.7152777777777778</v>
      </c>
      <c r="D1424">
        <f>_xlfn.XLOOKUP(540014575,Stops[stop_id],Stops[stop_id],"Não encontrado")</f>
        <v/>
      </c>
      <c r="E1424" t="n">
        <v>6</v>
      </c>
    </row>
    <row r="1425">
      <c r="A1425">
        <f>_xlfn.XLOOKUP("4313-10-1",Trip[trip_id],Trip[trip_id],"Não encontrado")</f>
        <v/>
      </c>
      <c r="B1425" s="53" t="n">
        <v>0.7166666666666667</v>
      </c>
      <c r="C1425" s="53" t="n">
        <v>0.7166666666666667</v>
      </c>
      <c r="D1425">
        <f>_xlfn.XLOOKUP(540014576,Stops[stop_id],Stops[stop_id],"Não encontrado")</f>
        <v/>
      </c>
      <c r="E1425" t="n">
        <v>7</v>
      </c>
    </row>
    <row r="1426">
      <c r="A1426">
        <f>_xlfn.XLOOKUP("4313-10-1",Trip[trip_id],Trip[trip_id],"Não encontrado")</f>
        <v/>
      </c>
      <c r="B1426" s="53" t="n">
        <v>0.7180555555555556</v>
      </c>
      <c r="C1426" s="53" t="n">
        <v>0.7180555555555556</v>
      </c>
      <c r="D1426">
        <f>_xlfn.XLOOKUP(540014577,Stops[stop_id],Stops[stop_id],"Não encontrado")</f>
        <v/>
      </c>
      <c r="E1426" t="n">
        <v>8</v>
      </c>
    </row>
    <row r="1427">
      <c r="A1427">
        <f>_xlfn.XLOOKUP("4313-10-1",Trip[trip_id],Trip[trip_id],"Não encontrado")</f>
        <v/>
      </c>
      <c r="B1427" s="53" t="n">
        <v>0.7194444444444444</v>
      </c>
      <c r="C1427" s="53" t="n">
        <v>0.7194444444444444</v>
      </c>
      <c r="D1427">
        <f>_xlfn.XLOOKUP(540014578,Stops[stop_id],Stops[stop_id],"Não encontrado")</f>
        <v/>
      </c>
      <c r="E1427" t="n">
        <v>9</v>
      </c>
    </row>
    <row r="1428">
      <c r="A1428">
        <f>_xlfn.XLOOKUP("4313-10-1",Trip[trip_id],Trip[trip_id],"Não encontrado")</f>
        <v/>
      </c>
      <c r="B1428" s="53" t="n">
        <v>0.7208333333333333</v>
      </c>
      <c r="C1428" s="53" t="n">
        <v>0.7208333333333333</v>
      </c>
      <c r="D1428">
        <f>_xlfn.XLOOKUP(5410197,Stops[stop_id],Stops[stop_id],"Não encontrado")</f>
        <v/>
      </c>
      <c r="E1428" t="n">
        <v>10</v>
      </c>
    </row>
    <row r="1429">
      <c r="A1429">
        <f>_xlfn.XLOOKUP("4313-10-1",Trip[trip_id],Trip[trip_id],"Não encontrado")</f>
        <v/>
      </c>
      <c r="B1429" s="53" t="n">
        <v>0.7222222222222222</v>
      </c>
      <c r="C1429" s="53" t="n">
        <v>0.7222222222222222</v>
      </c>
      <c r="D1429">
        <f>_xlfn.XLOOKUP(80014579,Stops[stop_id],Stops[stop_id],"Não encontrado")</f>
        <v/>
      </c>
      <c r="E1429" t="n">
        <v>11</v>
      </c>
    </row>
    <row r="1430">
      <c r="A1430">
        <f>_xlfn.XLOOKUP("4313-10-1",Trip[trip_id],Trip[trip_id],"Não encontrado")</f>
        <v/>
      </c>
      <c r="B1430" s="53" t="n">
        <v>0.7236111111111111</v>
      </c>
      <c r="C1430" s="53" t="n">
        <v>0.7236111111111111</v>
      </c>
      <c r="D1430">
        <f>_xlfn.XLOOKUP(80014580,Stops[stop_id],Stops[stop_id],"Não encontrado")</f>
        <v/>
      </c>
      <c r="E1430" t="n">
        <v>12</v>
      </c>
    </row>
    <row r="1431">
      <c r="A1431">
        <f>_xlfn.XLOOKUP("4313-10-1",Trip[trip_id],Trip[trip_id],"Não encontrado")</f>
        <v/>
      </c>
      <c r="B1431" s="53" t="n">
        <v>0.725</v>
      </c>
      <c r="C1431" s="53" t="n">
        <v>0.725</v>
      </c>
      <c r="D1431">
        <f>_xlfn.XLOOKUP(810612,Stops[stop_id],Stops[stop_id],"Não encontrado")</f>
        <v/>
      </c>
      <c r="E1431" t="n">
        <v>13</v>
      </c>
    </row>
    <row r="1432" ht="15.75" customHeight="1">
      <c r="A1432">
        <f>_xlfn.XLOOKUP("4313-10-1",Trip[trip_id],Trip[trip_id],"Não encontrado")</f>
        <v/>
      </c>
      <c r="B1432" s="53" t="n">
        <v>0.7263888888888889</v>
      </c>
      <c r="C1432" s="53" t="n">
        <v>0.7263888888888889</v>
      </c>
      <c r="D1432">
        <f>_xlfn.XLOOKUP(820005546,Stops[stop_id],Stops[stop_id],"Não encontrado")</f>
        <v/>
      </c>
      <c r="E1432" t="n">
        <v>14</v>
      </c>
    </row>
    <row r="1433">
      <c r="A1433">
        <f>_xlfn.XLOOKUP("4313-10-1",Trip[trip_id],Trip[trip_id],"Não encontrado")</f>
        <v/>
      </c>
      <c r="B1433" s="53" t="n">
        <v>0.7277777777777777</v>
      </c>
      <c r="C1433" s="53" t="n">
        <v>0.7277777777777777</v>
      </c>
      <c r="D1433">
        <f>_xlfn.XLOOKUP(8209765,Stops[stop_id],Stops[stop_id],"Não encontrado")</f>
        <v/>
      </c>
      <c r="E1433" t="n">
        <v>15</v>
      </c>
    </row>
    <row r="1434">
      <c r="A1434">
        <f>_xlfn.XLOOKUP("4313-10-1",Trip[trip_id],Trip[trip_id],"Não encontrado")</f>
        <v/>
      </c>
      <c r="B1434" s="53" t="n">
        <v>0.7291666666666666</v>
      </c>
      <c r="C1434" s="53" t="n">
        <v>0.7291666666666666</v>
      </c>
      <c r="D1434">
        <f>_xlfn.XLOOKUP(820012500,Stops[stop_id],Stops[stop_id],"Não encontrado")</f>
        <v/>
      </c>
      <c r="E1434" t="n">
        <v>16</v>
      </c>
    </row>
    <row r="1435">
      <c r="A1435">
        <f>_xlfn.XLOOKUP("4313-10-1",Trip[trip_id],Trip[trip_id],"Não encontrado")</f>
        <v/>
      </c>
      <c r="B1435" s="53" t="n">
        <v>0.7305555555555555</v>
      </c>
      <c r="C1435" s="53" t="n">
        <v>0.7305555555555555</v>
      </c>
      <c r="D1435">
        <f>_xlfn.XLOOKUP(8210236,Stops[stop_id],Stops[stop_id],"Não encontrado")</f>
        <v/>
      </c>
      <c r="E1435" t="n">
        <v>17</v>
      </c>
    </row>
    <row r="1436">
      <c r="A1436">
        <f>_xlfn.XLOOKUP("4313-10-1",Trip[trip_id],Trip[trip_id],"Não encontrado")</f>
        <v/>
      </c>
      <c r="B1436" s="53" t="n">
        <v>0.7319444444444444</v>
      </c>
      <c r="C1436" s="53" t="n">
        <v>0.7319444444444444</v>
      </c>
      <c r="D1436">
        <f>_xlfn.XLOOKUP(200012485,Stops[stop_id],Stops[stop_id],"Não encontrado")</f>
        <v/>
      </c>
      <c r="E1436" t="n">
        <v>18</v>
      </c>
    </row>
    <row r="1437">
      <c r="A1437">
        <f>_xlfn.XLOOKUP("4313-10-1",Trip[trip_id],Trip[trip_id],"Não encontrado")</f>
        <v/>
      </c>
      <c r="B1437" s="53" t="n">
        <v>0.7333333333333333</v>
      </c>
      <c r="C1437" s="53" t="n">
        <v>0.7333333333333333</v>
      </c>
      <c r="D1437">
        <f>_xlfn.XLOOKUP(200012647,Stops[stop_id],Stops[stop_id],"Não encontrado")</f>
        <v/>
      </c>
      <c r="E1437" t="n">
        <v>19</v>
      </c>
    </row>
    <row r="1438">
      <c r="A1438">
        <f>_xlfn.XLOOKUP("4313-10-1",Trip[trip_id],Trip[trip_id],"Não encontrado")</f>
        <v/>
      </c>
      <c r="B1438" s="53" t="n">
        <v>0.7347222222222223</v>
      </c>
      <c r="C1438" s="53" t="n">
        <v>0.7347222222222223</v>
      </c>
      <c r="D1438">
        <f>_xlfn.XLOOKUP(200012648,Stops[stop_id],Stops[stop_id],"Não encontrado")</f>
        <v/>
      </c>
      <c r="E1438" t="n">
        <v>20</v>
      </c>
    </row>
    <row r="1439">
      <c r="A1439">
        <f>_xlfn.XLOOKUP("4313-10-1",Trip[trip_id],Trip[trip_id],"Não encontrado")</f>
        <v/>
      </c>
      <c r="B1439" s="53" t="n">
        <v>0.7361111111111112</v>
      </c>
      <c r="C1439" s="53" t="n">
        <v>0.7361111111111112</v>
      </c>
      <c r="D1439">
        <f>_xlfn.XLOOKUP(200012649,Stops[stop_id],Stops[stop_id],"Não encontrado")</f>
        <v/>
      </c>
      <c r="E1439" t="n">
        <v>21</v>
      </c>
    </row>
    <row r="1440">
      <c r="A1440">
        <f>_xlfn.XLOOKUP("4313-10-1",Trip[trip_id],Trip[trip_id],"Não encontrado")</f>
        <v/>
      </c>
      <c r="B1440" s="53" t="n">
        <v>0.7375</v>
      </c>
      <c r="C1440" s="53" t="n">
        <v>0.7375</v>
      </c>
      <c r="D1440">
        <f>_xlfn.XLOOKUP(200012650,Stops[stop_id],Stops[stop_id],"Não encontrado")</f>
        <v/>
      </c>
      <c r="E1440" t="n">
        <v>22</v>
      </c>
    </row>
    <row r="1441">
      <c r="A1441">
        <f>_xlfn.XLOOKUP("4313-10-1",Trip[trip_id],Trip[trip_id],"Não encontrado")</f>
        <v/>
      </c>
      <c r="B1441" s="53" t="n">
        <v>0.7388888888888889</v>
      </c>
      <c r="C1441" s="53" t="n">
        <v>0.7388888888888889</v>
      </c>
      <c r="D1441">
        <f>_xlfn.XLOOKUP(200012651,Stops[stop_id],Stops[stop_id],"Não encontrado")</f>
        <v/>
      </c>
      <c r="E1441" t="n">
        <v>23</v>
      </c>
    </row>
    <row r="1442">
      <c r="A1442">
        <f>_xlfn.XLOOKUP("4313-10-1",Trip[trip_id],Trip[trip_id],"Não encontrado")</f>
        <v/>
      </c>
      <c r="B1442" s="53" t="n">
        <v>0.7402777777777778</v>
      </c>
      <c r="C1442" s="53" t="n">
        <v>0.7402777777777778</v>
      </c>
      <c r="D1442">
        <f>_xlfn.XLOOKUP(200012652,Stops[stop_id],Stops[stop_id],"Não encontrado")</f>
        <v/>
      </c>
      <c r="E1442" t="n">
        <v>24</v>
      </c>
    </row>
    <row r="1443">
      <c r="A1443">
        <f>_xlfn.XLOOKUP("4313-10-1",Trip[trip_id],Trip[trip_id],"Não encontrado")</f>
        <v/>
      </c>
      <c r="B1443" s="53" t="n">
        <v>0.7416666666666667</v>
      </c>
      <c r="C1443" s="53" t="n">
        <v>0.7416666666666667</v>
      </c>
      <c r="D1443">
        <f>_xlfn.XLOOKUP(200012626,Stops[stop_id],Stops[stop_id],"Não encontrado")</f>
        <v/>
      </c>
      <c r="E1443" t="n">
        <v>25</v>
      </c>
    </row>
    <row r="1444">
      <c r="A1444">
        <f>_xlfn.XLOOKUP("4313-10-1",Trip[trip_id],Trip[trip_id],"Não encontrado")</f>
        <v/>
      </c>
      <c r="B1444" s="53" t="n">
        <v>0.7430555555555556</v>
      </c>
      <c r="C1444" s="53" t="n">
        <v>0.7430555555555556</v>
      </c>
      <c r="D1444">
        <f>_xlfn.XLOOKUP(200012667,Stops[stop_id],Stops[stop_id],"Não encontrado")</f>
        <v/>
      </c>
      <c r="E1444" t="n">
        <v>26</v>
      </c>
    </row>
    <row r="1445">
      <c r="A1445">
        <f>_xlfn.XLOOKUP("4313-10-1",Trip[trip_id],Trip[trip_id],"Não encontrado")</f>
        <v/>
      </c>
      <c r="B1445" s="53" t="n">
        <v>0.7444444444444445</v>
      </c>
      <c r="C1445" s="53" t="n">
        <v>0.7444444444444445</v>
      </c>
      <c r="D1445">
        <f>_xlfn.XLOOKUP(200012692,Stops[stop_id],Stops[stop_id],"Não encontrado")</f>
        <v/>
      </c>
      <c r="E1445" t="n">
        <v>27</v>
      </c>
    </row>
    <row r="1446">
      <c r="A1446">
        <f>_xlfn.XLOOKUP("4313-10-1",Trip[trip_id],Trip[trip_id],"Não encontrado")</f>
        <v/>
      </c>
      <c r="B1446" s="53" t="n">
        <v>0.7458333333333333</v>
      </c>
      <c r="C1446" s="53" t="n">
        <v>0.7458333333333333</v>
      </c>
      <c r="D1446">
        <f>_xlfn.XLOOKUP(200012653,Stops[stop_id],Stops[stop_id],"Não encontrado")</f>
        <v/>
      </c>
      <c r="E1446" t="n">
        <v>28</v>
      </c>
    </row>
    <row r="1447">
      <c r="A1447">
        <f>_xlfn.XLOOKUP("4313-10-1",Trip[trip_id],Trip[trip_id],"Não encontrado")</f>
        <v/>
      </c>
      <c r="B1447" s="53" t="n">
        <v>0.7472222222222222</v>
      </c>
      <c r="C1447" s="53" t="n">
        <v>0.7472222222222222</v>
      </c>
      <c r="D1447">
        <f>_xlfn.XLOOKUP(40012654,Stops[stop_id],Stops[stop_id],"Não encontrado")</f>
        <v/>
      </c>
      <c r="E1447" t="n">
        <v>29</v>
      </c>
    </row>
    <row r="1448">
      <c r="A1448">
        <f>_xlfn.XLOOKUP("4313-10-1",Trip[trip_id],Trip[trip_id],"Não encontrado")</f>
        <v/>
      </c>
      <c r="B1448" s="53" t="n">
        <v>0.7486111111111111</v>
      </c>
      <c r="C1448" s="53" t="n">
        <v>0.7486111111111111</v>
      </c>
      <c r="D1448">
        <f>_xlfn.XLOOKUP(40012655,Stops[stop_id],Stops[stop_id],"Não encontrado")</f>
        <v/>
      </c>
      <c r="E1448" t="n">
        <v>30</v>
      </c>
    </row>
    <row r="1449">
      <c r="A1449">
        <f>_xlfn.XLOOKUP("4313-10-1",Trip[trip_id],Trip[trip_id],"Não encontrado")</f>
        <v/>
      </c>
      <c r="B1449" s="53" t="n">
        <v>0.75</v>
      </c>
      <c r="C1449" s="53" t="n">
        <v>0.75</v>
      </c>
      <c r="D1449">
        <f>_xlfn.XLOOKUP(408848,Stops[stop_id],Stops[stop_id],"Não encontrado")</f>
        <v/>
      </c>
      <c r="E1449" t="n">
        <v>31</v>
      </c>
    </row>
    <row r="1450">
      <c r="A1450">
        <f>_xlfn.XLOOKUP("4313-10-1",Trip[trip_id],Trip[trip_id],"Não encontrado")</f>
        <v/>
      </c>
      <c r="B1450" s="53" t="n">
        <v>0.7513888888888889</v>
      </c>
      <c r="C1450" s="53" t="n">
        <v>0.7513888888888889</v>
      </c>
      <c r="D1450">
        <f>_xlfn.XLOOKUP(40012657,Stops[stop_id],Stops[stop_id],"Não encontrado")</f>
        <v/>
      </c>
      <c r="E1450" t="n">
        <v>32</v>
      </c>
    </row>
    <row r="1451">
      <c r="A1451">
        <f>_xlfn.XLOOKUP("4313-10-1",Trip[trip_id],Trip[trip_id],"Não encontrado")</f>
        <v/>
      </c>
      <c r="B1451" s="53" t="n">
        <v>0.7527777777777778</v>
      </c>
      <c r="C1451" s="53" t="n">
        <v>0.7527777777777778</v>
      </c>
      <c r="D1451">
        <f>_xlfn.XLOOKUP(409048,Stops[stop_id],Stops[stop_id],"Não encontrado")</f>
        <v/>
      </c>
      <c r="E1451" t="n">
        <v>33</v>
      </c>
    </row>
    <row r="1452">
      <c r="A1452">
        <f>_xlfn.XLOOKUP("4313-10-1",Trip[trip_id],Trip[trip_id],"Não encontrado")</f>
        <v/>
      </c>
      <c r="B1452" s="53" t="n">
        <v>0.7541666666666667</v>
      </c>
      <c r="C1452" s="53" t="n">
        <v>0.7541666666666667</v>
      </c>
      <c r="D1452">
        <f>_xlfn.XLOOKUP(40012660,Stops[stop_id],Stops[stop_id],"Não encontrado")</f>
        <v/>
      </c>
      <c r="E1452" t="n">
        <v>34</v>
      </c>
    </row>
    <row r="1453">
      <c r="A1453">
        <f>_xlfn.XLOOKUP("4313-10-1",Trip[trip_id],Trip[trip_id],"Não encontrado")</f>
        <v/>
      </c>
      <c r="B1453" s="53" t="n">
        <v>0.7555555555555555</v>
      </c>
      <c r="C1453" s="53" t="n">
        <v>0.7555555555555555</v>
      </c>
      <c r="D1453">
        <f>_xlfn.XLOOKUP(40012661,Stops[stop_id],Stops[stop_id],"Não encontrado")</f>
        <v/>
      </c>
      <c r="E1453" t="n">
        <v>35</v>
      </c>
    </row>
    <row r="1454">
      <c r="A1454">
        <f>_xlfn.XLOOKUP("4313-10-1",Trip[trip_id],Trip[trip_id],"Não encontrado")</f>
        <v/>
      </c>
      <c r="B1454" s="53" t="n">
        <v>0.7569444444444444</v>
      </c>
      <c r="C1454" s="53" t="n">
        <v>0.7569444444444444</v>
      </c>
      <c r="D1454">
        <f>_xlfn.XLOOKUP(40012662,Stops[stop_id],Stops[stop_id],"Não encontrado")</f>
        <v/>
      </c>
      <c r="E1454" t="n">
        <v>36</v>
      </c>
    </row>
    <row r="1455">
      <c r="A1455">
        <f>_xlfn.XLOOKUP("4313-10-1",Trip[trip_id],Trip[trip_id],"Não encontrado")</f>
        <v/>
      </c>
      <c r="B1455" s="53" t="n">
        <v>0.7583333333333333</v>
      </c>
      <c r="C1455" s="53" t="n">
        <v>0.7583333333333333</v>
      </c>
      <c r="D1455">
        <f>_xlfn.XLOOKUP(40012663,Stops[stop_id],Stops[stop_id],"Não encontrado")</f>
        <v/>
      </c>
      <c r="E1455" t="n">
        <v>37</v>
      </c>
    </row>
    <row r="1456">
      <c r="A1456">
        <f>_xlfn.XLOOKUP("4313-10-1",Trip[trip_id],Trip[trip_id],"Não encontrado")</f>
        <v/>
      </c>
      <c r="B1456" s="53" t="n">
        <v>0.7597222222222222</v>
      </c>
      <c r="C1456" s="53" t="n">
        <v>0.7597222222222222</v>
      </c>
      <c r="D1456">
        <f>_xlfn.XLOOKUP(750012664,Stops[stop_id],Stops[stop_id],"Não encontrado")</f>
        <v/>
      </c>
      <c r="E1456" t="n">
        <v>38</v>
      </c>
    </row>
    <row r="1457">
      <c r="A1457">
        <f>_xlfn.XLOOKUP("4313-10-1",Trip[trip_id],Trip[trip_id],"Não encontrado")</f>
        <v/>
      </c>
      <c r="B1457" s="53" t="n">
        <v>0.7611111111111111</v>
      </c>
      <c r="C1457" s="53" t="n">
        <v>0.7611111111111111</v>
      </c>
      <c r="D1457">
        <f>_xlfn.XLOOKUP(750012665,Stops[stop_id],Stops[stop_id],"Não encontrado")</f>
        <v/>
      </c>
      <c r="E1457" t="n">
        <v>39</v>
      </c>
    </row>
    <row r="1458">
      <c r="A1458">
        <f>_xlfn.XLOOKUP("4313-10-1",Trip[trip_id],Trip[trip_id],"Não encontrado")</f>
        <v/>
      </c>
      <c r="B1458" s="53" t="n">
        <v>0.7625</v>
      </c>
      <c r="C1458" s="53" t="n">
        <v>0.7625</v>
      </c>
      <c r="D1458">
        <f>_xlfn.XLOOKUP(240012666,Stops[stop_id],Stops[stop_id],"Não encontrado")</f>
        <v/>
      </c>
      <c r="E1458" t="n">
        <v>40</v>
      </c>
    </row>
    <row r="1459">
      <c r="A1459">
        <f>_xlfn.XLOOKUP("4313-10-1",Trip[trip_id],Trip[trip_id],"Não encontrado")</f>
        <v/>
      </c>
      <c r="B1459" s="53" t="n">
        <v>0.7638888888888888</v>
      </c>
      <c r="C1459" s="53" t="n">
        <v>0.7638888888888888</v>
      </c>
      <c r="D1459">
        <f>_xlfn.XLOOKUP(750007514,Stops[stop_id],Stops[stop_id],"Não encontrado")</f>
        <v/>
      </c>
      <c r="E1459" t="n">
        <v>41</v>
      </c>
    </row>
    <row r="1460">
      <c r="A1460">
        <f>_xlfn.XLOOKUP("4313-10-1",Trip[trip_id],Trip[trip_id],"Não encontrado")</f>
        <v/>
      </c>
      <c r="B1460" s="53" t="n">
        <v>0.7652777777777777</v>
      </c>
      <c r="C1460" s="53" t="n">
        <v>0.7652777777777777</v>
      </c>
      <c r="D1460">
        <f>_xlfn.XLOOKUP(750007515,Stops[stop_id],Stops[stop_id],"Não encontrado")</f>
        <v/>
      </c>
      <c r="E1460" t="n">
        <v>42</v>
      </c>
    </row>
    <row r="1461">
      <c r="A1461">
        <f>_xlfn.XLOOKUP("4313-10-1",Trip[trip_id],Trip[trip_id],"Não encontrado")</f>
        <v/>
      </c>
      <c r="B1461" s="53" t="n">
        <v>0.7666666666666667</v>
      </c>
      <c r="C1461" s="53" t="n">
        <v>0.7666666666666667</v>
      </c>
      <c r="D1461">
        <f>_xlfn.XLOOKUP(750007516,Stops[stop_id],Stops[stop_id],"Não encontrado")</f>
        <v/>
      </c>
      <c r="E1461" t="n">
        <v>43</v>
      </c>
    </row>
    <row r="1462">
      <c r="A1462">
        <f>_xlfn.XLOOKUP("4313-10-1",Trip[trip_id],Trip[trip_id],"Não encontrado")</f>
        <v/>
      </c>
      <c r="B1462" s="53" t="n">
        <v>0.7680555555555556</v>
      </c>
      <c r="C1462" s="53" t="n">
        <v>0.7680555555555556</v>
      </c>
      <c r="D1462">
        <f>_xlfn.XLOOKUP(580007517,Stops[stop_id],Stops[stop_id],"Não encontrado")</f>
        <v/>
      </c>
      <c r="E1462" t="n">
        <v>44</v>
      </c>
    </row>
    <row r="1463">
      <c r="A1463">
        <f>_xlfn.XLOOKUP("4313-10-1",Trip[trip_id],Trip[trip_id],"Não encontrado")</f>
        <v/>
      </c>
      <c r="B1463" s="53" t="n">
        <v>0.7694444444444445</v>
      </c>
      <c r="C1463" s="53" t="n">
        <v>0.7694444444444445</v>
      </c>
      <c r="D1463">
        <f>_xlfn.XLOOKUP(7504986,Stops[stop_id],Stops[stop_id],"Não encontrado")</f>
        <v/>
      </c>
      <c r="E1463" t="n">
        <v>45</v>
      </c>
    </row>
    <row r="1464">
      <c r="A1464">
        <f>_xlfn.XLOOKUP("4313-10-1",Trip[trip_id],Trip[trip_id],"Não encontrado")</f>
        <v/>
      </c>
      <c r="B1464" s="53" t="n">
        <v>0.7708333333333334</v>
      </c>
      <c r="C1464" s="53" t="n">
        <v>0.7708333333333334</v>
      </c>
      <c r="D1464">
        <f>_xlfn.XLOOKUP(7504985,Stops[stop_id],Stops[stop_id],"Não encontrado")</f>
        <v/>
      </c>
      <c r="E1464" t="n">
        <v>46</v>
      </c>
    </row>
    <row r="1465">
      <c r="A1465">
        <f>_xlfn.XLOOKUP("4313-10-1",Trip[trip_id],Trip[trip_id],"Não encontrado")</f>
        <v/>
      </c>
      <c r="B1465" s="53" t="n">
        <v>0.7722222222222223</v>
      </c>
      <c r="C1465" s="53" t="n">
        <v>0.7722222222222223</v>
      </c>
      <c r="D1465">
        <f>_xlfn.XLOOKUP(750007518,Stops[stop_id],Stops[stop_id],"Não encontrado")</f>
        <v/>
      </c>
      <c r="E1465" t="n">
        <v>47</v>
      </c>
    </row>
    <row r="1466">
      <c r="A1466">
        <f>_xlfn.XLOOKUP("4313-10-1",Trip[trip_id],Trip[trip_id],"Não encontrado")</f>
        <v/>
      </c>
      <c r="B1466" s="53" t="n">
        <v>0.7736111111111111</v>
      </c>
      <c r="C1466" s="53" t="n">
        <v>0.7736111111111111</v>
      </c>
      <c r="D1466">
        <f>_xlfn.XLOOKUP(7504177,Stops[stop_id],Stops[stop_id],"Não encontrado")</f>
        <v/>
      </c>
      <c r="E1466" t="n">
        <v>48</v>
      </c>
    </row>
    <row r="1467">
      <c r="A1467">
        <f>_xlfn.XLOOKUP("4313-10-1",Trip[trip_id],Trip[trip_id],"Não encontrado")</f>
        <v/>
      </c>
      <c r="B1467" s="53" t="n">
        <v>0.775</v>
      </c>
      <c r="C1467" s="53" t="n">
        <v>0.775</v>
      </c>
      <c r="D1467">
        <f>_xlfn.XLOOKUP(7504989,Stops[stop_id],Stops[stop_id],"Não encontrado")</f>
        <v/>
      </c>
      <c r="E1467" t="n">
        <v>49</v>
      </c>
    </row>
    <row r="1468">
      <c r="A1468">
        <f>_xlfn.XLOOKUP("4313-10-1",Trip[trip_id],Trip[trip_id],"Não encontrado")</f>
        <v/>
      </c>
      <c r="B1468" s="53" t="n">
        <v>0.7763888888888889</v>
      </c>
      <c r="C1468" s="53" t="n">
        <v>0.7763888888888889</v>
      </c>
      <c r="D1468">
        <f>_xlfn.XLOOKUP(7504925,Stops[stop_id],Stops[stop_id],"Não encontrado")</f>
        <v/>
      </c>
      <c r="E1468" t="n">
        <v>50</v>
      </c>
    </row>
    <row r="1469">
      <c r="A1469">
        <f>_xlfn.XLOOKUP("4313-10-1",Trip[trip_id],Trip[trip_id],"Não encontrado")</f>
        <v/>
      </c>
      <c r="B1469" s="53" t="n">
        <v>0.7777777777777778</v>
      </c>
      <c r="C1469" s="53" t="n">
        <v>0.7777777777777778</v>
      </c>
      <c r="D1469">
        <f>_xlfn.XLOOKUP(320012280,Stops[stop_id],Stops[stop_id],"Não encontrado")</f>
        <v/>
      </c>
      <c r="E1469" t="n">
        <v>51</v>
      </c>
    </row>
    <row r="1470">
      <c r="A1470">
        <f>_xlfn.XLOOKUP("4313-10-1",Trip[trip_id],Trip[trip_id],"Não encontrado")</f>
        <v/>
      </c>
      <c r="B1470" s="53" t="n">
        <v>0.7791666666666667</v>
      </c>
      <c r="C1470" s="53" t="n">
        <v>0.7791666666666667</v>
      </c>
      <c r="D1470">
        <f>_xlfn.XLOOKUP(320012281,Stops[stop_id],Stops[stop_id],"Não encontrado")</f>
        <v/>
      </c>
      <c r="E1470" t="n">
        <v>52</v>
      </c>
    </row>
    <row r="1471">
      <c r="A1471">
        <f>_xlfn.XLOOKUP("4313-10-1",Trip[trip_id],Trip[trip_id],"Não encontrado")</f>
        <v/>
      </c>
      <c r="B1471" s="53" t="n">
        <v>0.7805555555555556</v>
      </c>
      <c r="C1471" s="53" t="n">
        <v>0.7805555555555556</v>
      </c>
      <c r="D1471">
        <f>_xlfn.XLOOKUP(320012282,Stops[stop_id],Stops[stop_id],"Não encontrado")</f>
        <v/>
      </c>
      <c r="E1471" t="n">
        <v>53</v>
      </c>
    </row>
    <row r="1472">
      <c r="A1472">
        <f>_xlfn.XLOOKUP("4313-10-1",Trip[trip_id],Trip[trip_id],"Não encontrado")</f>
        <v/>
      </c>
      <c r="B1472" s="53" t="n">
        <v>0.7819444444444444</v>
      </c>
      <c r="C1472" s="53" t="n">
        <v>0.7819444444444444</v>
      </c>
      <c r="D1472">
        <f>_xlfn.XLOOKUP(3203785,Stops[stop_id],Stops[stop_id],"Não encontrado")</f>
        <v/>
      </c>
      <c r="E1472" t="n">
        <v>54</v>
      </c>
    </row>
    <row r="1473">
      <c r="A1473">
        <f>_xlfn.XLOOKUP("4313-10-1",Trip[trip_id],Trip[trip_id],"Não encontrado")</f>
        <v/>
      </c>
      <c r="B1473" s="53" t="n">
        <v>0.7833333333333333</v>
      </c>
      <c r="C1473" s="53" t="n">
        <v>0.7833333333333333</v>
      </c>
      <c r="D1473">
        <f>_xlfn.XLOOKUP(3214590,Stops[stop_id],Stops[stop_id],"Não encontrado")</f>
        <v/>
      </c>
      <c r="E1473" t="n">
        <v>55</v>
      </c>
    </row>
    <row r="1474">
      <c r="A1474">
        <f>_xlfn.XLOOKUP("4313-10-1",Trip[trip_id],Trip[trip_id],"Não encontrado")</f>
        <v/>
      </c>
      <c r="B1474" s="53" t="n">
        <v>0.7847222222222222</v>
      </c>
      <c r="C1474" s="53" t="n">
        <v>0.7847222222222222</v>
      </c>
      <c r="D1474">
        <f>_xlfn.XLOOKUP(320012285,Stops[stop_id],Stops[stop_id],"Não encontrado")</f>
        <v/>
      </c>
      <c r="E1474" t="n">
        <v>56</v>
      </c>
    </row>
    <row r="1475">
      <c r="A1475">
        <f>_xlfn.XLOOKUP("4313-10-1",Trip[trip_id],Trip[trip_id],"Não encontrado")</f>
        <v/>
      </c>
      <c r="B1475" s="53" t="n">
        <v>0.7861111111111111</v>
      </c>
      <c r="C1475" s="53" t="n">
        <v>0.7861111111111111</v>
      </c>
      <c r="D1475">
        <f>_xlfn.XLOOKUP(320012286,Stops[stop_id],Stops[stop_id],"Não encontrado")</f>
        <v/>
      </c>
      <c r="E1475" t="n">
        <v>57</v>
      </c>
    </row>
    <row r="1476">
      <c r="A1476">
        <f>_xlfn.XLOOKUP("4313-10-1",Trip[trip_id],Trip[trip_id],"Não encontrado")</f>
        <v/>
      </c>
      <c r="B1476" s="53" t="n">
        <v>0.7875</v>
      </c>
      <c r="C1476" s="53" t="n">
        <v>0.7875</v>
      </c>
      <c r="D1476">
        <f>_xlfn.XLOOKUP(320012237,Stops[stop_id],Stops[stop_id],"Não encontrado")</f>
        <v/>
      </c>
      <c r="E1476" t="n">
        <v>58</v>
      </c>
    </row>
    <row r="1477">
      <c r="A1477">
        <f>_xlfn.XLOOKUP("4313-10-1",Trip[trip_id],Trip[trip_id],"Não encontrado")</f>
        <v/>
      </c>
      <c r="B1477" s="53" t="n">
        <v>0.7888888888888889</v>
      </c>
      <c r="C1477" s="53" t="n">
        <v>0.7888888888888889</v>
      </c>
      <c r="D1477">
        <f>_xlfn.XLOOKUP(320012238,Stops[stop_id],Stops[stop_id],"Não encontrado")</f>
        <v/>
      </c>
      <c r="E1477" t="n">
        <v>59</v>
      </c>
    </row>
    <row r="1478">
      <c r="A1478">
        <f>_xlfn.XLOOKUP("4313-10-1",Trip[trip_id],Trip[trip_id],"Não encontrado")</f>
        <v/>
      </c>
      <c r="B1478" s="53" t="n">
        <v>0.7902777777777777</v>
      </c>
      <c r="C1478" s="53" t="n">
        <v>0.7902777777777777</v>
      </c>
      <c r="D1478">
        <f>_xlfn.XLOOKUP(3203690,Stops[stop_id],Stops[stop_id],"Não encontrado")</f>
        <v/>
      </c>
      <c r="E1478" t="n">
        <v>60</v>
      </c>
    </row>
    <row r="1479">
      <c r="A1479">
        <f>_xlfn.XLOOKUP("4313-10-1",Trip[trip_id],Trip[trip_id],"Não encontrado")</f>
        <v/>
      </c>
      <c r="B1479" s="53" t="n">
        <v>0.7916666666666666</v>
      </c>
      <c r="C1479" s="53" t="n">
        <v>0.7916666666666666</v>
      </c>
      <c r="D1479">
        <f>_xlfn.XLOOKUP(3203689,Stops[stop_id],Stops[stop_id],"Não encontrado")</f>
        <v/>
      </c>
      <c r="E1479" t="n">
        <v>61</v>
      </c>
    </row>
    <row r="1480">
      <c r="A1480">
        <f>_xlfn.XLOOKUP("4313-10-1",Trip[trip_id],Trip[trip_id],"Não encontrado")</f>
        <v/>
      </c>
      <c r="B1480" s="53" t="n">
        <v>0.7930555555555555</v>
      </c>
      <c r="C1480" s="53" t="n">
        <v>0.7930555555555555</v>
      </c>
      <c r="D1480">
        <f>_xlfn.XLOOKUP(320012241,Stops[stop_id],Stops[stop_id],"Não encontrado")</f>
        <v/>
      </c>
      <c r="E1480" t="n">
        <v>62</v>
      </c>
    </row>
    <row r="1481">
      <c r="A1481">
        <f>_xlfn.XLOOKUP("4313-10-1",Trip[trip_id],Trip[trip_id],"Não encontrado")</f>
        <v/>
      </c>
      <c r="B1481" s="53" t="n">
        <v>0.7944444444444444</v>
      </c>
      <c r="C1481" s="53" t="n">
        <v>0.7944444444444444</v>
      </c>
      <c r="D1481">
        <f>_xlfn.XLOOKUP(2515526,Stops[stop_id],Stops[stop_id],"Não encontrado")</f>
        <v/>
      </c>
      <c r="E1481" t="n">
        <v>63</v>
      </c>
    </row>
    <row r="1482">
      <c r="A1482">
        <f>_xlfn.XLOOKUP("4313-10-1",Trip[trip_id],Trip[trip_id],"Não encontrado")</f>
        <v/>
      </c>
      <c r="B1482" s="53" t="n">
        <v>0.7958333333333333</v>
      </c>
      <c r="C1482" s="53" t="n">
        <v>0.7958333333333333</v>
      </c>
      <c r="D1482">
        <f>_xlfn.XLOOKUP(250012242,Stops[stop_id],Stops[stop_id],"Não encontrado")</f>
        <v/>
      </c>
      <c r="E1482" t="n">
        <v>64</v>
      </c>
    </row>
    <row r="1483">
      <c r="A1483">
        <f>_xlfn.XLOOKUP("4313-10-1",Trip[trip_id],Trip[trip_id],"Não encontrado")</f>
        <v/>
      </c>
      <c r="B1483" s="53" t="n">
        <v>0.7972222222222223</v>
      </c>
      <c r="C1483" s="53" t="n">
        <v>0.7972222222222223</v>
      </c>
      <c r="D1483">
        <f>_xlfn.XLOOKUP(2515355,Stops[stop_id],Stops[stop_id],"Não encontrado")</f>
        <v/>
      </c>
      <c r="E1483" t="n">
        <v>65</v>
      </c>
    </row>
    <row r="1484">
      <c r="A1484">
        <f>_xlfn.XLOOKUP("4313-10-1",Trip[trip_id],Trip[trip_id],"Não encontrado")</f>
        <v/>
      </c>
      <c r="B1484" s="53" t="n">
        <v>0.7986111111111112</v>
      </c>
      <c r="C1484" s="53" t="n">
        <v>0.7986111111111112</v>
      </c>
      <c r="D1484">
        <f>_xlfn.XLOOKUP(2515374,Stops[stop_id],Stops[stop_id],"Não encontrado")</f>
        <v/>
      </c>
      <c r="E1484" t="n">
        <v>66</v>
      </c>
    </row>
    <row r="1485">
      <c r="A1485">
        <f>_xlfn.XLOOKUP("4313-10-1",Trip[trip_id],Trip[trip_id],"Não encontrado")</f>
        <v/>
      </c>
      <c r="B1485" s="53" t="n">
        <v>0.8</v>
      </c>
      <c r="C1485" s="53" t="n">
        <v>0.8</v>
      </c>
      <c r="D1485">
        <f>_xlfn.XLOOKUP(2515402,Stops[stop_id],Stops[stop_id],"Não encontrado")</f>
        <v/>
      </c>
      <c r="E1485" t="n">
        <v>67</v>
      </c>
    </row>
    <row r="1486">
      <c r="A1486">
        <f>_xlfn.XLOOKUP("4313-10-1",Trip[trip_id],Trip[trip_id],"Não encontrado")</f>
        <v/>
      </c>
      <c r="B1486" s="53" t="n">
        <v>0.8013888888888889</v>
      </c>
      <c r="C1486" s="53" t="n">
        <v>0.8013888888888889</v>
      </c>
      <c r="D1486">
        <f>_xlfn.XLOOKUP(250005835,Stops[stop_id],Stops[stop_id],"Não encontrado")</f>
        <v/>
      </c>
      <c r="E1486" t="n">
        <v>68</v>
      </c>
    </row>
    <row r="1487">
      <c r="A1487">
        <f>_xlfn.XLOOKUP("4313-10-1",Trip[trip_id],Trip[trip_id],"Não encontrado")</f>
        <v/>
      </c>
      <c r="B1487" s="53" t="n">
        <v>0.8027777777777778</v>
      </c>
      <c r="C1487" s="53" t="n">
        <v>0.8027777777777778</v>
      </c>
      <c r="D1487">
        <f>_xlfn.XLOOKUP(2515507,Stops[stop_id],Stops[stop_id],"Não encontrado")</f>
        <v/>
      </c>
      <c r="E1487" t="n">
        <v>69</v>
      </c>
    </row>
    <row r="1488">
      <c r="A1488">
        <f>_xlfn.XLOOKUP("4313-10-1",Trip[trip_id],Trip[trip_id],"Não encontrado")</f>
        <v/>
      </c>
      <c r="B1488" s="53" t="n">
        <v>0.8041666666666667</v>
      </c>
      <c r="C1488" s="53" t="n">
        <v>0.8041666666666667</v>
      </c>
      <c r="D1488">
        <f>_xlfn.XLOOKUP(250005901,Stops[stop_id],Stops[stop_id],"Não encontrado")</f>
        <v/>
      </c>
      <c r="E1488" t="n">
        <v>70</v>
      </c>
    </row>
    <row r="1489">
      <c r="A1489">
        <f>_xlfn.XLOOKUP("4313-10-1",Trip[trip_id],Trip[trip_id],"Não encontrado")</f>
        <v/>
      </c>
      <c r="B1489" s="53" t="n">
        <v>0.8055555555555556</v>
      </c>
      <c r="C1489" s="53" t="n">
        <v>0.8055555555555556</v>
      </c>
      <c r="D1489">
        <f>_xlfn.XLOOKUP(250005911,Stops[stop_id],Stops[stop_id],"Não encontrado")</f>
        <v/>
      </c>
      <c r="E1489" t="n">
        <v>71</v>
      </c>
    </row>
    <row r="1490">
      <c r="A1490">
        <f>_xlfn.XLOOKUP("4313-10-1",Trip[trip_id],Trip[trip_id],"Não encontrado")</f>
        <v/>
      </c>
      <c r="B1490" s="53" t="n">
        <v>0.8069444444444445</v>
      </c>
      <c r="C1490" s="53" t="n">
        <v>0.8069444444444445</v>
      </c>
      <c r="D1490">
        <f>_xlfn.XLOOKUP(250005913,Stops[stop_id],Stops[stop_id],"Não encontrado")</f>
        <v/>
      </c>
      <c r="E1490" t="n">
        <v>72</v>
      </c>
    </row>
    <row r="1491">
      <c r="A1491">
        <f>_xlfn.XLOOKUP("4313-10-1",Trip[trip_id],Trip[trip_id],"Não encontrado")</f>
        <v/>
      </c>
      <c r="B1491" s="53" t="n">
        <v>0.8097222222222222</v>
      </c>
      <c r="C1491" s="53" t="n">
        <v>0.8097222222222222</v>
      </c>
      <c r="D1491">
        <f>_xlfn.XLOOKUP(250005914,Stops[stop_id],Stops[stop_id],"Não encontrado")</f>
        <v/>
      </c>
      <c r="E1491" t="n">
        <v>73</v>
      </c>
    </row>
    <row r="1492">
      <c r="A1492">
        <f>_xlfn.XLOOKUP("574W-10-0",Trip[trip_id],Trip[trip_id],"Não encontrado")</f>
        <v/>
      </c>
      <c r="B1492" s="53" t="n">
        <v>0.7083333333333334</v>
      </c>
      <c r="C1492" s="53" t="n">
        <v>0.7083333333333334</v>
      </c>
      <c r="D1492">
        <f>_xlfn.XLOOKUP(7805147,Stops[stop_id],Stops[stop_id],"Não encontrado")</f>
        <v/>
      </c>
      <c r="E1492" t="n">
        <v>1</v>
      </c>
    </row>
    <row r="1493">
      <c r="A1493">
        <f>_xlfn.XLOOKUP("574W-10-0",Trip[trip_id],Trip[trip_id],"Não encontrado")</f>
        <v/>
      </c>
      <c r="B1493" s="53" t="n">
        <v>0.7092592592592593</v>
      </c>
      <c r="C1493" s="53" t="n">
        <v>0.7092592592592593</v>
      </c>
      <c r="D1493">
        <f>_xlfn.XLOOKUP(7803961,Stops[stop_id],Stops[stop_id],"Não encontrado")</f>
        <v/>
      </c>
      <c r="E1493" t="n">
        <v>2</v>
      </c>
    </row>
    <row r="1494">
      <c r="A1494">
        <f>_xlfn.XLOOKUP("574W-10-0",Trip[trip_id],Trip[trip_id],"Não encontrado")</f>
        <v/>
      </c>
      <c r="B1494" s="53" t="n">
        <v>0.7101851851851851</v>
      </c>
      <c r="C1494" s="53" t="n">
        <v>0.7101851851851851</v>
      </c>
      <c r="D1494">
        <f>_xlfn.XLOOKUP(7803973,Stops[stop_id],Stops[stop_id],"Não encontrado")</f>
        <v/>
      </c>
      <c r="E1494" t="n">
        <v>3</v>
      </c>
    </row>
    <row r="1495">
      <c r="A1495">
        <f>_xlfn.XLOOKUP("574W-10-0",Trip[trip_id],Trip[trip_id],"Não encontrado")</f>
        <v/>
      </c>
      <c r="B1495" s="53" t="n">
        <v>0.7111111111111111</v>
      </c>
      <c r="C1495" s="53" t="n">
        <v>0.7111111111111111</v>
      </c>
      <c r="D1495">
        <f>_xlfn.XLOOKUP(7805192,Stops[stop_id],Stops[stop_id],"Não encontrado")</f>
        <v/>
      </c>
      <c r="E1495" t="n">
        <v>4</v>
      </c>
    </row>
    <row r="1496">
      <c r="A1496">
        <f>_xlfn.XLOOKUP("574W-10-0",Trip[trip_id],Trip[trip_id],"Não encontrado")</f>
        <v/>
      </c>
      <c r="B1496" s="53" t="n">
        <v>0.712037037037037</v>
      </c>
      <c r="C1496" s="53" t="n">
        <v>0.712037037037037</v>
      </c>
      <c r="D1496">
        <f>_xlfn.XLOOKUP(7805193,Stops[stop_id],Stops[stop_id],"Não encontrado")</f>
        <v/>
      </c>
      <c r="E1496" t="n">
        <v>5</v>
      </c>
    </row>
    <row r="1497">
      <c r="A1497">
        <f>_xlfn.XLOOKUP("574W-10-0",Trip[trip_id],Trip[trip_id],"Não encontrado")</f>
        <v/>
      </c>
      <c r="B1497" s="53" t="n">
        <v>0.7129629629629629</v>
      </c>
      <c r="C1497" s="53" t="n">
        <v>0.7129629629629629</v>
      </c>
      <c r="D1497">
        <f>_xlfn.XLOOKUP(7805245,Stops[stop_id],Stops[stop_id],"Não encontrado")</f>
        <v/>
      </c>
      <c r="E1497" t="n">
        <v>6</v>
      </c>
    </row>
    <row r="1498">
      <c r="A1498">
        <f>_xlfn.XLOOKUP("574W-10-0",Trip[trip_id],Trip[trip_id],"Não encontrado")</f>
        <v/>
      </c>
      <c r="B1498" s="53" t="n">
        <v>0.7138888888888889</v>
      </c>
      <c r="C1498" s="53" t="n">
        <v>0.7138888888888889</v>
      </c>
      <c r="D1498">
        <f>_xlfn.XLOOKUP(7504822,Stops[stop_id],Stops[stop_id],"Não encontrado")</f>
        <v/>
      </c>
      <c r="E1498" t="n">
        <v>7</v>
      </c>
    </row>
    <row r="1499">
      <c r="A1499">
        <f>_xlfn.XLOOKUP("574W-10-0",Trip[trip_id],Trip[trip_id],"Não encontrado")</f>
        <v/>
      </c>
      <c r="B1499" s="53" t="n">
        <v>0.7148148148148148</v>
      </c>
      <c r="C1499" s="53" t="n">
        <v>0.7148148148148148</v>
      </c>
      <c r="D1499">
        <f>_xlfn.XLOOKUP(7805189,Stops[stop_id],Stops[stop_id],"Não encontrado")</f>
        <v/>
      </c>
      <c r="E1499" t="n">
        <v>8</v>
      </c>
    </row>
    <row r="1500">
      <c r="A1500">
        <f>_xlfn.XLOOKUP("574W-10-0",Trip[trip_id],Trip[trip_id],"Não encontrado")</f>
        <v/>
      </c>
      <c r="B1500" s="53" t="n">
        <v>0.7157407407407408</v>
      </c>
      <c r="C1500" s="53" t="n">
        <v>0.7157407407407408</v>
      </c>
      <c r="D1500">
        <f>_xlfn.XLOOKUP(7805130,Stops[stop_id],Stops[stop_id],"Não encontrado")</f>
        <v/>
      </c>
      <c r="E1500" t="n">
        <v>9</v>
      </c>
    </row>
    <row r="1501">
      <c r="A1501">
        <f>_xlfn.XLOOKUP("574W-10-0",Trip[trip_id],Trip[trip_id],"Não encontrado")</f>
        <v/>
      </c>
      <c r="B1501" s="53" t="n">
        <v>0.7166666666666667</v>
      </c>
      <c r="C1501" s="53" t="n">
        <v>0.7166666666666667</v>
      </c>
      <c r="D1501">
        <f>_xlfn.XLOOKUP(750006147,Stops[stop_id],Stops[stop_id],"Não encontrado")</f>
        <v/>
      </c>
      <c r="E1501" t="n">
        <v>10</v>
      </c>
    </row>
    <row r="1502">
      <c r="A1502">
        <f>_xlfn.XLOOKUP("574W-10-0",Trip[trip_id],Trip[trip_id],"Não encontrado")</f>
        <v/>
      </c>
      <c r="B1502" s="53" t="n">
        <v>0.7175925925925926</v>
      </c>
      <c r="C1502" s="53" t="n">
        <v>0.7175925925925926</v>
      </c>
      <c r="D1502">
        <f>_xlfn.XLOOKUP(750006139,Stops[stop_id],Stops[stop_id],"Não encontrado")</f>
        <v/>
      </c>
      <c r="E1502" t="n">
        <v>11</v>
      </c>
    </row>
    <row r="1503">
      <c r="A1503">
        <f>_xlfn.XLOOKUP("574W-10-0",Trip[trip_id],Trip[trip_id],"Não encontrado")</f>
        <v/>
      </c>
      <c r="B1503" s="53" t="n">
        <v>0.7185185185185186</v>
      </c>
      <c r="C1503" s="53" t="n">
        <v>0.7185185185185186</v>
      </c>
      <c r="D1503">
        <f>_xlfn.XLOOKUP(750006142,Stops[stop_id],Stops[stop_id],"Não encontrado")</f>
        <v/>
      </c>
      <c r="E1503" t="n">
        <v>12</v>
      </c>
    </row>
    <row r="1504">
      <c r="A1504">
        <f>_xlfn.XLOOKUP("574W-10-0",Trip[trip_id],Trip[trip_id],"Não encontrado")</f>
        <v/>
      </c>
      <c r="B1504" s="53" t="n">
        <v>0.7194444444444444</v>
      </c>
      <c r="C1504" s="53" t="n">
        <v>0.7194444444444444</v>
      </c>
      <c r="D1504">
        <f>_xlfn.XLOOKUP(750006145,Stops[stop_id],Stops[stop_id],"Não encontrado")</f>
        <v/>
      </c>
      <c r="E1504" t="n">
        <v>13</v>
      </c>
    </row>
    <row r="1505">
      <c r="A1505">
        <f>_xlfn.XLOOKUP("574W-10-0",Trip[trip_id],Trip[trip_id],"Não encontrado")</f>
        <v/>
      </c>
      <c r="B1505" s="53" t="n">
        <v>0.7203703703703703</v>
      </c>
      <c r="C1505" s="53" t="n">
        <v>0.7203703703703703</v>
      </c>
      <c r="D1505">
        <f>_xlfn.XLOOKUP(7504959,Stops[stop_id],Stops[stop_id],"Não encontrado")</f>
        <v/>
      </c>
      <c r="E1505" t="n">
        <v>14</v>
      </c>
    </row>
    <row r="1506">
      <c r="A1506">
        <f>_xlfn.XLOOKUP("574W-10-0",Trip[trip_id],Trip[trip_id],"Não encontrado")</f>
        <v/>
      </c>
      <c r="B1506" s="53" t="n">
        <v>0.7212962962962963</v>
      </c>
      <c r="C1506" s="53" t="n">
        <v>0.7212962962962963</v>
      </c>
      <c r="D1506">
        <f>_xlfn.XLOOKUP(780006813,Stops[stop_id],Stops[stop_id],"Não encontrado")</f>
        <v/>
      </c>
      <c r="E1506" t="n">
        <v>15</v>
      </c>
    </row>
    <row r="1507">
      <c r="A1507">
        <f>_xlfn.XLOOKUP("574W-10-0",Trip[trip_id],Trip[trip_id],"Não encontrado")</f>
        <v/>
      </c>
      <c r="B1507" s="53" t="n">
        <v>0.7222222222222222</v>
      </c>
      <c r="C1507" s="53" t="n">
        <v>0.7222222222222222</v>
      </c>
      <c r="D1507">
        <f>_xlfn.XLOOKUP(7805241,Stops[stop_id],Stops[stop_id],"Não encontrado")</f>
        <v/>
      </c>
      <c r="E1507" t="n">
        <v>16</v>
      </c>
    </row>
    <row r="1508">
      <c r="A1508">
        <f>_xlfn.XLOOKUP("574W-10-0",Trip[trip_id],Trip[trip_id],"Não encontrado")</f>
        <v/>
      </c>
      <c r="B1508" s="53" t="n">
        <v>0.7231481481481481</v>
      </c>
      <c r="C1508" s="53" t="n">
        <v>0.7231481481481481</v>
      </c>
      <c r="D1508">
        <f>_xlfn.XLOOKUP(780006815,Stops[stop_id],Stops[stop_id],"Não encontrado")</f>
        <v/>
      </c>
      <c r="E1508" t="n">
        <v>17</v>
      </c>
    </row>
    <row r="1509">
      <c r="A1509">
        <f>_xlfn.XLOOKUP("574W-10-0",Trip[trip_id],Trip[trip_id],"Não encontrado")</f>
        <v/>
      </c>
      <c r="B1509" s="53" t="n">
        <v>0.7240740740740741</v>
      </c>
      <c r="C1509" s="53" t="n">
        <v>0.7240740740740741</v>
      </c>
      <c r="D1509">
        <f>_xlfn.XLOOKUP(780006816,Stops[stop_id],Stops[stop_id],"Não encontrado")</f>
        <v/>
      </c>
      <c r="E1509" t="n">
        <v>18</v>
      </c>
    </row>
    <row r="1510">
      <c r="A1510">
        <f>_xlfn.XLOOKUP("574W-10-0",Trip[trip_id],Trip[trip_id],"Não encontrado")</f>
        <v/>
      </c>
      <c r="B1510" s="53" t="n">
        <v>0.725</v>
      </c>
      <c r="C1510" s="53" t="n">
        <v>0.725</v>
      </c>
      <c r="D1510">
        <f>_xlfn.XLOOKUP(780006817,Stops[stop_id],Stops[stop_id],"Não encontrado")</f>
        <v/>
      </c>
      <c r="E1510" t="n">
        <v>19</v>
      </c>
    </row>
    <row r="1511">
      <c r="A1511">
        <f>_xlfn.XLOOKUP("574W-10-0",Trip[trip_id],Trip[trip_id],"Não encontrado")</f>
        <v/>
      </c>
      <c r="B1511" s="53" t="n">
        <v>0.725925925925926</v>
      </c>
      <c r="C1511" s="53" t="n">
        <v>0.725925925925926</v>
      </c>
      <c r="D1511">
        <f>_xlfn.XLOOKUP(780006818,Stops[stop_id],Stops[stop_id],"Não encontrado")</f>
        <v/>
      </c>
      <c r="E1511" t="n">
        <v>20</v>
      </c>
    </row>
    <row r="1512">
      <c r="A1512">
        <f>_xlfn.XLOOKUP("574W-10-0",Trip[trip_id],Trip[trip_id],"Não encontrado")</f>
        <v/>
      </c>
      <c r="B1512" s="53" t="n">
        <v>0.7268518518518519</v>
      </c>
      <c r="C1512" s="53" t="n">
        <v>0.7268518518518519</v>
      </c>
      <c r="D1512">
        <f>_xlfn.XLOOKUP(7805237,Stops[stop_id],Stops[stop_id],"Não encontrado")</f>
        <v/>
      </c>
      <c r="E1512" t="n">
        <v>21</v>
      </c>
    </row>
    <row r="1513">
      <c r="A1513">
        <f>_xlfn.XLOOKUP("574W-10-0",Trip[trip_id],Trip[trip_id],"Não encontrado")</f>
        <v/>
      </c>
      <c r="B1513" s="53" t="n">
        <v>0.7277777777777777</v>
      </c>
      <c r="C1513" s="53" t="n">
        <v>0.7277777777777777</v>
      </c>
      <c r="D1513">
        <f>_xlfn.XLOOKUP(7805242,Stops[stop_id],Stops[stop_id],"Não encontrado")</f>
        <v/>
      </c>
      <c r="E1513" t="n">
        <v>22</v>
      </c>
    </row>
    <row r="1514">
      <c r="A1514">
        <f>_xlfn.XLOOKUP("574W-10-0",Trip[trip_id],Trip[trip_id],"Não encontrado")</f>
        <v/>
      </c>
      <c r="B1514" s="53" t="n">
        <v>0.7287037037037037</v>
      </c>
      <c r="C1514" s="53" t="n">
        <v>0.7287037037037037</v>
      </c>
      <c r="D1514">
        <f>_xlfn.XLOOKUP(780006820,Stops[stop_id],Stops[stop_id],"Não encontrado")</f>
        <v/>
      </c>
      <c r="E1514" t="n">
        <v>23</v>
      </c>
    </row>
    <row r="1515">
      <c r="A1515">
        <f>_xlfn.XLOOKUP("574W-10-0",Trip[trip_id],Trip[trip_id],"Não encontrado")</f>
        <v/>
      </c>
      <c r="B1515" s="53" t="n">
        <v>0.7296296296296296</v>
      </c>
      <c r="C1515" s="53" t="n">
        <v>0.7296296296296296</v>
      </c>
      <c r="D1515">
        <f>_xlfn.XLOOKUP(780006821,Stops[stop_id],Stops[stop_id],"Não encontrado")</f>
        <v/>
      </c>
      <c r="E1515" t="n">
        <v>24</v>
      </c>
    </row>
    <row r="1516">
      <c r="A1516">
        <f>_xlfn.XLOOKUP("574W-10-0",Trip[trip_id],Trip[trip_id],"Não encontrado")</f>
        <v/>
      </c>
      <c r="B1516" s="53" t="n">
        <v>0.7305555555555555</v>
      </c>
      <c r="C1516" s="53" t="n">
        <v>0.7305555555555555</v>
      </c>
      <c r="D1516">
        <f>_xlfn.XLOOKUP(780006799,Stops[stop_id],Stops[stop_id],"Não encontrado")</f>
        <v/>
      </c>
      <c r="E1516" t="n">
        <v>25</v>
      </c>
    </row>
    <row r="1517">
      <c r="A1517">
        <f>_xlfn.XLOOKUP("574W-10-0",Trip[trip_id],Trip[trip_id],"Não encontrado")</f>
        <v/>
      </c>
      <c r="B1517" s="53" t="n">
        <v>0.7314814814814815</v>
      </c>
      <c r="C1517" s="53" t="n">
        <v>0.7314814814814815</v>
      </c>
      <c r="D1517">
        <f>_xlfn.XLOOKUP(780006797,Stops[stop_id],Stops[stop_id],"Não encontrado")</f>
        <v/>
      </c>
      <c r="E1517" t="n">
        <v>26</v>
      </c>
    </row>
    <row r="1518">
      <c r="A1518">
        <f>_xlfn.XLOOKUP("574W-10-0",Trip[trip_id],Trip[trip_id],"Não encontrado")</f>
        <v/>
      </c>
      <c r="B1518" s="53" t="n">
        <v>0.7324074074074074</v>
      </c>
      <c r="C1518" s="53" t="n">
        <v>0.7324074074074074</v>
      </c>
      <c r="D1518">
        <f>_xlfn.XLOOKUP(7804361,Stops[stop_id],Stops[stop_id],"Não encontrado")</f>
        <v/>
      </c>
      <c r="E1518" t="n">
        <v>27</v>
      </c>
    </row>
    <row r="1519">
      <c r="A1519">
        <f>_xlfn.XLOOKUP("574W-10-0",Trip[trip_id],Trip[trip_id],"Não encontrado")</f>
        <v/>
      </c>
      <c r="B1519" s="53" t="n">
        <v>0.7333333333333333</v>
      </c>
      <c r="C1519" s="53" t="n">
        <v>0.7333333333333333</v>
      </c>
      <c r="D1519">
        <f>_xlfn.XLOOKUP(8704829,Stops[stop_id],Stops[stop_id],"Não encontrado")</f>
        <v/>
      </c>
      <c r="E1519" t="n">
        <v>28</v>
      </c>
    </row>
    <row r="1520">
      <c r="A1520">
        <f>_xlfn.XLOOKUP("574W-10-0",Trip[trip_id],Trip[trip_id],"Não encontrado")</f>
        <v/>
      </c>
      <c r="B1520" s="53" t="n">
        <v>0.7342592592592593</v>
      </c>
      <c r="C1520" s="53" t="n">
        <v>0.7342592592592593</v>
      </c>
      <c r="D1520">
        <f>_xlfn.XLOOKUP(780006293,Stops[stop_id],Stops[stop_id],"Não encontrado")</f>
        <v/>
      </c>
      <c r="E1520" t="n">
        <v>29</v>
      </c>
    </row>
    <row r="1521">
      <c r="A1521">
        <f>_xlfn.XLOOKUP("574W-10-0",Trip[trip_id],Trip[trip_id],"Não encontrado")</f>
        <v/>
      </c>
      <c r="B1521" s="53" t="n">
        <v>0.7351851851851852</v>
      </c>
      <c r="C1521" s="53" t="n">
        <v>0.7351851851851852</v>
      </c>
      <c r="D1521">
        <f>_xlfn.XLOOKUP(780006305,Stops[stop_id],Stops[stop_id],"Não encontrado")</f>
        <v/>
      </c>
      <c r="E1521" t="n">
        <v>30</v>
      </c>
    </row>
    <row r="1522">
      <c r="A1522">
        <f>_xlfn.XLOOKUP("574W-10-0",Trip[trip_id],Trip[trip_id],"Não encontrado")</f>
        <v/>
      </c>
      <c r="B1522" s="53" t="n">
        <v>0.7361111111111112</v>
      </c>
      <c r="C1522" s="53" t="n">
        <v>0.7361111111111112</v>
      </c>
      <c r="D1522">
        <f>_xlfn.XLOOKUP(7805166,Stops[stop_id],Stops[stop_id],"Não encontrado")</f>
        <v/>
      </c>
      <c r="E1522" t="n">
        <v>31</v>
      </c>
    </row>
    <row r="1523">
      <c r="A1523">
        <f>_xlfn.XLOOKUP("574W-10-0",Trip[trip_id],Trip[trip_id],"Não encontrado")</f>
        <v/>
      </c>
      <c r="B1523" s="53" t="n">
        <v>0.737037037037037</v>
      </c>
      <c r="C1523" s="53" t="n">
        <v>0.737037037037037</v>
      </c>
      <c r="D1523">
        <f>_xlfn.XLOOKUP(780006297,Stops[stop_id],Stops[stop_id],"Não encontrado")</f>
        <v/>
      </c>
      <c r="E1523" t="n">
        <v>32</v>
      </c>
    </row>
    <row r="1524">
      <c r="A1524">
        <f>_xlfn.XLOOKUP("574W-10-0",Trip[trip_id],Trip[trip_id],"Não encontrado")</f>
        <v/>
      </c>
      <c r="B1524" s="53" t="n">
        <v>0.7379629629629629</v>
      </c>
      <c r="C1524" s="53" t="n">
        <v>0.7379629629629629</v>
      </c>
      <c r="D1524">
        <f>_xlfn.XLOOKUP(780006298,Stops[stop_id],Stops[stop_id],"Não encontrado")</f>
        <v/>
      </c>
      <c r="E1524" t="n">
        <v>33</v>
      </c>
    </row>
    <row r="1525">
      <c r="A1525">
        <f>_xlfn.XLOOKUP("574W-10-0",Trip[trip_id],Trip[trip_id],"Não encontrado")</f>
        <v/>
      </c>
      <c r="B1525" s="53" t="n">
        <v>0.7388888888888889</v>
      </c>
      <c r="C1525" s="53" t="n">
        <v>0.7388888888888889</v>
      </c>
      <c r="D1525">
        <f>_xlfn.XLOOKUP(780006302,Stops[stop_id],Stops[stop_id],"Não encontrado")</f>
        <v/>
      </c>
      <c r="E1525" t="n">
        <v>34</v>
      </c>
    </row>
    <row r="1526">
      <c r="A1526">
        <f>_xlfn.XLOOKUP("574W-10-0",Trip[trip_id],Trip[trip_id],"Não encontrado")</f>
        <v/>
      </c>
      <c r="B1526" s="53" t="n">
        <v>0.7398148148148148</v>
      </c>
      <c r="C1526" s="53" t="n">
        <v>0.7398148148148148</v>
      </c>
      <c r="D1526">
        <f>_xlfn.XLOOKUP(7805136,Stops[stop_id],Stops[stop_id],"Não encontrado")</f>
        <v/>
      </c>
      <c r="E1526" t="n">
        <v>35</v>
      </c>
    </row>
    <row r="1527">
      <c r="A1527">
        <f>_xlfn.XLOOKUP("574W-10-0",Trip[trip_id],Trip[trip_id],"Não encontrado")</f>
        <v/>
      </c>
      <c r="B1527" s="53" t="n">
        <v>0.7407407407407407</v>
      </c>
      <c r="C1527" s="53" t="n">
        <v>0.7407407407407407</v>
      </c>
      <c r="D1527">
        <f>_xlfn.XLOOKUP(7805134,Stops[stop_id],Stops[stop_id],"Não encontrado")</f>
        <v/>
      </c>
      <c r="E1527" t="n">
        <v>36</v>
      </c>
    </row>
    <row r="1528">
      <c r="A1528">
        <f>_xlfn.XLOOKUP("574W-10-0",Trip[trip_id],Trip[trip_id],"Não encontrado")</f>
        <v/>
      </c>
      <c r="B1528" s="53" t="n">
        <v>0.7416666666666667</v>
      </c>
      <c r="C1528" s="53" t="n">
        <v>0.7416666666666667</v>
      </c>
      <c r="D1528">
        <f>_xlfn.XLOOKUP(780005533,Stops[stop_id],Stops[stop_id],"Não encontrado")</f>
        <v/>
      </c>
      <c r="E1528" t="n">
        <v>37</v>
      </c>
    </row>
    <row r="1529">
      <c r="A1529">
        <f>_xlfn.XLOOKUP("574W-10-0",Trip[trip_id],Trip[trip_id],"Não encontrado")</f>
        <v/>
      </c>
      <c r="B1529" s="53" t="n">
        <v>0.7425925925925926</v>
      </c>
      <c r="C1529" s="53" t="n">
        <v>0.7425925925925926</v>
      </c>
      <c r="D1529">
        <f>_xlfn.XLOOKUP(40005535,Stops[stop_id],Stops[stop_id],"Não encontrado")</f>
        <v/>
      </c>
      <c r="E1529" t="n">
        <v>38</v>
      </c>
    </row>
    <row r="1530">
      <c r="A1530">
        <f>_xlfn.XLOOKUP("574W-10-0",Trip[trip_id],Trip[trip_id],"Não encontrado")</f>
        <v/>
      </c>
      <c r="B1530" s="53" t="n">
        <v>0.7435185185185185</v>
      </c>
      <c r="C1530" s="53" t="n">
        <v>0.7435185185185185</v>
      </c>
      <c r="D1530">
        <f>_xlfn.XLOOKUP(40005536,Stops[stop_id],Stops[stop_id],"Não encontrado")</f>
        <v/>
      </c>
      <c r="E1530" t="n">
        <v>39</v>
      </c>
    </row>
    <row r="1531">
      <c r="A1531">
        <f>_xlfn.XLOOKUP("574W-10-0",Trip[trip_id],Trip[trip_id],"Não encontrado")</f>
        <v/>
      </c>
      <c r="B1531" s="53" t="n">
        <v>0.7444444444444445</v>
      </c>
      <c r="C1531" s="53" t="n">
        <v>0.7444444444444445</v>
      </c>
      <c r="D1531">
        <f>_xlfn.XLOOKUP(40005538,Stops[stop_id],Stops[stop_id],"Não encontrado")</f>
        <v/>
      </c>
      <c r="E1531" t="n">
        <v>40</v>
      </c>
    </row>
    <row r="1532">
      <c r="A1532">
        <f>_xlfn.XLOOKUP("574W-10-0",Trip[trip_id],Trip[trip_id],"Não encontrado")</f>
        <v/>
      </c>
      <c r="B1532" s="53" t="n">
        <v>0.7453703703703703</v>
      </c>
      <c r="C1532" s="53" t="n">
        <v>0.7453703703703703</v>
      </c>
      <c r="D1532">
        <f>_xlfn.XLOOKUP(40005541,Stops[stop_id],Stops[stop_id],"Não encontrado")</f>
        <v/>
      </c>
      <c r="E1532" t="n">
        <v>41</v>
      </c>
    </row>
    <row r="1533">
      <c r="A1533">
        <f>_xlfn.XLOOKUP("574W-10-0",Trip[trip_id],Trip[trip_id],"Não encontrado")</f>
        <v/>
      </c>
      <c r="B1533" s="53" t="n">
        <v>0.7462962962962963</v>
      </c>
      <c r="C1533" s="53" t="n">
        <v>0.7462962962962963</v>
      </c>
      <c r="D1533">
        <f>_xlfn.XLOOKUP(404599,Stops[stop_id],Stops[stop_id],"Não encontrado")</f>
        <v/>
      </c>
      <c r="E1533" t="n">
        <v>42</v>
      </c>
    </row>
    <row r="1534">
      <c r="A1534">
        <f>_xlfn.XLOOKUP("574W-10-0",Trip[trip_id],Trip[trip_id],"Não encontrado")</f>
        <v/>
      </c>
      <c r="B1534" s="53" t="n">
        <v>0.7472222222222222</v>
      </c>
      <c r="C1534" s="53" t="n">
        <v>0.7472222222222222</v>
      </c>
      <c r="D1534">
        <f>_xlfn.XLOOKUP(404598,Stops[stop_id],Stops[stop_id],"Não encontrado")</f>
        <v/>
      </c>
      <c r="E1534" t="n">
        <v>43</v>
      </c>
    </row>
    <row r="1535">
      <c r="A1535">
        <f>_xlfn.XLOOKUP("574W-10-0",Trip[trip_id],Trip[trip_id],"Não encontrado")</f>
        <v/>
      </c>
      <c r="B1535" s="53" t="n">
        <v>0.7481481481481481</v>
      </c>
      <c r="C1535" s="53" t="n">
        <v>0.7481481481481481</v>
      </c>
      <c r="D1535">
        <f>_xlfn.XLOOKUP(404597,Stops[stop_id],Stops[stop_id],"Não encontrado")</f>
        <v/>
      </c>
      <c r="E1535" t="n">
        <v>44</v>
      </c>
    </row>
    <row r="1536">
      <c r="A1536">
        <f>_xlfn.XLOOKUP("574W-10-0",Trip[trip_id],Trip[trip_id],"Não encontrado")</f>
        <v/>
      </c>
      <c r="B1536" s="53" t="n">
        <v>0.7490740740740741</v>
      </c>
      <c r="C1536" s="53" t="n">
        <v>0.7490740740740741</v>
      </c>
      <c r="D1536">
        <f>_xlfn.XLOOKUP(404595,Stops[stop_id],Stops[stop_id],"Não encontrado")</f>
        <v/>
      </c>
      <c r="E1536" t="n">
        <v>45</v>
      </c>
    </row>
    <row r="1537">
      <c r="A1537">
        <f>_xlfn.XLOOKUP("574W-10-0",Trip[trip_id],Trip[trip_id],"Não encontrado")</f>
        <v/>
      </c>
      <c r="B1537" s="53" t="n">
        <v>0.75</v>
      </c>
      <c r="C1537" s="53" t="n">
        <v>0.75</v>
      </c>
      <c r="D1537">
        <f>_xlfn.XLOOKUP(404592,Stops[stop_id],Stops[stop_id],"Não encontrado")</f>
        <v/>
      </c>
      <c r="E1537" t="n">
        <v>46</v>
      </c>
    </row>
    <row r="1538">
      <c r="A1538">
        <f>_xlfn.XLOOKUP("574W-10-0",Trip[trip_id],Trip[trip_id],"Não encontrado")</f>
        <v/>
      </c>
      <c r="B1538" s="53" t="n">
        <v>0.7509259259259259</v>
      </c>
      <c r="C1538" s="53" t="n">
        <v>0.7509259259259259</v>
      </c>
      <c r="D1538">
        <f>_xlfn.XLOOKUP(404590,Stops[stop_id],Stops[stop_id],"Não encontrado")</f>
        <v/>
      </c>
      <c r="E1538" t="n">
        <v>47</v>
      </c>
    </row>
    <row r="1539">
      <c r="A1539">
        <f>_xlfn.XLOOKUP("574W-10-0",Trip[trip_id],Trip[trip_id],"Não encontrado")</f>
        <v/>
      </c>
      <c r="B1539" s="53" t="n">
        <v>0.7518518518518519</v>
      </c>
      <c r="C1539" s="53" t="n">
        <v>0.7518518518518519</v>
      </c>
      <c r="D1539">
        <f>_xlfn.XLOOKUP(40008569,Stops[stop_id],Stops[stop_id],"Não encontrado")</f>
        <v/>
      </c>
      <c r="E1539" t="n">
        <v>48</v>
      </c>
    </row>
    <row r="1540">
      <c r="A1540">
        <f>_xlfn.XLOOKUP("574W-10-0",Trip[trip_id],Trip[trip_id],"Não encontrado")</f>
        <v/>
      </c>
      <c r="B1540" s="53" t="n">
        <v>0.7527777777777778</v>
      </c>
      <c r="C1540" s="53" t="n">
        <v>0.7527777777777778</v>
      </c>
      <c r="D1540">
        <f>_xlfn.XLOOKUP(40008570,Stops[stop_id],Stops[stop_id],"Não encontrado")</f>
        <v/>
      </c>
      <c r="E1540" t="n">
        <v>49</v>
      </c>
    </row>
    <row r="1541">
      <c r="A1541">
        <f>_xlfn.XLOOKUP("574W-10-0",Trip[trip_id],Trip[trip_id],"Não encontrado")</f>
        <v/>
      </c>
      <c r="B1541" s="53" t="n">
        <v>0.7537037037037037</v>
      </c>
      <c r="C1541" s="53" t="n">
        <v>0.7537037037037037</v>
      </c>
      <c r="D1541">
        <f>_xlfn.XLOOKUP(870012610,Stops[stop_id],Stops[stop_id],"Não encontrado")</f>
        <v/>
      </c>
      <c r="E1541" t="n">
        <v>50</v>
      </c>
    </row>
    <row r="1542">
      <c r="A1542">
        <f>_xlfn.XLOOKUP("574W-10-0",Trip[trip_id],Trip[trip_id],"Não encontrado")</f>
        <v/>
      </c>
      <c r="B1542" s="53" t="n">
        <v>0.7546296296296297</v>
      </c>
      <c r="C1542" s="53" t="n">
        <v>0.7546296296296297</v>
      </c>
      <c r="D1542">
        <f>_xlfn.XLOOKUP(870012607,Stops[stop_id],Stops[stop_id],"Não encontrado")</f>
        <v/>
      </c>
      <c r="E1542" t="n">
        <v>51</v>
      </c>
    </row>
    <row r="1543">
      <c r="A1543">
        <f>_xlfn.XLOOKUP("574W-10-0",Trip[trip_id],Trip[trip_id],"Não encontrado")</f>
        <v/>
      </c>
      <c r="B1543" s="53" t="n">
        <v>0.7555555555555555</v>
      </c>
      <c r="C1543" s="53" t="n">
        <v>0.7555555555555555</v>
      </c>
      <c r="D1543">
        <f>_xlfn.XLOOKUP(870012605,Stops[stop_id],Stops[stop_id],"Não encontrado")</f>
        <v/>
      </c>
      <c r="E1543" t="n">
        <v>52</v>
      </c>
    </row>
    <row r="1544">
      <c r="A1544">
        <f>_xlfn.XLOOKUP("574W-10-0",Trip[trip_id],Trip[trip_id],"Não encontrado")</f>
        <v/>
      </c>
      <c r="B1544" s="53" t="n">
        <v>0.7564814814814815</v>
      </c>
      <c r="C1544" s="53" t="n">
        <v>0.7564814814814815</v>
      </c>
      <c r="D1544">
        <f>_xlfn.XLOOKUP(8704812,Stops[stop_id],Stops[stop_id],"Não encontrado")</f>
        <v/>
      </c>
      <c r="E1544" t="n">
        <v>53</v>
      </c>
    </row>
    <row r="1545">
      <c r="A1545">
        <f>_xlfn.XLOOKUP("574W-10-0",Trip[trip_id],Trip[trip_id],"Não encontrado")</f>
        <v/>
      </c>
      <c r="B1545" s="53" t="n">
        <v>0.7574074074074074</v>
      </c>
      <c r="C1545" s="53" t="n">
        <v>0.7574074074074074</v>
      </c>
      <c r="D1545">
        <f>_xlfn.XLOOKUP(870008649,Stops[stop_id],Stops[stop_id],"Não encontrado")</f>
        <v/>
      </c>
      <c r="E1545" t="n">
        <v>54</v>
      </c>
    </row>
    <row r="1546">
      <c r="A1546">
        <f>_xlfn.XLOOKUP("574W-10-0",Trip[trip_id],Trip[trip_id],"Não encontrado")</f>
        <v/>
      </c>
      <c r="B1546" s="53" t="n">
        <v>0.7583333333333333</v>
      </c>
      <c r="C1546" s="53" t="n">
        <v>0.7583333333333333</v>
      </c>
      <c r="D1546">
        <f>_xlfn.XLOOKUP(870008667,Stops[stop_id],Stops[stop_id],"Não encontrado")</f>
        <v/>
      </c>
      <c r="E1546" t="n">
        <v>55</v>
      </c>
    </row>
    <row r="1547">
      <c r="A1547">
        <f>_xlfn.XLOOKUP("574W-10-0",Trip[trip_id],Trip[trip_id],"Não encontrado")</f>
        <v/>
      </c>
      <c r="B1547" s="53" t="n">
        <v>0.7592592592592593</v>
      </c>
      <c r="C1547" s="53" t="n">
        <v>0.7592592592592593</v>
      </c>
      <c r="D1547">
        <f>_xlfn.XLOOKUP(870012612,Stops[stop_id],Stops[stop_id],"Não encontrado")</f>
        <v/>
      </c>
      <c r="E1547" t="n">
        <v>56</v>
      </c>
    </row>
    <row r="1548">
      <c r="A1548">
        <f>_xlfn.XLOOKUP("574W-10-0",Trip[trip_id],Trip[trip_id],"Não encontrado")</f>
        <v/>
      </c>
      <c r="B1548" s="53" t="n">
        <v>0.7601851851851852</v>
      </c>
      <c r="C1548" s="53" t="n">
        <v>0.7601851851851852</v>
      </c>
      <c r="D1548">
        <f>_xlfn.XLOOKUP(870012602,Stops[stop_id],Stops[stop_id],"Não encontrado")</f>
        <v/>
      </c>
      <c r="E1548" t="n">
        <v>57</v>
      </c>
    </row>
    <row r="1549">
      <c r="A1549">
        <f>_xlfn.XLOOKUP("574W-10-0",Trip[trip_id],Trip[trip_id],"Não encontrado")</f>
        <v/>
      </c>
      <c r="B1549" s="53" t="n">
        <v>0.7611111111111111</v>
      </c>
      <c r="C1549" s="53" t="n">
        <v>0.7611111111111111</v>
      </c>
      <c r="D1549">
        <f>_xlfn.XLOOKUP(870012180,Stops[stop_id],Stops[stop_id],"Não encontrado")</f>
        <v/>
      </c>
      <c r="E1549" t="n">
        <v>58</v>
      </c>
    </row>
    <row r="1550">
      <c r="A1550">
        <f>_xlfn.XLOOKUP("574W-10-0",Trip[trip_id],Trip[trip_id],"Não encontrado")</f>
        <v/>
      </c>
      <c r="B1550" s="53" t="n">
        <v>0.7620370370370371</v>
      </c>
      <c r="C1550" s="53" t="n">
        <v>0.7620370370370371</v>
      </c>
      <c r="D1550">
        <f>_xlfn.XLOOKUP(870008707,Stops[stop_id],Stops[stop_id],"Não encontrado")</f>
        <v/>
      </c>
      <c r="E1550" t="n">
        <v>59</v>
      </c>
    </row>
    <row r="1551">
      <c r="A1551">
        <f>_xlfn.XLOOKUP("574W-10-0",Trip[trip_id],Trip[trip_id],"Não encontrado")</f>
        <v/>
      </c>
      <c r="B1551" s="53" t="n">
        <v>0.762962962962963</v>
      </c>
      <c r="C1551" s="53" t="n">
        <v>0.762962962962963</v>
      </c>
      <c r="D1551">
        <f>_xlfn.XLOOKUP(870008709,Stops[stop_id],Stops[stop_id],"Não encontrado")</f>
        <v/>
      </c>
      <c r="E1551" t="n">
        <v>60</v>
      </c>
    </row>
    <row r="1552">
      <c r="A1552">
        <f>_xlfn.XLOOKUP("574W-10-0",Trip[trip_id],Trip[trip_id],"Não encontrado")</f>
        <v/>
      </c>
      <c r="B1552" s="53" t="n">
        <v>0.7638888888888888</v>
      </c>
      <c r="C1552" s="53" t="n">
        <v>0.7638888888888888</v>
      </c>
      <c r="D1552">
        <f>_xlfn.XLOOKUP(8709761,Stops[stop_id],Stops[stop_id],"Não encontrado")</f>
        <v/>
      </c>
      <c r="E1552" t="n">
        <v>61</v>
      </c>
    </row>
    <row r="1553">
      <c r="A1553">
        <f>_xlfn.XLOOKUP("574W-10-0",Trip[trip_id],Trip[trip_id],"Não encontrado")</f>
        <v/>
      </c>
      <c r="B1553" s="53" t="n">
        <v>0.7648148148148148</v>
      </c>
      <c r="C1553" s="53" t="n">
        <v>0.7648148148148148</v>
      </c>
      <c r="D1553">
        <f>_xlfn.XLOOKUP(870008712,Stops[stop_id],Stops[stop_id],"Não encontrado")</f>
        <v/>
      </c>
      <c r="E1553" t="n">
        <v>62</v>
      </c>
    </row>
    <row r="1554">
      <c r="A1554">
        <f>_xlfn.XLOOKUP("574W-10-0",Trip[trip_id],Trip[trip_id],"Não encontrado")</f>
        <v/>
      </c>
      <c r="B1554" s="53" t="n">
        <v>0.7657407407407407</v>
      </c>
      <c r="C1554" s="53" t="n">
        <v>0.7657407407407407</v>
      </c>
      <c r="D1554">
        <f>_xlfn.XLOOKUP(8709771,Stops[stop_id],Stops[stop_id],"Não encontrado")</f>
        <v/>
      </c>
      <c r="E1554" t="n">
        <v>63</v>
      </c>
    </row>
    <row r="1555">
      <c r="A1555">
        <f>_xlfn.XLOOKUP("574W-10-0",Trip[trip_id],Trip[trip_id],"Não encontrado")</f>
        <v/>
      </c>
      <c r="B1555" s="53" t="n">
        <v>0.7666666666666667</v>
      </c>
      <c r="C1555" s="53" t="n">
        <v>0.7666666666666667</v>
      </c>
      <c r="D1555">
        <f>_xlfn.XLOOKUP(870008714,Stops[stop_id],Stops[stop_id],"Não encontrado")</f>
        <v/>
      </c>
      <c r="E1555" t="n">
        <v>64</v>
      </c>
    </row>
    <row r="1556">
      <c r="A1556">
        <f>_xlfn.XLOOKUP("574W-10-0",Trip[trip_id],Trip[trip_id],"Não encontrado")</f>
        <v/>
      </c>
      <c r="B1556" s="53" t="n">
        <v>0.7675925925925926</v>
      </c>
      <c r="C1556" s="53" t="n">
        <v>0.7675925925925926</v>
      </c>
      <c r="D1556">
        <f>_xlfn.XLOOKUP(10008719,Stops[stop_id],Stops[stop_id],"Não encontrado")</f>
        <v/>
      </c>
      <c r="E1556" t="n">
        <v>65</v>
      </c>
    </row>
    <row r="1557">
      <c r="A1557">
        <f>_xlfn.XLOOKUP("574W-10-0",Trip[trip_id],Trip[trip_id],"Não encontrado")</f>
        <v/>
      </c>
      <c r="B1557" s="53" t="n">
        <v>0.7685185185185185</v>
      </c>
      <c r="C1557" s="53" t="n">
        <v>0.7685185185185185</v>
      </c>
      <c r="D1557">
        <f>_xlfn.XLOOKUP(10008721,Stops[stop_id],Stops[stop_id],"Não encontrado")</f>
        <v/>
      </c>
      <c r="E1557" t="n">
        <v>66</v>
      </c>
    </row>
    <row r="1558">
      <c r="A1558">
        <f>_xlfn.XLOOKUP("574W-10-0",Trip[trip_id],Trip[trip_id],"Não encontrado")</f>
        <v/>
      </c>
      <c r="B1558" s="53" t="n">
        <v>0.7694444444444445</v>
      </c>
      <c r="C1558" s="53" t="n">
        <v>0.7694444444444445</v>
      </c>
      <c r="D1558">
        <f>_xlfn.XLOOKUP(10008723,Stops[stop_id],Stops[stop_id],"Não encontrado")</f>
        <v/>
      </c>
      <c r="E1558" t="n">
        <v>67</v>
      </c>
    </row>
    <row r="1559">
      <c r="A1559">
        <f>_xlfn.XLOOKUP("574W-10-0",Trip[trip_id],Trip[trip_id],"Não encontrado")</f>
        <v/>
      </c>
      <c r="B1559" s="53" t="n">
        <v>0.7703703703703704</v>
      </c>
      <c r="C1559" s="53" t="n">
        <v>0.7703703703703704</v>
      </c>
      <c r="D1559">
        <f>_xlfn.XLOOKUP(10008724,Stops[stop_id],Stops[stop_id],"Não encontrado")</f>
        <v/>
      </c>
      <c r="E1559" t="n">
        <v>68</v>
      </c>
    </row>
    <row r="1560">
      <c r="A1560">
        <f>_xlfn.XLOOKUP("574W-10-0",Trip[trip_id],Trip[trip_id],"Não encontrado")</f>
        <v/>
      </c>
      <c r="B1560" s="53" t="n">
        <v>0.7712962962962963</v>
      </c>
      <c r="C1560" s="53" t="n">
        <v>0.7712962962962963</v>
      </c>
      <c r="D1560">
        <f>_xlfn.XLOOKUP(10008726,Stops[stop_id],Stops[stop_id],"Não encontrado")</f>
        <v/>
      </c>
      <c r="E1560" t="n">
        <v>69</v>
      </c>
    </row>
    <row r="1561">
      <c r="A1561">
        <f>_xlfn.XLOOKUP("574W-10-0",Trip[trip_id],Trip[trip_id],"Não encontrado")</f>
        <v/>
      </c>
      <c r="B1561" s="53" t="n">
        <v>0.7722222222222223</v>
      </c>
      <c r="C1561" s="53" t="n">
        <v>0.7722222222222223</v>
      </c>
      <c r="D1561">
        <f>_xlfn.XLOOKUP(10014098,Stops[stop_id],Stops[stop_id],"Não encontrado")</f>
        <v/>
      </c>
      <c r="E1561" t="n">
        <v>70</v>
      </c>
    </row>
    <row r="1562">
      <c r="A1562">
        <f>_xlfn.XLOOKUP("574W-10-0",Trip[trip_id],Trip[trip_id],"Não encontrado")</f>
        <v/>
      </c>
      <c r="B1562" s="53" t="n">
        <v>0.7731481481481481</v>
      </c>
      <c r="C1562" s="53" t="n">
        <v>0.7731481481481481</v>
      </c>
      <c r="D1562">
        <f>_xlfn.XLOOKUP(10014100,Stops[stop_id],Stops[stop_id],"Não encontrado")</f>
        <v/>
      </c>
      <c r="E1562" t="n">
        <v>71</v>
      </c>
    </row>
    <row r="1563">
      <c r="A1563">
        <f>_xlfn.XLOOKUP("574W-10-0",Trip[trip_id],Trip[trip_id],"Não encontrado")</f>
        <v/>
      </c>
      <c r="B1563" s="53" t="n">
        <v>0.774074074074074</v>
      </c>
      <c r="C1563" s="53" t="n">
        <v>0.774074074074074</v>
      </c>
      <c r="D1563">
        <f>_xlfn.XLOOKUP(80014104,Stops[stop_id],Stops[stop_id],"Não encontrado")</f>
        <v/>
      </c>
      <c r="E1563" t="n">
        <v>72</v>
      </c>
    </row>
    <row r="1564">
      <c r="A1564">
        <f>_xlfn.XLOOKUP("574W-10-0",Trip[trip_id],Trip[trip_id],"Não encontrado")</f>
        <v/>
      </c>
      <c r="B1564" s="53" t="n">
        <v>0.775</v>
      </c>
      <c r="C1564" s="53" t="n">
        <v>0.775</v>
      </c>
      <c r="D1564">
        <f>_xlfn.XLOOKUP(80014107,Stops[stop_id],Stops[stop_id],"Não encontrado")</f>
        <v/>
      </c>
      <c r="E1564" t="n">
        <v>73</v>
      </c>
    </row>
    <row r="1565">
      <c r="A1565">
        <f>_xlfn.XLOOKUP("574W-10-0",Trip[trip_id],Trip[trip_id],"Não encontrado")</f>
        <v/>
      </c>
      <c r="B1565" s="53" t="n">
        <v>0.7759259259259259</v>
      </c>
      <c r="C1565" s="53" t="n">
        <v>0.7759259259259259</v>
      </c>
      <c r="D1565">
        <f>_xlfn.XLOOKUP(809675,Stops[stop_id],Stops[stop_id],"Não encontrado")</f>
        <v/>
      </c>
      <c r="E1565" t="n">
        <v>74</v>
      </c>
    </row>
    <row r="1566">
      <c r="A1566">
        <f>_xlfn.XLOOKUP("574W-10-0",Trip[trip_id],Trip[trip_id],"Não encontrado")</f>
        <v/>
      </c>
      <c r="B1566" s="53" t="n">
        <v>0.7777777777777778</v>
      </c>
      <c r="C1566" s="53" t="n">
        <v>0.7777777777777778</v>
      </c>
      <c r="D1566">
        <f>_xlfn.XLOOKUP(80014596,Stops[stop_id],Stops[stop_id],"Não encontrado")</f>
        <v/>
      </c>
      <c r="E1566" t="n">
        <v>75</v>
      </c>
    </row>
    <row r="1567">
      <c r="A1567">
        <f>_xlfn.XLOOKUP("574W-10-1",Trip[trip_id],Trip[trip_id],"Não encontrado")</f>
        <v/>
      </c>
      <c r="B1567" s="53" t="n">
        <v>0.6666666666666666</v>
      </c>
      <c r="C1567" s="53" t="n">
        <v>0.6666666666666666</v>
      </c>
      <c r="D1567">
        <f>_xlfn.XLOOKUP(80014596,Stops[stop_id],Stops[stop_id],"Não encontrado")</f>
        <v/>
      </c>
      <c r="E1567" t="n">
        <v>1</v>
      </c>
    </row>
    <row r="1568">
      <c r="A1568">
        <f>_xlfn.XLOOKUP("574W-10-1",Trip[trip_id],Trip[trip_id],"Não encontrado")</f>
        <v/>
      </c>
      <c r="B1568" s="53" t="n">
        <v>0.6676736111111111</v>
      </c>
      <c r="C1568" s="53" t="n">
        <v>0.6676736111111111</v>
      </c>
      <c r="D1568">
        <f>_xlfn.XLOOKUP(540014084,Stops[stop_id],Stops[stop_id],"Não encontrado")</f>
        <v/>
      </c>
      <c r="E1568" t="n">
        <v>2</v>
      </c>
    </row>
    <row r="1569">
      <c r="A1569">
        <f>_xlfn.XLOOKUP("574W-10-1",Trip[trip_id],Trip[trip_id],"Não encontrado")</f>
        <v/>
      </c>
      <c r="B1569" s="53" t="n">
        <v>0.6686805555555555</v>
      </c>
      <c r="C1569" s="53" t="n">
        <v>0.6686805555555555</v>
      </c>
      <c r="D1569">
        <f>_xlfn.XLOOKUP(810556,Stops[stop_id],Stops[stop_id],"Não encontrado")</f>
        <v/>
      </c>
      <c r="E1569" t="n">
        <v>3</v>
      </c>
    </row>
    <row r="1570">
      <c r="A1570">
        <f>_xlfn.XLOOKUP("574W-10-1",Trip[trip_id],Trip[trip_id],"Não encontrado")</f>
        <v/>
      </c>
      <c r="B1570" s="53" t="n">
        <v>0.6696875</v>
      </c>
      <c r="C1570" s="53" t="n">
        <v>0.6696875</v>
      </c>
      <c r="D1570">
        <f>_xlfn.XLOOKUP(809671,Stops[stop_id],Stops[stop_id],"Não encontrado")</f>
        <v/>
      </c>
      <c r="E1570" t="n">
        <v>4</v>
      </c>
    </row>
    <row r="1571">
      <c r="A1571">
        <f>_xlfn.XLOOKUP("574W-10-1",Trip[trip_id],Trip[trip_id],"Não encontrado")</f>
        <v/>
      </c>
      <c r="B1571" s="53" t="n">
        <v>0.6706944444444445</v>
      </c>
      <c r="C1571" s="53" t="n">
        <v>0.6706944444444445</v>
      </c>
      <c r="D1571">
        <f>_xlfn.XLOOKUP(80014167,Stops[stop_id],Stops[stop_id],"Não encontrado")</f>
        <v/>
      </c>
      <c r="E1571" t="n">
        <v>5</v>
      </c>
    </row>
    <row r="1572">
      <c r="A1572">
        <f>_xlfn.XLOOKUP("574W-10-1",Trip[trip_id],Trip[trip_id],"Não encontrado")</f>
        <v/>
      </c>
      <c r="B1572" s="53" t="n">
        <v>0.6717013888888889</v>
      </c>
      <c r="C1572" s="53" t="n">
        <v>0.6717013888888889</v>
      </c>
      <c r="D1572">
        <f>_xlfn.XLOOKUP(80014106,Stops[stop_id],Stops[stop_id],"Não encontrado")</f>
        <v/>
      </c>
      <c r="E1572" t="n">
        <v>6</v>
      </c>
    </row>
    <row r="1573">
      <c r="A1573">
        <f>_xlfn.XLOOKUP("574W-10-1",Trip[trip_id],Trip[trip_id],"Não encontrado")</f>
        <v/>
      </c>
      <c r="B1573" s="53" t="n">
        <v>0.6727083333333334</v>
      </c>
      <c r="C1573" s="53" t="n">
        <v>0.6727083333333334</v>
      </c>
      <c r="D1573">
        <f>_xlfn.XLOOKUP(80014105,Stops[stop_id],Stops[stop_id],"Não encontrado")</f>
        <v/>
      </c>
      <c r="E1573" t="n">
        <v>7</v>
      </c>
    </row>
    <row r="1574">
      <c r="A1574">
        <f>_xlfn.XLOOKUP("574W-10-1",Trip[trip_id],Trip[trip_id],"Não encontrado")</f>
        <v/>
      </c>
      <c r="B1574" s="53" t="n">
        <v>0.6737152777777777</v>
      </c>
      <c r="C1574" s="53" t="n">
        <v>0.6737152777777777</v>
      </c>
      <c r="D1574">
        <f>_xlfn.XLOOKUP(10014101,Stops[stop_id],Stops[stop_id],"Não encontrado")</f>
        <v/>
      </c>
      <c r="E1574" t="n">
        <v>8</v>
      </c>
    </row>
    <row r="1575">
      <c r="A1575">
        <f>_xlfn.XLOOKUP("574W-10-1",Trip[trip_id],Trip[trip_id],"Não encontrado")</f>
        <v/>
      </c>
      <c r="B1575" s="53" t="n">
        <v>0.6747222222222222</v>
      </c>
      <c r="C1575" s="53" t="n">
        <v>0.6747222222222222</v>
      </c>
      <c r="D1575">
        <f>_xlfn.XLOOKUP(10014099,Stops[stop_id],Stops[stop_id],"Não encontrado")</f>
        <v/>
      </c>
      <c r="E1575" t="n">
        <v>9</v>
      </c>
    </row>
    <row r="1576">
      <c r="A1576">
        <f>_xlfn.XLOOKUP("574W-10-1",Trip[trip_id],Trip[trip_id],"Não encontrado")</f>
        <v/>
      </c>
      <c r="B1576" s="53" t="n">
        <v>0.6757291666666667</v>
      </c>
      <c r="C1576" s="53" t="n">
        <v>0.6757291666666667</v>
      </c>
      <c r="D1576">
        <f>_xlfn.XLOOKUP(10008715,Stops[stop_id],Stops[stop_id],"Não encontrado")</f>
        <v/>
      </c>
      <c r="E1576" t="n">
        <v>10</v>
      </c>
    </row>
    <row r="1577">
      <c r="A1577">
        <f>_xlfn.XLOOKUP("574W-10-1",Trip[trip_id],Trip[trip_id],"Não encontrado")</f>
        <v/>
      </c>
      <c r="B1577" s="53" t="n">
        <v>0.6767361111111111</v>
      </c>
      <c r="C1577" s="53" t="n">
        <v>0.6767361111111111</v>
      </c>
      <c r="D1577">
        <f>_xlfn.XLOOKUP(10008716,Stops[stop_id],Stops[stop_id],"Não encontrado")</f>
        <v/>
      </c>
      <c r="E1577" t="n">
        <v>11</v>
      </c>
    </row>
    <row r="1578">
      <c r="A1578">
        <f>_xlfn.XLOOKUP("574W-10-1",Trip[trip_id],Trip[trip_id],"Não encontrado")</f>
        <v/>
      </c>
      <c r="B1578" s="53" t="n">
        <v>0.6777430555555556</v>
      </c>
      <c r="C1578" s="53" t="n">
        <v>0.6777430555555556</v>
      </c>
      <c r="D1578">
        <f>_xlfn.XLOOKUP(10008717,Stops[stop_id],Stops[stop_id],"Não encontrado")</f>
        <v/>
      </c>
      <c r="E1578" t="n">
        <v>12</v>
      </c>
    </row>
    <row r="1579">
      <c r="A1579">
        <f>_xlfn.XLOOKUP("574W-10-1",Trip[trip_id],Trip[trip_id],"Não encontrado")</f>
        <v/>
      </c>
      <c r="B1579" s="53" t="n">
        <v>0.67875</v>
      </c>
      <c r="C1579" s="53" t="n">
        <v>0.67875</v>
      </c>
      <c r="D1579">
        <f>_xlfn.XLOOKUP(10008718,Stops[stop_id],Stops[stop_id],"Não encontrado")</f>
        <v/>
      </c>
      <c r="E1579" t="n">
        <v>13</v>
      </c>
    </row>
    <row r="1580">
      <c r="A1580">
        <f>_xlfn.XLOOKUP("574W-10-1",Trip[trip_id],Trip[trip_id],"Não encontrado")</f>
        <v/>
      </c>
      <c r="B1580" s="53" t="n">
        <v>0.6797569444444445</v>
      </c>
      <c r="C1580" s="53" t="n">
        <v>0.6797569444444445</v>
      </c>
      <c r="D1580">
        <f>_xlfn.XLOOKUP(870008713,Stops[stop_id],Stops[stop_id],"Não encontrado")</f>
        <v/>
      </c>
      <c r="E1580" t="n">
        <v>14</v>
      </c>
    </row>
    <row r="1581">
      <c r="A1581">
        <f>_xlfn.XLOOKUP("574W-10-1",Trip[trip_id],Trip[trip_id],"Não encontrado")</f>
        <v/>
      </c>
      <c r="B1581" s="53" t="n">
        <v>0.6807638888888888</v>
      </c>
      <c r="C1581" s="53" t="n">
        <v>0.6807638888888888</v>
      </c>
      <c r="D1581">
        <f>_xlfn.XLOOKUP(8709131,Stops[stop_id],Stops[stop_id],"Não encontrado")</f>
        <v/>
      </c>
      <c r="E1581" t="n">
        <v>15</v>
      </c>
    </row>
    <row r="1582">
      <c r="A1582">
        <f>_xlfn.XLOOKUP("574W-10-1",Trip[trip_id],Trip[trip_id],"Não encontrado")</f>
        <v/>
      </c>
      <c r="B1582" s="53" t="n">
        <v>0.6817708333333333</v>
      </c>
      <c r="C1582" s="53" t="n">
        <v>0.6817708333333333</v>
      </c>
      <c r="D1582">
        <f>_xlfn.XLOOKUP(8709757,Stops[stop_id],Stops[stop_id],"Não encontrado")</f>
        <v/>
      </c>
      <c r="E1582" t="n">
        <v>16</v>
      </c>
    </row>
    <row r="1583">
      <c r="A1583">
        <f>_xlfn.XLOOKUP("574W-10-1",Trip[trip_id],Trip[trip_id],"Não encontrado")</f>
        <v/>
      </c>
      <c r="B1583" s="53" t="n">
        <v>0.6827777777777778</v>
      </c>
      <c r="C1583" s="53" t="n">
        <v>0.6827777777777778</v>
      </c>
      <c r="D1583">
        <f>_xlfn.XLOOKUP(8709774,Stops[stop_id],Stops[stop_id],"Não encontrado")</f>
        <v/>
      </c>
      <c r="E1583" t="n">
        <v>17</v>
      </c>
    </row>
    <row r="1584">
      <c r="A1584">
        <f>_xlfn.XLOOKUP("574W-10-1",Trip[trip_id],Trip[trip_id],"Não encontrado")</f>
        <v/>
      </c>
      <c r="B1584" s="53" t="n">
        <v>0.6837847222222222</v>
      </c>
      <c r="C1584" s="53" t="n">
        <v>0.6837847222222222</v>
      </c>
      <c r="D1584">
        <f>_xlfn.XLOOKUP(8709775,Stops[stop_id],Stops[stop_id],"Não encontrado")</f>
        <v/>
      </c>
      <c r="E1584" t="n">
        <v>18</v>
      </c>
    </row>
    <row r="1585">
      <c r="A1585">
        <f>_xlfn.XLOOKUP("574W-10-1",Trip[trip_id],Trip[trip_id],"Não encontrado")</f>
        <v/>
      </c>
      <c r="B1585" s="53" t="n">
        <v>0.6847916666666667</v>
      </c>
      <c r="C1585" s="53" t="n">
        <v>0.6847916666666667</v>
      </c>
      <c r="D1585">
        <f>_xlfn.XLOOKUP(870008708,Stops[stop_id],Stops[stop_id],"Não encontrado")</f>
        <v/>
      </c>
      <c r="E1585" t="n">
        <v>19</v>
      </c>
    </row>
    <row r="1586">
      <c r="A1586">
        <f>_xlfn.XLOOKUP("574W-10-1",Trip[trip_id],Trip[trip_id],"Não encontrado")</f>
        <v/>
      </c>
      <c r="B1586" s="53" t="n">
        <v>0.6857986111111111</v>
      </c>
      <c r="C1586" s="53" t="n">
        <v>0.6857986111111111</v>
      </c>
      <c r="D1586">
        <f>_xlfn.XLOOKUP(870012601,Stops[stop_id],Stops[stop_id],"Não encontrado")</f>
        <v/>
      </c>
      <c r="E1586" t="n">
        <v>20</v>
      </c>
    </row>
    <row r="1587">
      <c r="A1587">
        <f>_xlfn.XLOOKUP("574W-10-1",Trip[trip_id],Trip[trip_id],"Não encontrado")</f>
        <v/>
      </c>
      <c r="B1587" s="53" t="n">
        <v>0.6868055555555556</v>
      </c>
      <c r="C1587" s="53" t="n">
        <v>0.6868055555555556</v>
      </c>
      <c r="D1587">
        <f>_xlfn.XLOOKUP(870012600,Stops[stop_id],Stops[stop_id],"Não encontrado")</f>
        <v/>
      </c>
      <c r="E1587" t="n">
        <v>21</v>
      </c>
    </row>
    <row r="1588">
      <c r="A1588">
        <f>_xlfn.XLOOKUP("574W-10-1",Trip[trip_id],Trip[trip_id],"Não encontrado")</f>
        <v/>
      </c>
      <c r="B1588" s="53" t="n">
        <v>0.6878125</v>
      </c>
      <c r="C1588" s="53" t="n">
        <v>0.6878125</v>
      </c>
      <c r="D1588">
        <f>_xlfn.XLOOKUP(870012603,Stops[stop_id],Stops[stop_id],"Não encontrado")</f>
        <v/>
      </c>
      <c r="E1588" t="n">
        <v>22</v>
      </c>
    </row>
    <row r="1589">
      <c r="A1589">
        <f>_xlfn.XLOOKUP("574W-10-1",Trip[trip_id],Trip[trip_id],"Não encontrado")</f>
        <v/>
      </c>
      <c r="B1589" s="53" t="n">
        <v>0.6888194444444444</v>
      </c>
      <c r="C1589" s="53" t="n">
        <v>0.6888194444444444</v>
      </c>
      <c r="D1589">
        <f>_xlfn.XLOOKUP(870008666,Stops[stop_id],Stops[stop_id],"Não encontrado")</f>
        <v/>
      </c>
      <c r="E1589" t="n">
        <v>23</v>
      </c>
    </row>
    <row r="1590">
      <c r="A1590">
        <f>_xlfn.XLOOKUP("574W-10-1",Trip[trip_id],Trip[trip_id],"Não encontrado")</f>
        <v/>
      </c>
      <c r="B1590" s="53" t="n">
        <v>0.6898263888888889</v>
      </c>
      <c r="C1590" s="53" t="n">
        <v>0.6898263888888889</v>
      </c>
      <c r="D1590">
        <f>_xlfn.XLOOKUP(870008650,Stops[stop_id],Stops[stop_id],"Não encontrado")</f>
        <v/>
      </c>
      <c r="E1590" t="n">
        <v>24</v>
      </c>
    </row>
    <row r="1591">
      <c r="A1591">
        <f>_xlfn.XLOOKUP("574W-10-1",Trip[trip_id],Trip[trip_id],"Não encontrado")</f>
        <v/>
      </c>
      <c r="B1591" s="53" t="n">
        <v>0.6908333333333333</v>
      </c>
      <c r="C1591" s="53" t="n">
        <v>0.6908333333333333</v>
      </c>
      <c r="D1591">
        <f>_xlfn.XLOOKUP(870012606,Stops[stop_id],Stops[stop_id],"Não encontrado")</f>
        <v/>
      </c>
      <c r="E1591" t="n">
        <v>25</v>
      </c>
    </row>
    <row r="1592">
      <c r="A1592">
        <f>_xlfn.XLOOKUP("574W-10-1",Trip[trip_id],Trip[trip_id],"Não encontrado")</f>
        <v/>
      </c>
      <c r="B1592" s="53" t="n">
        <v>0.6918402777777778</v>
      </c>
      <c r="C1592" s="53" t="n">
        <v>0.6918402777777778</v>
      </c>
      <c r="D1592">
        <f>_xlfn.XLOOKUP(870012608,Stops[stop_id],Stops[stop_id],"Não encontrado")</f>
        <v/>
      </c>
      <c r="E1592" t="n">
        <v>26</v>
      </c>
    </row>
    <row r="1593">
      <c r="A1593">
        <f>_xlfn.XLOOKUP("574W-10-1",Trip[trip_id],Trip[trip_id],"Não encontrado")</f>
        <v/>
      </c>
      <c r="B1593" s="53" t="n">
        <v>0.6928472222222222</v>
      </c>
      <c r="C1593" s="53" t="n">
        <v>0.6928472222222222</v>
      </c>
      <c r="D1593">
        <f>_xlfn.XLOOKUP(8709778,Stops[stop_id],Stops[stop_id],"Não encontrado")</f>
        <v/>
      </c>
      <c r="E1593" t="n">
        <v>27</v>
      </c>
    </row>
    <row r="1594">
      <c r="A1594">
        <f>_xlfn.XLOOKUP("574W-10-1",Trip[trip_id],Trip[trip_id],"Não encontrado")</f>
        <v/>
      </c>
      <c r="B1594" s="53" t="n">
        <v>0.6938541666666667</v>
      </c>
      <c r="C1594" s="53" t="n">
        <v>0.6938541666666667</v>
      </c>
      <c r="D1594">
        <f>_xlfn.XLOOKUP(870008567,Stops[stop_id],Stops[stop_id],"Não encontrado")</f>
        <v/>
      </c>
      <c r="E1594" t="n">
        <v>28</v>
      </c>
    </row>
    <row r="1595">
      <c r="A1595">
        <f>_xlfn.XLOOKUP("574W-10-1",Trip[trip_id],Trip[trip_id],"Não encontrado")</f>
        <v/>
      </c>
      <c r="B1595" s="53" t="n">
        <v>0.6948611111111112</v>
      </c>
      <c r="C1595" s="53" t="n">
        <v>0.6948611111111112</v>
      </c>
      <c r="D1595">
        <f>_xlfn.XLOOKUP(8704850,Stops[stop_id],Stops[stop_id],"Não encontrado")</f>
        <v/>
      </c>
      <c r="E1595" t="n">
        <v>29</v>
      </c>
    </row>
    <row r="1596">
      <c r="A1596">
        <f>_xlfn.XLOOKUP("574W-10-1",Trip[trip_id],Trip[trip_id],"Não encontrado")</f>
        <v/>
      </c>
      <c r="B1596" s="53" t="n">
        <v>0.6958680555555555</v>
      </c>
      <c r="C1596" s="53" t="n">
        <v>0.6958680555555555</v>
      </c>
      <c r="D1596">
        <f>_xlfn.XLOOKUP(8704588,Stops[stop_id],Stops[stop_id],"Não encontrado")</f>
        <v/>
      </c>
      <c r="E1596" t="n">
        <v>30</v>
      </c>
    </row>
    <row r="1597">
      <c r="A1597">
        <f>_xlfn.XLOOKUP("574W-10-1",Trip[trip_id],Trip[trip_id],"Não encontrado")</f>
        <v/>
      </c>
      <c r="B1597" s="53" t="n">
        <v>0.696875</v>
      </c>
      <c r="C1597" s="53" t="n">
        <v>0.696875</v>
      </c>
      <c r="D1597">
        <f>_xlfn.XLOOKUP(8704591,Stops[stop_id],Stops[stop_id],"Não encontrado")</f>
        <v/>
      </c>
      <c r="E1597" t="n">
        <v>31</v>
      </c>
    </row>
    <row r="1598">
      <c r="A1598">
        <f>_xlfn.XLOOKUP("574W-10-1",Trip[trip_id],Trip[trip_id],"Não encontrado")</f>
        <v/>
      </c>
      <c r="B1598" s="53" t="n">
        <v>0.6978819444444444</v>
      </c>
      <c r="C1598" s="53" t="n">
        <v>0.6978819444444444</v>
      </c>
      <c r="D1598">
        <f>_xlfn.XLOOKUP(8704593,Stops[stop_id],Stops[stop_id],"Não encontrado")</f>
        <v/>
      </c>
      <c r="E1598" t="n">
        <v>32</v>
      </c>
    </row>
    <row r="1599">
      <c r="A1599">
        <f>_xlfn.XLOOKUP("574W-10-1",Trip[trip_id],Trip[trip_id],"Não encontrado")</f>
        <v/>
      </c>
      <c r="B1599" s="53" t="n">
        <v>0.6988888888888889</v>
      </c>
      <c r="C1599" s="53" t="n">
        <v>0.6988888888888889</v>
      </c>
      <c r="D1599">
        <f>_xlfn.XLOOKUP(404596,Stops[stop_id],Stops[stop_id],"Não encontrado")</f>
        <v/>
      </c>
      <c r="E1599" t="n">
        <v>33</v>
      </c>
    </row>
    <row r="1600">
      <c r="A1600">
        <f>_xlfn.XLOOKUP("574W-10-1",Trip[trip_id],Trip[trip_id],"Não encontrado")</f>
        <v/>
      </c>
      <c r="B1600" s="53" t="n">
        <v>0.6998958333333334</v>
      </c>
      <c r="C1600" s="53" t="n">
        <v>0.6998958333333334</v>
      </c>
      <c r="D1600">
        <f>_xlfn.XLOOKUP(40005540,Stops[stop_id],Stops[stop_id],"Não encontrado")</f>
        <v/>
      </c>
      <c r="E1600" t="n">
        <v>34</v>
      </c>
    </row>
    <row r="1601">
      <c r="A1601">
        <f>_xlfn.XLOOKUP("574W-10-1",Trip[trip_id],Trip[trip_id],"Não encontrado")</f>
        <v/>
      </c>
      <c r="B1601" s="53" t="n">
        <v>0.7009027777777778</v>
      </c>
      <c r="C1601" s="53" t="n">
        <v>0.7009027777777778</v>
      </c>
      <c r="D1601">
        <f>_xlfn.XLOOKUP(40005539,Stops[stop_id],Stops[stop_id],"Não encontrado")</f>
        <v/>
      </c>
      <c r="E1601" t="n">
        <v>35</v>
      </c>
    </row>
    <row r="1602">
      <c r="A1602">
        <f>_xlfn.XLOOKUP("574W-10-1",Trip[trip_id],Trip[trip_id],"Não encontrado")</f>
        <v/>
      </c>
      <c r="B1602" s="53" t="n">
        <v>0.7019097222222223</v>
      </c>
      <c r="C1602" s="53" t="n">
        <v>0.7019097222222223</v>
      </c>
      <c r="D1602">
        <f>_xlfn.XLOOKUP(409080,Stops[stop_id],Stops[stop_id],"Não encontrado")</f>
        <v/>
      </c>
      <c r="E1602" t="n">
        <v>36</v>
      </c>
    </row>
    <row r="1603">
      <c r="A1603">
        <f>_xlfn.XLOOKUP("574W-10-1",Trip[trip_id],Trip[trip_id],"Não encontrado")</f>
        <v/>
      </c>
      <c r="B1603" s="53" t="n">
        <v>0.7029166666666666</v>
      </c>
      <c r="C1603" s="53" t="n">
        <v>0.7029166666666666</v>
      </c>
      <c r="D1603">
        <f>_xlfn.XLOOKUP(40005534,Stops[stop_id],Stops[stop_id],"Não encontrado")</f>
        <v/>
      </c>
      <c r="E1603" t="n">
        <v>37</v>
      </c>
    </row>
    <row r="1604">
      <c r="A1604">
        <f>_xlfn.XLOOKUP("574W-10-1",Trip[trip_id],Trip[trip_id],"Não encontrado")</f>
        <v/>
      </c>
      <c r="B1604" s="53" t="n">
        <v>0.7039236111111111</v>
      </c>
      <c r="C1604" s="53" t="n">
        <v>0.7039236111111111</v>
      </c>
      <c r="D1604">
        <f>_xlfn.XLOOKUP(780005532,Stops[stop_id],Stops[stop_id],"Não encontrado")</f>
        <v/>
      </c>
      <c r="E1604" t="n">
        <v>38</v>
      </c>
    </row>
    <row r="1605">
      <c r="A1605">
        <f>_xlfn.XLOOKUP("574W-10-1",Trip[trip_id],Trip[trip_id],"Não encontrado")</f>
        <v/>
      </c>
      <c r="B1605" s="53" t="n">
        <v>0.7049305555555555</v>
      </c>
      <c r="C1605" s="53" t="n">
        <v>0.7049305555555555</v>
      </c>
      <c r="D1605">
        <f>_xlfn.XLOOKUP(780006300,Stops[stop_id],Stops[stop_id],"Não encontrado")</f>
        <v/>
      </c>
      <c r="E1605" t="n">
        <v>39</v>
      </c>
    </row>
    <row r="1606">
      <c r="A1606">
        <f>_xlfn.XLOOKUP("574W-10-1",Trip[trip_id],Trip[trip_id],"Não encontrado")</f>
        <v/>
      </c>
      <c r="B1606" s="53" t="n">
        <v>0.7059375</v>
      </c>
      <c r="C1606" s="53" t="n">
        <v>0.7059375</v>
      </c>
      <c r="D1606">
        <f>_xlfn.XLOOKUP(780006301,Stops[stop_id],Stops[stop_id],"Não encontrado")</f>
        <v/>
      </c>
      <c r="E1606" t="n">
        <v>40</v>
      </c>
    </row>
    <row r="1607">
      <c r="A1607">
        <f>_xlfn.XLOOKUP("574W-10-1",Trip[trip_id],Trip[trip_id],"Não encontrado")</f>
        <v/>
      </c>
      <c r="B1607" s="53" t="n">
        <v>0.7069444444444445</v>
      </c>
      <c r="C1607" s="53" t="n">
        <v>0.7069444444444445</v>
      </c>
      <c r="D1607">
        <f>_xlfn.XLOOKUP(780006303,Stops[stop_id],Stops[stop_id],"Não encontrado")</f>
        <v/>
      </c>
      <c r="E1607" t="n">
        <v>41</v>
      </c>
    </row>
    <row r="1608">
      <c r="A1608">
        <f>_xlfn.XLOOKUP("574W-10-1",Trip[trip_id],Trip[trip_id],"Não encontrado")</f>
        <v/>
      </c>
      <c r="B1608" s="53" t="n">
        <v>0.7079513888888889</v>
      </c>
      <c r="C1608" s="53" t="n">
        <v>0.7079513888888889</v>
      </c>
      <c r="D1608">
        <f>_xlfn.XLOOKUP(780006299,Stops[stop_id],Stops[stop_id],"Não encontrado")</f>
        <v/>
      </c>
      <c r="E1608" t="n">
        <v>42</v>
      </c>
    </row>
    <row r="1609">
      <c r="A1609">
        <f>_xlfn.XLOOKUP("574W-10-1",Trip[trip_id],Trip[trip_id],"Não encontrado")</f>
        <v/>
      </c>
      <c r="B1609" s="53" t="n">
        <v>0.7089583333333334</v>
      </c>
      <c r="C1609" s="53" t="n">
        <v>0.7089583333333334</v>
      </c>
      <c r="D1609">
        <f>_xlfn.XLOOKUP(780006296,Stops[stop_id],Stops[stop_id],"Não encontrado")</f>
        <v/>
      </c>
      <c r="E1609" t="n">
        <v>43</v>
      </c>
    </row>
    <row r="1610">
      <c r="A1610">
        <f>_xlfn.XLOOKUP("574W-10-1",Trip[trip_id],Trip[trip_id],"Não encontrado")</f>
        <v/>
      </c>
      <c r="B1610" s="53" t="n">
        <v>0.7099652777777777</v>
      </c>
      <c r="C1610" s="53" t="n">
        <v>0.7099652777777777</v>
      </c>
      <c r="D1610">
        <f>_xlfn.XLOOKUP(7804356,Stops[stop_id],Stops[stop_id],"Não encontrado")</f>
        <v/>
      </c>
      <c r="E1610" t="n">
        <v>44</v>
      </c>
    </row>
    <row r="1611">
      <c r="A1611">
        <f>_xlfn.XLOOKUP("574W-10-1",Trip[trip_id],Trip[trip_id],"Não encontrado")</f>
        <v/>
      </c>
      <c r="B1611" s="53" t="n">
        <v>0.7109722222222222</v>
      </c>
      <c r="C1611" s="53" t="n">
        <v>0.7109722222222222</v>
      </c>
      <c r="D1611">
        <f>_xlfn.XLOOKUP(780006304,Stops[stop_id],Stops[stop_id],"Não encontrado")</f>
        <v/>
      </c>
      <c r="E1611" t="n">
        <v>45</v>
      </c>
    </row>
    <row r="1612">
      <c r="A1612">
        <f>_xlfn.XLOOKUP("574W-10-1",Trip[trip_id],Trip[trip_id],"Não encontrado")</f>
        <v/>
      </c>
      <c r="B1612" s="53" t="n">
        <v>0.7119791666666667</v>
      </c>
      <c r="C1612" s="53" t="n">
        <v>0.7119791666666667</v>
      </c>
      <c r="D1612">
        <f>_xlfn.XLOOKUP(780006294,Stops[stop_id],Stops[stop_id],"Não encontrado")</f>
        <v/>
      </c>
      <c r="E1612" t="n">
        <v>46</v>
      </c>
    </row>
    <row r="1613">
      <c r="A1613">
        <f>_xlfn.XLOOKUP("574W-10-1",Trip[trip_id],Trip[trip_id],"Não encontrado")</f>
        <v/>
      </c>
      <c r="B1613" s="53" t="n">
        <v>0.7129861111111111</v>
      </c>
      <c r="C1613" s="53" t="n">
        <v>0.7129861111111111</v>
      </c>
      <c r="D1613">
        <f>_xlfn.XLOOKUP(780006795,Stops[stop_id],Stops[stop_id],"Não encontrado")</f>
        <v/>
      </c>
      <c r="E1613" t="n">
        <v>47</v>
      </c>
    </row>
    <row r="1614">
      <c r="A1614">
        <f>_xlfn.XLOOKUP("574W-10-1",Trip[trip_id],Trip[trip_id],"Não encontrado")</f>
        <v/>
      </c>
      <c r="B1614" s="53" t="n">
        <v>0.7139930555555556</v>
      </c>
      <c r="C1614" s="53" t="n">
        <v>0.7139930555555556</v>
      </c>
      <c r="D1614">
        <f>_xlfn.XLOOKUP(780006796,Stops[stop_id],Stops[stop_id],"Não encontrado")</f>
        <v/>
      </c>
      <c r="E1614" t="n">
        <v>48</v>
      </c>
    </row>
    <row r="1615">
      <c r="A1615">
        <f>_xlfn.XLOOKUP("574W-10-1",Trip[trip_id],Trip[trip_id],"Não encontrado")</f>
        <v/>
      </c>
      <c r="B1615" s="53" t="n">
        <v>0.715</v>
      </c>
      <c r="C1615" s="53" t="n">
        <v>0.715</v>
      </c>
      <c r="D1615">
        <f>_xlfn.XLOOKUP(780006798,Stops[stop_id],Stops[stop_id],"Não encontrado")</f>
        <v/>
      </c>
      <c r="E1615" t="n">
        <v>49</v>
      </c>
    </row>
    <row r="1616">
      <c r="A1616">
        <f>_xlfn.XLOOKUP("574W-10-1",Trip[trip_id],Trip[trip_id],"Não encontrado")</f>
        <v/>
      </c>
      <c r="B1616" s="53" t="n">
        <v>0.7160069444444445</v>
      </c>
      <c r="C1616" s="53" t="n">
        <v>0.7160069444444445</v>
      </c>
      <c r="D1616">
        <f>_xlfn.XLOOKUP(7805214,Stops[stop_id],Stops[stop_id],"Não encontrado")</f>
        <v/>
      </c>
      <c r="E1616" t="n">
        <v>50</v>
      </c>
    </row>
    <row r="1617">
      <c r="A1617">
        <f>_xlfn.XLOOKUP("574W-10-1",Trip[trip_id],Trip[trip_id],"Não encontrado")</f>
        <v/>
      </c>
      <c r="B1617" s="53" t="n">
        <v>0.7170138888888888</v>
      </c>
      <c r="C1617" s="53" t="n">
        <v>0.7170138888888888</v>
      </c>
      <c r="D1617">
        <f>_xlfn.XLOOKUP(780006802,Stops[stop_id],Stops[stop_id],"Não encontrado")</f>
        <v/>
      </c>
      <c r="E1617" t="n">
        <v>51</v>
      </c>
    </row>
    <row r="1618">
      <c r="A1618">
        <f>_xlfn.XLOOKUP("574W-10-1",Trip[trip_id],Trip[trip_id],"Não encontrado")</f>
        <v/>
      </c>
      <c r="B1618" s="53" t="n">
        <v>0.7180208333333333</v>
      </c>
      <c r="C1618" s="53" t="n">
        <v>0.7180208333333333</v>
      </c>
      <c r="D1618">
        <f>_xlfn.XLOOKUP(780006803,Stops[stop_id],Stops[stop_id],"Não encontrado")</f>
        <v/>
      </c>
      <c r="E1618" t="n">
        <v>52</v>
      </c>
    </row>
    <row r="1619">
      <c r="A1619">
        <f>_xlfn.XLOOKUP("574W-10-1",Trip[trip_id],Trip[trip_id],"Não encontrado")</f>
        <v/>
      </c>
      <c r="B1619" s="53" t="n">
        <v>0.7190277777777778</v>
      </c>
      <c r="C1619" s="53" t="n">
        <v>0.7190277777777778</v>
      </c>
      <c r="D1619">
        <f>_xlfn.XLOOKUP(780006804,Stops[stop_id],Stops[stop_id],"Não encontrado")</f>
        <v/>
      </c>
      <c r="E1619" t="n">
        <v>53</v>
      </c>
    </row>
    <row r="1620">
      <c r="A1620">
        <f>_xlfn.XLOOKUP("574W-10-1",Trip[trip_id],Trip[trip_id],"Não encontrado")</f>
        <v/>
      </c>
      <c r="B1620" s="53" t="n">
        <v>0.7200347222222222</v>
      </c>
      <c r="C1620" s="53" t="n">
        <v>0.7200347222222222</v>
      </c>
      <c r="D1620">
        <f>_xlfn.XLOOKUP(780006805,Stops[stop_id],Stops[stop_id],"Não encontrado")</f>
        <v/>
      </c>
      <c r="E1620" t="n">
        <v>54</v>
      </c>
    </row>
    <row r="1621">
      <c r="A1621">
        <f>_xlfn.XLOOKUP("574W-10-1",Trip[trip_id],Trip[trip_id],"Não encontrado")</f>
        <v/>
      </c>
      <c r="B1621" s="53" t="n">
        <v>0.7210416666666667</v>
      </c>
      <c r="C1621" s="53" t="n">
        <v>0.7210416666666667</v>
      </c>
      <c r="D1621">
        <f>_xlfn.XLOOKUP(780006806,Stops[stop_id],Stops[stop_id],"Não encontrado")</f>
        <v/>
      </c>
      <c r="E1621" t="n">
        <v>55</v>
      </c>
    </row>
    <row r="1622">
      <c r="A1622">
        <f>_xlfn.XLOOKUP("574W-10-1",Trip[trip_id],Trip[trip_id],"Não encontrado")</f>
        <v/>
      </c>
      <c r="B1622" s="53" t="n">
        <v>0.7220486111111111</v>
      </c>
      <c r="C1622" s="53" t="n">
        <v>0.7220486111111111</v>
      </c>
      <c r="D1622">
        <f>_xlfn.XLOOKUP(780006807,Stops[stop_id],Stops[stop_id],"Não encontrado")</f>
        <v/>
      </c>
      <c r="E1622" t="n">
        <v>56</v>
      </c>
    </row>
    <row r="1623">
      <c r="A1623">
        <f>_xlfn.XLOOKUP("574W-10-1",Trip[trip_id],Trip[trip_id],"Não encontrado")</f>
        <v/>
      </c>
      <c r="B1623" s="53" t="n">
        <v>0.7230555555555556</v>
      </c>
      <c r="C1623" s="53" t="n">
        <v>0.7230555555555556</v>
      </c>
      <c r="D1623">
        <f>_xlfn.XLOOKUP(780006808,Stops[stop_id],Stops[stop_id],"Não encontrado")</f>
        <v/>
      </c>
      <c r="E1623" t="n">
        <v>57</v>
      </c>
    </row>
    <row r="1624">
      <c r="A1624">
        <f>_xlfn.XLOOKUP("574W-10-1",Trip[trip_id],Trip[trip_id],"Não encontrado")</f>
        <v/>
      </c>
      <c r="B1624" s="53" t="n">
        <v>0.7240625000000001</v>
      </c>
      <c r="C1624" s="53" t="n">
        <v>0.7240625000000001</v>
      </c>
      <c r="D1624">
        <f>_xlfn.XLOOKUP(780006809,Stops[stop_id],Stops[stop_id],"Não encontrado")</f>
        <v/>
      </c>
      <c r="E1624" t="n">
        <v>58</v>
      </c>
    </row>
    <row r="1625">
      <c r="A1625">
        <f>_xlfn.XLOOKUP("574W-10-1",Trip[trip_id],Trip[trip_id],"Não encontrado")</f>
        <v/>
      </c>
      <c r="B1625" s="53" t="n">
        <v>0.7250694444444444</v>
      </c>
      <c r="C1625" s="53" t="n">
        <v>0.7250694444444444</v>
      </c>
      <c r="D1625">
        <f>_xlfn.XLOOKUP(780006810,Stops[stop_id],Stops[stop_id],"Não encontrado")</f>
        <v/>
      </c>
      <c r="E1625" t="n">
        <v>59</v>
      </c>
    </row>
    <row r="1626">
      <c r="A1626">
        <f>_xlfn.XLOOKUP("574W-10-1",Trip[trip_id],Trip[trip_id],"Não encontrado")</f>
        <v/>
      </c>
      <c r="B1626" s="53" t="n">
        <v>0.7260763888888889</v>
      </c>
      <c r="C1626" s="53" t="n">
        <v>0.7260763888888889</v>
      </c>
      <c r="D1626">
        <f>_xlfn.XLOOKUP(7504853,Stops[stop_id],Stops[stop_id],"Não encontrado")</f>
        <v/>
      </c>
      <c r="E1626" t="n">
        <v>60</v>
      </c>
    </row>
    <row r="1627">
      <c r="A1627">
        <f>_xlfn.XLOOKUP("574W-10-1",Trip[trip_id],Trip[trip_id],"Não encontrado")</f>
        <v/>
      </c>
      <c r="B1627" s="53" t="n">
        <v>0.7270833333333333</v>
      </c>
      <c r="C1627" s="53" t="n">
        <v>0.7270833333333333</v>
      </c>
      <c r="D1627">
        <f>_xlfn.XLOOKUP(7504854,Stops[stop_id],Stops[stop_id],"Não encontrado")</f>
        <v/>
      </c>
      <c r="E1627" t="n">
        <v>61</v>
      </c>
    </row>
    <row r="1628">
      <c r="A1628">
        <f>_xlfn.XLOOKUP("574W-10-1",Trip[trip_id],Trip[trip_id],"Não encontrado")</f>
        <v/>
      </c>
      <c r="B1628" s="53" t="n">
        <v>0.7280902777777778</v>
      </c>
      <c r="C1628" s="53" t="n">
        <v>0.7280902777777778</v>
      </c>
      <c r="D1628">
        <f>_xlfn.XLOOKUP(750006144,Stops[stop_id],Stops[stop_id],"Não encontrado")</f>
        <v/>
      </c>
      <c r="E1628" t="n">
        <v>62</v>
      </c>
    </row>
    <row r="1629">
      <c r="A1629">
        <f>_xlfn.XLOOKUP("574W-10-1",Trip[trip_id],Trip[trip_id],"Não encontrado")</f>
        <v/>
      </c>
      <c r="B1629" s="53" t="n">
        <v>0.7290972222222222</v>
      </c>
      <c r="C1629" s="53" t="n">
        <v>0.7290972222222222</v>
      </c>
      <c r="D1629">
        <f>_xlfn.XLOOKUP(750006143,Stops[stop_id],Stops[stop_id],"Não encontrado")</f>
        <v/>
      </c>
      <c r="E1629" t="n">
        <v>63</v>
      </c>
    </row>
    <row r="1630">
      <c r="A1630">
        <f>_xlfn.XLOOKUP("574W-10-1",Trip[trip_id],Trip[trip_id],"Não encontrado")</f>
        <v/>
      </c>
      <c r="B1630" s="53" t="n">
        <v>0.7301041666666667</v>
      </c>
      <c r="C1630" s="53" t="n">
        <v>0.7301041666666667</v>
      </c>
      <c r="D1630">
        <f>_xlfn.XLOOKUP(750006141,Stops[stop_id],Stops[stop_id],"Não encontrado")</f>
        <v/>
      </c>
      <c r="E1630" t="n">
        <v>64</v>
      </c>
    </row>
    <row r="1631">
      <c r="A1631">
        <f>_xlfn.XLOOKUP("574W-10-1",Trip[trip_id],Trip[trip_id],"Não encontrado")</f>
        <v/>
      </c>
      <c r="B1631" s="53" t="n">
        <v>0.7311111111111112</v>
      </c>
      <c r="C1631" s="53" t="n">
        <v>0.7311111111111112</v>
      </c>
      <c r="D1631">
        <f>_xlfn.XLOOKUP(750006140,Stops[stop_id],Stops[stop_id],"Não encontrado")</f>
        <v/>
      </c>
      <c r="E1631" t="n">
        <v>65</v>
      </c>
    </row>
    <row r="1632">
      <c r="A1632">
        <f>_xlfn.XLOOKUP("574W-10-1",Trip[trip_id],Trip[trip_id],"Não encontrado")</f>
        <v/>
      </c>
      <c r="B1632" s="53" t="n">
        <v>0.7321180555555555</v>
      </c>
      <c r="C1632" s="53" t="n">
        <v>0.7321180555555555</v>
      </c>
      <c r="D1632">
        <f>_xlfn.XLOOKUP(750006148,Stops[stop_id],Stops[stop_id],"Não encontrado")</f>
        <v/>
      </c>
      <c r="E1632" t="n">
        <v>66</v>
      </c>
    </row>
    <row r="1633">
      <c r="A1633">
        <f>_xlfn.XLOOKUP("574W-10-1",Trip[trip_id],Trip[trip_id],"Não encontrado")</f>
        <v/>
      </c>
      <c r="B1633" s="53" t="n">
        <v>0.733125</v>
      </c>
      <c r="C1633" s="53" t="n">
        <v>0.733125</v>
      </c>
      <c r="D1633">
        <f>_xlfn.XLOOKUP(7805200,Stops[stop_id],Stops[stop_id],"Não encontrado")</f>
        <v/>
      </c>
      <c r="E1633" t="n">
        <v>67</v>
      </c>
    </row>
    <row r="1634">
      <c r="A1634">
        <f>_xlfn.XLOOKUP("574W-10-1",Trip[trip_id],Trip[trip_id],"Não encontrado")</f>
        <v/>
      </c>
      <c r="B1634" s="53" t="n">
        <v>0.7341319444444444</v>
      </c>
      <c r="C1634" s="53" t="n">
        <v>0.7341319444444444</v>
      </c>
      <c r="D1634">
        <f>_xlfn.XLOOKUP(7504927,Stops[stop_id],Stops[stop_id],"Não encontrado")</f>
        <v/>
      </c>
      <c r="E1634" t="n">
        <v>68</v>
      </c>
    </row>
    <row r="1635">
      <c r="A1635">
        <f>_xlfn.XLOOKUP("574W-10-1",Trip[trip_id],Trip[trip_id],"Não encontrado")</f>
        <v/>
      </c>
      <c r="B1635" s="53" t="n">
        <v>0.7351388888888889</v>
      </c>
      <c r="C1635" s="53" t="n">
        <v>0.7351388888888889</v>
      </c>
      <c r="D1635">
        <f>_xlfn.XLOOKUP(750006146,Stops[stop_id],Stops[stop_id],"Não encontrado")</f>
        <v/>
      </c>
      <c r="E1635" t="n">
        <v>69</v>
      </c>
    </row>
    <row r="1636">
      <c r="A1636">
        <f>_xlfn.XLOOKUP("574W-10-1",Trip[trip_id],Trip[trip_id],"Não encontrado")</f>
        <v/>
      </c>
      <c r="B1636" s="53" t="n">
        <v>0.7361458333333334</v>
      </c>
      <c r="C1636" s="53" t="n">
        <v>0.7361458333333334</v>
      </c>
      <c r="D1636">
        <f>_xlfn.XLOOKUP(7805243,Stops[stop_id],Stops[stop_id],"Não encontrado")</f>
        <v/>
      </c>
      <c r="E1636" t="n">
        <v>70</v>
      </c>
    </row>
    <row r="1637">
      <c r="A1637">
        <f>_xlfn.XLOOKUP("574W-10-1",Trip[trip_id],Trip[trip_id],"Não encontrado")</f>
        <v/>
      </c>
      <c r="B1637" s="53" t="n">
        <v>0.7371527777777778</v>
      </c>
      <c r="C1637" s="53" t="n">
        <v>0.7371527777777778</v>
      </c>
      <c r="D1637">
        <f>_xlfn.XLOOKUP(7805190,Stops[stop_id],Stops[stop_id],"Não encontrado")</f>
        <v/>
      </c>
      <c r="E1637" t="n">
        <v>71</v>
      </c>
    </row>
    <row r="1638">
      <c r="A1638">
        <f>_xlfn.XLOOKUP("574W-10-1",Trip[trip_id],Trip[trip_id],"Não encontrado")</f>
        <v/>
      </c>
      <c r="B1638" s="53" t="n">
        <v>0.7381597222222223</v>
      </c>
      <c r="C1638" s="53" t="n">
        <v>0.7381597222222223</v>
      </c>
      <c r="D1638">
        <f>_xlfn.XLOOKUP(7805193,Stops[stop_id],Stops[stop_id],"Não encontrado")</f>
        <v/>
      </c>
      <c r="E1638" t="n">
        <v>72</v>
      </c>
    </row>
    <row r="1639">
      <c r="A1639">
        <f>_xlfn.XLOOKUP("574W-10-1",Trip[trip_id],Trip[trip_id],"Não encontrado")</f>
        <v/>
      </c>
      <c r="B1639" s="53" t="n">
        <v>0.7391666666666666</v>
      </c>
      <c r="C1639" s="53" t="n">
        <v>0.7391666666666666</v>
      </c>
      <c r="D1639">
        <f>_xlfn.XLOOKUP(7805244,Stops[stop_id],Stops[stop_id],"Não encontrado")</f>
        <v/>
      </c>
      <c r="E1639" t="n">
        <v>73</v>
      </c>
    </row>
    <row r="1640">
      <c r="A1640">
        <f>_xlfn.XLOOKUP("574W-10-1",Trip[trip_id],Trip[trip_id],"Não encontrado")</f>
        <v/>
      </c>
      <c r="B1640" s="53" t="n">
        <v>0.7401736111111111</v>
      </c>
      <c r="C1640" s="53" t="n">
        <v>0.7401736111111111</v>
      </c>
      <c r="D1640">
        <f>_xlfn.XLOOKUP(7805203,Stops[stop_id],Stops[stop_id],"Não encontrado")</f>
        <v/>
      </c>
      <c r="E1640" t="n">
        <v>74</v>
      </c>
    </row>
    <row r="1641">
      <c r="A1641">
        <f>_xlfn.XLOOKUP("574W-10-1",Trip[trip_id],Trip[trip_id],"Não encontrado")</f>
        <v/>
      </c>
      <c r="B1641" s="53" t="n">
        <v>0.7411805555555555</v>
      </c>
      <c r="C1641" s="53" t="n">
        <v>0.7411805555555555</v>
      </c>
      <c r="D1641">
        <f>_xlfn.XLOOKUP(7803971,Stops[stop_id],Stops[stop_id],"Não encontrado")</f>
        <v/>
      </c>
      <c r="E1641" t="n">
        <v>75</v>
      </c>
    </row>
    <row r="1642">
      <c r="A1642">
        <f>_xlfn.XLOOKUP("574W-10-1",Trip[trip_id],Trip[trip_id],"Não encontrado")</f>
        <v/>
      </c>
      <c r="B1642" s="53" t="n">
        <v>0.7421875</v>
      </c>
      <c r="C1642" s="53" t="n">
        <v>0.7421875</v>
      </c>
      <c r="D1642">
        <f>_xlfn.XLOOKUP(7803960,Stops[stop_id],Stops[stop_id],"Não encontrado")</f>
        <v/>
      </c>
      <c r="E1642" t="n">
        <v>76</v>
      </c>
    </row>
    <row r="1643">
      <c r="A1643">
        <f>_xlfn.XLOOKUP("574W-10-1",Trip[trip_id],Trip[trip_id],"Não encontrado")</f>
        <v/>
      </c>
      <c r="B1643" s="53" t="n">
        <v>0.7444444444444445</v>
      </c>
      <c r="C1643" s="53" t="n">
        <v>0.7444444444444445</v>
      </c>
      <c r="D1643">
        <f>_xlfn.XLOOKUP(7805147,Stops[stop_id],Stops[stop_id],"Não encontrado")</f>
        <v/>
      </c>
      <c r="E1643" t="n">
        <v>77</v>
      </c>
    </row>
    <row r="1644">
      <c r="A1644">
        <f>_xlfn.XLOOKUP("CPTM L07-0",Trip[trip_id],Trip[trip_id],"Não encontrado")</f>
        <v/>
      </c>
      <c r="B1644" s="53" t="n">
        <v>0.1666666666666667</v>
      </c>
      <c r="C1644" s="53" t="n">
        <v>0.1666666666666667</v>
      </c>
      <c r="D1644">
        <f>_xlfn.XLOOKUP(614606,Stops[stop_id],Stops[stop_id],"Não encontrado")</f>
        <v/>
      </c>
      <c r="E1644" t="n">
        <v>1</v>
      </c>
    </row>
    <row r="1645">
      <c r="A1645">
        <f>_xlfn.XLOOKUP("CPTM L07-0",Trip[trip_id],Trip[trip_id],"Não encontrado")</f>
        <v/>
      </c>
      <c r="B1645" s="53" t="n">
        <v>0.1722222222222222</v>
      </c>
      <c r="C1645" s="53" t="n">
        <v>0.1722222222222222</v>
      </c>
      <c r="D1645">
        <f>_xlfn.XLOOKUP(18919,Stops[stop_id],Stops[stop_id],"Não encontrado")</f>
        <v/>
      </c>
      <c r="E1645" t="n">
        <v>2</v>
      </c>
    </row>
    <row r="1646">
      <c r="A1646">
        <f>_xlfn.XLOOKUP("CPTM L07-0",Trip[trip_id],Trip[trip_id],"Não encontrado")</f>
        <v/>
      </c>
      <c r="B1646" s="53" t="n">
        <v>0.1777777777777778</v>
      </c>
      <c r="C1646" s="53" t="n">
        <v>0.1777777777777778</v>
      </c>
      <c r="D1646">
        <f>_xlfn.XLOOKUP(18917,Stops[stop_id],Stops[stop_id],"Não encontrado")</f>
        <v/>
      </c>
      <c r="E1646" t="n">
        <v>3</v>
      </c>
    </row>
    <row r="1647">
      <c r="A1647">
        <f>_xlfn.XLOOKUP("CPTM L07-0",Trip[trip_id],Trip[trip_id],"Não encontrado")</f>
        <v/>
      </c>
      <c r="B1647" s="53" t="n">
        <v>0.1833333333333333</v>
      </c>
      <c r="C1647" s="53" t="n">
        <v>0.1833333333333333</v>
      </c>
      <c r="D1647">
        <f>_xlfn.XLOOKUP(18916,Stops[stop_id],Stops[stop_id],"Não encontrado")</f>
        <v/>
      </c>
      <c r="E1647" t="n">
        <v>4</v>
      </c>
    </row>
    <row r="1648">
      <c r="A1648">
        <f>_xlfn.XLOOKUP("CPTM L07-0",Trip[trip_id],Trip[trip_id],"Não encontrado")</f>
        <v/>
      </c>
      <c r="B1648" s="53" t="n">
        <v>0.1888888888888889</v>
      </c>
      <c r="C1648" s="53" t="n">
        <v>0.1888888888888889</v>
      </c>
      <c r="D1648">
        <f>_xlfn.XLOOKUP(18965,Stops[stop_id],Stops[stop_id],"Não encontrado")</f>
        <v/>
      </c>
      <c r="E1648" t="n">
        <v>5</v>
      </c>
    </row>
    <row r="1649">
      <c r="A1649">
        <f>_xlfn.XLOOKUP("CPTM L07-0",Trip[trip_id],Trip[trip_id],"Não encontrado")</f>
        <v/>
      </c>
      <c r="B1649" s="53" t="n">
        <v>0.1944444444444444</v>
      </c>
      <c r="C1649" s="53" t="n">
        <v>0.1944444444444444</v>
      </c>
      <c r="D1649">
        <f>_xlfn.XLOOKUP(18923,Stops[stop_id],Stops[stop_id],"Não encontrado")</f>
        <v/>
      </c>
      <c r="E1649" t="n">
        <v>6</v>
      </c>
    </row>
    <row r="1650">
      <c r="A1650">
        <f>_xlfn.XLOOKUP("CPTM L07-0",Trip[trip_id],Trip[trip_id],"Não encontrado")</f>
        <v/>
      </c>
      <c r="B1650" s="53" t="n">
        <v>0.2</v>
      </c>
      <c r="C1650" s="53" t="n">
        <v>0.2</v>
      </c>
      <c r="D1650">
        <f>_xlfn.XLOOKUP(18922,Stops[stop_id],Stops[stop_id],"Não encontrado")</f>
        <v/>
      </c>
      <c r="E1650" t="n">
        <v>7</v>
      </c>
    </row>
    <row r="1651">
      <c r="A1651">
        <f>_xlfn.XLOOKUP("CPTM L07-0",Trip[trip_id],Trip[trip_id],"Não encontrado")</f>
        <v/>
      </c>
      <c r="B1651" s="53" t="n">
        <v>0.2055555555555555</v>
      </c>
      <c r="C1651" s="53" t="n">
        <v>0.2055555555555555</v>
      </c>
      <c r="D1651">
        <f>_xlfn.XLOOKUP(4114459,Stops[stop_id],Stops[stop_id],"Não encontrado")</f>
        <v/>
      </c>
      <c r="E1651" t="n">
        <v>8</v>
      </c>
    </row>
    <row r="1652">
      <c r="A1652">
        <f>_xlfn.XLOOKUP("CPTM L07-0",Trip[trip_id],Trip[trip_id],"Não encontrado")</f>
        <v/>
      </c>
      <c r="B1652" s="53" t="n">
        <v>0.2111111111111111</v>
      </c>
      <c r="C1652" s="53" t="n">
        <v>0.2111111111111111</v>
      </c>
      <c r="D1652">
        <f>_xlfn.XLOOKUP(18921,Stops[stop_id],Stops[stop_id],"Não encontrado")</f>
        <v/>
      </c>
      <c r="E1652" t="n">
        <v>9</v>
      </c>
    </row>
    <row r="1653">
      <c r="A1653">
        <f>_xlfn.XLOOKUP("CPTM L07-0",Trip[trip_id],Trip[trip_id],"Não encontrado")</f>
        <v/>
      </c>
      <c r="B1653" s="53" t="n">
        <v>0.2166666666666667</v>
      </c>
      <c r="C1653" s="53" t="n">
        <v>0.2166666666666667</v>
      </c>
      <c r="D1653">
        <f>_xlfn.XLOOKUP(18924,Stops[stop_id],Stops[stop_id],"Não encontrado")</f>
        <v/>
      </c>
      <c r="E1653" t="n">
        <v>10</v>
      </c>
    </row>
    <row r="1654">
      <c r="A1654">
        <f>_xlfn.XLOOKUP("CPTM L07-0",Trip[trip_id],Trip[trip_id],"Não encontrado")</f>
        <v/>
      </c>
      <c r="B1654" s="53" t="n">
        <v>0.2222222222222222</v>
      </c>
      <c r="C1654" s="53" t="n">
        <v>0.2222222222222222</v>
      </c>
      <c r="D1654">
        <f>_xlfn.XLOOKUP(18925,Stops[stop_id],Stops[stop_id],"Não encontrado")</f>
        <v/>
      </c>
      <c r="E1654" t="n">
        <v>11</v>
      </c>
    </row>
    <row r="1655">
      <c r="A1655">
        <f>_xlfn.XLOOKUP("CPTM L07-0",Trip[trip_id],Trip[trip_id],"Não encontrado")</f>
        <v/>
      </c>
      <c r="B1655" s="53" t="n">
        <v>0.2277777777777778</v>
      </c>
      <c r="C1655" s="53" t="n">
        <v>0.2277777777777778</v>
      </c>
      <c r="D1655">
        <f>_xlfn.XLOOKUP(18926,Stops[stop_id],Stops[stop_id],"Não encontrado")</f>
        <v/>
      </c>
      <c r="E1655" t="n">
        <v>12</v>
      </c>
    </row>
    <row r="1656">
      <c r="A1656">
        <f>_xlfn.XLOOKUP("CPTM L07-0",Trip[trip_id],Trip[trip_id],"Não encontrado")</f>
        <v/>
      </c>
      <c r="B1656" s="53" t="n">
        <v>0.2333333333333333</v>
      </c>
      <c r="C1656" s="53" t="n">
        <v>0.2333333333333333</v>
      </c>
      <c r="D1656">
        <f>_xlfn.XLOOKUP(18971,Stops[stop_id],Stops[stop_id],"Não encontrado")</f>
        <v/>
      </c>
      <c r="E1656" t="n">
        <v>13</v>
      </c>
    </row>
    <row r="1657">
      <c r="A1657">
        <f>_xlfn.XLOOKUP("CPTM L07-0",Trip[trip_id],Trip[trip_id],"Não encontrado")</f>
        <v/>
      </c>
      <c r="B1657" s="53" t="n">
        <v>0.2388888888888889</v>
      </c>
      <c r="C1657" s="53" t="n">
        <v>0.2388888888888889</v>
      </c>
      <c r="D1657">
        <f>_xlfn.XLOOKUP(18972,Stops[stop_id],Stops[stop_id],"Não encontrado")</f>
        <v/>
      </c>
      <c r="E1657" t="n">
        <v>14</v>
      </c>
    </row>
    <row r="1658">
      <c r="A1658">
        <f>_xlfn.XLOOKUP("CPTM L07-0",Trip[trip_id],Trip[trip_id],"Não encontrado")</f>
        <v/>
      </c>
      <c r="B1658" s="53" t="n">
        <v>0.2444444444444444</v>
      </c>
      <c r="C1658" s="53" t="n">
        <v>0.2444444444444444</v>
      </c>
      <c r="D1658">
        <f>_xlfn.XLOOKUP(18973,Stops[stop_id],Stops[stop_id],"Não encontrado")</f>
        <v/>
      </c>
      <c r="E1658" t="n">
        <v>15</v>
      </c>
    </row>
    <row r="1659">
      <c r="A1659">
        <f>_xlfn.XLOOKUP("CPTM L07-0",Trip[trip_id],Trip[trip_id],"Não encontrado")</f>
        <v/>
      </c>
      <c r="B1659" s="53" t="n">
        <v>0.25</v>
      </c>
      <c r="C1659" s="53" t="n">
        <v>0.25</v>
      </c>
      <c r="D1659">
        <f>_xlfn.XLOOKUP(18974,Stops[stop_id],Stops[stop_id],"Não encontrado")</f>
        <v/>
      </c>
      <c r="E1659" t="n">
        <v>16</v>
      </c>
    </row>
    <row r="1660">
      <c r="A1660">
        <f>_xlfn.XLOOKUP("CPTM L07-0",Trip[trip_id],Trip[trip_id],"Não encontrado")</f>
        <v/>
      </c>
      <c r="B1660" s="53" t="n">
        <v>0.2555555555555555</v>
      </c>
      <c r="C1660" s="53" t="n">
        <v>0.2555555555555555</v>
      </c>
      <c r="D1660">
        <f>_xlfn.XLOOKUP(18975,Stops[stop_id],Stops[stop_id],"Não encontrado")</f>
        <v/>
      </c>
      <c r="E1660" t="n">
        <v>17</v>
      </c>
    </row>
    <row r="1661">
      <c r="A1661">
        <f>_xlfn.XLOOKUP("CPTM L07-1",Trip[trip_id],Trip[trip_id],"Não encontrado")</f>
        <v/>
      </c>
      <c r="B1661" s="53" t="n">
        <v>0.1666666666666667</v>
      </c>
      <c r="C1661" s="53" t="n">
        <v>0.1666666666666667</v>
      </c>
      <c r="D1661">
        <f>_xlfn.XLOOKUP(18975,Stops[stop_id],Stops[stop_id],"Não encontrado")</f>
        <v/>
      </c>
      <c r="E1661" t="n">
        <v>1</v>
      </c>
    </row>
    <row r="1662">
      <c r="A1662">
        <f>_xlfn.XLOOKUP("CPTM L07-1",Trip[trip_id],Trip[trip_id],"Não encontrado")</f>
        <v/>
      </c>
      <c r="B1662" s="53" t="n">
        <v>0.1722222222222222</v>
      </c>
      <c r="C1662" s="53" t="n">
        <v>0.1722222222222222</v>
      </c>
      <c r="D1662">
        <f>_xlfn.XLOOKUP(18974,Stops[stop_id],Stops[stop_id],"Não encontrado")</f>
        <v/>
      </c>
      <c r="E1662" t="n">
        <v>2</v>
      </c>
    </row>
    <row r="1663">
      <c r="A1663">
        <f>_xlfn.XLOOKUP("CPTM L07-1",Trip[trip_id],Trip[trip_id],"Não encontrado")</f>
        <v/>
      </c>
      <c r="B1663" s="53" t="n">
        <v>0.1777777777777778</v>
      </c>
      <c r="C1663" s="53" t="n">
        <v>0.1777777777777778</v>
      </c>
      <c r="D1663">
        <f>_xlfn.XLOOKUP(18973,Stops[stop_id],Stops[stop_id],"Não encontrado")</f>
        <v/>
      </c>
      <c r="E1663" t="n">
        <v>3</v>
      </c>
    </row>
    <row r="1664">
      <c r="A1664">
        <f>_xlfn.XLOOKUP("CPTM L07-1",Trip[trip_id],Trip[trip_id],"Não encontrado")</f>
        <v/>
      </c>
      <c r="B1664" s="53" t="n">
        <v>0.1833333333333333</v>
      </c>
      <c r="C1664" s="53" t="n">
        <v>0.1833333333333333</v>
      </c>
      <c r="D1664">
        <f>_xlfn.XLOOKUP(18972,Stops[stop_id],Stops[stop_id],"Não encontrado")</f>
        <v/>
      </c>
      <c r="E1664" t="n">
        <v>4</v>
      </c>
    </row>
    <row r="1665">
      <c r="A1665">
        <f>_xlfn.XLOOKUP("CPTM L07-1",Trip[trip_id],Trip[trip_id],"Não encontrado")</f>
        <v/>
      </c>
      <c r="B1665" s="53" t="n">
        <v>0.1888888888888889</v>
      </c>
      <c r="C1665" s="53" t="n">
        <v>0.1888888888888889</v>
      </c>
      <c r="D1665">
        <f>_xlfn.XLOOKUP(18971,Stops[stop_id],Stops[stop_id],"Não encontrado")</f>
        <v/>
      </c>
      <c r="E1665" t="n">
        <v>5</v>
      </c>
    </row>
    <row r="1666">
      <c r="A1666">
        <f>_xlfn.XLOOKUP("CPTM L07-1",Trip[trip_id],Trip[trip_id],"Não encontrado")</f>
        <v/>
      </c>
      <c r="B1666" s="53" t="n">
        <v>0.1944444444444444</v>
      </c>
      <c r="C1666" s="53" t="n">
        <v>0.1944444444444444</v>
      </c>
      <c r="D1666">
        <f>_xlfn.XLOOKUP(18926,Stops[stop_id],Stops[stop_id],"Não encontrado")</f>
        <v/>
      </c>
      <c r="E1666" t="n">
        <v>6</v>
      </c>
    </row>
    <row r="1667">
      <c r="A1667">
        <f>_xlfn.XLOOKUP("CPTM L07-1",Trip[trip_id],Trip[trip_id],"Não encontrado")</f>
        <v/>
      </c>
      <c r="B1667" s="53" t="n">
        <v>0.2</v>
      </c>
      <c r="C1667" s="53" t="n">
        <v>0.2</v>
      </c>
      <c r="D1667">
        <f>_xlfn.XLOOKUP(18925,Stops[stop_id],Stops[stop_id],"Não encontrado")</f>
        <v/>
      </c>
      <c r="E1667" t="n">
        <v>7</v>
      </c>
    </row>
    <row r="1668">
      <c r="A1668">
        <f>_xlfn.XLOOKUP("CPTM L07-1",Trip[trip_id],Trip[trip_id],"Não encontrado")</f>
        <v/>
      </c>
      <c r="B1668" s="53" t="n">
        <v>0.2055555555555555</v>
      </c>
      <c r="C1668" s="53" t="n">
        <v>0.2055555555555555</v>
      </c>
      <c r="D1668">
        <f>_xlfn.XLOOKUP(18924,Stops[stop_id],Stops[stop_id],"Não encontrado")</f>
        <v/>
      </c>
      <c r="E1668" t="n">
        <v>8</v>
      </c>
    </row>
    <row r="1669">
      <c r="A1669">
        <f>_xlfn.XLOOKUP("CPTM L07-1",Trip[trip_id],Trip[trip_id],"Não encontrado")</f>
        <v/>
      </c>
      <c r="B1669" s="53" t="n">
        <v>0.2111111111111111</v>
      </c>
      <c r="C1669" s="53" t="n">
        <v>0.2111111111111111</v>
      </c>
      <c r="D1669">
        <f>_xlfn.XLOOKUP(18921,Stops[stop_id],Stops[stop_id],"Não encontrado")</f>
        <v/>
      </c>
      <c r="E1669" t="n">
        <v>9</v>
      </c>
    </row>
    <row r="1670">
      <c r="A1670">
        <f>_xlfn.XLOOKUP("CPTM L07-1",Trip[trip_id],Trip[trip_id],"Não encontrado")</f>
        <v/>
      </c>
      <c r="B1670" s="53" t="n">
        <v>0.2166666666666667</v>
      </c>
      <c r="C1670" s="53" t="n">
        <v>0.2166666666666667</v>
      </c>
      <c r="D1670">
        <f>_xlfn.XLOOKUP(4114459,Stops[stop_id],Stops[stop_id],"Não encontrado")</f>
        <v/>
      </c>
      <c r="E1670" t="n">
        <v>10</v>
      </c>
    </row>
    <row r="1671">
      <c r="A1671">
        <f>_xlfn.XLOOKUP("CPTM L07-1",Trip[trip_id],Trip[trip_id],"Não encontrado")</f>
        <v/>
      </c>
      <c r="B1671" s="53" t="n">
        <v>0.2222222222222222</v>
      </c>
      <c r="C1671" s="53" t="n">
        <v>0.2222222222222222</v>
      </c>
      <c r="D1671">
        <f>_xlfn.XLOOKUP(18922,Stops[stop_id],Stops[stop_id],"Não encontrado")</f>
        <v/>
      </c>
      <c r="E1671" t="n">
        <v>11</v>
      </c>
    </row>
    <row r="1672">
      <c r="A1672">
        <f>_xlfn.XLOOKUP("CPTM L07-1",Trip[trip_id],Trip[trip_id],"Não encontrado")</f>
        <v/>
      </c>
      <c r="B1672" s="53" t="n">
        <v>0.2277777777777778</v>
      </c>
      <c r="C1672" s="53" t="n">
        <v>0.2277777777777778</v>
      </c>
      <c r="D1672">
        <f>_xlfn.XLOOKUP(18923,Stops[stop_id],Stops[stop_id],"Não encontrado")</f>
        <v/>
      </c>
      <c r="E1672" t="n">
        <v>12</v>
      </c>
    </row>
    <row r="1673">
      <c r="A1673">
        <f>_xlfn.XLOOKUP("CPTM L07-1",Trip[trip_id],Trip[trip_id],"Não encontrado")</f>
        <v/>
      </c>
      <c r="B1673" s="53" t="n">
        <v>0.2333333333333333</v>
      </c>
      <c r="C1673" s="53" t="n">
        <v>0.2333333333333333</v>
      </c>
      <c r="D1673">
        <f>_xlfn.XLOOKUP(18965,Stops[stop_id],Stops[stop_id],"Não encontrado")</f>
        <v/>
      </c>
      <c r="E1673" t="n">
        <v>13</v>
      </c>
    </row>
    <row r="1674">
      <c r="A1674">
        <f>_xlfn.XLOOKUP("CPTM L07-1",Trip[trip_id],Trip[trip_id],"Não encontrado")</f>
        <v/>
      </c>
      <c r="B1674" s="53" t="n">
        <v>0.2388888888888889</v>
      </c>
      <c r="C1674" s="53" t="n">
        <v>0.2388888888888889</v>
      </c>
      <c r="D1674">
        <f>_xlfn.XLOOKUP(18916,Stops[stop_id],Stops[stop_id],"Não encontrado")</f>
        <v/>
      </c>
      <c r="E1674" t="n">
        <v>14</v>
      </c>
    </row>
    <row r="1675">
      <c r="A1675">
        <f>_xlfn.XLOOKUP("CPTM L07-1",Trip[trip_id],Trip[trip_id],"Não encontrado")</f>
        <v/>
      </c>
      <c r="B1675" s="53" t="n">
        <v>0.2444444444444444</v>
      </c>
      <c r="C1675" s="53" t="n">
        <v>0.2444444444444444</v>
      </c>
      <c r="D1675">
        <f>_xlfn.XLOOKUP(18917,Stops[stop_id],Stops[stop_id],"Não encontrado")</f>
        <v/>
      </c>
      <c r="E1675" t="n">
        <v>15</v>
      </c>
    </row>
    <row r="1676">
      <c r="A1676">
        <f>_xlfn.XLOOKUP("CPTM L07-1",Trip[trip_id],Trip[trip_id],"Não encontrado")</f>
        <v/>
      </c>
      <c r="B1676" s="53" t="n">
        <v>0.25</v>
      </c>
      <c r="C1676" s="53" t="n">
        <v>0.25</v>
      </c>
      <c r="D1676">
        <f>_xlfn.XLOOKUP(18919,Stops[stop_id],Stops[stop_id],"Não encontrado")</f>
        <v/>
      </c>
      <c r="E1676" t="n">
        <v>16</v>
      </c>
    </row>
    <row r="1677">
      <c r="A1677">
        <f>_xlfn.XLOOKUP("CPTM L07-1",Trip[trip_id],Trip[trip_id],"Não encontrado")</f>
        <v/>
      </c>
      <c r="B1677" s="53" t="n">
        <v>0.2555555555555555</v>
      </c>
      <c r="C1677" s="53" t="n">
        <v>0.2555555555555555</v>
      </c>
      <c r="D1677">
        <f>_xlfn.XLOOKUP(614606,Stops[stop_id],Stops[stop_id],"Não encontrado")</f>
        <v/>
      </c>
      <c r="E1677" t="n">
        <v>17</v>
      </c>
    </row>
    <row r="1678">
      <c r="A1678">
        <f>_xlfn.XLOOKUP("CPTM L08-0",Trip[trip_id],Trip[trip_id],"Não encontrado")</f>
        <v/>
      </c>
      <c r="B1678" s="53" t="n">
        <v>0.1666666666666667</v>
      </c>
      <c r="C1678" s="53" t="n">
        <v>0.1666666666666667</v>
      </c>
      <c r="D1678">
        <f>_xlfn.XLOOKUP(18939,Stops[stop_id],Stops[stop_id],"Não encontrado")</f>
        <v/>
      </c>
      <c r="E1678" t="n">
        <v>1</v>
      </c>
    </row>
    <row r="1679">
      <c r="A1679">
        <f>_xlfn.XLOOKUP("CPTM L08-0",Trip[trip_id],Trip[trip_id],"Não encontrado")</f>
        <v/>
      </c>
      <c r="B1679" s="53" t="n">
        <v>0.1715277777777778</v>
      </c>
      <c r="C1679" s="53" t="n">
        <v>0.1715277777777778</v>
      </c>
      <c r="D1679">
        <f>_xlfn.XLOOKUP(18985,Stops[stop_id],Stops[stop_id],"Não encontrado")</f>
        <v/>
      </c>
      <c r="E1679" t="n">
        <v>2</v>
      </c>
    </row>
    <row r="1680">
      <c r="A1680">
        <f>_xlfn.XLOOKUP("CPTM L08-0",Trip[trip_id],Trip[trip_id],"Não encontrado")</f>
        <v/>
      </c>
      <c r="B1680" s="53" t="n">
        <v>0.1763888888888889</v>
      </c>
      <c r="C1680" s="53" t="n">
        <v>0.1763888888888889</v>
      </c>
      <c r="D1680">
        <f>_xlfn.XLOOKUP(18918,Stops[stop_id],Stops[stop_id],"Não encontrado")</f>
        <v/>
      </c>
      <c r="E1680" t="n">
        <v>3</v>
      </c>
    </row>
    <row r="1681">
      <c r="A1681">
        <f>_xlfn.XLOOKUP("CPTM L08-0",Trip[trip_id],Trip[trip_id],"Não encontrado")</f>
        <v/>
      </c>
      <c r="B1681" s="53" t="n">
        <v>0.18125</v>
      </c>
      <c r="C1681" s="53" t="n">
        <v>0.18125</v>
      </c>
      <c r="D1681">
        <f>_xlfn.XLOOKUP(18969,Stops[stop_id],Stops[stop_id],"Não encontrado")</f>
        <v/>
      </c>
      <c r="E1681" t="n">
        <v>4</v>
      </c>
    </row>
    <row r="1682">
      <c r="A1682">
        <f>_xlfn.XLOOKUP("CPTM L08-0",Trip[trip_id],Trip[trip_id],"Não encontrado")</f>
        <v/>
      </c>
      <c r="B1682" s="53" t="n">
        <v>0.1861111111111111</v>
      </c>
      <c r="C1682" s="53" t="n">
        <v>0.1861111111111111</v>
      </c>
      <c r="D1682">
        <f>_xlfn.XLOOKUP(18964,Stops[stop_id],Stops[stop_id],"Não encontrado")</f>
        <v/>
      </c>
      <c r="E1682" t="n">
        <v>5</v>
      </c>
    </row>
    <row r="1683">
      <c r="A1683">
        <f>_xlfn.XLOOKUP("CPTM L08-0",Trip[trip_id],Trip[trip_id],"Não encontrado")</f>
        <v/>
      </c>
      <c r="B1683" s="53" t="n">
        <v>0.1909722222222222</v>
      </c>
      <c r="C1683" s="53" t="n">
        <v>0.1909722222222222</v>
      </c>
      <c r="D1683">
        <f>_xlfn.XLOOKUP(4011343,Stops[stop_id],Stops[stop_id],"Não encontrado")</f>
        <v/>
      </c>
      <c r="E1683" t="n">
        <v>6</v>
      </c>
    </row>
    <row r="1684">
      <c r="A1684">
        <f>_xlfn.XLOOKUP("CPTM L08-0",Trip[trip_id],Trip[trip_id],"Não encontrado")</f>
        <v/>
      </c>
      <c r="B1684" s="53" t="n">
        <v>0.1958333333333333</v>
      </c>
      <c r="C1684" s="53" t="n">
        <v>0.1958333333333333</v>
      </c>
      <c r="D1684">
        <f>_xlfn.XLOOKUP(18960,Stops[stop_id],Stops[stop_id],"Não encontrado")</f>
        <v/>
      </c>
      <c r="E1684" t="n">
        <v>7</v>
      </c>
    </row>
    <row r="1685">
      <c r="A1685">
        <f>_xlfn.XLOOKUP("CPTM L08-0",Trip[trip_id],Trip[trip_id],"Não encontrado")</f>
        <v/>
      </c>
      <c r="B1685" s="53" t="n">
        <v>0.2006944444444445</v>
      </c>
      <c r="C1685" s="53" t="n">
        <v>0.2006944444444445</v>
      </c>
      <c r="D1685">
        <f>_xlfn.XLOOKUP(18959,Stops[stop_id],Stops[stop_id],"Não encontrado")</f>
        <v/>
      </c>
      <c r="E1685" t="n">
        <v>8</v>
      </c>
    </row>
    <row r="1686">
      <c r="A1686">
        <f>_xlfn.XLOOKUP("CPTM L08-0",Trip[trip_id],Trip[trip_id],"Não encontrado")</f>
        <v/>
      </c>
      <c r="B1686" s="53" t="n">
        <v>0.2055555555555555</v>
      </c>
      <c r="C1686" s="53" t="n">
        <v>0.2055555555555555</v>
      </c>
      <c r="D1686">
        <f>_xlfn.XLOOKUP(18958,Stops[stop_id],Stops[stop_id],"Não encontrado")</f>
        <v/>
      </c>
      <c r="E1686" t="n">
        <v>9</v>
      </c>
    </row>
    <row r="1687">
      <c r="A1687">
        <f>_xlfn.XLOOKUP("CPTM L08-0",Trip[trip_id],Trip[trip_id],"Não encontrado")</f>
        <v/>
      </c>
      <c r="B1687" s="53" t="n">
        <v>0.2104166666666667</v>
      </c>
      <c r="C1687" s="53" t="n">
        <v>0.2104166666666667</v>
      </c>
      <c r="D1687">
        <f>_xlfn.XLOOKUP(18957,Stops[stop_id],Stops[stop_id],"Não encontrado")</f>
        <v/>
      </c>
      <c r="E1687" t="n">
        <v>10</v>
      </c>
    </row>
    <row r="1688">
      <c r="A1688">
        <f>_xlfn.XLOOKUP("CPTM L08-0",Trip[trip_id],Trip[trip_id],"Não encontrado")</f>
        <v/>
      </c>
      <c r="B1688" s="53" t="n">
        <v>0.2152777777777778</v>
      </c>
      <c r="C1688" s="53" t="n">
        <v>0.2152777777777778</v>
      </c>
      <c r="D1688">
        <f>_xlfn.XLOOKUP(18956,Stops[stop_id],Stops[stop_id],"Não encontrado")</f>
        <v/>
      </c>
      <c r="E1688" t="n">
        <v>11</v>
      </c>
    </row>
    <row r="1689">
      <c r="A1689">
        <f>_xlfn.XLOOKUP("CPTM L08-0",Trip[trip_id],Trip[trip_id],"Não encontrado")</f>
        <v/>
      </c>
      <c r="B1689" s="53" t="n">
        <v>0.2201388888888889</v>
      </c>
      <c r="C1689" s="53" t="n">
        <v>0.2201388888888889</v>
      </c>
      <c r="D1689">
        <f>_xlfn.XLOOKUP(18955,Stops[stop_id],Stops[stop_id],"Não encontrado")</f>
        <v/>
      </c>
      <c r="E1689" t="n">
        <v>12</v>
      </c>
    </row>
    <row r="1690">
      <c r="A1690">
        <f>_xlfn.XLOOKUP("CPTM L08-0",Trip[trip_id],Trip[trip_id],"Não encontrado")</f>
        <v/>
      </c>
      <c r="B1690" s="53" t="n">
        <v>0.225</v>
      </c>
      <c r="C1690" s="53" t="n">
        <v>0.225</v>
      </c>
      <c r="D1690">
        <f>_xlfn.XLOOKUP(18954,Stops[stop_id],Stops[stop_id],"Não encontrado")</f>
        <v/>
      </c>
      <c r="E1690" t="n">
        <v>13</v>
      </c>
    </row>
    <row r="1691">
      <c r="A1691">
        <f>_xlfn.XLOOKUP("CPTM L08-0",Trip[trip_id],Trip[trip_id],"Não encontrado")</f>
        <v/>
      </c>
      <c r="B1691" s="53" t="n">
        <v>0.2298611111111111</v>
      </c>
      <c r="C1691" s="53" t="n">
        <v>0.2298611111111111</v>
      </c>
      <c r="D1691">
        <f>_xlfn.XLOOKUP(18953,Stops[stop_id],Stops[stop_id],"Não encontrado")</f>
        <v/>
      </c>
      <c r="E1691" t="n">
        <v>14</v>
      </c>
    </row>
    <row r="1692">
      <c r="A1692">
        <f>_xlfn.XLOOKUP("CPTM L08-0",Trip[trip_id],Trip[trip_id],"Não encontrado")</f>
        <v/>
      </c>
      <c r="B1692" s="53" t="n">
        <v>0.2347222222222222</v>
      </c>
      <c r="C1692" s="53" t="n">
        <v>0.2347222222222222</v>
      </c>
      <c r="D1692">
        <f>_xlfn.XLOOKUP(18952,Stops[stop_id],Stops[stop_id],"Não encontrado")</f>
        <v/>
      </c>
      <c r="E1692" t="n">
        <v>15</v>
      </c>
    </row>
    <row r="1693">
      <c r="A1693">
        <f>_xlfn.XLOOKUP("CPTM L08-0",Trip[trip_id],Trip[trip_id],"Não encontrado")</f>
        <v/>
      </c>
      <c r="B1693" s="53" t="n">
        <v>0.2395833333333333</v>
      </c>
      <c r="C1693" s="53" t="n">
        <v>0.2395833333333333</v>
      </c>
      <c r="D1693">
        <f>_xlfn.XLOOKUP(18951,Stops[stop_id],Stops[stop_id],"Não encontrado")</f>
        <v/>
      </c>
      <c r="E1693" t="n">
        <v>16</v>
      </c>
    </row>
    <row r="1694">
      <c r="A1694">
        <f>_xlfn.XLOOKUP("CPTM L08-0",Trip[trip_id],Trip[trip_id],"Não encontrado")</f>
        <v/>
      </c>
      <c r="B1694" s="53" t="n">
        <v>0.2444444444444444</v>
      </c>
      <c r="C1694" s="53" t="n">
        <v>0.2444444444444444</v>
      </c>
      <c r="D1694">
        <f>_xlfn.XLOOKUP(18950,Stops[stop_id],Stops[stop_id],"Não encontrado")</f>
        <v/>
      </c>
      <c r="E1694" t="n">
        <v>17</v>
      </c>
    </row>
    <row r="1695">
      <c r="A1695">
        <f>_xlfn.XLOOKUP("CPTM L08-0",Trip[trip_id],Trip[trip_id],"Não encontrado")</f>
        <v/>
      </c>
      <c r="B1695" s="53" t="n">
        <v>0.2493055555555556</v>
      </c>
      <c r="C1695" s="53" t="n">
        <v>0.2493055555555556</v>
      </c>
      <c r="D1695">
        <f>_xlfn.XLOOKUP(18949,Stops[stop_id],Stops[stop_id],"Não encontrado")</f>
        <v/>
      </c>
      <c r="E1695" t="n">
        <v>18</v>
      </c>
    </row>
    <row r="1696">
      <c r="A1696">
        <f>_xlfn.XLOOKUP("CPTM L08-0",Trip[trip_id],Trip[trip_id],"Não encontrado")</f>
        <v/>
      </c>
      <c r="B1696" s="53" t="n">
        <v>0.2541666666666667</v>
      </c>
      <c r="C1696" s="53" t="n">
        <v>0.2541666666666667</v>
      </c>
      <c r="D1696">
        <f>_xlfn.XLOOKUP(18948,Stops[stop_id],Stops[stop_id],"Não encontrado")</f>
        <v/>
      </c>
      <c r="E1696" t="n">
        <v>19</v>
      </c>
    </row>
    <row r="1697">
      <c r="A1697">
        <f>_xlfn.XLOOKUP("CPTM L08-0",Trip[trip_id],Trip[trip_id],"Não encontrado")</f>
        <v/>
      </c>
      <c r="B1697" s="53" t="n">
        <v>0.2590277777777778</v>
      </c>
      <c r="C1697" s="53" t="n">
        <v>0.2590277777777778</v>
      </c>
      <c r="D1697">
        <f>_xlfn.XLOOKUP(18947,Stops[stop_id],Stops[stop_id],"Não encontrado")</f>
        <v/>
      </c>
      <c r="E1697" t="n">
        <v>20</v>
      </c>
    </row>
    <row r="1698">
      <c r="A1698">
        <f>_xlfn.XLOOKUP("CPTM L08-0",Trip[trip_id],Trip[trip_id],"Não encontrado")</f>
        <v/>
      </c>
      <c r="B1698" s="53" t="n">
        <v>0.2638888888888889</v>
      </c>
      <c r="C1698" s="53" t="n">
        <v>0.2638888888888889</v>
      </c>
      <c r="D1698">
        <f>_xlfn.XLOOKUP(18946,Stops[stop_id],Stops[stop_id],"Não encontrado")</f>
        <v/>
      </c>
      <c r="E1698" t="n">
        <v>21</v>
      </c>
    </row>
    <row r="1699">
      <c r="A1699">
        <f>_xlfn.XLOOKUP("CPTM L08-0",Trip[trip_id],Trip[trip_id],"Não encontrado")</f>
        <v/>
      </c>
      <c r="B1699" s="53" t="n">
        <v>0.26875</v>
      </c>
      <c r="C1699" s="53" t="n">
        <v>0.26875</v>
      </c>
      <c r="D1699">
        <f>_xlfn.XLOOKUP(18914,Stops[stop_id],Stops[stop_id],"Não encontrado")</f>
        <v/>
      </c>
      <c r="E1699" t="n">
        <v>22</v>
      </c>
    </row>
    <row r="1700">
      <c r="A1700">
        <f>_xlfn.XLOOKUP("CPTM L08-1",Trip[trip_id],Trip[trip_id],"Não encontrado")</f>
        <v/>
      </c>
      <c r="B1700" s="53" t="n">
        <v>0.1666666666666667</v>
      </c>
      <c r="C1700" s="53" t="n">
        <v>0.1666666666666667</v>
      </c>
      <c r="D1700">
        <f>_xlfn.XLOOKUP(18914,Stops[stop_id],Stops[stop_id],"Não encontrado")</f>
        <v/>
      </c>
      <c r="E1700" t="n">
        <v>1</v>
      </c>
    </row>
    <row r="1701">
      <c r="A1701">
        <f>_xlfn.XLOOKUP("CPTM L08-1",Trip[trip_id],Trip[trip_id],"Não encontrado")</f>
        <v/>
      </c>
      <c r="B1701" s="53" t="n">
        <v>0.1715277777777778</v>
      </c>
      <c r="C1701" s="53" t="n">
        <v>0.1715277777777778</v>
      </c>
      <c r="D1701">
        <f>_xlfn.XLOOKUP(18946,Stops[stop_id],Stops[stop_id],"Não encontrado")</f>
        <v/>
      </c>
      <c r="E1701" t="n">
        <v>2</v>
      </c>
    </row>
    <row r="1702">
      <c r="A1702">
        <f>_xlfn.XLOOKUP("CPTM L08-1",Trip[trip_id],Trip[trip_id],"Não encontrado")</f>
        <v/>
      </c>
      <c r="B1702" s="53" t="n">
        <v>0.1763888888888889</v>
      </c>
      <c r="C1702" s="53" t="n">
        <v>0.1763888888888889</v>
      </c>
      <c r="D1702">
        <f>_xlfn.XLOOKUP(18947,Stops[stop_id],Stops[stop_id],"Não encontrado")</f>
        <v/>
      </c>
      <c r="E1702" t="n">
        <v>3</v>
      </c>
    </row>
    <row r="1703">
      <c r="A1703">
        <f>_xlfn.XLOOKUP("CPTM L08-1",Trip[trip_id],Trip[trip_id],"Não encontrado")</f>
        <v/>
      </c>
      <c r="B1703" s="53" t="n">
        <v>0.18125</v>
      </c>
      <c r="C1703" s="53" t="n">
        <v>0.18125</v>
      </c>
      <c r="D1703">
        <f>_xlfn.XLOOKUP(18948,Stops[stop_id],Stops[stop_id],"Não encontrado")</f>
        <v/>
      </c>
      <c r="E1703" t="n">
        <v>4</v>
      </c>
    </row>
    <row r="1704">
      <c r="A1704">
        <f>_xlfn.XLOOKUP("CPTM L08-1",Trip[trip_id],Trip[trip_id],"Não encontrado")</f>
        <v/>
      </c>
      <c r="B1704" s="53" t="n">
        <v>0.1861111111111111</v>
      </c>
      <c r="C1704" s="53" t="n">
        <v>0.1861111111111111</v>
      </c>
      <c r="D1704">
        <f>_xlfn.XLOOKUP(18949,Stops[stop_id],Stops[stop_id],"Não encontrado")</f>
        <v/>
      </c>
      <c r="E1704" t="n">
        <v>5</v>
      </c>
    </row>
    <row r="1705">
      <c r="A1705">
        <f>_xlfn.XLOOKUP("CPTM L08-1",Trip[trip_id],Trip[trip_id],"Não encontrado")</f>
        <v/>
      </c>
      <c r="B1705" s="53" t="n">
        <v>0.1909722222222222</v>
      </c>
      <c r="C1705" s="53" t="n">
        <v>0.1909722222222222</v>
      </c>
      <c r="D1705">
        <f>_xlfn.XLOOKUP(18950,Stops[stop_id],Stops[stop_id],"Não encontrado")</f>
        <v/>
      </c>
      <c r="E1705" t="n">
        <v>6</v>
      </c>
    </row>
    <row r="1706">
      <c r="A1706">
        <f>_xlfn.XLOOKUP("CPTM L08-1",Trip[trip_id],Trip[trip_id],"Não encontrado")</f>
        <v/>
      </c>
      <c r="B1706" s="53" t="n">
        <v>0.1958333333333333</v>
      </c>
      <c r="C1706" s="53" t="n">
        <v>0.1958333333333333</v>
      </c>
      <c r="D1706">
        <f>_xlfn.XLOOKUP(18951,Stops[stop_id],Stops[stop_id],"Não encontrado")</f>
        <v/>
      </c>
      <c r="E1706" t="n">
        <v>7</v>
      </c>
    </row>
    <row r="1707">
      <c r="A1707">
        <f>_xlfn.XLOOKUP("CPTM L08-1",Trip[trip_id],Trip[trip_id],"Não encontrado")</f>
        <v/>
      </c>
      <c r="B1707" s="53" t="n">
        <v>0.2006944444444445</v>
      </c>
      <c r="C1707" s="53" t="n">
        <v>0.2006944444444445</v>
      </c>
      <c r="D1707">
        <f>_xlfn.XLOOKUP(18952,Stops[stop_id],Stops[stop_id],"Não encontrado")</f>
        <v/>
      </c>
      <c r="E1707" t="n">
        <v>8</v>
      </c>
    </row>
    <row r="1708">
      <c r="A1708">
        <f>_xlfn.XLOOKUP("CPTM L08-1",Trip[trip_id],Trip[trip_id],"Não encontrado")</f>
        <v/>
      </c>
      <c r="B1708" s="53" t="n">
        <v>0.2055555555555555</v>
      </c>
      <c r="C1708" s="53" t="n">
        <v>0.2055555555555555</v>
      </c>
      <c r="D1708">
        <f>_xlfn.XLOOKUP(18953,Stops[stop_id],Stops[stop_id],"Não encontrado")</f>
        <v/>
      </c>
      <c r="E1708" t="n">
        <v>9</v>
      </c>
    </row>
    <row r="1709">
      <c r="A1709">
        <f>_xlfn.XLOOKUP("CPTM L08-1",Trip[trip_id],Trip[trip_id],"Não encontrado")</f>
        <v/>
      </c>
      <c r="B1709" s="53" t="n">
        <v>0.2104166666666667</v>
      </c>
      <c r="C1709" s="53" t="n">
        <v>0.2104166666666667</v>
      </c>
      <c r="D1709">
        <f>_xlfn.XLOOKUP(18954,Stops[stop_id],Stops[stop_id],"Não encontrado")</f>
        <v/>
      </c>
      <c r="E1709" t="n">
        <v>10</v>
      </c>
    </row>
    <row r="1710">
      <c r="A1710">
        <f>_xlfn.XLOOKUP("CPTM L08-1",Trip[trip_id],Trip[trip_id],"Não encontrado")</f>
        <v/>
      </c>
      <c r="B1710" s="53" t="n">
        <v>0.2152777777777778</v>
      </c>
      <c r="C1710" s="53" t="n">
        <v>0.2152777777777778</v>
      </c>
      <c r="D1710">
        <f>_xlfn.XLOOKUP(18955,Stops[stop_id],Stops[stop_id],"Não encontrado")</f>
        <v/>
      </c>
      <c r="E1710" t="n">
        <v>11</v>
      </c>
    </row>
    <row r="1711">
      <c r="A1711">
        <f>_xlfn.XLOOKUP("CPTM L08-1",Trip[trip_id],Trip[trip_id],"Não encontrado")</f>
        <v/>
      </c>
      <c r="B1711" s="53" t="n">
        <v>0.2201388888888889</v>
      </c>
      <c r="C1711" s="53" t="n">
        <v>0.2201388888888889</v>
      </c>
      <c r="D1711">
        <f>_xlfn.XLOOKUP(18956,Stops[stop_id],Stops[stop_id],"Não encontrado")</f>
        <v/>
      </c>
      <c r="E1711" t="n">
        <v>12</v>
      </c>
    </row>
    <row r="1712">
      <c r="A1712">
        <f>_xlfn.XLOOKUP("CPTM L08-1",Trip[trip_id],Trip[trip_id],"Não encontrado")</f>
        <v/>
      </c>
      <c r="B1712" s="53" t="n">
        <v>0.225</v>
      </c>
      <c r="C1712" s="53" t="n">
        <v>0.225</v>
      </c>
      <c r="D1712">
        <f>_xlfn.XLOOKUP(18957,Stops[stop_id],Stops[stop_id],"Não encontrado")</f>
        <v/>
      </c>
      <c r="E1712" t="n">
        <v>13</v>
      </c>
    </row>
    <row r="1713">
      <c r="A1713">
        <f>_xlfn.XLOOKUP("CPTM L08-1",Trip[trip_id],Trip[trip_id],"Não encontrado")</f>
        <v/>
      </c>
      <c r="B1713" s="53" t="n">
        <v>0.2298611111111111</v>
      </c>
      <c r="C1713" s="53" t="n">
        <v>0.2298611111111111</v>
      </c>
      <c r="D1713">
        <f>_xlfn.XLOOKUP(18958,Stops[stop_id],Stops[stop_id],"Não encontrado")</f>
        <v/>
      </c>
      <c r="E1713" t="n">
        <v>14</v>
      </c>
    </row>
    <row r="1714">
      <c r="A1714">
        <f>_xlfn.XLOOKUP("CPTM L08-1",Trip[trip_id],Trip[trip_id],"Não encontrado")</f>
        <v/>
      </c>
      <c r="B1714" s="53" t="n">
        <v>0.2347222222222222</v>
      </c>
      <c r="C1714" s="53" t="n">
        <v>0.2347222222222222</v>
      </c>
      <c r="D1714">
        <f>_xlfn.XLOOKUP(18959,Stops[stop_id],Stops[stop_id],"Não encontrado")</f>
        <v/>
      </c>
      <c r="E1714" t="n">
        <v>15</v>
      </c>
    </row>
    <row r="1715">
      <c r="A1715">
        <f>_xlfn.XLOOKUP("CPTM L08-1",Trip[trip_id],Trip[trip_id],"Não encontrado")</f>
        <v/>
      </c>
      <c r="B1715" s="53" t="n">
        <v>0.2395833333333333</v>
      </c>
      <c r="C1715" s="53" t="n">
        <v>0.2395833333333333</v>
      </c>
      <c r="D1715">
        <f>_xlfn.XLOOKUP(18960,Stops[stop_id],Stops[stop_id],"Não encontrado")</f>
        <v/>
      </c>
      <c r="E1715" t="n">
        <v>16</v>
      </c>
    </row>
    <row r="1716">
      <c r="A1716">
        <f>_xlfn.XLOOKUP("CPTM L08-1",Trip[trip_id],Trip[trip_id],"Não encontrado")</f>
        <v/>
      </c>
      <c r="B1716" s="53" t="n">
        <v>0.2444444444444444</v>
      </c>
      <c r="C1716" s="53" t="n">
        <v>0.2444444444444444</v>
      </c>
      <c r="D1716">
        <f>_xlfn.XLOOKUP(4011343,Stops[stop_id],Stops[stop_id],"Não encontrado")</f>
        <v/>
      </c>
      <c r="E1716" t="n">
        <v>17</v>
      </c>
    </row>
    <row r="1717">
      <c r="A1717">
        <f>_xlfn.XLOOKUP("CPTM L08-1",Trip[trip_id],Trip[trip_id],"Não encontrado")</f>
        <v/>
      </c>
      <c r="B1717" s="53" t="n">
        <v>0.2493055555555556</v>
      </c>
      <c r="C1717" s="53" t="n">
        <v>0.2493055555555556</v>
      </c>
      <c r="D1717">
        <f>_xlfn.XLOOKUP(18964,Stops[stop_id],Stops[stop_id],"Não encontrado")</f>
        <v/>
      </c>
      <c r="E1717" t="n">
        <v>18</v>
      </c>
    </row>
    <row r="1718">
      <c r="A1718">
        <f>_xlfn.XLOOKUP("CPTM L08-1",Trip[trip_id],Trip[trip_id],"Não encontrado")</f>
        <v/>
      </c>
      <c r="B1718" s="53" t="n">
        <v>0.2541666666666667</v>
      </c>
      <c r="C1718" s="53" t="n">
        <v>0.2541666666666667</v>
      </c>
      <c r="D1718">
        <f>_xlfn.XLOOKUP(18969,Stops[stop_id],Stops[stop_id],"Não encontrado")</f>
        <v/>
      </c>
      <c r="E1718" t="n">
        <v>19</v>
      </c>
    </row>
    <row r="1719">
      <c r="A1719">
        <f>_xlfn.XLOOKUP("CPTM L08-1",Trip[trip_id],Trip[trip_id],"Não encontrado")</f>
        <v/>
      </c>
      <c r="B1719" s="53" t="n">
        <v>0.2590277777777778</v>
      </c>
      <c r="C1719" s="53" t="n">
        <v>0.2590277777777778</v>
      </c>
      <c r="D1719">
        <f>_xlfn.XLOOKUP(18918,Stops[stop_id],Stops[stop_id],"Não encontrado")</f>
        <v/>
      </c>
      <c r="E1719" t="n">
        <v>20</v>
      </c>
    </row>
    <row r="1720">
      <c r="A1720">
        <f>_xlfn.XLOOKUP("CPTM L08-1",Trip[trip_id],Trip[trip_id],"Não encontrado")</f>
        <v/>
      </c>
      <c r="B1720" s="53" t="n">
        <v>0.2638888888888889</v>
      </c>
      <c r="C1720" s="53" t="n">
        <v>0.2638888888888889</v>
      </c>
      <c r="D1720">
        <f>_xlfn.XLOOKUP(18985,Stops[stop_id],Stops[stop_id],"Não encontrado")</f>
        <v/>
      </c>
      <c r="E1720" t="n">
        <v>21</v>
      </c>
    </row>
    <row r="1721">
      <c r="A1721">
        <f>_xlfn.XLOOKUP("CPTM L08-1",Trip[trip_id],Trip[trip_id],"Não encontrado")</f>
        <v/>
      </c>
      <c r="B1721" s="53" t="n">
        <v>0.26875</v>
      </c>
      <c r="C1721" s="53" t="n">
        <v>0.26875</v>
      </c>
      <c r="D1721">
        <f>_xlfn.XLOOKUP(18939,Stops[stop_id],Stops[stop_id],"Não encontrado")</f>
        <v/>
      </c>
      <c r="E1721" t="n">
        <v>22</v>
      </c>
    </row>
    <row r="1722">
      <c r="A1722">
        <f>_xlfn.XLOOKUP("CPTM L09-0",Trip[trip_id],Trip[trip_id],"Não encontrado")</f>
        <v/>
      </c>
      <c r="B1722" s="53" t="n">
        <v>0.1666666666666667</v>
      </c>
      <c r="C1722" s="53" t="n">
        <v>0.1666666666666667</v>
      </c>
      <c r="D1722">
        <f>_xlfn.XLOOKUP(18960,Stops[stop_id],Stops[stop_id],"Não encontrado")</f>
        <v/>
      </c>
      <c r="E1722" t="n">
        <v>1</v>
      </c>
    </row>
    <row r="1723">
      <c r="A1723">
        <f>_xlfn.XLOOKUP("CPTM L09-0",Trip[trip_id],Trip[trip_id],"Não encontrado")</f>
        <v/>
      </c>
      <c r="B1723" s="53" t="n">
        <v>0.16875</v>
      </c>
      <c r="C1723" s="53" t="n">
        <v>0.16875</v>
      </c>
      <c r="D1723">
        <f>_xlfn.XLOOKUP(18961,Stops[stop_id],Stops[stop_id],"Não encontrado")</f>
        <v/>
      </c>
      <c r="E1723" t="n">
        <v>2</v>
      </c>
    </row>
    <row r="1724">
      <c r="A1724">
        <f>_xlfn.XLOOKUP("CPTM L09-0",Trip[trip_id],Trip[trip_id],"Não encontrado")</f>
        <v/>
      </c>
      <c r="B1724" s="53" t="n">
        <v>0.1708333333333333</v>
      </c>
      <c r="C1724" s="53" t="n">
        <v>0.1708333333333333</v>
      </c>
      <c r="D1724">
        <f>_xlfn.XLOOKUP(18962,Stops[stop_id],Stops[stop_id],"Não encontrado")</f>
        <v/>
      </c>
      <c r="E1724" t="n">
        <v>3</v>
      </c>
    </row>
    <row r="1725">
      <c r="A1725">
        <f>_xlfn.XLOOKUP("CPTM L09-0",Trip[trip_id],Trip[trip_id],"Não encontrado")</f>
        <v/>
      </c>
      <c r="B1725" s="53" t="n">
        <v>0.1729166666666667</v>
      </c>
      <c r="C1725" s="53" t="n">
        <v>0.1729166666666667</v>
      </c>
      <c r="D1725">
        <f>_xlfn.XLOOKUP(18963,Stops[stop_id],Stops[stop_id],"Não encontrado")</f>
        <v/>
      </c>
      <c r="E1725" t="n">
        <v>4</v>
      </c>
    </row>
    <row r="1726">
      <c r="A1726">
        <f>_xlfn.XLOOKUP("CPTM L09-0",Trip[trip_id],Trip[trip_id],"Não encontrado")</f>
        <v/>
      </c>
      <c r="B1726" s="53" t="n">
        <v>0.175</v>
      </c>
      <c r="C1726" s="53" t="n">
        <v>0.175</v>
      </c>
      <c r="D1726">
        <f>_xlfn.XLOOKUP(18967,Stops[stop_id],Stops[stop_id],"Não encontrado")</f>
        <v/>
      </c>
      <c r="E1726" t="n">
        <v>5</v>
      </c>
    </row>
    <row r="1727">
      <c r="A1727">
        <f>_xlfn.XLOOKUP("CPTM L09-0",Trip[trip_id],Trip[trip_id],"Não encontrado")</f>
        <v/>
      </c>
      <c r="B1727" s="53" t="n">
        <v>0.1770833333333333</v>
      </c>
      <c r="C1727" s="53" t="n">
        <v>0.1770833333333333</v>
      </c>
      <c r="D1727">
        <f>_xlfn.XLOOKUP(18966,Stops[stop_id],Stops[stop_id],"Não encontrado")</f>
        <v/>
      </c>
      <c r="E1727" t="n">
        <v>6</v>
      </c>
    </row>
    <row r="1728">
      <c r="A1728">
        <f>_xlfn.XLOOKUP("CPTM L09-0",Trip[trip_id],Trip[trip_id],"Não encontrado")</f>
        <v/>
      </c>
      <c r="B1728" s="53" t="n">
        <v>0.1791666666666667</v>
      </c>
      <c r="C1728" s="53" t="n">
        <v>0.1791666666666667</v>
      </c>
      <c r="D1728">
        <f>_xlfn.XLOOKUP(18968,Stops[stop_id],Stops[stop_id],"Não encontrado")</f>
        <v/>
      </c>
      <c r="E1728" t="n">
        <v>7</v>
      </c>
    </row>
    <row r="1729">
      <c r="A1729">
        <f>_xlfn.XLOOKUP("CPTM L09-0",Trip[trip_id],Trip[trip_id],"Não encontrado")</f>
        <v/>
      </c>
      <c r="B1729" s="53" t="n">
        <v>0.18125</v>
      </c>
      <c r="C1729" s="53" t="n">
        <v>0.18125</v>
      </c>
      <c r="D1729">
        <f>_xlfn.XLOOKUP(18913,Stops[stop_id],Stops[stop_id],"Não encontrado")</f>
        <v/>
      </c>
      <c r="E1729" t="n">
        <v>8</v>
      </c>
    </row>
    <row r="1730">
      <c r="A1730">
        <f>_xlfn.XLOOKUP("CPTM L09-0",Trip[trip_id],Trip[trip_id],"Não encontrado")</f>
        <v/>
      </c>
      <c r="B1730" s="53" t="n">
        <v>0.1833333333333333</v>
      </c>
      <c r="C1730" s="53" t="n">
        <v>0.1833333333333333</v>
      </c>
      <c r="D1730">
        <f>_xlfn.XLOOKUP(18912,Stops[stop_id],Stops[stop_id],"Não encontrado")</f>
        <v/>
      </c>
      <c r="E1730" t="n">
        <v>9</v>
      </c>
    </row>
    <row r="1731">
      <c r="A1731">
        <f>_xlfn.XLOOKUP("CPTM L09-0",Trip[trip_id],Trip[trip_id],"Não encontrado")</f>
        <v/>
      </c>
      <c r="B1731" s="53" t="n">
        <v>0.1854166666666667</v>
      </c>
      <c r="C1731" s="53" t="n">
        <v>0.1854166666666667</v>
      </c>
      <c r="D1731">
        <f>_xlfn.XLOOKUP(18911,Stops[stop_id],Stops[stop_id],"Não encontrado")</f>
        <v/>
      </c>
      <c r="E1731" t="n">
        <v>10</v>
      </c>
    </row>
    <row r="1732">
      <c r="A1732">
        <f>_xlfn.XLOOKUP("CPTM L09-0",Trip[trip_id],Trip[trip_id],"Não encontrado")</f>
        <v/>
      </c>
      <c r="B1732" s="53" t="n">
        <v>0.1875</v>
      </c>
      <c r="C1732" s="53" t="n">
        <v>0.1875</v>
      </c>
      <c r="D1732">
        <f>_xlfn.XLOOKUP(18910,Stops[stop_id],Stops[stop_id],"Não encontrado")</f>
        <v/>
      </c>
      <c r="E1732" t="n">
        <v>11</v>
      </c>
    </row>
    <row r="1733">
      <c r="A1733">
        <f>_xlfn.XLOOKUP("CPTM L09-0",Trip[trip_id],Trip[trip_id],"Não encontrado")</f>
        <v/>
      </c>
      <c r="B1733" s="53" t="n">
        <v>0.1895833333333333</v>
      </c>
      <c r="C1733" s="53" t="n">
        <v>0.1895833333333333</v>
      </c>
      <c r="D1733">
        <f>_xlfn.XLOOKUP(18909,Stops[stop_id],Stops[stop_id],"Não encontrado")</f>
        <v/>
      </c>
      <c r="E1733" t="n">
        <v>12</v>
      </c>
    </row>
    <row r="1734">
      <c r="A1734">
        <f>_xlfn.XLOOKUP("CPTM L09-0",Trip[trip_id],Trip[trip_id],"Não encontrado")</f>
        <v/>
      </c>
      <c r="B1734" s="53" t="n">
        <v>0.1916666666666667</v>
      </c>
      <c r="C1734" s="53" t="n">
        <v>0.1916666666666667</v>
      </c>
      <c r="D1734">
        <f>_xlfn.XLOOKUP(7206982,Stops[stop_id],Stops[stop_id],"Não encontrado")</f>
        <v/>
      </c>
      <c r="E1734" t="n">
        <v>13</v>
      </c>
    </row>
    <row r="1735">
      <c r="A1735">
        <f>_xlfn.XLOOKUP("CPTM L09-0",Trip[trip_id],Trip[trip_id],"Não encontrado")</f>
        <v/>
      </c>
      <c r="B1735" s="53" t="n">
        <v>0.19375</v>
      </c>
      <c r="C1735" s="53" t="n">
        <v>0.19375</v>
      </c>
      <c r="D1735">
        <f>_xlfn.XLOOKUP(18906,Stops[stop_id],Stops[stop_id],"Não encontrado")</f>
        <v/>
      </c>
      <c r="E1735" t="n">
        <v>14</v>
      </c>
    </row>
    <row r="1736">
      <c r="A1736">
        <f>_xlfn.XLOOKUP("CPTM L09-0",Trip[trip_id],Trip[trip_id],"Não encontrado")</f>
        <v/>
      </c>
      <c r="B1736" s="53" t="n">
        <v>0.1958333333333333</v>
      </c>
      <c r="C1736" s="53" t="n">
        <v>0.1958333333333333</v>
      </c>
      <c r="D1736">
        <f>_xlfn.XLOOKUP(18908,Stops[stop_id],Stops[stop_id],"Não encontrado")</f>
        <v/>
      </c>
      <c r="E1736" t="n">
        <v>15</v>
      </c>
    </row>
    <row r="1737">
      <c r="A1737">
        <f>_xlfn.XLOOKUP("CPTM L09-0",Trip[trip_id],Trip[trip_id],"Não encontrado")</f>
        <v/>
      </c>
      <c r="B1737" s="53" t="n">
        <v>0.1979166666666667</v>
      </c>
      <c r="C1737" s="53" t="n">
        <v>0.1979166666666667</v>
      </c>
      <c r="D1737">
        <f>_xlfn.XLOOKUP(18907,Stops[stop_id],Stops[stop_id],"Não encontrado")</f>
        <v/>
      </c>
      <c r="E1737" t="n">
        <v>16</v>
      </c>
    </row>
    <row r="1738">
      <c r="A1738">
        <f>_xlfn.XLOOKUP("CPTM L09-0",Trip[trip_id],Trip[trip_id],"Não encontrado")</f>
        <v/>
      </c>
      <c r="B1738" s="53" t="n">
        <v>0.2</v>
      </c>
      <c r="C1738" s="53" t="n">
        <v>0.2</v>
      </c>
      <c r="D1738">
        <f>_xlfn.XLOOKUP(2314493,Stops[stop_id],Stops[stop_id],"Não encontrado")</f>
        <v/>
      </c>
      <c r="E1738" t="n">
        <v>17</v>
      </c>
    </row>
    <row r="1739">
      <c r="A1739">
        <f>_xlfn.XLOOKUP("CPTM L09-0",Trip[trip_id],Trip[trip_id],"Não encontrado")</f>
        <v/>
      </c>
      <c r="B1739" s="53" t="n">
        <v>0.2020833333333333</v>
      </c>
      <c r="C1739" s="53" t="n">
        <v>0.2020833333333333</v>
      </c>
      <c r="D1739">
        <f>_xlfn.XLOOKUP(2314514,Stops[stop_id],Stops[stop_id],"Não encontrado")</f>
        <v/>
      </c>
      <c r="E1739" t="n">
        <v>18</v>
      </c>
    </row>
    <row r="1740">
      <c r="A1740">
        <f>_xlfn.XLOOKUP("CPTM L09-0",Trip[trip_id],Trip[trip_id],"Não encontrado")</f>
        <v/>
      </c>
      <c r="B1740" s="53" t="n">
        <v>0.2041666666666667</v>
      </c>
      <c r="C1740" s="53" t="n">
        <v>0.2041666666666667</v>
      </c>
      <c r="D1740">
        <f>_xlfn.XLOOKUP(3014630,Stops[stop_id],Stops[stop_id],"Não encontrado")</f>
        <v/>
      </c>
      <c r="E1740" t="n">
        <v>19</v>
      </c>
    </row>
    <row r="1741">
      <c r="A1741">
        <f>_xlfn.XLOOKUP("CPTM L09-0",Trip[trip_id],Trip[trip_id],"Não encontrado")</f>
        <v/>
      </c>
      <c r="B1741" s="53" t="n">
        <v>0.20625</v>
      </c>
      <c r="C1741" s="53" t="n">
        <v>0.20625</v>
      </c>
      <c r="D1741">
        <f>_xlfn.XLOOKUP(3014945,Stops[stop_id],Stops[stop_id],"Não encontrado")</f>
        <v/>
      </c>
      <c r="E1741" t="n">
        <v>20</v>
      </c>
    </row>
    <row r="1742">
      <c r="A1742">
        <f>_xlfn.XLOOKUP("CPTM L09-0",Trip[trip_id],Trip[trip_id],"Não encontrado")</f>
        <v/>
      </c>
      <c r="B1742" s="53" t="n">
        <v>0.2083333333333333</v>
      </c>
      <c r="C1742" s="53" t="n">
        <v>0.2083333333333333</v>
      </c>
      <c r="D1742">
        <f>_xlfn.XLOOKUP(3015054,Stops[stop_id],Stops[stop_id],"Não encontrado")</f>
        <v/>
      </c>
      <c r="E1742" t="n">
        <v>21</v>
      </c>
    </row>
    <row r="1743">
      <c r="A1743">
        <f>_xlfn.XLOOKUP("CPTM L09-1",Trip[trip_id],Trip[trip_id],"Não encontrado")</f>
        <v/>
      </c>
      <c r="B1743" s="53" t="n">
        <v>0.1666666666666667</v>
      </c>
      <c r="C1743" s="53" t="n">
        <v>0.1666666666666667</v>
      </c>
      <c r="D1743">
        <f>_xlfn.XLOOKUP(3015054,Stops[stop_id],Stops[stop_id],"Não encontrado")</f>
        <v/>
      </c>
      <c r="E1743" t="n">
        <v>1</v>
      </c>
    </row>
    <row r="1744">
      <c r="A1744">
        <f>_xlfn.XLOOKUP("CPTM L09-1",Trip[trip_id],Trip[trip_id],"Não encontrado")</f>
        <v/>
      </c>
      <c r="B1744" s="53" t="n">
        <v>0.16875</v>
      </c>
      <c r="C1744" s="53" t="n">
        <v>0.16875</v>
      </c>
      <c r="D1744">
        <f>_xlfn.XLOOKUP(3014945,Stops[stop_id],Stops[stop_id],"Não encontrado")</f>
        <v/>
      </c>
      <c r="E1744" t="n">
        <v>2</v>
      </c>
    </row>
    <row r="1745">
      <c r="A1745">
        <f>_xlfn.XLOOKUP("CPTM L09-1",Trip[trip_id],Trip[trip_id],"Não encontrado")</f>
        <v/>
      </c>
      <c r="B1745" s="53" t="n">
        <v>0.1708333333333333</v>
      </c>
      <c r="C1745" s="53" t="n">
        <v>0.1708333333333333</v>
      </c>
      <c r="D1745">
        <f>_xlfn.XLOOKUP(3014630,Stops[stop_id],Stops[stop_id],"Não encontrado")</f>
        <v/>
      </c>
      <c r="E1745" t="n">
        <v>3</v>
      </c>
    </row>
    <row r="1746">
      <c r="A1746">
        <f>_xlfn.XLOOKUP("CPTM L09-1",Trip[trip_id],Trip[trip_id],"Não encontrado")</f>
        <v/>
      </c>
      <c r="B1746" s="53" t="n">
        <v>0.1729166666666667</v>
      </c>
      <c r="C1746" s="53" t="n">
        <v>0.1729166666666667</v>
      </c>
      <c r="D1746">
        <f>_xlfn.XLOOKUP(2314514,Stops[stop_id],Stops[stop_id],"Não encontrado")</f>
        <v/>
      </c>
      <c r="E1746" t="n">
        <v>4</v>
      </c>
    </row>
    <row r="1747">
      <c r="A1747">
        <f>_xlfn.XLOOKUP("CPTM L09-1",Trip[trip_id],Trip[trip_id],"Não encontrado")</f>
        <v/>
      </c>
      <c r="B1747" s="53" t="n">
        <v>0.175</v>
      </c>
      <c r="C1747" s="53" t="n">
        <v>0.175</v>
      </c>
      <c r="D1747">
        <f>_xlfn.XLOOKUP(2314493,Stops[stop_id],Stops[stop_id],"Não encontrado")</f>
        <v/>
      </c>
      <c r="E1747" t="n">
        <v>5</v>
      </c>
    </row>
    <row r="1748">
      <c r="A1748">
        <f>_xlfn.XLOOKUP("CPTM L09-1",Trip[trip_id],Trip[trip_id],"Não encontrado")</f>
        <v/>
      </c>
      <c r="B1748" s="53" t="n">
        <v>0.1770833333333333</v>
      </c>
      <c r="C1748" s="53" t="n">
        <v>0.1770833333333333</v>
      </c>
      <c r="D1748">
        <f>_xlfn.XLOOKUP(18907,Stops[stop_id],Stops[stop_id],"Não encontrado")</f>
        <v/>
      </c>
      <c r="E1748" t="n">
        <v>6</v>
      </c>
    </row>
    <row r="1749">
      <c r="A1749">
        <f>_xlfn.XLOOKUP("CPTM L09-1",Trip[trip_id],Trip[trip_id],"Não encontrado")</f>
        <v/>
      </c>
      <c r="B1749" s="53" t="n">
        <v>0.1791666666666667</v>
      </c>
      <c r="C1749" s="53" t="n">
        <v>0.1791666666666667</v>
      </c>
      <c r="D1749">
        <f>_xlfn.XLOOKUP(18908,Stops[stop_id],Stops[stop_id],"Não encontrado")</f>
        <v/>
      </c>
      <c r="E1749" t="n">
        <v>7</v>
      </c>
    </row>
    <row r="1750">
      <c r="A1750">
        <f>_xlfn.XLOOKUP("CPTM L09-1",Trip[trip_id],Trip[trip_id],"Não encontrado")</f>
        <v/>
      </c>
      <c r="B1750" s="53" t="n">
        <v>0.18125</v>
      </c>
      <c r="C1750" s="53" t="n">
        <v>0.18125</v>
      </c>
      <c r="D1750">
        <f>_xlfn.XLOOKUP(18906,Stops[stop_id],Stops[stop_id],"Não encontrado")</f>
        <v/>
      </c>
      <c r="E1750" t="n">
        <v>8</v>
      </c>
    </row>
    <row r="1751">
      <c r="A1751">
        <f>_xlfn.XLOOKUP("CPTM L09-1",Trip[trip_id],Trip[trip_id],"Não encontrado")</f>
        <v/>
      </c>
      <c r="B1751" s="53" t="n">
        <v>0.1833333333333333</v>
      </c>
      <c r="C1751" s="53" t="n">
        <v>0.1833333333333333</v>
      </c>
      <c r="D1751">
        <f>_xlfn.XLOOKUP(7206982,Stops[stop_id],Stops[stop_id],"Não encontrado")</f>
        <v/>
      </c>
      <c r="E1751" t="n">
        <v>9</v>
      </c>
    </row>
    <row r="1752">
      <c r="A1752">
        <f>_xlfn.XLOOKUP("CPTM L09-1",Trip[trip_id],Trip[trip_id],"Não encontrado")</f>
        <v/>
      </c>
      <c r="B1752" s="53" t="n">
        <v>0.1854166666666667</v>
      </c>
      <c r="C1752" s="53" t="n">
        <v>0.1854166666666667</v>
      </c>
      <c r="D1752">
        <f>_xlfn.XLOOKUP(18909,Stops[stop_id],Stops[stop_id],"Não encontrado")</f>
        <v/>
      </c>
      <c r="E1752" t="n">
        <v>10</v>
      </c>
    </row>
    <row r="1753">
      <c r="A1753">
        <f>_xlfn.XLOOKUP("CPTM L09-1",Trip[trip_id],Trip[trip_id],"Não encontrado")</f>
        <v/>
      </c>
      <c r="B1753" s="53" t="n">
        <v>0.1875</v>
      </c>
      <c r="C1753" s="53" t="n">
        <v>0.1875</v>
      </c>
      <c r="D1753">
        <f>_xlfn.XLOOKUP(18910,Stops[stop_id],Stops[stop_id],"Não encontrado")</f>
        <v/>
      </c>
      <c r="E1753" t="n">
        <v>11</v>
      </c>
    </row>
    <row r="1754">
      <c r="A1754">
        <f>_xlfn.XLOOKUP("CPTM L09-1",Trip[trip_id],Trip[trip_id],"Não encontrado")</f>
        <v/>
      </c>
      <c r="B1754" s="53" t="n">
        <v>0.1895833333333333</v>
      </c>
      <c r="C1754" s="53" t="n">
        <v>0.1895833333333333</v>
      </c>
      <c r="D1754">
        <f>_xlfn.XLOOKUP(18911,Stops[stop_id],Stops[stop_id],"Não encontrado")</f>
        <v/>
      </c>
      <c r="E1754" t="n">
        <v>12</v>
      </c>
    </row>
    <row r="1755">
      <c r="A1755">
        <f>_xlfn.XLOOKUP("CPTM L09-1",Trip[trip_id],Trip[trip_id],"Não encontrado")</f>
        <v/>
      </c>
      <c r="B1755" s="53" t="n">
        <v>0.1916666666666667</v>
      </c>
      <c r="C1755" s="53" t="n">
        <v>0.1916666666666667</v>
      </c>
      <c r="D1755">
        <f>_xlfn.XLOOKUP(18912,Stops[stop_id],Stops[stop_id],"Não encontrado")</f>
        <v/>
      </c>
      <c r="E1755" t="n">
        <v>13</v>
      </c>
    </row>
    <row r="1756">
      <c r="A1756">
        <f>_xlfn.XLOOKUP("CPTM L09-1",Trip[trip_id],Trip[trip_id],"Não encontrado")</f>
        <v/>
      </c>
      <c r="B1756" s="53" t="n">
        <v>0.19375</v>
      </c>
      <c r="C1756" s="53" t="n">
        <v>0.19375</v>
      </c>
      <c r="D1756">
        <f>_xlfn.XLOOKUP(18913,Stops[stop_id],Stops[stop_id],"Não encontrado")</f>
        <v/>
      </c>
      <c r="E1756" t="n">
        <v>14</v>
      </c>
    </row>
    <row r="1757">
      <c r="A1757">
        <f>_xlfn.XLOOKUP("CPTM L09-1",Trip[trip_id],Trip[trip_id],"Não encontrado")</f>
        <v/>
      </c>
      <c r="B1757" s="53" t="n">
        <v>0.1958333333333333</v>
      </c>
      <c r="C1757" s="53" t="n">
        <v>0.1958333333333333</v>
      </c>
      <c r="D1757">
        <f>_xlfn.XLOOKUP(18968,Stops[stop_id],Stops[stop_id],"Não encontrado")</f>
        <v/>
      </c>
      <c r="E1757" t="n">
        <v>15</v>
      </c>
    </row>
    <row r="1758">
      <c r="A1758">
        <f>_xlfn.XLOOKUP("CPTM L09-1",Trip[trip_id],Trip[trip_id],"Não encontrado")</f>
        <v/>
      </c>
      <c r="B1758" s="53" t="n">
        <v>0.1979166666666667</v>
      </c>
      <c r="C1758" s="53" t="n">
        <v>0.1979166666666667</v>
      </c>
      <c r="D1758">
        <f>_xlfn.XLOOKUP(18966,Stops[stop_id],Stops[stop_id],"Não encontrado")</f>
        <v/>
      </c>
      <c r="E1758" t="n">
        <v>16</v>
      </c>
    </row>
    <row r="1759">
      <c r="A1759">
        <f>_xlfn.XLOOKUP("CPTM L09-1",Trip[trip_id],Trip[trip_id],"Não encontrado")</f>
        <v/>
      </c>
      <c r="B1759" s="53" t="n">
        <v>0.2</v>
      </c>
      <c r="C1759" s="53" t="n">
        <v>0.2</v>
      </c>
      <c r="D1759">
        <f>_xlfn.XLOOKUP(18967,Stops[stop_id],Stops[stop_id],"Não encontrado")</f>
        <v/>
      </c>
      <c r="E1759" t="n">
        <v>17</v>
      </c>
    </row>
    <row r="1760">
      <c r="A1760">
        <f>_xlfn.XLOOKUP("CPTM L09-1",Trip[trip_id],Trip[trip_id],"Não encontrado")</f>
        <v/>
      </c>
      <c r="B1760" s="53" t="n">
        <v>0.2020833333333333</v>
      </c>
      <c r="C1760" s="53" t="n">
        <v>0.2020833333333333</v>
      </c>
      <c r="D1760">
        <f>_xlfn.XLOOKUP(18963,Stops[stop_id],Stops[stop_id],"Não encontrado")</f>
        <v/>
      </c>
      <c r="E1760" t="n">
        <v>18</v>
      </c>
    </row>
    <row r="1761">
      <c r="A1761">
        <f>_xlfn.XLOOKUP("CPTM L09-1",Trip[trip_id],Trip[trip_id],"Não encontrado")</f>
        <v/>
      </c>
      <c r="B1761" s="53" t="n">
        <v>0.2041666666666667</v>
      </c>
      <c r="C1761" s="53" t="n">
        <v>0.2041666666666667</v>
      </c>
      <c r="D1761">
        <f>_xlfn.XLOOKUP(18962,Stops[stop_id],Stops[stop_id],"Não encontrado")</f>
        <v/>
      </c>
      <c r="E1761" t="n">
        <v>19</v>
      </c>
    </row>
    <row r="1762">
      <c r="A1762">
        <f>_xlfn.XLOOKUP("CPTM L09-1",Trip[trip_id],Trip[trip_id],"Não encontrado")</f>
        <v/>
      </c>
      <c r="B1762" s="53" t="n">
        <v>0.20625</v>
      </c>
      <c r="C1762" s="53" t="n">
        <v>0.20625</v>
      </c>
      <c r="D1762">
        <f>_xlfn.XLOOKUP(18961,Stops[stop_id],Stops[stop_id],"Não encontrado")</f>
        <v/>
      </c>
      <c r="E1762" t="n">
        <v>20</v>
      </c>
    </row>
    <row r="1763">
      <c r="A1763">
        <f>_xlfn.XLOOKUP("CPTM L09-1",Trip[trip_id],Trip[trip_id],"Não encontrado")</f>
        <v/>
      </c>
      <c r="B1763" s="53" t="n">
        <v>0.2083333333333333</v>
      </c>
      <c r="C1763" s="53" t="n">
        <v>0.2083333333333333</v>
      </c>
      <c r="D1763">
        <f>_xlfn.XLOOKUP(18960,Stops[stop_id],Stops[stop_id],"Não encontrado")</f>
        <v/>
      </c>
      <c r="E1763" t="n">
        <v>21</v>
      </c>
    </row>
    <row r="1764">
      <c r="A1764">
        <f>_xlfn.XLOOKUP("CPTM L10-0",Trip[trip_id],Trip[trip_id],"Não encontrado")</f>
        <v/>
      </c>
      <c r="B1764" s="53" t="n">
        <v>0.1666666666666667</v>
      </c>
      <c r="C1764" s="53" t="n">
        <v>0.1666666666666667</v>
      </c>
      <c r="D1764">
        <f>_xlfn.XLOOKUP(18920,Stops[stop_id],Stops[stop_id],"Não encontrado")</f>
        <v/>
      </c>
      <c r="E1764" t="n">
        <v>1</v>
      </c>
    </row>
    <row r="1765">
      <c r="A1765">
        <f>_xlfn.XLOOKUP("CPTM L10-0",Trip[trip_id],Trip[trip_id],"Não encontrado")</f>
        <v/>
      </c>
      <c r="B1765" s="53" t="n">
        <v>0.1715277777777778</v>
      </c>
      <c r="C1765" s="53" t="n">
        <v>0.1715277777777778</v>
      </c>
      <c r="D1765">
        <f>_xlfn.XLOOKUP(18940,Stops[stop_id],Stops[stop_id],"Não encontrado")</f>
        <v/>
      </c>
      <c r="E1765" t="n">
        <v>2</v>
      </c>
    </row>
    <row r="1766">
      <c r="A1766">
        <f>_xlfn.XLOOKUP("CPTM L10-0",Trip[trip_id],Trip[trip_id],"Não encontrado")</f>
        <v/>
      </c>
      <c r="B1766" s="53" t="n">
        <v>0.1763888888888889</v>
      </c>
      <c r="C1766" s="53" t="n">
        <v>0.1763888888888889</v>
      </c>
      <c r="D1766">
        <f>_xlfn.XLOOKUP(1010053,Stops[stop_id],Stops[stop_id],"Não encontrado")</f>
        <v/>
      </c>
      <c r="E1766" t="n">
        <v>3</v>
      </c>
    </row>
    <row r="1767">
      <c r="A1767">
        <f>_xlfn.XLOOKUP("CPTM L10-0",Trip[trip_id],Trip[trip_id],"Não encontrado")</f>
        <v/>
      </c>
      <c r="B1767" s="53" t="n">
        <v>0.18125</v>
      </c>
      <c r="C1767" s="53" t="n">
        <v>0.18125</v>
      </c>
      <c r="D1767">
        <f>_xlfn.XLOOKUP(18941,Stops[stop_id],Stops[stop_id],"Não encontrado")</f>
        <v/>
      </c>
      <c r="E1767" t="n">
        <v>4</v>
      </c>
    </row>
    <row r="1768">
      <c r="A1768">
        <f>_xlfn.XLOOKUP("CPTM L10-0",Trip[trip_id],Trip[trip_id],"Não encontrado")</f>
        <v/>
      </c>
      <c r="B1768" s="53" t="n">
        <v>0.1861111111111111</v>
      </c>
      <c r="C1768" s="53" t="n">
        <v>0.1861111111111111</v>
      </c>
      <c r="D1768">
        <f>_xlfn.XLOOKUP(18942,Stops[stop_id],Stops[stop_id],"Não encontrado")</f>
        <v/>
      </c>
      <c r="E1768" t="n">
        <v>5</v>
      </c>
    </row>
    <row r="1769">
      <c r="A1769">
        <f>_xlfn.XLOOKUP("CPTM L10-0",Trip[trip_id],Trip[trip_id],"Não encontrado")</f>
        <v/>
      </c>
      <c r="B1769" s="53" t="n">
        <v>0.1909722222222222</v>
      </c>
      <c r="C1769" s="53" t="n">
        <v>0.1909722222222222</v>
      </c>
      <c r="D1769">
        <f>_xlfn.XLOOKUP(18927,Stops[stop_id],Stops[stop_id],"Não encontrado")</f>
        <v/>
      </c>
      <c r="E1769" t="n">
        <v>6</v>
      </c>
    </row>
    <row r="1770">
      <c r="A1770">
        <f>_xlfn.XLOOKUP("CPTM L10-0",Trip[trip_id],Trip[trip_id],"Não encontrado")</f>
        <v/>
      </c>
      <c r="B1770" s="53" t="n">
        <v>0.1958333333333333</v>
      </c>
      <c r="C1770" s="53" t="n">
        <v>0.1958333333333333</v>
      </c>
      <c r="D1770">
        <f>_xlfn.XLOOKUP(18928,Stops[stop_id],Stops[stop_id],"Não encontrado")</f>
        <v/>
      </c>
      <c r="E1770" t="n">
        <v>7</v>
      </c>
    </row>
    <row r="1771">
      <c r="A1771">
        <f>_xlfn.XLOOKUP("CPTM L10-0",Trip[trip_id],Trip[trip_id],"Não encontrado")</f>
        <v/>
      </c>
      <c r="B1771" s="53" t="n">
        <v>0.2006944444444445</v>
      </c>
      <c r="C1771" s="53" t="n">
        <v>0.2006944444444445</v>
      </c>
      <c r="D1771">
        <f>_xlfn.XLOOKUP(18929,Stops[stop_id],Stops[stop_id],"Não encontrado")</f>
        <v/>
      </c>
      <c r="E1771" t="n">
        <v>8</v>
      </c>
    </row>
    <row r="1772">
      <c r="A1772">
        <f>_xlfn.XLOOKUP("CPTM L10-0",Trip[trip_id],Trip[trip_id],"Não encontrado")</f>
        <v/>
      </c>
      <c r="B1772" s="53" t="n">
        <v>0.2055555555555555</v>
      </c>
      <c r="C1772" s="53" t="n">
        <v>0.2055555555555555</v>
      </c>
      <c r="D1772">
        <f>_xlfn.XLOOKUP(18930,Stops[stop_id],Stops[stop_id],"Não encontrado")</f>
        <v/>
      </c>
      <c r="E1772" t="n">
        <v>9</v>
      </c>
    </row>
    <row r="1773">
      <c r="A1773">
        <f>_xlfn.XLOOKUP("CPTM L10-0",Trip[trip_id],Trip[trip_id],"Não encontrado")</f>
        <v/>
      </c>
      <c r="B1773" s="53" t="n">
        <v>0.2104166666666667</v>
      </c>
      <c r="C1773" s="53" t="n">
        <v>0.2104166666666667</v>
      </c>
      <c r="D1773">
        <f>_xlfn.XLOOKUP(18936,Stops[stop_id],Stops[stop_id],"Não encontrado")</f>
        <v/>
      </c>
      <c r="E1773" t="n">
        <v>10</v>
      </c>
    </row>
    <row r="1774">
      <c r="A1774">
        <f>_xlfn.XLOOKUP("CPTM L10-0",Trip[trip_id],Trip[trip_id],"Não encontrado")</f>
        <v/>
      </c>
      <c r="B1774" s="53" t="n">
        <v>0.2152777777777778</v>
      </c>
      <c r="C1774" s="53" t="n">
        <v>0.2152777777777778</v>
      </c>
      <c r="D1774">
        <f>_xlfn.XLOOKUP(18934,Stops[stop_id],Stops[stop_id],"Não encontrado")</f>
        <v/>
      </c>
      <c r="E1774" t="n">
        <v>11</v>
      </c>
    </row>
    <row r="1775">
      <c r="A1775">
        <f>_xlfn.XLOOKUP("CPTM L10-0",Trip[trip_id],Trip[trip_id],"Não encontrado")</f>
        <v/>
      </c>
      <c r="B1775" s="53" t="n">
        <v>0.2201388888888889</v>
      </c>
      <c r="C1775" s="53" t="n">
        <v>0.2201388888888889</v>
      </c>
      <c r="D1775">
        <f>_xlfn.XLOOKUP(18935,Stops[stop_id],Stops[stop_id],"Não encontrado")</f>
        <v/>
      </c>
      <c r="E1775" t="n">
        <v>12</v>
      </c>
    </row>
    <row r="1776">
      <c r="A1776">
        <f>_xlfn.XLOOKUP("CPTM L10-0",Trip[trip_id],Trip[trip_id],"Não encontrado")</f>
        <v/>
      </c>
      <c r="B1776" s="53" t="n">
        <v>0.225</v>
      </c>
      <c r="C1776" s="53" t="n">
        <v>0.225</v>
      </c>
      <c r="D1776">
        <f>_xlfn.XLOOKUP(18937,Stops[stop_id],Stops[stop_id],"Não encontrado")</f>
        <v/>
      </c>
      <c r="E1776" t="n">
        <v>13</v>
      </c>
    </row>
    <row r="1777">
      <c r="A1777">
        <f>_xlfn.XLOOKUP("CPTM L10-0",Trip[trip_id],Trip[trip_id],"Não encontrado")</f>
        <v/>
      </c>
      <c r="B1777" s="53" t="n">
        <v>0.2298611111111111</v>
      </c>
      <c r="C1777" s="53" t="n">
        <v>0.2298611111111111</v>
      </c>
      <c r="D1777">
        <f>_xlfn.XLOOKUP(18931,Stops[stop_id],Stops[stop_id],"Não encontrado")</f>
        <v/>
      </c>
      <c r="E1777" t="n">
        <v>14</v>
      </c>
    </row>
    <row r="1778">
      <c r="A1778">
        <f>_xlfn.XLOOKUP("CPTM L10-0",Trip[trip_id],Trip[trip_id],"Não encontrado")</f>
        <v/>
      </c>
      <c r="B1778" s="53" t="n">
        <v>0.2347222222222222</v>
      </c>
      <c r="C1778" s="53" t="n">
        <v>0.2347222222222222</v>
      </c>
      <c r="D1778">
        <f>_xlfn.XLOOKUP(18932,Stops[stop_id],Stops[stop_id],"Não encontrado")</f>
        <v/>
      </c>
      <c r="E1778" t="n">
        <v>15</v>
      </c>
    </row>
    <row r="1779">
      <c r="A1779">
        <f>_xlfn.XLOOKUP("CPTM L10-1",Trip[trip_id],Trip[trip_id],"Não encontrado")</f>
        <v/>
      </c>
      <c r="B1779" s="53" t="n">
        <v>0.1666666666666667</v>
      </c>
      <c r="C1779" s="53" t="n">
        <v>0.1666666666666667</v>
      </c>
      <c r="D1779">
        <f>_xlfn.XLOOKUP(18932,Stops[stop_id],Stops[stop_id],"Não encontrado")</f>
        <v/>
      </c>
      <c r="E1779" t="n">
        <v>1</v>
      </c>
    </row>
    <row r="1780">
      <c r="A1780">
        <f>_xlfn.XLOOKUP("CPTM L10-1",Trip[trip_id],Trip[trip_id],"Não encontrado")</f>
        <v/>
      </c>
      <c r="B1780" s="53" t="n">
        <v>0.1715277777777778</v>
      </c>
      <c r="C1780" s="53" t="n">
        <v>0.1715277777777778</v>
      </c>
      <c r="D1780">
        <f>_xlfn.XLOOKUP(18931,Stops[stop_id],Stops[stop_id],"Não encontrado")</f>
        <v/>
      </c>
      <c r="E1780" t="n">
        <v>2</v>
      </c>
    </row>
    <row r="1781">
      <c r="A1781">
        <f>_xlfn.XLOOKUP("CPTM L10-1",Trip[trip_id],Trip[trip_id],"Não encontrado")</f>
        <v/>
      </c>
      <c r="B1781" s="53" t="n">
        <v>0.1763888888888889</v>
      </c>
      <c r="C1781" s="53" t="n">
        <v>0.1763888888888889</v>
      </c>
      <c r="D1781">
        <f>_xlfn.XLOOKUP(18937,Stops[stop_id],Stops[stop_id],"Não encontrado")</f>
        <v/>
      </c>
      <c r="E1781" t="n">
        <v>3</v>
      </c>
    </row>
    <row r="1782">
      <c r="A1782">
        <f>_xlfn.XLOOKUP("CPTM L10-1",Trip[trip_id],Trip[trip_id],"Não encontrado")</f>
        <v/>
      </c>
      <c r="B1782" s="53" t="n">
        <v>0.18125</v>
      </c>
      <c r="C1782" s="53" t="n">
        <v>0.18125</v>
      </c>
      <c r="D1782">
        <f>_xlfn.XLOOKUP(18935,Stops[stop_id],Stops[stop_id],"Não encontrado")</f>
        <v/>
      </c>
      <c r="E1782" t="n">
        <v>4</v>
      </c>
    </row>
    <row r="1783">
      <c r="A1783">
        <f>_xlfn.XLOOKUP("CPTM L10-1",Trip[trip_id],Trip[trip_id],"Não encontrado")</f>
        <v/>
      </c>
      <c r="B1783" s="53" t="n">
        <v>0.1861111111111111</v>
      </c>
      <c r="C1783" s="53" t="n">
        <v>0.1861111111111111</v>
      </c>
      <c r="D1783">
        <f>_xlfn.XLOOKUP(18934,Stops[stop_id],Stops[stop_id],"Não encontrado")</f>
        <v/>
      </c>
      <c r="E1783" t="n">
        <v>5</v>
      </c>
    </row>
    <row r="1784">
      <c r="A1784">
        <f>_xlfn.XLOOKUP("CPTM L10-1",Trip[trip_id],Trip[trip_id],"Não encontrado")</f>
        <v/>
      </c>
      <c r="B1784" s="53" t="n">
        <v>0.1909722222222222</v>
      </c>
      <c r="C1784" s="53" t="n">
        <v>0.1909722222222222</v>
      </c>
      <c r="D1784">
        <f>_xlfn.XLOOKUP(18936,Stops[stop_id],Stops[stop_id],"Não encontrado")</f>
        <v/>
      </c>
      <c r="E1784" t="n">
        <v>6</v>
      </c>
    </row>
    <row r="1785">
      <c r="A1785">
        <f>_xlfn.XLOOKUP("CPTM L10-1",Trip[trip_id],Trip[trip_id],"Não encontrado")</f>
        <v/>
      </c>
      <c r="B1785" s="53" t="n">
        <v>0.1958333333333333</v>
      </c>
      <c r="C1785" s="53" t="n">
        <v>0.1958333333333333</v>
      </c>
      <c r="D1785">
        <f>_xlfn.XLOOKUP(18930,Stops[stop_id],Stops[stop_id],"Não encontrado")</f>
        <v/>
      </c>
      <c r="E1785" t="n">
        <v>7</v>
      </c>
    </row>
    <row r="1786">
      <c r="A1786">
        <f>_xlfn.XLOOKUP("CPTM L10-1",Trip[trip_id],Trip[trip_id],"Não encontrado")</f>
        <v/>
      </c>
      <c r="B1786" s="53" t="n">
        <v>0.2006944444444445</v>
      </c>
      <c r="C1786" s="53" t="n">
        <v>0.2006944444444445</v>
      </c>
      <c r="D1786">
        <f>_xlfn.XLOOKUP(18929,Stops[stop_id],Stops[stop_id],"Não encontrado")</f>
        <v/>
      </c>
      <c r="E1786" t="n">
        <v>8</v>
      </c>
    </row>
    <row r="1787">
      <c r="A1787">
        <f>_xlfn.XLOOKUP("CPTM L10-1",Trip[trip_id],Trip[trip_id],"Não encontrado")</f>
        <v/>
      </c>
      <c r="B1787" s="53" t="n">
        <v>0.2055555555555555</v>
      </c>
      <c r="C1787" s="53" t="n">
        <v>0.2055555555555555</v>
      </c>
      <c r="D1787">
        <f>_xlfn.XLOOKUP(18928,Stops[stop_id],Stops[stop_id],"Não encontrado")</f>
        <v/>
      </c>
      <c r="E1787" t="n">
        <v>9</v>
      </c>
    </row>
    <row r="1788">
      <c r="A1788">
        <f>_xlfn.XLOOKUP("CPTM L10-1",Trip[trip_id],Trip[trip_id],"Não encontrado")</f>
        <v/>
      </c>
      <c r="B1788" s="53" t="n">
        <v>0.2104166666666667</v>
      </c>
      <c r="C1788" s="53" t="n">
        <v>0.2104166666666667</v>
      </c>
      <c r="D1788">
        <f>_xlfn.XLOOKUP(18927,Stops[stop_id],Stops[stop_id],"Não encontrado")</f>
        <v/>
      </c>
      <c r="E1788" t="n">
        <v>10</v>
      </c>
    </row>
    <row r="1789">
      <c r="A1789">
        <f>_xlfn.XLOOKUP("CPTM L10-1",Trip[trip_id],Trip[trip_id],"Não encontrado")</f>
        <v/>
      </c>
      <c r="B1789" s="53" t="n">
        <v>0.2152777777777778</v>
      </c>
      <c r="C1789" s="53" t="n">
        <v>0.2152777777777778</v>
      </c>
      <c r="D1789">
        <f>_xlfn.XLOOKUP(18942,Stops[stop_id],Stops[stop_id],"Não encontrado")</f>
        <v/>
      </c>
      <c r="E1789" t="n">
        <v>11</v>
      </c>
    </row>
    <row r="1790">
      <c r="A1790">
        <f>_xlfn.XLOOKUP("CPTM L10-1",Trip[trip_id],Trip[trip_id],"Não encontrado")</f>
        <v/>
      </c>
      <c r="B1790" s="53" t="n">
        <v>0.2201388888888889</v>
      </c>
      <c r="C1790" s="53" t="n">
        <v>0.2201388888888889</v>
      </c>
      <c r="D1790">
        <f>_xlfn.XLOOKUP(18941,Stops[stop_id],Stops[stop_id],"Não encontrado")</f>
        <v/>
      </c>
      <c r="E1790" t="n">
        <v>12</v>
      </c>
    </row>
    <row r="1791">
      <c r="A1791">
        <f>_xlfn.XLOOKUP("CPTM L10-1",Trip[trip_id],Trip[trip_id],"Não encontrado")</f>
        <v/>
      </c>
      <c r="B1791" s="53" t="n">
        <v>0.225</v>
      </c>
      <c r="C1791" s="53" t="n">
        <v>0.225</v>
      </c>
      <c r="D1791">
        <f>_xlfn.XLOOKUP(1010053,Stops[stop_id],Stops[stop_id],"Não encontrado")</f>
        <v/>
      </c>
      <c r="E1791" t="n">
        <v>13</v>
      </c>
    </row>
    <row r="1792">
      <c r="A1792">
        <f>_xlfn.XLOOKUP("CPTM L10-1",Trip[trip_id],Trip[trip_id],"Não encontrado")</f>
        <v/>
      </c>
      <c r="B1792" s="53" t="n">
        <v>0.2298611111111111</v>
      </c>
      <c r="C1792" s="53" t="n">
        <v>0.2298611111111111</v>
      </c>
      <c r="D1792">
        <f>_xlfn.XLOOKUP(18940,Stops[stop_id],Stops[stop_id],"Não encontrado")</f>
        <v/>
      </c>
      <c r="E1792" t="n">
        <v>14</v>
      </c>
    </row>
    <row r="1793">
      <c r="A1793">
        <f>_xlfn.XLOOKUP("CPTM L10-1",Trip[trip_id],Trip[trip_id],"Não encontrado")</f>
        <v/>
      </c>
      <c r="B1793" s="53" t="n">
        <v>0.2347222222222222</v>
      </c>
      <c r="C1793" s="53" t="n">
        <v>0.2347222222222222</v>
      </c>
      <c r="D1793">
        <f>_xlfn.XLOOKUP(18920,Stops[stop_id],Stops[stop_id],"Não encontrado")</f>
        <v/>
      </c>
      <c r="E1793" t="n">
        <v>15</v>
      </c>
    </row>
    <row r="1794">
      <c r="A1794">
        <f>_xlfn.XLOOKUP("CPTM L11-0",Trip[trip_id],Trip[trip_id],"Não encontrado")</f>
        <v/>
      </c>
      <c r="B1794" s="53" t="n">
        <v>0.1666666666666667</v>
      </c>
      <c r="C1794" s="53" t="n">
        <v>0.1666666666666667</v>
      </c>
      <c r="D1794">
        <f>_xlfn.XLOOKUP(18920,Stops[stop_id],Stops[stop_id],"Não encontrado")</f>
        <v/>
      </c>
      <c r="E1794" t="n">
        <v>1</v>
      </c>
    </row>
    <row r="1795">
      <c r="A1795">
        <f>_xlfn.XLOOKUP("CPTM L11-0",Trip[trip_id],Trip[trip_id],"Não encontrado")</f>
        <v/>
      </c>
      <c r="B1795" s="53" t="n">
        <v>0.1708333333333333</v>
      </c>
      <c r="C1795" s="53" t="n">
        <v>0.1708333333333333</v>
      </c>
      <c r="D1795">
        <f>_xlfn.XLOOKUP(18940,Stops[stop_id],Stops[stop_id],"Não encontrado")</f>
        <v/>
      </c>
      <c r="E1795" t="n">
        <v>2</v>
      </c>
    </row>
    <row r="1796">
      <c r="A1796">
        <f>_xlfn.XLOOKUP("CPTM L11-0",Trip[trip_id],Trip[trip_id],"Não encontrado")</f>
        <v/>
      </c>
      <c r="B1796" s="53" t="n">
        <v>0.175</v>
      </c>
      <c r="C1796" s="53" t="n">
        <v>0.175</v>
      </c>
      <c r="D1796">
        <f>_xlfn.XLOOKUP(18987,Stops[stop_id],Stops[stop_id],"Não encontrado")</f>
        <v/>
      </c>
      <c r="E1796" t="n">
        <v>3</v>
      </c>
    </row>
    <row r="1797">
      <c r="A1797">
        <f>_xlfn.XLOOKUP("CPTM L11-0",Trip[trip_id],Trip[trip_id],"Não encontrado")</f>
        <v/>
      </c>
      <c r="B1797" s="53" t="n">
        <v>0.1791666666666667</v>
      </c>
      <c r="C1797" s="53" t="n">
        <v>0.1791666666666667</v>
      </c>
      <c r="D1797">
        <f>_xlfn.XLOOKUP(8210164,Stops[stop_id],Stops[stop_id],"Não encontrado")</f>
        <v/>
      </c>
      <c r="E1797" t="n">
        <v>4</v>
      </c>
    </row>
    <row r="1798">
      <c r="A1798">
        <f>_xlfn.XLOOKUP("CPTM L11-0",Trip[trip_id],Trip[trip_id],"Não encontrado")</f>
        <v/>
      </c>
      <c r="B1798" s="53" t="n">
        <v>0.1833333333333333</v>
      </c>
      <c r="C1798" s="53" t="n">
        <v>0.1833333333333333</v>
      </c>
      <c r="D1798">
        <f>_xlfn.XLOOKUP(3608883,Stops[stop_id],Stops[stop_id],"Não encontrado")</f>
        <v/>
      </c>
      <c r="E1798" t="n">
        <v>5</v>
      </c>
    </row>
    <row r="1799">
      <c r="A1799">
        <f>_xlfn.XLOOKUP("CPTM L11-0",Trip[trip_id],Trip[trip_id],"Não encontrado")</f>
        <v/>
      </c>
      <c r="B1799" s="53" t="n">
        <v>0.1875</v>
      </c>
      <c r="C1799" s="53" t="n">
        <v>0.1875</v>
      </c>
      <c r="D1799">
        <f>_xlfn.XLOOKUP(18892,Stops[stop_id],Stops[stop_id],"Não encontrado")</f>
        <v/>
      </c>
      <c r="E1799" t="n">
        <v>6</v>
      </c>
    </row>
    <row r="1800">
      <c r="A1800">
        <f>_xlfn.XLOOKUP("CPTM L11-0",Trip[trip_id],Trip[trip_id],"Não encontrado")</f>
        <v/>
      </c>
      <c r="B1800" s="53" t="n">
        <v>0.1916666666666667</v>
      </c>
      <c r="C1800" s="53" t="n">
        <v>0.1916666666666667</v>
      </c>
      <c r="D1800">
        <f>_xlfn.XLOOKUP(18893,Stops[stop_id],Stops[stop_id],"Não encontrado")</f>
        <v/>
      </c>
      <c r="E1800" t="n">
        <v>7</v>
      </c>
    </row>
    <row r="1801">
      <c r="A1801">
        <f>_xlfn.XLOOKUP("CPTM L11-0",Trip[trip_id],Trip[trip_id],"Não encontrado")</f>
        <v/>
      </c>
      <c r="B1801" s="53" t="n">
        <v>0.1958333333333333</v>
      </c>
      <c r="C1801" s="53" t="n">
        <v>0.1958333333333333</v>
      </c>
      <c r="D1801">
        <f>_xlfn.XLOOKUP(18895,Stops[stop_id],Stops[stop_id],"Não encontrado")</f>
        <v/>
      </c>
      <c r="E1801" t="n">
        <v>8</v>
      </c>
    </row>
    <row r="1802">
      <c r="A1802">
        <f>_xlfn.XLOOKUP("CPTM L11-0",Trip[trip_id],Trip[trip_id],"Não encontrado")</f>
        <v/>
      </c>
      <c r="B1802" s="53" t="n">
        <v>0.2</v>
      </c>
      <c r="C1802" s="53" t="n">
        <v>0.2</v>
      </c>
      <c r="D1802">
        <f>_xlfn.XLOOKUP(18894,Stops[stop_id],Stops[stop_id],"Não encontrado")</f>
        <v/>
      </c>
      <c r="E1802" t="n">
        <v>9</v>
      </c>
    </row>
    <row r="1803">
      <c r="A1803">
        <f>_xlfn.XLOOKUP("CPTM L11-0",Trip[trip_id],Trip[trip_id],"Não encontrado")</f>
        <v/>
      </c>
      <c r="B1803" s="53" t="n">
        <v>0.2041666666666667</v>
      </c>
      <c r="C1803" s="53" t="n">
        <v>0.2041666666666667</v>
      </c>
      <c r="D1803">
        <f>_xlfn.XLOOKUP(18898,Stops[stop_id],Stops[stop_id],"Não encontrado")</f>
        <v/>
      </c>
      <c r="E1803" t="n">
        <v>10</v>
      </c>
    </row>
    <row r="1804">
      <c r="A1804">
        <f>_xlfn.XLOOKUP("CPTM L11-0",Trip[trip_id],Trip[trip_id],"Não encontrado")</f>
        <v/>
      </c>
      <c r="B1804" s="53" t="n">
        <v>0.2083333333333333</v>
      </c>
      <c r="C1804" s="53" t="n">
        <v>0.2083333333333333</v>
      </c>
      <c r="D1804">
        <f>_xlfn.XLOOKUP(18899,Stops[stop_id],Stops[stop_id],"Não encontrado")</f>
        <v/>
      </c>
      <c r="E1804" t="n">
        <v>11</v>
      </c>
    </row>
    <row r="1805">
      <c r="A1805">
        <f>_xlfn.XLOOKUP("CPTM L11-0",Trip[trip_id],Trip[trip_id],"Não encontrado")</f>
        <v/>
      </c>
      <c r="B1805" s="53" t="n">
        <v>0.2125</v>
      </c>
      <c r="C1805" s="53" t="n">
        <v>0.2125</v>
      </c>
      <c r="D1805">
        <f>_xlfn.XLOOKUP(18901,Stops[stop_id],Stops[stop_id],"Não encontrado")</f>
        <v/>
      </c>
      <c r="E1805" t="n">
        <v>12</v>
      </c>
    </row>
    <row r="1806">
      <c r="A1806">
        <f>_xlfn.XLOOKUP("CPTM L11-0",Trip[trip_id],Trip[trip_id],"Não encontrado")</f>
        <v/>
      </c>
      <c r="B1806" s="53" t="n">
        <v>0.2166666666666667</v>
      </c>
      <c r="C1806" s="53" t="n">
        <v>0.2166666666666667</v>
      </c>
      <c r="D1806">
        <f>_xlfn.XLOOKUP(18902,Stops[stop_id],Stops[stop_id],"Não encontrado")</f>
        <v/>
      </c>
      <c r="E1806" t="n">
        <v>13</v>
      </c>
    </row>
    <row r="1807">
      <c r="A1807">
        <f>_xlfn.XLOOKUP("CPTM L11-0",Trip[trip_id],Trip[trip_id],"Não encontrado")</f>
        <v/>
      </c>
      <c r="B1807" s="53" t="n">
        <v>0.2208333333333333</v>
      </c>
      <c r="C1807" s="53" t="n">
        <v>0.2208333333333333</v>
      </c>
      <c r="D1807">
        <f>_xlfn.XLOOKUP(18978,Stops[stop_id],Stops[stop_id],"Não encontrado")</f>
        <v/>
      </c>
      <c r="E1807" t="n">
        <v>14</v>
      </c>
    </row>
    <row r="1808">
      <c r="A1808">
        <f>_xlfn.XLOOKUP("CPTM L11-0",Trip[trip_id],Trip[trip_id],"Não encontrado")</f>
        <v/>
      </c>
      <c r="B1808" s="53" t="n">
        <v>0.225</v>
      </c>
      <c r="C1808" s="53" t="n">
        <v>0.225</v>
      </c>
      <c r="D1808">
        <f>_xlfn.XLOOKUP(18979,Stops[stop_id],Stops[stop_id],"Não encontrado")</f>
        <v/>
      </c>
      <c r="E1808" t="n">
        <v>15</v>
      </c>
    </row>
    <row r="1809">
      <c r="A1809">
        <f>_xlfn.XLOOKUP("CPTM L11-0",Trip[trip_id],Trip[trip_id],"Não encontrado")</f>
        <v/>
      </c>
      <c r="B1809" s="53" t="n">
        <v>0.2291666666666667</v>
      </c>
      <c r="C1809" s="53" t="n">
        <v>0.2291666666666667</v>
      </c>
      <c r="D1809">
        <f>_xlfn.XLOOKUP(18980,Stops[stop_id],Stops[stop_id],"Não encontrado")</f>
        <v/>
      </c>
      <c r="E1809" t="n">
        <v>16</v>
      </c>
    </row>
    <row r="1810">
      <c r="A1810">
        <f>_xlfn.XLOOKUP("CPTM L11-0",Trip[trip_id],Trip[trip_id],"Não encontrado")</f>
        <v/>
      </c>
      <c r="B1810" s="53" t="n">
        <v>0.2333333333333333</v>
      </c>
      <c r="C1810" s="53" t="n">
        <v>0.2333333333333333</v>
      </c>
      <c r="D1810">
        <f>_xlfn.XLOOKUP(18981,Stops[stop_id],Stops[stop_id],"Não encontrado")</f>
        <v/>
      </c>
      <c r="E1810" t="n">
        <v>17</v>
      </c>
    </row>
    <row r="1811">
      <c r="A1811">
        <f>_xlfn.XLOOKUP("CPTM L11-1",Trip[trip_id],Trip[trip_id],"Não encontrado")</f>
        <v/>
      </c>
      <c r="B1811" s="53" t="n">
        <v>0.1666666666666667</v>
      </c>
      <c r="C1811" s="53" t="n">
        <v>0.1666666666666667</v>
      </c>
      <c r="D1811">
        <f>_xlfn.XLOOKUP(18981,Stops[stop_id],Stops[stop_id],"Não encontrado")</f>
        <v/>
      </c>
      <c r="E1811" t="n">
        <v>1</v>
      </c>
    </row>
    <row r="1812">
      <c r="A1812">
        <f>_xlfn.XLOOKUP("CPTM L11-1",Trip[trip_id],Trip[trip_id],"Não encontrado")</f>
        <v/>
      </c>
      <c r="B1812" s="53" t="n">
        <v>0.1708333333333333</v>
      </c>
      <c r="C1812" s="53" t="n">
        <v>0.1708333333333333</v>
      </c>
      <c r="D1812">
        <f>_xlfn.XLOOKUP(18980,Stops[stop_id],Stops[stop_id],"Não encontrado")</f>
        <v/>
      </c>
      <c r="E1812" t="n">
        <v>2</v>
      </c>
    </row>
    <row r="1813">
      <c r="A1813">
        <f>_xlfn.XLOOKUP("CPTM L11-1",Trip[trip_id],Trip[trip_id],"Não encontrado")</f>
        <v/>
      </c>
      <c r="B1813" s="53" t="n">
        <v>0.175</v>
      </c>
      <c r="C1813" s="53" t="n">
        <v>0.175</v>
      </c>
      <c r="D1813">
        <f>_xlfn.XLOOKUP(18979,Stops[stop_id],Stops[stop_id],"Não encontrado")</f>
        <v/>
      </c>
      <c r="E1813" t="n">
        <v>3</v>
      </c>
    </row>
    <row r="1814">
      <c r="A1814">
        <f>_xlfn.XLOOKUP("CPTM L11-1",Trip[trip_id],Trip[trip_id],"Não encontrado")</f>
        <v/>
      </c>
      <c r="B1814" s="53" t="n">
        <v>0.1791666666666667</v>
      </c>
      <c r="C1814" s="53" t="n">
        <v>0.1791666666666667</v>
      </c>
      <c r="D1814">
        <f>_xlfn.XLOOKUP(18978,Stops[stop_id],Stops[stop_id],"Não encontrado")</f>
        <v/>
      </c>
      <c r="E1814" t="n">
        <v>4</v>
      </c>
    </row>
    <row r="1815">
      <c r="A1815">
        <f>_xlfn.XLOOKUP("CPTM L11-1",Trip[trip_id],Trip[trip_id],"Não encontrado")</f>
        <v/>
      </c>
      <c r="B1815" s="53" t="n">
        <v>0.1833333333333333</v>
      </c>
      <c r="C1815" s="53" t="n">
        <v>0.1833333333333333</v>
      </c>
      <c r="D1815">
        <f>_xlfn.XLOOKUP(18902,Stops[stop_id],Stops[stop_id],"Não encontrado")</f>
        <v/>
      </c>
      <c r="E1815" t="n">
        <v>5</v>
      </c>
    </row>
    <row r="1816">
      <c r="A1816">
        <f>_xlfn.XLOOKUP("CPTM L11-1",Trip[trip_id],Trip[trip_id],"Não encontrado")</f>
        <v/>
      </c>
      <c r="B1816" s="53" t="n">
        <v>0.1875</v>
      </c>
      <c r="C1816" s="53" t="n">
        <v>0.1875</v>
      </c>
      <c r="D1816">
        <f>_xlfn.XLOOKUP(18901,Stops[stop_id],Stops[stop_id],"Não encontrado")</f>
        <v/>
      </c>
      <c r="E1816" t="n">
        <v>6</v>
      </c>
    </row>
    <row r="1817">
      <c r="A1817">
        <f>_xlfn.XLOOKUP("CPTM L11-1",Trip[trip_id],Trip[trip_id],"Não encontrado")</f>
        <v/>
      </c>
      <c r="B1817" s="53" t="n">
        <v>0.1916666666666667</v>
      </c>
      <c r="C1817" s="53" t="n">
        <v>0.1916666666666667</v>
      </c>
      <c r="D1817">
        <f>_xlfn.XLOOKUP(18899,Stops[stop_id],Stops[stop_id],"Não encontrado")</f>
        <v/>
      </c>
      <c r="E1817" t="n">
        <v>7</v>
      </c>
    </row>
    <row r="1818">
      <c r="A1818">
        <f>_xlfn.XLOOKUP("CPTM L11-1",Trip[trip_id],Trip[trip_id],"Não encontrado")</f>
        <v/>
      </c>
      <c r="B1818" s="53" t="n">
        <v>0.1958333333333333</v>
      </c>
      <c r="C1818" s="53" t="n">
        <v>0.1958333333333333</v>
      </c>
      <c r="D1818">
        <f>_xlfn.XLOOKUP(18898,Stops[stop_id],Stops[stop_id],"Não encontrado")</f>
        <v/>
      </c>
      <c r="E1818" t="n">
        <v>8</v>
      </c>
    </row>
    <row r="1819">
      <c r="A1819">
        <f>_xlfn.XLOOKUP("CPTM L11-1",Trip[trip_id],Trip[trip_id],"Não encontrado")</f>
        <v/>
      </c>
      <c r="B1819" s="53" t="n">
        <v>0.2</v>
      </c>
      <c r="C1819" s="53" t="n">
        <v>0.2</v>
      </c>
      <c r="D1819">
        <f>_xlfn.XLOOKUP(18894,Stops[stop_id],Stops[stop_id],"Não encontrado")</f>
        <v/>
      </c>
      <c r="E1819" t="n">
        <v>9</v>
      </c>
    </row>
    <row r="1820">
      <c r="A1820">
        <f>_xlfn.XLOOKUP("CPTM L11-1",Trip[trip_id],Trip[trip_id],"Não encontrado")</f>
        <v/>
      </c>
      <c r="B1820" s="53" t="n">
        <v>0.2041666666666667</v>
      </c>
      <c r="C1820" s="53" t="n">
        <v>0.2041666666666667</v>
      </c>
      <c r="D1820">
        <f>_xlfn.XLOOKUP(18895,Stops[stop_id],Stops[stop_id],"Não encontrado")</f>
        <v/>
      </c>
      <c r="E1820" t="n">
        <v>10</v>
      </c>
    </row>
    <row r="1821">
      <c r="A1821">
        <f>_xlfn.XLOOKUP("CPTM L11-1",Trip[trip_id],Trip[trip_id],"Não encontrado")</f>
        <v/>
      </c>
      <c r="B1821" s="53" t="n">
        <v>0.2083333333333333</v>
      </c>
      <c r="C1821" s="53" t="n">
        <v>0.2083333333333333</v>
      </c>
      <c r="D1821">
        <f>_xlfn.XLOOKUP(18893,Stops[stop_id],Stops[stop_id],"Não encontrado")</f>
        <v/>
      </c>
      <c r="E1821" t="n">
        <v>11</v>
      </c>
    </row>
    <row r="1822">
      <c r="A1822">
        <f>_xlfn.XLOOKUP("CPTM L11-1",Trip[trip_id],Trip[trip_id],"Não encontrado")</f>
        <v/>
      </c>
      <c r="B1822" s="53" t="n">
        <v>0.2125</v>
      </c>
      <c r="C1822" s="53" t="n">
        <v>0.2125</v>
      </c>
      <c r="D1822">
        <f>_xlfn.XLOOKUP(18892,Stops[stop_id],Stops[stop_id],"Não encontrado")</f>
        <v/>
      </c>
      <c r="E1822" t="n">
        <v>12</v>
      </c>
    </row>
    <row r="1823">
      <c r="A1823">
        <f>_xlfn.XLOOKUP("CPTM L11-1",Trip[trip_id],Trip[trip_id],"Não encontrado")</f>
        <v/>
      </c>
      <c r="B1823" s="53" t="n">
        <v>0.2166666666666667</v>
      </c>
      <c r="C1823" s="53" t="n">
        <v>0.2166666666666667</v>
      </c>
      <c r="D1823">
        <f>_xlfn.XLOOKUP(3608883,Stops[stop_id],Stops[stop_id],"Não encontrado")</f>
        <v/>
      </c>
      <c r="E1823" t="n">
        <v>13</v>
      </c>
    </row>
    <row r="1824">
      <c r="A1824">
        <f>_xlfn.XLOOKUP("CPTM L11-1",Trip[trip_id],Trip[trip_id],"Não encontrado")</f>
        <v/>
      </c>
      <c r="B1824" s="53" t="n">
        <v>0.2208333333333333</v>
      </c>
      <c r="C1824" s="53" t="n">
        <v>0.2208333333333333</v>
      </c>
      <c r="D1824">
        <f>_xlfn.XLOOKUP(8210164,Stops[stop_id],Stops[stop_id],"Não encontrado")</f>
        <v/>
      </c>
      <c r="E1824" t="n">
        <v>14</v>
      </c>
    </row>
    <row r="1825">
      <c r="A1825">
        <f>_xlfn.XLOOKUP("CPTM L11-1",Trip[trip_id],Trip[trip_id],"Não encontrado")</f>
        <v/>
      </c>
      <c r="B1825" s="53" t="n">
        <v>0.225</v>
      </c>
      <c r="C1825" s="53" t="n">
        <v>0.225</v>
      </c>
      <c r="D1825">
        <f>_xlfn.XLOOKUP(18987,Stops[stop_id],Stops[stop_id],"Não encontrado")</f>
        <v/>
      </c>
      <c r="E1825" t="n">
        <v>15</v>
      </c>
    </row>
    <row r="1826">
      <c r="A1826">
        <f>_xlfn.XLOOKUP("CPTM L11-1",Trip[trip_id],Trip[trip_id],"Não encontrado")</f>
        <v/>
      </c>
      <c r="B1826" s="53" t="n">
        <v>0.2291666666666667</v>
      </c>
      <c r="C1826" s="53" t="n">
        <v>0.2291666666666667</v>
      </c>
      <c r="D1826">
        <f>_xlfn.XLOOKUP(18940,Stops[stop_id],Stops[stop_id],"Não encontrado")</f>
        <v/>
      </c>
      <c r="E1826" t="n">
        <v>16</v>
      </c>
    </row>
    <row r="1827">
      <c r="A1827">
        <f>_xlfn.XLOOKUP("CPTM L11-1",Trip[trip_id],Trip[trip_id],"Não encontrado")</f>
        <v/>
      </c>
      <c r="B1827" s="53" t="n">
        <v>0.2333333333333333</v>
      </c>
      <c r="C1827" s="53" t="n">
        <v>0.2333333333333333</v>
      </c>
      <c r="D1827">
        <f>_xlfn.XLOOKUP(18920,Stops[stop_id],Stops[stop_id],"Não encontrado")</f>
        <v/>
      </c>
      <c r="E1827" t="n">
        <v>17</v>
      </c>
    </row>
    <row r="1828">
      <c r="A1828">
        <f>_xlfn.XLOOKUP("CPTM L12-0",Trip[trip_id],Trip[trip_id],"Não encontrado")</f>
        <v/>
      </c>
      <c r="B1828" s="53" t="n">
        <v>0.1666666666666667</v>
      </c>
      <c r="C1828" s="53" t="n">
        <v>0.1666666666666667</v>
      </c>
      <c r="D1828">
        <f>_xlfn.XLOOKUP(18987,Stops[stop_id],Stops[stop_id],"Não encontrado")</f>
        <v/>
      </c>
      <c r="E1828" t="n">
        <v>1</v>
      </c>
    </row>
    <row r="1829">
      <c r="A1829">
        <f>_xlfn.XLOOKUP("CPTM L12-0",Trip[trip_id],Trip[trip_id],"Não encontrado")</f>
        <v/>
      </c>
      <c r="B1829" s="53" t="n">
        <v>0.1708333333333333</v>
      </c>
      <c r="C1829" s="53" t="n">
        <v>0.1708333333333333</v>
      </c>
      <c r="D1829">
        <f>_xlfn.XLOOKUP(8210163,Stops[stop_id],Stops[stop_id],"Não encontrado")</f>
        <v/>
      </c>
      <c r="E1829" t="n">
        <v>2</v>
      </c>
    </row>
    <row r="1830">
      <c r="A1830">
        <f>_xlfn.XLOOKUP("CPTM L12-0",Trip[trip_id],Trip[trip_id],"Não encontrado")</f>
        <v/>
      </c>
      <c r="B1830" s="53" t="n">
        <v>0.175</v>
      </c>
      <c r="C1830" s="53" t="n">
        <v>0.175</v>
      </c>
      <c r="D1830">
        <f>_xlfn.XLOOKUP(18889,Stops[stop_id],Stops[stop_id],"Não encontrado")</f>
        <v/>
      </c>
      <c r="E1830" t="n">
        <v>3</v>
      </c>
    </row>
    <row r="1831">
      <c r="A1831">
        <f>_xlfn.XLOOKUP("CPTM L12-0",Trip[trip_id],Trip[trip_id],"Não encontrado")</f>
        <v/>
      </c>
      <c r="B1831" s="53" t="n">
        <v>0.1791666666666667</v>
      </c>
      <c r="C1831" s="53" t="n">
        <v>0.1791666666666667</v>
      </c>
      <c r="D1831">
        <f>_xlfn.XLOOKUP(2815191,Stops[stop_id],Stops[stop_id],"Não encontrado")</f>
        <v/>
      </c>
      <c r="E1831" t="n">
        <v>4</v>
      </c>
    </row>
    <row r="1832">
      <c r="A1832">
        <f>_xlfn.XLOOKUP("CPTM L12-0",Trip[trip_id],Trip[trip_id],"Não encontrado")</f>
        <v/>
      </c>
      <c r="B1832" s="53" t="n">
        <v>0.1833333333333333</v>
      </c>
      <c r="C1832" s="53" t="n">
        <v>0.1833333333333333</v>
      </c>
      <c r="D1832">
        <f>_xlfn.XLOOKUP(18891,Stops[stop_id],Stops[stop_id],"Não encontrado")</f>
        <v/>
      </c>
      <c r="E1832" t="n">
        <v>5</v>
      </c>
    </row>
    <row r="1833">
      <c r="A1833">
        <f>_xlfn.XLOOKUP("CPTM L12-0",Trip[trip_id],Trip[trip_id],"Não encontrado")</f>
        <v/>
      </c>
      <c r="B1833" s="53" t="n">
        <v>0.1875</v>
      </c>
      <c r="C1833" s="53" t="n">
        <v>0.1875</v>
      </c>
      <c r="D1833">
        <f>_xlfn.XLOOKUP(7612124,Stops[stop_id],Stops[stop_id],"Não encontrado")</f>
        <v/>
      </c>
      <c r="E1833" t="n">
        <v>6</v>
      </c>
    </row>
    <row r="1834">
      <c r="A1834">
        <f>_xlfn.XLOOKUP("CPTM L12-0",Trip[trip_id],Trip[trip_id],"Não encontrado")</f>
        <v/>
      </c>
      <c r="B1834" s="53" t="n">
        <v>0.1916666666666667</v>
      </c>
      <c r="C1834" s="53" t="n">
        <v>0.1916666666666667</v>
      </c>
      <c r="D1834">
        <f>_xlfn.XLOOKUP(8615209,Stops[stop_id],Stops[stop_id],"Não encontrado")</f>
        <v/>
      </c>
      <c r="E1834" t="n">
        <v>7</v>
      </c>
    </row>
    <row r="1835">
      <c r="A1835">
        <f>_xlfn.XLOOKUP("CPTM L12-0",Trip[trip_id],Trip[trip_id],"Não encontrado")</f>
        <v/>
      </c>
      <c r="B1835" s="53" t="n">
        <v>0.1958333333333333</v>
      </c>
      <c r="C1835" s="53" t="n">
        <v>0.1958333333333333</v>
      </c>
      <c r="D1835">
        <f>_xlfn.XLOOKUP(18897,Stops[stop_id],Stops[stop_id],"Não encontrado")</f>
        <v/>
      </c>
      <c r="E1835" t="n">
        <v>8</v>
      </c>
    </row>
    <row r="1836">
      <c r="A1836">
        <f>_xlfn.XLOOKUP("CPTM L12-0",Trip[trip_id],Trip[trip_id],"Não encontrado")</f>
        <v/>
      </c>
      <c r="B1836" s="53" t="n">
        <v>0.2</v>
      </c>
      <c r="C1836" s="53" t="n">
        <v>0.2</v>
      </c>
      <c r="D1836">
        <f>_xlfn.XLOOKUP(3515230,Stops[stop_id],Stops[stop_id],"Não encontrado")</f>
        <v/>
      </c>
      <c r="E1836" t="n">
        <v>9</v>
      </c>
    </row>
    <row r="1837">
      <c r="A1837">
        <f>_xlfn.XLOOKUP("CPTM L12-0",Trip[trip_id],Trip[trip_id],"Não encontrado")</f>
        <v/>
      </c>
      <c r="B1837" s="53" t="n">
        <v>0.2041666666666667</v>
      </c>
      <c r="C1837" s="53" t="n">
        <v>0.2041666666666667</v>
      </c>
      <c r="D1837">
        <f>_xlfn.XLOOKUP(18900,Stops[stop_id],Stops[stop_id],"Não encontrado")</f>
        <v/>
      </c>
      <c r="E1837" t="n">
        <v>10</v>
      </c>
    </row>
    <row r="1838">
      <c r="A1838">
        <f>_xlfn.XLOOKUP("CPTM L12-0",Trip[trip_id],Trip[trip_id],"Não encontrado")</f>
        <v/>
      </c>
      <c r="B1838" s="53" t="n">
        <v>0.2083333333333333</v>
      </c>
      <c r="C1838" s="53" t="n">
        <v>0.2083333333333333</v>
      </c>
      <c r="D1838">
        <f>_xlfn.XLOOKUP(18976,Stops[stop_id],Stops[stop_id],"Não encontrado")</f>
        <v/>
      </c>
      <c r="E1838" t="n">
        <v>11</v>
      </c>
    </row>
    <row r="1839">
      <c r="A1839">
        <f>_xlfn.XLOOKUP("CPTM L12-0",Trip[trip_id],Trip[trip_id],"Não encontrado")</f>
        <v/>
      </c>
      <c r="B1839" s="53" t="n">
        <v>0.2125</v>
      </c>
      <c r="C1839" s="53" t="n">
        <v>0.2125</v>
      </c>
      <c r="D1839">
        <f>_xlfn.XLOOKUP(3515265,Stops[stop_id],Stops[stop_id],"Não encontrado")</f>
        <v/>
      </c>
      <c r="E1839" t="n">
        <v>12</v>
      </c>
    </row>
    <row r="1840">
      <c r="A1840">
        <f>_xlfn.XLOOKUP("CPTM L12-0",Trip[trip_id],Trip[trip_id],"Não encontrado")</f>
        <v/>
      </c>
      <c r="B1840" s="53" t="n">
        <v>0.2166666666666667</v>
      </c>
      <c r="C1840" s="53" t="n">
        <v>0.2166666666666667</v>
      </c>
      <c r="D1840">
        <f>_xlfn.XLOOKUP(3515266,Stops[stop_id],Stops[stop_id],"Não encontrado")</f>
        <v/>
      </c>
      <c r="E1840" t="n">
        <v>13</v>
      </c>
    </row>
    <row r="1841">
      <c r="A1841">
        <f>_xlfn.XLOOKUP("CPTM L12-1",Trip[trip_id],Trip[trip_id],"Não encontrado")</f>
        <v/>
      </c>
      <c r="B1841" s="53" t="n">
        <v>0.1666666666666667</v>
      </c>
      <c r="C1841" s="53" t="n">
        <v>0.1666666666666667</v>
      </c>
      <c r="D1841">
        <f>_xlfn.XLOOKUP(3515266,Stops[stop_id],Stops[stop_id],"Não encontrado")</f>
        <v/>
      </c>
      <c r="E1841" t="n">
        <v>1</v>
      </c>
    </row>
    <row r="1842">
      <c r="A1842">
        <f>_xlfn.XLOOKUP("CPTM L12-1",Trip[trip_id],Trip[trip_id],"Não encontrado")</f>
        <v/>
      </c>
      <c r="B1842" s="53" t="n">
        <v>0.1708333333333333</v>
      </c>
      <c r="C1842" s="53" t="n">
        <v>0.1708333333333333</v>
      </c>
      <c r="D1842">
        <f>_xlfn.XLOOKUP(3515265,Stops[stop_id],Stops[stop_id],"Não encontrado")</f>
        <v/>
      </c>
      <c r="E1842" t="n">
        <v>2</v>
      </c>
    </row>
    <row r="1843">
      <c r="A1843">
        <f>_xlfn.XLOOKUP("CPTM L12-1",Trip[trip_id],Trip[trip_id],"Não encontrado")</f>
        <v/>
      </c>
      <c r="B1843" s="53" t="n">
        <v>0.175</v>
      </c>
      <c r="C1843" s="53" t="n">
        <v>0.175</v>
      </c>
      <c r="D1843">
        <f>_xlfn.XLOOKUP(18976,Stops[stop_id],Stops[stop_id],"Não encontrado")</f>
        <v/>
      </c>
      <c r="E1843" t="n">
        <v>3</v>
      </c>
    </row>
    <row r="1844">
      <c r="A1844">
        <f>_xlfn.XLOOKUP("CPTM L12-1",Trip[trip_id],Trip[trip_id],"Não encontrado")</f>
        <v/>
      </c>
      <c r="B1844" s="53" t="n">
        <v>0.1791666666666667</v>
      </c>
      <c r="C1844" s="53" t="n">
        <v>0.1791666666666667</v>
      </c>
      <c r="D1844">
        <f>_xlfn.XLOOKUP(18900,Stops[stop_id],Stops[stop_id],"Não encontrado")</f>
        <v/>
      </c>
      <c r="E1844" t="n">
        <v>4</v>
      </c>
    </row>
    <row r="1845">
      <c r="A1845">
        <f>_xlfn.XLOOKUP("CPTM L12-1",Trip[trip_id],Trip[trip_id],"Não encontrado")</f>
        <v/>
      </c>
      <c r="B1845" s="53" t="n">
        <v>0.1833333333333333</v>
      </c>
      <c r="C1845" s="53" t="n">
        <v>0.1833333333333333</v>
      </c>
      <c r="D1845">
        <f>_xlfn.XLOOKUP(3515230,Stops[stop_id],Stops[stop_id],"Não encontrado")</f>
        <v/>
      </c>
      <c r="E1845" t="n">
        <v>5</v>
      </c>
    </row>
    <row r="1846">
      <c r="A1846">
        <f>_xlfn.XLOOKUP("CPTM L12-1",Trip[trip_id],Trip[trip_id],"Não encontrado")</f>
        <v/>
      </c>
      <c r="B1846" s="53" t="n">
        <v>0.1875</v>
      </c>
      <c r="C1846" s="53" t="n">
        <v>0.1875</v>
      </c>
      <c r="D1846">
        <f>_xlfn.XLOOKUP(18897,Stops[stop_id],Stops[stop_id],"Não encontrado")</f>
        <v/>
      </c>
      <c r="E1846" t="n">
        <v>6</v>
      </c>
    </row>
    <row r="1847">
      <c r="A1847">
        <f>_xlfn.XLOOKUP("CPTM L12-1",Trip[trip_id],Trip[trip_id],"Não encontrado")</f>
        <v/>
      </c>
      <c r="B1847" s="53" t="n">
        <v>0.1916666666666667</v>
      </c>
      <c r="C1847" s="53" t="n">
        <v>0.1916666666666667</v>
      </c>
      <c r="D1847">
        <f>_xlfn.XLOOKUP(8615209,Stops[stop_id],Stops[stop_id],"Não encontrado")</f>
        <v/>
      </c>
      <c r="E1847" t="n">
        <v>7</v>
      </c>
    </row>
    <row r="1848">
      <c r="A1848">
        <f>_xlfn.XLOOKUP("CPTM L12-1",Trip[trip_id],Trip[trip_id],"Não encontrado")</f>
        <v/>
      </c>
      <c r="B1848" s="53" t="n">
        <v>0.1958333333333333</v>
      </c>
      <c r="C1848" s="53" t="n">
        <v>0.1958333333333333</v>
      </c>
      <c r="D1848">
        <f>_xlfn.XLOOKUP(7612124,Stops[stop_id],Stops[stop_id],"Não encontrado")</f>
        <v/>
      </c>
      <c r="E1848" t="n">
        <v>8</v>
      </c>
    </row>
    <row r="1849">
      <c r="A1849">
        <f>_xlfn.XLOOKUP("CPTM L12-1",Trip[trip_id],Trip[trip_id],"Não encontrado")</f>
        <v/>
      </c>
      <c r="B1849" s="53" t="n">
        <v>0.2</v>
      </c>
      <c r="C1849" s="53" t="n">
        <v>0.2</v>
      </c>
      <c r="D1849">
        <f>_xlfn.XLOOKUP(18891,Stops[stop_id],Stops[stop_id],"Não encontrado")</f>
        <v/>
      </c>
      <c r="E1849" t="n">
        <v>9</v>
      </c>
    </row>
    <row r="1850">
      <c r="A1850">
        <f>_xlfn.XLOOKUP("CPTM L12-1",Trip[trip_id],Trip[trip_id],"Não encontrado")</f>
        <v/>
      </c>
      <c r="B1850" s="53" t="n">
        <v>0.2041666666666667</v>
      </c>
      <c r="C1850" s="53" t="n">
        <v>0.2041666666666667</v>
      </c>
      <c r="D1850">
        <f>_xlfn.XLOOKUP(2815191,Stops[stop_id],Stops[stop_id],"Não encontrado")</f>
        <v/>
      </c>
      <c r="E1850" t="n">
        <v>10</v>
      </c>
    </row>
    <row r="1851">
      <c r="A1851">
        <f>_xlfn.XLOOKUP("CPTM L12-1",Trip[trip_id],Trip[trip_id],"Não encontrado")</f>
        <v/>
      </c>
      <c r="B1851" s="53" t="n">
        <v>0.2083333333333333</v>
      </c>
      <c r="C1851" s="53" t="n">
        <v>0.2083333333333333</v>
      </c>
      <c r="D1851">
        <f>_xlfn.XLOOKUP(18889,Stops[stop_id],Stops[stop_id],"Não encontrado")</f>
        <v/>
      </c>
      <c r="E1851" t="n">
        <v>11</v>
      </c>
    </row>
    <row r="1852">
      <c r="A1852">
        <f>_xlfn.XLOOKUP("CPTM L12-1",Trip[trip_id],Trip[trip_id],"Não encontrado")</f>
        <v/>
      </c>
      <c r="B1852" s="53" t="n">
        <v>0.2125</v>
      </c>
      <c r="C1852" s="53" t="n">
        <v>0.2125</v>
      </c>
      <c r="D1852">
        <f>_xlfn.XLOOKUP(8210163,Stops[stop_id],Stops[stop_id],"Não encontrado")</f>
        <v/>
      </c>
      <c r="E1852" t="n">
        <v>12</v>
      </c>
    </row>
    <row r="1853">
      <c r="A1853">
        <f>_xlfn.XLOOKUP("CPTM L12-1",Trip[trip_id],Trip[trip_id],"Não encontrado")</f>
        <v/>
      </c>
      <c r="B1853" s="53" t="n">
        <v>0.2166666666666667</v>
      </c>
      <c r="C1853" s="53" t="n">
        <v>0.2166666666666667</v>
      </c>
      <c r="D1853">
        <f>_xlfn.XLOOKUP(18987,Stops[stop_id],Stops[stop_id],"Não encontrado")</f>
        <v/>
      </c>
      <c r="E1853" t="n">
        <v>13</v>
      </c>
    </row>
    <row r="1854">
      <c r="A1854">
        <f>_xlfn.XLOOKUP("CPTM L13-0",Trip[trip_id],Trip[trip_id],"Não encontrado")</f>
        <v/>
      </c>
      <c r="B1854" s="53" t="n">
        <v>0.1666666666666667</v>
      </c>
      <c r="C1854" s="53" t="n">
        <v>0.1666666666666667</v>
      </c>
      <c r="D1854">
        <f>_xlfn.XLOOKUP(1814711,Stops[stop_id],Stops[stop_id],"Não encontrado")</f>
        <v/>
      </c>
      <c r="E1854" t="n">
        <v>1</v>
      </c>
    </row>
    <row r="1855">
      <c r="A1855">
        <f>_xlfn.XLOOKUP("CPTM L13-0",Trip[trip_id],Trip[trip_id],"Não encontrado")</f>
        <v/>
      </c>
      <c r="B1855" s="53" t="n">
        <v>0.1722222222222222</v>
      </c>
      <c r="C1855" s="53" t="n">
        <v>0.1722222222222222</v>
      </c>
      <c r="D1855">
        <f>_xlfn.XLOOKUP(1814712,Stops[stop_id],Stops[stop_id],"Não encontrado")</f>
        <v/>
      </c>
      <c r="E1855" t="n">
        <v>2</v>
      </c>
    </row>
    <row r="1856">
      <c r="A1856">
        <f>_xlfn.XLOOKUP("CPTM L13-0",Trip[trip_id],Trip[trip_id],"Não encontrado")</f>
        <v/>
      </c>
      <c r="B1856" s="53" t="n">
        <v>0.1777777777777778</v>
      </c>
      <c r="C1856" s="53" t="n">
        <v>0.1777777777777778</v>
      </c>
      <c r="D1856">
        <f>_xlfn.XLOOKUP(1814713,Stops[stop_id],Stops[stop_id],"Não encontrado")</f>
        <v/>
      </c>
      <c r="E1856" t="n">
        <v>3</v>
      </c>
    </row>
    <row r="1857">
      <c r="A1857">
        <f>_xlfn.XLOOKUP("CPTM L13-1",Trip[trip_id],Trip[trip_id],"Não encontrado")</f>
        <v/>
      </c>
      <c r="B1857" s="53" t="n">
        <v>0.1666666666666667</v>
      </c>
      <c r="C1857" s="53" t="n">
        <v>0.1666666666666667</v>
      </c>
      <c r="D1857">
        <f>_xlfn.XLOOKUP(1814713,Stops[stop_id],Stops[stop_id],"Não encontrado")</f>
        <v/>
      </c>
      <c r="E1857" t="n">
        <v>1</v>
      </c>
    </row>
    <row r="1858">
      <c r="A1858">
        <f>_xlfn.XLOOKUP("CPTM L13-1",Trip[trip_id],Trip[trip_id],"Não encontrado")</f>
        <v/>
      </c>
      <c r="B1858" s="53" t="n">
        <v>0.1722222222222222</v>
      </c>
      <c r="C1858" s="53" t="n">
        <v>0.1722222222222222</v>
      </c>
      <c r="D1858">
        <f>_xlfn.XLOOKUP(1814712,Stops[stop_id],Stops[stop_id],"Não encontrado")</f>
        <v/>
      </c>
      <c r="E1858" t="n">
        <v>2</v>
      </c>
    </row>
    <row r="1859">
      <c r="A1859">
        <f>_xlfn.XLOOKUP("CPTM L13-1",Trip[trip_id],Trip[trip_id],"Não encontrado")</f>
        <v/>
      </c>
      <c r="B1859" s="53" t="n">
        <v>0.1777777777777778</v>
      </c>
      <c r="C1859" s="53" t="n">
        <v>0.1777777777777778</v>
      </c>
      <c r="D1859">
        <f>_xlfn.XLOOKUP(1814711,Stops[stop_id],Stops[stop_id],"Não encontrado")</f>
        <v/>
      </c>
      <c r="E1859" t="n">
        <v>3</v>
      </c>
    </row>
    <row r="1860">
      <c r="A1860">
        <f>_xlfn.XLOOKUP("METRÔ 15-0",Trip[trip_id],Trip[trip_id],"Não encontrado")</f>
        <v/>
      </c>
      <c r="B1860" s="53" t="n">
        <v>0.1666666666666667</v>
      </c>
      <c r="C1860" s="53" t="n">
        <v>0.1666666666666667</v>
      </c>
      <c r="D1860">
        <f>_xlfn.XLOOKUP(9505577,Stops[stop_id],Stops[stop_id],"Não encontrado")</f>
        <v/>
      </c>
      <c r="E1860" t="n">
        <v>1</v>
      </c>
    </row>
    <row r="1861">
      <c r="A1861">
        <f>_xlfn.XLOOKUP("METRÔ 15-0",Trip[trip_id],Trip[trip_id],"Não encontrado")</f>
        <v/>
      </c>
      <c r="B1861" s="53" t="n">
        <v>0.1694444444444445</v>
      </c>
      <c r="C1861" s="53" t="n">
        <v>0.1694444444444445</v>
      </c>
      <c r="D1861">
        <f>_xlfn.XLOOKUP(7405493,Stops[stop_id],Stops[stop_id],"Não encontrado")</f>
        <v/>
      </c>
      <c r="E1861" t="n">
        <v>2</v>
      </c>
    </row>
    <row r="1862">
      <c r="A1862">
        <f>_xlfn.XLOOKUP("METRÔ 15-0",Trip[trip_id],Trip[trip_id],"Não encontrado")</f>
        <v/>
      </c>
      <c r="B1862" s="53" t="n">
        <v>0.1722222222222222</v>
      </c>
      <c r="C1862" s="53" t="n">
        <v>0.1722222222222222</v>
      </c>
      <c r="D1862">
        <f>_xlfn.XLOOKUP(7405516,Stops[stop_id],Stops[stop_id],"Não encontrado")</f>
        <v/>
      </c>
      <c r="E1862" t="n">
        <v>3</v>
      </c>
    </row>
    <row r="1863">
      <c r="A1863">
        <f>_xlfn.XLOOKUP("METRÔ 15-0",Trip[trip_id],Trip[trip_id],"Não encontrado")</f>
        <v/>
      </c>
      <c r="B1863" s="53" t="n">
        <v>0.175</v>
      </c>
      <c r="C1863" s="53" t="n">
        <v>0.175</v>
      </c>
      <c r="D1863">
        <f>_xlfn.XLOOKUP(7405517,Stops[stop_id],Stops[stop_id],"Não encontrado")</f>
        <v/>
      </c>
      <c r="E1863" t="n">
        <v>4</v>
      </c>
    </row>
    <row r="1864">
      <c r="A1864">
        <f>_xlfn.XLOOKUP("METRÔ 15-0",Trip[trip_id],Trip[trip_id],"Não encontrado")</f>
        <v/>
      </c>
      <c r="B1864" s="53" t="n">
        <v>0.1777777777777778</v>
      </c>
      <c r="C1864" s="53" t="n">
        <v>0.1777777777777778</v>
      </c>
      <c r="D1864">
        <f>_xlfn.XLOOKUP(7405518,Stops[stop_id],Stops[stop_id],"Não encontrado")</f>
        <v/>
      </c>
      <c r="E1864" t="n">
        <v>5</v>
      </c>
    </row>
    <row r="1865">
      <c r="A1865">
        <f>_xlfn.XLOOKUP("METRÔ 15-0",Trip[trip_id],Trip[trip_id],"Não encontrado")</f>
        <v/>
      </c>
      <c r="B1865" s="53" t="n">
        <v>0.1805555555555556</v>
      </c>
      <c r="C1865" s="53" t="n">
        <v>0.1805555555555556</v>
      </c>
      <c r="D1865">
        <f>_xlfn.XLOOKUP(7805208,Stops[stop_id],Stops[stop_id],"Não encontrado")</f>
        <v/>
      </c>
      <c r="E1865" t="n">
        <v>6</v>
      </c>
    </row>
    <row r="1866">
      <c r="A1866">
        <f>_xlfn.XLOOKUP("METRÔ 15-0",Trip[trip_id],Trip[trip_id],"Não encontrado")</f>
        <v/>
      </c>
      <c r="B1866" s="53" t="n">
        <v>0.1833333333333333</v>
      </c>
      <c r="C1866" s="53" t="n">
        <v>0.1833333333333333</v>
      </c>
      <c r="D1866">
        <f>_xlfn.XLOOKUP(7805213,Stops[stop_id],Stops[stop_id],"Não encontrado")</f>
        <v/>
      </c>
      <c r="E1866" t="n">
        <v>7</v>
      </c>
    </row>
    <row r="1867">
      <c r="A1867">
        <f>_xlfn.XLOOKUP("METRÔ 15-0",Trip[trip_id],Trip[trip_id],"Não encontrado")</f>
        <v/>
      </c>
      <c r="B1867" s="53" t="n">
        <v>0.1861111111111111</v>
      </c>
      <c r="C1867" s="53" t="n">
        <v>0.1861111111111111</v>
      </c>
      <c r="D1867">
        <f>_xlfn.XLOOKUP(7805219,Stops[stop_id],Stops[stop_id],"Não encontrado")</f>
        <v/>
      </c>
      <c r="E1867" t="n">
        <v>8</v>
      </c>
    </row>
    <row r="1868">
      <c r="A1868">
        <f>_xlfn.XLOOKUP("METRÔ 15-0",Trip[trip_id],Trip[trip_id],"Não encontrado")</f>
        <v/>
      </c>
      <c r="B1868" s="53" t="n">
        <v>0.1888888888888889</v>
      </c>
      <c r="C1868" s="53" t="n">
        <v>0.1888888888888889</v>
      </c>
      <c r="D1868">
        <f>_xlfn.XLOOKUP(7805216,Stops[stop_id],Stops[stop_id],"Não encontrado")</f>
        <v/>
      </c>
      <c r="E1868" t="n">
        <v>9</v>
      </c>
    </row>
    <row r="1869">
      <c r="A1869">
        <f>_xlfn.XLOOKUP("METRÔ 15-0",Trip[trip_id],Trip[trip_id],"Não encontrado")</f>
        <v/>
      </c>
      <c r="B1869" s="53" t="n">
        <v>0.1916666666666667</v>
      </c>
      <c r="C1869" s="53" t="n">
        <v>0.1916666666666667</v>
      </c>
      <c r="D1869">
        <f>_xlfn.XLOOKUP(7805217,Stops[stop_id],Stops[stop_id],"Não encontrado")</f>
        <v/>
      </c>
      <c r="E1869" t="n">
        <v>10</v>
      </c>
    </row>
    <row r="1870">
      <c r="A1870">
        <f>_xlfn.XLOOKUP("METRÔ 15-0",Trip[trip_id],Trip[trip_id],"Não encontrado")</f>
        <v/>
      </c>
      <c r="B1870" s="53" t="n">
        <v>0.1944444444444444</v>
      </c>
      <c r="C1870" s="53" t="n">
        <v>0.1944444444444444</v>
      </c>
      <c r="D1870">
        <f>_xlfn.XLOOKUP(7504951,Stops[stop_id],Stops[stop_id],"Não encontrado")</f>
        <v/>
      </c>
      <c r="E1870" t="n">
        <v>11</v>
      </c>
    </row>
    <row r="1871">
      <c r="A1871">
        <f>_xlfn.XLOOKUP("METRÔ 15-1",Trip[trip_id],Trip[trip_id],"Não encontrado")</f>
        <v/>
      </c>
      <c r="B1871" s="53" t="n">
        <v>0.1666666666666667</v>
      </c>
      <c r="C1871" s="53" t="n">
        <v>0.1666666666666667</v>
      </c>
      <c r="D1871">
        <f>_xlfn.XLOOKUP(7504951,Stops[stop_id],Stops[stop_id],"Não encontrado")</f>
        <v/>
      </c>
      <c r="E1871" t="n">
        <v>1</v>
      </c>
    </row>
    <row r="1872">
      <c r="A1872">
        <f>_xlfn.XLOOKUP("METRÔ 15-1",Trip[trip_id],Trip[trip_id],"Não encontrado")</f>
        <v/>
      </c>
      <c r="B1872" s="53" t="n">
        <v>0.1694444444444445</v>
      </c>
      <c r="C1872" s="53" t="n">
        <v>0.1694444444444445</v>
      </c>
      <c r="D1872">
        <f>_xlfn.XLOOKUP(7805217,Stops[stop_id],Stops[stop_id],"Não encontrado")</f>
        <v/>
      </c>
      <c r="E1872" t="n">
        <v>2</v>
      </c>
    </row>
    <row r="1873">
      <c r="A1873">
        <f>_xlfn.XLOOKUP("METRÔ 15-1",Trip[trip_id],Trip[trip_id],"Não encontrado")</f>
        <v/>
      </c>
      <c r="B1873" s="53" t="n">
        <v>0.1722222222222222</v>
      </c>
      <c r="C1873" s="53" t="n">
        <v>0.1722222222222222</v>
      </c>
      <c r="D1873">
        <f>_xlfn.XLOOKUP(7805216,Stops[stop_id],Stops[stop_id],"Não encontrado")</f>
        <v/>
      </c>
      <c r="E1873" t="n">
        <v>3</v>
      </c>
    </row>
    <row r="1874">
      <c r="A1874">
        <f>_xlfn.XLOOKUP("METRÔ 15-1",Trip[trip_id],Trip[trip_id],"Não encontrado")</f>
        <v/>
      </c>
      <c r="B1874" s="53" t="n">
        <v>0.175</v>
      </c>
      <c r="C1874" s="53" t="n">
        <v>0.175</v>
      </c>
      <c r="D1874">
        <f>_xlfn.XLOOKUP(7805219,Stops[stop_id],Stops[stop_id],"Não encontrado")</f>
        <v/>
      </c>
      <c r="E1874" t="n">
        <v>4</v>
      </c>
    </row>
    <row r="1875">
      <c r="A1875">
        <f>_xlfn.XLOOKUP("METRÔ 15-1",Trip[trip_id],Trip[trip_id],"Não encontrado")</f>
        <v/>
      </c>
      <c r="B1875" s="53" t="n">
        <v>0.1777777777777778</v>
      </c>
      <c r="C1875" s="53" t="n">
        <v>0.1777777777777778</v>
      </c>
      <c r="D1875">
        <f>_xlfn.XLOOKUP(7805213,Stops[stop_id],Stops[stop_id],"Não encontrado")</f>
        <v/>
      </c>
      <c r="E1875" t="n">
        <v>5</v>
      </c>
    </row>
    <row r="1876">
      <c r="A1876">
        <f>_xlfn.XLOOKUP("METRÔ 15-1",Trip[trip_id],Trip[trip_id],"Não encontrado")</f>
        <v/>
      </c>
      <c r="B1876" s="53" t="n">
        <v>0.1805555555555556</v>
      </c>
      <c r="C1876" s="53" t="n">
        <v>0.1805555555555556</v>
      </c>
      <c r="D1876">
        <f>_xlfn.XLOOKUP(7805208,Stops[stop_id],Stops[stop_id],"Não encontrado")</f>
        <v/>
      </c>
      <c r="E1876" t="n">
        <v>6</v>
      </c>
    </row>
    <row r="1877">
      <c r="A1877">
        <f>_xlfn.XLOOKUP("METRÔ 15-1",Trip[trip_id],Trip[trip_id],"Não encontrado")</f>
        <v/>
      </c>
      <c r="B1877" s="53" t="n">
        <v>0.1833333333333333</v>
      </c>
      <c r="C1877" s="53" t="n">
        <v>0.1833333333333333</v>
      </c>
      <c r="D1877">
        <f>_xlfn.XLOOKUP(7405518,Stops[stop_id],Stops[stop_id],"Não encontrado")</f>
        <v/>
      </c>
      <c r="E1877" t="n">
        <v>7</v>
      </c>
    </row>
    <row r="1878">
      <c r="A1878">
        <f>_xlfn.XLOOKUP("METRÔ 15-1",Trip[trip_id],Trip[trip_id],"Não encontrado")</f>
        <v/>
      </c>
      <c r="B1878" s="53" t="n">
        <v>0.1861111111111111</v>
      </c>
      <c r="C1878" s="53" t="n">
        <v>0.1861111111111111</v>
      </c>
      <c r="D1878">
        <f>_xlfn.XLOOKUP(7405517,Stops[stop_id],Stops[stop_id],"Não encontrado")</f>
        <v/>
      </c>
      <c r="E1878" t="n">
        <v>8</v>
      </c>
    </row>
    <row r="1879">
      <c r="A1879">
        <f>_xlfn.XLOOKUP("METRÔ 15-1",Trip[trip_id],Trip[trip_id],"Não encontrado")</f>
        <v/>
      </c>
      <c r="B1879" s="53" t="n">
        <v>0.1888888888888889</v>
      </c>
      <c r="C1879" s="53" t="n">
        <v>0.1888888888888889</v>
      </c>
      <c r="D1879">
        <f>_xlfn.XLOOKUP(7405516,Stops[stop_id],Stops[stop_id],"Não encontrado")</f>
        <v/>
      </c>
      <c r="E1879" t="n">
        <v>9</v>
      </c>
    </row>
    <row r="1880">
      <c r="A1880">
        <f>_xlfn.XLOOKUP("METRÔ 15-1",Trip[trip_id],Trip[trip_id],"Não encontrado")</f>
        <v/>
      </c>
      <c r="B1880" s="53" t="n">
        <v>0.1916666666666667</v>
      </c>
      <c r="C1880" s="53" t="n">
        <v>0.1916666666666667</v>
      </c>
      <c r="D1880">
        <f>_xlfn.XLOOKUP(7405493,Stops[stop_id],Stops[stop_id],"Não encontrado")</f>
        <v/>
      </c>
      <c r="E1880" t="n">
        <v>10</v>
      </c>
    </row>
    <row r="1881">
      <c r="A1881">
        <f>_xlfn.XLOOKUP("METRÔ 15-1",Trip[trip_id],Trip[trip_id],"Não encontrado")</f>
        <v/>
      </c>
      <c r="B1881" s="53" t="n">
        <v>0.1944444444444444</v>
      </c>
      <c r="C1881" s="53" t="n">
        <v>0.1944444444444444</v>
      </c>
      <c r="D1881">
        <f>_xlfn.XLOOKUP(9505577,Stops[stop_id],Stops[stop_id],"Não encontrado")</f>
        <v/>
      </c>
      <c r="E1881" t="n">
        <v>11</v>
      </c>
    </row>
    <row r="1882">
      <c r="A1882">
        <f>_xlfn.XLOOKUP("METRÔ L1-0",Trip[trip_id],Trip[trip_id],"Não encontrado")</f>
        <v/>
      </c>
      <c r="B1882" s="53" t="n">
        <v>0.1666666666666667</v>
      </c>
      <c r="C1882" s="53" t="n">
        <v>0.1666666666666667</v>
      </c>
      <c r="D1882">
        <f>_xlfn.XLOOKUP(18852,Stops[stop_id],Stops[stop_id],"Não encontrado")</f>
        <v/>
      </c>
      <c r="E1882" t="n">
        <v>1</v>
      </c>
    </row>
    <row r="1883">
      <c r="A1883">
        <f>_xlfn.XLOOKUP("METRÔ L1-0",Trip[trip_id],Trip[trip_id],"Não encontrado")</f>
        <v/>
      </c>
      <c r="B1883" s="53" t="n">
        <v>0.167962962962963</v>
      </c>
      <c r="C1883" s="53" t="n">
        <v>0.167962962962963</v>
      </c>
      <c r="D1883">
        <f>_xlfn.XLOOKUP(18851,Stops[stop_id],Stops[stop_id],"Não encontrado")</f>
        <v/>
      </c>
      <c r="E1883" t="n">
        <v>2</v>
      </c>
    </row>
    <row r="1884">
      <c r="A1884">
        <f>_xlfn.XLOOKUP("METRÔ L1-0",Trip[trip_id],Trip[trip_id],"Não encontrado")</f>
        <v/>
      </c>
      <c r="B1884" s="53" t="n">
        <v>0.1692592592592592</v>
      </c>
      <c r="C1884" s="53" t="n">
        <v>0.1692592592592592</v>
      </c>
      <c r="D1884">
        <f>_xlfn.XLOOKUP(18853,Stops[stop_id],Stops[stop_id],"Não encontrado")</f>
        <v/>
      </c>
      <c r="E1884" t="n">
        <v>3</v>
      </c>
    </row>
    <row r="1885">
      <c r="A1885">
        <f>_xlfn.XLOOKUP("METRÔ L1-0",Trip[trip_id],Trip[trip_id],"Não encontrado")</f>
        <v/>
      </c>
      <c r="B1885" s="53" t="n">
        <v>0.1705555555555555</v>
      </c>
      <c r="C1885" s="53" t="n">
        <v>0.1705555555555555</v>
      </c>
      <c r="D1885">
        <f>_xlfn.XLOOKUP(18854,Stops[stop_id],Stops[stop_id],"Não encontrado")</f>
        <v/>
      </c>
      <c r="E1885" t="n">
        <v>4</v>
      </c>
    </row>
    <row r="1886">
      <c r="A1886">
        <f>_xlfn.XLOOKUP("METRÔ L1-0",Trip[trip_id],Trip[trip_id],"Não encontrado")</f>
        <v/>
      </c>
      <c r="B1886" s="53" t="n">
        <v>0.1718518518518518</v>
      </c>
      <c r="C1886" s="53" t="n">
        <v>0.1718518518518518</v>
      </c>
      <c r="D1886">
        <f>_xlfn.XLOOKUP(18855,Stops[stop_id],Stops[stop_id],"Não encontrado")</f>
        <v/>
      </c>
      <c r="E1886" t="n">
        <v>5</v>
      </c>
    </row>
    <row r="1887">
      <c r="A1887">
        <f>_xlfn.XLOOKUP("METRÔ L1-0",Trip[trip_id],Trip[trip_id],"Não encontrado")</f>
        <v/>
      </c>
      <c r="B1887" s="53" t="n">
        <v>0.1731481481481481</v>
      </c>
      <c r="C1887" s="53" t="n">
        <v>0.1731481481481481</v>
      </c>
      <c r="D1887">
        <f>_xlfn.XLOOKUP(18856,Stops[stop_id],Stops[stop_id],"Não encontrado")</f>
        <v/>
      </c>
      <c r="E1887" t="n">
        <v>6</v>
      </c>
    </row>
    <row r="1888">
      <c r="A1888">
        <f>_xlfn.XLOOKUP("METRÔ L1-0",Trip[trip_id],Trip[trip_id],"Não encontrado")</f>
        <v/>
      </c>
      <c r="B1888" s="53" t="n">
        <v>0.1744444444444445</v>
      </c>
      <c r="C1888" s="53" t="n">
        <v>0.1744444444444445</v>
      </c>
      <c r="D1888">
        <f>_xlfn.XLOOKUP(18857,Stops[stop_id],Stops[stop_id],"Não encontrado")</f>
        <v/>
      </c>
      <c r="E1888" t="n">
        <v>7</v>
      </c>
    </row>
    <row r="1889">
      <c r="A1889">
        <f>_xlfn.XLOOKUP("METRÔ L1-0",Trip[trip_id],Trip[trip_id],"Não encontrado")</f>
        <v/>
      </c>
      <c r="B1889" s="53" t="n">
        <v>0.1757407407407408</v>
      </c>
      <c r="C1889" s="53" t="n">
        <v>0.1757407407407408</v>
      </c>
      <c r="D1889">
        <f>_xlfn.XLOOKUP(18984,Stops[stop_id],Stops[stop_id],"Não encontrado")</f>
        <v/>
      </c>
      <c r="E1889" t="n">
        <v>8</v>
      </c>
    </row>
    <row r="1890">
      <c r="A1890">
        <f>_xlfn.XLOOKUP("METRÔ L1-0",Trip[trip_id],Trip[trip_id],"Não encontrado")</f>
        <v/>
      </c>
      <c r="B1890" s="53" t="n">
        <v>0.177037037037037</v>
      </c>
      <c r="C1890" s="53" t="n">
        <v>0.177037037037037</v>
      </c>
      <c r="D1890">
        <f>_xlfn.XLOOKUP(18989,Stops[stop_id],Stops[stop_id],"Não encontrado")</f>
        <v/>
      </c>
      <c r="E1890" t="n">
        <v>9</v>
      </c>
    </row>
    <row r="1891">
      <c r="A1891">
        <f>_xlfn.XLOOKUP("METRÔ L1-0",Trip[trip_id],Trip[trip_id],"Não encontrado")</f>
        <v/>
      </c>
      <c r="B1891" s="53" t="n">
        <v>0.1783333333333333</v>
      </c>
      <c r="C1891" s="53" t="n">
        <v>0.1783333333333333</v>
      </c>
      <c r="D1891">
        <f>_xlfn.XLOOKUP(18862,Stops[stop_id],Stops[stop_id],"Não encontrado")</f>
        <v/>
      </c>
      <c r="E1891" t="n">
        <v>10</v>
      </c>
    </row>
    <row r="1892">
      <c r="A1892">
        <f>_xlfn.XLOOKUP("METRÔ L1-0",Trip[trip_id],Trip[trip_id],"Não encontrado")</f>
        <v/>
      </c>
      <c r="B1892" s="53" t="n">
        <v>0.1796296296296296</v>
      </c>
      <c r="C1892" s="53" t="n">
        <v>0.1796296296296296</v>
      </c>
      <c r="D1892">
        <f>_xlfn.XLOOKUP(18863,Stops[stop_id],Stops[stop_id],"Não encontrado")</f>
        <v/>
      </c>
      <c r="E1892" t="n">
        <v>11</v>
      </c>
    </row>
    <row r="1893">
      <c r="A1893">
        <f>_xlfn.XLOOKUP("METRÔ L1-0",Trip[trip_id],Trip[trip_id],"Não encontrado")</f>
        <v/>
      </c>
      <c r="B1893" s="53" t="n">
        <v>0.1809259259259259</v>
      </c>
      <c r="C1893" s="53" t="n">
        <v>0.1809259259259259</v>
      </c>
      <c r="D1893">
        <f>_xlfn.XLOOKUP(18868,Stops[stop_id],Stops[stop_id],"Não encontrado")</f>
        <v/>
      </c>
      <c r="E1893" t="n">
        <v>12</v>
      </c>
    </row>
    <row r="1894">
      <c r="A1894">
        <f>_xlfn.XLOOKUP("METRÔ L1-0",Trip[trip_id],Trip[trip_id],"Não encontrado")</f>
        <v/>
      </c>
      <c r="B1894" s="53" t="n">
        <v>0.1822222222222222</v>
      </c>
      <c r="C1894" s="53" t="n">
        <v>0.1822222222222222</v>
      </c>
      <c r="D1894">
        <f>_xlfn.XLOOKUP(19000,Stops[stop_id],Stops[stop_id],"Não encontrado")</f>
        <v/>
      </c>
      <c r="E1894" t="n">
        <v>13</v>
      </c>
    </row>
    <row r="1895">
      <c r="A1895">
        <f>_xlfn.XLOOKUP("METRÔ L1-0",Trip[trip_id],Trip[trip_id],"Não encontrado")</f>
        <v/>
      </c>
      <c r="B1895" s="53" t="n">
        <v>0.1835185185185185</v>
      </c>
      <c r="C1895" s="53" t="n">
        <v>0.1835185185185185</v>
      </c>
      <c r="D1895">
        <f>_xlfn.XLOOKUP(18870,Stops[stop_id],Stops[stop_id],"Não encontrado")</f>
        <v/>
      </c>
      <c r="E1895" t="n">
        <v>14</v>
      </c>
    </row>
    <row r="1896">
      <c r="A1896">
        <f>_xlfn.XLOOKUP("METRÔ L1-0",Trip[trip_id],Trip[trip_id],"Não encontrado")</f>
        <v/>
      </c>
      <c r="B1896" s="53" t="n">
        <v>0.1848148148148148</v>
      </c>
      <c r="C1896" s="53" t="n">
        <v>0.1848148148148148</v>
      </c>
      <c r="D1896">
        <f>_xlfn.XLOOKUP(18872,Stops[stop_id],Stops[stop_id],"Não encontrado")</f>
        <v/>
      </c>
      <c r="E1896" t="n">
        <v>15</v>
      </c>
    </row>
    <row r="1897">
      <c r="A1897">
        <f>_xlfn.XLOOKUP("METRÔ L1-0",Trip[trip_id],Trip[trip_id],"Não encontrado")</f>
        <v/>
      </c>
      <c r="B1897" s="53" t="n">
        <v>0.1861111111111111</v>
      </c>
      <c r="C1897" s="53" t="n">
        <v>0.1861111111111111</v>
      </c>
      <c r="D1897">
        <f>_xlfn.XLOOKUP(18873,Stops[stop_id],Stops[stop_id],"Não encontrado")</f>
        <v/>
      </c>
      <c r="E1897" t="n">
        <v>16</v>
      </c>
    </row>
    <row r="1898">
      <c r="A1898">
        <f>_xlfn.XLOOKUP("METRÔ L1-0",Trip[trip_id],Trip[trip_id],"Não encontrado")</f>
        <v/>
      </c>
      <c r="B1898" s="53" t="n">
        <v>0.1874074074074074</v>
      </c>
      <c r="C1898" s="53" t="n">
        <v>0.1874074074074074</v>
      </c>
      <c r="D1898">
        <f>_xlfn.XLOOKUP(18874,Stops[stop_id],Stops[stop_id],"Não encontrado")</f>
        <v/>
      </c>
      <c r="E1898" t="n">
        <v>17</v>
      </c>
    </row>
    <row r="1899">
      <c r="A1899">
        <f>_xlfn.XLOOKUP("METRÔ L1-0",Trip[trip_id],Trip[trip_id],"Não encontrado")</f>
        <v/>
      </c>
      <c r="B1899" s="53" t="n">
        <v>0.1887037037037037</v>
      </c>
      <c r="C1899" s="53" t="n">
        <v>0.1887037037037037</v>
      </c>
      <c r="D1899">
        <f>_xlfn.XLOOKUP(18877,Stops[stop_id],Stops[stop_id],"Não encontrado")</f>
        <v/>
      </c>
      <c r="E1899" t="n">
        <v>18</v>
      </c>
    </row>
    <row r="1900">
      <c r="A1900">
        <f>_xlfn.XLOOKUP("METRÔ L1-0",Trip[trip_id],Trip[trip_id],"Não encontrado")</f>
        <v/>
      </c>
      <c r="B1900" s="53" t="n">
        <v>0.19</v>
      </c>
      <c r="C1900" s="53" t="n">
        <v>0.19</v>
      </c>
      <c r="D1900">
        <f>_xlfn.XLOOKUP(18878,Stops[stop_id],Stops[stop_id],"Não encontrado")</f>
        <v/>
      </c>
      <c r="E1900" t="n">
        <v>19</v>
      </c>
    </row>
    <row r="1901">
      <c r="A1901">
        <f>_xlfn.XLOOKUP("METRÔ L1-0",Trip[trip_id],Trip[trip_id],"Não encontrado")</f>
        <v/>
      </c>
      <c r="B1901" s="53" t="n">
        <v>0.1912962962962963</v>
      </c>
      <c r="C1901" s="53" t="n">
        <v>0.1912962962962963</v>
      </c>
      <c r="D1901">
        <f>_xlfn.XLOOKUP(18879,Stops[stop_id],Stops[stop_id],"Não encontrado")</f>
        <v/>
      </c>
      <c r="E1901" t="n">
        <v>20</v>
      </c>
    </row>
    <row r="1902">
      <c r="A1902">
        <f>_xlfn.XLOOKUP("METRÔ L1-0",Trip[trip_id],Trip[trip_id],"Não encontrado")</f>
        <v/>
      </c>
      <c r="B1902" s="53" t="n">
        <v>0.1925925925925926</v>
      </c>
      <c r="C1902" s="53" t="n">
        <v>0.1925925925925926</v>
      </c>
      <c r="D1902">
        <f>_xlfn.XLOOKUP(18880,Stops[stop_id],Stops[stop_id],"Não encontrado")</f>
        <v/>
      </c>
      <c r="E1902" t="n">
        <v>21</v>
      </c>
    </row>
    <row r="1903">
      <c r="A1903">
        <f>_xlfn.XLOOKUP("METRÔ L1-0",Trip[trip_id],Trip[trip_id],"Não encontrado")</f>
        <v/>
      </c>
      <c r="B1903" s="53" t="n">
        <v>0.1938888888888889</v>
      </c>
      <c r="C1903" s="53" t="n">
        <v>0.1938888888888889</v>
      </c>
      <c r="D1903">
        <f>_xlfn.XLOOKUP(18881,Stops[stop_id],Stops[stop_id],"Não encontrado")</f>
        <v/>
      </c>
      <c r="E1903" t="n">
        <v>22</v>
      </c>
    </row>
    <row r="1904">
      <c r="A1904">
        <f>_xlfn.XLOOKUP("METRÔ L1-0",Trip[trip_id],Trip[trip_id],"Não encontrado")</f>
        <v/>
      </c>
      <c r="B1904" s="53" t="n">
        <v>0.1951851851851852</v>
      </c>
      <c r="C1904" s="53" t="n">
        <v>0.1951851851851852</v>
      </c>
      <c r="D1904">
        <f>_xlfn.XLOOKUP(18882,Stops[stop_id],Stops[stop_id],"Não encontrado")</f>
        <v/>
      </c>
      <c r="E1904" t="n">
        <v>23</v>
      </c>
    </row>
    <row r="1905">
      <c r="A1905">
        <f>_xlfn.XLOOKUP("METRÔ L1-1",Trip[trip_id],Trip[trip_id],"Não encontrado")</f>
        <v/>
      </c>
      <c r="B1905" s="53" t="n">
        <v>0.1666666666666667</v>
      </c>
      <c r="C1905" s="53" t="n">
        <v>0.1666666666666667</v>
      </c>
      <c r="D1905">
        <f>_xlfn.XLOOKUP(18882,Stops[stop_id],Stops[stop_id],"Não encontrado")</f>
        <v/>
      </c>
      <c r="E1905" t="n">
        <v>1</v>
      </c>
    </row>
    <row r="1906">
      <c r="A1906">
        <f>_xlfn.XLOOKUP("METRÔ L1-1",Trip[trip_id],Trip[trip_id],"Não encontrado")</f>
        <v/>
      </c>
      <c r="B1906" s="53" t="n">
        <v>0.167962962962963</v>
      </c>
      <c r="C1906" s="53" t="n">
        <v>0.167962962962963</v>
      </c>
      <c r="D1906">
        <f>_xlfn.XLOOKUP(18881,Stops[stop_id],Stops[stop_id],"Não encontrado")</f>
        <v/>
      </c>
      <c r="E1906" t="n">
        <v>2</v>
      </c>
    </row>
    <row r="1907">
      <c r="A1907">
        <f>_xlfn.XLOOKUP("METRÔ L1-1",Trip[trip_id],Trip[trip_id],"Não encontrado")</f>
        <v/>
      </c>
      <c r="B1907" s="53" t="n">
        <v>0.1692592592592592</v>
      </c>
      <c r="C1907" s="53" t="n">
        <v>0.1692592592592592</v>
      </c>
      <c r="D1907">
        <f>_xlfn.XLOOKUP(18880,Stops[stop_id],Stops[stop_id],"Não encontrado")</f>
        <v/>
      </c>
      <c r="E1907" t="n">
        <v>3</v>
      </c>
    </row>
    <row r="1908">
      <c r="A1908">
        <f>_xlfn.XLOOKUP("METRÔ L1-1",Trip[trip_id],Trip[trip_id],"Não encontrado")</f>
        <v/>
      </c>
      <c r="B1908" s="53" t="n">
        <v>0.1705555555555555</v>
      </c>
      <c r="C1908" s="53" t="n">
        <v>0.1705555555555555</v>
      </c>
      <c r="D1908">
        <f>_xlfn.XLOOKUP(18879,Stops[stop_id],Stops[stop_id],"Não encontrado")</f>
        <v/>
      </c>
      <c r="E1908" t="n">
        <v>4</v>
      </c>
    </row>
    <row r="1909">
      <c r="A1909">
        <f>_xlfn.XLOOKUP("METRÔ L1-1",Trip[trip_id],Trip[trip_id],"Não encontrado")</f>
        <v/>
      </c>
      <c r="B1909" s="53" t="n">
        <v>0.1718518518518518</v>
      </c>
      <c r="C1909" s="53" t="n">
        <v>0.1718518518518518</v>
      </c>
      <c r="D1909">
        <f>_xlfn.XLOOKUP(18878,Stops[stop_id],Stops[stop_id],"Não encontrado")</f>
        <v/>
      </c>
      <c r="E1909" t="n">
        <v>5</v>
      </c>
    </row>
    <row r="1910">
      <c r="A1910">
        <f>_xlfn.XLOOKUP("METRÔ L1-1",Trip[trip_id],Trip[trip_id],"Não encontrado")</f>
        <v/>
      </c>
      <c r="B1910" s="53" t="n">
        <v>0.1731481481481481</v>
      </c>
      <c r="C1910" s="53" t="n">
        <v>0.1731481481481481</v>
      </c>
      <c r="D1910">
        <f>_xlfn.XLOOKUP(18877,Stops[stop_id],Stops[stop_id],"Não encontrado")</f>
        <v/>
      </c>
      <c r="E1910" t="n">
        <v>6</v>
      </c>
    </row>
    <row r="1911">
      <c r="A1911">
        <f>_xlfn.XLOOKUP("METRÔ L1-1",Trip[trip_id],Trip[trip_id],"Não encontrado")</f>
        <v/>
      </c>
      <c r="B1911" s="53" t="n">
        <v>0.1744444444444445</v>
      </c>
      <c r="C1911" s="53" t="n">
        <v>0.1744444444444445</v>
      </c>
      <c r="D1911">
        <f>_xlfn.XLOOKUP(18874,Stops[stop_id],Stops[stop_id],"Não encontrado")</f>
        <v/>
      </c>
      <c r="E1911" t="n">
        <v>7</v>
      </c>
    </row>
    <row r="1912">
      <c r="A1912">
        <f>_xlfn.XLOOKUP("METRÔ L1-1",Trip[trip_id],Trip[trip_id],"Não encontrado")</f>
        <v/>
      </c>
      <c r="B1912" s="53" t="n">
        <v>0.1757407407407408</v>
      </c>
      <c r="C1912" s="53" t="n">
        <v>0.1757407407407408</v>
      </c>
      <c r="D1912">
        <f>_xlfn.XLOOKUP(18873,Stops[stop_id],Stops[stop_id],"Não encontrado")</f>
        <v/>
      </c>
      <c r="E1912" t="n">
        <v>8</v>
      </c>
    </row>
    <row r="1913">
      <c r="A1913">
        <f>_xlfn.XLOOKUP("METRÔ L1-1",Trip[trip_id],Trip[trip_id],"Não encontrado")</f>
        <v/>
      </c>
      <c r="B1913" s="53" t="n">
        <v>0.177037037037037</v>
      </c>
      <c r="C1913" s="53" t="n">
        <v>0.177037037037037</v>
      </c>
      <c r="D1913">
        <f>_xlfn.XLOOKUP(18872,Stops[stop_id],Stops[stop_id],"Não encontrado")</f>
        <v/>
      </c>
      <c r="E1913" t="n">
        <v>9</v>
      </c>
    </row>
    <row r="1914">
      <c r="A1914">
        <f>_xlfn.XLOOKUP("METRÔ L1-1",Trip[trip_id],Trip[trip_id],"Não encontrado")</f>
        <v/>
      </c>
      <c r="B1914" s="53" t="n">
        <v>0.1783333333333333</v>
      </c>
      <c r="C1914" s="53" t="n">
        <v>0.1783333333333333</v>
      </c>
      <c r="D1914">
        <f>_xlfn.XLOOKUP(18870,Stops[stop_id],Stops[stop_id],"Não encontrado")</f>
        <v/>
      </c>
      <c r="E1914" t="n">
        <v>10</v>
      </c>
    </row>
    <row r="1915">
      <c r="A1915">
        <f>_xlfn.XLOOKUP("METRÔ L1-1",Trip[trip_id],Trip[trip_id],"Não encontrado")</f>
        <v/>
      </c>
      <c r="B1915" s="53" t="n">
        <v>0.1796296296296296</v>
      </c>
      <c r="C1915" s="53" t="n">
        <v>0.1796296296296296</v>
      </c>
      <c r="D1915">
        <f>_xlfn.XLOOKUP(19000,Stops[stop_id],Stops[stop_id],"Não encontrado")</f>
        <v/>
      </c>
      <c r="E1915" t="n">
        <v>11</v>
      </c>
    </row>
    <row r="1916">
      <c r="A1916">
        <f>_xlfn.XLOOKUP("METRÔ L1-1",Trip[trip_id],Trip[trip_id],"Não encontrado")</f>
        <v/>
      </c>
      <c r="B1916" s="53" t="n">
        <v>0.1809259259259259</v>
      </c>
      <c r="C1916" s="53" t="n">
        <v>0.1809259259259259</v>
      </c>
      <c r="D1916">
        <f>_xlfn.XLOOKUP(18868,Stops[stop_id],Stops[stop_id],"Não encontrado")</f>
        <v/>
      </c>
      <c r="E1916" t="n">
        <v>12</v>
      </c>
    </row>
    <row r="1917">
      <c r="A1917">
        <f>_xlfn.XLOOKUP("METRÔ L1-1",Trip[trip_id],Trip[trip_id],"Não encontrado")</f>
        <v/>
      </c>
      <c r="B1917" s="53" t="n">
        <v>0.1822222222222222</v>
      </c>
      <c r="C1917" s="53" t="n">
        <v>0.1822222222222222</v>
      </c>
      <c r="D1917">
        <f>_xlfn.XLOOKUP(18863,Stops[stop_id],Stops[stop_id],"Não encontrado")</f>
        <v/>
      </c>
      <c r="E1917" t="n">
        <v>13</v>
      </c>
    </row>
    <row r="1918">
      <c r="A1918">
        <f>_xlfn.XLOOKUP("METRÔ L1-1",Trip[trip_id],Trip[trip_id],"Não encontrado")</f>
        <v/>
      </c>
      <c r="B1918" s="53" t="n">
        <v>0.1835185185185185</v>
      </c>
      <c r="C1918" s="53" t="n">
        <v>0.1835185185185185</v>
      </c>
      <c r="D1918">
        <f>_xlfn.XLOOKUP(18862,Stops[stop_id],Stops[stop_id],"Não encontrado")</f>
        <v/>
      </c>
      <c r="E1918" t="n">
        <v>14</v>
      </c>
    </row>
    <row r="1919">
      <c r="A1919">
        <f>_xlfn.XLOOKUP("METRÔ L1-1",Trip[trip_id],Trip[trip_id],"Não encontrado")</f>
        <v/>
      </c>
      <c r="B1919" s="53" t="n">
        <v>0.1848148148148148</v>
      </c>
      <c r="C1919" s="53" t="n">
        <v>0.1848148148148148</v>
      </c>
      <c r="D1919">
        <f>_xlfn.XLOOKUP(18989,Stops[stop_id],Stops[stop_id],"Não encontrado")</f>
        <v/>
      </c>
      <c r="E1919" t="n">
        <v>15</v>
      </c>
    </row>
    <row r="1920">
      <c r="A1920">
        <f>_xlfn.XLOOKUP("METRÔ L1-1",Trip[trip_id],Trip[trip_id],"Não encontrado")</f>
        <v/>
      </c>
      <c r="B1920" s="53" t="n">
        <v>0.1861111111111111</v>
      </c>
      <c r="C1920" s="53" t="n">
        <v>0.1861111111111111</v>
      </c>
      <c r="D1920">
        <f>_xlfn.XLOOKUP(18984,Stops[stop_id],Stops[stop_id],"Não encontrado")</f>
        <v/>
      </c>
      <c r="E1920" t="n">
        <v>16</v>
      </c>
    </row>
    <row r="1921">
      <c r="A1921">
        <f>_xlfn.XLOOKUP("METRÔ L1-1",Trip[trip_id],Trip[trip_id],"Não encontrado")</f>
        <v/>
      </c>
      <c r="B1921" s="53" t="n">
        <v>0.1874074074074074</v>
      </c>
      <c r="C1921" s="53" t="n">
        <v>0.1874074074074074</v>
      </c>
      <c r="D1921">
        <f>_xlfn.XLOOKUP(18857,Stops[stop_id],Stops[stop_id],"Não encontrado")</f>
        <v/>
      </c>
      <c r="E1921" t="n">
        <v>17</v>
      </c>
    </row>
    <row r="1922">
      <c r="A1922">
        <f>_xlfn.XLOOKUP("METRÔ L1-1",Trip[trip_id],Trip[trip_id],"Não encontrado")</f>
        <v/>
      </c>
      <c r="B1922" s="53" t="n">
        <v>0.1887037037037037</v>
      </c>
      <c r="C1922" s="53" t="n">
        <v>0.1887037037037037</v>
      </c>
      <c r="D1922">
        <f>_xlfn.XLOOKUP(18856,Stops[stop_id],Stops[stop_id],"Não encontrado")</f>
        <v/>
      </c>
      <c r="E1922" t="n">
        <v>18</v>
      </c>
    </row>
    <row r="1923">
      <c r="A1923">
        <f>_xlfn.XLOOKUP("METRÔ L1-1",Trip[trip_id],Trip[trip_id],"Não encontrado")</f>
        <v/>
      </c>
      <c r="B1923" s="53" t="n">
        <v>0.19</v>
      </c>
      <c r="C1923" s="53" t="n">
        <v>0.19</v>
      </c>
      <c r="D1923">
        <f>_xlfn.XLOOKUP(18855,Stops[stop_id],Stops[stop_id],"Não encontrado")</f>
        <v/>
      </c>
      <c r="E1923" t="n">
        <v>19</v>
      </c>
    </row>
    <row r="1924">
      <c r="A1924">
        <f>_xlfn.XLOOKUP("METRÔ L1-1",Trip[trip_id],Trip[trip_id],"Não encontrado")</f>
        <v/>
      </c>
      <c r="B1924" s="53" t="n">
        <v>0.1912962962962963</v>
      </c>
      <c r="C1924" s="53" t="n">
        <v>0.1912962962962963</v>
      </c>
      <c r="D1924">
        <f>_xlfn.XLOOKUP(18854,Stops[stop_id],Stops[stop_id],"Não encontrado")</f>
        <v/>
      </c>
      <c r="E1924" t="n">
        <v>20</v>
      </c>
    </row>
    <row r="1925">
      <c r="A1925">
        <f>_xlfn.XLOOKUP("METRÔ L1-1",Trip[trip_id],Trip[trip_id],"Não encontrado")</f>
        <v/>
      </c>
      <c r="B1925" s="53" t="n">
        <v>0.1925925925925926</v>
      </c>
      <c r="C1925" s="53" t="n">
        <v>0.1925925925925926</v>
      </c>
      <c r="D1925">
        <f>_xlfn.XLOOKUP(18853,Stops[stop_id],Stops[stop_id],"Não encontrado")</f>
        <v/>
      </c>
      <c r="E1925" t="n">
        <v>21</v>
      </c>
    </row>
    <row r="1926">
      <c r="A1926">
        <f>_xlfn.XLOOKUP("METRÔ L1-1",Trip[trip_id],Trip[trip_id],"Não encontrado")</f>
        <v/>
      </c>
      <c r="B1926" s="53" t="n">
        <v>0.1938888888888889</v>
      </c>
      <c r="C1926" s="53" t="n">
        <v>0.1938888888888889</v>
      </c>
      <c r="D1926">
        <f>_xlfn.XLOOKUP(18851,Stops[stop_id],Stops[stop_id],"Não encontrado")</f>
        <v/>
      </c>
      <c r="E1926" t="n">
        <v>22</v>
      </c>
    </row>
    <row r="1927">
      <c r="A1927">
        <f>_xlfn.XLOOKUP("METRÔ L1-1",Trip[trip_id],Trip[trip_id],"Não encontrado")</f>
        <v/>
      </c>
      <c r="B1927" s="53" t="n">
        <v>0.1951851851851852</v>
      </c>
      <c r="C1927" s="53" t="n">
        <v>0.1951851851851852</v>
      </c>
      <c r="D1927">
        <f>_xlfn.XLOOKUP(18852,Stops[stop_id],Stops[stop_id],"Não encontrado")</f>
        <v/>
      </c>
      <c r="E1927" t="n">
        <v>23</v>
      </c>
    </row>
    <row r="1928">
      <c r="A1928">
        <f>_xlfn.XLOOKUP("METRÔ L2-0",Trip[trip_id],Trip[trip_id],"Não encontrado")</f>
        <v/>
      </c>
      <c r="B1928" s="53" t="n">
        <v>0.1666666666666667</v>
      </c>
      <c r="C1928" s="53" t="n">
        <v>0.1666666666666667</v>
      </c>
      <c r="D1928">
        <f>_xlfn.XLOOKUP(9505541,Stops[stop_id],Stops[stop_id],"Não encontrado")</f>
        <v/>
      </c>
      <c r="E1928" t="n">
        <v>1</v>
      </c>
    </row>
    <row r="1929">
      <c r="A1929">
        <f>_xlfn.XLOOKUP("METRÔ L2-0",Trip[trip_id],Trip[trip_id],"Não encontrado")</f>
        <v/>
      </c>
      <c r="B1929" s="53" t="n">
        <v>0.1684027777777778</v>
      </c>
      <c r="C1929" s="53" t="n">
        <v>0.1684027777777778</v>
      </c>
      <c r="D1929">
        <f>_xlfn.XLOOKUP(3305856,Stops[stop_id],Stops[stop_id],"Não encontrado")</f>
        <v/>
      </c>
      <c r="E1929" t="n">
        <v>2</v>
      </c>
    </row>
    <row r="1930">
      <c r="A1930">
        <f>_xlfn.XLOOKUP("METRÔ L2-0",Trip[trip_id],Trip[trip_id],"Não encontrado")</f>
        <v/>
      </c>
      <c r="B1930" s="53" t="n">
        <v>0.1701388888888889</v>
      </c>
      <c r="C1930" s="53" t="n">
        <v>0.1701388888888889</v>
      </c>
      <c r="D1930">
        <f>_xlfn.XLOOKUP(3305845,Stops[stop_id],Stops[stop_id],"Não encontrado")</f>
        <v/>
      </c>
      <c r="E1930" t="n">
        <v>3</v>
      </c>
    </row>
    <row r="1931">
      <c r="A1931">
        <f>_xlfn.XLOOKUP("METRÔ L2-0",Trip[trip_id],Trip[trip_id],"Não encontrado")</f>
        <v/>
      </c>
      <c r="B1931" s="53" t="n">
        <v>0.171875</v>
      </c>
      <c r="C1931" s="53" t="n">
        <v>0.171875</v>
      </c>
      <c r="D1931">
        <f>_xlfn.XLOOKUP(3305749,Stops[stop_id],Stops[stop_id],"Não encontrado")</f>
        <v/>
      </c>
      <c r="E1931" t="n">
        <v>4</v>
      </c>
    </row>
    <row r="1932">
      <c r="A1932">
        <f>_xlfn.XLOOKUP("METRÔ L2-0",Trip[trip_id],Trip[trip_id],"Não encontrado")</f>
        <v/>
      </c>
      <c r="B1932" s="53" t="n">
        <v>0.1736111111111111</v>
      </c>
      <c r="C1932" s="53" t="n">
        <v>0.1736111111111111</v>
      </c>
      <c r="D1932">
        <f>_xlfn.XLOOKUP(2705944,Stops[stop_id],Stops[stop_id],"Não encontrado")</f>
        <v/>
      </c>
      <c r="E1932" t="n">
        <v>5</v>
      </c>
    </row>
    <row r="1933">
      <c r="A1933">
        <f>_xlfn.XLOOKUP("METRÔ L2-0",Trip[trip_id],Trip[trip_id],"Não encontrado")</f>
        <v/>
      </c>
      <c r="B1933" s="53" t="n">
        <v>0.1753472222222222</v>
      </c>
      <c r="C1933" s="53" t="n">
        <v>0.1753472222222222</v>
      </c>
      <c r="D1933">
        <f>_xlfn.XLOOKUP(9206550,Stops[stop_id],Stops[stop_id],"Não encontrado")</f>
        <v/>
      </c>
      <c r="E1933" t="n">
        <v>6</v>
      </c>
    </row>
    <row r="1934">
      <c r="A1934">
        <f>_xlfn.XLOOKUP("METRÔ L2-0",Trip[trip_id],Trip[trip_id],"Não encontrado")</f>
        <v/>
      </c>
      <c r="B1934" s="53" t="n">
        <v>0.1770833333333333</v>
      </c>
      <c r="C1934" s="53" t="n">
        <v>0.1770833333333333</v>
      </c>
      <c r="D1934">
        <f>_xlfn.XLOOKUP(18860,Stops[stop_id],Stops[stop_id],"Não encontrado")</f>
        <v/>
      </c>
      <c r="E1934" t="n">
        <v>7</v>
      </c>
    </row>
    <row r="1935">
      <c r="A1935">
        <f>_xlfn.XLOOKUP("METRÔ L2-0",Trip[trip_id],Trip[trip_id],"Não encontrado")</f>
        <v/>
      </c>
      <c r="B1935" s="53" t="n">
        <v>0.1788194444444444</v>
      </c>
      <c r="C1935" s="53" t="n">
        <v>0.1788194444444444</v>
      </c>
      <c r="D1935">
        <f>_xlfn.XLOOKUP(18861,Stops[stop_id],Stops[stop_id],"Não encontrado")</f>
        <v/>
      </c>
      <c r="E1935" t="n">
        <v>8</v>
      </c>
    </row>
    <row r="1936">
      <c r="A1936">
        <f>_xlfn.XLOOKUP("METRÔ L2-0",Trip[trip_id],Trip[trip_id],"Não encontrado")</f>
        <v/>
      </c>
      <c r="B1936" s="53" t="n">
        <v>0.1805555555555556</v>
      </c>
      <c r="C1936" s="53" t="n">
        <v>0.1805555555555556</v>
      </c>
      <c r="D1936">
        <f>_xlfn.XLOOKUP(18858,Stops[stop_id],Stops[stop_id],"Não encontrado")</f>
        <v/>
      </c>
      <c r="E1936" t="n">
        <v>9</v>
      </c>
    </row>
    <row r="1937">
      <c r="A1937">
        <f>_xlfn.XLOOKUP("METRÔ L2-0",Trip[trip_id],Trip[trip_id],"Não encontrado")</f>
        <v/>
      </c>
      <c r="B1937" s="53" t="n">
        <v>0.1822916666666667</v>
      </c>
      <c r="C1937" s="53" t="n">
        <v>0.1822916666666667</v>
      </c>
      <c r="D1937">
        <f>_xlfn.XLOOKUP(18859,Stops[stop_id],Stops[stop_id],"Não encontrado")</f>
        <v/>
      </c>
      <c r="E1937" t="n">
        <v>10</v>
      </c>
    </row>
    <row r="1938">
      <c r="A1938">
        <f>_xlfn.XLOOKUP("METRÔ L2-0",Trip[trip_id],Trip[trip_id],"Não encontrado")</f>
        <v/>
      </c>
      <c r="B1938" s="53" t="n">
        <v>0.1840277777777778</v>
      </c>
      <c r="C1938" s="53" t="n">
        <v>0.1840277777777778</v>
      </c>
      <c r="D1938">
        <f>_xlfn.XLOOKUP(18850,Stops[stop_id],Stops[stop_id],"Não encontrado")</f>
        <v/>
      </c>
      <c r="E1938" t="n">
        <v>11</v>
      </c>
    </row>
    <row r="1939">
      <c r="A1939">
        <f>_xlfn.XLOOKUP("METRÔ L2-0",Trip[trip_id],Trip[trip_id],"Não encontrado")</f>
        <v/>
      </c>
      <c r="B1939" s="53" t="n">
        <v>0.1857638888888889</v>
      </c>
      <c r="C1939" s="53" t="n">
        <v>0.1857638888888889</v>
      </c>
      <c r="D1939">
        <f>_xlfn.XLOOKUP(18848,Stops[stop_id],Stops[stop_id],"Não encontrado")</f>
        <v/>
      </c>
      <c r="E1939" t="n">
        <v>12</v>
      </c>
    </row>
    <row r="1940">
      <c r="A1940">
        <f>_xlfn.XLOOKUP("METRÔ L2-0",Trip[trip_id],Trip[trip_id],"Não encontrado")</f>
        <v/>
      </c>
      <c r="B1940" s="53" t="n">
        <v>0.1875</v>
      </c>
      <c r="C1940" s="53" t="n">
        <v>0.1875</v>
      </c>
      <c r="D1940">
        <f>_xlfn.XLOOKUP(4406608,Stops[stop_id],Stops[stop_id],"Não encontrado")</f>
        <v/>
      </c>
      <c r="E1940" t="n">
        <v>13</v>
      </c>
    </row>
    <row r="1941">
      <c r="A1941">
        <f>_xlfn.XLOOKUP("METRÔ L2-0",Trip[trip_id],Trip[trip_id],"Não encontrado")</f>
        <v/>
      </c>
      <c r="B1941" s="53" t="n">
        <v>0.1892361111111111</v>
      </c>
      <c r="C1941" s="53" t="n">
        <v>0.1892361111111111</v>
      </c>
      <c r="D1941">
        <f>_xlfn.XLOOKUP(18849,Stops[stop_id],Stops[stop_id],"Não encontrado")</f>
        <v/>
      </c>
      <c r="E1941" t="n">
        <v>14</v>
      </c>
    </row>
    <row r="1942">
      <c r="A1942">
        <f>_xlfn.XLOOKUP("METRÔ L2-1",Trip[trip_id],Trip[trip_id],"Não encontrado")</f>
        <v/>
      </c>
      <c r="B1942" s="53" t="n">
        <v>0.1666666666666667</v>
      </c>
      <c r="C1942" s="53" t="n">
        <v>0.1666666666666667</v>
      </c>
      <c r="D1942">
        <f>_xlfn.XLOOKUP(18849,Stops[stop_id],Stops[stop_id],"Não encontrado")</f>
        <v/>
      </c>
      <c r="E1942" t="n">
        <v>1</v>
      </c>
    </row>
    <row r="1943">
      <c r="A1943">
        <f>_xlfn.XLOOKUP("METRÔ L2-1",Trip[trip_id],Trip[trip_id],"Não encontrado")</f>
        <v/>
      </c>
      <c r="B1943" s="53" t="n">
        <v>0.1684027777777778</v>
      </c>
      <c r="C1943" s="53" t="n">
        <v>0.1684027777777778</v>
      </c>
      <c r="D1943">
        <f>_xlfn.XLOOKUP(4406608,Stops[stop_id],Stops[stop_id],"Não encontrado")</f>
        <v/>
      </c>
      <c r="E1943" t="n">
        <v>2</v>
      </c>
    </row>
    <row r="1944">
      <c r="A1944">
        <f>_xlfn.XLOOKUP("METRÔ L2-1",Trip[trip_id],Trip[trip_id],"Não encontrado")</f>
        <v/>
      </c>
      <c r="B1944" s="53" t="n">
        <v>0.1701388888888889</v>
      </c>
      <c r="C1944" s="53" t="n">
        <v>0.1701388888888889</v>
      </c>
      <c r="D1944">
        <f>_xlfn.XLOOKUP(18848,Stops[stop_id],Stops[stop_id],"Não encontrado")</f>
        <v/>
      </c>
      <c r="E1944" t="n">
        <v>3</v>
      </c>
    </row>
    <row r="1945">
      <c r="A1945">
        <f>_xlfn.XLOOKUP("METRÔ L2-1",Trip[trip_id],Trip[trip_id],"Não encontrado")</f>
        <v/>
      </c>
      <c r="B1945" s="53" t="n">
        <v>0.171875</v>
      </c>
      <c r="C1945" s="53" t="n">
        <v>0.171875</v>
      </c>
      <c r="D1945">
        <f>_xlfn.XLOOKUP(18850,Stops[stop_id],Stops[stop_id],"Não encontrado")</f>
        <v/>
      </c>
      <c r="E1945" t="n">
        <v>4</v>
      </c>
    </row>
    <row r="1946">
      <c r="A1946">
        <f>_xlfn.XLOOKUP("METRÔ L2-1",Trip[trip_id],Trip[trip_id],"Não encontrado")</f>
        <v/>
      </c>
      <c r="B1946" s="53" t="n">
        <v>0.1736111111111111</v>
      </c>
      <c r="C1946" s="53" t="n">
        <v>0.1736111111111111</v>
      </c>
      <c r="D1946">
        <f>_xlfn.XLOOKUP(18859,Stops[stop_id],Stops[stop_id],"Não encontrado")</f>
        <v/>
      </c>
      <c r="E1946" t="n">
        <v>5</v>
      </c>
    </row>
    <row r="1947">
      <c r="A1947">
        <f>_xlfn.XLOOKUP("METRÔ L2-1",Trip[trip_id],Trip[trip_id],"Não encontrado")</f>
        <v/>
      </c>
      <c r="B1947" s="53" t="n">
        <v>0.1753472222222222</v>
      </c>
      <c r="C1947" s="53" t="n">
        <v>0.1753472222222222</v>
      </c>
      <c r="D1947">
        <f>_xlfn.XLOOKUP(18858,Stops[stop_id],Stops[stop_id],"Não encontrado")</f>
        <v/>
      </c>
      <c r="E1947" t="n">
        <v>6</v>
      </c>
    </row>
    <row r="1948">
      <c r="A1948">
        <f>_xlfn.XLOOKUP("METRÔ L2-1",Trip[trip_id],Trip[trip_id],"Não encontrado")</f>
        <v/>
      </c>
      <c r="B1948" s="53" t="n">
        <v>0.1770833333333333</v>
      </c>
      <c r="C1948" s="53" t="n">
        <v>0.1770833333333333</v>
      </c>
      <c r="D1948">
        <f>_xlfn.XLOOKUP(18861,Stops[stop_id],Stops[stop_id],"Não encontrado")</f>
        <v/>
      </c>
      <c r="E1948" t="n">
        <v>7</v>
      </c>
    </row>
    <row r="1949">
      <c r="A1949">
        <f>_xlfn.XLOOKUP("METRÔ L2-1",Trip[trip_id],Trip[trip_id],"Não encontrado")</f>
        <v/>
      </c>
      <c r="B1949" s="53" t="n">
        <v>0.1788194444444444</v>
      </c>
      <c r="C1949" s="53" t="n">
        <v>0.1788194444444444</v>
      </c>
      <c r="D1949">
        <f>_xlfn.XLOOKUP(18860,Stops[stop_id],Stops[stop_id],"Não encontrado")</f>
        <v/>
      </c>
      <c r="E1949" t="n">
        <v>8</v>
      </c>
    </row>
    <row r="1950">
      <c r="A1950">
        <f>_xlfn.XLOOKUP("METRÔ L2-1",Trip[trip_id],Trip[trip_id],"Não encontrado")</f>
        <v/>
      </c>
      <c r="B1950" s="53" t="n">
        <v>0.1805555555555556</v>
      </c>
      <c r="C1950" s="53" t="n">
        <v>0.1805555555555556</v>
      </c>
      <c r="D1950">
        <f>_xlfn.XLOOKUP(9206550,Stops[stop_id],Stops[stop_id],"Não encontrado")</f>
        <v/>
      </c>
      <c r="E1950" t="n">
        <v>9</v>
      </c>
    </row>
    <row r="1951">
      <c r="A1951">
        <f>_xlfn.XLOOKUP("METRÔ L2-1",Trip[trip_id],Trip[trip_id],"Não encontrado")</f>
        <v/>
      </c>
      <c r="B1951" s="53" t="n">
        <v>0.1822916666666667</v>
      </c>
      <c r="C1951" s="53" t="n">
        <v>0.1822916666666667</v>
      </c>
      <c r="D1951">
        <f>_xlfn.XLOOKUP(2705944,Stops[stop_id],Stops[stop_id],"Não encontrado")</f>
        <v/>
      </c>
      <c r="E1951" t="n">
        <v>10</v>
      </c>
    </row>
    <row r="1952">
      <c r="A1952">
        <f>_xlfn.XLOOKUP("METRÔ L2-1",Trip[trip_id],Trip[trip_id],"Não encontrado")</f>
        <v/>
      </c>
      <c r="B1952" s="53" t="n">
        <v>0.1840277777777778</v>
      </c>
      <c r="C1952" s="53" t="n">
        <v>0.1840277777777778</v>
      </c>
      <c r="D1952">
        <f>_xlfn.XLOOKUP(3305749,Stops[stop_id],Stops[stop_id],"Não encontrado")</f>
        <v/>
      </c>
      <c r="E1952" t="n">
        <v>11</v>
      </c>
    </row>
    <row r="1953">
      <c r="A1953">
        <f>_xlfn.XLOOKUP("METRÔ L2-1",Trip[trip_id],Trip[trip_id],"Não encontrado")</f>
        <v/>
      </c>
      <c r="B1953" s="53" t="n">
        <v>0.1857638888888889</v>
      </c>
      <c r="C1953" s="53" t="n">
        <v>0.1857638888888889</v>
      </c>
      <c r="D1953">
        <f>_xlfn.XLOOKUP(3305845,Stops[stop_id],Stops[stop_id],"Não encontrado")</f>
        <v/>
      </c>
      <c r="E1953" t="n">
        <v>12</v>
      </c>
    </row>
    <row r="1954">
      <c r="A1954">
        <f>_xlfn.XLOOKUP("METRÔ L2-1",Trip[trip_id],Trip[trip_id],"Não encontrado")</f>
        <v/>
      </c>
      <c r="B1954" s="53" t="n">
        <v>0.1875</v>
      </c>
      <c r="C1954" s="53" t="n">
        <v>0.1875</v>
      </c>
      <c r="D1954">
        <f>_xlfn.XLOOKUP(3305856,Stops[stop_id],Stops[stop_id],"Não encontrado")</f>
        <v/>
      </c>
      <c r="E1954" t="n">
        <v>13</v>
      </c>
    </row>
    <row r="1955">
      <c r="A1955">
        <f>_xlfn.XLOOKUP("METRÔ L2-1",Trip[trip_id],Trip[trip_id],"Não encontrado")</f>
        <v/>
      </c>
      <c r="B1955" s="53" t="n">
        <v>0.1892361111111111</v>
      </c>
      <c r="C1955" s="53" t="n">
        <v>0.1892361111111111</v>
      </c>
      <c r="D1955">
        <f>_xlfn.XLOOKUP(9505541,Stops[stop_id],Stops[stop_id],"Não encontrado")</f>
        <v/>
      </c>
      <c r="E1955" t="n">
        <v>14</v>
      </c>
    </row>
    <row r="1956">
      <c r="A1956">
        <f>_xlfn.XLOOKUP("METRÔ L3-0",Trip[trip_id],Trip[trip_id],"Não encontrado")</f>
        <v/>
      </c>
      <c r="B1956" s="53" t="n">
        <v>0.1666666666666667</v>
      </c>
      <c r="C1956" s="53" t="n">
        <v>0.1666666666666667</v>
      </c>
      <c r="D1956">
        <f>_xlfn.XLOOKUP(18986,Stops[stop_id],Stops[stop_id],"Não encontrado")</f>
        <v/>
      </c>
      <c r="E1956" t="n">
        <v>1</v>
      </c>
    </row>
    <row r="1957">
      <c r="A1957">
        <f>_xlfn.XLOOKUP("METRÔ L3-0",Trip[trip_id],Trip[trip_id],"Não encontrado")</f>
        <v/>
      </c>
      <c r="B1957" s="53" t="n">
        <v>0.1688657407407407</v>
      </c>
      <c r="C1957" s="53" t="n">
        <v>0.1688657407407407</v>
      </c>
      <c r="D1957">
        <f>_xlfn.XLOOKUP(18864,Stops[stop_id],Stops[stop_id],"Não encontrado")</f>
        <v/>
      </c>
      <c r="E1957" t="n">
        <v>2</v>
      </c>
    </row>
    <row r="1958">
      <c r="A1958">
        <f>_xlfn.XLOOKUP("METRÔ L3-0",Trip[trip_id],Trip[trip_id],"Não encontrado")</f>
        <v/>
      </c>
      <c r="B1958" s="53" t="n">
        <v>0.1710648148148148</v>
      </c>
      <c r="C1958" s="53" t="n">
        <v>0.1710648148148148</v>
      </c>
      <c r="D1958">
        <f>_xlfn.XLOOKUP(18865,Stops[stop_id],Stops[stop_id],"Não encontrado")</f>
        <v/>
      </c>
      <c r="E1958" t="n">
        <v>3</v>
      </c>
    </row>
    <row r="1959">
      <c r="A1959">
        <f>_xlfn.XLOOKUP("METRÔ L3-0",Trip[trip_id],Trip[trip_id],"Não encontrado")</f>
        <v/>
      </c>
      <c r="B1959" s="53" t="n">
        <v>0.1732638888888889</v>
      </c>
      <c r="C1959" s="53" t="n">
        <v>0.1732638888888889</v>
      </c>
      <c r="D1959">
        <f>_xlfn.XLOOKUP(6714561,Stops[stop_id],Stops[stop_id],"Não encontrado")</f>
        <v/>
      </c>
      <c r="E1959" t="n">
        <v>4</v>
      </c>
    </row>
    <row r="1960">
      <c r="A1960">
        <f>_xlfn.XLOOKUP("METRÔ L3-0",Trip[trip_id],Trip[trip_id],"Não encontrado")</f>
        <v/>
      </c>
      <c r="B1960" s="53" t="n">
        <v>0.175462962962963</v>
      </c>
      <c r="C1960" s="53" t="n">
        <v>0.175462962962963</v>
      </c>
      <c r="D1960">
        <f>_xlfn.XLOOKUP(18867,Stops[stop_id],Stops[stop_id],"Não encontrado")</f>
        <v/>
      </c>
      <c r="E1960" t="n">
        <v>5</v>
      </c>
    </row>
    <row r="1961">
      <c r="A1961">
        <f>_xlfn.XLOOKUP("METRÔ L3-0",Trip[trip_id],Trip[trip_id],"Não encontrado")</f>
        <v/>
      </c>
      <c r="B1961" s="53" t="n">
        <v>0.177662037037037</v>
      </c>
      <c r="C1961" s="53" t="n">
        <v>0.177662037037037</v>
      </c>
      <c r="D1961">
        <f>_xlfn.XLOOKUP(18869,Stops[stop_id],Stops[stop_id],"Não encontrado")</f>
        <v/>
      </c>
      <c r="E1961" t="n">
        <v>6</v>
      </c>
    </row>
    <row r="1962">
      <c r="A1962">
        <f>_xlfn.XLOOKUP("METRÔ L3-0",Trip[trip_id],Trip[trip_id],"Não encontrado")</f>
        <v/>
      </c>
      <c r="B1962" s="53" t="n">
        <v>0.1798611111111111</v>
      </c>
      <c r="C1962" s="53" t="n">
        <v>0.1798611111111111</v>
      </c>
      <c r="D1962">
        <f>_xlfn.XLOOKUP(18871,Stops[stop_id],Stops[stop_id],"Não encontrado")</f>
        <v/>
      </c>
      <c r="E1962" t="n">
        <v>7</v>
      </c>
    </row>
    <row r="1963">
      <c r="A1963">
        <f>_xlfn.XLOOKUP("METRÔ L3-0",Trip[trip_id],Trip[trip_id],"Não encontrado")</f>
        <v/>
      </c>
      <c r="B1963" s="53" t="n">
        <v>0.1820601851851852</v>
      </c>
      <c r="C1963" s="53" t="n">
        <v>0.1820601851851852</v>
      </c>
      <c r="D1963">
        <f>_xlfn.XLOOKUP(1010054,Stops[stop_id],Stops[stop_id],"Não encontrado")</f>
        <v/>
      </c>
      <c r="E1963" t="n">
        <v>8</v>
      </c>
    </row>
    <row r="1964">
      <c r="A1964">
        <f>_xlfn.XLOOKUP("METRÔ L3-0",Trip[trip_id],Trip[trip_id],"Não encontrado")</f>
        <v/>
      </c>
      <c r="B1964" s="53" t="n">
        <v>0.1842592592592593</v>
      </c>
      <c r="C1964" s="53" t="n">
        <v>0.1842592592592593</v>
      </c>
      <c r="D1964">
        <f>_xlfn.XLOOKUP(18875,Stops[stop_id],Stops[stop_id],"Não encontrado")</f>
        <v/>
      </c>
      <c r="E1964" t="n">
        <v>9</v>
      </c>
    </row>
    <row r="1965">
      <c r="A1965">
        <f>_xlfn.XLOOKUP("METRÔ L3-0",Trip[trip_id],Trip[trip_id],"Não encontrado")</f>
        <v/>
      </c>
      <c r="B1965" s="53" t="n">
        <v>0.1864583333333333</v>
      </c>
      <c r="C1965" s="53" t="n">
        <v>0.1864583333333333</v>
      </c>
      <c r="D1965">
        <f>_xlfn.XLOOKUP(18876,Stops[stop_id],Stops[stop_id],"Não encontrado")</f>
        <v/>
      </c>
      <c r="E1965" t="n">
        <v>10</v>
      </c>
    </row>
    <row r="1966">
      <c r="A1966">
        <f>_xlfn.XLOOKUP("METRÔ L3-0",Trip[trip_id],Trip[trip_id],"Não encontrado")</f>
        <v/>
      </c>
      <c r="B1966" s="53" t="n">
        <v>0.1886574074074074</v>
      </c>
      <c r="C1966" s="53" t="n">
        <v>0.1886574074074074</v>
      </c>
      <c r="D1966">
        <f>_xlfn.XLOOKUP(18944,Stops[stop_id],Stops[stop_id],"Não encontrado")</f>
        <v/>
      </c>
      <c r="E1966" t="n">
        <v>11</v>
      </c>
    </row>
    <row r="1967">
      <c r="A1967">
        <f>_xlfn.XLOOKUP("METRÔ L3-0",Trip[trip_id],Trip[trip_id],"Não encontrado")</f>
        <v/>
      </c>
      <c r="B1967" s="53" t="n">
        <v>0.1908564814814815</v>
      </c>
      <c r="C1967" s="53" t="n">
        <v>0.1908564814814815</v>
      </c>
      <c r="D1967">
        <f>_xlfn.XLOOKUP(18883,Stops[stop_id],Stops[stop_id],"Não encontrado")</f>
        <v/>
      </c>
      <c r="E1967" t="n">
        <v>12</v>
      </c>
    </row>
    <row r="1968">
      <c r="A1968">
        <f>_xlfn.XLOOKUP("METRÔ L3-0",Trip[trip_id],Trip[trip_id],"Não encontrado")</f>
        <v/>
      </c>
      <c r="B1968" s="53" t="n">
        <v>0.1930555555555556</v>
      </c>
      <c r="C1968" s="53" t="n">
        <v>0.1930555555555556</v>
      </c>
      <c r="D1968">
        <f>_xlfn.XLOOKUP(18884,Stops[stop_id],Stops[stop_id],"Não encontrado")</f>
        <v/>
      </c>
      <c r="E1968" t="n">
        <v>13</v>
      </c>
    </row>
    <row r="1969">
      <c r="A1969">
        <f>_xlfn.XLOOKUP("METRÔ L3-0",Trip[trip_id],Trip[trip_id],"Não encontrado")</f>
        <v/>
      </c>
      <c r="B1969" s="53" t="n">
        <v>0.1952546296296296</v>
      </c>
      <c r="C1969" s="53" t="n">
        <v>0.1952546296296296</v>
      </c>
      <c r="D1969">
        <f>_xlfn.XLOOKUP(18885,Stops[stop_id],Stops[stop_id],"Não encontrado")</f>
        <v/>
      </c>
      <c r="E1969" t="n">
        <v>14</v>
      </c>
    </row>
    <row r="1970">
      <c r="A1970">
        <f>_xlfn.XLOOKUP("METRÔ L3-0",Trip[trip_id],Trip[trip_id],"Não encontrado")</f>
        <v/>
      </c>
      <c r="B1970" s="53" t="n">
        <v>0.1974537037037037</v>
      </c>
      <c r="C1970" s="53" t="n">
        <v>0.1974537037037037</v>
      </c>
      <c r="D1970">
        <f>_xlfn.XLOOKUP(18886,Stops[stop_id],Stops[stop_id],"Não encontrado")</f>
        <v/>
      </c>
      <c r="E1970" t="n">
        <v>15</v>
      </c>
    </row>
    <row r="1971">
      <c r="A1971">
        <f>_xlfn.XLOOKUP("METRÔ L3-0",Trip[trip_id],Trip[trip_id],"Não encontrado")</f>
        <v/>
      </c>
      <c r="B1971" s="53" t="n">
        <v>0.1996527777777778</v>
      </c>
      <c r="C1971" s="53" t="n">
        <v>0.1996527777777778</v>
      </c>
      <c r="D1971">
        <f>_xlfn.XLOOKUP(18887,Stops[stop_id],Stops[stop_id],"Não encontrado")</f>
        <v/>
      </c>
      <c r="E1971" t="n">
        <v>16</v>
      </c>
    </row>
    <row r="1972">
      <c r="A1972">
        <f>_xlfn.XLOOKUP("METRÔ L3-0",Trip[trip_id],Trip[trip_id],"Não encontrado")</f>
        <v/>
      </c>
      <c r="B1972" s="53" t="n">
        <v>0.2018518518518519</v>
      </c>
      <c r="C1972" s="53" t="n">
        <v>0.2018518518518519</v>
      </c>
      <c r="D1972">
        <f>_xlfn.XLOOKUP(18888,Stops[stop_id],Stops[stop_id],"Não encontrado")</f>
        <v/>
      </c>
      <c r="E1972" t="n">
        <v>17</v>
      </c>
    </row>
    <row r="1973">
      <c r="A1973">
        <f>_xlfn.XLOOKUP("METRÔ L3-0",Trip[trip_id],Trip[trip_id],"Não encontrado")</f>
        <v/>
      </c>
      <c r="B1973" s="53" t="n">
        <v>0.2040509259259259</v>
      </c>
      <c r="C1973" s="53" t="n">
        <v>0.2040509259259259</v>
      </c>
      <c r="D1973">
        <f>_xlfn.XLOOKUP(18890,Stops[stop_id],Stops[stop_id],"Não encontrado")</f>
        <v/>
      </c>
      <c r="E1973" t="n">
        <v>18</v>
      </c>
    </row>
    <row r="1974">
      <c r="A1974">
        <f>_xlfn.XLOOKUP("METRÔ L3-1",Trip[trip_id],Trip[trip_id],"Não encontrado")</f>
        <v/>
      </c>
      <c r="B1974" s="53" t="n">
        <v>0.1666666666666667</v>
      </c>
      <c r="C1974" s="53" t="n">
        <v>0.1666666666666667</v>
      </c>
      <c r="D1974">
        <f>_xlfn.XLOOKUP(18890,Stops[stop_id],Stops[stop_id],"Não encontrado")</f>
        <v/>
      </c>
      <c r="E1974" t="n">
        <v>1</v>
      </c>
    </row>
    <row r="1975">
      <c r="A1975">
        <f>_xlfn.XLOOKUP("METRÔ L3-1",Trip[trip_id],Trip[trip_id],"Não encontrado")</f>
        <v/>
      </c>
      <c r="B1975" s="53" t="n">
        <v>0.1688657407407407</v>
      </c>
      <c r="C1975" s="53" t="n">
        <v>0.1688657407407407</v>
      </c>
      <c r="D1975">
        <f>_xlfn.XLOOKUP(18888,Stops[stop_id],Stops[stop_id],"Não encontrado")</f>
        <v/>
      </c>
      <c r="E1975" t="n">
        <v>2</v>
      </c>
    </row>
    <row r="1976">
      <c r="A1976">
        <f>_xlfn.XLOOKUP("METRÔ L3-1",Trip[trip_id],Trip[trip_id],"Não encontrado")</f>
        <v/>
      </c>
      <c r="B1976" s="53" t="n">
        <v>0.1710648148148148</v>
      </c>
      <c r="C1976" s="53" t="n">
        <v>0.1710648148148148</v>
      </c>
      <c r="D1976">
        <f>_xlfn.XLOOKUP(18887,Stops[stop_id],Stops[stop_id],"Não encontrado")</f>
        <v/>
      </c>
      <c r="E1976" t="n">
        <v>3</v>
      </c>
    </row>
    <row r="1977">
      <c r="A1977">
        <f>_xlfn.XLOOKUP("METRÔ L3-1",Trip[trip_id],Trip[trip_id],"Não encontrado")</f>
        <v/>
      </c>
      <c r="B1977" s="53" t="n">
        <v>0.1732638888888889</v>
      </c>
      <c r="C1977" s="53" t="n">
        <v>0.1732638888888889</v>
      </c>
      <c r="D1977">
        <f>_xlfn.XLOOKUP(18886,Stops[stop_id],Stops[stop_id],"Não encontrado")</f>
        <v/>
      </c>
      <c r="E1977" t="n">
        <v>4</v>
      </c>
    </row>
    <row r="1978">
      <c r="A1978">
        <f>_xlfn.XLOOKUP("METRÔ L3-1",Trip[trip_id],Trip[trip_id],"Não encontrado")</f>
        <v/>
      </c>
      <c r="B1978" s="53" t="n">
        <v>0.175462962962963</v>
      </c>
      <c r="C1978" s="53" t="n">
        <v>0.175462962962963</v>
      </c>
      <c r="D1978">
        <f>_xlfn.XLOOKUP(18885,Stops[stop_id],Stops[stop_id],"Não encontrado")</f>
        <v/>
      </c>
      <c r="E1978" t="n">
        <v>5</v>
      </c>
    </row>
    <row r="1979">
      <c r="A1979">
        <f>_xlfn.XLOOKUP("METRÔ L3-1",Trip[trip_id],Trip[trip_id],"Não encontrado")</f>
        <v/>
      </c>
      <c r="B1979" s="53" t="n">
        <v>0.177662037037037</v>
      </c>
      <c r="C1979" s="53" t="n">
        <v>0.177662037037037</v>
      </c>
      <c r="D1979">
        <f>_xlfn.XLOOKUP(18884,Stops[stop_id],Stops[stop_id],"Não encontrado")</f>
        <v/>
      </c>
      <c r="E1979" t="n">
        <v>6</v>
      </c>
    </row>
    <row r="1980">
      <c r="A1980">
        <f>_xlfn.XLOOKUP("METRÔ L3-1",Trip[trip_id],Trip[trip_id],"Não encontrado")</f>
        <v/>
      </c>
      <c r="B1980" s="53" t="n">
        <v>0.1798611111111111</v>
      </c>
      <c r="C1980" s="53" t="n">
        <v>0.1798611111111111</v>
      </c>
      <c r="D1980">
        <f>_xlfn.XLOOKUP(18883,Stops[stop_id],Stops[stop_id],"Não encontrado")</f>
        <v/>
      </c>
      <c r="E1980" t="n">
        <v>7</v>
      </c>
    </row>
    <row r="1981">
      <c r="A1981">
        <f>_xlfn.XLOOKUP("METRÔ L3-1",Trip[trip_id],Trip[trip_id],"Não encontrado")</f>
        <v/>
      </c>
      <c r="B1981" s="53" t="n">
        <v>0.1820601851851852</v>
      </c>
      <c r="C1981" s="53" t="n">
        <v>0.1820601851851852</v>
      </c>
      <c r="D1981">
        <f>_xlfn.XLOOKUP(18944,Stops[stop_id],Stops[stop_id],"Não encontrado")</f>
        <v/>
      </c>
      <c r="E1981" t="n">
        <v>8</v>
      </c>
    </row>
    <row r="1982">
      <c r="A1982">
        <f>_xlfn.XLOOKUP("METRÔ L3-1",Trip[trip_id],Trip[trip_id],"Não encontrado")</f>
        <v/>
      </c>
      <c r="B1982" s="53" t="n">
        <v>0.1842592592592593</v>
      </c>
      <c r="C1982" s="53" t="n">
        <v>0.1842592592592593</v>
      </c>
      <c r="D1982">
        <f>_xlfn.XLOOKUP(18876,Stops[stop_id],Stops[stop_id],"Não encontrado")</f>
        <v/>
      </c>
      <c r="E1982" t="n">
        <v>9</v>
      </c>
    </row>
    <row r="1983">
      <c r="A1983">
        <f>_xlfn.XLOOKUP("METRÔ L3-1",Trip[trip_id],Trip[trip_id],"Não encontrado")</f>
        <v/>
      </c>
      <c r="B1983" s="53" t="n">
        <v>0.1864583333333333</v>
      </c>
      <c r="C1983" s="53" t="n">
        <v>0.1864583333333333</v>
      </c>
      <c r="D1983">
        <f>_xlfn.XLOOKUP(18875,Stops[stop_id],Stops[stop_id],"Não encontrado")</f>
        <v/>
      </c>
      <c r="E1983" t="n">
        <v>10</v>
      </c>
    </row>
    <row r="1984">
      <c r="A1984">
        <f>_xlfn.XLOOKUP("METRÔ L3-1",Trip[trip_id],Trip[trip_id],"Não encontrado")</f>
        <v/>
      </c>
      <c r="B1984" s="53" t="n">
        <v>0.1886574074074074</v>
      </c>
      <c r="C1984" s="53" t="n">
        <v>0.1886574074074074</v>
      </c>
      <c r="D1984">
        <f>_xlfn.XLOOKUP(1010054,Stops[stop_id],Stops[stop_id],"Não encontrado")</f>
        <v/>
      </c>
      <c r="E1984" t="n">
        <v>11</v>
      </c>
    </row>
    <row r="1985">
      <c r="A1985">
        <f>_xlfn.XLOOKUP("METRÔ L3-1",Trip[trip_id],Trip[trip_id],"Não encontrado")</f>
        <v/>
      </c>
      <c r="B1985" s="53" t="n">
        <v>0.1908564814814815</v>
      </c>
      <c r="C1985" s="53" t="n">
        <v>0.1908564814814815</v>
      </c>
      <c r="D1985">
        <f>_xlfn.XLOOKUP(18871,Stops[stop_id],Stops[stop_id],"Não encontrado")</f>
        <v/>
      </c>
      <c r="E1985" t="n">
        <v>12</v>
      </c>
    </row>
    <row r="1986">
      <c r="A1986">
        <f>_xlfn.XLOOKUP("METRÔ L3-1",Trip[trip_id],Trip[trip_id],"Não encontrado")</f>
        <v/>
      </c>
      <c r="B1986" s="53" t="n">
        <v>0.1930555555555556</v>
      </c>
      <c r="C1986" s="53" t="n">
        <v>0.1930555555555556</v>
      </c>
      <c r="D1986">
        <f>_xlfn.XLOOKUP(18869,Stops[stop_id],Stops[stop_id],"Não encontrado")</f>
        <v/>
      </c>
      <c r="E1986" t="n">
        <v>13</v>
      </c>
    </row>
    <row r="1987">
      <c r="A1987">
        <f>_xlfn.XLOOKUP("METRÔ L3-1",Trip[trip_id],Trip[trip_id],"Não encontrado")</f>
        <v/>
      </c>
      <c r="B1987" s="53" t="n">
        <v>0.1952546296296296</v>
      </c>
      <c r="C1987" s="53" t="n">
        <v>0.1952546296296296</v>
      </c>
      <c r="D1987">
        <f>_xlfn.XLOOKUP(18867,Stops[stop_id],Stops[stop_id],"Não encontrado")</f>
        <v/>
      </c>
      <c r="E1987" t="n">
        <v>14</v>
      </c>
    </row>
    <row r="1988">
      <c r="A1988">
        <f>_xlfn.XLOOKUP("METRÔ L3-1",Trip[trip_id],Trip[trip_id],"Não encontrado")</f>
        <v/>
      </c>
      <c r="B1988" s="53" t="n">
        <v>0.1974537037037037</v>
      </c>
      <c r="C1988" s="53" t="n">
        <v>0.1974537037037037</v>
      </c>
      <c r="D1988">
        <f>_xlfn.XLOOKUP(6714561,Stops[stop_id],Stops[stop_id],"Não encontrado")</f>
        <v/>
      </c>
      <c r="E1988" t="n">
        <v>15</v>
      </c>
    </row>
    <row r="1989">
      <c r="A1989">
        <f>_xlfn.XLOOKUP("METRÔ L3-1",Trip[trip_id],Trip[trip_id],"Não encontrado")</f>
        <v/>
      </c>
      <c r="B1989" s="53" t="n">
        <v>0.1996527777777778</v>
      </c>
      <c r="C1989" s="53" t="n">
        <v>0.1996527777777778</v>
      </c>
      <c r="D1989">
        <f>_xlfn.XLOOKUP(18865,Stops[stop_id],Stops[stop_id],"Não encontrado")</f>
        <v/>
      </c>
      <c r="E1989" t="n">
        <v>16</v>
      </c>
    </row>
    <row r="1990">
      <c r="A1990">
        <f>_xlfn.XLOOKUP("METRÔ L3-1",Trip[trip_id],Trip[trip_id],"Não encontrado")</f>
        <v/>
      </c>
      <c r="B1990" s="53" t="n">
        <v>0.2018518518518519</v>
      </c>
      <c r="C1990" s="53" t="n">
        <v>0.2018518518518519</v>
      </c>
      <c r="D1990">
        <f>_xlfn.XLOOKUP(18864,Stops[stop_id],Stops[stop_id],"Não encontrado")</f>
        <v/>
      </c>
      <c r="E1990" t="n">
        <v>17</v>
      </c>
    </row>
    <row r="1991">
      <c r="A1991">
        <f>_xlfn.XLOOKUP("METRÔ L3-1",Trip[trip_id],Trip[trip_id],"Não encontrado")</f>
        <v/>
      </c>
      <c r="B1991" s="53" t="n">
        <v>0.2040509259259259</v>
      </c>
      <c r="C1991" s="53" t="n">
        <v>0.2040509259259259</v>
      </c>
      <c r="D1991">
        <f>_xlfn.XLOOKUP(18986,Stops[stop_id],Stops[stop_id],"Não encontrado")</f>
        <v/>
      </c>
      <c r="E1991" t="n">
        <v>18</v>
      </c>
    </row>
    <row r="1992">
      <c r="A1992">
        <f>_xlfn.XLOOKUP("METRÔ L4-0",Trip[trip_id],Trip[trip_id],"Não encontrado")</f>
        <v/>
      </c>
      <c r="B1992" s="53" t="n">
        <v>0.1666666666666667</v>
      </c>
      <c r="C1992" s="53" t="n">
        <v>0.1666666666666667</v>
      </c>
      <c r="D1992">
        <f>_xlfn.XLOOKUP(8010123,Stops[stop_id],Stops[stop_id],"Não encontrado")</f>
        <v/>
      </c>
      <c r="E1992" t="n">
        <v>1</v>
      </c>
    </row>
    <row r="1993">
      <c r="A1993">
        <f>_xlfn.XLOOKUP("METRÔ L4-0",Trip[trip_id],Trip[trip_id],"Não encontrado")</f>
        <v/>
      </c>
      <c r="B1993" s="53" t="n">
        <v>0.168287037037037</v>
      </c>
      <c r="C1993" s="53" t="n">
        <v>0.168287037037037</v>
      </c>
      <c r="D1993">
        <f>_xlfn.XLOOKUP(18866,Stops[stop_id],Stops[stop_id],"Não encontrado")</f>
        <v/>
      </c>
      <c r="E1993" t="n">
        <v>2</v>
      </c>
    </row>
    <row r="1994">
      <c r="A1994">
        <f>_xlfn.XLOOKUP("METRÔ L4-0",Trip[trip_id],Trip[trip_id],"Não encontrado")</f>
        <v/>
      </c>
      <c r="B1994" s="53" t="n">
        <v>0.1699074074074074</v>
      </c>
      <c r="C1994" s="53" t="n">
        <v>0.1699074074074074</v>
      </c>
      <c r="D1994">
        <f>_xlfn.XLOOKUP(4406630,Stops[stop_id],Stops[stop_id],"Não encontrado")</f>
        <v/>
      </c>
      <c r="E1994" t="n">
        <v>3</v>
      </c>
    </row>
    <row r="1995">
      <c r="A1995">
        <f>_xlfn.XLOOKUP("METRÔ L4-0",Trip[trip_id],Trip[trip_id],"Não encontrado")</f>
        <v/>
      </c>
      <c r="B1995" s="53" t="n">
        <v>0.1715277777777778</v>
      </c>
      <c r="C1995" s="53" t="n">
        <v>0.1715277777777778</v>
      </c>
      <c r="D1995">
        <f>_xlfn.XLOOKUP(2600672,Stops[stop_id],Stops[stop_id],"Não encontrado")</f>
        <v/>
      </c>
      <c r="E1995" t="n">
        <v>4</v>
      </c>
    </row>
    <row r="1996">
      <c r="A1996">
        <f>_xlfn.XLOOKUP("METRÔ L4-0",Trip[trip_id],Trip[trip_id],"Não encontrado")</f>
        <v/>
      </c>
      <c r="B1996" s="53" t="n">
        <v>0.1731481481481481</v>
      </c>
      <c r="C1996" s="53" t="n">
        <v>0.1731481481481481</v>
      </c>
      <c r="D1996">
        <f>_xlfn.XLOOKUP(4406631,Stops[stop_id],Stops[stop_id],"Não encontrado")</f>
        <v/>
      </c>
      <c r="E1996" t="n">
        <v>5</v>
      </c>
    </row>
    <row r="1997">
      <c r="A1997">
        <f>_xlfn.XLOOKUP("METRÔ L4-0",Trip[trip_id],Trip[trip_id],"Não encontrado")</f>
        <v/>
      </c>
      <c r="B1997" s="53" t="n">
        <v>0.1747685185185185</v>
      </c>
      <c r="C1997" s="53" t="n">
        <v>0.1747685185185185</v>
      </c>
      <c r="D1997">
        <f>_xlfn.XLOOKUP(6311368,Stops[stop_id],Stops[stop_id],"Não encontrado")</f>
        <v/>
      </c>
      <c r="E1997" t="n">
        <v>6</v>
      </c>
    </row>
    <row r="1998">
      <c r="A1998">
        <f>_xlfn.XLOOKUP("METRÔ L4-0",Trip[trip_id],Trip[trip_id],"Não encontrado")</f>
        <v/>
      </c>
      <c r="B1998" s="53" t="n">
        <v>0.1763888888888889</v>
      </c>
      <c r="C1998" s="53" t="n">
        <v>0.1763888888888889</v>
      </c>
      <c r="D1998">
        <f>_xlfn.XLOOKUP(6311285,Stops[stop_id],Stops[stop_id],"Não encontrado")</f>
        <v/>
      </c>
      <c r="E1998" t="n">
        <v>7</v>
      </c>
    </row>
    <row r="1999">
      <c r="A1999">
        <f>_xlfn.XLOOKUP("METRÔ L4-0",Trip[trip_id],Trip[trip_id],"Não encontrado")</f>
        <v/>
      </c>
      <c r="B1999" s="53" t="n">
        <v>0.1780092592592593</v>
      </c>
      <c r="C1999" s="53" t="n">
        <v>0.1780092592592593</v>
      </c>
      <c r="D1999">
        <f>_xlfn.XLOOKUP(6311287,Stops[stop_id],Stops[stop_id],"Não encontrado")</f>
        <v/>
      </c>
      <c r="E1999" t="n">
        <v>8</v>
      </c>
    </row>
    <row r="2000">
      <c r="A2000">
        <f>_xlfn.XLOOKUP("METRÔ L4-0",Trip[trip_id],Trip[trip_id],"Não encontrado")</f>
        <v/>
      </c>
      <c r="B2000" s="53" t="n">
        <v>0.1796296296296296</v>
      </c>
      <c r="C2000" s="53" t="n">
        <v>0.1796296296296296</v>
      </c>
      <c r="D2000">
        <f>_xlfn.XLOOKUP(1211339,Stops[stop_id],Stops[stop_id],"Não encontrado")</f>
        <v/>
      </c>
      <c r="E2000" t="n">
        <v>9</v>
      </c>
    </row>
    <row r="2001">
      <c r="A2001">
        <f>_xlfn.XLOOKUP("METRÔ L4-0",Trip[trip_id],Trip[trip_id],"Não encontrado")</f>
        <v/>
      </c>
      <c r="B2001" s="53" t="n">
        <v>0.18125</v>
      </c>
      <c r="C2001" s="53" t="n">
        <v>0.18125</v>
      </c>
      <c r="D2001">
        <f>_xlfn.XLOOKUP(1211401,Stops[stop_id],Stops[stop_id],"Não encontrado")</f>
        <v/>
      </c>
      <c r="E2001" t="n">
        <v>10</v>
      </c>
    </row>
    <row r="2002">
      <c r="A2002">
        <f>_xlfn.XLOOKUP("METRÔ L4-0",Trip[trip_id],Trip[trip_id],"Não encontrado")</f>
        <v/>
      </c>
      <c r="B2002" s="53" t="n">
        <v>0.1828703703703704</v>
      </c>
      <c r="C2002" s="53" t="n">
        <v>0.1828703703703704</v>
      </c>
      <c r="D2002">
        <f>_xlfn.XLOOKUP(9607525,Stops[stop_id],Stops[stop_id],"Não encontrado")</f>
        <v/>
      </c>
      <c r="E2002" t="n">
        <v>11</v>
      </c>
    </row>
    <row r="2003">
      <c r="A2003">
        <f>_xlfn.XLOOKUP("METRÔ L4-1",Trip[trip_id],Trip[trip_id],"Não encontrado")</f>
        <v/>
      </c>
      <c r="B2003" s="53" t="n">
        <v>0.1666666666666667</v>
      </c>
      <c r="C2003" s="53" t="n">
        <v>0.1666666666666667</v>
      </c>
      <c r="D2003">
        <f>_xlfn.XLOOKUP(9607525,Stops[stop_id],Stops[stop_id],"Não encontrado")</f>
        <v/>
      </c>
      <c r="E2003" t="n">
        <v>1</v>
      </c>
    </row>
    <row r="2004">
      <c r="A2004">
        <f>_xlfn.XLOOKUP("METRÔ L4-1",Trip[trip_id],Trip[trip_id],"Não encontrado")</f>
        <v/>
      </c>
      <c r="B2004" s="53" t="n">
        <v>0.168287037037037</v>
      </c>
      <c r="C2004" s="53" t="n">
        <v>0.168287037037037</v>
      </c>
      <c r="D2004">
        <f>_xlfn.XLOOKUP(1211401,Stops[stop_id],Stops[stop_id],"Não encontrado")</f>
        <v/>
      </c>
      <c r="E2004" t="n">
        <v>2</v>
      </c>
    </row>
    <row r="2005">
      <c r="A2005">
        <f>_xlfn.XLOOKUP("METRÔ L4-1",Trip[trip_id],Trip[trip_id],"Não encontrado")</f>
        <v/>
      </c>
      <c r="B2005" s="53" t="n">
        <v>0.1699074074074074</v>
      </c>
      <c r="C2005" s="53" t="n">
        <v>0.1699074074074074</v>
      </c>
      <c r="D2005">
        <f>_xlfn.XLOOKUP(1211339,Stops[stop_id],Stops[stop_id],"Não encontrado")</f>
        <v/>
      </c>
      <c r="E2005" t="n">
        <v>3</v>
      </c>
    </row>
    <row r="2006">
      <c r="A2006">
        <f>_xlfn.XLOOKUP("METRÔ L4-1",Trip[trip_id],Trip[trip_id],"Não encontrado")</f>
        <v/>
      </c>
      <c r="B2006" s="53" t="n">
        <v>0.1715277777777778</v>
      </c>
      <c r="C2006" s="53" t="n">
        <v>0.1715277777777778</v>
      </c>
      <c r="D2006">
        <f>_xlfn.XLOOKUP(6311287,Stops[stop_id],Stops[stop_id],"Não encontrado")</f>
        <v/>
      </c>
      <c r="E2006" t="n">
        <v>4</v>
      </c>
    </row>
    <row r="2007">
      <c r="A2007">
        <f>_xlfn.XLOOKUP("METRÔ L4-1",Trip[trip_id],Trip[trip_id],"Não encontrado")</f>
        <v/>
      </c>
      <c r="B2007" s="53" t="n">
        <v>0.1731481481481481</v>
      </c>
      <c r="C2007" s="53" t="n">
        <v>0.1731481481481481</v>
      </c>
      <c r="D2007">
        <f>_xlfn.XLOOKUP(6311285,Stops[stop_id],Stops[stop_id],"Não encontrado")</f>
        <v/>
      </c>
      <c r="E2007" t="n">
        <v>5</v>
      </c>
    </row>
    <row r="2008">
      <c r="A2008">
        <f>_xlfn.XLOOKUP("METRÔ L4-1",Trip[trip_id],Trip[trip_id],"Não encontrado")</f>
        <v/>
      </c>
      <c r="B2008" s="53" t="n">
        <v>0.1747685185185185</v>
      </c>
      <c r="C2008" s="53" t="n">
        <v>0.1747685185185185</v>
      </c>
      <c r="D2008">
        <f>_xlfn.XLOOKUP(6311368,Stops[stop_id],Stops[stop_id],"Não encontrado")</f>
        <v/>
      </c>
      <c r="E2008" t="n">
        <v>6</v>
      </c>
    </row>
    <row r="2009">
      <c r="A2009">
        <f>_xlfn.XLOOKUP("METRÔ L4-1",Trip[trip_id],Trip[trip_id],"Não encontrado")</f>
        <v/>
      </c>
      <c r="B2009" s="53" t="n">
        <v>0.1763888888888889</v>
      </c>
      <c r="C2009" s="53" t="n">
        <v>0.1763888888888889</v>
      </c>
      <c r="D2009">
        <f>_xlfn.XLOOKUP(4406631,Stops[stop_id],Stops[stop_id],"Não encontrado")</f>
        <v/>
      </c>
      <c r="E2009" t="n">
        <v>7</v>
      </c>
    </row>
    <row r="2010">
      <c r="A2010">
        <f>_xlfn.XLOOKUP("METRÔ L4-1",Trip[trip_id],Trip[trip_id],"Não encontrado")</f>
        <v/>
      </c>
      <c r="B2010" s="53" t="n">
        <v>0.1780092592592593</v>
      </c>
      <c r="C2010" s="53" t="n">
        <v>0.1780092592592593</v>
      </c>
      <c r="D2010">
        <f>_xlfn.XLOOKUP(2600672,Stops[stop_id],Stops[stop_id],"Não encontrado")</f>
        <v/>
      </c>
      <c r="E2010" t="n">
        <v>8</v>
      </c>
    </row>
    <row r="2011">
      <c r="A2011">
        <f>_xlfn.XLOOKUP("METRÔ L4-1",Trip[trip_id],Trip[trip_id],"Não encontrado")</f>
        <v/>
      </c>
      <c r="B2011" s="53" t="n">
        <v>0.1796296296296296</v>
      </c>
      <c r="C2011" s="53" t="n">
        <v>0.1796296296296296</v>
      </c>
      <c r="D2011">
        <f>_xlfn.XLOOKUP(4406630,Stops[stop_id],Stops[stop_id],"Não encontrado")</f>
        <v/>
      </c>
      <c r="E2011" t="n">
        <v>9</v>
      </c>
    </row>
    <row r="2012">
      <c r="A2012">
        <f>_xlfn.XLOOKUP("METRÔ L4-1",Trip[trip_id],Trip[trip_id],"Não encontrado")</f>
        <v/>
      </c>
      <c r="B2012" s="53" t="n">
        <v>0.18125</v>
      </c>
      <c r="C2012" s="53" t="n">
        <v>0.18125</v>
      </c>
      <c r="D2012">
        <f>_xlfn.XLOOKUP(18866,Stops[stop_id],Stops[stop_id],"Não encontrado")</f>
        <v/>
      </c>
      <c r="E2012" t="n">
        <v>10</v>
      </c>
    </row>
    <row r="2013">
      <c r="A2013">
        <f>_xlfn.XLOOKUP("METRÔ L4-1",Trip[trip_id],Trip[trip_id],"Não encontrado")</f>
        <v/>
      </c>
      <c r="B2013" s="53" t="n">
        <v>0.1828703703703704</v>
      </c>
      <c r="C2013" s="53" t="n">
        <v>0.1828703703703704</v>
      </c>
      <c r="D2013">
        <f>_xlfn.XLOOKUP(8010123,Stops[stop_id],Stops[stop_id],"Não encontrado")</f>
        <v/>
      </c>
      <c r="E2013" t="n">
        <v>11</v>
      </c>
    </row>
    <row r="2014">
      <c r="A2014">
        <f>_xlfn.XLOOKUP("METRÔ L5-0",Trip[trip_id],Trip[trip_id],"Não encontrado")</f>
        <v/>
      </c>
      <c r="B2014" s="53" t="n">
        <v>0</v>
      </c>
      <c r="C2014" s="53" t="n">
        <v>0</v>
      </c>
      <c r="D2014">
        <f>_xlfn.XLOOKUP(9206443,Stops[stop_id],Stops[stop_id],"Não encontrado")</f>
        <v/>
      </c>
      <c r="E2014" t="n">
        <v>1</v>
      </c>
    </row>
    <row r="2015">
      <c r="A2015">
        <f>_xlfn.XLOOKUP("METRÔ L5-0",Trip[trip_id],Trip[trip_id],"Não encontrado")</f>
        <v/>
      </c>
      <c r="B2015" s="53" t="n">
        <v>0.002083333333333333</v>
      </c>
      <c r="C2015" s="53" t="n">
        <v>0.002083333333333333</v>
      </c>
      <c r="D2015">
        <f>_xlfn.XLOOKUP(9206549,Stops[stop_id],Stops[stop_id],"Não encontrado")</f>
        <v/>
      </c>
      <c r="E2015" t="n">
        <v>2</v>
      </c>
    </row>
    <row r="2016">
      <c r="A2016">
        <f>_xlfn.XLOOKUP("METRÔ L5-0",Trip[trip_id],Trip[trip_id],"Não encontrado")</f>
        <v/>
      </c>
      <c r="B2016" s="53" t="n">
        <v>0.004166666666666667</v>
      </c>
      <c r="C2016" s="53" t="n">
        <v>0.004166666666666667</v>
      </c>
      <c r="D2016">
        <f>_xlfn.XLOOKUP(9206548,Stops[stop_id],Stops[stop_id],"Não encontrado")</f>
        <v/>
      </c>
      <c r="E2016" t="n">
        <v>3</v>
      </c>
    </row>
    <row r="2017">
      <c r="A2017">
        <f>_xlfn.XLOOKUP("METRÔ L5-0",Trip[trip_id],Trip[trip_id],"Não encontrado")</f>
        <v/>
      </c>
      <c r="B2017" s="53" t="n">
        <v>0.00625</v>
      </c>
      <c r="C2017" s="53" t="n">
        <v>0.00625</v>
      </c>
      <c r="D2017">
        <f>_xlfn.XLOOKUP(5306695,Stops[stop_id],Stops[stop_id],"Não encontrado")</f>
        <v/>
      </c>
      <c r="E2017" t="n">
        <v>4</v>
      </c>
    </row>
    <row r="2018">
      <c r="A2018">
        <f>_xlfn.XLOOKUP("METRÔ L5-0",Trip[trip_id],Trip[trip_id],"Não encontrado")</f>
        <v/>
      </c>
      <c r="B2018" s="53" t="n">
        <v>0.008333333333333333</v>
      </c>
      <c r="C2018" s="53" t="n">
        <v>0.008333333333333333</v>
      </c>
      <c r="D2018">
        <f>_xlfn.XLOOKUP(5306694,Stops[stop_id],Stops[stop_id],"Não encontrado")</f>
        <v/>
      </c>
      <c r="E2018" t="n">
        <v>5</v>
      </c>
    </row>
    <row r="2019">
      <c r="A2019">
        <f>_xlfn.XLOOKUP("METRÔ L5-0",Trip[trip_id],Trip[trip_id],"Não encontrado")</f>
        <v/>
      </c>
      <c r="B2019" s="53" t="n">
        <v>0.01041666666666667</v>
      </c>
      <c r="C2019" s="53" t="n">
        <v>0.01041666666666667</v>
      </c>
      <c r="D2019">
        <f>_xlfn.XLOOKUP(5306691,Stops[stop_id],Stops[stop_id],"Não encontrado")</f>
        <v/>
      </c>
      <c r="E2019" t="n">
        <v>6</v>
      </c>
    </row>
    <row r="2020">
      <c r="A2020">
        <f>_xlfn.XLOOKUP("METRÔ L5-0",Trip[trip_id],Trip[trip_id],"Não encontrado")</f>
        <v/>
      </c>
      <c r="B2020" s="53" t="n">
        <v>0.0125</v>
      </c>
      <c r="C2020" s="53" t="n">
        <v>0.0125</v>
      </c>
      <c r="D2020">
        <f>_xlfn.XLOOKUP(3407190,Stops[stop_id],Stops[stop_id],"Não encontrado")</f>
        <v/>
      </c>
      <c r="E2020" t="n">
        <v>7</v>
      </c>
    </row>
    <row r="2021">
      <c r="A2021">
        <f>_xlfn.XLOOKUP("METRÔ L5-0",Trip[trip_id],Trip[trip_id],"Não encontrado")</f>
        <v/>
      </c>
      <c r="B2021" s="53" t="n">
        <v>0.01458333333333333</v>
      </c>
      <c r="C2021" s="53" t="n">
        <v>0.01458333333333333</v>
      </c>
      <c r="D2021">
        <f>_xlfn.XLOOKUP(7206945,Stops[stop_id],Stops[stop_id],"Não encontrado")</f>
        <v/>
      </c>
      <c r="E2021" t="n">
        <v>8</v>
      </c>
    </row>
    <row r="2022">
      <c r="A2022">
        <f>_xlfn.XLOOKUP("METRÔ L5-0",Trip[trip_id],Trip[trip_id],"Não encontrado")</f>
        <v/>
      </c>
      <c r="B2022" s="53" t="n">
        <v>0.01666666666666667</v>
      </c>
      <c r="C2022" s="53" t="n">
        <v>0.01666666666666667</v>
      </c>
      <c r="D2022">
        <f>_xlfn.XLOOKUP(7206944,Stops[stop_id],Stops[stop_id],"Não encontrado")</f>
        <v/>
      </c>
      <c r="E2022" t="n">
        <v>9</v>
      </c>
    </row>
    <row r="2023">
      <c r="A2023">
        <f>_xlfn.XLOOKUP("METRÔ L5-0",Trip[trip_id],Trip[trip_id],"Não encontrado")</f>
        <v/>
      </c>
      <c r="B2023" s="53" t="n">
        <v>0.01875</v>
      </c>
      <c r="C2023" s="53" t="n">
        <v>0.01875</v>
      </c>
      <c r="D2023">
        <f>_xlfn.XLOOKUP(7206943,Stops[stop_id],Stops[stop_id],"Não encontrado")</f>
        <v/>
      </c>
      <c r="E2023" t="n">
        <v>10</v>
      </c>
    </row>
    <row r="2024">
      <c r="A2024">
        <f>_xlfn.XLOOKUP("METRÔ L5-0",Trip[trip_id],Trip[trip_id],"Não encontrado")</f>
        <v/>
      </c>
      <c r="B2024" s="53" t="n">
        <v>0.02083333333333333</v>
      </c>
      <c r="C2024" s="53" t="n">
        <v>0.02083333333333333</v>
      </c>
      <c r="D2024">
        <f>_xlfn.XLOOKUP(7206877,Stops[stop_id],Stops[stop_id],"Não encontrado")</f>
        <v/>
      </c>
      <c r="E2024" t="n">
        <v>11</v>
      </c>
    </row>
    <row r="2025">
      <c r="A2025">
        <f>_xlfn.XLOOKUP("METRÔ L5-0",Trip[trip_id],Trip[trip_id],"Não encontrado")</f>
        <v/>
      </c>
      <c r="B2025" s="53" t="n">
        <v>0.02291666666666667</v>
      </c>
      <c r="C2025" s="53" t="n">
        <v>0.02291666666666667</v>
      </c>
      <c r="D2025">
        <f>_xlfn.XLOOKUP(19040,Stops[stop_id],Stops[stop_id],"Não encontrado")</f>
        <v/>
      </c>
      <c r="E2025" t="n">
        <v>12</v>
      </c>
    </row>
    <row r="2026">
      <c r="A2026">
        <f>_xlfn.XLOOKUP("METRÔ L5-0",Trip[trip_id],Trip[trip_id],"Não encontrado")</f>
        <v/>
      </c>
      <c r="B2026" s="53" t="n">
        <v>0.025</v>
      </c>
      <c r="C2026" s="53" t="n">
        <v>0.025</v>
      </c>
      <c r="D2026">
        <f>_xlfn.XLOOKUP(19041,Stops[stop_id],Stops[stop_id],"Não encontrado")</f>
        <v/>
      </c>
      <c r="E2026" t="n">
        <v>13</v>
      </c>
    </row>
    <row r="2027">
      <c r="A2027">
        <f>_xlfn.XLOOKUP("METRÔ L5-0",Trip[trip_id],Trip[trip_id],"Não encontrado")</f>
        <v/>
      </c>
      <c r="B2027" s="53" t="n">
        <v>0.02708333333333333</v>
      </c>
      <c r="C2027" s="53" t="n">
        <v>0.02708333333333333</v>
      </c>
      <c r="D2027">
        <f>_xlfn.XLOOKUP(19042,Stops[stop_id],Stops[stop_id],"Não encontrado")</f>
        <v/>
      </c>
      <c r="E2027" t="n">
        <v>14</v>
      </c>
    </row>
    <row r="2028">
      <c r="A2028">
        <f>_xlfn.XLOOKUP("METRÔ L5-0",Trip[trip_id],Trip[trip_id],"Não encontrado")</f>
        <v/>
      </c>
      <c r="B2028" s="53" t="n">
        <v>0.02916666666666667</v>
      </c>
      <c r="C2028" s="53" t="n">
        <v>0.02916666666666667</v>
      </c>
      <c r="D2028">
        <f>_xlfn.XLOOKUP(19043,Stops[stop_id],Stops[stop_id],"Não encontrado")</f>
        <v/>
      </c>
      <c r="E2028" t="n">
        <v>15</v>
      </c>
    </row>
    <row r="2029">
      <c r="A2029">
        <f>_xlfn.XLOOKUP("METRÔ L5-0",Trip[trip_id],Trip[trip_id],"Não encontrado")</f>
        <v/>
      </c>
      <c r="B2029" s="53" t="n">
        <v>0.03125</v>
      </c>
      <c r="C2029" s="53" t="n">
        <v>0.03125</v>
      </c>
      <c r="D2029">
        <f>_xlfn.XLOOKUP(19044,Stops[stop_id],Stops[stop_id],"Não encontrado")</f>
        <v/>
      </c>
      <c r="E2029" t="n">
        <v>16</v>
      </c>
    </row>
    <row r="2030">
      <c r="A2030">
        <f>_xlfn.XLOOKUP("METRÔ L5-0",Trip[trip_id],Trip[trip_id],"Não encontrado")</f>
        <v/>
      </c>
      <c r="B2030" s="53" t="n">
        <v>0.03333333333333333</v>
      </c>
      <c r="C2030" s="53" t="n">
        <v>0.03333333333333333</v>
      </c>
      <c r="D2030">
        <f>_xlfn.XLOOKUP(19045,Stops[stop_id],Stops[stop_id],"Não encontrado")</f>
        <v/>
      </c>
      <c r="E2030" t="n">
        <v>17</v>
      </c>
    </row>
    <row r="2031">
      <c r="A2031">
        <f>_xlfn.XLOOKUP("METRÔ L5-1",Trip[trip_id],Trip[trip_id],"Não encontrado")</f>
        <v/>
      </c>
      <c r="B2031" s="53" t="n">
        <v>0</v>
      </c>
      <c r="C2031" s="53" t="n">
        <v>0</v>
      </c>
      <c r="D2031">
        <f>_xlfn.XLOOKUP(19045,Stops[stop_id],Stops[stop_id],"Não encontrado")</f>
        <v/>
      </c>
      <c r="E2031" t="n">
        <v>1</v>
      </c>
    </row>
    <row r="2032">
      <c r="A2032">
        <f>_xlfn.XLOOKUP("METRÔ L5-1",Trip[trip_id],Trip[trip_id],"Não encontrado")</f>
        <v/>
      </c>
      <c r="B2032" s="53" t="n">
        <v>0.002083333333333333</v>
      </c>
      <c r="C2032" s="53" t="n">
        <v>0.002083333333333333</v>
      </c>
      <c r="D2032">
        <f>_xlfn.XLOOKUP(19044,Stops[stop_id],Stops[stop_id],"Não encontrado")</f>
        <v/>
      </c>
      <c r="E2032" t="n">
        <v>2</v>
      </c>
    </row>
    <row r="2033">
      <c r="A2033">
        <f>_xlfn.XLOOKUP("METRÔ L5-1",Trip[trip_id],Trip[trip_id],"Não encontrado")</f>
        <v/>
      </c>
      <c r="B2033" s="53" t="n">
        <v>0.004166666666666667</v>
      </c>
      <c r="C2033" s="53" t="n">
        <v>0.004166666666666667</v>
      </c>
      <c r="D2033">
        <f>_xlfn.XLOOKUP(19043,Stops[stop_id],Stops[stop_id],"Não encontrado")</f>
        <v/>
      </c>
      <c r="E2033" t="n">
        <v>3</v>
      </c>
    </row>
    <row r="2034">
      <c r="A2034">
        <f>_xlfn.XLOOKUP("METRÔ L5-1",Trip[trip_id],Trip[trip_id],"Não encontrado")</f>
        <v/>
      </c>
      <c r="B2034" s="53" t="n">
        <v>0.00625</v>
      </c>
      <c r="C2034" s="53" t="n">
        <v>0.00625</v>
      </c>
      <c r="D2034">
        <f>_xlfn.XLOOKUP(19042,Stops[stop_id],Stops[stop_id],"Não encontrado")</f>
        <v/>
      </c>
      <c r="E2034" t="n">
        <v>4</v>
      </c>
    </row>
    <row r="2035">
      <c r="A2035">
        <f>_xlfn.XLOOKUP("METRÔ L5-1",Trip[trip_id],Trip[trip_id],"Não encontrado")</f>
        <v/>
      </c>
      <c r="B2035" s="53" t="n">
        <v>0.008333333333333333</v>
      </c>
      <c r="C2035" s="53" t="n">
        <v>0.008333333333333333</v>
      </c>
      <c r="D2035">
        <f>_xlfn.XLOOKUP(19041,Stops[stop_id],Stops[stop_id],"Não encontrado")</f>
        <v/>
      </c>
      <c r="E2035" t="n">
        <v>5</v>
      </c>
    </row>
    <row r="2036">
      <c r="A2036">
        <f>_xlfn.XLOOKUP("METRÔ L5-1",Trip[trip_id],Trip[trip_id],"Não encontrado")</f>
        <v/>
      </c>
      <c r="B2036" s="53" t="n">
        <v>0.01041666666666667</v>
      </c>
      <c r="C2036" s="53" t="n">
        <v>0.01041666666666667</v>
      </c>
      <c r="D2036">
        <f>_xlfn.XLOOKUP(19040,Stops[stop_id],Stops[stop_id],"Não encontrado")</f>
        <v/>
      </c>
      <c r="E2036" t="n">
        <v>6</v>
      </c>
    </row>
    <row r="2037">
      <c r="A2037">
        <f>_xlfn.XLOOKUP("METRÔ L5-1",Trip[trip_id],Trip[trip_id],"Não encontrado")</f>
        <v/>
      </c>
      <c r="B2037" s="53" t="n">
        <v>0.0125</v>
      </c>
      <c r="C2037" s="53" t="n">
        <v>0.0125</v>
      </c>
      <c r="D2037">
        <f>_xlfn.XLOOKUP(7206877,Stops[stop_id],Stops[stop_id],"Não encontrado")</f>
        <v/>
      </c>
      <c r="E2037" t="n">
        <v>7</v>
      </c>
    </row>
    <row r="2038">
      <c r="A2038">
        <f>_xlfn.XLOOKUP("METRÔ L5-1",Trip[trip_id],Trip[trip_id],"Não encontrado")</f>
        <v/>
      </c>
      <c r="B2038" s="53" t="n">
        <v>0.01458333333333333</v>
      </c>
      <c r="C2038" s="53" t="n">
        <v>0.01458333333333333</v>
      </c>
      <c r="D2038">
        <f>_xlfn.XLOOKUP(7206943,Stops[stop_id],Stops[stop_id],"Não encontrado")</f>
        <v/>
      </c>
      <c r="E2038" t="n">
        <v>8</v>
      </c>
    </row>
    <row r="2039">
      <c r="A2039">
        <f>_xlfn.XLOOKUP("METRÔ L5-1",Trip[trip_id],Trip[trip_id],"Não encontrado")</f>
        <v/>
      </c>
      <c r="B2039" s="53" t="n">
        <v>0.01666666666666667</v>
      </c>
      <c r="C2039" s="53" t="n">
        <v>0.01666666666666667</v>
      </c>
      <c r="D2039">
        <f>_xlfn.XLOOKUP(7206944,Stops[stop_id],Stops[stop_id],"Não encontrado")</f>
        <v/>
      </c>
      <c r="E2039" t="n">
        <v>9</v>
      </c>
    </row>
    <row r="2040">
      <c r="A2040">
        <f>_xlfn.XLOOKUP("METRÔ L5-1",Trip[trip_id],Trip[trip_id],"Não encontrado")</f>
        <v/>
      </c>
      <c r="B2040" s="53" t="n">
        <v>0.01875</v>
      </c>
      <c r="C2040" s="53" t="n">
        <v>0.01875</v>
      </c>
      <c r="D2040">
        <f>_xlfn.XLOOKUP(7206945,Stops[stop_id],Stops[stop_id],"Não encontrado")</f>
        <v/>
      </c>
      <c r="E2040" t="n">
        <v>10</v>
      </c>
    </row>
    <row r="2041">
      <c r="A2041">
        <f>_xlfn.XLOOKUP("METRÔ L5-1",Trip[trip_id],Trip[trip_id],"Não encontrado")</f>
        <v/>
      </c>
      <c r="B2041" s="53" t="n">
        <v>0.02083333333333333</v>
      </c>
      <c r="C2041" s="53" t="n">
        <v>0.02083333333333333</v>
      </c>
      <c r="D2041">
        <f>_xlfn.XLOOKUP(3407190,Stops[stop_id],Stops[stop_id],"Não encontrado")</f>
        <v/>
      </c>
      <c r="E2041" t="n">
        <v>11</v>
      </c>
    </row>
    <row r="2042">
      <c r="A2042">
        <f>_xlfn.XLOOKUP("METRÔ L5-1",Trip[trip_id],Trip[trip_id],"Não encontrado")</f>
        <v/>
      </c>
      <c r="B2042" s="53" t="n">
        <v>0.02291666666666667</v>
      </c>
      <c r="C2042" s="53" t="n">
        <v>0.02291666666666667</v>
      </c>
      <c r="D2042">
        <f>_xlfn.XLOOKUP(5306691,Stops[stop_id],Stops[stop_id],"Não encontrado")</f>
        <v/>
      </c>
      <c r="E2042" t="n">
        <v>12</v>
      </c>
    </row>
    <row r="2043">
      <c r="A2043">
        <f>_xlfn.XLOOKUP("METRÔ L5-1",Trip[trip_id],Trip[trip_id],"Não encontrado")</f>
        <v/>
      </c>
      <c r="B2043" s="53" t="n">
        <v>0.025</v>
      </c>
      <c r="C2043" s="53" t="n">
        <v>0.025</v>
      </c>
      <c r="D2043">
        <f>_xlfn.XLOOKUP(5306694,Stops[stop_id],Stops[stop_id],"Não encontrado")</f>
        <v/>
      </c>
      <c r="E2043" t="n">
        <v>13</v>
      </c>
    </row>
    <row r="2044">
      <c r="A2044">
        <f>_xlfn.XLOOKUP("METRÔ L5-1",Trip[trip_id],Trip[trip_id],"Não encontrado")</f>
        <v/>
      </c>
      <c r="B2044" s="53" t="n">
        <v>0.02708333333333333</v>
      </c>
      <c r="C2044" s="53" t="n">
        <v>0.02708333333333333</v>
      </c>
      <c r="D2044">
        <f>_xlfn.XLOOKUP(5306695,Stops[stop_id],Stops[stop_id],"Não encontrado")</f>
        <v/>
      </c>
      <c r="E2044" t="n">
        <v>14</v>
      </c>
    </row>
    <row r="2045">
      <c r="A2045">
        <f>_xlfn.XLOOKUP("METRÔ L5-1",Trip[trip_id],Trip[trip_id],"Não encontrado")</f>
        <v/>
      </c>
      <c r="B2045" s="53" t="n">
        <v>0.02916666666666667</v>
      </c>
      <c r="C2045" s="53" t="n">
        <v>0.02916666666666667</v>
      </c>
      <c r="D2045">
        <f>_xlfn.XLOOKUP(9206548,Stops[stop_id],Stops[stop_id],"Não encontrado")</f>
        <v/>
      </c>
      <c r="E2045" t="n">
        <v>15</v>
      </c>
    </row>
    <row r="2046">
      <c r="A2046">
        <f>_xlfn.XLOOKUP("METRÔ L5-1",Trip[trip_id],Trip[trip_id],"Não encontrado")</f>
        <v/>
      </c>
      <c r="B2046" s="53" t="n">
        <v>0.03125</v>
      </c>
      <c r="C2046" s="53" t="n">
        <v>0.03125</v>
      </c>
      <c r="D2046">
        <f>_xlfn.XLOOKUP(9206549,Stops[stop_id],Stops[stop_id],"Não encontrado")</f>
        <v/>
      </c>
      <c r="E2046" t="n">
        <v>16</v>
      </c>
    </row>
    <row r="2047">
      <c r="A2047">
        <f>_xlfn.XLOOKUP("METRÔ L5-1",Trip[trip_id],Trip[trip_id],"Não encontrado")</f>
        <v/>
      </c>
      <c r="B2047" s="53" t="n">
        <v>0.03333333333333333</v>
      </c>
      <c r="C2047" s="53" t="n">
        <v>0.03333333333333333</v>
      </c>
      <c r="D2047">
        <f>_xlfn.XLOOKUP(9206443,Stops[stop_id],Stops[stop_id],"Não encontrado")</f>
        <v/>
      </c>
      <c r="E2047" t="n">
        <v>17</v>
      </c>
    </row>
    <row r="2048">
      <c r="A2048">
        <f>_xlfn.XLOOKUP("METRÔ L6-0",Trip[trip_id],Trip[trip_id],"Não encontrado")</f>
        <v/>
      </c>
      <c r="B2048" s="53" t="n">
        <v>0.4166666666666667</v>
      </c>
      <c r="C2048" s="53" t="n">
        <v>0.4166666666666667</v>
      </c>
      <c r="D2048">
        <f>_xlfn.XLOOKUP(2914645,Stops[stop_id],Stops[stop_id],"Não encontrado")</f>
        <v/>
      </c>
      <c r="E2048" t="n">
        <v>1</v>
      </c>
    </row>
    <row r="2049">
      <c r="A2049">
        <f>_xlfn.XLOOKUP("METRÔ L6-0",Trip[trip_id],Trip[trip_id],"Não encontrado")</f>
        <v/>
      </c>
      <c r="B2049" s="53" t="n">
        <v>0.4222222222222222</v>
      </c>
      <c r="C2049" s="53" t="n">
        <v>0.4222222222222222</v>
      </c>
      <c r="D2049">
        <f>_xlfn.XLOOKUP(2914646,Stops[stop_id],Stops[stop_id],"Não encontrado")</f>
        <v/>
      </c>
      <c r="E2049" t="n">
        <v>2</v>
      </c>
    </row>
    <row r="2050">
      <c r="A2050">
        <f>_xlfn.XLOOKUP("METRÔ L6-0",Trip[trip_id],Trip[trip_id],"Não encontrado")</f>
        <v/>
      </c>
      <c r="B2050" s="53" t="n">
        <v>0.4277777777777778</v>
      </c>
      <c r="C2050" s="53" t="n">
        <v>0.4277777777777778</v>
      </c>
      <c r="D2050">
        <f>_xlfn.XLOOKUP(2914647,Stops[stop_id],Stops[stop_id],"Não encontrado")</f>
        <v/>
      </c>
      <c r="E2050" t="n">
        <v>3</v>
      </c>
    </row>
    <row r="2051">
      <c r="A2051">
        <f>_xlfn.XLOOKUP("METRÔ L6-0",Trip[trip_id],Trip[trip_id],"Não encontrado")</f>
        <v/>
      </c>
      <c r="B2051" s="53" t="n">
        <v>0.4333333333333333</v>
      </c>
      <c r="C2051" s="53" t="n">
        <v>0.4333333333333333</v>
      </c>
      <c r="D2051">
        <f>_xlfn.XLOOKUP(4814665,Stops[stop_id],Stops[stop_id],"Não encontrado")</f>
        <v/>
      </c>
      <c r="E2051" t="n">
        <v>4</v>
      </c>
    </row>
    <row r="2052">
      <c r="A2052">
        <f>_xlfn.XLOOKUP("METRÔ L6-0",Trip[trip_id],Trip[trip_id],"Não encontrado")</f>
        <v/>
      </c>
      <c r="B2052" s="53" t="n">
        <v>0.4388888888888889</v>
      </c>
      <c r="C2052" s="53" t="n">
        <v>0.4388888888888889</v>
      </c>
      <c r="D2052">
        <f>_xlfn.XLOOKUP(6114515,Stops[stop_id],Stops[stop_id],"Não encontrado")</f>
        <v/>
      </c>
      <c r="E2052" t="n">
        <v>5</v>
      </c>
    </row>
    <row r="2053">
      <c r="A2053">
        <f>_xlfn.XLOOKUP("METRÔ L6-0",Trip[trip_id],Trip[trip_id],"Não encontrado")</f>
        <v/>
      </c>
      <c r="B2053" s="53" t="n">
        <v>0.4444444444444444</v>
      </c>
      <c r="C2053" s="53" t="n">
        <v>0.4444444444444444</v>
      </c>
      <c r="D2053">
        <f>_xlfn.XLOOKUP(6114516,Stops[stop_id],Stops[stop_id],"Não encontrado")</f>
        <v/>
      </c>
      <c r="E2053" t="n">
        <v>6</v>
      </c>
    </row>
    <row r="2054">
      <c r="A2054">
        <f>_xlfn.XLOOKUP("METRÔ L6-1",Trip[trip_id],Trip[trip_id],"Não encontrado")</f>
        <v/>
      </c>
      <c r="B2054" s="53" t="n">
        <v>0.4166666666666667</v>
      </c>
      <c r="C2054" s="53" t="n">
        <v>0.4166666666666667</v>
      </c>
      <c r="D2054">
        <f>_xlfn.XLOOKUP(6114516,Stops[stop_id],Stops[stop_id],"Não encontrado")</f>
        <v/>
      </c>
      <c r="E2054" t="n">
        <v>1</v>
      </c>
    </row>
    <row r="2055">
      <c r="A2055">
        <f>_xlfn.XLOOKUP("METRÔ L6-1",Trip[trip_id],Trip[trip_id],"Não encontrado")</f>
        <v/>
      </c>
      <c r="B2055" s="53" t="n">
        <v>0.4222222222222222</v>
      </c>
      <c r="C2055" s="53" t="n">
        <v>0.4222222222222222</v>
      </c>
      <c r="D2055">
        <f>_xlfn.XLOOKUP(6114515,Stops[stop_id],Stops[stop_id],"Não encontrado")</f>
        <v/>
      </c>
      <c r="E2055" t="n">
        <v>2</v>
      </c>
    </row>
    <row r="2056">
      <c r="A2056">
        <f>_xlfn.XLOOKUP("METRÔ L6-1",Trip[trip_id],Trip[trip_id],"Não encontrado")</f>
        <v/>
      </c>
      <c r="B2056" s="53" t="n">
        <v>0.4277777777777778</v>
      </c>
      <c r="C2056" s="53" t="n">
        <v>0.4277777777777778</v>
      </c>
      <c r="D2056">
        <f>_xlfn.XLOOKUP(4814665,Stops[stop_id],Stops[stop_id],"Não encontrado")</f>
        <v/>
      </c>
      <c r="E2056" t="n">
        <v>3</v>
      </c>
    </row>
    <row r="2057">
      <c r="A2057">
        <f>_xlfn.XLOOKUP("METRÔ L6-1",Trip[trip_id],Trip[trip_id],"Não encontrado")</f>
        <v/>
      </c>
      <c r="B2057" s="53" t="n">
        <v>0.4333333333333333</v>
      </c>
      <c r="C2057" s="53" t="n">
        <v>0.4333333333333333</v>
      </c>
      <c r="D2057">
        <f>_xlfn.XLOOKUP(2914647,Stops[stop_id],Stops[stop_id],"Não encontrado")</f>
        <v/>
      </c>
      <c r="E2057" t="n">
        <v>4</v>
      </c>
    </row>
    <row r="2058">
      <c r="A2058">
        <f>_xlfn.XLOOKUP("METRÔ L6-1",Trip[trip_id],Trip[trip_id],"Não encontrado")</f>
        <v/>
      </c>
      <c r="B2058" s="53" t="n">
        <v>0.4388888888888889</v>
      </c>
      <c r="C2058" s="53" t="n">
        <v>0.4388888888888889</v>
      </c>
      <c r="D2058">
        <f>_xlfn.XLOOKUP(2914646,Stops[stop_id],Stops[stop_id],"Não encontrado")</f>
        <v/>
      </c>
      <c r="E2058" t="n">
        <v>5</v>
      </c>
    </row>
    <row r="2059">
      <c r="A2059">
        <f>_xlfn.XLOOKUP("METRÔ L6-1",Trip[trip_id],Trip[trip_id],"Não encontrado")</f>
        <v/>
      </c>
      <c r="B2059" s="53" t="n">
        <v>0.4444444444444444</v>
      </c>
      <c r="C2059" s="53" t="n">
        <v>0.4444444444444444</v>
      </c>
      <c r="D2059">
        <f>_xlfn.XLOOKUP(2914645,Stops[stop_id],Stops[stop_id],"Não encontrado")</f>
        <v/>
      </c>
      <c r="E2059" t="n">
        <v>6</v>
      </c>
    </row>
    <row r="2060">
      <c r="A2060">
        <f>_xlfn.XLOOKUP("METRÔ17A-0",Trip[trip_id],Trip[trip_id],"Não encontrado")</f>
        <v/>
      </c>
      <c r="B2060" s="53" t="n">
        <v>0.375</v>
      </c>
      <c r="C2060" s="53" t="n">
        <v>0.375</v>
      </c>
      <c r="D2060">
        <f>_xlfn.XLOOKUP(3407222,Stops[stop_id],Stops[stop_id],"Não encontrado")</f>
        <v/>
      </c>
      <c r="E2060" t="n">
        <v>1</v>
      </c>
    </row>
    <row r="2061">
      <c r="A2061">
        <f>_xlfn.XLOOKUP("METRÔ17A-0",Trip[trip_id],Trip[trip_id],"Não encontrado")</f>
        <v/>
      </c>
      <c r="B2061" s="53" t="n">
        <v>0.3777777777777778</v>
      </c>
      <c r="C2061" s="53" t="n">
        <v>0.3777777777777778</v>
      </c>
      <c r="D2061">
        <f>_xlfn.XLOOKUP(3407224,Stops[stop_id],Stops[stop_id],"Não encontrado")</f>
        <v/>
      </c>
      <c r="E2061" t="n">
        <v>2</v>
      </c>
    </row>
    <row r="2062">
      <c r="A2062">
        <f>_xlfn.XLOOKUP("METRÔ17A-0",Trip[trip_id],Trip[trip_id],"Não encontrado")</f>
        <v/>
      </c>
      <c r="B2062" s="53" t="n">
        <v>0.3805555555555555</v>
      </c>
      <c r="C2062" s="53" t="n">
        <v>0.3805555555555555</v>
      </c>
      <c r="D2062">
        <f>_xlfn.XLOOKUP(3407225,Stops[stop_id],Stops[stop_id],"Não encontrado")</f>
        <v/>
      </c>
      <c r="E2062" t="n">
        <v>3</v>
      </c>
    </row>
    <row r="2063">
      <c r="A2063">
        <f>_xlfn.XLOOKUP("METRÔ17A-0",Trip[trip_id],Trip[trip_id],"Não encontrado")</f>
        <v/>
      </c>
      <c r="B2063" s="53" t="n">
        <v>0.3833333333333334</v>
      </c>
      <c r="C2063" s="53" t="n">
        <v>0.3833333333333334</v>
      </c>
      <c r="D2063">
        <f>_xlfn.XLOOKUP(3407226,Stops[stop_id],Stops[stop_id],"Não encontrado")</f>
        <v/>
      </c>
      <c r="E2063" t="n">
        <v>4</v>
      </c>
    </row>
    <row r="2064">
      <c r="A2064">
        <f>_xlfn.XLOOKUP("METRÔ17A-0",Trip[trip_id],Trip[trip_id],"Não encontrado")</f>
        <v/>
      </c>
      <c r="B2064" s="53" t="n">
        <v>0.3861111111111111</v>
      </c>
      <c r="C2064" s="53" t="n">
        <v>0.3861111111111111</v>
      </c>
      <c r="D2064">
        <f>_xlfn.XLOOKUP(1506220,Stops[stop_id],Stops[stop_id],"Não encontrado")</f>
        <v/>
      </c>
      <c r="E2064" t="n">
        <v>5</v>
      </c>
    </row>
    <row r="2065">
      <c r="A2065">
        <f>_xlfn.XLOOKUP("METRÔ17A-0",Trip[trip_id],Trip[trip_id],"Não encontrado")</f>
        <v/>
      </c>
      <c r="B2065" s="53" t="n">
        <v>0.3888888888888889</v>
      </c>
      <c r="C2065" s="53" t="n">
        <v>0.3888888888888889</v>
      </c>
      <c r="D2065">
        <f>_xlfn.XLOOKUP(1506224,Stops[stop_id],Stops[stop_id],"Não encontrado")</f>
        <v/>
      </c>
      <c r="E2065" t="n">
        <v>6</v>
      </c>
    </row>
    <row r="2066">
      <c r="A2066">
        <f>_xlfn.XLOOKUP("METRÔ17A-0",Trip[trip_id],Trip[trip_id],"Não encontrado")</f>
        <v/>
      </c>
      <c r="B2066" s="53" t="n">
        <v>0.3916666666666667</v>
      </c>
      <c r="C2066" s="53" t="n">
        <v>0.3916666666666667</v>
      </c>
      <c r="D2066">
        <f>_xlfn.XLOOKUP(1506222,Stops[stop_id],Stops[stop_id],"Não encontrado")</f>
        <v/>
      </c>
      <c r="E2066" t="n">
        <v>7</v>
      </c>
    </row>
    <row r="2067">
      <c r="A2067">
        <f>_xlfn.XLOOKUP("METRÔ17A-1",Trip[trip_id],Trip[trip_id],"Não encontrado")</f>
        <v/>
      </c>
      <c r="B2067" s="53" t="n">
        <v>0.375</v>
      </c>
      <c r="C2067" s="53" t="n">
        <v>0.375</v>
      </c>
      <c r="D2067">
        <f>_xlfn.XLOOKUP(1506222,Stops[stop_id],Stops[stop_id],"Não encontrado")</f>
        <v/>
      </c>
      <c r="E2067" t="n">
        <v>1</v>
      </c>
    </row>
    <row r="2068">
      <c r="A2068">
        <f>_xlfn.XLOOKUP("METRÔ17A-1",Trip[trip_id],Trip[trip_id],"Não encontrado")</f>
        <v/>
      </c>
      <c r="B2068" s="53" t="n">
        <v>0.3777777777777778</v>
      </c>
      <c r="C2068" s="53" t="n">
        <v>0.3777777777777778</v>
      </c>
      <c r="D2068">
        <f>_xlfn.XLOOKUP(1506224,Stops[stop_id],Stops[stop_id],"Não encontrado")</f>
        <v/>
      </c>
      <c r="E2068" t="n">
        <v>2</v>
      </c>
    </row>
    <row r="2069">
      <c r="A2069">
        <f>_xlfn.XLOOKUP("METRÔ17A-1",Trip[trip_id],Trip[trip_id],"Não encontrado")</f>
        <v/>
      </c>
      <c r="B2069" s="53" t="n">
        <v>0.3805555555555555</v>
      </c>
      <c r="C2069" s="53" t="n">
        <v>0.3805555555555555</v>
      </c>
      <c r="D2069">
        <f>_xlfn.XLOOKUP(1506220,Stops[stop_id],Stops[stop_id],"Não encontrado")</f>
        <v/>
      </c>
      <c r="E2069" t="n">
        <v>3</v>
      </c>
    </row>
    <row r="2070">
      <c r="A2070">
        <f>_xlfn.XLOOKUP("METRÔ17A-1",Trip[trip_id],Trip[trip_id],"Não encontrado")</f>
        <v/>
      </c>
      <c r="B2070" s="53" t="n">
        <v>0.3833333333333334</v>
      </c>
      <c r="C2070" s="53" t="n">
        <v>0.3833333333333334</v>
      </c>
      <c r="D2070">
        <f>_xlfn.XLOOKUP(3407226,Stops[stop_id],Stops[stop_id],"Não encontrado")</f>
        <v/>
      </c>
      <c r="E2070" t="n">
        <v>4</v>
      </c>
    </row>
    <row r="2071">
      <c r="A2071">
        <f>_xlfn.XLOOKUP("METRÔ17A-1",Trip[trip_id],Trip[trip_id],"Não encontrado")</f>
        <v/>
      </c>
      <c r="B2071" s="53" t="n">
        <v>0.3861111111111111</v>
      </c>
      <c r="C2071" s="53" t="n">
        <v>0.3861111111111111</v>
      </c>
      <c r="D2071">
        <f>_xlfn.XLOOKUP(3407225,Stops[stop_id],Stops[stop_id],"Não encontrado")</f>
        <v/>
      </c>
      <c r="E2071" t="n">
        <v>5</v>
      </c>
    </row>
    <row r="2072">
      <c r="A2072">
        <f>_xlfn.XLOOKUP("METRÔ17A-1",Trip[trip_id],Trip[trip_id],"Não encontrado")</f>
        <v/>
      </c>
      <c r="B2072" s="53" t="n">
        <v>0.3888888888888889</v>
      </c>
      <c r="C2072" s="53" t="n">
        <v>0.3888888888888889</v>
      </c>
      <c r="D2072">
        <f>_xlfn.XLOOKUP(3407224,Stops[stop_id],Stops[stop_id],"Não encontrado")</f>
        <v/>
      </c>
      <c r="E2072" t="n">
        <v>6</v>
      </c>
    </row>
    <row r="2073">
      <c r="A2073">
        <f>_xlfn.XLOOKUP("METRÔ17A-1",Trip[trip_id],Trip[trip_id],"Não encontrado")</f>
        <v/>
      </c>
      <c r="B2073" s="53" t="n">
        <v>0.3916666666666667</v>
      </c>
      <c r="C2073" s="53" t="n">
        <v>0.3916666666666667</v>
      </c>
      <c r="D2073">
        <f>_xlfn.XLOOKUP(3407222,Stops[stop_id],Stops[stop_id],"Não encontrado")</f>
        <v/>
      </c>
      <c r="E2073" t="n">
        <v>7</v>
      </c>
    </row>
    <row r="2074">
      <c r="A2074">
        <f>_xlfn.XLOOKUP("METRÔ17W-0",Trip[trip_id],Trip[trip_id],"Não encontrado")</f>
        <v/>
      </c>
      <c r="B2074" s="53" t="n">
        <v>0.375</v>
      </c>
      <c r="C2074" s="53" t="n">
        <v>0.375</v>
      </c>
      <c r="D2074">
        <f>_xlfn.XLOOKUP(1506221,Stops[stop_id],Stops[stop_id],"Não encontrado")</f>
        <v/>
      </c>
      <c r="E2074" t="n">
        <v>1</v>
      </c>
    </row>
    <row r="2075">
      <c r="A2075">
        <f>_xlfn.XLOOKUP("METRÔ17W-0",Trip[trip_id],Trip[trip_id],"Não encontrado")</f>
        <v/>
      </c>
      <c r="B2075" s="53" t="n">
        <v>0.3854166666666667</v>
      </c>
      <c r="C2075" s="53" t="n">
        <v>0.3854166666666667</v>
      </c>
      <c r="D2075">
        <f>_xlfn.XLOOKUP(1506223,Stops[stop_id],Stops[stop_id],"Não encontrado")</f>
        <v/>
      </c>
      <c r="E2075" t="n">
        <v>2</v>
      </c>
    </row>
    <row r="2076">
      <c r="A2076">
        <f>_xlfn.XLOOKUP("METRÔ17W-1",Trip[trip_id],Trip[trip_id],"Não encontrado")</f>
        <v/>
      </c>
      <c r="B2076" s="53" t="n">
        <v>0.375</v>
      </c>
      <c r="C2076" s="53" t="n">
        <v>0.375</v>
      </c>
      <c r="D2076">
        <f>_xlfn.XLOOKUP(1506223,Stops[stop_id],Stops[stop_id],"Não encontrado")</f>
        <v/>
      </c>
      <c r="E2076" t="n">
        <v>1</v>
      </c>
    </row>
    <row r="2077">
      <c r="A2077">
        <f>_xlfn.XLOOKUP("METRÔ17W-1",Trip[trip_id],Trip[trip_id],"Não encontrado")</f>
        <v/>
      </c>
      <c r="B2077" s="53" t="n">
        <v>0.3854166666666667</v>
      </c>
      <c r="C2077" s="53" t="n">
        <v>0.3854166666666667</v>
      </c>
      <c r="D2077">
        <f>_xlfn.XLOOKUP(1506221,Stops[stop_id],Stops[stop_id],"Não encontrado")</f>
        <v/>
      </c>
      <c r="E2077" t="n">
        <v>2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49"/>
  <sheetViews>
    <sheetView workbookViewId="0">
      <selection activeCell="A2" sqref="A2"/>
    </sheetView>
  </sheetViews>
  <sheetFormatPr baseColWidth="8" defaultRowHeight="15"/>
  <cols>
    <col width="10" bestFit="1" customWidth="1" min="1" max="1"/>
    <col width="45.7109375" bestFit="1" customWidth="1" min="2" max="2"/>
    <col width="84.42578125" bestFit="1" customWidth="1" min="3" max="3"/>
    <col width="11.85546875" customWidth="1" min="4" max="4"/>
    <col width="12.28515625" bestFit="1" customWidth="1" min="5" max="5"/>
  </cols>
  <sheetData>
    <row r="1">
      <c r="A1" t="inlineStr">
        <is>
          <t>stop_id</t>
        </is>
      </c>
      <c r="B1" t="inlineStr">
        <is>
          <t>stop_name</t>
        </is>
      </c>
      <c r="C1" t="inlineStr">
        <is>
          <t>stop_desc</t>
        </is>
      </c>
      <c r="D1" t="inlineStr">
        <is>
          <t>stop_lat</t>
        </is>
      </c>
      <c r="E1" t="inlineStr">
        <is>
          <t>stop_lon</t>
        </is>
      </c>
    </row>
    <row r="2">
      <c r="A2" t="n">
        <v>18848</v>
      </c>
      <c r="B2" t="inlineStr">
        <is>
          <t>Clínicas</t>
        </is>
      </c>
      <c r="D2" s="58" t="n">
        <v>-23.554022</v>
      </c>
      <c r="E2" s="58" t="n">
        <v>-46.671108</v>
      </c>
    </row>
    <row r="3">
      <c r="A3" t="n">
        <v>18849</v>
      </c>
      <c r="B3" t="inlineStr">
        <is>
          <t>Vila Madalena</t>
        </is>
      </c>
      <c r="D3" s="58" t="n">
        <v>-23.546498</v>
      </c>
      <c r="E3" s="58" t="n">
        <v>-46.691141</v>
      </c>
    </row>
    <row r="4">
      <c r="A4" t="n">
        <v>18850</v>
      </c>
      <c r="B4" t="inlineStr">
        <is>
          <t>Consolação</t>
        </is>
      </c>
      <c r="D4" s="58" t="n">
        <v>-23.55809</v>
      </c>
      <c r="E4" s="58" t="n">
        <v>-46.660201</v>
      </c>
    </row>
    <row r="5">
      <c r="A5" t="n">
        <v>18851</v>
      </c>
      <c r="B5" t="inlineStr">
        <is>
          <t>Conceição</t>
        </is>
      </c>
      <c r="D5" s="58" t="n">
        <v>-23.635039</v>
      </c>
      <c r="E5" s="58" t="n">
        <v>-46.641239</v>
      </c>
    </row>
    <row r="6">
      <c r="A6" t="n">
        <v>18852</v>
      </c>
      <c r="B6" t="inlineStr">
        <is>
          <t>Jabaquara</t>
        </is>
      </c>
      <c r="D6" s="58" t="n">
        <v>-23.646033</v>
      </c>
      <c r="E6" s="58" t="n">
        <v>-46.641028</v>
      </c>
    </row>
    <row r="7">
      <c r="A7" t="n">
        <v>18853</v>
      </c>
      <c r="B7" t="inlineStr">
        <is>
          <t>São Judas</t>
        </is>
      </c>
      <c r="D7" s="58" t="n">
        <v>-23.625882</v>
      </c>
      <c r="E7" s="58" t="n">
        <v>-46.640936</v>
      </c>
    </row>
    <row r="8">
      <c r="A8" t="n">
        <v>18854</v>
      </c>
      <c r="B8" t="inlineStr">
        <is>
          <t>Saúde</t>
        </is>
      </c>
      <c r="D8" s="58" t="n">
        <v>-23.618245</v>
      </c>
      <c r="E8" s="58" t="n">
        <v>-46.639139</v>
      </c>
    </row>
    <row r="9">
      <c r="A9" t="n">
        <v>18855</v>
      </c>
      <c r="B9" t="inlineStr">
        <is>
          <t>Praça Da Árvore</t>
        </is>
      </c>
      <c r="D9" s="58" t="n">
        <v>-23.610583</v>
      </c>
      <c r="E9" s="58" t="n">
        <v>-46.637918</v>
      </c>
    </row>
    <row r="10">
      <c r="A10" t="n">
        <v>18856</v>
      </c>
      <c r="B10" t="inlineStr">
        <is>
          <t>Santa Cruz</t>
        </is>
      </c>
      <c r="D10" s="58" t="n">
        <v>-23.598541</v>
      </c>
      <c r="E10" s="58" t="n">
        <v>-46.636638</v>
      </c>
    </row>
    <row r="11">
      <c r="A11" t="n">
        <v>18857</v>
      </c>
      <c r="B11" t="inlineStr">
        <is>
          <t>Vila Mariana</t>
        </is>
      </c>
      <c r="D11" s="58" t="n">
        <v>-23.589359</v>
      </c>
      <c r="E11" s="58" t="n">
        <v>-46.634677</v>
      </c>
    </row>
    <row r="12">
      <c r="A12" t="n">
        <v>18858</v>
      </c>
      <c r="B12" t="inlineStr">
        <is>
          <t>Brigadeiro</t>
        </is>
      </c>
      <c r="D12" s="58" t="n">
        <v>-23.567623</v>
      </c>
      <c r="E12" s="58" t="n">
        <v>-46.649055</v>
      </c>
    </row>
    <row r="13">
      <c r="A13" t="n">
        <v>18859</v>
      </c>
      <c r="B13" t="inlineStr">
        <is>
          <t>Trianon-masp</t>
        </is>
      </c>
      <c r="D13" s="58" t="n">
        <v>-23.563573</v>
      </c>
      <c r="E13" s="58" t="n">
        <v>-46.653905</v>
      </c>
    </row>
    <row r="14">
      <c r="A14" t="n">
        <v>18860</v>
      </c>
      <c r="B14" t="inlineStr">
        <is>
          <t>Ana Rosa</t>
        </is>
      </c>
      <c r="D14" s="58" t="n">
        <v>-23.581204</v>
      </c>
      <c r="E14" s="58" t="n">
        <v>-46.638496</v>
      </c>
    </row>
    <row r="15">
      <c r="A15" t="n">
        <v>18861</v>
      </c>
      <c r="B15" t="inlineStr">
        <is>
          <t>Paraíso</t>
        </is>
      </c>
      <c r="D15" s="58" t="n">
        <v>-23.5754</v>
      </c>
      <c r="E15" s="58" t="n">
        <v>-46.6407</v>
      </c>
    </row>
    <row r="16">
      <c r="A16" t="n">
        <v>18862</v>
      </c>
      <c r="B16" t="inlineStr">
        <is>
          <t>Vergueiro</t>
        </is>
      </c>
      <c r="D16" s="58" t="n">
        <v>-23.568467</v>
      </c>
      <c r="E16" s="58" t="n">
        <v>-46.639928</v>
      </c>
    </row>
    <row r="17">
      <c r="A17" t="n">
        <v>18863</v>
      </c>
      <c r="B17" t="inlineStr">
        <is>
          <t>São Joaquim</t>
        </is>
      </c>
      <c r="D17" s="58" t="n">
        <v>-23.561473</v>
      </c>
      <c r="E17" s="58" t="n">
        <v>-46.63858</v>
      </c>
    </row>
    <row r="18">
      <c r="A18" t="n">
        <v>18864</v>
      </c>
      <c r="B18" t="inlineStr">
        <is>
          <t>Marechal Deodoro</t>
        </is>
      </c>
      <c r="D18" s="58" t="n">
        <v>-23.533163</v>
      </c>
      <c r="E18" s="58" t="n">
        <v>-46.657264</v>
      </c>
    </row>
    <row r="19">
      <c r="A19" t="n">
        <v>18865</v>
      </c>
      <c r="B19" t="inlineStr">
        <is>
          <t>Santa Cecília</t>
        </is>
      </c>
      <c r="D19" s="58" t="n">
        <v>-23.538095</v>
      </c>
      <c r="E19" s="58" t="n">
        <v>-46.649009</v>
      </c>
    </row>
    <row r="20">
      <c r="A20" t="n">
        <v>18866</v>
      </c>
      <c r="B20" t="inlineStr">
        <is>
          <t>República</t>
        </is>
      </c>
      <c r="D20" s="58" t="n">
        <v>-23.544215</v>
      </c>
      <c r="E20" s="58" t="n">
        <v>-46.642461</v>
      </c>
    </row>
    <row r="21">
      <c r="A21" t="n">
        <v>18867</v>
      </c>
      <c r="B21" t="inlineStr">
        <is>
          <t>Anhangabaú</t>
        </is>
      </c>
      <c r="D21" s="58" t="n">
        <v>-23.5478</v>
      </c>
      <c r="E21" s="58" t="n">
        <v>-46.6392</v>
      </c>
    </row>
    <row r="22">
      <c r="A22" t="n">
        <v>18868</v>
      </c>
      <c r="B22" t="inlineStr">
        <is>
          <t>Liberdade</t>
        </is>
      </c>
      <c r="D22" s="58" t="n">
        <v>-23.555211</v>
      </c>
      <c r="E22" s="58" t="n">
        <v>-46.635581</v>
      </c>
    </row>
    <row r="23">
      <c r="A23" t="n">
        <v>18869</v>
      </c>
      <c r="B23" t="inlineStr">
        <is>
          <t>Sé</t>
        </is>
      </c>
      <c r="D23" s="58" t="n">
        <v>-23.550503</v>
      </c>
      <c r="E23" s="58" t="n">
        <v>-46.633305</v>
      </c>
    </row>
    <row r="24">
      <c r="A24" t="n">
        <v>18870</v>
      </c>
      <c r="B24" t="inlineStr">
        <is>
          <t>São Bento</t>
        </is>
      </c>
      <c r="D24" s="58" t="n">
        <v>-23.544094</v>
      </c>
      <c r="E24" s="58" t="n">
        <v>-46.634175</v>
      </c>
    </row>
    <row r="25">
      <c r="A25" t="n">
        <v>18871</v>
      </c>
      <c r="B25" t="inlineStr">
        <is>
          <t>Pedro II</t>
        </is>
      </c>
      <c r="D25" s="58" t="n">
        <v>-23.549742</v>
      </c>
      <c r="E25" s="58" t="n">
        <v>-46.626281</v>
      </c>
    </row>
    <row r="26">
      <c r="A26" t="n">
        <v>18872</v>
      </c>
      <c r="B26" t="inlineStr">
        <is>
          <t>Luz</t>
        </is>
      </c>
      <c r="D26" s="58" t="n">
        <v>-23.5366</v>
      </c>
      <c r="E26" s="58" t="n">
        <v>-46.634299</v>
      </c>
    </row>
    <row r="27">
      <c r="A27" t="n">
        <v>18873</v>
      </c>
      <c r="B27" t="inlineStr">
        <is>
          <t>Tiradentes</t>
        </is>
      </c>
      <c r="D27" s="58" t="n">
        <v>-23.531286</v>
      </c>
      <c r="E27" s="58" t="n">
        <v>-46.632499</v>
      </c>
    </row>
    <row r="28">
      <c r="A28" t="n">
        <v>18874</v>
      </c>
      <c r="B28" t="inlineStr">
        <is>
          <t>Armênia</t>
        </is>
      </c>
      <c r="D28" s="58" t="n">
        <v>-23.525409</v>
      </c>
      <c r="E28" s="58" t="n">
        <v>-46.629192</v>
      </c>
    </row>
    <row r="29">
      <c r="A29" t="n">
        <v>18875</v>
      </c>
      <c r="B29" t="inlineStr">
        <is>
          <t>Bresser-mooca</t>
        </is>
      </c>
      <c r="D29" s="58" t="n">
        <v>-23.546398</v>
      </c>
      <c r="E29" s="58" t="n">
        <v>-46.607246</v>
      </c>
    </row>
    <row r="30">
      <c r="A30" t="n">
        <v>18876</v>
      </c>
      <c r="B30" t="inlineStr">
        <is>
          <t>Belém</t>
        </is>
      </c>
      <c r="D30" s="58" t="n">
        <v>-23.542922</v>
      </c>
      <c r="E30" s="58" t="n">
        <v>-46.589676</v>
      </c>
    </row>
    <row r="31">
      <c r="A31" t="n">
        <v>18877</v>
      </c>
      <c r="B31" t="inlineStr">
        <is>
          <t>Portuguesa-tietê</t>
        </is>
      </c>
      <c r="D31" s="58" t="n">
        <v>-23.516067</v>
      </c>
      <c r="E31" s="58" t="n">
        <v>-46.625162</v>
      </c>
    </row>
    <row r="32">
      <c r="A32" t="n">
        <v>18878</v>
      </c>
      <c r="B32" t="inlineStr">
        <is>
          <t>Carandiru</t>
        </is>
      </c>
      <c r="D32" s="58" t="n">
        <v>-23.508985</v>
      </c>
      <c r="E32" s="58" t="n">
        <v>-46.62492</v>
      </c>
    </row>
    <row r="33">
      <c r="A33" t="n">
        <v>18879</v>
      </c>
      <c r="B33" t="inlineStr">
        <is>
          <t>Santana</t>
        </is>
      </c>
      <c r="D33" s="58" t="n">
        <v>-23.502706</v>
      </c>
      <c r="E33" s="58" t="n">
        <v>-46.624761</v>
      </c>
    </row>
    <row r="34">
      <c r="A34" t="n">
        <v>18880</v>
      </c>
      <c r="B34" t="inlineStr">
        <is>
          <t>Jardim São Paulo-ayrton Senna</t>
        </is>
      </c>
      <c r="D34" s="58" t="n">
        <v>-23.492642</v>
      </c>
      <c r="E34" s="58" t="n">
        <v>-46.617445</v>
      </c>
    </row>
    <row r="35">
      <c r="A35" t="n">
        <v>18881</v>
      </c>
      <c r="B35" t="inlineStr">
        <is>
          <t>Parada Inglesa</t>
        </is>
      </c>
      <c r="D35" s="58" t="n">
        <v>-23.487104</v>
      </c>
      <c r="E35" s="58" t="n">
        <v>-46.608883</v>
      </c>
    </row>
    <row r="36">
      <c r="A36" t="n">
        <v>18882</v>
      </c>
      <c r="B36" t="inlineStr">
        <is>
          <t>Tucuruvi</t>
        </is>
      </c>
      <c r="D36" s="58" t="n">
        <v>-23.480016</v>
      </c>
      <c r="E36" s="58" t="n">
        <v>-46.603214</v>
      </c>
    </row>
    <row r="37">
      <c r="A37" t="n">
        <v>18883</v>
      </c>
      <c r="B37" t="inlineStr">
        <is>
          <t>Carrão</t>
        </is>
      </c>
      <c r="D37" s="58" t="n">
        <v>-23.53784</v>
      </c>
      <c r="E37" s="58" t="n">
        <v>-46.564393</v>
      </c>
    </row>
    <row r="38">
      <c r="A38" t="n">
        <v>18884</v>
      </c>
      <c r="B38" t="inlineStr">
        <is>
          <t>Penha</t>
        </is>
      </c>
      <c r="D38" s="58" t="n">
        <v>-23.533594</v>
      </c>
      <c r="E38" s="58" t="n">
        <v>-46.542944</v>
      </c>
    </row>
    <row r="39">
      <c r="A39" t="n">
        <v>18885</v>
      </c>
      <c r="B39" t="inlineStr">
        <is>
          <t>Vila Matilde</t>
        </is>
      </c>
      <c r="D39" s="58" t="n">
        <v>-23.531901</v>
      </c>
      <c r="E39" s="58" t="n">
        <v>-46.530904</v>
      </c>
    </row>
    <row r="40">
      <c r="A40" t="n">
        <v>18886</v>
      </c>
      <c r="B40" t="inlineStr">
        <is>
          <t>Guilhermina Esperança</t>
        </is>
      </c>
      <c r="D40" s="58" t="n">
        <v>-23.529319</v>
      </c>
      <c r="E40" s="58" t="n">
        <v>-46.516673</v>
      </c>
    </row>
    <row r="41">
      <c r="A41" t="n">
        <v>18887</v>
      </c>
      <c r="B41" t="inlineStr">
        <is>
          <t>Patriarca</t>
        </is>
      </c>
      <c r="D41" s="58" t="n">
        <v>-23.531079</v>
      </c>
      <c r="E41" s="58" t="n">
        <v>-46.501715</v>
      </c>
    </row>
    <row r="42">
      <c r="A42" t="n">
        <v>18888</v>
      </c>
      <c r="B42" t="inlineStr">
        <is>
          <t>Artur Alvim</t>
        </is>
      </c>
      <c r="D42" s="58" t="n">
        <v>-23.540068</v>
      </c>
      <c r="E42" s="58" t="n">
        <v>-46.484833</v>
      </c>
    </row>
    <row r="43">
      <c r="A43" t="n">
        <v>18889</v>
      </c>
      <c r="B43" t="inlineStr">
        <is>
          <t>Eng. Goulart</t>
        </is>
      </c>
      <c r="D43" s="58" t="n">
        <v>-23.498281</v>
      </c>
      <c r="E43" s="58" t="n">
        <v>-46.520092</v>
      </c>
    </row>
    <row r="44">
      <c r="A44" t="n">
        <v>18890</v>
      </c>
      <c r="B44" t="inlineStr">
        <is>
          <t>Corinthians-itaquera</t>
        </is>
      </c>
      <c r="D44" s="58" t="n">
        <v>-23.542411</v>
      </c>
      <c r="E44" s="58" t="n">
        <v>-46.471964</v>
      </c>
    </row>
    <row r="45">
      <c r="A45" t="n">
        <v>18891</v>
      </c>
      <c r="B45" t="inlineStr">
        <is>
          <t>Comendador Ermelino</t>
        </is>
      </c>
      <c r="D45" s="58" t="n">
        <v>-23.485166</v>
      </c>
      <c r="E45" s="58" t="n">
        <v>-46.482828</v>
      </c>
    </row>
    <row r="46">
      <c r="A46" t="n">
        <v>18892</v>
      </c>
      <c r="B46" t="inlineStr">
        <is>
          <t>Dom Bosco</t>
        </is>
      </c>
      <c r="D46" s="58" t="n">
        <v>-23.541714</v>
      </c>
      <c r="E46" s="58" t="n">
        <v>-46.447993</v>
      </c>
    </row>
    <row r="47">
      <c r="A47" t="n">
        <v>18893</v>
      </c>
      <c r="B47" t="inlineStr">
        <is>
          <t>José Bonifácio</t>
        </is>
      </c>
      <c r="D47" s="58" t="n">
        <v>-23.53912</v>
      </c>
      <c r="E47" s="58" t="n">
        <v>-46.431683</v>
      </c>
    </row>
    <row r="48">
      <c r="A48" t="n">
        <v>18894</v>
      </c>
      <c r="B48" t="inlineStr">
        <is>
          <t>Antônio Gianetti Neto</t>
        </is>
      </c>
      <c r="D48" s="58" t="n">
        <v>-23.554322</v>
      </c>
      <c r="E48" s="58" t="n">
        <v>-46.383668</v>
      </c>
    </row>
    <row r="49">
      <c r="A49" t="n">
        <v>18895</v>
      </c>
      <c r="B49" t="inlineStr">
        <is>
          <t>Guaianases</t>
        </is>
      </c>
      <c r="D49" s="58" t="n">
        <v>-23.542298</v>
      </c>
      <c r="E49" s="58" t="n">
        <v>-46.415633</v>
      </c>
    </row>
    <row r="50">
      <c r="A50" t="n">
        <v>18897</v>
      </c>
      <c r="B50" t="inlineStr">
        <is>
          <t>Itaim Paulista</t>
        </is>
      </c>
      <c r="D50" s="58" t="n">
        <v>-23.493989</v>
      </c>
      <c r="E50" s="58" t="n">
        <v>-46.402304</v>
      </c>
    </row>
    <row r="51">
      <c r="A51" t="n">
        <v>18898</v>
      </c>
      <c r="B51" t="inlineStr">
        <is>
          <t>Ferraz De Vasconcelos</t>
        </is>
      </c>
      <c r="D51" s="58" t="n">
        <v>-23.540688</v>
      </c>
      <c r="E51" s="58" t="n">
        <v>-46.368207</v>
      </c>
    </row>
    <row r="52">
      <c r="A52" t="n">
        <v>18899</v>
      </c>
      <c r="B52" t="inlineStr">
        <is>
          <t>Poá</t>
        </is>
      </c>
      <c r="D52" s="58" t="n">
        <v>-23.525211</v>
      </c>
      <c r="E52" s="58" t="n">
        <v>-46.34325</v>
      </c>
    </row>
    <row r="53">
      <c r="A53" t="n">
        <v>18900</v>
      </c>
      <c r="B53" t="inlineStr">
        <is>
          <t>Eng Manoel Feio</t>
        </is>
      </c>
      <c r="D53" s="58" t="n">
        <v>-23.478636</v>
      </c>
      <c r="E53" s="58" t="n">
        <v>-46.364469</v>
      </c>
    </row>
    <row r="54">
      <c r="A54" t="n">
        <v>18901</v>
      </c>
      <c r="B54" t="inlineStr">
        <is>
          <t>Calmon Viana</t>
        </is>
      </c>
      <c r="D54" s="58" t="n">
        <v>-23.525497</v>
      </c>
      <c r="E54" s="58" t="n">
        <v>-46.332803</v>
      </c>
    </row>
    <row r="55">
      <c r="A55" t="n">
        <v>18902</v>
      </c>
      <c r="B55" t="inlineStr">
        <is>
          <t>Suzano</t>
        </is>
      </c>
      <c r="D55" s="58" t="n">
        <v>-23.533521</v>
      </c>
      <c r="E55" s="58" t="n">
        <v>-46.309229</v>
      </c>
    </row>
    <row r="56">
      <c r="A56" t="n">
        <v>18906</v>
      </c>
      <c r="B56" t="inlineStr">
        <is>
          <t>Santo Amaro</t>
        </is>
      </c>
      <c r="D56" s="58" t="n">
        <v>-23.655909</v>
      </c>
      <c r="E56" s="58" t="n">
        <v>-46.719702</v>
      </c>
    </row>
    <row r="57">
      <c r="A57" t="n">
        <v>18907</v>
      </c>
      <c r="B57" t="inlineStr">
        <is>
          <t>Jurubatuba</t>
        </is>
      </c>
      <c r="D57" s="58" t="n">
        <v>-23.677465</v>
      </c>
      <c r="E57" s="58" t="n">
        <v>-46.702213</v>
      </c>
    </row>
    <row r="58">
      <c r="A58" t="n">
        <v>18908</v>
      </c>
      <c r="B58" t="inlineStr">
        <is>
          <t>Socorro</t>
        </is>
      </c>
      <c r="D58" s="58" t="n">
        <v>-23.66343</v>
      </c>
      <c r="E58" s="58" t="n">
        <v>-46.71097</v>
      </c>
    </row>
    <row r="59">
      <c r="A59" t="n">
        <v>18909</v>
      </c>
      <c r="B59" t="inlineStr">
        <is>
          <t>Granja Julieta</t>
        </is>
      </c>
      <c r="D59" s="58" t="n">
        <v>-23.627599</v>
      </c>
      <c r="E59" s="58" t="n">
        <v>-46.712111</v>
      </c>
    </row>
    <row r="60">
      <c r="A60" t="n">
        <v>18910</v>
      </c>
      <c r="B60" t="inlineStr">
        <is>
          <t>Morumbi</t>
        </is>
      </c>
      <c r="D60" s="58" t="n">
        <v>-23.621519</v>
      </c>
      <c r="E60" s="58" t="n">
        <v>-46.701657</v>
      </c>
    </row>
    <row r="61">
      <c r="A61" t="n">
        <v>18911</v>
      </c>
      <c r="B61" t="inlineStr">
        <is>
          <t>Berrini</t>
        </is>
      </c>
      <c r="D61" s="58" t="n">
        <v>-23.604669</v>
      </c>
      <c r="E61" s="58" t="n">
        <v>-46.696825</v>
      </c>
    </row>
    <row r="62">
      <c r="A62" t="n">
        <v>18912</v>
      </c>
      <c r="B62" t="inlineStr">
        <is>
          <t>Vila Olímpia</t>
        </is>
      </c>
      <c r="D62" s="58" t="n">
        <v>-23.593185</v>
      </c>
      <c r="E62" s="58" t="n">
        <v>-46.692871</v>
      </c>
    </row>
    <row r="63">
      <c r="A63" t="n">
        <v>18913</v>
      </c>
      <c r="B63" t="inlineStr">
        <is>
          <t>Cidade Jardim</t>
        </is>
      </c>
      <c r="D63" s="58" t="n">
        <v>-23.585337</v>
      </c>
      <c r="E63" s="58" t="n">
        <v>-46.691293</v>
      </c>
    </row>
    <row r="64">
      <c r="A64" t="n">
        <v>18914</v>
      </c>
      <c r="B64" t="inlineStr">
        <is>
          <t>Amador Bueno</t>
        </is>
      </c>
      <c r="D64" s="58" t="n">
        <v>-23.5307</v>
      </c>
      <c r="E64" s="58" t="n">
        <v>-46.983928</v>
      </c>
    </row>
    <row r="65">
      <c r="A65" t="n">
        <v>18916</v>
      </c>
      <c r="B65" t="inlineStr">
        <is>
          <t>Piqueri</t>
        </is>
      </c>
      <c r="D65" s="58" t="n">
        <v>-23.504206</v>
      </c>
      <c r="E65" s="58" t="n">
        <v>-46.714999</v>
      </c>
    </row>
    <row r="66">
      <c r="A66" t="n">
        <v>18917</v>
      </c>
      <c r="B66" t="inlineStr">
        <is>
          <t>Lapa (linha 7)</t>
        </is>
      </c>
      <c r="D66" s="58" t="n">
        <v>-23.517538</v>
      </c>
      <c r="E66" s="58" t="n">
        <v>-46.703952</v>
      </c>
    </row>
    <row r="67">
      <c r="A67" t="n">
        <v>18918</v>
      </c>
      <c r="B67" t="inlineStr">
        <is>
          <t>Lapa (linha 8)</t>
        </is>
      </c>
      <c r="D67" s="58" t="n">
        <v>-23.519585</v>
      </c>
      <c r="E67" s="58" t="n">
        <v>-46.700124</v>
      </c>
    </row>
    <row r="68">
      <c r="A68" t="n">
        <v>18919</v>
      </c>
      <c r="B68" t="inlineStr">
        <is>
          <t>Água Branca</t>
        </is>
      </c>
      <c r="D68" s="58" t="n">
        <v>-23.521231</v>
      </c>
      <c r="E68" s="58" t="n">
        <v>-46.689237</v>
      </c>
    </row>
    <row r="69">
      <c r="A69" t="n">
        <v>18920</v>
      </c>
      <c r="B69" t="inlineStr">
        <is>
          <t>Palmeiras - Barra Funda</t>
        </is>
      </c>
      <c r="D69" s="58" t="n">
        <v>-23.525317</v>
      </c>
      <c r="E69" s="58" t="n">
        <v>-46.666547</v>
      </c>
    </row>
    <row r="70">
      <c r="A70" t="n">
        <v>18921</v>
      </c>
      <c r="B70" t="inlineStr">
        <is>
          <t>Perus</t>
        </is>
      </c>
      <c r="D70" s="58" t="n">
        <v>-23.404054</v>
      </c>
      <c r="E70" s="58" t="n">
        <v>-46.754465</v>
      </c>
    </row>
    <row r="71">
      <c r="A71" t="n">
        <v>18922</v>
      </c>
      <c r="B71" t="inlineStr">
        <is>
          <t>Jaraguá</t>
        </is>
      </c>
      <c r="D71" s="58" t="n">
        <v>-23.455502</v>
      </c>
      <c r="E71" s="58" t="n">
        <v>-46.738483</v>
      </c>
    </row>
    <row r="72">
      <c r="A72" t="n">
        <v>18923</v>
      </c>
      <c r="B72" t="inlineStr">
        <is>
          <t>Vila Clarice</t>
        </is>
      </c>
      <c r="D72" s="58" t="n">
        <v>-23.470038</v>
      </c>
      <c r="E72" s="58" t="n">
        <v>-46.744207</v>
      </c>
    </row>
    <row r="73">
      <c r="A73" t="n">
        <v>18924</v>
      </c>
      <c r="B73" t="inlineStr">
        <is>
          <t>Caieiras</t>
        </is>
      </c>
      <c r="D73" s="58" t="n">
        <v>-23.367176</v>
      </c>
      <c r="E73" s="58" t="n">
        <v>-46.752822</v>
      </c>
    </row>
    <row r="74">
      <c r="A74" t="n">
        <v>18925</v>
      </c>
      <c r="B74" t="inlineStr">
        <is>
          <t>Franco Da Rocha</t>
        </is>
      </c>
      <c r="D74" s="58" t="n">
        <v>-23.332181</v>
      </c>
      <c r="E74" s="58" t="n">
        <v>-46.727614</v>
      </c>
    </row>
    <row r="75">
      <c r="A75" t="n">
        <v>18926</v>
      </c>
      <c r="B75" t="inlineStr">
        <is>
          <t>Baltazar Fidélis</t>
        </is>
      </c>
      <c r="D75" s="58" t="n">
        <v>-23.310582</v>
      </c>
      <c r="E75" s="58" t="n">
        <v>-46.722853</v>
      </c>
    </row>
    <row r="76">
      <c r="A76" t="n">
        <v>18927</v>
      </c>
      <c r="B76" t="inlineStr">
        <is>
          <t>Tamanduateí</t>
        </is>
      </c>
      <c r="D76" s="58" t="n">
        <v>-23.592982</v>
      </c>
      <c r="E76" s="58" t="n">
        <v>-46.589343</v>
      </c>
    </row>
    <row r="77">
      <c r="A77" t="n">
        <v>18928</v>
      </c>
      <c r="B77" t="inlineStr">
        <is>
          <t>São Caetano</t>
        </is>
      </c>
      <c r="D77" s="58" t="n">
        <v>-23.610281</v>
      </c>
      <c r="E77" s="58" t="n">
        <v>-46.57033</v>
      </c>
    </row>
    <row r="78">
      <c r="A78" t="n">
        <v>18929</v>
      </c>
      <c r="B78" t="inlineStr">
        <is>
          <t>Utinga</t>
        </is>
      </c>
      <c r="D78" s="58" t="n">
        <v>-23.626196</v>
      </c>
      <c r="E78" s="58" t="n">
        <v>-46.543623</v>
      </c>
    </row>
    <row r="79">
      <c r="A79" t="n">
        <v>18930</v>
      </c>
      <c r="B79" t="inlineStr">
        <is>
          <t>Prefeito Saladino</t>
        </is>
      </c>
      <c r="D79" s="58" t="n">
        <v>-23.638762</v>
      </c>
      <c r="E79" s="58" t="n">
        <v>-46.53686</v>
      </c>
    </row>
    <row r="80">
      <c r="A80" t="n">
        <v>18931</v>
      </c>
      <c r="B80" t="inlineStr">
        <is>
          <t>Ribeirão Pires</t>
        </is>
      </c>
      <c r="D80" s="58" t="n">
        <v>-23.713586</v>
      </c>
      <c r="E80" s="58" t="n">
        <v>-46.414805</v>
      </c>
    </row>
    <row r="81">
      <c r="A81" t="n">
        <v>18932</v>
      </c>
      <c r="B81" t="inlineStr">
        <is>
          <t>Rio Grande Da Serra</t>
        </is>
      </c>
      <c r="D81" s="58" t="n">
        <v>-23.742981</v>
      </c>
      <c r="E81" s="58" t="n">
        <v>-46.392026</v>
      </c>
    </row>
    <row r="82">
      <c r="A82" t="n">
        <v>18934</v>
      </c>
      <c r="B82" t="inlineStr">
        <is>
          <t>Capuava</t>
        </is>
      </c>
      <c r="D82" s="58" t="n">
        <v>-23.65851</v>
      </c>
      <c r="E82" s="58" t="n">
        <v>-46.490542</v>
      </c>
    </row>
    <row r="83">
      <c r="A83" t="n">
        <v>18935</v>
      </c>
      <c r="B83" t="inlineStr">
        <is>
          <t>Mauá</t>
        </is>
      </c>
      <c r="D83" s="58" t="n">
        <v>-23.668016</v>
      </c>
      <c r="E83" s="58" t="n">
        <v>-46.461769</v>
      </c>
    </row>
    <row r="84">
      <c r="A84" t="n">
        <v>18936</v>
      </c>
      <c r="B84" t="inlineStr">
        <is>
          <t>Prefeito Celso Daniel - Santo André</t>
        </is>
      </c>
      <c r="D84" s="58" t="n">
        <v>-23.652472</v>
      </c>
      <c r="E84" s="58" t="n">
        <v>-46.528568</v>
      </c>
    </row>
    <row r="85">
      <c r="A85" t="n">
        <v>18937</v>
      </c>
      <c r="B85" t="inlineStr">
        <is>
          <t>Guapituba</t>
        </is>
      </c>
      <c r="D85" s="58" t="n">
        <v>-23.691321</v>
      </c>
      <c r="E85" s="58" t="n">
        <v>-46.449263</v>
      </c>
    </row>
    <row r="86">
      <c r="A86" t="n">
        <v>18939</v>
      </c>
      <c r="B86" t="inlineStr">
        <is>
          <t>Júlio Prestes</t>
        </is>
      </c>
      <c r="D86" s="58" t="n">
        <v>-23.532964</v>
      </c>
      <c r="E86" s="58" t="n">
        <v>-46.640763</v>
      </c>
    </row>
    <row r="87">
      <c r="A87" t="n">
        <v>18940</v>
      </c>
      <c r="B87" t="inlineStr">
        <is>
          <t>Luz</t>
        </is>
      </c>
      <c r="D87" s="58" t="n">
        <v>-23.535103</v>
      </c>
      <c r="E87" s="58" t="n">
        <v>-46.635436</v>
      </c>
    </row>
    <row r="88">
      <c r="A88" t="n">
        <v>18941</v>
      </c>
      <c r="B88" t="inlineStr">
        <is>
          <t>Moóca</t>
        </is>
      </c>
      <c r="D88" s="58" t="n">
        <v>-23.557799</v>
      </c>
      <c r="E88" s="58" t="n">
        <v>-46.608419</v>
      </c>
    </row>
    <row r="89">
      <c r="A89" t="n">
        <v>18942</v>
      </c>
      <c r="B89" t="inlineStr">
        <is>
          <t>Ipiranga</t>
        </is>
      </c>
      <c r="D89" s="58" t="n">
        <v>-23.582356</v>
      </c>
      <c r="E89" s="58" t="n">
        <v>-46.59666</v>
      </c>
    </row>
    <row r="90">
      <c r="A90" t="n">
        <v>18944</v>
      </c>
      <c r="B90" t="inlineStr">
        <is>
          <t>Tatuapé</t>
        </is>
      </c>
      <c r="D90" s="58" t="n">
        <v>-23.5403</v>
      </c>
      <c r="E90" s="58" t="n">
        <v>-46.5767</v>
      </c>
    </row>
    <row r="91">
      <c r="A91" t="n">
        <v>18946</v>
      </c>
      <c r="B91" t="inlineStr">
        <is>
          <t>Santa Rita</t>
        </is>
      </c>
      <c r="D91" s="58" t="n">
        <v>-23.545115</v>
      </c>
      <c r="E91" s="58" t="n">
        <v>-46.947651</v>
      </c>
    </row>
    <row r="92">
      <c r="A92" t="n">
        <v>18947</v>
      </c>
      <c r="B92" t="inlineStr">
        <is>
          <t>Itapevi</t>
        </is>
      </c>
      <c r="D92" s="58" t="n">
        <v>-23.545728</v>
      </c>
      <c r="E92" s="58" t="n">
        <v>-46.935416</v>
      </c>
    </row>
    <row r="93">
      <c r="A93" t="n">
        <v>18948</v>
      </c>
      <c r="B93" t="inlineStr">
        <is>
          <t>Engenheiro Cardoso</t>
        </is>
      </c>
      <c r="D93" s="58" t="n">
        <v>-23.535245</v>
      </c>
      <c r="E93" s="58" t="n">
        <v>-46.928291</v>
      </c>
    </row>
    <row r="94">
      <c r="A94" t="n">
        <v>18949</v>
      </c>
      <c r="B94" t="inlineStr">
        <is>
          <t>Sagrado Coração</t>
        </is>
      </c>
      <c r="D94" s="58" t="n">
        <v>-23.52908</v>
      </c>
      <c r="E94" s="58" t="n">
        <v>-46.91728</v>
      </c>
    </row>
    <row r="95">
      <c r="A95" t="n">
        <v>18950</v>
      </c>
      <c r="B95" t="inlineStr">
        <is>
          <t>Jandira</t>
        </is>
      </c>
      <c r="D95" s="58" t="n">
        <v>-23.527721</v>
      </c>
      <c r="E95" s="58" t="n">
        <v>-46.902507</v>
      </c>
    </row>
    <row r="96">
      <c r="A96" t="n">
        <v>18951</v>
      </c>
      <c r="B96" t="inlineStr">
        <is>
          <t>Jardim Silveira</t>
        </is>
      </c>
      <c r="D96" s="58" t="n">
        <v>-23.523568</v>
      </c>
      <c r="E96" s="58" t="n">
        <v>-46.893491</v>
      </c>
    </row>
    <row r="97">
      <c r="A97" t="n">
        <v>18952</v>
      </c>
      <c r="B97" t="inlineStr">
        <is>
          <t>Jardim Belval</t>
        </is>
      </c>
      <c r="D97" s="58" t="n">
        <v>-23.514306</v>
      </c>
      <c r="E97" s="58" t="n">
        <v>-46.88929</v>
      </c>
    </row>
    <row r="98">
      <c r="A98" t="n">
        <v>18953</v>
      </c>
      <c r="B98" t="inlineStr">
        <is>
          <t>Barueri</t>
        </is>
      </c>
      <c r="D98" s="58" t="n">
        <v>-23.512644</v>
      </c>
      <c r="E98" s="58" t="n">
        <v>-46.875113</v>
      </c>
    </row>
    <row r="99">
      <c r="A99" t="n">
        <v>18954</v>
      </c>
      <c r="B99" t="inlineStr">
        <is>
          <t>Antônio João</t>
        </is>
      </c>
      <c r="D99" s="58" t="n">
        <v>-23.516859</v>
      </c>
      <c r="E99" s="58" t="n">
        <v>-46.858801</v>
      </c>
    </row>
    <row r="100">
      <c r="A100" t="n">
        <v>18955</v>
      </c>
      <c r="B100" t="inlineStr">
        <is>
          <t>Santa Terezinha</t>
        </is>
      </c>
      <c r="D100" s="58" t="n">
        <v>-23.516347</v>
      </c>
      <c r="E100" s="58" t="n">
        <v>-46.84807</v>
      </c>
    </row>
    <row r="101">
      <c r="A101" t="n">
        <v>18956</v>
      </c>
      <c r="B101" t="inlineStr">
        <is>
          <t>Carapicuíba</t>
        </is>
      </c>
      <c r="D101" s="58" t="n">
        <v>-23.518744</v>
      </c>
      <c r="E101" s="58" t="n">
        <v>-46.835417</v>
      </c>
    </row>
    <row r="102">
      <c r="A102" t="n">
        <v>18957</v>
      </c>
      <c r="B102" t="inlineStr">
        <is>
          <t>General Miguel Costa</t>
        </is>
      </c>
      <c r="D102" s="58" t="n">
        <v>-23.523639</v>
      </c>
      <c r="E102" s="58" t="n">
        <v>-46.815998</v>
      </c>
    </row>
    <row r="103">
      <c r="A103" t="n">
        <v>18958</v>
      </c>
      <c r="B103" t="inlineStr">
        <is>
          <t>Quitaúna</t>
        </is>
      </c>
      <c r="D103" s="58" t="n">
        <v>-23.522871</v>
      </c>
      <c r="E103" s="58" t="n">
        <v>-46.807085</v>
      </c>
    </row>
    <row r="104">
      <c r="A104" t="n">
        <v>18959</v>
      </c>
      <c r="B104" t="inlineStr">
        <is>
          <t>Comandante Sampaio</t>
        </is>
      </c>
      <c r="D104" s="58" t="n">
        <v>-23.52599</v>
      </c>
      <c r="E104" s="58" t="n">
        <v>-46.796059</v>
      </c>
    </row>
    <row r="105">
      <c r="A105" t="n">
        <v>18960</v>
      </c>
      <c r="B105" t="inlineStr">
        <is>
          <t>Osasco</t>
        </is>
      </c>
      <c r="D105" s="58" t="n">
        <v>-23.527834</v>
      </c>
      <c r="E105" s="58" t="n">
        <v>-46.776007</v>
      </c>
    </row>
    <row r="106">
      <c r="A106" t="n">
        <v>18961</v>
      </c>
      <c r="B106" t="inlineStr">
        <is>
          <t>Presidente Altino</t>
        </is>
      </c>
      <c r="D106" s="58" t="n">
        <v>-23.530423</v>
      </c>
      <c r="E106" s="58" t="n">
        <v>-46.760577</v>
      </c>
    </row>
    <row r="107">
      <c r="A107" t="n">
        <v>18962</v>
      </c>
      <c r="B107" t="inlineStr">
        <is>
          <t>Ceasa</t>
        </is>
      </c>
      <c r="D107" s="58" t="n">
        <v>-23.538372</v>
      </c>
      <c r="E107" s="58" t="n">
        <v>-46.741543</v>
      </c>
    </row>
    <row r="108">
      <c r="A108" t="n">
        <v>18963</v>
      </c>
      <c r="B108" t="inlineStr">
        <is>
          <t>Villa Lobos- Jaguaré</t>
        </is>
      </c>
      <c r="D108" s="58" t="n">
        <v>-23.546718</v>
      </c>
      <c r="E108" s="58" t="n">
        <v>-46.732079</v>
      </c>
    </row>
    <row r="109">
      <c r="A109" t="n">
        <v>18964</v>
      </c>
      <c r="B109" t="inlineStr">
        <is>
          <t>Imperatriz Leopoldina</t>
        </is>
      </c>
      <c r="D109" s="58" t="n">
        <v>-23.523749</v>
      </c>
      <c r="E109" s="58" t="n">
        <v>-46.737662</v>
      </c>
    </row>
    <row r="110">
      <c r="A110" t="n">
        <v>18965</v>
      </c>
      <c r="B110" t="inlineStr">
        <is>
          <t>Pirituba</t>
        </is>
      </c>
      <c r="D110" s="58" t="n">
        <v>-23.488464</v>
      </c>
      <c r="E110" s="58" t="n">
        <v>-46.726058</v>
      </c>
    </row>
    <row r="111">
      <c r="A111" t="n">
        <v>18966</v>
      </c>
      <c r="B111" t="inlineStr">
        <is>
          <t>Pinheiros</t>
        </is>
      </c>
      <c r="D111" s="58" t="n">
        <v>-23.566631</v>
      </c>
      <c r="E111" s="58" t="n">
        <v>-46.703082</v>
      </c>
    </row>
    <row r="112">
      <c r="A112" t="n">
        <v>18967</v>
      </c>
      <c r="B112" t="inlineStr">
        <is>
          <t>Cidade Universitária</t>
        </is>
      </c>
      <c r="D112" s="58" t="n">
        <v>-23.55757</v>
      </c>
      <c r="E112" s="58" t="n">
        <v>-46.712434</v>
      </c>
    </row>
    <row r="113">
      <c r="A113" t="n">
        <v>18968</v>
      </c>
      <c r="B113" t="inlineStr">
        <is>
          <t>Hebraica - Rebouças</t>
        </is>
      </c>
      <c r="D113" s="58" t="n">
        <v>-23.573822</v>
      </c>
      <c r="E113" s="58" t="n">
        <v>-46.698634</v>
      </c>
    </row>
    <row r="114">
      <c r="A114" t="n">
        <v>18969</v>
      </c>
      <c r="B114" t="inlineStr">
        <is>
          <t>Domingos De Moraes</t>
        </is>
      </c>
      <c r="D114" s="58" t="n">
        <v>-23.518787</v>
      </c>
      <c r="E114" s="58" t="n">
        <v>-46.721665</v>
      </c>
    </row>
    <row r="115">
      <c r="A115" t="n">
        <v>18971</v>
      </c>
      <c r="B115" t="inlineStr">
        <is>
          <t>Francisco Morato</t>
        </is>
      </c>
      <c r="D115" s="58" t="n">
        <v>-23.284893</v>
      </c>
      <c r="E115" s="58" t="n">
        <v>-46.742046</v>
      </c>
    </row>
    <row r="116">
      <c r="A116" t="n">
        <v>18972</v>
      </c>
      <c r="B116" t="inlineStr">
        <is>
          <t>Botujuru</t>
        </is>
      </c>
      <c r="D116" s="58" t="n">
        <v>-23.23541</v>
      </c>
      <c r="E116" s="58" t="n">
        <v>-46.767932</v>
      </c>
    </row>
    <row r="117">
      <c r="A117" t="n">
        <v>18973</v>
      </c>
      <c r="B117" t="inlineStr">
        <is>
          <t>Campo Limpo Paulista</t>
        </is>
      </c>
      <c r="D117" s="58" t="n">
        <v>-23.207264</v>
      </c>
      <c r="E117" s="58" t="n">
        <v>-46.784873</v>
      </c>
    </row>
    <row r="118">
      <c r="A118" t="n">
        <v>18974</v>
      </c>
      <c r="B118" t="inlineStr">
        <is>
          <t>Várzea Paulista</t>
        </is>
      </c>
      <c r="D118" s="58" t="n">
        <v>-23.208824</v>
      </c>
      <c r="E118" s="58" t="n">
        <v>-46.829012</v>
      </c>
    </row>
    <row r="119">
      <c r="A119" t="n">
        <v>18975</v>
      </c>
      <c r="B119" t="inlineStr">
        <is>
          <t>Jundiai</t>
        </is>
      </c>
      <c r="D119" s="58" t="n">
        <v>-23.195643</v>
      </c>
      <c r="E119" s="58" t="n">
        <v>-46.8719</v>
      </c>
    </row>
    <row r="120">
      <c r="A120" t="n">
        <v>18976</v>
      </c>
      <c r="B120" t="inlineStr">
        <is>
          <t>Itaquaquecetuba</t>
        </is>
      </c>
      <c r="D120" s="58" t="n">
        <v>-23.48577</v>
      </c>
      <c r="E120" s="58" t="n">
        <v>-46.348456</v>
      </c>
    </row>
    <row r="121">
      <c r="A121" t="n">
        <v>18978</v>
      </c>
      <c r="B121" t="inlineStr">
        <is>
          <t>Jundiapeba</t>
        </is>
      </c>
      <c r="D121" s="58" t="n">
        <v>-23.542687</v>
      </c>
      <c r="E121" s="58" t="n">
        <v>-46.256308</v>
      </c>
    </row>
    <row r="122">
      <c r="A122" t="n">
        <v>18979</v>
      </c>
      <c r="B122" t="inlineStr">
        <is>
          <t>Brás Cubas</t>
        </is>
      </c>
      <c r="D122" s="58" t="n">
        <v>-23.536255</v>
      </c>
      <c r="E122" s="58" t="n">
        <v>-46.225325</v>
      </c>
    </row>
    <row r="123">
      <c r="A123" t="n">
        <v>18980</v>
      </c>
      <c r="B123" t="inlineStr">
        <is>
          <t>Mogi Das Cruzes</t>
        </is>
      </c>
      <c r="D123" s="58" t="n">
        <v>-23.521185</v>
      </c>
      <c r="E123" s="58" t="n">
        <v>-46.197135</v>
      </c>
    </row>
    <row r="124">
      <c r="A124" t="n">
        <v>18981</v>
      </c>
      <c r="B124" t="inlineStr">
        <is>
          <t>Estudantes</t>
        </is>
      </c>
      <c r="D124" s="58" t="n">
        <v>-23.515696</v>
      </c>
      <c r="E124" s="58" t="n">
        <v>-46.18493</v>
      </c>
    </row>
    <row r="125">
      <c r="A125" t="n">
        <v>18984</v>
      </c>
      <c r="B125" t="inlineStr">
        <is>
          <t>Ana Rosa</t>
        </is>
      </c>
      <c r="D125" s="58" t="n">
        <v>-23.581388</v>
      </c>
      <c r="E125" s="58" t="n">
        <v>-46.638455</v>
      </c>
    </row>
    <row r="126">
      <c r="A126" t="n">
        <v>18985</v>
      </c>
      <c r="B126" t="inlineStr">
        <is>
          <t>Palmeiras - Barra Funda</t>
        </is>
      </c>
      <c r="D126" s="58" t="n">
        <v>-23.525592</v>
      </c>
      <c r="E126" s="58" t="n">
        <v>-46.666651</v>
      </c>
    </row>
    <row r="127">
      <c r="A127" t="n">
        <v>18986</v>
      </c>
      <c r="B127" t="inlineStr">
        <is>
          <t>Palmeiras - Barra Funda</t>
        </is>
      </c>
      <c r="D127" s="58" t="n">
        <v>-23.525703</v>
      </c>
      <c r="E127" s="58" t="n">
        <v>-46.666803</v>
      </c>
    </row>
    <row r="128">
      <c r="A128" t="n">
        <v>18987</v>
      </c>
      <c r="B128" t="inlineStr">
        <is>
          <t>Brás</t>
        </is>
      </c>
      <c r="D128" s="58" t="n">
        <v>-23.545461</v>
      </c>
      <c r="E128" s="58" t="n">
        <v>-46.616228</v>
      </c>
    </row>
    <row r="129">
      <c r="A129" t="n">
        <v>18989</v>
      </c>
      <c r="B129" t="inlineStr">
        <is>
          <t>Paraíso</t>
        </is>
      </c>
      <c r="D129" s="58" t="n">
        <v>-23.5753</v>
      </c>
      <c r="E129" s="58" t="n">
        <v>-46.6408</v>
      </c>
    </row>
    <row r="130">
      <c r="A130" t="n">
        <v>19000</v>
      </c>
      <c r="B130" t="inlineStr">
        <is>
          <t>Sé</t>
        </is>
      </c>
      <c r="D130" s="58" t="n">
        <v>-23.550614</v>
      </c>
      <c r="E130" s="58" t="n">
        <v>-46.633505</v>
      </c>
    </row>
    <row r="131">
      <c r="A131" t="n">
        <v>19040</v>
      </c>
      <c r="B131" t="inlineStr">
        <is>
          <t>Largo Treze</t>
        </is>
      </c>
      <c r="D131" s="58" t="n">
        <v>-23.654465</v>
      </c>
      <c r="E131" s="58" t="n">
        <v>-46.710305</v>
      </c>
    </row>
    <row r="132">
      <c r="A132" t="n">
        <v>19041</v>
      </c>
      <c r="B132" t="inlineStr">
        <is>
          <t>Santo Amaro</t>
        </is>
      </c>
      <c r="D132" s="58" t="n">
        <v>-23.655575</v>
      </c>
      <c r="E132" s="58" t="n">
        <v>-46.721095</v>
      </c>
    </row>
    <row r="133">
      <c r="A133" t="n">
        <v>19042</v>
      </c>
      <c r="B133" t="inlineStr">
        <is>
          <t>Giovanni Gronchi</t>
        </is>
      </c>
      <c r="D133" s="58" t="n">
        <v>-23.643975</v>
      </c>
      <c r="E133" s="58" t="n">
        <v>-46.734112</v>
      </c>
    </row>
    <row r="134">
      <c r="A134" t="n">
        <v>19043</v>
      </c>
      <c r="B134" t="inlineStr">
        <is>
          <t>Vila Das Belezas</t>
        </is>
      </c>
      <c r="D134" s="58" t="n">
        <v>-23.640331</v>
      </c>
      <c r="E134" s="58" t="n">
        <v>-46.745882</v>
      </c>
    </row>
    <row r="135">
      <c r="A135" t="n">
        <v>19044</v>
      </c>
      <c r="B135" t="inlineStr">
        <is>
          <t>Campo Limpo</t>
        </is>
      </c>
      <c r="D135" s="58" t="n">
        <v>-23.648987</v>
      </c>
      <c r="E135" s="58" t="n">
        <v>-46.758878</v>
      </c>
    </row>
    <row r="136">
      <c r="A136" t="n">
        <v>19045</v>
      </c>
      <c r="B136" t="inlineStr">
        <is>
          <t>Capão Redondo</t>
        </is>
      </c>
      <c r="D136" s="58" t="n">
        <v>-23.659955</v>
      </c>
      <c r="E136" s="58" t="n">
        <v>-46.768691</v>
      </c>
    </row>
    <row r="137">
      <c r="A137" t="n">
        <v>109776</v>
      </c>
      <c r="B137" t="inlineStr">
        <is>
          <t>Pça. Ituzaingo, 10</t>
        </is>
      </c>
      <c r="C137" t="inlineStr">
        <is>
          <t>Ref.: R. Demétrio Ribeiro</t>
        </is>
      </c>
      <c r="D137" s="58" t="n">
        <v>-23.55276</v>
      </c>
      <c r="E137" s="58" t="n">
        <v>-46.572316</v>
      </c>
    </row>
    <row r="138">
      <c r="A138" t="n">
        <v>404590</v>
      </c>
      <c r="B138" t="inlineStr">
        <is>
          <t>Av. Cipriano Rodrigues, 27</t>
        </is>
      </c>
      <c r="C138" t="inlineStr">
        <is>
          <t>Ref.: R. Diomar Ackel</t>
        </is>
      </c>
      <c r="D138" s="58" t="n">
        <v>-23.576219</v>
      </c>
      <c r="E138" s="58" t="n">
        <v>-46.527823</v>
      </c>
    </row>
    <row r="139">
      <c r="A139" t="n">
        <v>404592</v>
      </c>
      <c r="B139" t="inlineStr">
        <is>
          <t>Av. Cipriano Rodrigues, 908</t>
        </is>
      </c>
      <c r="C139" t="inlineStr">
        <is>
          <t>Ref.: R Aurora Das Dores</t>
        </is>
      </c>
      <c r="D139" s="58" t="n">
        <v>-23.577026</v>
      </c>
      <c r="E139" s="58" t="n">
        <v>-46.525923</v>
      </c>
    </row>
    <row r="140">
      <c r="A140" t="n">
        <v>404595</v>
      </c>
      <c r="B140" t="inlineStr">
        <is>
          <t>Av. Cipriano Rodrigues, 1160</t>
        </is>
      </c>
      <c r="C140" t="inlineStr">
        <is>
          <t>Ref.: R Manoel Moreira Lopes</t>
        </is>
      </c>
      <c r="D140" s="58" t="n">
        <v>-23.576888</v>
      </c>
      <c r="E140" s="58" t="n">
        <v>-46.5238</v>
      </c>
    </row>
    <row r="141">
      <c r="A141" t="n">
        <v>404596</v>
      </c>
      <c r="B141" t="inlineStr">
        <is>
          <t>Av. Cipriano Rodrigues, 67</t>
        </is>
      </c>
      <c r="C141" t="inlineStr">
        <is>
          <t>Ref.: Praça Padre Nelson José Nigrist</t>
        </is>
      </c>
      <c r="D141" s="58" t="n">
        <v>-23.576676</v>
      </c>
      <c r="E141" s="58" t="n">
        <v>-46.521971</v>
      </c>
    </row>
    <row r="142">
      <c r="A142" t="n">
        <v>404597</v>
      </c>
      <c r="B142" t="inlineStr">
        <is>
          <t>Av. Cipriano Rodrigues, 133</t>
        </is>
      </c>
      <c r="C142" t="inlineStr">
        <is>
          <t>Ref.: Rua Floriza</t>
        </is>
      </c>
      <c r="D142" s="58" t="n">
        <v>-23.576299</v>
      </c>
      <c r="E142" s="58" t="n">
        <v>-46.521375</v>
      </c>
    </row>
    <row r="143">
      <c r="A143" t="n">
        <v>404598</v>
      </c>
      <c r="B143" t="inlineStr">
        <is>
          <t>Av. Dos Nacionalistas, 347</t>
        </is>
      </c>
      <c r="C143" t="inlineStr">
        <is>
          <t>Ref.: R Manoel Luiz De Vergueiro</t>
        </is>
      </c>
      <c r="D143" s="58" t="n">
        <v>-23.576619</v>
      </c>
      <c r="E143" s="58" t="n">
        <v>-46.51706</v>
      </c>
    </row>
    <row r="144">
      <c r="A144" t="n">
        <v>404599</v>
      </c>
      <c r="B144" t="inlineStr">
        <is>
          <t>Av. Dos Nacionalistas, 386</t>
        </is>
      </c>
      <c r="C144" t="inlineStr">
        <is>
          <t>Ref.: Av Inconfidencia Mineira</t>
        </is>
      </c>
      <c r="D144" s="58" t="n">
        <v>-23.576674</v>
      </c>
      <c r="E144" s="58" t="n">
        <v>-46.516937</v>
      </c>
    </row>
    <row r="145">
      <c r="A145" t="n">
        <v>404602</v>
      </c>
      <c r="B145" t="inlineStr">
        <is>
          <t>Av. Dos Nacionalistas, 459</t>
        </is>
      </c>
      <c r="C145" t="inlineStr">
        <is>
          <t>Ref.: Av Inconfidencia Mineira</t>
        </is>
      </c>
      <c r="D145" s="58" t="n">
        <v>-23.577057</v>
      </c>
      <c r="E145" s="58" t="n">
        <v>-46.515625</v>
      </c>
    </row>
    <row r="146">
      <c r="A146" t="n">
        <v>404643</v>
      </c>
      <c r="B146" t="inlineStr">
        <is>
          <t>Av. Dos Nacionalistas, 640</t>
        </is>
      </c>
      <c r="C146" t="inlineStr">
        <is>
          <t>Ref.: R Ricardo Gumbleton Daunt</t>
        </is>
      </c>
      <c r="D146" s="58" t="n">
        <v>-23.577613</v>
      </c>
      <c r="E146" s="58" t="n">
        <v>-46.514679</v>
      </c>
    </row>
    <row r="147">
      <c r="A147" t="n">
        <v>404724</v>
      </c>
      <c r="B147" t="inlineStr">
        <is>
          <t>Av. Pst. Cicero Canuto De Lima, 762</t>
        </is>
      </c>
      <c r="C147" t="inlineStr">
        <is>
          <t>Ref.: R Miguel Da Gama</t>
        </is>
      </c>
      <c r="D147" s="58" t="n">
        <v>-23.580063</v>
      </c>
      <c r="E147" s="58" t="n">
        <v>-46.504954</v>
      </c>
    </row>
    <row r="148">
      <c r="A148" t="n">
        <v>404729</v>
      </c>
      <c r="B148" t="inlineStr">
        <is>
          <t>Av. Pst. Cicero Canuto De Lima, 249</t>
        </is>
      </c>
      <c r="C148" t="inlineStr">
        <is>
          <t>Ref.: R Aparecida De São Manoel</t>
        </is>
      </c>
      <c r="D148" s="58" t="n">
        <v>-23.579897</v>
      </c>
      <c r="E148" s="58" t="n">
        <v>-46.510115</v>
      </c>
    </row>
    <row r="149">
      <c r="A149" t="n">
        <v>404732</v>
      </c>
      <c r="B149" t="inlineStr">
        <is>
          <t>Av. Pst. Cicero Canuto De Lima, 285</t>
        </is>
      </c>
      <c r="C149" t="inlineStr">
        <is>
          <t>Ref.: Pça. Eulálio De Carvalho</t>
        </is>
      </c>
      <c r="D149" s="58" t="n">
        <v>-23.580064</v>
      </c>
      <c r="E149" s="58" t="n">
        <v>-46.509688</v>
      </c>
    </row>
    <row r="150">
      <c r="A150" t="n">
        <v>404733</v>
      </c>
      <c r="B150" t="inlineStr">
        <is>
          <t>Av. Pst. Cicero Canuto De Lima, 10</t>
        </is>
      </c>
      <c r="C150" t="inlineStr">
        <is>
          <t>Ref.: Rluciara</t>
        </is>
      </c>
      <c r="D150" s="58" t="n">
        <v>-23.579372</v>
      </c>
      <c r="E150" s="58" t="n">
        <v>-46.512368</v>
      </c>
    </row>
    <row r="151">
      <c r="A151" t="n">
        <v>404734</v>
      </c>
      <c r="B151" t="inlineStr">
        <is>
          <t>Av. Dos Nacionalistas, 920</t>
        </is>
      </c>
      <c r="C151" t="inlineStr">
        <is>
          <t>Ref.: R Bonifacio Gomes Siqueira</t>
        </is>
      </c>
      <c r="D151" s="58" t="n">
        <v>-23.579305</v>
      </c>
      <c r="E151" s="58" t="n">
        <v>-46.512646</v>
      </c>
    </row>
    <row r="152">
      <c r="A152" t="n">
        <v>404735</v>
      </c>
      <c r="B152" t="inlineStr">
        <is>
          <t>R. Dos Fonsecas, 171</t>
        </is>
      </c>
      <c r="C152" t="inlineStr">
        <is>
          <t>Ref.: Rua Bugio Vermelho / Rua Padre Cicero Canuto De Lima</t>
        </is>
      </c>
      <c r="D152" s="58" t="n">
        <v>-23.579529</v>
      </c>
      <c r="E152" s="58" t="n">
        <v>-46.50797</v>
      </c>
    </row>
    <row r="153">
      <c r="A153" t="n">
        <v>408848</v>
      </c>
      <c r="B153" t="inlineStr">
        <is>
          <t>Av. Aricanduva, 4630</t>
        </is>
      </c>
      <c r="C153" t="inlineStr">
        <is>
          <t>Ref.: R Haroldo Piccina</t>
        </is>
      </c>
      <c r="D153" s="58" t="n">
        <v>-23.560734</v>
      </c>
      <c r="E153" s="58" t="n">
        <v>-46.512483</v>
      </c>
    </row>
    <row r="154">
      <c r="A154" t="n">
        <v>408991</v>
      </c>
      <c r="B154" t="inlineStr">
        <is>
          <t>R. Tuma Maluly, 85</t>
        </is>
      </c>
      <c r="C154" t="inlineStr">
        <is>
          <t>Ref.: R Olivia Trindade</t>
        </is>
      </c>
      <c r="D154" s="58" t="n">
        <v>-23.585337</v>
      </c>
      <c r="E154" s="58" t="n">
        <v>-46.510767</v>
      </c>
    </row>
    <row r="155">
      <c r="A155" t="n">
        <v>408997</v>
      </c>
      <c r="B155" t="inlineStr">
        <is>
          <t>Av. Pst. Cicero Canuto De Lima, 489</t>
        </is>
      </c>
      <c r="C155" t="inlineStr">
        <is>
          <t>Ref.: Igreja Universal</t>
        </is>
      </c>
      <c r="D155" s="58" t="n">
        <v>-23.579998</v>
      </c>
      <c r="E155" s="58" t="n">
        <v>-46.507414</v>
      </c>
    </row>
    <row r="156">
      <c r="A156" t="n">
        <v>409027</v>
      </c>
      <c r="B156" t="inlineStr">
        <is>
          <t>R. Tuma Maluly, 87</t>
        </is>
      </c>
      <c r="C156" t="inlineStr">
        <is>
          <t>Ref.: Av. Barreira Grande</t>
        </is>
      </c>
      <c r="D156" s="58" t="n">
        <v>-23.588897</v>
      </c>
      <c r="E156" s="58" t="n">
        <v>-46.509992</v>
      </c>
    </row>
    <row r="157">
      <c r="A157" t="n">
        <v>409048</v>
      </c>
      <c r="B157" t="inlineStr">
        <is>
          <t>Parada 2</t>
        </is>
      </c>
      <c r="C157" t="inlineStr">
        <is>
          <t>Av. Aricanduva, 5200 Ref.: Av. Principal</t>
        </is>
      </c>
      <c r="D157" s="58" t="n">
        <v>-23.565542</v>
      </c>
      <c r="E157" s="58" t="n">
        <v>-46.507817</v>
      </c>
    </row>
    <row r="158">
      <c r="A158" t="n">
        <v>409058</v>
      </c>
      <c r="B158" t="inlineStr">
        <is>
          <t>R. Nello Selmi Dei, 44</t>
        </is>
      </c>
      <c r="C158" t="inlineStr">
        <is>
          <t>Ref.: Praça Eulálio De Carvalho</t>
        </is>
      </c>
      <c r="D158" s="58" t="n">
        <v>-23.580389</v>
      </c>
      <c r="E158" s="58" t="n">
        <v>-46.509825</v>
      </c>
    </row>
    <row r="159">
      <c r="A159" t="n">
        <v>409063</v>
      </c>
      <c r="B159" t="inlineStr">
        <is>
          <t>R. Amélia Vanso Magnoli, 120</t>
        </is>
      </c>
      <c r="C159" t="inlineStr">
        <is>
          <t>Ref.: Av Barreira Grande/ R Frederico Quércia</t>
        </is>
      </c>
      <c r="D159" s="58" t="n">
        <v>-23.588049</v>
      </c>
      <c r="E159" s="58" t="n">
        <v>-46.508926</v>
      </c>
    </row>
    <row r="160">
      <c r="A160" t="n">
        <v>409070</v>
      </c>
      <c r="B160" t="inlineStr">
        <is>
          <t>R. Amélia Vanso Magnoli, 310</t>
        </is>
      </c>
      <c r="C160" t="inlineStr">
        <is>
          <t>Ref.: Rua Eduardo Palmério</t>
        </is>
      </c>
      <c r="D160" s="58" t="n">
        <v>-23.585432</v>
      </c>
      <c r="E160" s="58" t="n">
        <v>-46.507579</v>
      </c>
    </row>
    <row r="161">
      <c r="A161" t="n">
        <v>409071</v>
      </c>
      <c r="B161" t="inlineStr">
        <is>
          <t>R. Rufino Fernandes Inivarri, 69</t>
        </is>
      </c>
      <c r="C161" t="inlineStr">
        <is>
          <t>Ref.: Rua José De Sarabia</t>
        </is>
      </c>
      <c r="D161" s="58" t="n">
        <v>-23.587573</v>
      </c>
      <c r="E161" s="58" t="n">
        <v>-46.506418</v>
      </c>
    </row>
    <row r="162">
      <c r="A162" t="n">
        <v>409077</v>
      </c>
      <c r="B162" t="inlineStr">
        <is>
          <t>R. Nello Selmi Dei, 32</t>
        </is>
      </c>
      <c r="C162" t="inlineStr">
        <is>
          <t>Ref.: Praca Eulálio De Carvalho</t>
        </is>
      </c>
      <c r="D162" s="58" t="n">
        <v>-23.58075</v>
      </c>
      <c r="E162" s="58" t="n">
        <v>-46.50974</v>
      </c>
    </row>
    <row r="163">
      <c r="A163" t="n">
        <v>409079</v>
      </c>
      <c r="B163" t="inlineStr">
        <is>
          <t>R. Nello Selmi Dei, 20</t>
        </is>
      </c>
      <c r="C163" t="inlineStr">
        <is>
          <t>Ref.: Praça Antonio Alves Villares Da Silva</t>
        </is>
      </c>
      <c r="D163" s="58" t="n">
        <v>-23.581594</v>
      </c>
      <c r="E163" s="58" t="n">
        <v>-46.509708</v>
      </c>
    </row>
    <row r="164">
      <c r="A164" t="n">
        <v>409080</v>
      </c>
      <c r="B164" t="inlineStr">
        <is>
          <t>Av. Inconfidência Mineira, 375</t>
        </is>
      </c>
      <c r="C164" t="inlineStr">
        <is>
          <t>Ref.: Rua Azival / Rua Alfaro</t>
        </is>
      </c>
      <c r="D164" s="58" t="n">
        <v>-23.582101</v>
      </c>
      <c r="E164" s="58" t="n">
        <v>-46.518811</v>
      </c>
    </row>
    <row r="165">
      <c r="A165" t="n">
        <v>409084</v>
      </c>
      <c r="B165" t="inlineStr">
        <is>
          <t>R. Nello Selmi Dei, 254</t>
        </is>
      </c>
      <c r="C165" t="inlineStr">
        <is>
          <t>Ref.: Rua Maria Laura Figueiredo</t>
        </is>
      </c>
      <c r="D165" s="58" t="n">
        <v>-23.582764</v>
      </c>
      <c r="E165" s="58" t="n">
        <v>-46.509729</v>
      </c>
    </row>
    <row r="166">
      <c r="A166" t="n">
        <v>614606</v>
      </c>
      <c r="B166" t="inlineStr">
        <is>
          <t>Palmeiras - Barra Funda</t>
        </is>
      </c>
      <c r="D166" s="58" t="n">
        <v>-23.525282</v>
      </c>
      <c r="E166" s="58" t="n">
        <v>-46.667175</v>
      </c>
    </row>
    <row r="167">
      <c r="A167" t="n">
        <v>809564</v>
      </c>
      <c r="B167" t="inlineStr">
        <is>
          <t>R. Pe. Adelino, 1119</t>
        </is>
      </c>
      <c r="C167" t="inlineStr">
        <is>
          <t>Ref.: Rua Uriel Gaspar</t>
        </is>
      </c>
      <c r="D167" s="58" t="n">
        <v>-23.543841</v>
      </c>
      <c r="E167" s="58" t="n">
        <v>-46.583066</v>
      </c>
    </row>
    <row r="168">
      <c r="A168" t="n">
        <v>809671</v>
      </c>
      <c r="B168" t="inlineStr">
        <is>
          <t>R. Serra Da Bocaina, 320</t>
        </is>
      </c>
      <c r="C168" t="inlineStr">
        <is>
          <t>Ref.: Rua Bebedouro</t>
        </is>
      </c>
      <c r="D168" s="58" t="n">
        <v>-23.546475</v>
      </c>
      <c r="E168" s="58" t="n">
        <v>-46.588252</v>
      </c>
    </row>
    <row r="169">
      <c r="A169" t="n">
        <v>809675</v>
      </c>
      <c r="B169" t="inlineStr">
        <is>
          <t>Av. Álvaro Ramos, 779</t>
        </is>
      </c>
      <c r="C169" t="inlineStr">
        <is>
          <t>Ref.: 778 Av Alcantara Machado</t>
        </is>
      </c>
      <c r="D169" s="58" t="n">
        <v>-23.544156</v>
      </c>
      <c r="E169" s="58" t="n">
        <v>-46.586279</v>
      </c>
    </row>
    <row r="170">
      <c r="A170" t="n">
        <v>810534</v>
      </c>
      <c r="B170" t="inlineStr">
        <is>
          <t>Av. Ariston De Azevedo, 75</t>
        </is>
      </c>
      <c r="D170" s="58" t="n">
        <v>-23.528195</v>
      </c>
      <c r="E170" s="58" t="n">
        <v>-46.601933</v>
      </c>
    </row>
    <row r="171">
      <c r="A171" t="n">
        <v>810536</v>
      </c>
      <c r="B171" t="inlineStr">
        <is>
          <t>Pça. Gen. Humberto Souza Mello, 56</t>
        </is>
      </c>
      <c r="D171" s="58" t="n">
        <v>-23.530694</v>
      </c>
      <c r="E171" s="58" t="n">
        <v>-46.602342</v>
      </c>
    </row>
    <row r="172">
      <c r="A172" t="n">
        <v>810556</v>
      </c>
      <c r="B172" t="inlineStr">
        <is>
          <t>R. Serra Da Bocaina, 126</t>
        </is>
      </c>
      <c r="C172" t="inlineStr">
        <is>
          <t>Ref.: Rua Siqueira Bueno</t>
        </is>
      </c>
      <c r="D172" s="58" t="n">
        <v>-23.546963</v>
      </c>
      <c r="E172" s="58" t="n">
        <v>-46.590586</v>
      </c>
    </row>
    <row r="173">
      <c r="A173" t="n">
        <v>810586</v>
      </c>
      <c r="B173" t="inlineStr">
        <is>
          <t>R. Paulo Andrighetti, 55</t>
        </is>
      </c>
      <c r="D173" s="58" t="n">
        <v>-23.529035</v>
      </c>
      <c r="E173" s="58" t="n">
        <v>-46.603469</v>
      </c>
    </row>
    <row r="174">
      <c r="A174" t="n">
        <v>810588</v>
      </c>
      <c r="B174" t="inlineStr">
        <is>
          <t>Pça. Gen. Humberto Souza Mello, 893</t>
        </is>
      </c>
      <c r="D174" s="58" t="n">
        <v>-23.53034</v>
      </c>
      <c r="E174" s="58" t="n">
        <v>-46.603067</v>
      </c>
    </row>
    <row r="175">
      <c r="A175" t="n">
        <v>810602</v>
      </c>
      <c r="B175" t="inlineStr">
        <is>
          <t>R. Sta. Rita, 56</t>
        </is>
      </c>
      <c r="C175" t="inlineStr">
        <is>
          <t>Ref.: R. Bresser / R. João Boemer</t>
        </is>
      </c>
      <c r="D175" s="58" t="n">
        <v>-23.53337</v>
      </c>
      <c r="E175" s="58" t="n">
        <v>-46.612293</v>
      </c>
    </row>
    <row r="176">
      <c r="A176" t="n">
        <v>810610</v>
      </c>
      <c r="B176" t="inlineStr">
        <is>
          <t>R. Pe. Adelino, 273</t>
        </is>
      </c>
      <c r="C176" t="inlineStr">
        <is>
          <t>Ref.: Largo Ubirajara</t>
        </is>
      </c>
      <c r="D176" s="58" t="n">
        <v>-23.545368</v>
      </c>
      <c r="E176" s="58" t="n">
        <v>-46.591179</v>
      </c>
    </row>
    <row r="177">
      <c r="A177" t="n">
        <v>810612</v>
      </c>
      <c r="B177" t="inlineStr">
        <is>
          <t>Av. Alcântara Machado, 4290</t>
        </is>
      </c>
      <c r="C177" t="inlineStr">
        <is>
          <t>Ref.: Av. Alvaros Ramos</t>
        </is>
      </c>
      <c r="D177" s="58" t="n">
        <v>-23.542954</v>
      </c>
      <c r="E177" s="58" t="n">
        <v>-46.584677</v>
      </c>
    </row>
    <row r="178">
      <c r="A178" t="n">
        <v>810613</v>
      </c>
      <c r="B178" t="inlineStr">
        <is>
          <t>R. Pe. Adelino, 855</t>
        </is>
      </c>
      <c r="C178" t="inlineStr">
        <is>
          <t>Ref.: Rua Alvaro Ramos / Hospital Centyral Tatuapé</t>
        </is>
      </c>
      <c r="D178" s="58" t="n">
        <v>-23.544356</v>
      </c>
      <c r="E178" s="58" t="n">
        <v>-46.585917</v>
      </c>
    </row>
    <row r="179">
      <c r="A179" t="n">
        <v>810614</v>
      </c>
      <c r="B179" t="inlineStr">
        <is>
          <t>Av. Guilherme Cotching, 133</t>
        </is>
      </c>
      <c r="C179" t="inlineStr">
        <is>
          <t>Ref.: R. Juvenal Gomes Coimbra</t>
        </is>
      </c>
      <c r="D179" s="58" t="n">
        <v>-23.529256</v>
      </c>
      <c r="E179" s="58" t="n">
        <v>-46.598113</v>
      </c>
    </row>
    <row r="180">
      <c r="A180" t="n">
        <v>910803</v>
      </c>
      <c r="B180" t="inlineStr">
        <is>
          <t>R. Neves De Carvalho, 780</t>
        </is>
      </c>
      <c r="C180" t="inlineStr">
        <is>
          <t>Ref.: Rua Ubatim/praça Antonio Carlos Cordeiro</t>
        </is>
      </c>
      <c r="D180" s="58" t="n">
        <v>-23.518982</v>
      </c>
      <c r="E180" s="58" t="n">
        <v>-46.650258</v>
      </c>
    </row>
    <row r="181">
      <c r="A181" t="n">
        <v>910810</v>
      </c>
      <c r="B181" t="inlineStr">
        <is>
          <t>R. Visc. De Taunay, 610</t>
        </is>
      </c>
      <c r="C181" t="inlineStr">
        <is>
          <t>Ref.: R. Sérgio Tomás</t>
        </is>
      </c>
      <c r="D181" s="58" t="n">
        <v>-23.52207</v>
      </c>
      <c r="E181" s="58" t="n">
        <v>-46.649443</v>
      </c>
    </row>
    <row r="182">
      <c r="A182" t="n">
        <v>910811</v>
      </c>
      <c r="B182" t="inlineStr">
        <is>
          <t>R. Anhaia, 955</t>
        </is>
      </c>
      <c r="C182" t="inlineStr">
        <is>
          <t>Ref.: R. Javaés</t>
        </is>
      </c>
      <c r="D182" s="58" t="n">
        <v>-23.522139</v>
      </c>
      <c r="E182" s="58" t="n">
        <v>-46.646257</v>
      </c>
    </row>
    <row r="183">
      <c r="A183" t="n">
        <v>910813</v>
      </c>
      <c r="B183" t="inlineStr">
        <is>
          <t>Av. Santos Dumont, 1318</t>
        </is>
      </c>
      <c r="C183" t="inlineStr">
        <is>
          <t>Ref.: Centro Esportivo Santana</t>
        </is>
      </c>
      <c r="D183" s="58" t="n">
        <v>-23.516163</v>
      </c>
      <c r="E183" s="58" t="n">
        <v>-46.629538</v>
      </c>
    </row>
    <row r="184">
      <c r="A184" t="n">
        <v>910817</v>
      </c>
      <c r="B184" t="inlineStr">
        <is>
          <t>R. Barra Do Tibagi, 810</t>
        </is>
      </c>
      <c r="C184" t="inlineStr">
        <is>
          <t>Ref.: R. Neves De Carvalho</t>
        </is>
      </c>
      <c r="D184" s="58" t="n">
        <v>-23.524926</v>
      </c>
      <c r="E184" s="58" t="n">
        <v>-46.645837</v>
      </c>
    </row>
    <row r="185">
      <c r="A185" t="n">
        <v>910818</v>
      </c>
      <c r="B185" t="inlineStr">
        <is>
          <t>R. Anhaia, 1321</t>
        </is>
      </c>
      <c r="D185" s="58" t="n">
        <v>-23.519261</v>
      </c>
      <c r="E185" s="58" t="n">
        <v>-46.647887</v>
      </c>
    </row>
    <row r="186">
      <c r="A186" t="n">
        <v>910819</v>
      </c>
      <c r="B186" t="inlineStr">
        <is>
          <t>R. José Paulino, 880</t>
        </is>
      </c>
      <c r="C186" t="inlineStr">
        <is>
          <t>Ref.: R. Tte. Pena / R. Júlio Conceição -- Ubs Bom Retiro</t>
        </is>
      </c>
      <c r="D186" s="58" t="n">
        <v>-23.526766</v>
      </c>
      <c r="E186" s="58" t="n">
        <v>-46.641281</v>
      </c>
    </row>
    <row r="187">
      <c r="A187" t="n">
        <v>910822</v>
      </c>
      <c r="B187" t="inlineStr">
        <is>
          <t>Tea</t>
        </is>
      </c>
      <c r="C187" t="inlineStr">
        <is>
          <t>Av. Santos Dumont Ref.: Pte. Das Bandeiras / Tea</t>
        </is>
      </c>
      <c r="D187" s="58" t="n">
        <v>-23.517704</v>
      </c>
      <c r="E187" s="58" t="n">
        <v>-46.629774</v>
      </c>
    </row>
    <row r="188">
      <c r="A188" t="n">
        <v>1009854</v>
      </c>
      <c r="B188" t="inlineStr">
        <is>
          <t>R. João Teodoro, 1075</t>
        </is>
      </c>
      <c r="C188" t="inlineStr">
        <is>
          <t>Ref.: R Valtier</t>
        </is>
      </c>
      <c r="D188" s="58" t="n">
        <v>-23.534964</v>
      </c>
      <c r="E188" s="58" t="n">
        <v>-46.622236</v>
      </c>
    </row>
    <row r="189">
      <c r="A189" t="n">
        <v>1010053</v>
      </c>
      <c r="B189" t="inlineStr">
        <is>
          <t>Brás</t>
        </is>
      </c>
      <c r="D189" s="58" t="n">
        <v>-23.545582</v>
      </c>
      <c r="E189" s="58" t="n">
        <v>-46.616314</v>
      </c>
    </row>
    <row r="190">
      <c r="A190" t="n">
        <v>1010054</v>
      </c>
      <c r="B190" t="inlineStr">
        <is>
          <t>Brás</t>
        </is>
      </c>
      <c r="D190" s="58" t="n">
        <v>-23.547751</v>
      </c>
      <c r="E190" s="58" t="n">
        <v>-46.616127</v>
      </c>
    </row>
    <row r="191">
      <c r="A191" t="n">
        <v>1010076</v>
      </c>
      <c r="B191" t="inlineStr">
        <is>
          <t>Av. Alcântara Machado, 773</t>
        </is>
      </c>
      <c r="C191" t="inlineStr">
        <is>
          <t>Ref.: Lateral Do Vd. Alcântara Machado</t>
        </is>
      </c>
      <c r="D191" s="58" t="n">
        <v>-23.552358</v>
      </c>
      <c r="E191" s="58" t="n">
        <v>-46.617495</v>
      </c>
    </row>
    <row r="192">
      <c r="A192" t="n">
        <v>1010082</v>
      </c>
      <c r="B192" t="inlineStr">
        <is>
          <t>R. Da Figueira, 249</t>
        </is>
      </c>
      <c r="D192" s="58" t="n">
        <v>-23.547143</v>
      </c>
      <c r="E192" s="58" t="n">
        <v>-46.626495</v>
      </c>
    </row>
    <row r="193">
      <c r="A193" t="n">
        <v>1010092</v>
      </c>
      <c r="B193" t="inlineStr">
        <is>
          <t>Parada Caetano Pinto</t>
        </is>
      </c>
      <c r="C193" t="inlineStr">
        <is>
          <t>Av. Rangel Pestana, 1249 Ref.: Rua Caetano Pinto/rua Prof. Batista De Andrade</t>
        </is>
      </c>
      <c r="D193" s="58" t="n">
        <v>-23.546153</v>
      </c>
      <c r="E193" s="58" t="n">
        <v>-46.622181</v>
      </c>
    </row>
    <row r="194">
      <c r="A194" t="n">
        <v>1010093</v>
      </c>
      <c r="B194" t="inlineStr">
        <is>
          <t>Parada Piratininga</t>
        </is>
      </c>
      <c r="C194" t="inlineStr">
        <is>
          <t>Av. Rangel Pestana, 1479 Ref.: Rua Monsenhor Andrade</t>
        </is>
      </c>
      <c r="D194" s="58" t="n">
        <v>-23.545098</v>
      </c>
      <c r="E194" s="58" t="n">
        <v>-46.62006</v>
      </c>
    </row>
    <row r="195">
      <c r="A195" t="n">
        <v>1010105</v>
      </c>
      <c r="B195" t="inlineStr">
        <is>
          <t>R. João Teodoro, 808</t>
        </is>
      </c>
      <c r="C195" t="inlineStr">
        <is>
          <t>Ref.: Avenida Do Estado / Rua Canindé</t>
        </is>
      </c>
      <c r="D195" s="58" t="n">
        <v>-23.534377</v>
      </c>
      <c r="E195" s="58" t="n">
        <v>-46.624791</v>
      </c>
    </row>
    <row r="196">
      <c r="A196" t="n">
        <v>1010107</v>
      </c>
      <c r="B196" t="inlineStr">
        <is>
          <t>Av. Alcântara Machado, 91</t>
        </is>
      </c>
      <c r="D196" s="58" t="n">
        <v>-23.551551</v>
      </c>
      <c r="E196" s="58" t="n">
        <v>-46.624211</v>
      </c>
    </row>
    <row r="197">
      <c r="A197" t="n">
        <v>1211339</v>
      </c>
      <c r="B197" t="inlineStr">
        <is>
          <t>Butantã</t>
        </is>
      </c>
      <c r="D197" s="58" t="n">
        <v>-23.571874</v>
      </c>
      <c r="E197" s="58" t="n">
        <v>-46.708048</v>
      </c>
    </row>
    <row r="198">
      <c r="A198" t="n">
        <v>1211401</v>
      </c>
      <c r="B198" t="inlineStr">
        <is>
          <t>São Paulo - Morumbi</t>
        </is>
      </c>
      <c r="D198" s="58" t="n">
        <v>-23.586132</v>
      </c>
      <c r="E198" s="58" t="n">
        <v>-46.723471</v>
      </c>
    </row>
    <row r="199">
      <c r="A199" t="n">
        <v>1313408</v>
      </c>
      <c r="B199" t="inlineStr">
        <is>
          <t>R. Gomes Leal, 56</t>
        </is>
      </c>
      <c r="C199" t="inlineStr">
        <is>
          <t>Ref.: R Nicolau Tolentino De Almeida</t>
        </is>
      </c>
      <c r="D199" s="58" t="n">
        <v>-23.467819</v>
      </c>
      <c r="E199" s="58" t="n">
        <v>-46.666942</v>
      </c>
    </row>
    <row r="200">
      <c r="A200" t="n">
        <v>1313431</v>
      </c>
      <c r="B200" t="inlineStr">
        <is>
          <t>Av. Masao Watanabe, 439</t>
        </is>
      </c>
      <c r="C200" t="inlineStr">
        <is>
          <t>Ref.: 440 R Cachoeira Alegre</t>
        </is>
      </c>
      <c r="D200" s="58" t="n">
        <v>-23.463232</v>
      </c>
      <c r="E200" s="58" t="n">
        <v>-46.665916</v>
      </c>
    </row>
    <row r="201">
      <c r="A201" t="n">
        <v>1313502</v>
      </c>
      <c r="B201" t="inlineStr">
        <is>
          <t>Av. Parada Pinto, 1161</t>
        </is>
      </c>
      <c r="D201" s="58" t="n">
        <v>-23.469648</v>
      </c>
      <c r="E201" s="58" t="n">
        <v>-46.659173</v>
      </c>
    </row>
    <row r="202">
      <c r="A202" t="n">
        <v>1313520</v>
      </c>
      <c r="B202" t="inlineStr">
        <is>
          <t>R. Min. Lins De Barros, 394</t>
        </is>
      </c>
      <c r="C202" t="inlineStr">
        <is>
          <t>Ref.: Rua José Maria Peixoto</t>
        </is>
      </c>
      <c r="D202" s="58" t="n">
        <v>-23.45795</v>
      </c>
      <c r="E202" s="58" t="n">
        <v>-46.667552</v>
      </c>
    </row>
    <row r="203">
      <c r="A203" t="n">
        <v>1313531</v>
      </c>
      <c r="B203" t="inlineStr">
        <is>
          <t>R. Gomes Leal, 300</t>
        </is>
      </c>
      <c r="C203" t="inlineStr">
        <is>
          <t>Ref.: R Nicolau Tolentino De Almeida / R Fernando Pessoa</t>
        </is>
      </c>
      <c r="D203" s="58" t="n">
        <v>-23.467032</v>
      </c>
      <c r="E203" s="58" t="n">
        <v>-46.664713</v>
      </c>
    </row>
    <row r="204">
      <c r="A204" t="n">
        <v>1313535</v>
      </c>
      <c r="B204" t="inlineStr">
        <is>
          <t>R. Dario Vilares Barbosa, 1001</t>
        </is>
      </c>
      <c r="D204" s="58" t="n">
        <v>-23.453453</v>
      </c>
      <c r="E204" s="58" t="n">
        <v>-46.671732</v>
      </c>
    </row>
    <row r="205">
      <c r="A205" t="n">
        <v>1313574</v>
      </c>
      <c r="B205" t="inlineStr">
        <is>
          <t>R. Vinte E Oito De Janeiro, 372</t>
        </is>
      </c>
      <c r="D205" s="58" t="n">
        <v>-23.467926</v>
      </c>
      <c r="E205" s="58" t="n">
        <v>-46.65972</v>
      </c>
    </row>
    <row r="206">
      <c r="A206" t="n">
        <v>1313576</v>
      </c>
      <c r="B206" t="inlineStr">
        <is>
          <t>R. Vinte E Oito De Janeiro, 372</t>
        </is>
      </c>
      <c r="C206" t="inlineStr">
        <is>
          <t>Ref.: Rua Vinte E Dois De Agosto</t>
        </is>
      </c>
      <c r="D206" s="58" t="n">
        <v>-23.468368</v>
      </c>
      <c r="E206" s="58" t="n">
        <v>-46.659048</v>
      </c>
    </row>
    <row r="207">
      <c r="A207" t="n">
        <v>1313579</v>
      </c>
      <c r="B207" t="inlineStr">
        <is>
          <t>R. Vinte E Oito De Janeiro, 119</t>
        </is>
      </c>
      <c r="C207" t="inlineStr">
        <is>
          <t>Ref.: Rua Maria De São José Cunha</t>
        </is>
      </c>
      <c r="D207" s="58" t="n">
        <v>-23.468755</v>
      </c>
      <c r="E207" s="58" t="n">
        <v>-46.657053</v>
      </c>
    </row>
    <row r="208">
      <c r="A208" t="n">
        <v>1502886</v>
      </c>
      <c r="B208" t="inlineStr">
        <is>
          <t>Av. Washington Luiz, 6372</t>
        </is>
      </c>
      <c r="C208" t="inlineStr">
        <is>
          <t>Ref.: Pc Cmte.lineu Gomes</t>
        </is>
      </c>
      <c r="D208" s="58" t="n">
        <v>-23.627932</v>
      </c>
      <c r="E208" s="58" t="n">
        <v>-46.66177</v>
      </c>
    </row>
    <row r="209">
      <c r="A209" t="n">
        <v>1506179</v>
      </c>
      <c r="B209" t="inlineStr">
        <is>
          <t>Av. Washington Luiz, 5320</t>
        </is>
      </c>
      <c r="C209" t="inlineStr">
        <is>
          <t>Ref.: Rua Viaza</t>
        </is>
      </c>
      <c r="D209" s="58" t="n">
        <v>-23.632132</v>
      </c>
      <c r="E209" s="58" t="n">
        <v>-46.668867</v>
      </c>
    </row>
    <row r="210">
      <c r="A210" t="n">
        <v>1506207</v>
      </c>
      <c r="B210" t="inlineStr">
        <is>
          <t>Av. Washington Luiz, 5955</t>
        </is>
      </c>
      <c r="C210" t="inlineStr">
        <is>
          <t>Ref.: R. Braz Arzão / R. Pe. Leonardo</t>
        </is>
      </c>
      <c r="D210" s="58" t="n">
        <v>-23.629078</v>
      </c>
      <c r="E210" s="58" t="n">
        <v>-46.666178</v>
      </c>
    </row>
    <row r="211">
      <c r="A211" t="n">
        <v>1506210</v>
      </c>
      <c r="B211" t="inlineStr">
        <is>
          <t>Av. Washington Luiz, 6542</t>
        </is>
      </c>
      <c r="C211" t="inlineStr">
        <is>
          <t>Ref.: Pça. Cte. Lineu Gomes</t>
        </is>
      </c>
      <c r="D211" s="58" t="n">
        <v>-23.626496</v>
      </c>
      <c r="E211" s="58" t="n">
        <v>-46.661356</v>
      </c>
    </row>
    <row r="212">
      <c r="A212" t="n">
        <v>1506216</v>
      </c>
      <c r="B212" t="inlineStr">
        <is>
          <t>Av. Washington Luiz, 6415</t>
        </is>
      </c>
      <c r="C212" t="inlineStr">
        <is>
          <t>Ref.: Rua Vieira De Morais</t>
        </is>
      </c>
      <c r="D212" s="58" t="n">
        <v>-23.626584</v>
      </c>
      <c r="E212" s="58" t="n">
        <v>-46.66171</v>
      </c>
    </row>
    <row r="213">
      <c r="A213" t="n">
        <v>1506220</v>
      </c>
      <c r="B213" t="inlineStr">
        <is>
          <t>Vereador José Diniz</t>
        </is>
      </c>
      <c r="D213" s="58" t="n">
        <v>-23.62209</v>
      </c>
      <c r="E213" s="58" t="n">
        <v>-46.678848</v>
      </c>
    </row>
    <row r="214">
      <c r="A214" t="n">
        <v>1506221</v>
      </c>
      <c r="B214" t="inlineStr">
        <is>
          <t>Brooklin Paulista</t>
        </is>
      </c>
      <c r="D214" s="58" t="n">
        <v>-23.629637</v>
      </c>
      <c r="E214" s="58" t="n">
        <v>-46.673561</v>
      </c>
    </row>
    <row r="215">
      <c r="A215" t="n">
        <v>1506222</v>
      </c>
      <c r="B215" t="inlineStr">
        <is>
          <t>Aeroporto De Congonhas</t>
        </is>
      </c>
      <c r="D215" s="58" t="n">
        <v>-23.626925</v>
      </c>
      <c r="E215" s="58" t="n">
        <v>-46.661869</v>
      </c>
    </row>
    <row r="216">
      <c r="A216" t="n">
        <v>1506223</v>
      </c>
      <c r="B216" t="inlineStr">
        <is>
          <t>Washington Luís</t>
        </is>
      </c>
      <c r="D216" s="58" t="n">
        <v>-23.634483</v>
      </c>
      <c r="E216" s="58" t="n">
        <v>-46.668348</v>
      </c>
    </row>
    <row r="217">
      <c r="A217" t="n">
        <v>1506224</v>
      </c>
      <c r="B217" t="inlineStr">
        <is>
          <t>Brooklin Paulista</t>
        </is>
      </c>
      <c r="D217" s="58" t="n">
        <v>-23.629594</v>
      </c>
      <c r="E217" s="58" t="n">
        <v>-46.673505</v>
      </c>
    </row>
    <row r="218">
      <c r="A218" t="n">
        <v>1814711</v>
      </c>
      <c r="B218" t="inlineStr">
        <is>
          <t>Eng. Goulart</t>
        </is>
      </c>
      <c r="D218" s="58" t="n">
        <v>-23.498099</v>
      </c>
      <c r="E218" s="58" t="n">
        <v>-46.51992</v>
      </c>
    </row>
    <row r="219">
      <c r="A219" t="n">
        <v>1814712</v>
      </c>
      <c r="B219" t="inlineStr">
        <is>
          <t>Guarulhos Cecap</t>
        </is>
      </c>
      <c r="D219" s="58" t="n">
        <v>-23.44808</v>
      </c>
      <c r="E219" s="58" t="n">
        <v>-46.493539</v>
      </c>
    </row>
    <row r="220">
      <c r="A220" t="n">
        <v>1814713</v>
      </c>
      <c r="B220" t="inlineStr">
        <is>
          <t>Aeroporto Guarulhos</t>
        </is>
      </c>
      <c r="D220" s="58" t="n">
        <v>-23.433667</v>
      </c>
      <c r="E220" s="58" t="n">
        <v>-46.493732</v>
      </c>
    </row>
    <row r="221">
      <c r="A221" t="n">
        <v>2009067</v>
      </c>
      <c r="B221" t="inlineStr">
        <is>
          <t>R. Lutécia, 1227</t>
        </is>
      </c>
      <c r="C221" t="inlineStr">
        <is>
          <t>Ref.: R. Do Córrego / R. Ranieri Giovanni Baptista Pitorri</t>
        </is>
      </c>
      <c r="D221" s="58" t="n">
        <v>-23.554367</v>
      </c>
      <c r="E221" s="58" t="n">
        <v>-46.543293</v>
      </c>
    </row>
    <row r="222">
      <c r="A222" t="n">
        <v>2009181</v>
      </c>
      <c r="B222" t="inlineStr">
        <is>
          <t>Av. Aricanduva, 1341</t>
        </is>
      </c>
      <c r="C222" t="inlineStr">
        <is>
          <t>Ref.: Rua Gavino Virdes</t>
        </is>
      </c>
      <c r="D222" s="58" t="n">
        <v>-23.540899</v>
      </c>
      <c r="E222" s="58" t="n">
        <v>-46.538513</v>
      </c>
    </row>
    <row r="223">
      <c r="A223" t="n">
        <v>2009230</v>
      </c>
      <c r="B223" t="inlineStr">
        <is>
          <t>Av. Aricanduva, 8623</t>
        </is>
      </c>
      <c r="C223" t="inlineStr">
        <is>
          <t>Ref.: Estr. Fazenda Do Carmo -- Entrada Do Sesc Itaquera</t>
        </is>
      </c>
      <c r="D223" s="58" t="n">
        <v>-23.586884</v>
      </c>
      <c r="E223" s="58" t="n">
        <v>-46.482419</v>
      </c>
    </row>
    <row r="224">
      <c r="A224" t="n">
        <v>2009247</v>
      </c>
      <c r="B224" t="inlineStr">
        <is>
          <t>Av. Guilherme Giorge, 1130</t>
        </is>
      </c>
      <c r="C224" t="inlineStr">
        <is>
          <t>Ref.: Rua Angoera</t>
        </is>
      </c>
      <c r="D224" s="58" t="n">
        <v>-23.556209</v>
      </c>
      <c r="E224" s="58" t="n">
        <v>-46.545097</v>
      </c>
    </row>
    <row r="225">
      <c r="A225" t="n">
        <v>2009254</v>
      </c>
      <c r="B225" t="inlineStr">
        <is>
          <t>R. Atucuri, 554</t>
        </is>
      </c>
      <c r="C225" t="inlineStr">
        <is>
          <t>Ref.: Entre As Ruas Pedreira De Freitas E Rua Pero Nunes</t>
        </is>
      </c>
      <c r="D225" s="58" t="n">
        <v>-23.549449</v>
      </c>
      <c r="E225" s="58" t="n">
        <v>-46.547596</v>
      </c>
    </row>
    <row r="226">
      <c r="A226" t="n">
        <v>2009259</v>
      </c>
      <c r="B226" t="inlineStr">
        <is>
          <t>R. Lutécia, 1921</t>
        </is>
      </c>
      <c r="C226" t="inlineStr">
        <is>
          <t>Ref.: Av. Rainha Santa</t>
        </is>
      </c>
      <c r="D226" s="58" t="n">
        <v>-23.560448</v>
      </c>
      <c r="E226" s="58" t="n">
        <v>-46.540881</v>
      </c>
    </row>
    <row r="227">
      <c r="A227" t="n">
        <v>2009261</v>
      </c>
      <c r="B227" t="inlineStr">
        <is>
          <t>R. Francisca De Paula, 275</t>
        </is>
      </c>
      <c r="C227" t="inlineStr">
        <is>
          <t>Ref.: Prox. Av. 19 De Janeiro</t>
        </is>
      </c>
      <c r="D227" s="58" t="n">
        <v>-23.556758</v>
      </c>
      <c r="E227" s="58" t="n">
        <v>-46.529507</v>
      </c>
    </row>
    <row r="228">
      <c r="A228" t="n">
        <v>2009263</v>
      </c>
      <c r="B228" t="inlineStr">
        <is>
          <t>R. Lutécia, 1730</t>
        </is>
      </c>
      <c r="C228" t="inlineStr">
        <is>
          <t>Ref.: Rua Ranieri Giovani Baptista Pitori</t>
        </is>
      </c>
      <c r="D228" s="58" t="n">
        <v>-23.558264</v>
      </c>
      <c r="E228" s="58" t="n">
        <v>-46.541767</v>
      </c>
    </row>
    <row r="229">
      <c r="A229" t="n">
        <v>2009267</v>
      </c>
      <c r="B229" t="inlineStr">
        <is>
          <t>R. Nova Jerusalém, 611</t>
        </is>
      </c>
      <c r="D229" s="58" t="n">
        <v>-23.547744</v>
      </c>
      <c r="E229" s="58" t="n">
        <v>-46.549447</v>
      </c>
    </row>
    <row r="230">
      <c r="A230" t="n">
        <v>2009268</v>
      </c>
      <c r="B230" t="inlineStr">
        <is>
          <t>R. Atucuri, 698</t>
        </is>
      </c>
      <c r="C230" t="inlineStr">
        <is>
          <t>Ref.: Rua Bacarira E Rua Caxambu</t>
        </is>
      </c>
      <c r="D230" s="58" t="n">
        <v>-23.551064</v>
      </c>
      <c r="E230" s="58" t="n">
        <v>-46.548414</v>
      </c>
    </row>
    <row r="231">
      <c r="A231" t="n">
        <v>2009272</v>
      </c>
      <c r="B231" t="inlineStr">
        <is>
          <t>R. Francisca De Paula, 288</t>
        </is>
      </c>
      <c r="C231" t="inlineStr">
        <is>
          <t>Ref.: Rua João Vieira Prioste / R Bariri</t>
        </is>
      </c>
      <c r="D231" s="58" t="n">
        <v>-23.557116</v>
      </c>
      <c r="E231" s="58" t="n">
        <v>-46.529786</v>
      </c>
    </row>
    <row r="232">
      <c r="A232" t="n">
        <v>2009273</v>
      </c>
      <c r="B232" t="inlineStr">
        <is>
          <t>Av. Dezenove De Janeiro, 322</t>
        </is>
      </c>
      <c r="C232" t="inlineStr">
        <is>
          <t>Ref.: Rua Monguba/ Rua Pedro Voss</t>
        </is>
      </c>
      <c r="D232" s="58" t="n">
        <v>-23.55548</v>
      </c>
      <c r="E232" s="58" t="n">
        <v>-46.52616</v>
      </c>
    </row>
    <row r="233">
      <c r="A233" t="n">
        <v>2009275</v>
      </c>
      <c r="B233" t="inlineStr">
        <is>
          <t>R. Prof. Pedreira De Freitas, 1400</t>
        </is>
      </c>
      <c r="C233" t="inlineStr">
        <is>
          <t>Ref.: Rua Mariano De Sousa -- 1415 Oposto</t>
        </is>
      </c>
      <c r="D233" s="58" t="n">
        <v>-23.549361</v>
      </c>
      <c r="E233" s="58" t="n">
        <v>-46.548912</v>
      </c>
    </row>
    <row r="234">
      <c r="A234" t="n">
        <v>2009276</v>
      </c>
      <c r="B234" t="inlineStr">
        <is>
          <t>R. Eng. Pegado, 521</t>
        </is>
      </c>
      <c r="C234" t="inlineStr">
        <is>
          <t>Ref.: Rua Lutecia</t>
        </is>
      </c>
      <c r="D234" s="58" t="n">
        <v>-23.548347</v>
      </c>
      <c r="E234" s="58" t="n">
        <v>-46.540674</v>
      </c>
    </row>
    <row r="235">
      <c r="A235" t="n">
        <v>2009277</v>
      </c>
      <c r="B235" t="inlineStr">
        <is>
          <t>R. Antônio Peres Mulla, 373</t>
        </is>
      </c>
      <c r="C235" t="inlineStr">
        <is>
          <t>Ref.: Rua Pedro Voss</t>
        </is>
      </c>
      <c r="D235" s="58" t="n">
        <v>-23.562797</v>
      </c>
      <c r="E235" s="58" t="n">
        <v>-46.532348</v>
      </c>
    </row>
    <row r="236">
      <c r="A236" t="n">
        <v>2009281</v>
      </c>
      <c r="B236" t="inlineStr">
        <is>
          <t>R. Francisca De Paula, 160</t>
        </is>
      </c>
      <c r="D236" s="58" t="n">
        <v>-23.554852</v>
      </c>
      <c r="E236" s="58" t="n">
        <v>-46.528386</v>
      </c>
    </row>
    <row r="237">
      <c r="A237" t="n">
        <v>2009282</v>
      </c>
      <c r="B237" t="inlineStr">
        <is>
          <t>Pça. Br. Homem De Melo, 5</t>
        </is>
      </c>
      <c r="C237" t="inlineStr">
        <is>
          <t>Ref.: Rua Lutecia</t>
        </is>
      </c>
      <c r="D237" s="58" t="n">
        <v>-23.557412</v>
      </c>
      <c r="E237" s="58" t="n">
        <v>-46.541894</v>
      </c>
    </row>
    <row r="238">
      <c r="A238" t="n">
        <v>2009284</v>
      </c>
      <c r="B238" t="inlineStr">
        <is>
          <t>R. Lutécia, 1025</t>
        </is>
      </c>
      <c r="C238" t="inlineStr">
        <is>
          <t>Ref.: Rua Luiza Conceição Moraes</t>
        </is>
      </c>
      <c r="D238" s="58" t="n">
        <v>-23.552754</v>
      </c>
      <c r="E238" s="58" t="n">
        <v>-46.543096</v>
      </c>
    </row>
    <row r="239">
      <c r="A239" t="n">
        <v>2009285</v>
      </c>
      <c r="B239" t="inlineStr">
        <is>
          <t>R. Luzia Da Conceição Moraes, 450</t>
        </is>
      </c>
      <c r="C239" t="inlineStr">
        <is>
          <t>Ref.: Rua Lutecia</t>
        </is>
      </c>
      <c r="D239" s="58" t="n">
        <v>-23.552913</v>
      </c>
      <c r="E239" s="58" t="n">
        <v>-46.543492</v>
      </c>
    </row>
    <row r="240">
      <c r="A240" t="n">
        <v>2314493</v>
      </c>
      <c r="B240" t="inlineStr">
        <is>
          <t>Autódromo</t>
        </is>
      </c>
      <c r="D240" s="58" t="n">
        <v>-23.706148</v>
      </c>
      <c r="E240" s="58" t="n">
        <v>-46.688358</v>
      </c>
    </row>
    <row r="241">
      <c r="A241" t="n">
        <v>2314514</v>
      </c>
      <c r="B241" t="inlineStr">
        <is>
          <t>Primavera-interlagos</t>
        </is>
      </c>
      <c r="D241" s="58" t="n">
        <v>-23.722893</v>
      </c>
      <c r="E241" s="58" t="n">
        <v>-46.691773</v>
      </c>
    </row>
    <row r="242">
      <c r="A242" t="n">
        <v>2514749</v>
      </c>
      <c r="B242" t="inlineStr">
        <is>
          <t>Av. Souza Ramos, 245</t>
        </is>
      </c>
      <c r="C242" t="inlineStr">
        <is>
          <t>Ref.: Rua Sarah Kubsticheck / Rua Marcio Beck Machado -- Lojas Cem</t>
        </is>
      </c>
      <c r="D242" s="58" t="n">
        <v>-23.581524</v>
      </c>
      <c r="E242" s="58" t="n">
        <v>-46.410419</v>
      </c>
    </row>
    <row r="243">
      <c r="A243" t="n">
        <v>2515355</v>
      </c>
      <c r="B243" t="inlineStr">
        <is>
          <t>Estr. Iguatemi, 2143</t>
        </is>
      </c>
      <c r="C243" t="inlineStr">
        <is>
          <t>Ref.: Sítio San Marino</t>
        </is>
      </c>
      <c r="D243" s="58" t="n">
        <v>-23.587429</v>
      </c>
      <c r="E243" s="58" t="n">
        <v>-46.414858</v>
      </c>
    </row>
    <row r="244">
      <c r="A244" t="n">
        <v>2515374</v>
      </c>
      <c r="B244" t="inlineStr">
        <is>
          <t>Estr. Iguatemi, 6980</t>
        </is>
      </c>
      <c r="C244" t="inlineStr">
        <is>
          <t>Ref.: Rua Ismael Cadorna/ Rua Marcio Becker</t>
        </is>
      </c>
      <c r="D244" s="58" t="n">
        <v>-23.585556</v>
      </c>
      <c r="E244" s="58" t="n">
        <v>-46.41477</v>
      </c>
    </row>
    <row r="245">
      <c r="A245" t="n">
        <v>2515402</v>
      </c>
      <c r="B245" t="inlineStr">
        <is>
          <t>Estr. Iguatemi, 2751</t>
        </is>
      </c>
      <c r="C245" t="inlineStr">
        <is>
          <t>Ref.: Lado Oposto Ao Supermercado Negreiros</t>
        </is>
      </c>
      <c r="D245" s="58" t="n">
        <v>-23.583205</v>
      </c>
      <c r="E245" s="58" t="n">
        <v>-46.41505</v>
      </c>
    </row>
    <row r="246">
      <c r="A246" t="n">
        <v>2515507</v>
      </c>
      <c r="B246" t="inlineStr">
        <is>
          <t>Av. Souza Ramos, 813</t>
        </is>
      </c>
      <c r="C246" t="inlineStr">
        <is>
          <t>Ref.: Lado Oposto Igreja Universal</t>
        </is>
      </c>
      <c r="D246" s="58" t="n">
        <v>-23.580954</v>
      </c>
      <c r="E246" s="58" t="n">
        <v>-46.411056</v>
      </c>
    </row>
    <row r="247">
      <c r="A247" t="n">
        <v>2515526</v>
      </c>
      <c r="B247" t="inlineStr">
        <is>
          <t>Estr. Iguatemi, 7660</t>
        </is>
      </c>
      <c r="C247" t="inlineStr">
        <is>
          <t>Ref.: Estrada Da Vovó Carolina - Piscinão</t>
        </is>
      </c>
      <c r="D247" s="58" t="n">
        <v>-23.593024</v>
      </c>
      <c r="E247" s="58" t="n">
        <v>-46.418159</v>
      </c>
    </row>
    <row r="248">
      <c r="A248" t="n">
        <v>2600672</v>
      </c>
      <c r="B248" t="inlineStr">
        <is>
          <t>Paulista</t>
        </is>
      </c>
      <c r="D248" s="58" t="n">
        <v>-23.555071</v>
      </c>
      <c r="E248" s="58" t="n">
        <v>-46.662131</v>
      </c>
    </row>
    <row r="249">
      <c r="A249" t="n">
        <v>2705944</v>
      </c>
      <c r="B249" t="inlineStr">
        <is>
          <t>Santos-imigrantes</t>
        </is>
      </c>
      <c r="D249" s="58" t="n">
        <v>-23.595941</v>
      </c>
      <c r="E249" s="58" t="n">
        <v>-46.62071</v>
      </c>
    </row>
    <row r="250">
      <c r="A250" t="n">
        <v>2815191</v>
      </c>
      <c r="B250" t="inlineStr">
        <is>
          <t>USP Leste</t>
        </is>
      </c>
      <c r="D250" s="58" t="n">
        <v>-23.485691</v>
      </c>
      <c r="E250" s="58" t="n">
        <v>-46.503078</v>
      </c>
    </row>
    <row r="251">
      <c r="A251" t="n">
        <v>2914645</v>
      </c>
      <c r="B251" t="inlineStr">
        <is>
          <t>João Paulo I</t>
        </is>
      </c>
      <c r="D251" s="58" t="n">
        <v>-23.493626</v>
      </c>
      <c r="E251" s="58" t="n">
        <v>-46.691468</v>
      </c>
    </row>
    <row r="252">
      <c r="A252" t="n">
        <v>2914646</v>
      </c>
      <c r="B252" t="inlineStr">
        <is>
          <t>Freguesia Do Ó</t>
        </is>
      </c>
      <c r="D252" s="58" t="n">
        <v>-23.501756</v>
      </c>
      <c r="E252" s="58" t="n">
        <v>-46.693714</v>
      </c>
    </row>
    <row r="253">
      <c r="A253" t="n">
        <v>2914647</v>
      </c>
      <c r="B253" t="inlineStr">
        <is>
          <t>Santa Marina</t>
        </is>
      </c>
      <c r="D253" s="58" t="n">
        <v>-23.514102</v>
      </c>
      <c r="E253" s="58" t="n">
        <v>-46.691658</v>
      </c>
    </row>
    <row r="254">
      <c r="A254" t="n">
        <v>3014630</v>
      </c>
      <c r="B254" t="inlineStr">
        <is>
          <t>Grajaú</t>
        </is>
      </c>
      <c r="D254" s="58" t="n">
        <v>-23.736283</v>
      </c>
      <c r="E254" s="58" t="n">
        <v>-46.697068</v>
      </c>
    </row>
    <row r="255">
      <c r="A255" t="n">
        <v>3014945</v>
      </c>
      <c r="B255" t="inlineStr">
        <is>
          <t>Bruno Covas-mendes-vila Natal</t>
        </is>
      </c>
      <c r="D255" s="58" t="n">
        <v>-23.754624</v>
      </c>
      <c r="E255" s="58" t="n">
        <v>-46.709389</v>
      </c>
    </row>
    <row r="256">
      <c r="A256" t="n">
        <v>3015054</v>
      </c>
      <c r="B256" t="inlineStr">
        <is>
          <t>Varginha</t>
        </is>
      </c>
      <c r="D256" s="58" t="n">
        <v>-23.770367</v>
      </c>
      <c r="E256" s="58" t="n">
        <v>-46.712051</v>
      </c>
    </row>
    <row r="257">
      <c r="A257" t="n">
        <v>3203689</v>
      </c>
      <c r="B257" t="inlineStr">
        <is>
          <t>Av. Ragueb Chohfi, 7614</t>
        </is>
      </c>
      <c r="C257" t="inlineStr">
        <is>
          <t>Ref.: 7613 R Erico Semer</t>
        </is>
      </c>
      <c r="D257" s="58" t="n">
        <v>-23.594401</v>
      </c>
      <c r="E257" s="58" t="n">
        <v>-46.424216</v>
      </c>
    </row>
    <row r="258">
      <c r="A258" t="n">
        <v>3203690</v>
      </c>
      <c r="B258" t="inlineStr">
        <is>
          <t>Av. Ragueb Chohfi, 6300</t>
        </is>
      </c>
      <c r="C258" t="inlineStr">
        <is>
          <t>Ref.: Garagem Vip</t>
        </is>
      </c>
      <c r="D258" s="58" t="n">
        <v>-23.594809</v>
      </c>
      <c r="E258" s="58" t="n">
        <v>-46.426986</v>
      </c>
    </row>
    <row r="259">
      <c r="A259" t="n">
        <v>3203691</v>
      </c>
      <c r="B259" t="inlineStr">
        <is>
          <t>Av. Ragueb Chohfi, 5789</t>
        </is>
      </c>
      <c r="C259" t="inlineStr">
        <is>
          <t>Ref.: Lado Oposto Garagem Vip</t>
        </is>
      </c>
      <c r="D259" s="58" t="n">
        <v>-23.594686</v>
      </c>
      <c r="E259" s="58" t="n">
        <v>-46.427351</v>
      </c>
    </row>
    <row r="260">
      <c r="A260" t="n">
        <v>3203693</v>
      </c>
      <c r="B260" t="inlineStr">
        <is>
          <t>Av. Ragueb Chohfi, 5835</t>
        </is>
      </c>
      <c r="C260" t="inlineStr">
        <is>
          <t>Ref.: Acesso Estrada Do Aricanduva</t>
        </is>
      </c>
      <c r="D260" s="58" t="n">
        <v>-23.595064</v>
      </c>
      <c r="E260" s="58" t="n">
        <v>-46.429618</v>
      </c>
    </row>
    <row r="261">
      <c r="A261" t="n">
        <v>3203785</v>
      </c>
      <c r="B261" t="inlineStr">
        <is>
          <t>Av. Ragueb Chohfi, 3826</t>
        </is>
      </c>
      <c r="C261" t="inlineStr">
        <is>
          <t>Ref.: Rua Humberto Allen</t>
        </is>
      </c>
      <c r="D261" s="58" t="n">
        <v>-23.59478</v>
      </c>
      <c r="E261" s="58" t="n">
        <v>-46.448665</v>
      </c>
    </row>
    <row r="262">
      <c r="A262" t="n">
        <v>3214590</v>
      </c>
      <c r="B262" t="inlineStr">
        <is>
          <t>Av. Ragueb Chohfi, 4158</t>
        </is>
      </c>
      <c r="C262" t="inlineStr">
        <is>
          <t>Ref.: Habbibs</t>
        </is>
      </c>
      <c r="D262" s="58" t="n">
        <v>-23.594867</v>
      </c>
      <c r="E262" s="58" t="n">
        <v>-46.445781</v>
      </c>
    </row>
    <row r="263">
      <c r="A263" t="n">
        <v>3214597</v>
      </c>
      <c r="B263" t="inlineStr">
        <is>
          <t>Av. Ragueb Chohfi, 7290</t>
        </is>
      </c>
      <c r="C263" t="inlineStr">
        <is>
          <t>Ref.: Rua Érico Semer/ Rua Ilha Canaviana</t>
        </is>
      </c>
      <c r="D263" s="58" t="n">
        <v>-23.594058</v>
      </c>
      <c r="E263" s="58" t="n">
        <v>-46.422653</v>
      </c>
    </row>
    <row r="264">
      <c r="A264" t="n">
        <v>3214688</v>
      </c>
      <c r="B264" t="inlineStr">
        <is>
          <t>Av. Ragueb Chohfi, 5055</t>
        </is>
      </c>
      <c r="C264" t="inlineStr">
        <is>
          <t>Ref.: Av. Domingos De Mendonça / Rua Francisco Barbosa</t>
        </is>
      </c>
      <c r="D264" s="58" t="n">
        <v>-23.595595</v>
      </c>
      <c r="E264" s="58" t="n">
        <v>-46.437653</v>
      </c>
    </row>
    <row r="265">
      <c r="A265" t="n">
        <v>3214690</v>
      </c>
      <c r="B265" t="inlineStr">
        <is>
          <t>Av. Ragueb Chohfi, 6336</t>
        </is>
      </c>
      <c r="C265" t="inlineStr">
        <is>
          <t>Ref.: Rua Emilio Retrosi E Genaro Olavide</t>
        </is>
      </c>
      <c r="D265" s="58" t="n">
        <v>-23.594319</v>
      </c>
      <c r="E265" s="58" t="n">
        <v>-46.425025</v>
      </c>
    </row>
    <row r="266">
      <c r="A266" t="n">
        <v>3214714</v>
      </c>
      <c r="B266" t="inlineStr">
        <is>
          <t>Av. Ragueb Chohfi, 4567</t>
        </is>
      </c>
      <c r="C266" t="inlineStr">
        <is>
          <t>Ref.: Rua Alessandro Melani</t>
        </is>
      </c>
      <c r="D266" s="58" t="n">
        <v>-23.594622</v>
      </c>
      <c r="E266" s="58" t="n">
        <v>-46.441644</v>
      </c>
    </row>
    <row r="267">
      <c r="A267" t="n">
        <v>3214727</v>
      </c>
      <c r="B267" t="inlineStr">
        <is>
          <t>Av. Ragueb Chohfi, 2723</t>
        </is>
      </c>
      <c r="C267" t="inlineStr">
        <is>
          <t>Ref.: Rua Francisco De Mendonca</t>
        </is>
      </c>
      <c r="D267" s="58" t="n">
        <v>-23.59792</v>
      </c>
      <c r="E267" s="58" t="n">
        <v>-46.459038</v>
      </c>
    </row>
    <row r="268">
      <c r="A268" t="n">
        <v>3214728</v>
      </c>
      <c r="B268" t="inlineStr">
        <is>
          <t>Av. Ragueb Chohfi, 3323</t>
        </is>
      </c>
      <c r="C268" t="inlineStr">
        <is>
          <t>Ref.: Rua Cajuava</t>
        </is>
      </c>
      <c r="D268" s="58" t="n">
        <v>-23.596027</v>
      </c>
      <c r="E268" s="58" t="n">
        <v>-46.45366</v>
      </c>
    </row>
    <row r="269">
      <c r="A269" t="n">
        <v>3214729</v>
      </c>
      <c r="B269" t="inlineStr">
        <is>
          <t>Av. Ragueb Chohfi, 3693</t>
        </is>
      </c>
      <c r="C269" t="inlineStr">
        <is>
          <t>Ref.: Rua Fortim Itapoã - Oposto</t>
        </is>
      </c>
      <c r="D269" s="58" t="n">
        <v>-23.594849</v>
      </c>
      <c r="E269" s="58" t="n">
        <v>-46.450283</v>
      </c>
    </row>
    <row r="270">
      <c r="A270" t="n">
        <v>3214730</v>
      </c>
      <c r="B270" t="inlineStr">
        <is>
          <t>Av. Ragueb Chohfi, 4025</t>
        </is>
      </c>
      <c r="D270" s="58" t="n">
        <v>-23.594464</v>
      </c>
      <c r="E270" s="58" t="n">
        <v>-46.447147</v>
      </c>
    </row>
    <row r="271">
      <c r="A271" t="n">
        <v>3305749</v>
      </c>
      <c r="B271" t="inlineStr">
        <is>
          <t>Alto Do Ipiranga</t>
        </is>
      </c>
      <c r="D271" s="58" t="n">
        <v>-23.60213</v>
      </c>
      <c r="E271" s="58" t="n">
        <v>-46.612593</v>
      </c>
    </row>
    <row r="272">
      <c r="A272" t="n">
        <v>3305845</v>
      </c>
      <c r="B272" t="inlineStr">
        <is>
          <t>Sacomã</t>
        </is>
      </c>
      <c r="D272" s="58" t="n">
        <v>-23.601192</v>
      </c>
      <c r="E272" s="58" t="n">
        <v>-46.601963</v>
      </c>
    </row>
    <row r="273">
      <c r="A273" t="n">
        <v>3305856</v>
      </c>
      <c r="B273" t="inlineStr">
        <is>
          <t>Tamanduateí</t>
        </is>
      </c>
      <c r="D273" s="58" t="n">
        <v>-23.593116</v>
      </c>
      <c r="E273" s="58" t="n">
        <v>-46.589667</v>
      </c>
    </row>
    <row r="274">
      <c r="A274" t="n">
        <v>3407190</v>
      </c>
      <c r="B274" t="inlineStr">
        <is>
          <t>Campo Belo</t>
        </is>
      </c>
      <c r="D274" s="58" t="n">
        <v>-23.618357</v>
      </c>
      <c r="E274" s="58" t="n">
        <v>-46.682067</v>
      </c>
    </row>
    <row r="275">
      <c r="A275" t="n">
        <v>3407222</v>
      </c>
      <c r="B275" t="inlineStr">
        <is>
          <t>Morumbi</t>
        </is>
      </c>
      <c r="D275" s="58" t="n">
        <v>-23.622447</v>
      </c>
      <c r="E275" s="58" t="n">
        <v>-46.702799</v>
      </c>
    </row>
    <row r="276">
      <c r="A276" t="n">
        <v>3407224</v>
      </c>
      <c r="B276" t="inlineStr">
        <is>
          <t>Chucri Zaidan</t>
        </is>
      </c>
      <c r="D276" s="58" t="n">
        <v>-23.613987</v>
      </c>
      <c r="E276" s="58" t="n">
        <v>-46.695494</v>
      </c>
    </row>
    <row r="277">
      <c r="A277" t="n">
        <v>3407225</v>
      </c>
      <c r="B277" t="inlineStr">
        <is>
          <t>Vila Cordeiro</t>
        </is>
      </c>
      <c r="D277" s="58" t="n">
        <v>-23.615585</v>
      </c>
      <c r="E277" s="58" t="n">
        <v>-46.688565</v>
      </c>
    </row>
    <row r="278">
      <c r="A278" t="n">
        <v>3407226</v>
      </c>
      <c r="B278" t="inlineStr">
        <is>
          <t>Campo Belo</t>
        </is>
      </c>
      <c r="D278" s="58" t="n">
        <v>-23.61854</v>
      </c>
      <c r="E278" s="58" t="n">
        <v>-46.683429</v>
      </c>
    </row>
    <row r="279">
      <c r="A279" t="n">
        <v>3515230</v>
      </c>
      <c r="B279" t="inlineStr">
        <is>
          <t>Jardim Romano</t>
        </is>
      </c>
      <c r="D279" s="58" t="n">
        <v>-23.485148</v>
      </c>
      <c r="E279" s="58" t="n">
        <v>-46.386211</v>
      </c>
    </row>
    <row r="280">
      <c r="A280" t="n">
        <v>3515265</v>
      </c>
      <c r="B280" t="inlineStr">
        <is>
          <t>Aracaré</t>
        </is>
      </c>
      <c r="D280" s="58" t="n">
        <v>-23.500329</v>
      </c>
      <c r="E280" s="58" t="n">
        <v>-46.339044</v>
      </c>
    </row>
    <row r="281">
      <c r="A281" t="n">
        <v>3515266</v>
      </c>
      <c r="B281" t="inlineStr">
        <is>
          <t>Calmon Viana</t>
        </is>
      </c>
      <c r="D281" s="58" t="n">
        <v>-23.525202</v>
      </c>
      <c r="E281" s="58" t="n">
        <v>-46.333504</v>
      </c>
    </row>
    <row r="282">
      <c r="A282" t="n">
        <v>3608883</v>
      </c>
      <c r="B282" t="inlineStr">
        <is>
          <t>Corinthians-itaquera</t>
        </is>
      </c>
      <c r="D282" s="58" t="n">
        <v>-23.541986</v>
      </c>
      <c r="E282" s="58" t="n">
        <v>-46.471271</v>
      </c>
    </row>
    <row r="283">
      <c r="A283" t="n">
        <v>3702644</v>
      </c>
      <c r="B283" t="inlineStr">
        <is>
          <t>Av. Eng. Armando De Arruda Pereira, 457</t>
        </is>
      </c>
      <c r="D283" s="58" t="n">
        <v>-23.633072</v>
      </c>
      <c r="E283" s="58" t="n">
        <v>-46.644638</v>
      </c>
    </row>
    <row r="284">
      <c r="A284" t="n">
        <v>3702645</v>
      </c>
      <c r="B284" t="inlineStr">
        <is>
          <t>Av. Eng. Armando De Arruda Pereira, 506</t>
        </is>
      </c>
      <c r="C284" t="inlineStr">
        <is>
          <t>Ref.: Av Drluiz Da Rocha Miranda</t>
        </is>
      </c>
      <c r="D284" s="58" t="n">
        <v>-23.633384</v>
      </c>
      <c r="E284" s="58" t="n">
        <v>-46.644262</v>
      </c>
    </row>
    <row r="285">
      <c r="A285" t="n">
        <v>3702711</v>
      </c>
      <c r="B285" t="inlineStr">
        <is>
          <t>Av. Eng. Armando De Arruda Pereira, 1326</t>
        </is>
      </c>
      <c r="C285" t="inlineStr">
        <is>
          <t>Ref.: Av Galvaldomiro De Lima</t>
        </is>
      </c>
      <c r="D285" s="58" t="n">
        <v>-23.639178</v>
      </c>
      <c r="E285" s="58" t="n">
        <v>-46.641435</v>
      </c>
    </row>
    <row r="286">
      <c r="A286" t="n">
        <v>3702714</v>
      </c>
      <c r="B286" t="inlineStr">
        <is>
          <t>Av. Eng. Armando De Arruda Pereira, 1577</t>
        </is>
      </c>
      <c r="C286" t="inlineStr">
        <is>
          <t>Ref.: R Mucurui</t>
        </is>
      </c>
      <c r="D286" s="58" t="n">
        <v>-23.640755</v>
      </c>
      <c r="E286" s="58" t="n">
        <v>-46.641321</v>
      </c>
    </row>
    <row r="287">
      <c r="A287" t="n">
        <v>3702715</v>
      </c>
      <c r="B287" t="inlineStr">
        <is>
          <t>Av. Eng. Armando De Arruda Pereira, 1532</t>
        </is>
      </c>
      <c r="C287" t="inlineStr">
        <is>
          <t>Ref.: Rua Farjalla Koraicho</t>
        </is>
      </c>
      <c r="D287" s="58" t="n">
        <v>-23.641075</v>
      </c>
      <c r="E287" s="58" t="n">
        <v>-46.641499</v>
      </c>
    </row>
    <row r="288">
      <c r="A288" t="n">
        <v>3702746</v>
      </c>
      <c r="B288" t="inlineStr">
        <is>
          <t>Av. Eng. Armando De Arruda Pereira, 1767</t>
        </is>
      </c>
      <c r="C288" t="inlineStr">
        <is>
          <t>Ref.: Rua Antônio André De Sá Filho</t>
        </is>
      </c>
      <c r="D288" s="58" t="n">
        <v>-23.643315</v>
      </c>
      <c r="E288" s="58" t="n">
        <v>-46.641245</v>
      </c>
    </row>
    <row r="289">
      <c r="A289" t="n">
        <v>3702748</v>
      </c>
      <c r="B289" t="inlineStr">
        <is>
          <t>Av. Eng. Armando De Arruda Pereira, 1897</t>
        </is>
      </c>
      <c r="C289" t="inlineStr">
        <is>
          <t>Ref.: Rua Nelson Fernandes - Metrô Jabaquara</t>
        </is>
      </c>
      <c r="D289" s="58" t="n">
        <v>-23.64627</v>
      </c>
      <c r="E289" s="58" t="n">
        <v>-46.640569</v>
      </c>
    </row>
    <row r="290">
      <c r="A290" t="n">
        <v>3702773</v>
      </c>
      <c r="B290" t="inlineStr">
        <is>
          <t>Av. Eng. Armando De Arruda Pereira, 2485</t>
        </is>
      </c>
      <c r="C290" t="inlineStr">
        <is>
          <t>Ref.: R Jose De Alcantara</t>
        </is>
      </c>
      <c r="D290" s="58" t="n">
        <v>-23.649699</v>
      </c>
      <c r="E290" s="58" t="n">
        <v>-46.640351</v>
      </c>
    </row>
    <row r="291">
      <c r="A291" t="n">
        <v>3702829</v>
      </c>
      <c r="B291" t="inlineStr">
        <is>
          <t>Metrô Conceição</t>
        </is>
      </c>
      <c r="C291" t="inlineStr">
        <is>
          <t>Metrô Conceição, 996</t>
        </is>
      </c>
      <c r="D291" s="58" t="n">
        <v>-23.635232</v>
      </c>
      <c r="E291" s="58" t="n">
        <v>-46.641543</v>
      </c>
    </row>
    <row r="292">
      <c r="A292" t="n">
        <v>3703065</v>
      </c>
      <c r="B292" t="inlineStr">
        <is>
          <t>Parada 1 - Guatapará</t>
        </is>
      </c>
      <c r="C292" t="inlineStr">
        <is>
          <t>Av. Eng. Armando De Arruda Pereira, 863 Ref.: Parada Rua Guatapará - Ponto 01</t>
        </is>
      </c>
      <c r="D292" s="58" t="n">
        <v>-23.635475</v>
      </c>
      <c r="E292" s="58" t="n">
        <v>-46.641125</v>
      </c>
    </row>
    <row r="293">
      <c r="A293" t="n">
        <v>3703080</v>
      </c>
      <c r="B293" t="inlineStr">
        <is>
          <t>Av. Eng. Armando De Arruda Pereira, 2654</t>
        </is>
      </c>
      <c r="C293" t="inlineStr">
        <is>
          <t>Ref.: Rua Oiteiro</t>
        </is>
      </c>
      <c r="D293" s="58" t="n">
        <v>-23.649865</v>
      </c>
      <c r="E293" s="58" t="n">
        <v>-46.640653</v>
      </c>
    </row>
    <row r="294">
      <c r="A294" t="n">
        <v>3703092</v>
      </c>
      <c r="B294" t="inlineStr">
        <is>
          <t>Parada 1</t>
        </is>
      </c>
      <c r="C294" t="inlineStr">
        <is>
          <t>Av. Eng. Armando De Arruda Pereira, 1700 Ref.: Metrô Jabaquara - Ponto 1 - C/B</t>
        </is>
      </c>
      <c r="D294" s="58" t="n">
        <v>-23.646522</v>
      </c>
      <c r="E294" s="58" t="n">
        <v>-46.640686</v>
      </c>
    </row>
    <row r="295">
      <c r="A295" t="n">
        <v>3703103</v>
      </c>
      <c r="B295" t="inlineStr">
        <is>
          <t>R. Sta. Rita D'oeste, 3305</t>
        </is>
      </c>
      <c r="D295" s="58" t="n">
        <v>-23.65432</v>
      </c>
      <c r="E295" s="58" t="n">
        <v>-46.637158</v>
      </c>
    </row>
    <row r="296">
      <c r="A296" t="n">
        <v>3703126</v>
      </c>
      <c r="B296" t="inlineStr">
        <is>
          <t>Av. Eng. Armando De Arruda Pereira, 1788</t>
        </is>
      </c>
      <c r="C296" t="inlineStr">
        <is>
          <t>Ref.: Rua Das Bicuíbas</t>
        </is>
      </c>
      <c r="D296" s="58" t="n">
        <v>-23.643537</v>
      </c>
      <c r="E296" s="58" t="n">
        <v>-46.641423</v>
      </c>
    </row>
    <row r="297">
      <c r="A297" t="n">
        <v>3812743</v>
      </c>
      <c r="B297" t="inlineStr">
        <is>
          <t>Av. Edu Chaves, 398</t>
        </is>
      </c>
      <c r="C297" t="inlineStr">
        <is>
          <t>Ref.: Rua Aguas De Xapecó</t>
        </is>
      </c>
      <c r="D297" s="58" t="n">
        <v>-23.471332</v>
      </c>
      <c r="E297" s="58" t="n">
        <v>-46.572278</v>
      </c>
    </row>
    <row r="298">
      <c r="A298" t="n">
        <v>3812764</v>
      </c>
      <c r="B298" t="inlineStr">
        <is>
          <t>Av. Luís Stamatis, 999</t>
        </is>
      </c>
      <c r="C298" t="inlineStr">
        <is>
          <t>Ref.: Condomínio Vitta Jaçanã</t>
        </is>
      </c>
      <c r="D298" s="58" t="n">
        <v>-23.469289</v>
      </c>
      <c r="E298" s="58" t="n">
        <v>-46.575822</v>
      </c>
    </row>
    <row r="299">
      <c r="A299" t="n">
        <v>4011343</v>
      </c>
      <c r="B299" t="inlineStr">
        <is>
          <t>Presidente Altino</t>
        </is>
      </c>
      <c r="D299" s="58" t="n">
        <v>-23.530253</v>
      </c>
      <c r="E299" s="58" t="n">
        <v>-46.760683</v>
      </c>
    </row>
    <row r="300">
      <c r="A300" t="n">
        <v>4114459</v>
      </c>
      <c r="B300" t="inlineStr">
        <is>
          <t>Vila Aurora</t>
        </is>
      </c>
      <c r="D300" s="58" t="n">
        <v>-23.437612</v>
      </c>
      <c r="E300" s="58" t="n">
        <v>-46.747275</v>
      </c>
    </row>
    <row r="301">
      <c r="A301" t="n">
        <v>4406608</v>
      </c>
      <c r="B301" t="inlineStr">
        <is>
          <t>S. N. Sra. De Fátima-sumaré</t>
        </is>
      </c>
      <c r="D301" s="58" t="n">
        <v>-23.550974</v>
      </c>
      <c r="E301" s="58" t="n">
        <v>-46.677575</v>
      </c>
    </row>
    <row r="302">
      <c r="A302" t="n">
        <v>4406630</v>
      </c>
      <c r="B302" t="inlineStr">
        <is>
          <t>Higienópolis-mackenzie</t>
        </is>
      </c>
      <c r="D302" s="58" t="n">
        <v>-23.549031</v>
      </c>
      <c r="E302" s="58" t="n">
        <v>-46.652303</v>
      </c>
    </row>
    <row r="303">
      <c r="A303" t="n">
        <v>4406631</v>
      </c>
      <c r="B303" t="inlineStr">
        <is>
          <t>Oscar Freire</t>
        </is>
      </c>
      <c r="D303" s="58" t="n">
        <v>-23.560414</v>
      </c>
      <c r="E303" s="58" t="n">
        <v>-46.671819</v>
      </c>
    </row>
    <row r="304">
      <c r="A304" t="n">
        <v>4814665</v>
      </c>
      <c r="B304" t="inlineStr">
        <is>
          <t>Água Branca</t>
        </is>
      </c>
      <c r="D304" s="58" t="n">
        <v>-23.52055</v>
      </c>
      <c r="E304" s="58" t="n">
        <v>-46.688138</v>
      </c>
    </row>
    <row r="305">
      <c r="A305" t="n">
        <v>5112817</v>
      </c>
      <c r="B305" t="inlineStr">
        <is>
          <t>Av. Ultramarino, 1063</t>
        </is>
      </c>
      <c r="C305" t="inlineStr">
        <is>
          <t>Ref.: R. Herisan</t>
        </is>
      </c>
      <c r="D305" s="58" t="n">
        <v>-23.470707</v>
      </c>
      <c r="E305" s="58" t="n">
        <v>-46.644355</v>
      </c>
    </row>
    <row r="306">
      <c r="A306" t="n">
        <v>5113473</v>
      </c>
      <c r="B306" t="inlineStr">
        <is>
          <t>Av. Parada Pinto, 2582</t>
        </is>
      </c>
      <c r="C306" t="inlineStr">
        <is>
          <t>Ref.: Rua Rita De Cássia Duarte</t>
        </is>
      </c>
      <c r="D306" s="58" t="n">
        <v>-23.469465</v>
      </c>
      <c r="E306" s="58" t="n">
        <v>-46.646287</v>
      </c>
    </row>
    <row r="307">
      <c r="A307" t="n">
        <v>5306671</v>
      </c>
      <c r="B307" t="inlineStr">
        <is>
          <t>R. Mal. Maurício Cardoso, 140</t>
        </is>
      </c>
      <c r="C307" t="inlineStr">
        <is>
          <t>Ref.: Av Pedro Alvares Cabral / R Abilio Soares</t>
        </is>
      </c>
      <c r="D307" s="58" t="n">
        <v>-23.581103</v>
      </c>
      <c r="E307" s="58" t="n">
        <v>-46.656564</v>
      </c>
    </row>
    <row r="308">
      <c r="A308" t="n">
        <v>5306677</v>
      </c>
      <c r="B308" t="inlineStr">
        <is>
          <t>Av. Pedro Alvares Cabral</t>
        </is>
      </c>
      <c r="C308" t="inlineStr">
        <is>
          <t>Ref.: Portão 1 E 2 Do Parque Do Ibirapuera</t>
        </is>
      </c>
      <c r="D308" s="58" t="n">
        <v>-23.585492</v>
      </c>
      <c r="E308" s="58" t="n">
        <v>-46.655588</v>
      </c>
    </row>
    <row r="309">
      <c r="A309" t="n">
        <v>5306679</v>
      </c>
      <c r="B309" t="inlineStr">
        <is>
          <t>Parada 2 - Mac/USP</t>
        </is>
      </c>
      <c r="C309" t="inlineStr">
        <is>
          <t>Av. Pedro Alvares Cabral, 1475 Ref.: Mac-USP (antigo Detran)</t>
        </is>
      </c>
      <c r="D309" s="58" t="n">
        <v>-23.587786</v>
      </c>
      <c r="E309" s="58" t="n">
        <v>-46.652159</v>
      </c>
    </row>
    <row r="310">
      <c r="A310" t="n">
        <v>5306691</v>
      </c>
      <c r="B310" t="inlineStr">
        <is>
          <t>Eucaliptos</t>
        </is>
      </c>
      <c r="D310" s="58" t="n">
        <v>-23.60984</v>
      </c>
      <c r="E310" s="58" t="n">
        <v>-46.668649</v>
      </c>
    </row>
    <row r="311">
      <c r="A311" t="n">
        <v>5306694</v>
      </c>
      <c r="B311" t="inlineStr">
        <is>
          <t>Moema</t>
        </is>
      </c>
      <c r="D311" s="58" t="n">
        <v>-23.603386</v>
      </c>
      <c r="E311" s="58" t="n">
        <v>-46.661974</v>
      </c>
    </row>
    <row r="312">
      <c r="A312" t="n">
        <v>5306695</v>
      </c>
      <c r="B312" t="inlineStr">
        <is>
          <t>Aacd - Servidor</t>
        </is>
      </c>
      <c r="D312" s="58" t="n">
        <v>-23.597819</v>
      </c>
      <c r="E312" s="58" t="n">
        <v>-46.652545</v>
      </c>
    </row>
    <row r="313">
      <c r="A313" t="n">
        <v>5306697</v>
      </c>
      <c r="B313" t="inlineStr">
        <is>
          <t>Av. Vinte E Três De Maio</t>
        </is>
      </c>
      <c r="C313" t="inlineStr">
        <is>
          <t>Ref.: Rua Riachuelo</t>
        </is>
      </c>
      <c r="D313" s="58" t="n">
        <v>-23.549572</v>
      </c>
      <c r="E313" s="58" t="n">
        <v>-46.638498</v>
      </c>
    </row>
    <row r="314">
      <c r="A314" t="n">
        <v>5410051</v>
      </c>
      <c r="B314" t="inlineStr">
        <is>
          <t>R. Taquari, 778</t>
        </is>
      </c>
      <c r="D314" s="58" t="n">
        <v>-23.550139</v>
      </c>
      <c r="E314" s="58" t="n">
        <v>-46.596386</v>
      </c>
    </row>
    <row r="315">
      <c r="A315" t="n">
        <v>5410094</v>
      </c>
      <c r="B315" t="inlineStr">
        <is>
          <t>Av. Paes De Barros, 99</t>
        </is>
      </c>
      <c r="D315" s="58" t="n">
        <v>-23.556332</v>
      </c>
      <c r="E315" s="58" t="n">
        <v>-46.60003</v>
      </c>
    </row>
    <row r="316">
      <c r="A316" t="n">
        <v>5410099</v>
      </c>
      <c r="B316" t="inlineStr">
        <is>
          <t>R. Da Mooca, 2831</t>
        </is>
      </c>
      <c r="C316" t="inlineStr">
        <is>
          <t>Ref.: Rua Juvenal Parada/rua Taquari</t>
        </is>
      </c>
      <c r="D316" s="58" t="n">
        <v>-23.555635</v>
      </c>
      <c r="E316" s="58" t="n">
        <v>-46.597834</v>
      </c>
    </row>
    <row r="317">
      <c r="A317" t="n">
        <v>5410170</v>
      </c>
      <c r="B317" t="inlineStr">
        <is>
          <t>Pça. Ciro Pontes</t>
        </is>
      </c>
      <c r="C317" t="inlineStr">
        <is>
          <t>Ref.: Rua Dos Trilhos</t>
        </is>
      </c>
      <c r="D317" s="58" t="n">
        <v>-23.552151</v>
      </c>
      <c r="E317" s="58" t="n">
        <v>-46.600032</v>
      </c>
    </row>
    <row r="318">
      <c r="A318" t="n">
        <v>5410183</v>
      </c>
      <c r="B318" t="inlineStr">
        <is>
          <t>R. Bresser, 1954</t>
        </is>
      </c>
      <c r="C318" t="inlineStr">
        <is>
          <t>Ref.: Hospital Salvallus</t>
        </is>
      </c>
      <c r="D318" s="58" t="n">
        <v>-23.546597</v>
      </c>
      <c r="E318" s="58" t="n">
        <v>-46.604231</v>
      </c>
    </row>
    <row r="319">
      <c r="A319" t="n">
        <v>5410185</v>
      </c>
      <c r="B319" t="inlineStr">
        <is>
          <t>R. Dos Capitães Mores, 136</t>
        </is>
      </c>
      <c r="C319" t="inlineStr">
        <is>
          <t>Ref.: Rua Dos Campineiros</t>
        </is>
      </c>
      <c r="D319" s="58" t="n">
        <v>-23.555234</v>
      </c>
      <c r="E319" s="58" t="n">
        <v>-46.59469</v>
      </c>
    </row>
    <row r="320">
      <c r="A320" t="n">
        <v>5410188</v>
      </c>
      <c r="B320" t="inlineStr">
        <is>
          <t>R. Do Hipódromo, 1330</t>
        </is>
      </c>
      <c r="C320" t="inlineStr">
        <is>
          <t>Ref.: Avenida Alcantara Machado/rua João Caetano</t>
        </is>
      </c>
      <c r="D320" s="58" t="n">
        <v>-23.550326</v>
      </c>
      <c r="E320" s="58" t="n">
        <v>-46.60483</v>
      </c>
    </row>
    <row r="321">
      <c r="A321" t="n">
        <v>5410197</v>
      </c>
      <c r="B321" t="inlineStr">
        <is>
          <t>Av. Alcântara Machado, 3300</t>
        </is>
      </c>
      <c r="C321" t="inlineStr">
        <is>
          <t>Ref.: Petz</t>
        </is>
      </c>
      <c r="D321" s="58" t="n">
        <v>-23.544814</v>
      </c>
      <c r="E321" s="58" t="n">
        <v>-46.594067</v>
      </c>
    </row>
    <row r="322">
      <c r="A322" t="n">
        <v>5410209</v>
      </c>
      <c r="B322" t="inlineStr">
        <is>
          <t>R. Do Hipódromo, 1552</t>
        </is>
      </c>
      <c r="C322" t="inlineStr">
        <is>
          <t>Ref.: R. Itajaí</t>
        </is>
      </c>
      <c r="D322" s="58" t="n">
        <v>-23.55181</v>
      </c>
      <c r="E322" s="58" t="n">
        <v>-46.603619</v>
      </c>
    </row>
    <row r="323">
      <c r="A323" t="n">
        <v>6114515</v>
      </c>
      <c r="B323" t="inlineStr">
        <is>
          <t>Sesc-pompeia</t>
        </is>
      </c>
      <c r="D323" s="58" t="n">
        <v>-23.527248</v>
      </c>
      <c r="E323" s="58" t="n">
        <v>-46.683295</v>
      </c>
    </row>
    <row r="324">
      <c r="A324" t="n">
        <v>6114516</v>
      </c>
      <c r="B324" t="inlineStr">
        <is>
          <t>Perdizes</t>
        </is>
      </c>
      <c r="D324" s="58" t="n">
        <v>-23.53208</v>
      </c>
      <c r="E324" s="58" t="n">
        <v>-46.676621</v>
      </c>
    </row>
    <row r="325">
      <c r="A325" t="n">
        <v>6311285</v>
      </c>
      <c r="B325" t="inlineStr">
        <is>
          <t>Faria Lima</t>
        </is>
      </c>
      <c r="D325" s="58" t="n">
        <v>-23.567399</v>
      </c>
      <c r="E325" s="58" t="n">
        <v>-46.693451</v>
      </c>
    </row>
    <row r="326">
      <c r="A326" t="n">
        <v>6311287</v>
      </c>
      <c r="B326" t="inlineStr">
        <is>
          <t>Pinheiros Metrô</t>
        </is>
      </c>
      <c r="D326" s="58" t="n">
        <v>-23.56725</v>
      </c>
      <c r="E326" s="58" t="n">
        <v>-46.701925</v>
      </c>
    </row>
    <row r="327">
      <c r="A327" t="n">
        <v>6311368</v>
      </c>
      <c r="B327" t="inlineStr">
        <is>
          <t>Fradique Coutinho</t>
        </is>
      </c>
      <c r="D327" s="58" t="n">
        <v>-23.566103</v>
      </c>
      <c r="E327" s="58" t="n">
        <v>-46.684273</v>
      </c>
    </row>
    <row r="328">
      <c r="A328" t="n">
        <v>6700100</v>
      </c>
      <c r="B328" t="inlineStr">
        <is>
          <t>Av. Dq. De Caxias, 952</t>
        </is>
      </c>
      <c r="C328" t="inlineStr">
        <is>
          <t>Ref.: R. Sta. Ifigênia / R. Dos Andradas</t>
        </is>
      </c>
      <c r="D328" s="58" t="n">
        <v>-23.535665</v>
      </c>
      <c r="E328" s="58" t="n">
        <v>-46.641015</v>
      </c>
    </row>
    <row r="329">
      <c r="A329" t="n">
        <v>6700106</v>
      </c>
      <c r="B329" t="inlineStr">
        <is>
          <t>R. Do Triunfo, 229</t>
        </is>
      </c>
      <c r="C329" t="inlineStr">
        <is>
          <t>Ref.: Rdos Gusmoes</t>
        </is>
      </c>
      <c r="D329" s="58" t="n">
        <v>-23.536152</v>
      </c>
      <c r="E329" s="58" t="n">
        <v>-46.638446</v>
      </c>
    </row>
    <row r="330">
      <c r="A330" t="n">
        <v>6700173</v>
      </c>
      <c r="B330" t="inlineStr">
        <is>
          <t>Av. Prestes Maia, 297</t>
        </is>
      </c>
      <c r="C330" t="inlineStr">
        <is>
          <t>Ref.: R Riskallah Jorge</t>
        </is>
      </c>
      <c r="D330" s="58" t="n">
        <v>-23.541719</v>
      </c>
      <c r="E330" s="58" t="n">
        <v>-46.634653</v>
      </c>
    </row>
    <row r="331">
      <c r="A331" t="n">
        <v>6714452</v>
      </c>
      <c r="B331" t="inlineStr">
        <is>
          <t>Galeria Prestes Maia</t>
        </is>
      </c>
      <c r="C331" t="inlineStr">
        <is>
          <t>Túnel Papa João Paulo II Ref.: Viaduto Do Chá</t>
        </is>
      </c>
      <c r="D331" s="58" t="n">
        <v>-23.546468</v>
      </c>
      <c r="E331" s="58" t="n">
        <v>-46.63734</v>
      </c>
    </row>
    <row r="332">
      <c r="A332" t="n">
        <v>6714561</v>
      </c>
      <c r="B332" t="inlineStr">
        <is>
          <t>República</t>
        </is>
      </c>
      <c r="D332" s="58" t="n">
        <v>-23.544038</v>
      </c>
      <c r="E332" s="58" t="n">
        <v>-46.642729</v>
      </c>
    </row>
    <row r="333">
      <c r="A333" t="n">
        <v>6714577</v>
      </c>
      <c r="B333" t="inlineStr">
        <is>
          <t>R. Brig. Tobias, 557</t>
        </is>
      </c>
      <c r="C333" t="inlineStr">
        <is>
          <t>Ref.: Ministério Fazenda</t>
        </is>
      </c>
      <c r="D333" s="58" t="n">
        <v>-23.538459</v>
      </c>
      <c r="E333" s="58" t="n">
        <v>-46.634749</v>
      </c>
    </row>
    <row r="334">
      <c r="A334" t="n">
        <v>6714584</v>
      </c>
      <c r="B334" t="inlineStr">
        <is>
          <t>R. Brig. Tobias, 780</t>
        </is>
      </c>
      <c r="C334" t="inlineStr">
        <is>
          <t>Ref.: Rua Mauá - Rua Prestes Maia</t>
        </is>
      </c>
      <c r="D334" s="58" t="n">
        <v>-23.536215</v>
      </c>
      <c r="E334" s="58" t="n">
        <v>-46.634063</v>
      </c>
    </row>
    <row r="335">
      <c r="A335" t="n">
        <v>6714592</v>
      </c>
      <c r="B335" t="inlineStr">
        <is>
          <t>Terminal Amaral Gurgel</t>
        </is>
      </c>
      <c r="D335" s="58" t="n">
        <v>-23.538914</v>
      </c>
      <c r="E335" s="58" t="n">
        <v>-46.648291</v>
      </c>
    </row>
    <row r="336">
      <c r="A336" t="n">
        <v>6714600</v>
      </c>
      <c r="B336" t="inlineStr">
        <is>
          <t>R. Brig. Tobias, 300</t>
        </is>
      </c>
      <c r="C336" t="inlineStr">
        <is>
          <t>Ref.: Rua Beneficência Portuguesa</t>
        </is>
      </c>
      <c r="D336" s="58" t="n">
        <v>-23.540373</v>
      </c>
      <c r="E336" s="58" t="n">
        <v>-46.635323</v>
      </c>
    </row>
    <row r="337">
      <c r="A337" t="n">
        <v>6714635</v>
      </c>
      <c r="B337" t="inlineStr">
        <is>
          <t>Al. Br. De Piracicaba, 57</t>
        </is>
      </c>
      <c r="D337" s="58" t="n">
        <v>-23.53545</v>
      </c>
      <c r="E337" s="58" t="n">
        <v>-46.641938</v>
      </c>
    </row>
    <row r="338">
      <c r="A338" t="n">
        <v>6714636</v>
      </c>
      <c r="B338" t="inlineStr">
        <is>
          <t>R. Washington Luís, 98</t>
        </is>
      </c>
      <c r="C338" t="inlineStr">
        <is>
          <t>Ref.: Av. Prestes Maia / R. Brig. Tobias [ Acesso A Estação Luz Do Metrô]</t>
        </is>
      </c>
      <c r="D338" s="58" t="n">
        <v>-23.537894</v>
      </c>
      <c r="E338" s="58" t="n">
        <v>-46.634066</v>
      </c>
    </row>
    <row r="339">
      <c r="A339" t="n">
        <v>7014506</v>
      </c>
      <c r="B339" t="inlineStr">
        <is>
          <t>R. Dos Guaianases, 673</t>
        </is>
      </c>
      <c r="C339" t="inlineStr">
        <is>
          <t>Ref.: R Helvetia / Av Duque De Caxias</t>
        </is>
      </c>
      <c r="D339" s="58" t="n">
        <v>-23.535722</v>
      </c>
      <c r="E339" s="58" t="n">
        <v>-46.644252</v>
      </c>
    </row>
    <row r="340">
      <c r="A340" t="n">
        <v>7014507</v>
      </c>
      <c r="B340" t="inlineStr">
        <is>
          <t>Intermunicipal</t>
        </is>
      </c>
      <c r="C340" t="inlineStr">
        <is>
          <t>R. Dos Guaianases, 743 Ref.: R. Helvetia</t>
        </is>
      </c>
      <c r="D340" s="58" t="n">
        <v>-23.535673</v>
      </c>
      <c r="E340" s="58" t="n">
        <v>-46.644287</v>
      </c>
    </row>
    <row r="341">
      <c r="A341" t="n">
        <v>7014508</v>
      </c>
      <c r="B341" t="inlineStr">
        <is>
          <t>Al. Nothmann, 598</t>
        </is>
      </c>
      <c r="C341" t="inlineStr">
        <is>
          <t>Ref.: R. Guaianases</t>
        </is>
      </c>
      <c r="D341" s="58" t="n">
        <v>-23.532929</v>
      </c>
      <c r="E341" s="58" t="n">
        <v>-46.646779</v>
      </c>
    </row>
    <row r="342">
      <c r="A342" t="n">
        <v>7014510</v>
      </c>
      <c r="B342" t="inlineStr">
        <is>
          <t>Al. Nothmann, 816</t>
        </is>
      </c>
      <c r="C342" t="inlineStr">
        <is>
          <t>Ref.: Alameda Br. De Limeira</t>
        </is>
      </c>
      <c r="D342" s="58" t="n">
        <v>-23.534055</v>
      </c>
      <c r="E342" s="58" t="n">
        <v>-46.648549</v>
      </c>
    </row>
    <row r="343">
      <c r="A343" t="n">
        <v>7014516</v>
      </c>
      <c r="B343" t="inlineStr">
        <is>
          <t>Al. Nothmann, 184</t>
        </is>
      </c>
      <c r="C343" t="inlineStr">
        <is>
          <t>Ref.: Alameda Cleveland / Alameda Dino Bueno</t>
        </is>
      </c>
      <c r="D343" s="58" t="n">
        <v>-23.53091</v>
      </c>
      <c r="E343" s="58" t="n">
        <v>-46.643566</v>
      </c>
    </row>
    <row r="344">
      <c r="A344" t="n">
        <v>7014520</v>
      </c>
      <c r="B344" t="inlineStr">
        <is>
          <t>Al. Br. De Piracicaba, 274</t>
        </is>
      </c>
      <c r="D344" s="58" t="n">
        <v>-23.533876</v>
      </c>
      <c r="E344" s="58" t="n">
        <v>-46.643105</v>
      </c>
    </row>
    <row r="345">
      <c r="A345" t="n">
        <v>7014522</v>
      </c>
      <c r="B345" t="inlineStr">
        <is>
          <t>Al. Nothmann, 380</t>
        </is>
      </c>
      <c r="C345" t="inlineStr">
        <is>
          <t>Ref.: Avenida Rio Branco / Alameda Barão De Piracicaba</t>
        </is>
      </c>
      <c r="D345" s="58" t="n">
        <v>-23.531951</v>
      </c>
      <c r="E345" s="58" t="n">
        <v>-46.645343</v>
      </c>
    </row>
    <row r="346">
      <c r="A346" t="n">
        <v>7112928</v>
      </c>
      <c r="B346" t="inlineStr">
        <is>
          <t>R. Voluntários Da Pátria, 4275</t>
        </is>
      </c>
      <c r="C346" t="inlineStr">
        <is>
          <t>Ref.: Av. Engº Caetano Alvares</t>
        </is>
      </c>
      <c r="D346" s="58" t="n">
        <v>-23.483768</v>
      </c>
      <c r="E346" s="58" t="n">
        <v>-46.631177</v>
      </c>
    </row>
    <row r="347">
      <c r="A347" t="n">
        <v>7112974</v>
      </c>
      <c r="B347" t="inlineStr">
        <is>
          <t>R. Cons. Saraiva, 0</t>
        </is>
      </c>
      <c r="C347" t="inlineStr">
        <is>
          <t>Ref.: R Voluntarios Da Patria</t>
        </is>
      </c>
      <c r="D347" s="58" t="n">
        <v>-23.498869</v>
      </c>
      <c r="E347" s="58" t="n">
        <v>-46.626448</v>
      </c>
    </row>
    <row r="348">
      <c r="A348" t="n">
        <v>7113134</v>
      </c>
      <c r="B348" t="inlineStr">
        <is>
          <t>Av. Cruzeiro Do Sul, 2867</t>
        </is>
      </c>
      <c r="C348" t="inlineStr">
        <is>
          <t>Ref.: R. Alfredo Guedes</t>
        </is>
      </c>
      <c r="D348" s="58" t="n">
        <v>-23.505862</v>
      </c>
      <c r="E348" s="58" t="n">
        <v>-46.625063</v>
      </c>
    </row>
    <row r="349">
      <c r="A349" t="n">
        <v>7113164</v>
      </c>
      <c r="B349" t="inlineStr">
        <is>
          <t>R. Ezequiel Freire, 77</t>
        </is>
      </c>
      <c r="C349" t="inlineStr">
        <is>
          <t>Ref.: Rua Alferes Magalhães</t>
        </is>
      </c>
      <c r="D349" s="58" t="n">
        <v>-23.505606</v>
      </c>
      <c r="E349" s="58" t="n">
        <v>-46.623718</v>
      </c>
    </row>
    <row r="350">
      <c r="A350" t="n">
        <v>7113199</v>
      </c>
      <c r="B350" t="inlineStr">
        <is>
          <t>Av. Cruzeiro Do Sul, 1800</t>
        </is>
      </c>
      <c r="C350" t="inlineStr">
        <is>
          <t>Ref.: Terminal Rodoviário Tietê</t>
        </is>
      </c>
      <c r="D350" s="58" t="n">
        <v>-23.514489</v>
      </c>
      <c r="E350" s="58" t="n">
        <v>-46.624881</v>
      </c>
    </row>
    <row r="351">
      <c r="A351" t="n">
        <v>7206877</v>
      </c>
      <c r="B351" t="inlineStr">
        <is>
          <t>Adolfo Pinheiro</t>
        </is>
      </c>
      <c r="D351" s="58" t="n">
        <v>-23.650083</v>
      </c>
      <c r="E351" s="58" t="n">
        <v>-46.704237</v>
      </c>
    </row>
    <row r="352">
      <c r="A352" t="n">
        <v>7206943</v>
      </c>
      <c r="B352" t="inlineStr">
        <is>
          <t>Alto Da Boa Vista</t>
        </is>
      </c>
      <c r="D352" s="58" t="n">
        <v>-23.641632</v>
      </c>
      <c r="E352" s="58" t="n">
        <v>-46.699465</v>
      </c>
    </row>
    <row r="353">
      <c r="A353" t="n">
        <v>7206944</v>
      </c>
      <c r="B353" t="inlineStr">
        <is>
          <t>Borba Gato</t>
        </is>
      </c>
      <c r="D353" s="58" t="n">
        <v>-23.633334</v>
      </c>
      <c r="E353" s="58" t="n">
        <v>-46.693018</v>
      </c>
    </row>
    <row r="354">
      <c r="A354" t="n">
        <v>7206945</v>
      </c>
      <c r="B354" t="inlineStr">
        <is>
          <t>Brooklin</t>
        </is>
      </c>
      <c r="D354" s="58" t="n">
        <v>-23.626914</v>
      </c>
      <c r="E354" s="58" t="n">
        <v>-46.688171</v>
      </c>
    </row>
    <row r="355">
      <c r="A355" t="n">
        <v>7206982</v>
      </c>
      <c r="B355" t="inlineStr">
        <is>
          <t>João Dias</t>
        </is>
      </c>
      <c r="D355" s="58" t="n">
        <v>-23.639836</v>
      </c>
      <c r="E355" s="58" t="n">
        <v>-46.723488</v>
      </c>
    </row>
    <row r="356">
      <c r="A356" t="n">
        <v>7404439</v>
      </c>
      <c r="B356" t="inlineStr">
        <is>
          <t>R. Marcelo Muller, 1405</t>
        </is>
      </c>
      <c r="C356" t="inlineStr">
        <is>
          <t>Ref.: Rua Dario Meira</t>
        </is>
      </c>
      <c r="D356" s="58" t="n">
        <v>-23.594328</v>
      </c>
      <c r="E356" s="58" t="n">
        <v>-46.556089</v>
      </c>
    </row>
    <row r="357">
      <c r="A357" t="n">
        <v>7404440</v>
      </c>
      <c r="B357" t="inlineStr">
        <is>
          <t>R. Marcelo Muller, 1504</t>
        </is>
      </c>
      <c r="C357" t="inlineStr">
        <is>
          <t>Ref.: Rua Orlando Calixto</t>
        </is>
      </c>
      <c r="D357" s="58" t="n">
        <v>-23.594838</v>
      </c>
      <c r="E357" s="58" t="n">
        <v>-46.555717</v>
      </c>
    </row>
    <row r="358">
      <c r="A358" t="n">
        <v>7404880</v>
      </c>
      <c r="B358" t="inlineStr">
        <is>
          <t>Av. Vila Ema, 2335</t>
        </is>
      </c>
      <c r="C358" t="inlineStr">
        <is>
          <t>Ref.: Rua Herman Frank - B/C</t>
        </is>
      </c>
      <c r="D358" s="58" t="n">
        <v>-23.581492</v>
      </c>
      <c r="E358" s="58" t="n">
        <v>-46.554147</v>
      </c>
    </row>
    <row r="359">
      <c r="A359" t="n">
        <v>7404896</v>
      </c>
      <c r="B359" t="inlineStr">
        <is>
          <t>R. Manhuaçu, 64</t>
        </is>
      </c>
      <c r="C359" t="inlineStr">
        <is>
          <t>Ref.: Av. Brumado De Minas</t>
        </is>
      </c>
      <c r="D359" s="58" t="n">
        <v>-23.592817</v>
      </c>
      <c r="E359" s="58" t="n">
        <v>-46.559543</v>
      </c>
    </row>
    <row r="360">
      <c r="A360" t="n">
        <v>7404936</v>
      </c>
      <c r="B360" t="inlineStr">
        <is>
          <t>Av. Vila Ema, 3215</t>
        </is>
      </c>
      <c r="C360" t="inlineStr">
        <is>
          <t>Ref.: Rua Roberto Morel - B/C</t>
        </is>
      </c>
      <c r="D360" s="58" t="n">
        <v>-23.584609</v>
      </c>
      <c r="E360" s="58" t="n">
        <v>-46.546571</v>
      </c>
    </row>
    <row r="361">
      <c r="A361" t="n">
        <v>7404969</v>
      </c>
      <c r="B361" t="inlineStr">
        <is>
          <t>R. Solidônio Leite, 2694</t>
        </is>
      </c>
      <c r="C361" t="inlineStr">
        <is>
          <t>Ref.: Rua João Vicente Brito</t>
        </is>
      </c>
      <c r="D361" s="58" t="n">
        <v>-23.587523</v>
      </c>
      <c r="E361" s="58" t="n">
        <v>-46.532944</v>
      </c>
    </row>
    <row r="362">
      <c r="A362" t="n">
        <v>7405361</v>
      </c>
      <c r="B362" t="inlineStr">
        <is>
          <t>Av. Jacinto Menezes Palhares, 87</t>
        </is>
      </c>
      <c r="C362" t="inlineStr">
        <is>
          <t>Ref.: Av Prf.luiz Ignacio Anhaia Mello</t>
        </is>
      </c>
      <c r="D362" s="58" t="n">
        <v>-23.583309</v>
      </c>
      <c r="E362" s="58" t="n">
        <v>-46.565519</v>
      </c>
    </row>
    <row r="363">
      <c r="A363" t="n">
        <v>7405363</v>
      </c>
      <c r="B363" t="inlineStr">
        <is>
          <t>R. Secundino Domingues, 84</t>
        </is>
      </c>
      <c r="C363" t="inlineStr">
        <is>
          <t>Ref.: Rua Felipe Cardelino</t>
        </is>
      </c>
      <c r="D363" s="58" t="n">
        <v>-23.588422</v>
      </c>
      <c r="E363" s="58" t="n">
        <v>-46.559653</v>
      </c>
    </row>
    <row r="364">
      <c r="A364" t="n">
        <v>7405386</v>
      </c>
      <c r="B364" t="inlineStr">
        <is>
          <t>Av. Do Oratório, 3264</t>
        </is>
      </c>
      <c r="C364" t="inlineStr">
        <is>
          <t>Ref.: R. Mineradora De Diamantina / R. Bom Jardim De Minas</t>
        </is>
      </c>
      <c r="D364" s="58" t="n">
        <v>-23.597809</v>
      </c>
      <c r="E364" s="58" t="n">
        <v>-46.540899</v>
      </c>
    </row>
    <row r="365">
      <c r="A365" t="n">
        <v>7405418</v>
      </c>
      <c r="B365" t="inlineStr">
        <is>
          <t>R. Secundino Domingues, 334</t>
        </is>
      </c>
      <c r="C365" t="inlineStr">
        <is>
          <t>Ref.: Rua Jaguarari</t>
        </is>
      </c>
      <c r="D365" s="58" t="n">
        <v>-23.590164</v>
      </c>
      <c r="E365" s="58" t="n">
        <v>-46.558212</v>
      </c>
    </row>
    <row r="366">
      <c r="A366" t="n">
        <v>7405481</v>
      </c>
      <c r="B366" t="inlineStr">
        <is>
          <t>R. Solidônio Leite, 2315</t>
        </is>
      </c>
      <c r="C366" t="inlineStr">
        <is>
          <t>Ref.: Rua Edmundo Juventino Fuentes</t>
        </is>
      </c>
      <c r="D366" s="58" t="n">
        <v>-23.585918</v>
      </c>
      <c r="E366" s="58" t="n">
        <v>-46.536594</v>
      </c>
    </row>
    <row r="367">
      <c r="A367" t="n">
        <v>7405483</v>
      </c>
      <c r="B367" t="inlineStr">
        <is>
          <t>R. Secundino Domingues, 701</t>
        </is>
      </c>
      <c r="C367" t="inlineStr">
        <is>
          <t>Ref.: Rua Natividade Saldanha</t>
        </is>
      </c>
      <c r="D367" s="58" t="n">
        <v>-23.592718</v>
      </c>
      <c r="E367" s="58" t="n">
        <v>-46.555909</v>
      </c>
    </row>
    <row r="368">
      <c r="A368" t="n">
        <v>7405488</v>
      </c>
      <c r="B368" t="inlineStr">
        <is>
          <t>Av. Do Oratório, 2635</t>
        </is>
      </c>
      <c r="C368" t="inlineStr">
        <is>
          <t>Ref.: Rua Eng. Francisco Bicalho</t>
        </is>
      </c>
      <c r="D368" s="58" t="n">
        <v>-23.593507</v>
      </c>
      <c r="E368" s="58" t="n">
        <v>-46.544448</v>
      </c>
    </row>
    <row r="369">
      <c r="A369" t="n">
        <v>7405489</v>
      </c>
      <c r="B369" t="inlineStr">
        <is>
          <t>Av. Do Oratório, 2710</t>
        </is>
      </c>
      <c r="C369" t="inlineStr">
        <is>
          <t>Ref.: Rua Dr. Nogueira De Noronha</t>
        </is>
      </c>
      <c r="D369" s="58" t="n">
        <v>-23.595358</v>
      </c>
      <c r="E369" s="58" t="n">
        <v>-46.543203</v>
      </c>
    </row>
    <row r="370">
      <c r="A370" t="n">
        <v>7405493</v>
      </c>
      <c r="B370" t="inlineStr">
        <is>
          <t>Oratorio</t>
        </is>
      </c>
      <c r="D370" s="58" t="n">
        <v>-23.582144</v>
      </c>
      <c r="E370" s="58" t="n">
        <v>-46.561877</v>
      </c>
    </row>
    <row r="371">
      <c r="A371" t="n">
        <v>7405499</v>
      </c>
      <c r="B371" t="inlineStr">
        <is>
          <t>R. José Macedo, 643</t>
        </is>
      </c>
      <c r="C371" t="inlineStr">
        <is>
          <t>Ref.: Rua Ielmo Marinho</t>
        </is>
      </c>
      <c r="D371" s="58" t="n">
        <v>-23.594806</v>
      </c>
      <c r="E371" s="58" t="n">
        <v>-46.554809</v>
      </c>
    </row>
    <row r="372">
      <c r="A372" t="n">
        <v>7405509</v>
      </c>
      <c r="B372" t="inlineStr">
        <is>
          <t>Av. Alberto Ramos, 487</t>
        </is>
      </c>
      <c r="C372" t="inlineStr">
        <is>
          <t>Ref.: Rua Planalto Da Conquista</t>
        </is>
      </c>
      <c r="D372" s="58" t="n">
        <v>-23.586979</v>
      </c>
      <c r="E372" s="58" t="n">
        <v>-46.560709</v>
      </c>
    </row>
    <row r="373">
      <c r="A373" t="n">
        <v>7405512</v>
      </c>
      <c r="B373" t="inlineStr">
        <is>
          <t>R. Suzana, 1000</t>
        </is>
      </c>
      <c r="C373" t="inlineStr">
        <is>
          <t>Ref.: Rua Serra Do Pereiro</t>
        </is>
      </c>
      <c r="D373" s="58" t="n">
        <v>-23.585567</v>
      </c>
      <c r="E373" s="58" t="n">
        <v>-46.564045</v>
      </c>
    </row>
    <row r="374">
      <c r="A374" t="n">
        <v>7405516</v>
      </c>
      <c r="B374" t="inlineStr">
        <is>
          <t>São Lucas</t>
        </is>
      </c>
      <c r="D374" s="58" t="n">
        <v>-23.589</v>
      </c>
      <c r="E374" s="58" t="n">
        <v>-46.544597</v>
      </c>
    </row>
    <row r="375">
      <c r="A375" t="n">
        <v>7405517</v>
      </c>
      <c r="B375" t="inlineStr">
        <is>
          <t>Camilo Haddad</t>
        </is>
      </c>
      <c r="D375" s="58" t="n">
        <v>-23.595483</v>
      </c>
      <c r="E375" s="58" t="n">
        <v>-46.537606</v>
      </c>
    </row>
    <row r="376">
      <c r="A376" t="n">
        <v>7405518</v>
      </c>
      <c r="B376" t="inlineStr">
        <is>
          <t>Vila Tolstói</t>
        </is>
      </c>
      <c r="D376" s="58" t="n">
        <v>-23.600932</v>
      </c>
      <c r="E376" s="58" t="n">
        <v>-46.527049</v>
      </c>
    </row>
    <row r="377">
      <c r="A377" t="n">
        <v>7405519</v>
      </c>
      <c r="B377" t="inlineStr">
        <is>
          <t>Pça. S. Lucas</t>
        </is>
      </c>
      <c r="C377" t="inlineStr">
        <is>
          <t>Pça. S. Lucas Ref.: Rua Dep. Menezes Cortes</t>
        </is>
      </c>
      <c r="D377" s="58" t="n">
        <v>-23.594934</v>
      </c>
      <c r="E377" s="58" t="n">
        <v>-46.548203</v>
      </c>
    </row>
    <row r="378">
      <c r="A378" t="n">
        <v>7405524</v>
      </c>
      <c r="B378" t="inlineStr">
        <is>
          <t>Av. Vila Ema, 1899</t>
        </is>
      </c>
      <c r="C378" t="inlineStr">
        <is>
          <t>Ref.: Rua Antonio Gomes - B/C</t>
        </is>
      </c>
      <c r="D378" s="58" t="n">
        <v>-23.580748</v>
      </c>
      <c r="E378" s="58" t="n">
        <v>-46.558383</v>
      </c>
    </row>
    <row r="379">
      <c r="A379" t="n">
        <v>7504177</v>
      </c>
      <c r="B379" t="inlineStr">
        <is>
          <t>Av. Aricanduva, 9254</t>
        </is>
      </c>
      <c r="C379" t="inlineStr">
        <is>
          <t>Ref.: Av Ragueb Chohfi</t>
        </is>
      </c>
      <c r="D379" s="58" t="n">
        <v>-23.593223</v>
      </c>
      <c r="E379" s="58" t="n">
        <v>-46.46794</v>
      </c>
    </row>
    <row r="380">
      <c r="A380" t="n">
        <v>7504180</v>
      </c>
      <c r="B380" t="inlineStr">
        <is>
          <t>Av. Aricanduva, 12771</t>
        </is>
      </c>
      <c r="C380" t="inlineStr">
        <is>
          <t>Ref.: Av. Ragueb Chohfi</t>
        </is>
      </c>
      <c r="D380" s="58" t="n">
        <v>-23.595438</v>
      </c>
      <c r="E380" s="58" t="n">
        <v>-46.465297</v>
      </c>
    </row>
    <row r="381">
      <c r="A381" t="n">
        <v>7504193</v>
      </c>
      <c r="B381" t="inlineStr">
        <is>
          <t>Av. Mateo Bei, 964</t>
        </is>
      </c>
      <c r="C381" t="inlineStr">
        <is>
          <t>Ref.: R Cel.ernesto Duprat</t>
        </is>
      </c>
      <c r="D381" s="58" t="n">
        <v>-23.591694</v>
      </c>
      <c r="E381" s="58" t="n">
        <v>-46.48916</v>
      </c>
    </row>
    <row r="382">
      <c r="A382" t="n">
        <v>7504197</v>
      </c>
      <c r="B382" t="inlineStr">
        <is>
          <t>Av. Mateo Bei, 206</t>
        </is>
      </c>
      <c r="C382" t="inlineStr">
        <is>
          <t>Ref.: R Aparicio Luiz Pugliesi</t>
        </is>
      </c>
      <c r="D382" s="58" t="n">
        <v>-23.584771</v>
      </c>
      <c r="E382" s="58" t="n">
        <v>-46.491805</v>
      </c>
    </row>
    <row r="383">
      <c r="A383" t="n">
        <v>7504391</v>
      </c>
      <c r="B383" t="inlineStr">
        <is>
          <t>R. Cachoeira Do Campo, 250</t>
        </is>
      </c>
      <c r="C383" t="inlineStr">
        <is>
          <t>Ref.: Rua Min. Alcides Carneiro</t>
        </is>
      </c>
      <c r="D383" s="58" t="n">
        <v>-23.594789</v>
      </c>
      <c r="E383" s="58" t="n">
        <v>-46.503759</v>
      </c>
    </row>
    <row r="384">
      <c r="A384" t="n">
        <v>7504781</v>
      </c>
      <c r="B384" t="inlineStr">
        <is>
          <t>Av. Ragueb Chohfi, 1835</t>
        </is>
      </c>
      <c r="C384" t="inlineStr">
        <is>
          <t>Ref.: Rua Itapirinaia</t>
        </is>
      </c>
      <c r="D384" s="58" t="n">
        <v>-23.598475</v>
      </c>
      <c r="E384" s="58" t="n">
        <v>-46.464966</v>
      </c>
    </row>
    <row r="385">
      <c r="A385" t="n">
        <v>7504822</v>
      </c>
      <c r="B385" t="inlineStr">
        <is>
          <t>Av. Tte. Lauro Sodre, 640</t>
        </is>
      </c>
      <c r="C385" t="inlineStr">
        <is>
          <t>Ref.: R.josé Costa Junior</t>
        </is>
      </c>
      <c r="D385" s="58" t="n">
        <v>-23.616187</v>
      </c>
      <c r="E385" s="58" t="n">
        <v>-46.484259</v>
      </c>
    </row>
    <row r="386">
      <c r="A386" t="n">
        <v>7504831</v>
      </c>
      <c r="B386" t="inlineStr">
        <is>
          <t>Av. Mateo Bei, 824</t>
        </is>
      </c>
      <c r="C386" t="inlineStr">
        <is>
          <t>Ref.: Rua Engº Bernardo Figueiredo / Rua Adriano Couto De Barros</t>
        </is>
      </c>
      <c r="D386" s="58" t="n">
        <v>-23.59051</v>
      </c>
      <c r="E386" s="58" t="n">
        <v>-46.489586</v>
      </c>
    </row>
    <row r="387">
      <c r="A387" t="n">
        <v>7504852</v>
      </c>
      <c r="B387" t="inlineStr">
        <is>
          <t>R. Frei Inocêncio, 405</t>
        </is>
      </c>
      <c r="D387" s="58" t="n">
        <v>-23.59367</v>
      </c>
      <c r="E387" s="58" t="n">
        <v>-46.498471</v>
      </c>
    </row>
    <row r="388">
      <c r="A388" t="n">
        <v>7504853</v>
      </c>
      <c r="B388" t="inlineStr">
        <is>
          <t>Av. Tte. Lauro Sodre, 74</t>
        </is>
      </c>
      <c r="C388" t="inlineStr">
        <is>
          <t>Ref.: Rua Antônio Cassano</t>
        </is>
      </c>
      <c r="D388" s="58" t="n">
        <v>-23.611108</v>
      </c>
      <c r="E388" s="58" t="n">
        <v>-46.48591</v>
      </c>
    </row>
    <row r="389">
      <c r="A389" t="n">
        <v>7504854</v>
      </c>
      <c r="B389" t="inlineStr">
        <is>
          <t>R. Armando Barbosa, 104</t>
        </is>
      </c>
      <c r="C389" t="inlineStr">
        <is>
          <t>Ref.: Rua Fernando Pinheiro</t>
        </is>
      </c>
      <c r="D389" s="58" t="n">
        <v>-23.613787</v>
      </c>
      <c r="E389" s="58" t="n">
        <v>-46.484472</v>
      </c>
    </row>
    <row r="390">
      <c r="A390" t="n">
        <v>7504925</v>
      </c>
      <c r="B390" t="inlineStr">
        <is>
          <t>Av. Ragueb Chohfi, 2110</t>
        </is>
      </c>
      <c r="C390" t="inlineStr">
        <is>
          <t>Ref.: Rua Forte Do Triunfo - Igreja Universal</t>
        </is>
      </c>
      <c r="D390" s="58" t="n">
        <v>-23.598736</v>
      </c>
      <c r="E390" s="58" t="n">
        <v>-46.464257</v>
      </c>
    </row>
    <row r="391">
      <c r="A391" t="n">
        <v>7504927</v>
      </c>
      <c r="B391" t="inlineStr">
        <is>
          <t>Av. Tte. Lauro Sodre, 818</t>
        </is>
      </c>
      <c r="C391" t="inlineStr">
        <is>
          <t>Ref.: Rua Claro Luz Ferreira</t>
        </is>
      </c>
      <c r="D391" s="58" t="n">
        <v>-23.617683</v>
      </c>
      <c r="E391" s="58" t="n">
        <v>-46.483642</v>
      </c>
    </row>
    <row r="392">
      <c r="A392" t="n">
        <v>7504931</v>
      </c>
      <c r="B392" t="inlineStr">
        <is>
          <t>Av. Ragueb Chohfi, 2301</t>
        </is>
      </c>
      <c r="C392" t="inlineStr">
        <is>
          <t>Ref.: Rua Forte Do Triunfo</t>
        </is>
      </c>
      <c r="D392" s="58" t="n">
        <v>-23.598298</v>
      </c>
      <c r="E392" s="58" t="n">
        <v>-46.463358</v>
      </c>
    </row>
    <row r="393">
      <c r="A393" t="n">
        <v>7504951</v>
      </c>
      <c r="B393" t="inlineStr">
        <is>
          <t>Jardim Colonial</t>
        </is>
      </c>
      <c r="D393" s="58" t="n">
        <v>-23.599045</v>
      </c>
      <c r="E393" s="58" t="n">
        <v>-46.468949</v>
      </c>
    </row>
    <row r="394">
      <c r="A394" t="n">
        <v>7504959</v>
      </c>
      <c r="B394" t="inlineStr">
        <is>
          <t>R. Eduardo Antônio De Paula, 165</t>
        </is>
      </c>
      <c r="C394" t="inlineStr">
        <is>
          <t>Ref.: Rua Carol Reed</t>
        </is>
      </c>
      <c r="D394" s="58" t="n">
        <v>-23.611705</v>
      </c>
      <c r="E394" s="58" t="n">
        <v>-46.484356</v>
      </c>
    </row>
    <row r="395">
      <c r="A395" t="n">
        <v>7504960</v>
      </c>
      <c r="B395" t="inlineStr">
        <is>
          <t>Av. Mateo Bei, 418</t>
        </is>
      </c>
      <c r="C395" t="inlineStr">
        <is>
          <t>Ref.: Rua Dr. Aparício Luís Pugliesi</t>
        </is>
      </c>
      <c r="D395" s="58" t="n">
        <v>-23.586982</v>
      </c>
      <c r="E395" s="58" t="n">
        <v>-46.490997</v>
      </c>
    </row>
    <row r="396">
      <c r="A396" t="n">
        <v>7504985</v>
      </c>
      <c r="B396" t="inlineStr">
        <is>
          <t>Av. Aricanduva, 11200</t>
        </is>
      </c>
      <c r="C396" t="inlineStr">
        <is>
          <t>Ref.: Rua Pastor Adarcy De Oliveira</t>
        </is>
      </c>
      <c r="D396" s="58" t="n">
        <v>-23.592791</v>
      </c>
      <c r="E396" s="58" t="n">
        <v>-46.474181</v>
      </c>
    </row>
    <row r="397">
      <c r="A397" t="n">
        <v>7504986</v>
      </c>
      <c r="B397" t="inlineStr">
        <is>
          <t>Av. Aricanduva, 11094</t>
        </is>
      </c>
      <c r="C397" t="inlineStr">
        <is>
          <t>Ref.: Rua Noeli Alves Gomes</t>
        </is>
      </c>
      <c r="D397" s="58" t="n">
        <v>-23.591539</v>
      </c>
      <c r="E397" s="58" t="n">
        <v>-46.476362</v>
      </c>
    </row>
    <row r="398">
      <c r="A398" t="n">
        <v>7504989</v>
      </c>
      <c r="B398" t="inlineStr">
        <is>
          <t>Av. Aricanduva, 13000</t>
        </is>
      </c>
      <c r="C398" t="inlineStr">
        <is>
          <t>Ref.: Av. Ragueb Chohfi</t>
        </is>
      </c>
      <c r="D398" s="58" t="n">
        <v>-23.596952</v>
      </c>
      <c r="E398" s="58" t="n">
        <v>-46.467034</v>
      </c>
    </row>
    <row r="399">
      <c r="A399" t="n">
        <v>7504993</v>
      </c>
      <c r="B399" t="inlineStr">
        <is>
          <t>Av. Mateo Bei, 418</t>
        </is>
      </c>
      <c r="C399" t="inlineStr">
        <is>
          <t>Ref.: Praça Carlos Januário</t>
        </is>
      </c>
      <c r="D399" s="58" t="n">
        <v>-23.586952</v>
      </c>
      <c r="E399" s="58" t="n">
        <v>-46.490809</v>
      </c>
    </row>
    <row r="400">
      <c r="A400" t="n">
        <v>7504994</v>
      </c>
      <c r="B400" t="inlineStr">
        <is>
          <t>Av. Aricanduva, 12373</t>
        </is>
      </c>
      <c r="C400" t="inlineStr">
        <is>
          <t>Ref.: Lado Oposto Condominio Flores Parque Do Carmo</t>
        </is>
      </c>
      <c r="D400" s="58" t="n">
        <v>-23.592655</v>
      </c>
      <c r="E400" s="58" t="n">
        <v>-46.467672</v>
      </c>
    </row>
    <row r="401">
      <c r="A401" t="n">
        <v>7504995</v>
      </c>
      <c r="B401" t="inlineStr">
        <is>
          <t>Av. Mateo Bei, 263</t>
        </is>
      </c>
      <c r="C401" t="inlineStr">
        <is>
          <t>Ref.: Igreja Assembleia De Deus</t>
        </is>
      </c>
      <c r="D401" s="58" t="n">
        <v>-23.584922</v>
      </c>
      <c r="E401" s="58" t="n">
        <v>-46.49163</v>
      </c>
    </row>
    <row r="402">
      <c r="A402" t="n">
        <v>7612124</v>
      </c>
      <c r="B402" t="inlineStr">
        <is>
          <t>São Miguel Paulista</t>
        </is>
      </c>
      <c r="D402" s="58" t="n">
        <v>-23.490494</v>
      </c>
      <c r="E402" s="58" t="n">
        <v>-46.443699</v>
      </c>
    </row>
    <row r="403">
      <c r="A403" t="n">
        <v>7803960</v>
      </c>
      <c r="B403" t="inlineStr">
        <is>
          <t>R. Augustin Luberti, 602</t>
        </is>
      </c>
      <c r="C403" t="inlineStr">
        <is>
          <t>Ref.: Rua Agave Dragão</t>
        </is>
      </c>
      <c r="D403" s="58" t="n">
        <v>-23.616971</v>
      </c>
      <c r="E403" s="58" t="n">
        <v>-46.487917</v>
      </c>
    </row>
    <row r="404">
      <c r="A404" t="n">
        <v>7803961</v>
      </c>
      <c r="B404" t="inlineStr">
        <is>
          <t>R. Augustin Luberti, 600</t>
        </is>
      </c>
      <c r="C404" t="inlineStr">
        <is>
          <t>Ref.: Rua Agave Dragão</t>
        </is>
      </c>
      <c r="D404" s="58" t="n">
        <v>-23.617289</v>
      </c>
      <c r="E404" s="58" t="n">
        <v>-46.488023</v>
      </c>
    </row>
    <row r="405">
      <c r="A405" t="n">
        <v>7803971</v>
      </c>
      <c r="B405" t="inlineStr">
        <is>
          <t>R. Augustin Luberti, 840</t>
        </is>
      </c>
      <c r="C405" t="inlineStr">
        <is>
          <t>Ref.: Rua Jim Backus</t>
        </is>
      </c>
      <c r="D405" s="58" t="n">
        <v>-23.619584</v>
      </c>
      <c r="E405" s="58" t="n">
        <v>-46.487794</v>
      </c>
    </row>
    <row r="406">
      <c r="A406" t="n">
        <v>7803973</v>
      </c>
      <c r="B406" t="inlineStr">
        <is>
          <t>R. Augustin Luberti, 840</t>
        </is>
      </c>
      <c r="C406" t="inlineStr">
        <is>
          <t>Ref.: Rua Jim Backus</t>
        </is>
      </c>
      <c r="D406" s="58" t="n">
        <v>-23.620196</v>
      </c>
      <c r="E406" s="58" t="n">
        <v>-46.4876</v>
      </c>
    </row>
    <row r="407">
      <c r="A407" t="n">
        <v>7804356</v>
      </c>
      <c r="B407" t="inlineStr">
        <is>
          <t>R. Gen. Porfírio Da Paz, 1568</t>
        </is>
      </c>
      <c r="C407" t="inlineStr">
        <is>
          <t>Ref.: R Vicente Da Silva</t>
        </is>
      </c>
      <c r="D407" s="58" t="n">
        <v>-23.596641</v>
      </c>
      <c r="E407" s="58" t="n">
        <v>-46.515656</v>
      </c>
    </row>
    <row r="408">
      <c r="A408" t="n">
        <v>7804361</v>
      </c>
      <c r="B408" t="inlineStr">
        <is>
          <t>Av. Sapopemba, 9183</t>
        </is>
      </c>
      <c r="C408" t="inlineStr">
        <is>
          <t>Ref.: Rua Alberto Gomes Leite</t>
        </is>
      </c>
      <c r="D408" s="58" t="n">
        <v>-23.600579</v>
      </c>
      <c r="E408" s="58" t="n">
        <v>-46.51208</v>
      </c>
    </row>
    <row r="409">
      <c r="A409" t="n">
        <v>7804393</v>
      </c>
      <c r="B409" t="inlineStr">
        <is>
          <t>R. Nova Brasília, 103</t>
        </is>
      </c>
      <c r="C409" t="inlineStr">
        <is>
          <t>Ref.: R Canoeiros</t>
        </is>
      </c>
      <c r="D409" s="58" t="n">
        <v>-23.59514</v>
      </c>
      <c r="E409" s="58" t="n">
        <v>-46.505633</v>
      </c>
    </row>
    <row r="410">
      <c r="A410" t="n">
        <v>7804420</v>
      </c>
      <c r="B410" t="inlineStr">
        <is>
          <t>R. Nova Brasília, 626</t>
        </is>
      </c>
      <c r="C410" t="inlineStr">
        <is>
          <t>Ref.: R Luis Antonio Da Costa</t>
        </is>
      </c>
      <c r="D410" s="58" t="n">
        <v>-23.597328</v>
      </c>
      <c r="E410" s="58" t="n">
        <v>-46.508921</v>
      </c>
    </row>
    <row r="411">
      <c r="A411" t="n">
        <v>7804421</v>
      </c>
      <c r="B411" t="inlineStr">
        <is>
          <t>R. Nova Brasília, 605</t>
        </is>
      </c>
      <c r="C411" t="inlineStr">
        <is>
          <t>Ref.: R Primeiro Sorriso</t>
        </is>
      </c>
      <c r="D411" s="58" t="n">
        <v>-23.597401</v>
      </c>
      <c r="E411" s="58" t="n">
        <v>-46.508736</v>
      </c>
    </row>
    <row r="412">
      <c r="A412" t="n">
        <v>7804661</v>
      </c>
      <c r="B412" t="inlineStr">
        <is>
          <t>Av. Eng. Feijó Bitencourt, 349</t>
        </is>
      </c>
      <c r="C412" t="inlineStr">
        <is>
          <t>Ref.: Rua Meireles Reis Filho</t>
        </is>
      </c>
      <c r="D412" s="58" t="n">
        <v>-23.587132</v>
      </c>
      <c r="E412" s="58" t="n">
        <v>-46.528955</v>
      </c>
    </row>
    <row r="413">
      <c r="A413" t="n">
        <v>7804662</v>
      </c>
      <c r="B413" t="inlineStr">
        <is>
          <t>Av. Eng. Feijó Bitencourt, 424</t>
        </is>
      </c>
      <c r="C413" t="inlineStr">
        <is>
          <t>Ref.: Rua Marcolino Fagundes</t>
        </is>
      </c>
      <c r="D413" s="58" t="n">
        <v>-23.587022</v>
      </c>
      <c r="E413" s="58" t="n">
        <v>-46.528139</v>
      </c>
    </row>
    <row r="414">
      <c r="A414" t="n">
        <v>7805128</v>
      </c>
      <c r="B414" t="inlineStr">
        <is>
          <t>Av. Eng. Feijó Bitencourt, 80</t>
        </is>
      </c>
      <c r="C414" t="inlineStr">
        <is>
          <t>Ref.: Rua Engº Albano De Azevedo</t>
        </is>
      </c>
      <c r="D414" s="58" t="n">
        <v>-23.589056</v>
      </c>
      <c r="E414" s="58" t="n">
        <v>-46.530435</v>
      </c>
    </row>
    <row r="415">
      <c r="A415" t="n">
        <v>7805130</v>
      </c>
      <c r="B415" t="inlineStr">
        <is>
          <t>Av. Tte. Lauro Sodre, 1102</t>
        </is>
      </c>
      <c r="C415" t="inlineStr">
        <is>
          <t>Ref.: Rua Jim Backus</t>
        </is>
      </c>
      <c r="D415" s="58" t="n">
        <v>-23.619285</v>
      </c>
      <c r="E415" s="58" t="n">
        <v>-46.483615</v>
      </c>
    </row>
    <row r="416">
      <c r="A416" t="n">
        <v>7805131</v>
      </c>
      <c r="B416" t="inlineStr">
        <is>
          <t>R. Pedro De Castro Velho, 2152</t>
        </is>
      </c>
      <c r="D416" s="58" t="n">
        <v>-23.589393</v>
      </c>
      <c r="E416" s="58" t="n">
        <v>-46.516504</v>
      </c>
    </row>
    <row r="417">
      <c r="A417" t="n">
        <v>7805132</v>
      </c>
      <c r="B417" t="inlineStr">
        <is>
          <t>R. Pedro De Castro Velho, 234</t>
        </is>
      </c>
      <c r="C417" t="inlineStr">
        <is>
          <t>Ref.: Rua Dr. Domingos Americana</t>
        </is>
      </c>
      <c r="D417" s="58" t="n">
        <v>-23.589403</v>
      </c>
      <c r="E417" s="58" t="n">
        <v>-46.516564</v>
      </c>
    </row>
    <row r="418">
      <c r="A418" t="n">
        <v>7805134</v>
      </c>
      <c r="B418" t="inlineStr">
        <is>
          <t>R. Gen. Porfírio Da Paz, 57</t>
        </is>
      </c>
      <c r="C418" t="inlineStr">
        <is>
          <t>Ref.: Av. Da Barreira Grande / Rua Dos Cambistas</t>
        </is>
      </c>
      <c r="D418" s="58" t="n">
        <v>-23.586329</v>
      </c>
      <c r="E418" s="58" t="n">
        <v>-46.518789</v>
      </c>
    </row>
    <row r="419">
      <c r="A419" t="n">
        <v>7805136</v>
      </c>
      <c r="B419" t="inlineStr">
        <is>
          <t>R. Gen. Porfírio Da Paz, 339</t>
        </is>
      </c>
      <c r="C419" t="inlineStr">
        <is>
          <t>Ref.: R Da Bolsa/r Dos Correntistas</t>
        </is>
      </c>
      <c r="D419" s="58" t="n">
        <v>-23.588588</v>
      </c>
      <c r="E419" s="58" t="n">
        <v>-46.519942</v>
      </c>
    </row>
    <row r="420">
      <c r="A420" t="n">
        <v>7805147</v>
      </c>
      <c r="B420" t="inlineStr">
        <is>
          <t>R. Augustin Luberti</t>
        </is>
      </c>
      <c r="C420" t="inlineStr">
        <is>
          <t>R. Augustin Luberti Ref.: R. Alexandre Gropalli</t>
        </is>
      </c>
      <c r="D420" s="58" t="n">
        <v>-23.614766</v>
      </c>
      <c r="E420" s="58" t="n">
        <v>-46.487757</v>
      </c>
    </row>
    <row r="421">
      <c r="A421" t="n">
        <v>7805166</v>
      </c>
      <c r="B421" t="inlineStr">
        <is>
          <t>R. Gen. Porfírio Da Paz, 1563</t>
        </is>
      </c>
      <c r="C421" t="inlineStr">
        <is>
          <t>Ref.: Rua Pedro De Castro Velho</t>
        </is>
      </c>
      <c r="D421" s="58" t="n">
        <v>-23.59651</v>
      </c>
      <c r="E421" s="58" t="n">
        <v>-46.515755</v>
      </c>
    </row>
    <row r="422">
      <c r="A422" t="n">
        <v>7805189</v>
      </c>
      <c r="B422" t="inlineStr">
        <is>
          <t>Av. Tte. Lauro Sodre, 884</t>
        </is>
      </c>
      <c r="C422" t="inlineStr">
        <is>
          <t>Ref.: Rua Claro Luz Ferreira</t>
        </is>
      </c>
      <c r="D422" s="58" t="n">
        <v>-23.618196</v>
      </c>
      <c r="E422" s="58" t="n">
        <v>-46.483825</v>
      </c>
    </row>
    <row r="423">
      <c r="A423" t="n">
        <v>7805190</v>
      </c>
      <c r="B423" t="inlineStr">
        <is>
          <t>R. Domingos Alaleone, 45</t>
        </is>
      </c>
      <c r="C423" t="inlineStr">
        <is>
          <t>Ref.: R.george Bekesy</t>
        </is>
      </c>
      <c r="D423" s="58" t="n">
        <v>-23.617625</v>
      </c>
      <c r="E423" s="58" t="n">
        <v>-46.485191</v>
      </c>
    </row>
    <row r="424">
      <c r="A424" t="n">
        <v>7805192</v>
      </c>
      <c r="B424" t="inlineStr">
        <is>
          <t>R. George Bekesy, 1</t>
        </is>
      </c>
      <c r="C424" t="inlineStr">
        <is>
          <t>Ref.: Rua Jim Backus</t>
        </is>
      </c>
      <c r="D424" s="58" t="n">
        <v>-23.619598</v>
      </c>
      <c r="E424" s="58" t="n">
        <v>-46.486462</v>
      </c>
    </row>
    <row r="425">
      <c r="A425" t="n">
        <v>7805193</v>
      </c>
      <c r="B425" t="inlineStr">
        <is>
          <t>R. George Bekesy, 7</t>
        </is>
      </c>
      <c r="C425" t="inlineStr">
        <is>
          <t>Ref.: R.domingos Alaleone</t>
        </is>
      </c>
      <c r="D425" s="58" t="n">
        <v>-23.617753</v>
      </c>
      <c r="E425" s="58" t="n">
        <v>-46.485207</v>
      </c>
    </row>
    <row r="426">
      <c r="A426" t="n">
        <v>7805200</v>
      </c>
      <c r="B426" t="inlineStr">
        <is>
          <t>Av. Tte. Lauro Sodre, 1110</t>
        </is>
      </c>
      <c r="C426" t="inlineStr">
        <is>
          <t>Ref.: Rua Jim Backus</t>
        </is>
      </c>
      <c r="D426" s="58" t="n">
        <v>-23.620346</v>
      </c>
      <c r="E426" s="58" t="n">
        <v>-46.483484</v>
      </c>
    </row>
    <row r="427">
      <c r="A427" t="n">
        <v>7805203</v>
      </c>
      <c r="B427" t="inlineStr">
        <is>
          <t>R. Jim Backus, 561</t>
        </is>
      </c>
      <c r="C427" t="inlineStr">
        <is>
          <t>Ref.: Rua George Bekesy</t>
        </is>
      </c>
      <c r="D427" s="58" t="n">
        <v>-23.620089</v>
      </c>
      <c r="E427" s="58" t="n">
        <v>-46.486898</v>
      </c>
    </row>
    <row r="428">
      <c r="A428" t="n">
        <v>7805208</v>
      </c>
      <c r="B428" t="inlineStr">
        <is>
          <t>Vila União</t>
        </is>
      </c>
      <c r="D428" s="58" t="n">
        <v>-23.60294</v>
      </c>
      <c r="E428" s="58" t="n">
        <v>-46.515768</v>
      </c>
    </row>
    <row r="429">
      <c r="A429" t="n">
        <v>7805213</v>
      </c>
      <c r="B429" t="inlineStr">
        <is>
          <t>Jardim Planalto</t>
        </is>
      </c>
      <c r="D429" s="58" t="n">
        <v>-23.606046</v>
      </c>
      <c r="E429" s="58" t="n">
        <v>-46.507963</v>
      </c>
    </row>
    <row r="430">
      <c r="A430" t="n">
        <v>7805214</v>
      </c>
      <c r="B430" t="inlineStr">
        <is>
          <t>Av. Sapopemba, 9820</t>
        </is>
      </c>
      <c r="C430" t="inlineStr">
        <is>
          <t>Ref.: Rua Milton Da Cruz</t>
        </is>
      </c>
      <c r="D430" s="58" t="n">
        <v>-23.606734</v>
      </c>
      <c r="E430" s="58" t="n">
        <v>-46.507702</v>
      </c>
    </row>
    <row r="431">
      <c r="A431" t="n">
        <v>7805216</v>
      </c>
      <c r="B431" t="inlineStr">
        <is>
          <t>Fazenda Da Juta</t>
        </is>
      </c>
      <c r="D431" s="58" t="n">
        <v>-23.611853</v>
      </c>
      <c r="E431" s="58" t="n">
        <v>-46.487579</v>
      </c>
    </row>
    <row r="432">
      <c r="A432" t="n">
        <v>7805217</v>
      </c>
      <c r="B432" t="inlineStr">
        <is>
          <t>São Mateus</t>
        </is>
      </c>
      <c r="D432" s="58" t="n">
        <v>-23.612272</v>
      </c>
      <c r="E432" s="58" t="n">
        <v>-46.477314</v>
      </c>
    </row>
    <row r="433">
      <c r="A433" t="n">
        <v>7805219</v>
      </c>
      <c r="B433" t="inlineStr">
        <is>
          <t>Sapopemba</t>
        </is>
      </c>
      <c r="D433" s="58" t="n">
        <v>-23.614677</v>
      </c>
      <c r="E433" s="58" t="n">
        <v>-46.500834</v>
      </c>
    </row>
    <row r="434">
      <c r="A434" t="n">
        <v>7805237</v>
      </c>
      <c r="B434" t="inlineStr">
        <is>
          <t>Av. Sapopemba, 11000</t>
        </is>
      </c>
      <c r="C434" t="inlineStr">
        <is>
          <t>Ref.: Av. Arq. Vilanova Artigas</t>
        </is>
      </c>
      <c r="D434" s="58" t="n">
        <v>-23.614254</v>
      </c>
      <c r="E434" s="58" t="n">
        <v>-46.502959</v>
      </c>
    </row>
    <row r="435">
      <c r="A435" t="n">
        <v>7805241</v>
      </c>
      <c r="B435" t="inlineStr">
        <is>
          <t>Estação Fazenda Da Juta - Monotrilho</t>
        </is>
      </c>
      <c r="C435" t="inlineStr">
        <is>
          <t>Av. Sapopemba, 12685 Ref.: Rua Leonardo De Oliveira</t>
        </is>
      </c>
      <c r="D435" s="58" t="n">
        <v>-23.610441</v>
      </c>
      <c r="E435" s="58" t="n">
        <v>-46.486301</v>
      </c>
    </row>
    <row r="436">
      <c r="A436" t="n">
        <v>7805242</v>
      </c>
      <c r="B436" t="inlineStr">
        <is>
          <t>Av. Sapopemba, 10711</t>
        </is>
      </c>
      <c r="C436" t="inlineStr">
        <is>
          <t>Ref.: Rua Manuel Quirino De Mattos</t>
        </is>
      </c>
      <c r="D436" s="58" t="n">
        <v>-23.610475</v>
      </c>
      <c r="E436" s="58" t="n">
        <v>-46.503968</v>
      </c>
    </row>
    <row r="437">
      <c r="A437" t="n">
        <v>7805243</v>
      </c>
      <c r="B437" t="inlineStr">
        <is>
          <t>R. Domingos Alaleone, 11</t>
        </is>
      </c>
      <c r="C437" t="inlineStr">
        <is>
          <t>Ref.: Rua Eudemo De Rodes</t>
        </is>
      </c>
      <c r="D437" s="58" t="n">
        <v>-23.615623</v>
      </c>
      <c r="E437" s="58" t="n">
        <v>-46.485726</v>
      </c>
    </row>
    <row r="438">
      <c r="A438" t="n">
        <v>7805244</v>
      </c>
      <c r="B438" t="inlineStr">
        <is>
          <t>R. George Bekesy, 54</t>
        </is>
      </c>
      <c r="C438" t="inlineStr">
        <is>
          <t>Ref.: Rua Henri Fabert/rua Henrique De Leva</t>
        </is>
      </c>
      <c r="D438" s="58" t="n">
        <v>-23.618425</v>
      </c>
      <c r="E438" s="58" t="n">
        <v>-46.486289</v>
      </c>
    </row>
    <row r="439">
      <c r="A439" t="n">
        <v>7805245</v>
      </c>
      <c r="B439" t="inlineStr">
        <is>
          <t>R. José Costa Júnior, 51</t>
        </is>
      </c>
      <c r="C439" t="inlineStr">
        <is>
          <t>Ref.: Avenida Tenente Lauro Sodré</t>
        </is>
      </c>
      <c r="D439" s="58" t="n">
        <v>-23.61589</v>
      </c>
      <c r="E439" s="58" t="n">
        <v>-46.484569</v>
      </c>
    </row>
    <row r="440">
      <c r="A440" t="n">
        <v>7805246</v>
      </c>
      <c r="B440" t="inlineStr">
        <is>
          <t>Av. Da Barreira Grande, 1537</t>
        </is>
      </c>
      <c r="C440" t="inlineStr">
        <is>
          <t>Ref.: Rua Eng. Pinto Martins</t>
        </is>
      </c>
      <c r="D440" s="58" t="n">
        <v>-23.584803</v>
      </c>
      <c r="E440" s="58" t="n">
        <v>-46.520568</v>
      </c>
    </row>
    <row r="441">
      <c r="A441" t="n">
        <v>8010123</v>
      </c>
      <c r="B441" t="inlineStr">
        <is>
          <t>Luz</t>
        </is>
      </c>
      <c r="D441" s="58" t="n">
        <v>-23.536598</v>
      </c>
      <c r="E441" s="58" t="n">
        <v>-46.634502</v>
      </c>
    </row>
    <row r="442">
      <c r="A442" t="n">
        <v>8209119</v>
      </c>
      <c r="B442" t="inlineStr">
        <is>
          <t>R. Antônio De Barros, 2688</t>
        </is>
      </c>
      <c r="C442" t="inlineStr">
        <is>
          <t>Ref.: R Afonso Henriques</t>
        </is>
      </c>
      <c r="D442" s="58" t="n">
        <v>-23.553769</v>
      </c>
      <c r="E442" s="58" t="n">
        <v>-46.554045</v>
      </c>
    </row>
    <row r="443">
      <c r="A443" t="n">
        <v>8209155</v>
      </c>
      <c r="B443" t="inlineStr">
        <is>
          <t>R. Azevedo Soares, 2168</t>
        </is>
      </c>
      <c r="C443" t="inlineStr">
        <is>
          <t>Ref.: R Antonio De Barros</t>
        </is>
      </c>
      <c r="D443" s="58" t="n">
        <v>-23.546876</v>
      </c>
      <c r="E443" s="58" t="n">
        <v>-46.555641</v>
      </c>
    </row>
    <row r="444">
      <c r="A444" t="n">
        <v>8209159</v>
      </c>
      <c r="B444" t="inlineStr">
        <is>
          <t>R. Azevedo Soares, 1846</t>
        </is>
      </c>
      <c r="C444" t="inlineStr">
        <is>
          <t>Ref.: R Francisco Marengo</t>
        </is>
      </c>
      <c r="D444" s="58" t="n">
        <v>-23.547359</v>
      </c>
      <c r="E444" s="58" t="n">
        <v>-46.558155</v>
      </c>
    </row>
    <row r="445">
      <c r="A445" t="n">
        <v>8209197</v>
      </c>
      <c r="B445" t="inlineStr">
        <is>
          <t>R. Francisco Marengo, 947</t>
        </is>
      </c>
      <c r="C445" t="inlineStr">
        <is>
          <t>Ref.: R Emilio Mallet</t>
        </is>
      </c>
      <c r="D445" s="58" t="n">
        <v>-23.545318</v>
      </c>
      <c r="E445" s="58" t="n">
        <v>-46.558318</v>
      </c>
    </row>
    <row r="446">
      <c r="A446" t="n">
        <v>8209202</v>
      </c>
      <c r="B446" t="inlineStr">
        <is>
          <t>R. Serra De Braganca, 1648</t>
        </is>
      </c>
      <c r="C446" t="inlineStr">
        <is>
          <t>Ref.: R Francisco Marengo</t>
        </is>
      </c>
      <c r="D446" s="58" t="n">
        <v>-23.543232</v>
      </c>
      <c r="E446" s="58" t="n">
        <v>-46.559096</v>
      </c>
    </row>
    <row r="447">
      <c r="A447" t="n">
        <v>8209203</v>
      </c>
      <c r="B447" t="inlineStr">
        <is>
          <t>R. Serra De Botucatu, 1195</t>
        </is>
      </c>
      <c r="C447" t="inlineStr">
        <is>
          <t>Ref.: R Monte Serrat</t>
        </is>
      </c>
      <c r="D447" s="58" t="n">
        <v>-23.542253</v>
      </c>
      <c r="E447" s="58" t="n">
        <v>-46.560417</v>
      </c>
    </row>
    <row r="448">
      <c r="A448" t="n">
        <v>8209682</v>
      </c>
      <c r="B448" t="inlineStr">
        <is>
          <t>R. Serra De Braganca, 1304</t>
        </is>
      </c>
      <c r="C448" t="inlineStr">
        <is>
          <t>Ref.: R Cacaueira</t>
        </is>
      </c>
      <c r="D448" s="58" t="n">
        <v>-23.543952</v>
      </c>
      <c r="E448" s="58" t="n">
        <v>-46.56281</v>
      </c>
    </row>
    <row r="449">
      <c r="A449" t="n">
        <v>8209683</v>
      </c>
      <c r="B449" t="inlineStr">
        <is>
          <t>R. Serra De Braganca, 1086</t>
        </is>
      </c>
      <c r="C449" t="inlineStr">
        <is>
          <t>Ref.: R Apucarana</t>
        </is>
      </c>
      <c r="D449" s="58" t="n">
        <v>-23.544389</v>
      </c>
      <c r="E449" s="58" t="n">
        <v>-46.564916</v>
      </c>
    </row>
    <row r="450">
      <c r="A450" t="n">
        <v>8209718</v>
      </c>
      <c r="B450" t="inlineStr">
        <is>
          <t>R. Pe. Adelino, 1787</t>
        </is>
      </c>
      <c r="C450" t="inlineStr">
        <is>
          <t>Ref.: R. Ipojuca / R. Bom Sucesso</t>
        </is>
      </c>
      <c r="D450" s="58" t="n">
        <v>-23.544135</v>
      </c>
      <c r="E450" s="58" t="n">
        <v>-46.577342</v>
      </c>
    </row>
    <row r="451">
      <c r="A451" t="n">
        <v>8209765</v>
      </c>
      <c r="B451" t="inlineStr">
        <is>
          <t>R. Melo Freire, 3216</t>
        </is>
      </c>
      <c r="C451" t="inlineStr">
        <is>
          <t>Ref.: Serra Do Japi</t>
        </is>
      </c>
      <c r="D451" s="58" t="n">
        <v>-23.539325</v>
      </c>
      <c r="E451" s="58" t="n">
        <v>-46.570208</v>
      </c>
    </row>
    <row r="452">
      <c r="A452" t="n">
        <v>8209773</v>
      </c>
      <c r="B452" t="inlineStr">
        <is>
          <t>R. Serra De Braganca (pça. Silvio Romero), 174</t>
        </is>
      </c>
      <c r="C452" t="inlineStr">
        <is>
          <t>Ref.: 201 R Coelho Lisboa</t>
        </is>
      </c>
      <c r="D452" s="58" t="n">
        <v>-23.546081</v>
      </c>
      <c r="E452" s="58" t="n">
        <v>-46.573548</v>
      </c>
    </row>
    <row r="453">
      <c r="A453" t="n">
        <v>8209782</v>
      </c>
      <c r="B453" t="inlineStr">
        <is>
          <t>Parada Metrô Tatuapé</t>
        </is>
      </c>
      <c r="C453" t="inlineStr">
        <is>
          <t>R. Melo Freire Ref.: Metrô Tatuape - B/C</t>
        </is>
      </c>
      <c r="D453" s="58" t="n">
        <v>-23.540535</v>
      </c>
      <c r="E453" s="58" t="n">
        <v>-46.576026</v>
      </c>
    </row>
    <row r="454">
      <c r="A454" t="n">
        <v>8210163</v>
      </c>
      <c r="B454" t="inlineStr">
        <is>
          <t>Tatuapé</t>
        </is>
      </c>
      <c r="D454" s="58" t="n">
        <v>-23.5401</v>
      </c>
      <c r="E454" s="58" t="n">
        <v>-46.5765</v>
      </c>
    </row>
    <row r="455">
      <c r="A455" t="n">
        <v>8210164</v>
      </c>
      <c r="B455" t="inlineStr">
        <is>
          <t>Tatuapé</t>
        </is>
      </c>
      <c r="D455" s="58" t="n">
        <v>-23.540189</v>
      </c>
      <c r="E455" s="58" t="n">
        <v>-46.576374</v>
      </c>
    </row>
    <row r="456">
      <c r="A456" t="n">
        <v>8210185</v>
      </c>
      <c r="B456" t="inlineStr">
        <is>
          <t>R. Francisco Marengo, 744</t>
        </is>
      </c>
      <c r="C456" t="inlineStr">
        <is>
          <t>Ref.: Rua Cantagalo</t>
        </is>
      </c>
      <c r="D456" s="58" t="n">
        <v>-23.543716</v>
      </c>
      <c r="E456" s="58" t="n">
        <v>-46.558795</v>
      </c>
    </row>
    <row r="457">
      <c r="A457" t="n">
        <v>8210186</v>
      </c>
      <c r="B457" t="inlineStr">
        <is>
          <t>Terminal Metrô Tatuapé (lado Sul- Shop. Tatuapé)</t>
        </is>
      </c>
      <c r="D457" s="58" t="n">
        <v>-23.540904</v>
      </c>
      <c r="E457" s="58" t="n">
        <v>-46.57611</v>
      </c>
    </row>
    <row r="458">
      <c r="A458" t="n">
        <v>8210187</v>
      </c>
      <c r="B458" t="inlineStr">
        <is>
          <t>Terminal Metrô Tatuapé (lado Sul- Shop. Tatuapé)</t>
        </is>
      </c>
      <c r="C458" t="inlineStr">
        <is>
          <t>Term. Metrô Tatuapé (lado Sul- Shop. Tatuapé) Ref.: R. Cruz Alta</t>
        </is>
      </c>
      <c r="D458" s="58" t="n">
        <v>-23.540938</v>
      </c>
      <c r="E458" s="58" t="n">
        <v>-46.576301</v>
      </c>
    </row>
    <row r="459">
      <c r="A459" t="n">
        <v>8210188</v>
      </c>
      <c r="B459" t="inlineStr">
        <is>
          <t>Terminal Metrô Tatuapé (lado Sul- Shop. Tatuapé)</t>
        </is>
      </c>
      <c r="D459" s="58" t="n">
        <v>-23.540973</v>
      </c>
      <c r="E459" s="58" t="n">
        <v>-46.576459</v>
      </c>
    </row>
    <row r="460">
      <c r="A460" t="n">
        <v>8210189</v>
      </c>
      <c r="B460" t="inlineStr">
        <is>
          <t>Terminal Metrô Tatuapé (lado Sul- Shop. Tatuapé)</t>
        </is>
      </c>
      <c r="D460" s="58" t="n">
        <v>-23.54101</v>
      </c>
      <c r="E460" s="58" t="n">
        <v>-46.576636</v>
      </c>
    </row>
    <row r="461">
      <c r="A461" t="n">
        <v>8210199</v>
      </c>
      <c r="B461" t="inlineStr">
        <is>
          <t>Terminal Metrô Tatuapé (lado Sul- Shop. Tatuapé)</t>
        </is>
      </c>
      <c r="D461" s="58" t="n">
        <v>-23.541019</v>
      </c>
      <c r="E461" s="58" t="n">
        <v>-46.575893</v>
      </c>
    </row>
    <row r="462">
      <c r="A462" t="n">
        <v>8210206</v>
      </c>
      <c r="B462" t="inlineStr">
        <is>
          <t>R. Melo Freire</t>
        </is>
      </c>
      <c r="C462" t="inlineStr">
        <is>
          <t>Ref.: Próx. Estação Do Metrô Carrão</t>
        </is>
      </c>
      <c r="D462" s="58" t="n">
        <v>-23.538135</v>
      </c>
      <c r="E462" s="58" t="n">
        <v>-46.565031</v>
      </c>
    </row>
    <row r="463">
      <c r="A463" t="n">
        <v>8210209</v>
      </c>
      <c r="B463" t="inlineStr">
        <is>
          <t>R. Francisco Marengo, 715</t>
        </is>
      </c>
      <c r="C463" t="inlineStr">
        <is>
          <t>Ref.: Entre As Ruas Serra De Bragança E Rua Joao Almeida</t>
        </is>
      </c>
      <c r="D463" s="58" t="n">
        <v>-23.543522</v>
      </c>
      <c r="E463" s="58" t="n">
        <v>-46.558848</v>
      </c>
    </row>
    <row r="464">
      <c r="A464" t="n">
        <v>8210213</v>
      </c>
      <c r="B464" t="inlineStr">
        <is>
          <t>R. Coelho Lisboa, 677</t>
        </is>
      </c>
      <c r="C464" t="inlineStr">
        <is>
          <t>Ref.: Rua Azevedo Soares</t>
        </is>
      </c>
      <c r="D464" s="58" t="n">
        <v>-23.55023</v>
      </c>
      <c r="E464" s="58" t="n">
        <v>-46.571594</v>
      </c>
    </row>
    <row r="465">
      <c r="A465" t="n">
        <v>8210227</v>
      </c>
      <c r="B465" t="inlineStr">
        <is>
          <t>R. Francisco Marengo, 1112</t>
        </is>
      </c>
      <c r="C465" t="inlineStr">
        <is>
          <t>Ref.: Rua Azevedo Soares</t>
        </is>
      </c>
      <c r="D465" s="58" t="n">
        <v>-23.546944</v>
      </c>
      <c r="E465" s="58" t="n">
        <v>-46.55801</v>
      </c>
    </row>
    <row r="466">
      <c r="A466" t="n">
        <v>8210236</v>
      </c>
      <c r="B466" t="inlineStr">
        <is>
          <t>Parada 2</t>
        </is>
      </c>
      <c r="C466" t="inlineStr">
        <is>
          <t>R. Melo Freire, 4952 Ref.: Rua Pedro Bellegarde/ Rua Antonio De Barros</t>
        </is>
      </c>
      <c r="D466" s="58" t="n">
        <v>-23.537073</v>
      </c>
      <c r="E466" s="58" t="n">
        <v>-46.558345</v>
      </c>
    </row>
    <row r="467">
      <c r="A467" t="n">
        <v>8210261</v>
      </c>
      <c r="B467" t="inlineStr">
        <is>
          <t>R. Bonsucesso, 343</t>
        </is>
      </c>
      <c r="C467" t="inlineStr">
        <is>
          <t>Ref.: Rua Fernão Tavares</t>
        </is>
      </c>
      <c r="D467" s="58" t="n">
        <v>-23.543841</v>
      </c>
      <c r="E467" s="58" t="n">
        <v>-46.576684</v>
      </c>
    </row>
    <row r="468">
      <c r="A468" t="n">
        <v>8210270</v>
      </c>
      <c r="B468" t="inlineStr">
        <is>
          <t>R. Euclides Pacheco, 439</t>
        </is>
      </c>
      <c r="C468" t="inlineStr">
        <is>
          <t>Ref.: Rua Serra Da Jureia</t>
        </is>
      </c>
      <c r="D468" s="58" t="n">
        <v>-23.54858</v>
      </c>
      <c r="E468" s="58" t="n">
        <v>-46.570492</v>
      </c>
    </row>
    <row r="469">
      <c r="A469" t="n">
        <v>8210271</v>
      </c>
      <c r="B469" t="inlineStr">
        <is>
          <t>R. Euclides Pacheco, 705</t>
        </is>
      </c>
      <c r="C469" t="inlineStr">
        <is>
          <t>Ref.: Rua Isabel Morales Mota / Rua Serra De Japi</t>
        </is>
      </c>
      <c r="D469" s="58" t="n">
        <v>-23.548074</v>
      </c>
      <c r="E469" s="58" t="n">
        <v>-46.567987</v>
      </c>
    </row>
    <row r="470">
      <c r="A470" t="n">
        <v>8210272</v>
      </c>
      <c r="B470" t="inlineStr">
        <is>
          <t>R. Euclides Pacheco, 998</t>
        </is>
      </c>
      <c r="C470" t="inlineStr">
        <is>
          <t>Ref.: Rua Itapura</t>
        </is>
      </c>
      <c r="D470" s="58" t="n">
        <v>-23.547543</v>
      </c>
      <c r="E470" s="58" t="n">
        <v>-46.565229</v>
      </c>
    </row>
    <row r="471">
      <c r="A471" t="n">
        <v>8210273</v>
      </c>
      <c r="B471" t="inlineStr">
        <is>
          <t>R. Euclides Pacheco, 1245</t>
        </is>
      </c>
      <c r="C471" t="inlineStr">
        <is>
          <t>Ref.: Rua Apucarana</t>
        </is>
      </c>
      <c r="D471" s="58" t="n">
        <v>-23.547076</v>
      </c>
      <c r="E471" s="58" t="n">
        <v>-46.562772</v>
      </c>
    </row>
    <row r="472">
      <c r="A472" t="n">
        <v>8210274</v>
      </c>
      <c r="B472" t="inlineStr">
        <is>
          <t>R. Euclides Pacheco, 1499</t>
        </is>
      </c>
      <c r="C472" t="inlineStr">
        <is>
          <t>Ref.: Rua Mont Serrat</t>
        </is>
      </c>
      <c r="D472" s="58" t="n">
        <v>-23.546584</v>
      </c>
      <c r="E472" s="58" t="n">
        <v>-46.560364</v>
      </c>
    </row>
    <row r="473">
      <c r="A473" t="n">
        <v>8210275</v>
      </c>
      <c r="B473" t="inlineStr">
        <is>
          <t>R. Euclides Pacheco, 1769</t>
        </is>
      </c>
      <c r="C473" t="inlineStr">
        <is>
          <t>Ref.: Rua Francisco Marengo</t>
        </is>
      </c>
      <c r="D473" s="58" t="n">
        <v>-23.546063</v>
      </c>
      <c r="E473" s="58" t="n">
        <v>-46.557735</v>
      </c>
    </row>
    <row r="474">
      <c r="A474" t="n">
        <v>8210279</v>
      </c>
      <c r="B474" t="inlineStr">
        <is>
          <t>R. Tijuco Preto, 367</t>
        </is>
      </c>
      <c r="C474" t="inlineStr">
        <is>
          <t>Ref.: Rua Visconde De Itaborai/ Rua Fernandes Pinheiro</t>
        </is>
      </c>
      <c r="D474" s="58" t="n">
        <v>-23.54402</v>
      </c>
      <c r="E474" s="58" t="n">
        <v>-46.572212</v>
      </c>
    </row>
    <row r="475">
      <c r="A475" t="n">
        <v>8210280</v>
      </c>
      <c r="B475" t="inlineStr">
        <is>
          <t>R. Antônio De Barros, 1831</t>
        </is>
      </c>
      <c r="C475" t="inlineStr">
        <is>
          <t>Ref.: Rua Euclides Pacheco</t>
        </is>
      </c>
      <c r="D475" s="58" t="n">
        <v>-23.545978</v>
      </c>
      <c r="E475" s="58" t="n">
        <v>-46.555627</v>
      </c>
    </row>
    <row r="476">
      <c r="A476" t="n">
        <v>8210283</v>
      </c>
      <c r="B476" t="inlineStr">
        <is>
          <t>R. Domingos Agostim, 120</t>
        </is>
      </c>
      <c r="C476" t="inlineStr">
        <is>
          <t>Ref.: Rua Tuiuti</t>
        </is>
      </c>
      <c r="D476" s="58" t="n">
        <v>-23.541996</v>
      </c>
      <c r="E476" s="58" t="n">
        <v>-46.575744</v>
      </c>
    </row>
    <row r="477">
      <c r="A477" t="n">
        <v>8210288</v>
      </c>
      <c r="B477" t="inlineStr">
        <is>
          <t>R. Serra De Braganca, 880</t>
        </is>
      </c>
      <c r="C477" t="inlineStr">
        <is>
          <t>Ref.: Rua Itapura</t>
        </is>
      </c>
      <c r="D477" s="58" t="n">
        <v>-23.544727</v>
      </c>
      <c r="E477" s="58" t="n">
        <v>-46.566734</v>
      </c>
    </row>
    <row r="478">
      <c r="A478" t="n">
        <v>8615209</v>
      </c>
      <c r="B478" t="inlineStr">
        <is>
          <t>Jardim Helena - Vila Mara</t>
        </is>
      </c>
      <c r="D478" s="58" t="n">
        <v>-23.492765</v>
      </c>
      <c r="E478" s="58" t="n">
        <v>-46.420369</v>
      </c>
    </row>
    <row r="479">
      <c r="A479" t="n">
        <v>8704588</v>
      </c>
      <c r="B479" t="inlineStr">
        <is>
          <t>R. Aurora Das Dores, 470</t>
        </is>
      </c>
      <c r="C479" t="inlineStr">
        <is>
          <t>Ref.: Rua Sétimo Peacci</t>
        </is>
      </c>
      <c r="D479" s="58" t="n">
        <v>-23.576094</v>
      </c>
      <c r="E479" s="58" t="n">
        <v>-46.529729</v>
      </c>
    </row>
    <row r="480">
      <c r="A480" t="n">
        <v>8704591</v>
      </c>
      <c r="B480" t="inlineStr">
        <is>
          <t>Av. Cipriano Rodrigues, 718</t>
        </is>
      </c>
      <c r="C480" t="inlineStr">
        <is>
          <t>Ref.: R Mercedes Miguel</t>
        </is>
      </c>
      <c r="D480" s="58" t="n">
        <v>-23.576445</v>
      </c>
      <c r="E480" s="58" t="n">
        <v>-46.52756</v>
      </c>
    </row>
    <row r="481">
      <c r="A481" t="n">
        <v>8704593</v>
      </c>
      <c r="B481" t="inlineStr">
        <is>
          <t>Av. Cipriano Rodrigues, 478</t>
        </is>
      </c>
      <c r="C481" t="inlineStr">
        <is>
          <t>Ref.: Tvbandeira Duarte</t>
        </is>
      </c>
      <c r="D481" s="58" t="n">
        <v>-23.577445</v>
      </c>
      <c r="E481" s="58" t="n">
        <v>-46.525473</v>
      </c>
    </row>
    <row r="482">
      <c r="A482" t="n">
        <v>8704808</v>
      </c>
      <c r="B482" t="inlineStr">
        <is>
          <t>R. Vênus, 424</t>
        </is>
      </c>
      <c r="C482" t="inlineStr">
        <is>
          <t>Ref.: Tv Andre Salai</t>
        </is>
      </c>
      <c r="D482" s="58" t="n">
        <v>-23.565887</v>
      </c>
      <c r="E482" s="58" t="n">
        <v>-46.540859</v>
      </c>
    </row>
    <row r="483">
      <c r="A483" t="n">
        <v>8704811</v>
      </c>
      <c r="B483" t="inlineStr">
        <is>
          <t>R. Aracê, 343</t>
        </is>
      </c>
      <c r="C483" t="inlineStr">
        <is>
          <t>Ref.: Av. Guilherme Giorgi</t>
        </is>
      </c>
      <c r="D483" s="58" t="n">
        <v>-23.56323</v>
      </c>
      <c r="E483" s="58" t="n">
        <v>-46.542885</v>
      </c>
    </row>
    <row r="484">
      <c r="A484" t="n">
        <v>8704812</v>
      </c>
      <c r="B484" t="inlineStr">
        <is>
          <t>Pça. Dr. Sampaio Vidal, 245</t>
        </is>
      </c>
      <c r="C484" t="inlineStr">
        <is>
          <t>Ref.: R Ima.clotilde</t>
        </is>
      </c>
      <c r="D484" s="58" t="n">
        <v>-23.567267</v>
      </c>
      <c r="E484" s="58" t="n">
        <v>-46.540097</v>
      </c>
    </row>
    <row r="485">
      <c r="A485" t="n">
        <v>8704817</v>
      </c>
      <c r="B485" t="inlineStr">
        <is>
          <t>R. Cabinari, 359</t>
        </is>
      </c>
      <c r="C485" t="inlineStr">
        <is>
          <t>Ref.: Rdo Sagrado Coracao</t>
        </is>
      </c>
      <c r="D485" s="58" t="n">
        <v>-23.565417</v>
      </c>
      <c r="E485" s="58" t="n">
        <v>-46.536723</v>
      </c>
    </row>
    <row r="486">
      <c r="A486" t="n">
        <v>8704829</v>
      </c>
      <c r="B486" t="inlineStr">
        <is>
          <t>Av. Sapopemba, 4180</t>
        </is>
      </c>
      <c r="C486" t="inlineStr">
        <is>
          <t>Ref.: Av Luiz Ferreira Da Silva</t>
        </is>
      </c>
      <c r="D486" s="58" t="n">
        <v>-23.600116</v>
      </c>
      <c r="E486" s="58" t="n">
        <v>-46.512927</v>
      </c>
    </row>
    <row r="487">
      <c r="A487" t="n">
        <v>8704850</v>
      </c>
      <c r="B487" t="inlineStr">
        <is>
          <t>R. Aurora Das Dores, 142</t>
        </is>
      </c>
      <c r="C487" t="inlineStr">
        <is>
          <t>Ref.: R Marmeleiro</t>
        </is>
      </c>
      <c r="D487" s="58" t="n">
        <v>-23.575337</v>
      </c>
      <c r="E487" s="58" t="n">
        <v>-46.532389</v>
      </c>
    </row>
    <row r="488">
      <c r="A488" t="n">
        <v>8709131</v>
      </c>
      <c r="B488" t="inlineStr">
        <is>
          <t>Av. Reg. Feijó, 1462</t>
        </is>
      </c>
      <c r="C488" t="inlineStr">
        <is>
          <t>Ref.: R Gabriel Grupello</t>
        </is>
      </c>
      <c r="D488" s="58" t="n">
        <v>-23.562128</v>
      </c>
      <c r="E488" s="58" t="n">
        <v>-46.562052</v>
      </c>
    </row>
    <row r="489">
      <c r="A489" t="n">
        <v>8709700</v>
      </c>
      <c r="B489" t="inlineStr">
        <is>
          <t>R. Bailique, 364</t>
        </is>
      </c>
      <c r="C489" t="inlineStr">
        <is>
          <t>Ref.: Praça Jose Pavão Faria / Rua Antonio Carlos Martins</t>
        </is>
      </c>
      <c r="D489" s="58" t="n">
        <v>-23.559291</v>
      </c>
      <c r="E489" s="58" t="n">
        <v>-46.546534</v>
      </c>
    </row>
    <row r="490">
      <c r="A490" t="n">
        <v>8709701</v>
      </c>
      <c r="B490" t="inlineStr">
        <is>
          <t>R. Bailique, 364</t>
        </is>
      </c>
      <c r="C490" t="inlineStr">
        <is>
          <t>Ref.: Rua Henrique Ribeiro / Rua Zodiaco</t>
        </is>
      </c>
      <c r="D490" s="58" t="n">
        <v>-23.559379</v>
      </c>
      <c r="E490" s="58" t="n">
        <v>-46.546443</v>
      </c>
    </row>
    <row r="491">
      <c r="A491" t="n">
        <v>8709725</v>
      </c>
      <c r="B491" t="inlineStr">
        <is>
          <t>R. Antônio Alves Barril, 145</t>
        </is>
      </c>
      <c r="C491" t="inlineStr">
        <is>
          <t>Ref.: Artem</t>
        </is>
      </c>
      <c r="D491" s="58" t="n">
        <v>-23.560682</v>
      </c>
      <c r="E491" s="58" t="n">
        <v>-46.561973</v>
      </c>
    </row>
    <row r="492">
      <c r="A492" t="n">
        <v>8709751</v>
      </c>
      <c r="B492" t="inlineStr">
        <is>
          <t>R. Arapoca, 153</t>
        </is>
      </c>
      <c r="C492" t="inlineStr">
        <is>
          <t>Ref.: Próximo A Pç.a Dr. Sampaio Vidal</t>
        </is>
      </c>
      <c r="D492" s="58" t="n">
        <v>-23.566055</v>
      </c>
      <c r="E492" s="58" t="n">
        <v>-46.541704</v>
      </c>
    </row>
    <row r="493">
      <c r="A493" t="n">
        <v>8709757</v>
      </c>
      <c r="B493" t="inlineStr">
        <is>
          <t>Av. Dr. Eduardo Cotching, 126</t>
        </is>
      </c>
      <c r="C493" t="inlineStr">
        <is>
          <t>Ref.: Rua Ápio Cláudio / Rua Jorge Bittar</t>
        </is>
      </c>
      <c r="D493" s="58" t="n">
        <v>-23.562744</v>
      </c>
      <c r="E493" s="58" t="n">
        <v>-46.558566</v>
      </c>
    </row>
    <row r="494">
      <c r="A494" t="n">
        <v>8709759</v>
      </c>
      <c r="B494" t="inlineStr">
        <is>
          <t>R. Eleonora Cintra, 510</t>
        </is>
      </c>
      <c r="C494" t="inlineStr">
        <is>
          <t>Ref.: Rua José Alexandre Almeida Luiz</t>
        </is>
      </c>
      <c r="D494" s="58" t="n">
        <v>-23.556953</v>
      </c>
      <c r="E494" s="58" t="n">
        <v>-46.559492</v>
      </c>
    </row>
    <row r="495">
      <c r="A495" t="n">
        <v>8709761</v>
      </c>
      <c r="B495" t="inlineStr">
        <is>
          <t>Av. Dr. Eduardo Cotching, 287</t>
        </is>
      </c>
      <c r="C495" t="inlineStr">
        <is>
          <t>Ref.: R Nicolau Coelho</t>
        </is>
      </c>
      <c r="D495" s="58" t="n">
        <v>-23.562382</v>
      </c>
      <c r="E495" s="58" t="n">
        <v>-46.557487</v>
      </c>
    </row>
    <row r="496">
      <c r="A496" t="n">
        <v>8709762</v>
      </c>
      <c r="B496" t="inlineStr">
        <is>
          <t>R. Da. Vitória Speers, 908</t>
        </is>
      </c>
      <c r="C496" t="inlineStr">
        <is>
          <t>Ref.: Praça Artur De Melo / Rua São Martinho</t>
        </is>
      </c>
      <c r="D496" s="58" t="n">
        <v>-23.569393</v>
      </c>
      <c r="E496" s="58" t="n">
        <v>-46.55214</v>
      </c>
    </row>
    <row r="497">
      <c r="A497" t="n">
        <v>8709771</v>
      </c>
      <c r="B497" t="inlineStr">
        <is>
          <t>Ac. Acesso A, 177</t>
        </is>
      </c>
      <c r="C497" t="inlineStr">
        <is>
          <t>Ref.: Av. Regente Feijò - Leroy Merlin</t>
        </is>
      </c>
      <c r="D497" s="58" t="n">
        <v>-23.561431</v>
      </c>
      <c r="E497" s="58" t="n">
        <v>-46.562803</v>
      </c>
    </row>
    <row r="498">
      <c r="A498" t="n">
        <v>8709774</v>
      </c>
      <c r="B498" t="inlineStr">
        <is>
          <t>Av. Dr. Eduardo Cotching, 410</t>
        </is>
      </c>
      <c r="C498" t="inlineStr">
        <is>
          <t>Ref.: Pça. Coxim</t>
        </is>
      </c>
      <c r="D498" s="58" t="n">
        <v>-23.562223</v>
      </c>
      <c r="E498" s="58" t="n">
        <v>-46.555926</v>
      </c>
    </row>
    <row r="499">
      <c r="A499" t="n">
        <v>8709775</v>
      </c>
      <c r="B499" t="inlineStr">
        <is>
          <t>Av. Dr. Eduardo Cotching, 638</t>
        </is>
      </c>
      <c r="C499" t="inlineStr">
        <is>
          <t>Ref.: Rua Curupá</t>
        </is>
      </c>
      <c r="D499" s="58" t="n">
        <v>-23.563082</v>
      </c>
      <c r="E499" s="58" t="n">
        <v>-46.554338</v>
      </c>
    </row>
    <row r="500">
      <c r="A500" t="n">
        <v>8709778</v>
      </c>
      <c r="B500" t="inlineStr">
        <is>
          <t>Av. João XxIII, 634</t>
        </is>
      </c>
      <c r="C500" t="inlineStr">
        <is>
          <t>Ref.: Av. Antonio Manograsso</t>
        </is>
      </c>
      <c r="D500" s="58" t="n">
        <v>-23.572707</v>
      </c>
      <c r="E500" s="58" t="n">
        <v>-46.534585</v>
      </c>
    </row>
    <row r="501">
      <c r="A501" t="n">
        <v>8709781</v>
      </c>
      <c r="B501" t="inlineStr">
        <is>
          <t>R. Maria Otília, 210</t>
        </is>
      </c>
      <c r="D501" s="58" t="n">
        <v>-23.553203</v>
      </c>
      <c r="E501" s="58" t="n">
        <v>-46.567783</v>
      </c>
    </row>
    <row r="502">
      <c r="A502" t="n">
        <v>8709782</v>
      </c>
      <c r="B502" t="inlineStr">
        <is>
          <t>R. Arapacu</t>
        </is>
      </c>
      <c r="C502" t="inlineStr">
        <is>
          <t>Ref.: Rua Chagu / Praça Monsenhor Heladio Laurini</t>
        </is>
      </c>
      <c r="D502" s="58" t="n">
        <v>-23.566445</v>
      </c>
      <c r="E502" s="58" t="n">
        <v>-46.552049</v>
      </c>
    </row>
    <row r="503">
      <c r="A503" t="n">
        <v>8709783</v>
      </c>
      <c r="B503" t="inlineStr">
        <is>
          <t>R. Chagu, 530</t>
        </is>
      </c>
      <c r="C503" t="inlineStr">
        <is>
          <t>Ref.: Rua Dona Victoria Speers</t>
        </is>
      </c>
      <c r="D503" s="58" t="n">
        <v>-23.567307</v>
      </c>
      <c r="E503" s="58" t="n">
        <v>-46.553702</v>
      </c>
    </row>
    <row r="504">
      <c r="A504" t="n">
        <v>8709784</v>
      </c>
      <c r="B504" t="inlineStr">
        <is>
          <t>R. Acurui, 118</t>
        </is>
      </c>
      <c r="C504" t="inlineStr">
        <is>
          <t>Ref.: Praça Bela Lorena</t>
        </is>
      </c>
      <c r="D504" s="58" t="n">
        <v>-23.557029</v>
      </c>
      <c r="E504" s="58" t="n">
        <v>-46.553465</v>
      </c>
    </row>
    <row r="505">
      <c r="A505" t="n">
        <v>8709785</v>
      </c>
      <c r="B505" t="inlineStr">
        <is>
          <t>R. Chagu, 463</t>
        </is>
      </c>
      <c r="C505" t="inlineStr">
        <is>
          <t>Ref.: Rua Ituri</t>
        </is>
      </c>
      <c r="D505" s="58" t="n">
        <v>-23.56711</v>
      </c>
      <c r="E505" s="58" t="n">
        <v>-46.553381</v>
      </c>
    </row>
    <row r="506">
      <c r="A506" t="n">
        <v>8812651</v>
      </c>
      <c r="B506" t="inlineStr">
        <is>
          <t>Av. Morvan Dias De Figueiredo</t>
        </is>
      </c>
      <c r="C506" t="inlineStr">
        <is>
          <t>Ref.: Rua Voluntários Da Pátria/ponte Das Bandeiras</t>
        </is>
      </c>
      <c r="D506" s="58" t="n">
        <v>-23.518284</v>
      </c>
      <c r="E506" s="58" t="n">
        <v>-46.627928</v>
      </c>
    </row>
    <row r="507">
      <c r="A507" t="n">
        <v>9110132</v>
      </c>
      <c r="B507" t="inlineStr">
        <is>
          <t>R. Sd. José Vicente De Paula</t>
        </is>
      </c>
      <c r="C507" t="inlineStr">
        <is>
          <t>Ref.: Al S-srg.andiras Nogueira De Abreu - Lateral Da Cei Diret Parque Novo Mundo</t>
        </is>
      </c>
      <c r="D507" s="58" t="n">
        <v>-23.520175</v>
      </c>
      <c r="E507" s="58" t="n">
        <v>-46.565926</v>
      </c>
    </row>
    <row r="508">
      <c r="A508" t="n">
        <v>9110137</v>
      </c>
      <c r="B508" t="inlineStr">
        <is>
          <t>R. Cb. Oscar Rossini, 805</t>
        </is>
      </c>
      <c r="C508" t="inlineStr">
        <is>
          <t>Ref.: Al S-srg.ananias Holanda Oliveira</t>
        </is>
      </c>
      <c r="D508" s="58" t="n">
        <v>-23.517299</v>
      </c>
      <c r="E508" s="58" t="n">
        <v>-46.570387</v>
      </c>
    </row>
    <row r="509">
      <c r="A509" t="n">
        <v>9110180</v>
      </c>
      <c r="B509" t="inlineStr">
        <is>
          <t>Av. José Maria Fernandes, 455</t>
        </is>
      </c>
      <c r="C509" t="inlineStr">
        <is>
          <t>Ref.: R. Cb. Eliseu Pinhal / R. Sd. Geraldo Augusto Dos Santos</t>
        </is>
      </c>
      <c r="D509" s="58" t="n">
        <v>-23.512493</v>
      </c>
      <c r="E509" s="58" t="n">
        <v>-46.568087</v>
      </c>
    </row>
    <row r="510">
      <c r="A510" t="n">
        <v>9110310</v>
      </c>
      <c r="B510" t="inlineStr">
        <is>
          <t>R. Cb. Oscar Rossini, 680</t>
        </is>
      </c>
      <c r="C510" t="inlineStr">
        <is>
          <t>Ref.: 699 Al S-srg.ananias Holanda Oliveira</t>
        </is>
      </c>
      <c r="D510" s="58" t="n">
        <v>-23.517855</v>
      </c>
      <c r="E510" s="58" t="n">
        <v>-46.570275</v>
      </c>
    </row>
    <row r="511">
      <c r="A511" t="n">
        <v>9110540</v>
      </c>
      <c r="B511" t="inlineStr">
        <is>
          <t>Av. Guilherme Cotching, 434</t>
        </is>
      </c>
      <c r="C511" t="inlineStr">
        <is>
          <t>Ref.: Rua Antônio Fonseca</t>
        </is>
      </c>
      <c r="D511" s="58" t="n">
        <v>-23.524347</v>
      </c>
      <c r="E511" s="58" t="n">
        <v>-46.594221</v>
      </c>
    </row>
    <row r="512">
      <c r="A512" t="n">
        <v>9112353</v>
      </c>
      <c r="B512" t="inlineStr">
        <is>
          <t>R. Francisco Fanganiello, 127</t>
        </is>
      </c>
      <c r="C512" t="inlineStr">
        <is>
          <t>Ref.: Av Morvan Dias De Figueiredo/avenida Emilio Giaquinto</t>
        </is>
      </c>
      <c r="D512" s="58" t="n">
        <v>-23.522007</v>
      </c>
      <c r="E512" s="58" t="n">
        <v>-46.561737</v>
      </c>
    </row>
    <row r="513">
      <c r="A513" t="n">
        <v>9112409</v>
      </c>
      <c r="B513" t="inlineStr">
        <is>
          <t>Av. José Maria Fernandes, 480</t>
        </is>
      </c>
      <c r="C513" t="inlineStr">
        <is>
          <t>Ref.: R. Cb. Elizeu Pinhal</t>
        </is>
      </c>
      <c r="D513" s="58" t="n">
        <v>-23.511958</v>
      </c>
      <c r="E513" s="58" t="n">
        <v>-46.567761</v>
      </c>
    </row>
    <row r="514">
      <c r="A514" t="n">
        <v>9112433</v>
      </c>
      <c r="B514" t="inlineStr">
        <is>
          <t>R. Francisco Fanganiello, 490</t>
        </is>
      </c>
      <c r="C514" t="inlineStr">
        <is>
          <t>Ref.: Travessa Manoel Martinho</t>
        </is>
      </c>
      <c r="D514" s="58" t="n">
        <v>-23.518453</v>
      </c>
      <c r="E514" s="58" t="n">
        <v>-46.562137</v>
      </c>
    </row>
    <row r="515">
      <c r="A515" t="n">
        <v>9112457</v>
      </c>
      <c r="B515" t="inlineStr">
        <is>
          <t>Pça. João De Oliveira</t>
        </is>
      </c>
      <c r="C515" t="inlineStr">
        <is>
          <t>Ref.: Av. Prof.castro Júnior</t>
        </is>
      </c>
      <c r="D515" s="58" t="n">
        <v>-23.495743</v>
      </c>
      <c r="E515" s="58" t="n">
        <v>-46.575804</v>
      </c>
    </row>
    <row r="516">
      <c r="A516" t="n">
        <v>9112459</v>
      </c>
      <c r="B516" t="inlineStr">
        <is>
          <t>Av. Serafim Gonçalves Pereira, 284</t>
        </is>
      </c>
      <c r="C516" t="inlineStr">
        <is>
          <t>Ref.: R. Sd.albino Cesar / R. Sd.josé Vicente De Paula</t>
        </is>
      </c>
      <c r="D516" s="58" t="n">
        <v>-23.521947</v>
      </c>
      <c r="E516" s="58" t="n">
        <v>-46.568137</v>
      </c>
    </row>
    <row r="517">
      <c r="A517" t="n">
        <v>9112472</v>
      </c>
      <c r="B517" t="inlineStr">
        <is>
          <t>Av. Das Cerejeiras, 1081</t>
        </is>
      </c>
      <c r="D517" s="58" t="n">
        <v>-23.507737</v>
      </c>
      <c r="E517" s="58" t="n">
        <v>-46.578413</v>
      </c>
    </row>
    <row r="518">
      <c r="A518" t="n">
        <v>9112474</v>
      </c>
      <c r="B518" t="inlineStr">
        <is>
          <t>Av. Morvan Dias De Figueiredo</t>
        </is>
      </c>
      <c r="D518" s="58" t="n">
        <v>-23.522974</v>
      </c>
      <c r="E518" s="58" t="n">
        <v>-46.565077</v>
      </c>
    </row>
    <row r="519">
      <c r="A519" t="n">
        <v>9112477</v>
      </c>
      <c r="B519" t="inlineStr">
        <is>
          <t>Av. Das Cerejeiras, 527</t>
        </is>
      </c>
      <c r="C519" t="inlineStr">
        <is>
          <t>Ref.: Pc Eduardo Rabelo/ R Samurais</t>
        </is>
      </c>
      <c r="D519" s="58" t="n">
        <v>-23.510928</v>
      </c>
      <c r="E519" s="58" t="n">
        <v>-46.581078</v>
      </c>
    </row>
    <row r="520">
      <c r="A520" t="n">
        <v>9112481</v>
      </c>
      <c r="B520" t="inlineStr">
        <is>
          <t>Av. Tte. Amaro Felicíssimo Da Silveira, 1461</t>
        </is>
      </c>
      <c r="C520" t="inlineStr">
        <is>
          <t>Ref.: R. Sd. Dionísio Chagas / R. Sd. Genésio Valentim</t>
        </is>
      </c>
      <c r="D520" s="58" t="n">
        <v>-23.512233</v>
      </c>
      <c r="E520" s="58" t="n">
        <v>-46.571387</v>
      </c>
    </row>
    <row r="521">
      <c r="A521" t="n">
        <v>9112484</v>
      </c>
      <c r="B521" t="inlineStr">
        <is>
          <t>R. Sd. Antônio Aparecido</t>
        </is>
      </c>
      <c r="C521" t="inlineStr">
        <is>
          <t>R. Sd. Antônio Aparecido Ref.: Praça Antônio Verrastro</t>
        </is>
      </c>
      <c r="D521" s="58" t="n">
        <v>-23.512774</v>
      </c>
      <c r="E521" s="58" t="n">
        <v>-46.566305</v>
      </c>
    </row>
    <row r="522">
      <c r="A522" t="n">
        <v>9206443</v>
      </c>
      <c r="B522" t="inlineStr">
        <is>
          <t>Chácara Klabin</t>
        </is>
      </c>
      <c r="D522" s="58" t="n">
        <v>-23.59299</v>
      </c>
      <c r="E522" s="58" t="n">
        <v>-46.630999</v>
      </c>
    </row>
    <row r="523">
      <c r="A523" t="n">
        <v>9206548</v>
      </c>
      <c r="B523" t="inlineStr">
        <is>
          <t>Hospital São Paulo</t>
        </is>
      </c>
      <c r="D523" s="58" t="n">
        <v>-23.598381</v>
      </c>
      <c r="E523" s="58" t="n">
        <v>-46.645612</v>
      </c>
    </row>
    <row r="524">
      <c r="A524" t="n">
        <v>9206549</v>
      </c>
      <c r="B524" t="inlineStr">
        <is>
          <t>Santa Cruz</t>
        </is>
      </c>
      <c r="D524" s="58" t="n">
        <v>-23.598445</v>
      </c>
      <c r="E524" s="58" t="n">
        <v>-46.636618</v>
      </c>
    </row>
    <row r="525">
      <c r="A525" t="n">
        <v>9206550</v>
      </c>
      <c r="B525" t="inlineStr">
        <is>
          <t>Chácara Klabin</t>
        </is>
      </c>
      <c r="D525" s="58" t="n">
        <v>-23.5926</v>
      </c>
      <c r="E525" s="58" t="n">
        <v>-46.6307</v>
      </c>
    </row>
    <row r="526">
      <c r="A526" t="n">
        <v>9412250</v>
      </c>
      <c r="B526" t="inlineStr">
        <is>
          <t>R. Alonso Peres, 598</t>
        </is>
      </c>
      <c r="C526" t="inlineStr">
        <is>
          <t>Ref.: R Carlos Calvo</t>
        </is>
      </c>
      <c r="D526" s="58" t="n">
        <v>-23.487517</v>
      </c>
      <c r="E526" s="58" t="n">
        <v>-46.568484</v>
      </c>
    </row>
    <row r="527">
      <c r="A527" t="n">
        <v>9412251</v>
      </c>
      <c r="B527" t="inlineStr">
        <is>
          <t>R. Alonso Peres, 491</t>
        </is>
      </c>
      <c r="C527" t="inlineStr">
        <is>
          <t>Ref.: R Batalha Do Jatai</t>
        </is>
      </c>
      <c r="D527" s="58" t="n">
        <v>-23.488488</v>
      </c>
      <c r="E527" s="58" t="n">
        <v>-46.569187</v>
      </c>
    </row>
    <row r="528">
      <c r="A528" t="n">
        <v>9412668</v>
      </c>
      <c r="B528" t="inlineStr">
        <is>
          <t>Av. Milton Da Rocha, 66</t>
        </is>
      </c>
      <c r="C528" t="inlineStr">
        <is>
          <t>Ref.: Vl. Koichiro Yahara</t>
        </is>
      </c>
      <c r="D528" s="58" t="n">
        <v>-23.490833</v>
      </c>
      <c r="E528" s="58" t="n">
        <v>-46.574439</v>
      </c>
    </row>
    <row r="529">
      <c r="A529" t="n">
        <v>9412669</v>
      </c>
      <c r="B529" t="inlineStr">
        <is>
          <t>Av. Roland Garros, 1662</t>
        </is>
      </c>
      <c r="D529" s="58" t="n">
        <v>-23.476437</v>
      </c>
      <c r="E529" s="58" t="n">
        <v>-46.572407</v>
      </c>
    </row>
    <row r="530">
      <c r="A530" t="n">
        <v>9505016</v>
      </c>
      <c r="B530" t="inlineStr">
        <is>
          <t>R. Das Mimosas, 376</t>
        </is>
      </c>
      <c r="C530" t="inlineStr">
        <is>
          <t>Ref.: Rdas Giestas</t>
        </is>
      </c>
      <c r="D530" s="58" t="n">
        <v>-23.595957</v>
      </c>
      <c r="E530" s="58" t="n">
        <v>-46.570661</v>
      </c>
    </row>
    <row r="531">
      <c r="A531" t="n">
        <v>9505320</v>
      </c>
      <c r="B531" t="inlineStr">
        <is>
          <t>R. Ibitirama, 567</t>
        </is>
      </c>
      <c r="C531" t="inlineStr">
        <is>
          <t>Ref.: Praça Dr. Heraclito Corrêa</t>
        </is>
      </c>
      <c r="D531" s="58" t="n">
        <v>-23.586436</v>
      </c>
      <c r="E531" s="58" t="n">
        <v>-46.584533</v>
      </c>
    </row>
    <row r="532">
      <c r="A532" t="n">
        <v>9505468</v>
      </c>
      <c r="B532" t="inlineStr">
        <is>
          <t>Terminal V. Prudente Central, 0</t>
        </is>
      </c>
      <c r="C532" t="inlineStr">
        <is>
          <t>Ref.: Rua Ibitirama</t>
        </is>
      </c>
      <c r="D532" s="58" t="n">
        <v>-23.584901</v>
      </c>
      <c r="E532" s="58" t="n">
        <v>-46.583345</v>
      </c>
    </row>
    <row r="533">
      <c r="A533" t="n">
        <v>9505490</v>
      </c>
      <c r="B533" t="inlineStr">
        <is>
          <t>R. Elidia Maria De Jesus, 64</t>
        </is>
      </c>
      <c r="C533" t="inlineStr">
        <is>
          <t>Ref.: Av. Prof. Luis I A. Mello</t>
        </is>
      </c>
      <c r="D533" s="58" t="n">
        <v>-23.582062</v>
      </c>
      <c r="E533" s="58" t="n">
        <v>-46.564202</v>
      </c>
    </row>
    <row r="534">
      <c r="A534" t="n">
        <v>9505541</v>
      </c>
      <c r="B534" t="inlineStr">
        <is>
          <t>Vila Prudente</t>
        </is>
      </c>
      <c r="D534" s="58" t="n">
        <v>-23.58445</v>
      </c>
      <c r="E534" s="58" t="n">
        <v>-46.581943</v>
      </c>
    </row>
    <row r="535">
      <c r="A535" t="n">
        <v>9505562</v>
      </c>
      <c r="B535" t="inlineStr">
        <is>
          <t>R. Ibitirama, 183</t>
        </is>
      </c>
      <c r="C535" t="inlineStr">
        <is>
          <t>Ref.: 60 Metros Após A Rua Cavour</t>
        </is>
      </c>
      <c r="D535" s="58" t="n">
        <v>-23.583311</v>
      </c>
      <c r="E535" s="58" t="n">
        <v>-46.584852</v>
      </c>
    </row>
    <row r="536">
      <c r="A536" t="n">
        <v>9505577</v>
      </c>
      <c r="B536" t="inlineStr">
        <is>
          <t>Vila Prudente (monotrilho)</t>
        </is>
      </c>
      <c r="D536" s="58" t="n">
        <v>-23.58462</v>
      </c>
      <c r="E536" s="58" t="n">
        <v>-46.583322</v>
      </c>
    </row>
    <row r="537">
      <c r="A537" t="n">
        <v>9505620</v>
      </c>
      <c r="B537" t="inlineStr">
        <is>
          <t>Terminal V. Prudente Central</t>
        </is>
      </c>
      <c r="D537" s="58" t="n">
        <v>-23.584931</v>
      </c>
      <c r="E537" s="58" t="n">
        <v>-46.58312</v>
      </c>
    </row>
    <row r="538">
      <c r="A538" t="n">
        <v>9505635</v>
      </c>
      <c r="B538" t="inlineStr">
        <is>
          <t>Terminal V. Prudente Central</t>
        </is>
      </c>
      <c r="C538" t="inlineStr">
        <is>
          <t>Ref.: Term. V. Prudente - Central - Plat. 2</t>
        </is>
      </c>
      <c r="D538" s="58" t="n">
        <v>-23.584221</v>
      </c>
      <c r="E538" s="58" t="n">
        <v>-46.583838</v>
      </c>
    </row>
    <row r="539">
      <c r="A539" t="n">
        <v>9505636</v>
      </c>
      <c r="B539" t="inlineStr">
        <is>
          <t>Parada Rui Roxo</t>
        </is>
      </c>
      <c r="C539" t="inlineStr">
        <is>
          <t>Av. Prof. Luiz Ignácio Anhaia Mello, 1773 Ref.: Rua Torquato Tasso - Porta Direita</t>
        </is>
      </c>
      <c r="D539" s="58" t="n">
        <v>-23.583956</v>
      </c>
      <c r="E539" s="58" t="n">
        <v>-46.576311</v>
      </c>
    </row>
    <row r="540">
      <c r="A540" t="n">
        <v>9607525</v>
      </c>
      <c r="B540" t="inlineStr">
        <is>
          <t>Vila Sônia</t>
        </is>
      </c>
      <c r="D540" s="58" t="n">
        <v>-23.591689</v>
      </c>
      <c r="E540" s="58" t="n">
        <v>-46.735692</v>
      </c>
    </row>
    <row r="541">
      <c r="A541" t="n">
        <v>10008715</v>
      </c>
      <c r="B541" t="inlineStr">
        <is>
          <t>Av. Ver. Abel Ferreira, 164</t>
        </is>
      </c>
      <c r="C541" t="inlineStr">
        <is>
          <t>Ref.: R Aureliano Lessa/ R Pedro Domingues</t>
        </is>
      </c>
      <c r="D541" s="58" t="n">
        <v>-23.555583</v>
      </c>
      <c r="E541" s="58" t="n">
        <v>-46.574889</v>
      </c>
    </row>
    <row r="542">
      <c r="A542" t="n">
        <v>10008716</v>
      </c>
      <c r="B542" t="inlineStr">
        <is>
          <t>Av. Ver. Abel Ferreira</t>
        </is>
      </c>
      <c r="C542" t="inlineStr">
        <is>
          <t>Ref.: R Analia Franco/ R Aureliano Lessa</t>
        </is>
      </c>
      <c r="D542" s="58" t="n">
        <v>-23.556717</v>
      </c>
      <c r="E542" s="58" t="n">
        <v>-46.572241</v>
      </c>
    </row>
    <row r="543">
      <c r="A543" t="n">
        <v>10008717</v>
      </c>
      <c r="B543" t="inlineStr">
        <is>
          <t>Av. Ver. Abel Ferreira</t>
        </is>
      </c>
      <c r="C543" t="inlineStr">
        <is>
          <t>Ref.: R Guanau/ R Analia Franco</t>
        </is>
      </c>
      <c r="D543" s="58" t="n">
        <v>-23.558097</v>
      </c>
      <c r="E543" s="58" t="n">
        <v>-46.569099</v>
      </c>
    </row>
    <row r="544">
      <c r="A544" t="n">
        <v>10008718</v>
      </c>
      <c r="B544" t="inlineStr">
        <is>
          <t>Av. Ver. Abel Ferreira, 1000</t>
        </is>
      </c>
      <c r="C544" t="inlineStr">
        <is>
          <t>Ref.: Av Regente Feijo/ R Guandu</t>
        </is>
      </c>
      <c r="D544" s="58" t="n">
        <v>-23.559326</v>
      </c>
      <c r="E544" s="58" t="n">
        <v>-46.567342</v>
      </c>
    </row>
    <row r="545">
      <c r="A545" t="n">
        <v>10008719</v>
      </c>
      <c r="B545" t="inlineStr">
        <is>
          <t>Av. Reg. Feijó, 1136</t>
        </is>
      </c>
      <c r="C545" t="inlineStr">
        <is>
          <t>Ref.: R Jose Ribeiro/ R Oiti</t>
        </is>
      </c>
      <c r="D545" s="58" t="n">
        <v>-23.559551</v>
      </c>
      <c r="E545" s="58" t="n">
        <v>-46.567494</v>
      </c>
    </row>
    <row r="546">
      <c r="A546" t="n">
        <v>10008721</v>
      </c>
      <c r="B546" t="inlineStr">
        <is>
          <t>Av. Reg. Feijó, 949</t>
        </is>
      </c>
      <c r="C546" t="inlineStr">
        <is>
          <t>Ref.: R Butia/ R Jose Ribeiro</t>
        </is>
      </c>
      <c r="D546" s="58" t="n">
        <v>-23.558708</v>
      </c>
      <c r="E546" s="58" t="n">
        <v>-46.569346</v>
      </c>
    </row>
    <row r="547">
      <c r="A547" t="n">
        <v>10008723</v>
      </c>
      <c r="B547" t="inlineStr">
        <is>
          <t>Av. Reg. Feijó, 653</t>
        </is>
      </c>
      <c r="C547" t="inlineStr">
        <is>
          <t>Ref.: R Analia Franco/ R Ibo</t>
        </is>
      </c>
      <c r="D547" s="58" t="n">
        <v>-23.55751</v>
      </c>
      <c r="E547" s="58" t="n">
        <v>-46.572018</v>
      </c>
    </row>
    <row r="548">
      <c r="A548" t="n">
        <v>10008724</v>
      </c>
      <c r="B548" t="inlineStr">
        <is>
          <t>Av. Reg. Feijó, 534</t>
        </is>
      </c>
      <c r="C548" t="inlineStr">
        <is>
          <t>Ref.: R Teofilo Dias/ R Analia Franco</t>
        </is>
      </c>
      <c r="D548" s="58" t="n">
        <v>-23.557142</v>
      </c>
      <c r="E548" s="58" t="n">
        <v>-46.572916</v>
      </c>
    </row>
    <row r="549">
      <c r="A549" t="n">
        <v>10008726</v>
      </c>
      <c r="B549" t="inlineStr">
        <is>
          <t>Av. Reg. Feijó, 315</t>
        </is>
      </c>
      <c r="C549" t="inlineStr">
        <is>
          <t>Ref.: R Aureliano Lessa/ R Agua Rasa</t>
        </is>
      </c>
      <c r="D549" s="58" t="n">
        <v>-23.556122</v>
      </c>
      <c r="E549" s="58" t="n">
        <v>-46.575108</v>
      </c>
    </row>
    <row r="550">
      <c r="A550" t="n">
        <v>10008831</v>
      </c>
      <c r="B550" t="inlineStr">
        <is>
          <t>R. Br. Do Serro Largo, 197</t>
        </is>
      </c>
      <c r="C550" t="inlineStr">
        <is>
          <t>Ref.: R Alfredo Vaz Medeiros/ R Pedro Nicolau Bernardo</t>
        </is>
      </c>
      <c r="D550" s="58" t="n">
        <v>-23.552831</v>
      </c>
      <c r="E550" s="58" t="n">
        <v>-46.569662</v>
      </c>
    </row>
    <row r="551">
      <c r="A551" t="n">
        <v>10008832</v>
      </c>
      <c r="B551" t="inlineStr">
        <is>
          <t>R. Bento Gonçalves, 424</t>
        </is>
      </c>
      <c r="C551" t="inlineStr">
        <is>
          <t>Ref.: R Barao Do Serro Largo/ Pc Rosa Laudelina De Carvalho</t>
        </is>
      </c>
      <c r="D551" s="58" t="n">
        <v>-23.553267</v>
      </c>
      <c r="E551" s="58" t="n">
        <v>-46.569668</v>
      </c>
    </row>
    <row r="552">
      <c r="A552" t="n">
        <v>10014098</v>
      </c>
      <c r="B552" t="inlineStr">
        <is>
          <t>Av. Álvaro Ramos, 2129</t>
        </is>
      </c>
      <c r="C552" t="inlineStr">
        <is>
          <t>Ref.: Av Regente Feijo/ Largo Do Arroz</t>
        </is>
      </c>
      <c r="D552" s="58" t="n">
        <v>-23.553723</v>
      </c>
      <c r="E552" s="58" t="n">
        <v>-46.578479</v>
      </c>
    </row>
    <row r="553">
      <c r="A553" t="n">
        <v>10014099</v>
      </c>
      <c r="B553" t="inlineStr">
        <is>
          <t>Av. Álvaro Ramos, 2048</t>
        </is>
      </c>
      <c r="C553" t="inlineStr">
        <is>
          <t>Ref.: R Serra De Jaire/ R Cavalieri</t>
        </is>
      </c>
      <c r="D553" s="58" t="n">
        <v>-23.553104</v>
      </c>
      <c r="E553" s="58" t="n">
        <v>-46.578948</v>
      </c>
    </row>
    <row r="554">
      <c r="A554" t="n">
        <v>10014100</v>
      </c>
      <c r="B554" t="inlineStr">
        <is>
          <t>Av. Álvaro Ramos, 1917</t>
        </is>
      </c>
      <c r="C554" t="inlineStr">
        <is>
          <t>Ref.: R Monte Azul/ R Cavalieri</t>
        </is>
      </c>
      <c r="D554" s="58" t="n">
        <v>-23.552012</v>
      </c>
      <c r="E554" s="58" t="n">
        <v>-46.579417</v>
      </c>
    </row>
    <row r="555">
      <c r="A555" t="n">
        <v>10014101</v>
      </c>
      <c r="B555" t="inlineStr">
        <is>
          <t>Av. Álvaro Ramos, 1828</t>
        </is>
      </c>
      <c r="C555" t="inlineStr">
        <is>
          <t>Ref.: R Silva/ R Teresa</t>
        </is>
      </c>
      <c r="D555" s="58" t="n">
        <v>-23.551352</v>
      </c>
      <c r="E555" s="58" t="n">
        <v>-46.57991</v>
      </c>
    </row>
    <row r="556">
      <c r="A556" t="n">
        <v>40005493</v>
      </c>
      <c r="B556" t="inlineStr">
        <is>
          <t>R. Tuma Maluly, 279</t>
        </is>
      </c>
      <c r="C556" t="inlineStr">
        <is>
          <t>Ref.: R Eduardo Palmerio/ R Sebastiao Marchesoni</t>
        </is>
      </c>
      <c r="D556" s="58" t="n">
        <v>-23.586905</v>
      </c>
      <c r="E556" s="58" t="n">
        <v>-46.510444</v>
      </c>
    </row>
    <row r="557">
      <c r="A557" t="n">
        <v>40005494</v>
      </c>
      <c r="B557" t="inlineStr">
        <is>
          <t>R. Tuma Maluly, 302</t>
        </is>
      </c>
      <c r="C557" t="inlineStr">
        <is>
          <t>Ref.: R Eduardo Palmerio/ R Sebastiao Marchesoni</t>
        </is>
      </c>
      <c r="D557" s="58" t="n">
        <v>-23.586601</v>
      </c>
      <c r="E557" s="58" t="n">
        <v>-46.510403</v>
      </c>
    </row>
    <row r="558">
      <c r="A558" t="n">
        <v>40005495</v>
      </c>
      <c r="B558" t="inlineStr">
        <is>
          <t>R. Tuma Maluly, 461</t>
        </is>
      </c>
      <c r="C558" t="inlineStr">
        <is>
          <t>Ref.: R Domingos Costa/ R Evania De Souza Gomes</t>
        </is>
      </c>
      <c r="D558" s="58" t="n">
        <v>-23.585287</v>
      </c>
      <c r="E558" s="58" t="n">
        <v>-46.510818</v>
      </c>
    </row>
    <row r="559">
      <c r="A559" t="n">
        <v>40005496</v>
      </c>
      <c r="B559" t="inlineStr">
        <is>
          <t>R. Adoniro Augusto De Paula, 8</t>
        </is>
      </c>
      <c r="C559" t="inlineStr">
        <is>
          <t>Ref.: R Barra Do Rio Abaixo/ R Alto Alecrim</t>
        </is>
      </c>
      <c r="D559" s="58" t="n">
        <v>-23.584596</v>
      </c>
      <c r="E559" s="58" t="n">
        <v>-46.510352</v>
      </c>
    </row>
    <row r="560">
      <c r="A560" t="n">
        <v>40005497</v>
      </c>
      <c r="B560" t="inlineStr">
        <is>
          <t>R. Nello Selmi Dei, 281</t>
        </is>
      </c>
      <c r="C560" t="inlineStr">
        <is>
          <t>Ref.: R Maria Laura Figueiredo/ R Costa De Lavos</t>
        </is>
      </c>
      <c r="D560" s="58" t="n">
        <v>-23.583074</v>
      </c>
      <c r="E560" s="58" t="n">
        <v>-46.509676</v>
      </c>
    </row>
    <row r="561">
      <c r="A561" t="n">
        <v>40005509</v>
      </c>
      <c r="B561" t="inlineStr">
        <is>
          <t>R. Amélia Vanso Magnoli, 16</t>
        </is>
      </c>
      <c r="C561" t="inlineStr">
        <is>
          <t>R. Amélia Vanso Magnoli, 16 Ref.: Linha 3029-10 - R Jonas Ranter/ R Henrique Matras</t>
        </is>
      </c>
      <c r="D561" s="58" t="n">
        <v>-23.585274</v>
      </c>
      <c r="E561" s="58" t="n">
        <v>-46.506375</v>
      </c>
    </row>
    <row r="562">
      <c r="A562" t="n">
        <v>40005534</v>
      </c>
      <c r="B562" t="inlineStr">
        <is>
          <t>Av. Inconfidência Mineira, 89</t>
        </is>
      </c>
      <c r="C562" t="inlineStr">
        <is>
          <t>Ref.: R Araguaci/ R Padre Jose Carlos Correia Toledo</t>
        </is>
      </c>
      <c r="D562" s="58" t="n">
        <v>-23.584567</v>
      </c>
      <c r="E562" s="58" t="n">
        <v>-46.519625</v>
      </c>
    </row>
    <row r="563">
      <c r="A563" t="n">
        <v>40005535</v>
      </c>
      <c r="B563" t="inlineStr">
        <is>
          <t>Av. Inconfidência Mineira, 78</t>
        </is>
      </c>
      <c r="C563" t="inlineStr">
        <is>
          <t>Ref.: R Araguaci</t>
        </is>
      </c>
      <c r="D563" s="58" t="n">
        <v>-23.58449</v>
      </c>
      <c r="E563" s="58" t="n">
        <v>-46.519533</v>
      </c>
    </row>
    <row r="564">
      <c r="A564" t="n">
        <v>40005536</v>
      </c>
      <c r="B564" t="inlineStr">
        <is>
          <t>Av. Inconfidência Mineira, 320</t>
        </is>
      </c>
      <c r="C564" t="inlineStr">
        <is>
          <t>Ref.: R Alfaro/ R Alger</t>
        </is>
      </c>
      <c r="D564" s="58" t="n">
        <v>-23.582494</v>
      </c>
      <c r="E564" s="58" t="n">
        <v>-46.518911</v>
      </c>
    </row>
    <row r="565">
      <c r="A565" t="n">
        <v>40005538</v>
      </c>
      <c r="B565" t="inlineStr">
        <is>
          <t>Av. Inconfidência Mineira, 524</t>
        </is>
      </c>
      <c r="C565" t="inlineStr">
        <is>
          <t>Ref.: Tr Ocaso No Mar/ R Claudio Henrique De Paula</t>
        </is>
      </c>
      <c r="D565" s="58" t="n">
        <v>-23.580756</v>
      </c>
      <c r="E565" s="58" t="n">
        <v>-46.518262</v>
      </c>
    </row>
    <row r="566">
      <c r="A566" t="n">
        <v>40005539</v>
      </c>
      <c r="B566" t="inlineStr">
        <is>
          <t>Av. Inconfidência Mineira, 631</t>
        </is>
      </c>
      <c r="C566" t="inlineStr">
        <is>
          <t>Ref.: R Claudio Henrique De Paula/ R Tomas Antonio Gonzaga</t>
        </is>
      </c>
      <c r="D566" s="58" t="n">
        <v>-23.579831</v>
      </c>
      <c r="E566" s="58" t="n">
        <v>-46.518003</v>
      </c>
    </row>
    <row r="567">
      <c r="A567" t="n">
        <v>40005540</v>
      </c>
      <c r="B567" t="inlineStr">
        <is>
          <t>Av. Inconfidência Mineira, 817</t>
        </is>
      </c>
      <c r="C567" t="inlineStr">
        <is>
          <t>Ref.: R Inacio De Alvarenga Peixoto/ R Antonio Maximiano Rodrigues</t>
        </is>
      </c>
      <c r="D567" s="58" t="n">
        <v>-23.578265</v>
      </c>
      <c r="E567" s="58" t="n">
        <v>-46.517223</v>
      </c>
    </row>
    <row r="568">
      <c r="A568" t="n">
        <v>40005541</v>
      </c>
      <c r="B568" t="inlineStr">
        <is>
          <t>Av. Inconfidência Mineira, 846</t>
        </is>
      </c>
      <c r="C568" t="inlineStr">
        <is>
          <t>Ref.: R Carlos De Toledo Mello/ R Padre Jose De Oliveira Rolim</t>
        </is>
      </c>
      <c r="D568" s="58" t="n">
        <v>-23.577714</v>
      </c>
      <c r="E568" s="58" t="n">
        <v>-46.516821</v>
      </c>
    </row>
    <row r="569">
      <c r="A569" t="n">
        <v>40005572</v>
      </c>
      <c r="B569" t="inlineStr">
        <is>
          <t>Av. Da Barreira Grande</t>
        </is>
      </c>
      <c r="C569" t="inlineStr">
        <is>
          <t>Ref.: R Luis Marin Dos Santos/ R Santo Adon</t>
        </is>
      </c>
      <c r="D569" s="58" t="n">
        <v>-23.584795</v>
      </c>
      <c r="E569" s="58" t="n">
        <v>-46.525343</v>
      </c>
    </row>
    <row r="570">
      <c r="A570" t="n">
        <v>40005594</v>
      </c>
      <c r="B570" t="inlineStr">
        <is>
          <t>R. Caravela Rosa, 50</t>
        </is>
      </c>
      <c r="C570" t="inlineStr">
        <is>
          <t>Ref.: R Abdo Salem/ R Walter Imbra Dos Santos</t>
        </is>
      </c>
      <c r="D570" s="58" t="n">
        <v>-23.575334</v>
      </c>
      <c r="E570" s="58" t="n">
        <v>-46.528423</v>
      </c>
    </row>
    <row r="571">
      <c r="A571" t="n">
        <v>40005595</v>
      </c>
      <c r="B571" t="inlineStr">
        <is>
          <t>R. Walter Imbra Dos Santos, 103</t>
        </is>
      </c>
      <c r="C571" t="inlineStr">
        <is>
          <t>Ref.: R Capela De Pedras/ R Barinel</t>
        </is>
      </c>
      <c r="D571" s="58" t="n">
        <v>-23.574785</v>
      </c>
      <c r="E571" s="58" t="n">
        <v>-46.528246</v>
      </c>
    </row>
    <row r="572">
      <c r="A572" t="n">
        <v>40005596</v>
      </c>
      <c r="B572" t="inlineStr">
        <is>
          <t>R. Abdo Salem</t>
        </is>
      </c>
      <c r="C572" t="inlineStr">
        <is>
          <t>Ref.: R Walter Imbra Dos Santos/ R Cesario Melantonio</t>
        </is>
      </c>
      <c r="D572" s="58" t="n">
        <v>-23.574208</v>
      </c>
      <c r="E572" s="58" t="n">
        <v>-46.527585</v>
      </c>
    </row>
    <row r="573">
      <c r="A573" t="n">
        <v>40005597</v>
      </c>
      <c r="B573" t="inlineStr">
        <is>
          <t>R. Abdo Salem, 142</t>
        </is>
      </c>
      <c r="C573" t="inlineStr">
        <is>
          <t>Ref.: R Professor Cicero De Sa Ramalho/ R Tatuacu</t>
        </is>
      </c>
      <c r="D573" s="58" t="n">
        <v>-23.573256</v>
      </c>
      <c r="E573" s="58" t="n">
        <v>-46.527639</v>
      </c>
    </row>
    <row r="574">
      <c r="A574" t="n">
        <v>40005598</v>
      </c>
      <c r="B574" t="inlineStr">
        <is>
          <t>R. Abdo Salem, 20</t>
        </is>
      </c>
      <c r="C574" t="inlineStr">
        <is>
          <t>Ref.: R Vitor Prestes/ R Braulio Brito</t>
        </is>
      </c>
      <c r="D574" s="58" t="n">
        <v>-23.572029</v>
      </c>
      <c r="E574" s="58" t="n">
        <v>-46.526938</v>
      </c>
    </row>
    <row r="575">
      <c r="A575" t="n">
        <v>40005599</v>
      </c>
      <c r="B575" t="inlineStr">
        <is>
          <t>R. Visc. De Jerumim, 100</t>
        </is>
      </c>
      <c r="C575" t="inlineStr">
        <is>
          <t>Ref.: R Doutor Joao Jorge Sabino/ Av Monsenhor Antonio De Castro</t>
        </is>
      </c>
      <c r="D575" s="58" t="n">
        <v>-23.571497</v>
      </c>
      <c r="E575" s="58" t="n">
        <v>-46.527161</v>
      </c>
    </row>
    <row r="576">
      <c r="A576" t="n">
        <v>40005600</v>
      </c>
      <c r="B576" t="inlineStr">
        <is>
          <t>Av. Mons. Antônio De Castro, 420</t>
        </is>
      </c>
      <c r="C576" t="inlineStr">
        <is>
          <t>Ref.: R Correia Faria/ R Oliveira Catrambi</t>
        </is>
      </c>
      <c r="D576" s="58" t="n">
        <v>-23.571351</v>
      </c>
      <c r="E576" s="58" t="n">
        <v>-46.525806</v>
      </c>
    </row>
    <row r="577">
      <c r="A577" t="n">
        <v>40005601</v>
      </c>
      <c r="B577" t="inlineStr">
        <is>
          <t>Av. Mons. Antônio De Castro, 479</t>
        </is>
      </c>
      <c r="C577" t="inlineStr">
        <is>
          <t>Ref.: R Oliveira Catrambi/ Av Escragnolle Doria</t>
        </is>
      </c>
      <c r="D577" s="58" t="n">
        <v>-23.571296</v>
      </c>
      <c r="E577" s="58" t="n">
        <v>-46.5252</v>
      </c>
    </row>
    <row r="578">
      <c r="A578" t="n">
        <v>40008543</v>
      </c>
      <c r="B578" t="inlineStr">
        <is>
          <t>R. Dos Fonsecas, 531</t>
        </is>
      </c>
      <c r="C578" t="inlineStr">
        <is>
          <t>Ref.: R Alto De Santa Helena/ Av Rio Das Pedras</t>
        </is>
      </c>
      <c r="D578" s="58" t="n">
        <v>-23.578217</v>
      </c>
      <c r="E578" s="58" t="n">
        <v>-46.504769</v>
      </c>
    </row>
    <row r="579">
      <c r="A579" t="n">
        <v>40008548</v>
      </c>
      <c r="B579" t="inlineStr">
        <is>
          <t>Av. D. Azeredo Coutinho, 60</t>
        </is>
      </c>
      <c r="C579" t="inlineStr">
        <is>
          <t>Ref.: Av Alberto Camus/ Av Escragnolle Doria</t>
        </is>
      </c>
      <c r="D579" s="58" t="n">
        <v>-23.569688</v>
      </c>
      <c r="E579" s="58" t="n">
        <v>-46.524379</v>
      </c>
    </row>
    <row r="580">
      <c r="A580" t="n">
        <v>40008549</v>
      </c>
      <c r="B580" t="inlineStr">
        <is>
          <t>Av. D. Azeredo Coutinho, 81</t>
        </is>
      </c>
      <c r="C580" t="inlineStr">
        <is>
          <t>Ref.: Av Alberto Camus/ Av Escragnolle Doria</t>
        </is>
      </c>
      <c r="D580" s="58" t="n">
        <v>-23.569524</v>
      </c>
      <c r="E580" s="58" t="n">
        <v>-46.524404</v>
      </c>
    </row>
    <row r="581">
      <c r="A581" t="n">
        <v>40008552</v>
      </c>
      <c r="B581" t="inlineStr">
        <is>
          <t>Av. Rio Paris, 86</t>
        </is>
      </c>
      <c r="C581" t="inlineStr">
        <is>
          <t>Ref.: Av Dom Azeredo Coutinho/ Av Carneiro Ribeiro</t>
        </is>
      </c>
      <c r="D581" s="58" t="n">
        <v>-23.567818</v>
      </c>
      <c r="E581" s="58" t="n">
        <v>-46.523536</v>
      </c>
    </row>
    <row r="582">
      <c r="A582" t="n">
        <v>40008556</v>
      </c>
      <c r="B582" t="inlineStr">
        <is>
          <t>Av. D. Azeredo Coutinho, 332</t>
        </is>
      </c>
      <c r="C582" t="inlineStr">
        <is>
          <t>Ref.: R Oliveira Fagundes / Av Rio Paris</t>
        </is>
      </c>
      <c r="D582" s="58" t="n">
        <v>-23.567591</v>
      </c>
      <c r="E582" s="58" t="n">
        <v>-46.523041</v>
      </c>
    </row>
    <row r="583">
      <c r="A583" t="n">
        <v>40008560</v>
      </c>
      <c r="B583" t="inlineStr">
        <is>
          <t>R. Olímpio De Campos, 487</t>
        </is>
      </c>
      <c r="C583" t="inlineStr">
        <is>
          <t>Ref.: R Julio Cesar Porto/ R Engenheiro Paulino Francisco De Carvalho</t>
        </is>
      </c>
      <c r="D583" s="58" t="n">
        <v>-23.56478</v>
      </c>
      <c r="E583" s="58" t="n">
        <v>-46.521412</v>
      </c>
    </row>
    <row r="584">
      <c r="A584" t="n">
        <v>40008561</v>
      </c>
      <c r="B584" t="inlineStr">
        <is>
          <t>R. Olímpio De Campos, 456</t>
        </is>
      </c>
      <c r="C584" t="inlineStr">
        <is>
          <t>Ref.: R Sousa Brasil/ R Doutor Horacio Da Costa</t>
        </is>
      </c>
      <c r="D584" s="58" t="n">
        <v>-23.564537</v>
      </c>
      <c r="E584" s="58" t="n">
        <v>-46.521323</v>
      </c>
    </row>
    <row r="585">
      <c r="A585" t="n">
        <v>40008562</v>
      </c>
      <c r="B585" t="inlineStr">
        <is>
          <t>R. Olímpio De Campos, 271</t>
        </is>
      </c>
      <c r="C585" t="inlineStr">
        <is>
          <t>Ref.: R Rego Barros/ R Doutor Horacio Da Costa</t>
        </is>
      </c>
      <c r="D585" s="58" t="n">
        <v>-23.563102</v>
      </c>
      <c r="E585" s="58" t="n">
        <v>-46.520186</v>
      </c>
    </row>
    <row r="586">
      <c r="A586" t="n">
        <v>40008563</v>
      </c>
      <c r="B586" t="inlineStr">
        <is>
          <t>R. Rego Barros, 45</t>
        </is>
      </c>
      <c r="C586" t="inlineStr">
        <is>
          <t>Ref.: Av Joao XxIII/ R Arealva</t>
        </is>
      </c>
      <c r="D586" s="58" t="n">
        <v>-23.561799</v>
      </c>
      <c r="E586" s="58" t="n">
        <v>-46.521897</v>
      </c>
    </row>
    <row r="587">
      <c r="A587" t="n">
        <v>40008564</v>
      </c>
      <c r="B587" t="inlineStr">
        <is>
          <t>R. Olímpio De Campos, 214</t>
        </is>
      </c>
      <c r="C587" t="inlineStr">
        <is>
          <t>Ref.: R Arraial Velho/ R Rego Barros</t>
        </is>
      </c>
      <c r="D587" s="58" t="n">
        <v>-23.562595</v>
      </c>
      <c r="E587" s="58" t="n">
        <v>-46.519934</v>
      </c>
    </row>
    <row r="588">
      <c r="A588" t="n">
        <v>40008569</v>
      </c>
      <c r="B588" t="inlineStr">
        <is>
          <t>Av. Cipriano Rodrigues, 417</t>
        </is>
      </c>
      <c r="C588" t="inlineStr">
        <is>
          <t>Ref.: R Joaquim Jorge Ribeiro/ R Felicio Pereira</t>
        </is>
      </c>
      <c r="D588" s="58" t="n">
        <v>-23.574767</v>
      </c>
      <c r="E588" s="58" t="n">
        <v>-46.529951</v>
      </c>
    </row>
    <row r="589">
      <c r="A589" t="n">
        <v>40008570</v>
      </c>
      <c r="B589" t="inlineStr">
        <is>
          <t>Av. Cipriano Rodrigues, 240</t>
        </is>
      </c>
      <c r="C589" t="inlineStr">
        <is>
          <t>Ref.: R Felicio Pereira/ Av Joao XxIII</t>
        </is>
      </c>
      <c r="D589" s="58" t="n">
        <v>-23.573857</v>
      </c>
      <c r="E589" s="58" t="n">
        <v>-46.531766</v>
      </c>
    </row>
    <row r="590">
      <c r="A590" t="n">
        <v>40012302</v>
      </c>
      <c r="B590" t="inlineStr">
        <is>
          <t>Av. Rio Das Pedras, 2919</t>
        </is>
      </c>
      <c r="C590" t="inlineStr">
        <is>
          <t>Ref.: R Alzira Maruyama/ R Dos Fonsecas</t>
        </is>
      </c>
      <c r="D590" s="58" t="n">
        <v>-23.578311</v>
      </c>
      <c r="E590" s="58" t="n">
        <v>-46.503097</v>
      </c>
    </row>
    <row r="591">
      <c r="A591" t="n">
        <v>40012343</v>
      </c>
      <c r="B591" t="inlineStr">
        <is>
          <t>Av. Rio Das Pedras, 246</t>
        </is>
      </c>
      <c r="C591" t="inlineStr">
        <is>
          <t>Ref.: Tr Jose Gomes De Azevedo/ R Jose Antonio Lagareiro</t>
        </is>
      </c>
      <c r="D591" s="58" t="n">
        <v>-23.560218</v>
      </c>
      <c r="E591" s="58" t="n">
        <v>-46.519811</v>
      </c>
    </row>
    <row r="592">
      <c r="A592" t="n">
        <v>40012596</v>
      </c>
      <c r="B592" t="inlineStr">
        <is>
          <t>Av. João XxIII, 2800</t>
        </is>
      </c>
      <c r="C592" t="inlineStr">
        <is>
          <t>Ref.: Ve Luis Narduci/ R Marajoara</t>
        </is>
      </c>
      <c r="D592" s="58" t="n">
        <v>-23.560171</v>
      </c>
      <c r="E592" s="58" t="n">
        <v>-46.521487</v>
      </c>
    </row>
    <row r="593">
      <c r="A593" t="n">
        <v>40012654</v>
      </c>
      <c r="B593" t="inlineStr">
        <is>
          <t>Av. Aricanduva, 4072</t>
        </is>
      </c>
      <c r="C593" t="inlineStr">
        <is>
          <t>Ref.: Tr Silvio Mamprim/ R Dorival Lourenco Da Silva</t>
        </is>
      </c>
      <c r="D593" s="58" t="n">
        <v>-23.556381</v>
      </c>
      <c r="E593" s="58" t="n">
        <v>-46.516732</v>
      </c>
    </row>
    <row r="594">
      <c r="A594" t="n">
        <v>40012655</v>
      </c>
      <c r="B594" t="inlineStr">
        <is>
          <t>Av. Aricanduva, 4430</t>
        </is>
      </c>
      <c r="C594" t="inlineStr">
        <is>
          <t>Ref.: Av Mazzaropi/ R Mariano Cursino De Moura</t>
        </is>
      </c>
      <c r="D594" s="58" t="n">
        <v>-23.558088</v>
      </c>
      <c r="E594" s="58" t="n">
        <v>-46.51516</v>
      </c>
    </row>
    <row r="595">
      <c r="A595" t="n">
        <v>40012657</v>
      </c>
      <c r="B595" t="inlineStr">
        <is>
          <t>Av. Aricanduva, 4800</t>
        </is>
      </c>
      <c r="C595" t="inlineStr">
        <is>
          <t>Ref.: Tr Mata De Salgueiros/ Av Ademar Pereira De Barros</t>
        </is>
      </c>
      <c r="D595" s="58" t="n">
        <v>-23.561996</v>
      </c>
      <c r="E595" s="58" t="n">
        <v>-46.51113</v>
      </c>
    </row>
    <row r="596">
      <c r="A596" t="n">
        <v>40012660</v>
      </c>
      <c r="B596" t="inlineStr">
        <is>
          <t>Av. Aricanduva, 5376</t>
        </is>
      </c>
      <c r="C596" t="inlineStr">
        <is>
          <t>Ref.: Av Francisco Jose Resende/ Av Odilon Pires</t>
        </is>
      </c>
      <c r="D596" s="58" t="n">
        <v>-23.567256</v>
      </c>
      <c r="E596" s="58" t="n">
        <v>-46.506879</v>
      </c>
    </row>
    <row r="597">
      <c r="A597" t="n">
        <v>40012661</v>
      </c>
      <c r="B597" t="inlineStr">
        <is>
          <t>Av. Aricanduva, 5576</t>
        </is>
      </c>
      <c r="C597" t="inlineStr">
        <is>
          <t>Ref.: R Fonte Da Espinheira/ R Akron</t>
        </is>
      </c>
      <c r="D597" s="58" t="n">
        <v>-23.569304</v>
      </c>
      <c r="E597" s="58" t="n">
        <v>-46.504838</v>
      </c>
    </row>
    <row r="598">
      <c r="A598" t="n">
        <v>40012662</v>
      </c>
      <c r="B598" t="inlineStr">
        <is>
          <t>Av. Aricanduva, 6532</t>
        </is>
      </c>
      <c r="C598" t="inlineStr">
        <is>
          <t>Ref.: Av Dos Latinos/ Av Marapanim</t>
        </is>
      </c>
      <c r="D598" s="58" t="n">
        <v>-23.572068</v>
      </c>
      <c r="E598" s="58" t="n">
        <v>-46.504571</v>
      </c>
    </row>
    <row r="599">
      <c r="A599" t="n">
        <v>40012663</v>
      </c>
      <c r="B599" t="inlineStr">
        <is>
          <t>Av. Aricanduva, 6080</t>
        </is>
      </c>
      <c r="C599" t="inlineStr">
        <is>
          <t>Ref.: Av Dos Latinos/ R Arraias Do Araguaia</t>
        </is>
      </c>
      <c r="D599" s="58" t="n">
        <v>-23.575642</v>
      </c>
      <c r="E599" s="58" t="n">
        <v>-46.502995</v>
      </c>
    </row>
    <row r="600">
      <c r="A600" t="n">
        <v>80014081</v>
      </c>
      <c r="B600" t="inlineStr">
        <is>
          <t>R. Pe. Adelino, 692</t>
        </is>
      </c>
      <c r="C600" t="inlineStr">
        <is>
          <t>Ref.: R Serra De Jaire/ Av Alvaro Ramos</t>
        </is>
      </c>
      <c r="D600" s="58" t="n">
        <v>-23.544663</v>
      </c>
      <c r="E600" s="58" t="n">
        <v>-46.587431</v>
      </c>
    </row>
    <row r="601">
      <c r="A601" t="n">
        <v>80014082</v>
      </c>
      <c r="B601" t="inlineStr">
        <is>
          <t>R. Pe. Adelino, 551</t>
        </is>
      </c>
      <c r="C601" t="inlineStr">
        <is>
          <t>Ref.: R Brigadeiro Morais/ R Monteiro Caminhoa</t>
        </is>
      </c>
      <c r="D601" s="58" t="n">
        <v>-23.544952</v>
      </c>
      <c r="E601" s="58" t="n">
        <v>-46.588897</v>
      </c>
    </row>
    <row r="602">
      <c r="A602" t="n">
        <v>80014104</v>
      </c>
      <c r="B602" t="inlineStr">
        <is>
          <t>Av. Álvaro Ramos, 1581</t>
        </is>
      </c>
      <c r="C602" t="inlineStr">
        <is>
          <t>Ref.: R Manuel Pereira Lobo/ R Itaqueri</t>
        </is>
      </c>
      <c r="D602" s="58" t="n">
        <v>-23.549267</v>
      </c>
      <c r="E602" s="58" t="n">
        <v>-46.581206</v>
      </c>
    </row>
    <row r="603">
      <c r="A603" t="n">
        <v>80014105</v>
      </c>
      <c r="B603" t="inlineStr">
        <is>
          <t>Av. Álvaro Ramos, 1496</t>
        </is>
      </c>
      <c r="C603" t="inlineStr">
        <is>
          <t>Ref.: R Itaqueri/ R Doutor Joao Batista De Lacerda</t>
        </is>
      </c>
      <c r="D603" s="58" t="n">
        <v>-23.548829</v>
      </c>
      <c r="E603" s="58" t="n">
        <v>-46.581732</v>
      </c>
    </row>
    <row r="604">
      <c r="A604" t="n">
        <v>80014106</v>
      </c>
      <c r="B604" t="inlineStr">
        <is>
          <t>Av. Álvaro Ramos, 1206</t>
        </is>
      </c>
      <c r="C604" t="inlineStr">
        <is>
          <t>Ref.: Vila Goncalves/ R Tobias Barreto</t>
        </is>
      </c>
      <c r="D604" s="58" t="n">
        <v>-23.546993</v>
      </c>
      <c r="E604" s="58" t="n">
        <v>-46.58376</v>
      </c>
    </row>
    <row r="605">
      <c r="A605" t="n">
        <v>80014107</v>
      </c>
      <c r="B605" t="inlineStr">
        <is>
          <t>Av. Álvaro Ramos, 1145</t>
        </is>
      </c>
      <c r="C605" t="inlineStr">
        <is>
          <t>Ref.: Vila Goncalves/ R Tobias Barreto</t>
        </is>
      </c>
      <c r="D605" s="58" t="n">
        <v>-23.546717</v>
      </c>
      <c r="E605" s="58" t="n">
        <v>-46.583939</v>
      </c>
    </row>
    <row r="606">
      <c r="A606" t="n">
        <v>80014109</v>
      </c>
      <c r="B606" t="inlineStr">
        <is>
          <t>R. Serra De Jairé, 542</t>
        </is>
      </c>
      <c r="C606" t="inlineStr">
        <is>
          <t>Ref.: R Ubajara/ R Serra Da Bocaina</t>
        </is>
      </c>
      <c r="D606" s="58" t="n">
        <v>-23.547219</v>
      </c>
      <c r="E606" s="58" t="n">
        <v>-46.586909</v>
      </c>
    </row>
    <row r="607">
      <c r="A607" t="n">
        <v>80014167</v>
      </c>
      <c r="B607" t="inlineStr">
        <is>
          <t>R. Serra Da Bocaina, 574</t>
        </is>
      </c>
      <c r="C607" t="inlineStr">
        <is>
          <t>Ref.: Tr Fernando Garcez/ R Aconito</t>
        </is>
      </c>
      <c r="D607" s="58" t="n">
        <v>-23.545989</v>
      </c>
      <c r="E607" s="58" t="n">
        <v>-46.58568</v>
      </c>
    </row>
    <row r="608">
      <c r="A608" t="n">
        <v>80014176</v>
      </c>
      <c r="B608" t="inlineStr">
        <is>
          <t>R. Tobias Barreto, 1166</t>
        </is>
      </c>
      <c r="C608" t="inlineStr">
        <is>
          <t>Ref.: R Marcelo Homem De Melo/ R Serra De Jaire</t>
        </is>
      </c>
      <c r="D608" s="58" t="n">
        <v>-23.548608</v>
      </c>
      <c r="E608" s="58" t="n">
        <v>-46.58682</v>
      </c>
    </row>
    <row r="609">
      <c r="A609" t="n">
        <v>80014177</v>
      </c>
      <c r="B609" t="inlineStr">
        <is>
          <t>R. Tobias Barreto, 1478</t>
        </is>
      </c>
      <c r="C609" t="inlineStr">
        <is>
          <t>Ref.: R Limonita/ Av Alvaro Ramos</t>
        </is>
      </c>
      <c r="D609" s="58" t="n">
        <v>-23.546525</v>
      </c>
      <c r="E609" s="58" t="n">
        <v>-46.584676</v>
      </c>
    </row>
    <row r="610">
      <c r="A610" t="n">
        <v>80014301</v>
      </c>
      <c r="B610" t="inlineStr">
        <is>
          <t>Igreja Santa Rita</t>
        </is>
      </c>
      <c r="C610" t="inlineStr">
        <is>
          <t>R. Sta. Rita, 790 Ref.: R Rodovalho Da Fonseca/ R Siqueira Afonso</t>
        </is>
      </c>
      <c r="D610" s="58" t="n">
        <v>-23.52833</v>
      </c>
      <c r="E610" s="58" t="n">
        <v>-46.607114</v>
      </c>
    </row>
    <row r="611">
      <c r="A611" t="n">
        <v>80014355</v>
      </c>
      <c r="B611" t="inlineStr">
        <is>
          <t>R. João Boemer, 866</t>
        </is>
      </c>
      <c r="C611" t="inlineStr">
        <is>
          <t>Ref.: R Sousa Caldas/ R Santa Rita</t>
        </is>
      </c>
      <c r="D611" s="58" t="n">
        <v>-23.532771</v>
      </c>
      <c r="E611" s="58" t="n">
        <v>-46.611351</v>
      </c>
    </row>
    <row r="612">
      <c r="A612" t="n">
        <v>80014359</v>
      </c>
      <c r="B612" t="inlineStr">
        <is>
          <t>Pça. Mons. Meirelles Freire, 33</t>
        </is>
      </c>
      <c r="C612" t="inlineStr">
        <is>
          <t>Ref.: R Major Otaviano/ R 21 De Abril</t>
        </is>
      </c>
      <c r="D612" s="58" t="n">
        <v>-23.542394</v>
      </c>
      <c r="E612" s="58" t="n">
        <v>-46.606004</v>
      </c>
    </row>
    <row r="613">
      <c r="A613" t="n">
        <v>80014360</v>
      </c>
      <c r="B613" t="inlineStr">
        <is>
          <t>R. José Monteiro, 89</t>
        </is>
      </c>
      <c r="C613" t="inlineStr">
        <is>
          <t>Ref.: Largo Senador Morais Barros/ R Coimbra</t>
        </is>
      </c>
      <c r="D613" s="58" t="n">
        <v>-23.539944</v>
      </c>
      <c r="E613" s="58" t="n">
        <v>-46.606459</v>
      </c>
    </row>
    <row r="614">
      <c r="A614" t="n">
        <v>80014362</v>
      </c>
      <c r="B614" t="inlineStr">
        <is>
          <t>R. João Boemer, 254</t>
        </is>
      </c>
      <c r="C614" t="inlineStr">
        <is>
          <t>Ref.: R Bhering/ R Doutor Carlos Botelho</t>
        </is>
      </c>
      <c r="D614" s="58" t="n">
        <v>-23.536604</v>
      </c>
      <c r="E614" s="58" t="n">
        <v>-46.607405</v>
      </c>
    </row>
    <row r="615">
      <c r="A615" t="n">
        <v>80014363</v>
      </c>
      <c r="B615" t="inlineStr">
        <is>
          <t>R. João Boemer, 510</t>
        </is>
      </c>
      <c r="C615" t="inlineStr">
        <is>
          <t>Ref.: R Itapiracaba/ R Major Marcelino</t>
        </is>
      </c>
      <c r="D615" s="58" t="n">
        <v>-23.534976</v>
      </c>
      <c r="E615" s="58" t="n">
        <v>-46.608778</v>
      </c>
    </row>
    <row r="616">
      <c r="A616" t="n">
        <v>80014367</v>
      </c>
      <c r="B616" t="inlineStr">
        <is>
          <t>R. Catumbi, 148</t>
        </is>
      </c>
      <c r="C616" t="inlineStr">
        <is>
          <t>Ref.: R Ivinhema/ Av Celso Garcia</t>
        </is>
      </c>
      <c r="D616" s="58" t="n">
        <v>-23.536742</v>
      </c>
      <c r="E616" s="58" t="n">
        <v>-46.599456</v>
      </c>
    </row>
    <row r="617">
      <c r="A617" t="n">
        <v>80014368</v>
      </c>
      <c r="B617" t="inlineStr">
        <is>
          <t>R. Catumbi, 446</t>
        </is>
      </c>
      <c r="C617" t="inlineStr">
        <is>
          <t>Ref.: R Cachoeira/ R Valdemar Doria</t>
        </is>
      </c>
      <c r="D617" s="58" t="n">
        <v>-23.534351</v>
      </c>
      <c r="E617" s="58" t="n">
        <v>-46.600525</v>
      </c>
    </row>
    <row r="618">
      <c r="A618" t="n">
        <v>80014369</v>
      </c>
      <c r="B618" t="inlineStr">
        <is>
          <t>R. Catumbi, 774</t>
        </is>
      </c>
      <c r="C618" t="inlineStr">
        <is>
          <t>Ref.: R Jequitinhonha/ Tr Cavalheiro</t>
        </is>
      </c>
      <c r="D618" s="58" t="n">
        <v>-23.531417</v>
      </c>
      <c r="E618" s="58" t="n">
        <v>-46.601783</v>
      </c>
    </row>
    <row r="619">
      <c r="A619" t="n">
        <v>80014370</v>
      </c>
      <c r="B619" t="inlineStr">
        <is>
          <t>R. Jequitinhonha, 204</t>
        </is>
      </c>
      <c r="C619" t="inlineStr">
        <is>
          <t>Ref.: R Manuel Ramos Paiva/ Av Guilherme Cotching -- Ame Maria Zélia</t>
        </is>
      </c>
      <c r="D619" s="58" t="n">
        <v>-23.530664</v>
      </c>
      <c r="E619" s="58" t="n">
        <v>-46.599974</v>
      </c>
    </row>
    <row r="620">
      <c r="A620" t="n">
        <v>80014371</v>
      </c>
      <c r="B620" t="inlineStr">
        <is>
          <t>R. Juvenal Gomes Coimbra</t>
        </is>
      </c>
      <c r="C620" t="inlineStr">
        <is>
          <t>Ref.: R Manuel Ramos Paiva/ R Manuel Ramos Paiva</t>
        </is>
      </c>
      <c r="D620" s="58" t="n">
        <v>-23.528706</v>
      </c>
      <c r="E620" s="58" t="n">
        <v>-46.599188</v>
      </c>
    </row>
    <row r="621">
      <c r="A621" t="n">
        <v>80014375</v>
      </c>
      <c r="B621" t="inlineStr">
        <is>
          <t>R. Sta. Rita, 422</t>
        </is>
      </c>
      <c r="C621" t="inlineStr">
        <is>
          <t>Ref.: R Cachoeira/ R Rio Bonito</t>
        </is>
      </c>
      <c r="D621" s="58" t="n">
        <v>-23.530851</v>
      </c>
      <c r="E621" s="58" t="n">
        <v>-46.609729</v>
      </c>
    </row>
    <row r="622">
      <c r="A622" t="n">
        <v>80014376</v>
      </c>
      <c r="B622" t="inlineStr">
        <is>
          <t>Pedroso Da Silveira</t>
        </is>
      </c>
      <c r="C622" t="inlineStr">
        <is>
          <t>R. Sta. Rita, 590 Ref.: R Godoi Preto/ Av Pedroso Da Silveira</t>
        </is>
      </c>
      <c r="D622" s="58" t="n">
        <v>-23.529612</v>
      </c>
      <c r="E622" s="58" t="n">
        <v>-46.608453</v>
      </c>
    </row>
    <row r="623">
      <c r="A623" t="n">
        <v>80014377</v>
      </c>
      <c r="B623" t="inlineStr">
        <is>
          <t>R. Paulo Andrighetti, 350</t>
        </is>
      </c>
      <c r="C623" t="inlineStr">
        <is>
          <t>Ref.: R Santa Rita/ R Joao Singilo</t>
        </is>
      </c>
      <c r="D623" s="58" t="n">
        <v>-23.527198</v>
      </c>
      <c r="E623" s="58" t="n">
        <v>-46.605432</v>
      </c>
    </row>
    <row r="624">
      <c r="A624" t="n">
        <v>80014378</v>
      </c>
      <c r="B624" t="inlineStr">
        <is>
          <t>R. Paulo Andrighetti, 242</t>
        </is>
      </c>
      <c r="C624" t="inlineStr">
        <is>
          <t>Ref.: R Santa Rita/ R Joao Singilo</t>
        </is>
      </c>
      <c r="D624" s="58" t="n">
        <v>-23.52787</v>
      </c>
      <c r="E624" s="58" t="n">
        <v>-46.60479</v>
      </c>
    </row>
    <row r="625">
      <c r="A625" t="n">
        <v>80014380</v>
      </c>
      <c r="B625" t="inlineStr">
        <is>
          <t>R. Marcos Arruda, 689</t>
        </is>
      </c>
      <c r="C625" t="inlineStr">
        <is>
          <t>Ref.: Vel Zelinda/ R Jequitinhonha</t>
        </is>
      </c>
      <c r="D625" s="58" t="n">
        <v>-23.532233</v>
      </c>
      <c r="E625" s="58" t="n">
        <v>-46.602827</v>
      </c>
    </row>
    <row r="626">
      <c r="A626" t="n">
        <v>80014381</v>
      </c>
      <c r="B626" t="inlineStr">
        <is>
          <t>R. Marcos Arruda, 475</t>
        </is>
      </c>
      <c r="C626" t="inlineStr">
        <is>
          <t>Ref.: Tr Mata De Cajueiros/ R Cachoeira</t>
        </is>
      </c>
      <c r="D626" s="58" t="n">
        <v>-23.534075</v>
      </c>
      <c r="E626" s="58" t="n">
        <v>-46.602634</v>
      </c>
    </row>
    <row r="627">
      <c r="A627" t="n">
        <v>80014382</v>
      </c>
      <c r="B627" t="inlineStr">
        <is>
          <t>R. Marcos Arruda, 149</t>
        </is>
      </c>
      <c r="C627" t="inlineStr">
        <is>
          <t>Ref.: Av Celso Garcia/ R Cachoeira</t>
        </is>
      </c>
      <c r="D627" s="58" t="n">
        <v>-23.536926</v>
      </c>
      <c r="E627" s="58" t="n">
        <v>-46.602395</v>
      </c>
    </row>
    <row r="628">
      <c r="A628" t="n">
        <v>80014486</v>
      </c>
      <c r="B628" t="inlineStr">
        <is>
          <t>Parada 1/2/3 - São Leopoldo</t>
        </is>
      </c>
      <c r="C628" t="inlineStr">
        <is>
          <t>Av. Celso Garcia, 1324 Ref.: Tr Ribeiro Viana/ R Saldanha Marinho</t>
        </is>
      </c>
      <c r="D628" s="58" t="n">
        <v>-23.53816</v>
      </c>
      <c r="E628" s="58" t="n">
        <v>-46.599512</v>
      </c>
    </row>
    <row r="629">
      <c r="A629" t="n">
        <v>80014505</v>
      </c>
      <c r="B629" t="inlineStr">
        <is>
          <t>R. Júlio De Castilhos, 176</t>
        </is>
      </c>
      <c r="C629" t="inlineStr">
        <is>
          <t>Ref.: R Silva Jardim/ R Belarmino Matos</t>
        </is>
      </c>
      <c r="D629" s="58" t="n">
        <v>-23.541427</v>
      </c>
      <c r="E629" s="58" t="n">
        <v>-46.594165</v>
      </c>
    </row>
    <row r="630">
      <c r="A630" t="n">
        <v>80014510</v>
      </c>
      <c r="B630" t="inlineStr">
        <is>
          <t>Terminal Metrô Belém (lado Norte)</t>
        </is>
      </c>
      <c r="C630" t="inlineStr">
        <is>
          <t>Term. Metrô Belém (lado Norte) Ref.: R Doutor Clementino/ R Fernandes Vieira</t>
        </is>
      </c>
      <c r="D630" s="58" t="n">
        <v>-23.542257</v>
      </c>
      <c r="E630" s="58" t="n">
        <v>-46.589862</v>
      </c>
    </row>
    <row r="631">
      <c r="A631" t="n">
        <v>80014519</v>
      </c>
      <c r="B631" t="inlineStr">
        <is>
          <t>R. Herval, 431</t>
        </is>
      </c>
      <c r="C631" t="inlineStr">
        <is>
          <t>Ref.: R Doutor Clementino/ R Fernandes Vieira</t>
        </is>
      </c>
      <c r="D631" s="58" t="n">
        <v>-23.541417</v>
      </c>
      <c r="E631" s="58" t="n">
        <v>-46.591101</v>
      </c>
    </row>
    <row r="632">
      <c r="A632" t="n">
        <v>80014520</v>
      </c>
      <c r="B632" t="inlineStr">
        <is>
          <t>R. Elói Cerqueira, 20</t>
        </is>
      </c>
      <c r="C632" t="inlineStr">
        <is>
          <t>Ref.: R Passos/ R Julio De Castilhos</t>
        </is>
      </c>
      <c r="D632" s="58" t="n">
        <v>-23.540247</v>
      </c>
      <c r="E632" s="58" t="n">
        <v>-46.593068</v>
      </c>
    </row>
    <row r="633">
      <c r="A633" t="n">
        <v>80014521</v>
      </c>
      <c r="B633" t="inlineStr">
        <is>
          <t>R. Cajuru, 863</t>
        </is>
      </c>
      <c r="C633" t="inlineStr">
        <is>
          <t>Ref.: R Siqueira Bueno/ R Siqueira Bueno</t>
        </is>
      </c>
      <c r="D633" s="58" t="n">
        <v>-23.541106</v>
      </c>
      <c r="E633" s="58" t="n">
        <v>-46.596027</v>
      </c>
    </row>
    <row r="634">
      <c r="A634" t="n">
        <v>80014530</v>
      </c>
      <c r="B634" t="inlineStr">
        <is>
          <t>R. Saldanha Marinho, 147</t>
        </is>
      </c>
      <c r="C634" t="inlineStr">
        <is>
          <t>Ref.: R Doutor Ubaldino Do Amaral/ R Teixeira De Freitas</t>
        </is>
      </c>
      <c r="D634" s="58" t="n">
        <v>-23.539373</v>
      </c>
      <c r="E634" s="58" t="n">
        <v>-46.598498</v>
      </c>
    </row>
    <row r="635">
      <c r="A635" t="n">
        <v>80014531</v>
      </c>
      <c r="B635" t="inlineStr">
        <is>
          <t>R. Belém, 114</t>
        </is>
      </c>
      <c r="C635" t="inlineStr">
        <is>
          <t>Ref.: Av Celso Garcia/ R Sargento Capistrano</t>
        </is>
      </c>
      <c r="D635" s="58" t="n">
        <v>-23.538714</v>
      </c>
      <c r="E635" s="58" t="n">
        <v>-46.597475</v>
      </c>
    </row>
    <row r="636">
      <c r="A636" t="n">
        <v>80014532</v>
      </c>
      <c r="B636" t="inlineStr">
        <is>
          <t>R. Belém, 336</t>
        </is>
      </c>
      <c r="C636" t="inlineStr">
        <is>
          <t>Ref.: R Visconde De Parnaiba/ R Martim Afonso</t>
        </is>
      </c>
      <c r="D636" s="58" t="n">
        <v>-23.539935</v>
      </c>
      <c r="E636" s="58" t="n">
        <v>-46.595754</v>
      </c>
    </row>
    <row r="637">
      <c r="A637" t="n">
        <v>80014533</v>
      </c>
      <c r="B637" t="inlineStr">
        <is>
          <t>Lgo. S. José Do Belém, 44</t>
        </is>
      </c>
      <c r="C637" t="inlineStr">
        <is>
          <t>Ref.: R Cajuru/ R Julio De Castilhos</t>
        </is>
      </c>
      <c r="D637" s="58" t="n">
        <v>-23.541005</v>
      </c>
      <c r="E637" s="58" t="n">
        <v>-46.594833</v>
      </c>
    </row>
    <row r="638">
      <c r="A638" t="n">
        <v>80014579</v>
      </c>
      <c r="B638" t="inlineStr">
        <is>
          <t>Silva Jardim</t>
        </is>
      </c>
      <c r="C638" t="inlineStr">
        <is>
          <t>Av. Alcântara Machado, 3594 Ref.: R Silva Jardim/ R Silva Jardim</t>
        </is>
      </c>
      <c r="D638" s="58" t="n">
        <v>-23.544209</v>
      </c>
      <c r="E638" s="58" t="n">
        <v>-46.591154</v>
      </c>
    </row>
    <row r="639">
      <c r="A639" t="n">
        <v>80014580</v>
      </c>
      <c r="B639" t="inlineStr">
        <is>
          <t>Av. Alcântara Machado, 3832</t>
        </is>
      </c>
      <c r="C639" t="inlineStr">
        <is>
          <t>Ref.: R Monteiro Caminhoa/ R Brigadeiro Morais</t>
        </is>
      </c>
      <c r="D639" s="58" t="n">
        <v>-23.543817</v>
      </c>
      <c r="E639" s="58" t="n">
        <v>-46.589425</v>
      </c>
    </row>
    <row r="640">
      <c r="A640" t="n">
        <v>80014596</v>
      </c>
      <c r="B640" t="inlineStr">
        <is>
          <t>Terminal Metrô Belém (sul) Pl. C</t>
        </is>
      </c>
      <c r="C640" t="inlineStr">
        <is>
          <t>Term. Metrô Belém (sul) Pl. C Ref.: R Brigadeiro Morais/ Av Alvaro Ramos</t>
        </is>
      </c>
      <c r="D640" s="58" t="n">
        <v>-23.543093</v>
      </c>
      <c r="E640" s="58" t="n">
        <v>-46.589246</v>
      </c>
    </row>
    <row r="641">
      <c r="A641" t="n">
        <v>80014597</v>
      </c>
      <c r="B641" t="inlineStr">
        <is>
          <t>Terminal Metrô Belém (sul) Pl. D</t>
        </is>
      </c>
      <c r="C641" t="inlineStr">
        <is>
          <t>Ref.: R Brigadeiro Morais/ Av Alvaro Ramos</t>
        </is>
      </c>
      <c r="D641" s="58" t="n">
        <v>-23.543188</v>
      </c>
      <c r="E641" s="58" t="n">
        <v>-46.589038</v>
      </c>
    </row>
    <row r="642">
      <c r="A642" t="n">
        <v>90007105</v>
      </c>
      <c r="B642" t="inlineStr">
        <is>
          <t>R. S. Caetano, 332</t>
        </is>
      </c>
      <c r="C642" t="inlineStr">
        <is>
          <t>Ref.: R Guilherme Maw/ R Vinte E Cinco De Janeiro</t>
        </is>
      </c>
      <c r="D642" s="58" t="n">
        <v>-23.534984</v>
      </c>
      <c r="E642" s="58" t="n">
        <v>-46.62986</v>
      </c>
    </row>
    <row r="643">
      <c r="A643" t="n">
        <v>90007106</v>
      </c>
      <c r="B643" t="inlineStr">
        <is>
          <t>R. S. Caetano, 666</t>
        </is>
      </c>
      <c r="C643" t="inlineStr">
        <is>
          <t>Ref.: R Economizadora/ R Pedro Alvares Cabral</t>
        </is>
      </c>
      <c r="D643" s="58" t="n">
        <v>-23.535528</v>
      </c>
      <c r="E643" s="58" t="n">
        <v>-46.626568</v>
      </c>
    </row>
    <row r="644">
      <c r="A644" t="n">
        <v>90008175</v>
      </c>
      <c r="B644" t="inlineStr">
        <is>
          <t>R. João Teodoro</t>
        </is>
      </c>
      <c r="C644" t="inlineStr">
        <is>
          <t>Ref.: R Da Cantareira/ R Sao Lazaro</t>
        </is>
      </c>
      <c r="D644" s="58" t="n">
        <v>-23.533622</v>
      </c>
      <c r="E644" s="58" t="n">
        <v>-46.627233</v>
      </c>
    </row>
    <row r="645">
      <c r="A645" t="n">
        <v>90008382</v>
      </c>
      <c r="B645" t="inlineStr">
        <is>
          <t>Av. Tiradentes, 2194</t>
        </is>
      </c>
      <c r="C645" t="inlineStr">
        <is>
          <t>Ref.: Praça Da Luz</t>
        </is>
      </c>
      <c r="D645" s="58" t="n">
        <v>-23.533565</v>
      </c>
      <c r="E645" s="58" t="n">
        <v>-46.633251</v>
      </c>
    </row>
    <row r="646">
      <c r="A646" t="n">
        <v>90011797</v>
      </c>
      <c r="B646" t="inlineStr">
        <is>
          <t>Av. Tiradentes, 615</t>
        </is>
      </c>
      <c r="C646" t="inlineStr">
        <is>
          <t>Ref.: Pc Coronel Bonfim De Andrade/ R Bandeirantes</t>
        </is>
      </c>
      <c r="D646" s="58" t="n">
        <v>-23.530136</v>
      </c>
      <c r="E646" s="58" t="n">
        <v>-46.632189</v>
      </c>
    </row>
    <row r="647">
      <c r="A647" t="n">
        <v>90013906</v>
      </c>
      <c r="B647" t="inlineStr">
        <is>
          <t>Av. Santos Dumont, 555</t>
        </is>
      </c>
      <c r="C647" t="inlineStr">
        <is>
          <t>Ref.: Av Do Estado/ R Guapore -- Sabesp</t>
        </is>
      </c>
      <c r="D647" s="58" t="n">
        <v>-23.523538</v>
      </c>
      <c r="E647" s="58" t="n">
        <v>-46.630966</v>
      </c>
    </row>
    <row r="648">
      <c r="A648" t="n">
        <v>90013911</v>
      </c>
      <c r="B648" t="inlineStr">
        <is>
          <t>R. Ribeiro De Lima, 506</t>
        </is>
      </c>
      <c r="C648" t="inlineStr">
        <is>
          <t>Ref.: R Correia De Melo/ R Prates</t>
        </is>
      </c>
      <c r="D648" s="58" t="n">
        <v>-23.531083</v>
      </c>
      <c r="E648" s="58" t="n">
        <v>-46.637882</v>
      </c>
    </row>
    <row r="649">
      <c r="A649" t="n">
        <v>90013912</v>
      </c>
      <c r="B649" t="inlineStr">
        <is>
          <t>R. Da Graça, 232</t>
        </is>
      </c>
      <c r="C649" t="inlineStr">
        <is>
          <t>Ref.: R Tres Rios/ R Lubavitch</t>
        </is>
      </c>
      <c r="D649" s="58" t="n">
        <v>-23.529213</v>
      </c>
      <c r="E649" s="58" t="n">
        <v>-46.638854</v>
      </c>
    </row>
    <row r="650">
      <c r="A650" t="n">
        <v>90013918</v>
      </c>
      <c r="B650" t="inlineStr">
        <is>
          <t>R. Dos Italianos, 566</t>
        </is>
      </c>
      <c r="C650" t="inlineStr">
        <is>
          <t>Ref.: R Solon/ R Pedro Tomas</t>
        </is>
      </c>
      <c r="D650" s="58" t="n">
        <v>-23.524905</v>
      </c>
      <c r="E650" s="58" t="n">
        <v>-46.643626</v>
      </c>
    </row>
    <row r="651">
      <c r="A651" t="n">
        <v>90013921</v>
      </c>
      <c r="B651" t="inlineStr">
        <is>
          <t>R. Anhaia, 705</t>
        </is>
      </c>
      <c r="C651" t="inlineStr">
        <is>
          <t>Ref.: R Barra Do Tibaji/ R Jaragua</t>
        </is>
      </c>
      <c r="D651" s="58" t="n">
        <v>-23.524211</v>
      </c>
      <c r="E651" s="58" t="n">
        <v>-46.645156</v>
      </c>
    </row>
    <row r="652">
      <c r="A652" t="n">
        <v>90013922</v>
      </c>
      <c r="B652" t="inlineStr">
        <is>
          <t>R. Anhaia, 355</t>
        </is>
      </c>
      <c r="C652" t="inlineStr">
        <is>
          <t>Ref.: R Tenente Pena/ R Solon</t>
        </is>
      </c>
      <c r="D652" s="58" t="n">
        <v>-23.526863</v>
      </c>
      <c r="E652" s="58" t="n">
        <v>-46.643636</v>
      </c>
    </row>
    <row r="653">
      <c r="A653" t="n">
        <v>90013923</v>
      </c>
      <c r="B653" t="inlineStr">
        <is>
          <t>R. Anhaia, 63</t>
        </is>
      </c>
      <c r="C653" t="inlineStr">
        <is>
          <t>Ref.: R Julio Conceicao/ Al Nothmann</t>
        </is>
      </c>
      <c r="D653" s="58" t="n">
        <v>-23.529735</v>
      </c>
      <c r="E653" s="58" t="n">
        <v>-46.642116</v>
      </c>
    </row>
    <row r="654">
      <c r="A654" t="n">
        <v>90013924</v>
      </c>
      <c r="B654" t="inlineStr">
        <is>
          <t>R. Silva Pinto, 41</t>
        </is>
      </c>
      <c r="C654" t="inlineStr">
        <is>
          <t>Ref.: R Anhaia/ R Professor Cesare Lombroso</t>
        </is>
      </c>
      <c r="D654" s="58" t="n">
        <v>-23.529765</v>
      </c>
      <c r="E654" s="58" t="n">
        <v>-46.641696</v>
      </c>
    </row>
    <row r="655">
      <c r="A655" t="n">
        <v>90013933</v>
      </c>
      <c r="B655" t="inlineStr">
        <is>
          <t>R. Prates, 145</t>
        </is>
      </c>
      <c r="C655" t="inlineStr">
        <is>
          <t>Ref.: R Ribeiro De Lima/ Pc Da Luz</t>
        </is>
      </c>
      <c r="D655" s="58" t="n">
        <v>-23.532564</v>
      </c>
      <c r="E655" s="58" t="n">
        <v>-46.636703</v>
      </c>
    </row>
    <row r="656">
      <c r="A656" t="n">
        <v>90013937</v>
      </c>
      <c r="B656" t="inlineStr">
        <is>
          <t>R. João Teodoro, 158</t>
        </is>
      </c>
      <c r="C656" t="inlineStr">
        <is>
          <t>Ref.: R Dutra Rodrigues/ R Dom Antonio De Melo</t>
        </is>
      </c>
      <c r="D656" s="58" t="n">
        <v>-23.532849</v>
      </c>
      <c r="E656" s="58" t="n">
        <v>-46.630881</v>
      </c>
    </row>
    <row r="657">
      <c r="A657" t="n">
        <v>90013938</v>
      </c>
      <c r="B657" t="inlineStr">
        <is>
          <t>R. Ribeiro De Lima, 158</t>
        </is>
      </c>
      <c r="C657" t="inlineStr">
        <is>
          <t>Ref.: R Afonso Pena/ Av Tiradentes -- Em Frente Ao Copom</t>
        </is>
      </c>
      <c r="D657" s="58" t="n">
        <v>-23.532042</v>
      </c>
      <c r="E657" s="58" t="n">
        <v>-46.634238</v>
      </c>
    </row>
    <row r="658">
      <c r="A658" t="n">
        <v>90013939</v>
      </c>
      <c r="B658" t="inlineStr">
        <is>
          <t>R. Ribeiro De Lima, 158</t>
        </is>
      </c>
      <c r="C658" t="inlineStr">
        <is>
          <t>Ref.: R Afonso Pena/ Av Tiradentes -- Oposto Ao Copom</t>
        </is>
      </c>
      <c r="D658" s="58" t="n">
        <v>-23.532105</v>
      </c>
      <c r="E658" s="58" t="n">
        <v>-46.634415</v>
      </c>
    </row>
    <row r="659">
      <c r="A659" t="n">
        <v>90013942</v>
      </c>
      <c r="B659" t="inlineStr">
        <is>
          <t>R. Visc. De Taunay, 249</t>
        </is>
      </c>
      <c r="C659" t="inlineStr">
        <is>
          <t>Ref.: R Barra Do Tibaji/ R Jaragua</t>
        </is>
      </c>
      <c r="D659" s="58" t="n">
        <v>-23.52485</v>
      </c>
      <c r="E659" s="58" t="n">
        <v>-46.647807</v>
      </c>
    </row>
    <row r="660">
      <c r="A660" t="n">
        <v>90015086</v>
      </c>
      <c r="B660" t="inlineStr">
        <is>
          <t>Av. Santos Dumont, 87</t>
        </is>
      </c>
      <c r="C660" t="inlineStr">
        <is>
          <t>Ref.: R Salvador Leme/ R Bandeirantes</t>
        </is>
      </c>
      <c r="D660" s="58" t="n">
        <v>-23.527738</v>
      </c>
      <c r="E660" s="58" t="n">
        <v>-46.631623</v>
      </c>
    </row>
    <row r="661">
      <c r="A661" t="n">
        <v>90016636</v>
      </c>
      <c r="B661" t="inlineStr">
        <is>
          <t>R. Eduardo Chaves, 69</t>
        </is>
      </c>
      <c r="C661" t="inlineStr">
        <is>
          <t>Ref.: R Paulino Guimaraes/ Av Do Estado</t>
        </is>
      </c>
      <c r="D661" s="58" t="n">
        <v>-23.524571</v>
      </c>
      <c r="E661" s="58" t="n">
        <v>-46.628891</v>
      </c>
    </row>
    <row r="662">
      <c r="A662" t="n">
        <v>90016727</v>
      </c>
      <c r="B662" t="inlineStr">
        <is>
          <t>Av. Tiradentes, 1026</t>
        </is>
      </c>
      <c r="C662" t="inlineStr">
        <is>
          <t>Ref.: R Itapirapes/ Tr Lucia</t>
        </is>
      </c>
      <c r="D662" s="58" t="n">
        <v>-23.526896</v>
      </c>
      <c r="E662" s="58" t="n">
        <v>-46.63036</v>
      </c>
    </row>
    <row r="663">
      <c r="A663" t="n">
        <v>90016728</v>
      </c>
      <c r="B663" t="inlineStr">
        <is>
          <t>R. Pedro Vicente, 196</t>
        </is>
      </c>
      <c r="C663" t="inlineStr">
        <is>
          <t>Ref.: Av Do Estado/ Av Cruzeiro Do Sul</t>
        </is>
      </c>
      <c r="D663" s="58" t="n">
        <v>-23.525393</v>
      </c>
      <c r="E663" s="58" t="n">
        <v>-46.627072</v>
      </c>
    </row>
    <row r="664">
      <c r="A664" t="n">
        <v>90017113</v>
      </c>
      <c r="B664" t="inlineStr">
        <is>
          <t>Av. Tiradentes, 324</t>
        </is>
      </c>
      <c r="C664" t="inlineStr">
        <is>
          <t>Ref.: R Sao Caetano/ R Joao Teodoro</t>
        </is>
      </c>
      <c r="D664" s="58" t="n">
        <v>-23.532794</v>
      </c>
      <c r="E664" s="58" t="n">
        <v>-46.632538</v>
      </c>
    </row>
    <row r="665">
      <c r="A665" t="n">
        <v>90017114</v>
      </c>
      <c r="B665" t="inlineStr">
        <is>
          <t>Av. Tiradentes, 614</t>
        </is>
      </c>
      <c r="C665" t="inlineStr">
        <is>
          <t>Ref.: R Jorge Miranda/ R Doutor Rodrigo De Barros</t>
        </is>
      </c>
      <c r="D665" s="58" t="n">
        <v>-23.530587</v>
      </c>
      <c r="E665" s="58" t="n">
        <v>-46.63176</v>
      </c>
    </row>
    <row r="666">
      <c r="A666" t="n">
        <v>90017115</v>
      </c>
      <c r="B666" t="inlineStr">
        <is>
          <t>Av. Santos Dumont, 56</t>
        </is>
      </c>
      <c r="C666" t="inlineStr">
        <is>
          <t>Ref.: Av Do Estado/ R Doutor Rodrigo De Barros</t>
        </is>
      </c>
      <c r="D666" s="58" t="n">
        <v>-23.526279</v>
      </c>
      <c r="E666" s="58" t="n">
        <v>-46.630832</v>
      </c>
    </row>
    <row r="667">
      <c r="A667" t="n">
        <v>90017116</v>
      </c>
      <c r="B667" t="inlineStr">
        <is>
          <t>Av. Santos Dumont, 752</t>
        </is>
      </c>
      <c r="C667" t="inlineStr">
        <is>
          <t>Ref.: Pc Bento De Camargo Barros/ R Guapore</t>
        </is>
      </c>
      <c r="D667" s="58" t="n">
        <v>-23.52203</v>
      </c>
      <c r="E667" s="58" t="n">
        <v>-46.630309</v>
      </c>
    </row>
    <row r="668">
      <c r="A668" t="n">
        <v>100014307</v>
      </c>
      <c r="B668" t="inlineStr">
        <is>
          <t>R. Silva Teles, 281</t>
        </is>
      </c>
      <c r="C668" t="inlineStr">
        <is>
          <t>Ref.: R Mendes Junior/ R Mendes Goncalves</t>
        </is>
      </c>
      <c r="D668" s="58" t="n">
        <v>-23.534152</v>
      </c>
      <c r="E668" s="58" t="n">
        <v>-46.61467</v>
      </c>
    </row>
    <row r="669">
      <c r="A669" t="n">
        <v>100014308</v>
      </c>
      <c r="B669" t="inlineStr">
        <is>
          <t>R. Silva Teles, 99</t>
        </is>
      </c>
      <c r="C669" t="inlineStr">
        <is>
          <t>Ref.: R Joao Teodoro/ R Casimiro De Abreu</t>
        </is>
      </c>
      <c r="D669" s="58" t="n">
        <v>-23.535448</v>
      </c>
      <c r="E669" s="58" t="n">
        <v>-46.615946</v>
      </c>
    </row>
    <row r="670">
      <c r="A670" t="n">
        <v>100014309</v>
      </c>
      <c r="B670" t="inlineStr">
        <is>
          <t>R. João Teodoro, 1331</t>
        </is>
      </c>
      <c r="C670" t="inlineStr">
        <is>
          <t>Ref.: R Barao De Ladario/ R Rodrigues Dos Santos</t>
        </is>
      </c>
      <c r="D670" s="58" t="n">
        <v>-23.535266</v>
      </c>
      <c r="E670" s="58" t="n">
        <v>-46.619767</v>
      </c>
    </row>
    <row r="671">
      <c r="A671" t="n">
        <v>100014321</v>
      </c>
      <c r="B671" t="inlineStr">
        <is>
          <t>Lgo. Da Concordia, 125</t>
        </is>
      </c>
      <c r="C671" t="inlineStr">
        <is>
          <t>Ref.: R Da Juta/ Vdto Gasometro-sentido B/C.</t>
        </is>
      </c>
      <c r="D671" s="58" t="n">
        <v>-23.542019</v>
      </c>
      <c r="E671" s="58" t="n">
        <v>-46.617358</v>
      </c>
    </row>
    <row r="672">
      <c r="A672" t="n">
        <v>100014331</v>
      </c>
      <c r="B672" t="inlineStr">
        <is>
          <t>R. Oriente, 760</t>
        </is>
      </c>
      <c r="C672" t="inlineStr">
        <is>
          <t>Ref.: R Casimiro De Abreu/ R Xavantes</t>
        </is>
      </c>
      <c r="D672" s="58" t="n">
        <v>-23.537765</v>
      </c>
      <c r="E672" s="58" t="n">
        <v>-46.614604</v>
      </c>
    </row>
    <row r="673">
      <c r="A673" t="n">
        <v>100014332</v>
      </c>
      <c r="B673" t="inlineStr">
        <is>
          <t>R. Oriente, 562</t>
        </is>
      </c>
      <c r="C673" t="inlineStr">
        <is>
          <t>Ref.: R Miller/ R Maria Marcolina</t>
        </is>
      </c>
      <c r="D673" s="58" t="n">
        <v>-23.537898</v>
      </c>
      <c r="E673" s="58" t="n">
        <v>-46.616724</v>
      </c>
    </row>
    <row r="674">
      <c r="A674" t="n">
        <v>100014333</v>
      </c>
      <c r="B674" t="inlineStr">
        <is>
          <t>R. Oriente, 374</t>
        </is>
      </c>
      <c r="C674" t="inlineStr">
        <is>
          <t>Ref.: R Barao De Ladario/ R Miller</t>
        </is>
      </c>
      <c r="D674" s="58" t="n">
        <v>-23.53798</v>
      </c>
      <c r="E674" s="58" t="n">
        <v>-46.618645</v>
      </c>
    </row>
    <row r="675">
      <c r="A675" t="n">
        <v>100014334</v>
      </c>
      <c r="B675" t="inlineStr">
        <is>
          <t>R. Oriente, 156</t>
        </is>
      </c>
      <c r="C675" t="inlineStr">
        <is>
          <t>Ref.: R Rodrigues Dos Santos/ R Monsenhor Andrade</t>
        </is>
      </c>
      <c r="D675" s="58" t="n">
        <v>-23.538065</v>
      </c>
      <c r="E675" s="58" t="n">
        <v>-46.620639</v>
      </c>
    </row>
    <row r="676">
      <c r="A676" t="n">
        <v>100014335</v>
      </c>
      <c r="B676" t="inlineStr">
        <is>
          <t>R. Mons. Andrade, 871</t>
        </is>
      </c>
      <c r="C676" t="inlineStr">
        <is>
          <t>Ref.: R Oriente/ R Henrique Dias</t>
        </is>
      </c>
      <c r="D676" s="58" t="n">
        <v>-23.537737</v>
      </c>
      <c r="E676" s="58" t="n">
        <v>-46.62223</v>
      </c>
    </row>
    <row r="677">
      <c r="A677" t="n">
        <v>100014347</v>
      </c>
      <c r="B677" t="inlineStr">
        <is>
          <t>Lgo. Da Concordia, 121</t>
        </is>
      </c>
      <c r="C677" t="inlineStr">
        <is>
          <t>Ref.: R Ministro Firmino Whitaker/ Av Rangel Pestana</t>
        </is>
      </c>
      <c r="D677" s="58" t="n">
        <v>-23.541504</v>
      </c>
      <c r="E677" s="58" t="n">
        <v>-46.616459</v>
      </c>
    </row>
    <row r="678">
      <c r="A678" t="n">
        <v>100014350</v>
      </c>
      <c r="B678" t="inlineStr">
        <is>
          <t>R. Br. De Ladário, 579</t>
        </is>
      </c>
      <c r="C678" t="inlineStr">
        <is>
          <t>Ref.: R Henrique Dias/ R Julio Ribeiro</t>
        </is>
      </c>
      <c r="D678" s="58" t="n">
        <v>-23.536922</v>
      </c>
      <c r="E678" s="58" t="n">
        <v>-46.619017</v>
      </c>
    </row>
    <row r="679">
      <c r="A679" t="n">
        <v>100014351</v>
      </c>
      <c r="B679" t="inlineStr">
        <is>
          <t>R. Br. De Ladário, 195</t>
        </is>
      </c>
      <c r="C679" t="inlineStr">
        <is>
          <t>Ref.: R Conselheiro Belisario/ R Da Juta</t>
        </is>
      </c>
      <c r="D679" s="58" t="n">
        <v>-23.540448</v>
      </c>
      <c r="E679" s="58" t="n">
        <v>-46.618431</v>
      </c>
    </row>
    <row r="680">
      <c r="A680" t="n">
        <v>100014352</v>
      </c>
      <c r="B680" t="inlineStr">
        <is>
          <t>R. Miller, 368</t>
        </is>
      </c>
      <c r="C680" t="inlineStr">
        <is>
          <t>Ref.: Tr Abreu Junior/ R Oriente</t>
        </is>
      </c>
      <c r="D680" s="58" t="n">
        <v>-23.538282</v>
      </c>
      <c r="E680" s="58" t="n">
        <v>-46.617593</v>
      </c>
    </row>
    <row r="681">
      <c r="A681" t="n">
        <v>100014356</v>
      </c>
      <c r="B681" t="inlineStr">
        <is>
          <t>R. Bresser, 542</t>
        </is>
      </c>
      <c r="C681" t="inlineStr">
        <is>
          <t>Ref.: R Major Marcelino/ R Almirante Barroso</t>
        </is>
      </c>
      <c r="D681" s="58" t="n">
        <v>-23.535615</v>
      </c>
      <c r="E681" s="58" t="n">
        <v>-46.610316</v>
      </c>
    </row>
    <row r="682">
      <c r="A682" t="n">
        <v>100014357</v>
      </c>
      <c r="B682" t="inlineStr">
        <is>
          <t>R. Bresser, 888</t>
        </is>
      </c>
      <c r="C682" t="inlineStr">
        <is>
          <t>Ref.: R Doutor Euclydes Da Cunha/ R Doutor Carlos Botelho</t>
        </is>
      </c>
      <c r="D682" s="58" t="n">
        <v>-23.537884</v>
      </c>
      <c r="E682" s="58" t="n">
        <v>-46.608439</v>
      </c>
    </row>
    <row r="683">
      <c r="A683" t="n">
        <v>100014358</v>
      </c>
      <c r="B683" t="inlineStr">
        <is>
          <t>R. Bresser, 1352</t>
        </is>
      </c>
      <c r="C683" t="inlineStr">
        <is>
          <t>Ref.: R Doutor Joao Alves De Lima/ R 21 De Abril</t>
        </is>
      </c>
      <c r="D683" s="58" t="n">
        <v>-23.541912</v>
      </c>
      <c r="E683" s="58" t="n">
        <v>-46.607272</v>
      </c>
    </row>
    <row r="684">
      <c r="A684" t="n">
        <v>100014412</v>
      </c>
      <c r="B684" t="inlineStr">
        <is>
          <t>Av. Alcântara Machado, 1000</t>
        </is>
      </c>
      <c r="C684" t="inlineStr">
        <is>
          <t>Ref.: R Doutor Freire/ R Andre Leao</t>
        </is>
      </c>
      <c r="D684" s="58" t="n">
        <v>-23.553203</v>
      </c>
      <c r="E684" s="58" t="n">
        <v>-46.614083</v>
      </c>
    </row>
    <row r="685">
      <c r="A685" t="n">
        <v>100014543</v>
      </c>
      <c r="B685" t="inlineStr">
        <is>
          <t>Jairo Góes</t>
        </is>
      </c>
      <c r="C685" t="inlineStr">
        <is>
          <t>R. Do Gasômetro, 338 Ref.: R Da Alfandega/ R Vasco Da Gama</t>
        </is>
      </c>
      <c r="D685" s="58" t="n">
        <v>-23.544371</v>
      </c>
      <c r="E685" s="58" t="n">
        <v>-46.623046</v>
      </c>
    </row>
    <row r="686">
      <c r="A686" t="n">
        <v>100014544</v>
      </c>
      <c r="B686" t="inlineStr">
        <is>
          <t>Mercúrio</t>
        </is>
      </c>
      <c r="C686" t="inlineStr">
        <is>
          <t>R. Do Gasômetro, 61 Ref.: R Do Lucas/ R Da Figueira</t>
        </is>
      </c>
      <c r="D686" s="58" t="n">
        <v>-23.544655</v>
      </c>
      <c r="E686" s="58" t="n">
        <v>-46.625626</v>
      </c>
    </row>
    <row r="687">
      <c r="A687" t="n">
        <v>100014588</v>
      </c>
      <c r="B687" t="inlineStr">
        <is>
          <t>Piratininga</t>
        </is>
      </c>
      <c r="C687" t="inlineStr">
        <is>
          <t>Av. Alcântara Machado, 1025 Ref.: R Piratininga/ R Doutor Freire</t>
        </is>
      </c>
      <c r="D687" s="58" t="n">
        <v>-23.552597</v>
      </c>
      <c r="E687" s="58" t="n">
        <v>-46.615179</v>
      </c>
    </row>
    <row r="688">
      <c r="A688" t="n">
        <v>100014589</v>
      </c>
      <c r="B688" t="inlineStr">
        <is>
          <t>Av. Alcântara Machado, 351</t>
        </is>
      </c>
      <c r="C688" t="inlineStr">
        <is>
          <t>Ref.: R Itapira/ R Mem De Sa</t>
        </is>
      </c>
      <c r="D688" s="58" t="n">
        <v>-23.55193</v>
      </c>
      <c r="E688" s="58" t="n">
        <v>-46.621456</v>
      </c>
    </row>
    <row r="689">
      <c r="A689" t="n">
        <v>100014591</v>
      </c>
      <c r="B689" t="inlineStr">
        <is>
          <t>Hospital D. Pedro II</t>
        </is>
      </c>
      <c r="C689" t="inlineStr">
        <is>
          <t>Av. Alcântara Machado, 106 Ref.: R Da Figueira/ R Wandenkolk</t>
        </is>
      </c>
      <c r="D689" s="58" t="n">
        <v>-23.552098</v>
      </c>
      <c r="E689" s="58" t="n">
        <v>-46.624002</v>
      </c>
    </row>
    <row r="690">
      <c r="A690" t="n">
        <v>100014592</v>
      </c>
      <c r="B690" t="inlineStr">
        <is>
          <t>Av. Alcântara Machado, 464</t>
        </is>
      </c>
      <c r="C690" t="inlineStr">
        <is>
          <t>Ref.: R Itapira/ R Mem De Sa</t>
        </is>
      </c>
      <c r="D690" s="58" t="n">
        <v>-23.55254</v>
      </c>
      <c r="E690" s="58" t="n">
        <v>-46.620594</v>
      </c>
    </row>
    <row r="691">
      <c r="A691" t="n">
        <v>100015942</v>
      </c>
      <c r="B691" t="inlineStr">
        <is>
          <t>R. Maria Joaquina, 44</t>
        </is>
      </c>
      <c r="C691" t="inlineStr">
        <is>
          <t>Ref.: R Xavantes/ R Mendes Junior</t>
        </is>
      </c>
      <c r="D691" s="58" t="n">
        <v>-23.537333</v>
      </c>
      <c r="E691" s="58" t="n">
        <v>-46.613717</v>
      </c>
    </row>
    <row r="692">
      <c r="A692" t="n">
        <v>100015943</v>
      </c>
      <c r="B692" t="inlineStr">
        <is>
          <t>R. Maria Joaquina, 388</t>
        </is>
      </c>
      <c r="C692" t="inlineStr">
        <is>
          <t>Ref.: R Bresser/ R Joli</t>
        </is>
      </c>
      <c r="D692" s="58" t="n">
        <v>-23.534761</v>
      </c>
      <c r="E692" s="58" t="n">
        <v>-46.611739</v>
      </c>
    </row>
    <row r="693">
      <c r="A693" t="n">
        <v>100017111</v>
      </c>
      <c r="B693" t="inlineStr">
        <is>
          <t>R. S. Caetano, 948</t>
        </is>
      </c>
      <c r="C693" t="inlineStr">
        <is>
          <t>Ref.: R Joao Jacinto/ R Monsenhor Andrade</t>
        </is>
      </c>
      <c r="D693" s="58" t="n">
        <v>-23.536032</v>
      </c>
      <c r="E693" s="58" t="n">
        <v>-46.623686</v>
      </c>
    </row>
    <row r="694">
      <c r="A694" t="n">
        <v>130001420</v>
      </c>
      <c r="B694" t="inlineStr">
        <is>
          <t>R. Dario Vilares Barbosa, 326</t>
        </is>
      </c>
      <c r="C694" t="inlineStr">
        <is>
          <t>Ref.: Vel Dezessete/ R Alfarrobeiras</t>
        </is>
      </c>
      <c r="D694" s="58" t="n">
        <v>-23.458019</v>
      </c>
      <c r="E694" s="58" t="n">
        <v>-46.672206</v>
      </c>
    </row>
    <row r="695">
      <c r="A695" t="n">
        <v>130001421</v>
      </c>
      <c r="B695" t="inlineStr">
        <is>
          <t>R. Dario Vilares Barbosa, 170</t>
        </is>
      </c>
      <c r="C695" t="inlineStr">
        <is>
          <t>R. Dario Vilares Barbosa, 170 Ref.: Vel Dezessete/ R Alfarrobeiras</t>
        </is>
      </c>
      <c r="D695" s="58" t="n">
        <v>-23.458015</v>
      </c>
      <c r="E695" s="58" t="n">
        <v>-46.671536</v>
      </c>
    </row>
    <row r="696">
      <c r="A696" t="n">
        <v>130001422</v>
      </c>
      <c r="B696" t="inlineStr">
        <is>
          <t>R. Dario Vilares Barbosa, 411</t>
        </is>
      </c>
      <c r="C696" t="inlineStr">
        <is>
          <t>Ref.: Ruajoao Oliveira Salgado/rua Padre João Guedes</t>
        </is>
      </c>
      <c r="D696" s="58" t="n">
        <v>-23.457614</v>
      </c>
      <c r="E696" s="58" t="n">
        <v>-46.67294</v>
      </c>
    </row>
    <row r="697">
      <c r="A697" t="n">
        <v>130001424</v>
      </c>
      <c r="B697" t="inlineStr">
        <is>
          <t>R. Dario Vilares Barbosa, 596</t>
        </is>
      </c>
      <c r="C697" t="inlineStr">
        <is>
          <t>Ref.: R Serrana Fluminense/ R Antonio Lopes De Barros</t>
        </is>
      </c>
      <c r="D697" s="58" t="n">
        <v>-23.456182</v>
      </c>
      <c r="E697" s="58" t="n">
        <v>-46.673785</v>
      </c>
    </row>
    <row r="698">
      <c r="A698" t="n">
        <v>130001425</v>
      </c>
      <c r="B698" t="inlineStr">
        <is>
          <t>R. Dario Vilares Barbosa, 611</t>
        </is>
      </c>
      <c r="C698" t="inlineStr">
        <is>
          <t>Ref.: R Antonio Lopes De Barros/ R Serrana Fluminense</t>
        </is>
      </c>
      <c r="D698" s="58" t="n">
        <v>-23.456009</v>
      </c>
      <c r="E698" s="58" t="n">
        <v>-46.673888</v>
      </c>
    </row>
    <row r="699">
      <c r="A699" t="n">
        <v>130001426</v>
      </c>
      <c r="B699" t="inlineStr">
        <is>
          <t>R. Dario Vilares Barbosa, 859</t>
        </is>
      </c>
      <c r="C699" t="inlineStr">
        <is>
          <t>Ref.: R Sem Nome/ R Cunhanrequaro</t>
        </is>
      </c>
      <c r="D699" s="58" t="n">
        <v>-23.453988</v>
      </c>
      <c r="E699" s="58" t="n">
        <v>-46.673205</v>
      </c>
    </row>
    <row r="700">
      <c r="A700" t="n">
        <v>130001427</v>
      </c>
      <c r="B700" t="inlineStr">
        <is>
          <t>R. Dario Vilares Barbosa, 848</t>
        </is>
      </c>
      <c r="C700" t="inlineStr">
        <is>
          <t>Ref.: R Cunhanrequaro/ R Sem Nome</t>
        </is>
      </c>
      <c r="D700" s="58" t="n">
        <v>-23.453996</v>
      </c>
      <c r="E700" s="58" t="n">
        <v>-46.67308</v>
      </c>
    </row>
    <row r="701">
      <c r="A701" t="n">
        <v>130001428</v>
      </c>
      <c r="B701" t="inlineStr">
        <is>
          <t>R. Gervásio Leite Rebelo, 1086</t>
        </is>
      </c>
      <c r="C701" t="inlineStr">
        <is>
          <t>Ref.: R Sem Nome/ R Dario Vilares Barbosa</t>
        </is>
      </c>
      <c r="D701" s="58" t="n">
        <v>-23.4535</v>
      </c>
      <c r="E701" s="58" t="n">
        <v>-46.671049</v>
      </c>
    </row>
    <row r="702">
      <c r="A702" t="n">
        <v>130001430</v>
      </c>
      <c r="B702" t="inlineStr">
        <is>
          <t>R. Gervásio Leite Rebelo, 1316</t>
        </is>
      </c>
      <c r="C702" t="inlineStr">
        <is>
          <t>Ref.: Rua Ministro Lins De Barros</t>
        </is>
      </c>
      <c r="D702" s="58" t="n">
        <v>-23.45421</v>
      </c>
      <c r="E702" s="58" t="n">
        <v>-46.668915</v>
      </c>
    </row>
    <row r="703">
      <c r="A703" t="n">
        <v>130001431</v>
      </c>
      <c r="B703" t="inlineStr">
        <is>
          <t>R. Gervásio Leite Rebelo, 1329</t>
        </is>
      </c>
      <c r="C703" t="inlineStr">
        <is>
          <t>Ref.: Rua Ministro Lins De Barros</t>
        </is>
      </c>
      <c r="D703" s="58" t="n">
        <v>-23.454242</v>
      </c>
      <c r="E703" s="58" t="n">
        <v>-46.668748</v>
      </c>
    </row>
    <row r="704">
      <c r="A704" t="n">
        <v>130001434</v>
      </c>
      <c r="B704" t="inlineStr">
        <is>
          <t>R. Min. Lins De Barros, 594</t>
        </is>
      </c>
      <c r="C704" t="inlineStr">
        <is>
          <t>Ref.: R Jose Maria Peixoto/ R Claudio Gonzaga De Souza</t>
        </is>
      </c>
      <c r="D704" s="58" t="n">
        <v>-23.456125</v>
      </c>
      <c r="E704" s="58" t="n">
        <v>-46.667744</v>
      </c>
    </row>
    <row r="705">
      <c r="A705" t="n">
        <v>130001435</v>
      </c>
      <c r="B705" t="inlineStr">
        <is>
          <t>R. Min. Lins De Barros, 587</t>
        </is>
      </c>
      <c r="C705" t="inlineStr">
        <is>
          <t>Ref.: R Doutor Francisco Eugenio Do Amaral/ R Gervasio Leite Rebelo</t>
        </is>
      </c>
      <c r="D705" s="58" t="n">
        <v>-23.45626</v>
      </c>
      <c r="E705" s="58" t="n">
        <v>-46.667854</v>
      </c>
    </row>
    <row r="706">
      <c r="A706" t="n">
        <v>130001436</v>
      </c>
      <c r="B706" t="inlineStr">
        <is>
          <t>R. Min. Lins De Barros, 392</t>
        </is>
      </c>
      <c r="C706" t="inlineStr">
        <is>
          <t>Ref.: R Jose Manuel De Almeida/ R Gervasio Leite Rebelo</t>
        </is>
      </c>
      <c r="D706" s="58" t="n">
        <v>-23.458059</v>
      </c>
      <c r="E706" s="58" t="n">
        <v>-46.66768</v>
      </c>
    </row>
    <row r="707">
      <c r="A707" t="n">
        <v>130001444</v>
      </c>
      <c r="B707" t="inlineStr">
        <is>
          <t>Av. Masao Watanabe, 98</t>
        </is>
      </c>
      <c r="C707" t="inlineStr">
        <is>
          <t>Ref.: Av Masao Watanabe/ R Francisco Alves Pereira</t>
        </is>
      </c>
      <c r="D707" s="58" t="n">
        <v>-23.463504</v>
      </c>
      <c r="E707" s="58" t="n">
        <v>-46.667445</v>
      </c>
    </row>
    <row r="708">
      <c r="A708" t="n">
        <v>130001445</v>
      </c>
      <c r="B708" t="inlineStr">
        <is>
          <t>Av. Masao Watanabe, 145</t>
        </is>
      </c>
      <c r="C708" t="inlineStr">
        <is>
          <t>Ref.: R Cachoeira Alegre/ R Francisco Alves Pereira</t>
        </is>
      </c>
      <c r="D708" s="58" t="n">
        <v>-23.463268</v>
      </c>
      <c r="E708" s="58" t="n">
        <v>-46.667562</v>
      </c>
    </row>
    <row r="709">
      <c r="A709" t="n">
        <v>130001446</v>
      </c>
      <c r="B709" t="inlineStr">
        <is>
          <t>Av. Masao Watanabe, 418</t>
        </is>
      </c>
      <c r="C709" t="inlineStr">
        <is>
          <t>Ref.: R Doutor Araujo Castro/ Av Masao Watanabe</t>
        </is>
      </c>
      <c r="D709" s="58" t="n">
        <v>-23.463309</v>
      </c>
      <c r="E709" s="58" t="n">
        <v>-46.66563</v>
      </c>
    </row>
    <row r="710">
      <c r="A710" t="n">
        <v>130001447</v>
      </c>
      <c r="B710" t="inlineStr">
        <is>
          <t>Av. Masao Watanabe, 565</t>
        </is>
      </c>
      <c r="C710" t="inlineStr">
        <is>
          <t>Ref.: R Rio Itapicu/ R Acaratinga</t>
        </is>
      </c>
      <c r="D710" s="58" t="n">
        <v>-23.462031</v>
      </c>
      <c r="E710" s="58" t="n">
        <v>-46.666199</v>
      </c>
    </row>
    <row r="711">
      <c r="A711" t="n">
        <v>130001449</v>
      </c>
      <c r="B711" t="inlineStr">
        <is>
          <t>Av. Masao Watanabe, 594</t>
        </is>
      </c>
      <c r="C711" t="inlineStr">
        <is>
          <t>Ref.: R Acaratinga / R Rio Itapicu</t>
        </is>
      </c>
      <c r="D711" s="58" t="n">
        <v>-23.461906</v>
      </c>
      <c r="E711" s="58" t="n">
        <v>-46.66605</v>
      </c>
    </row>
    <row r="712">
      <c r="A712" t="n">
        <v>130001450</v>
      </c>
      <c r="B712" t="inlineStr">
        <is>
          <t>Av. Masao Watanabe, 731</t>
        </is>
      </c>
      <c r="C712" t="inlineStr">
        <is>
          <t>Ref.: R Rio Itapiçu/ Tr Cacu</t>
        </is>
      </c>
      <c r="D712" s="58" t="n">
        <v>-23.460678</v>
      </c>
      <c r="E712" s="58" t="n">
        <v>-46.665672</v>
      </c>
    </row>
    <row r="713">
      <c r="A713" t="n">
        <v>130001451</v>
      </c>
      <c r="B713" t="inlineStr">
        <is>
          <t>R. Min. Lins De Barros, 132</t>
        </is>
      </c>
      <c r="C713" t="inlineStr">
        <is>
          <t>Ref.: R Cariacica/ R Professor Sylvio Marcondes Machado</t>
        </is>
      </c>
      <c r="D713" s="58" t="n">
        <v>-23.459586</v>
      </c>
      <c r="E713" s="58" t="n">
        <v>-46.66614</v>
      </c>
    </row>
    <row r="714">
      <c r="A714" t="n">
        <v>130001452</v>
      </c>
      <c r="B714" t="inlineStr">
        <is>
          <t>R. Min. Lins De Barros, 170</t>
        </is>
      </c>
      <c r="C714" t="inlineStr">
        <is>
          <t>Ref.: R Doutor Paulo Furtado De Oliveira/ R Professor Sylvio Marcondes Machado</t>
        </is>
      </c>
      <c r="D714" s="58" t="n">
        <v>-23.459396</v>
      </c>
      <c r="E714" s="58" t="n">
        <v>-46.666673</v>
      </c>
    </row>
    <row r="715">
      <c r="A715" t="n">
        <v>130001453</v>
      </c>
      <c r="B715" t="inlineStr">
        <is>
          <t>Av. Gen. Penha Brasil, 781</t>
        </is>
      </c>
      <c r="C715" t="inlineStr">
        <is>
          <t>Ref.: R Luiz Macario De Castro/ R Canguira</t>
        </is>
      </c>
      <c r="D715" s="58" t="n">
        <v>-23.465667</v>
      </c>
      <c r="E715" s="58" t="n">
        <v>-46.668402</v>
      </c>
    </row>
    <row r="716">
      <c r="A716" t="n">
        <v>130001454</v>
      </c>
      <c r="B716" t="inlineStr">
        <is>
          <t>Av. Gen. Penha Brasil, 616</t>
        </is>
      </c>
      <c r="C716" t="inlineStr">
        <is>
          <t>Ref.: R Jose Pedro D Oro/ R Canguira</t>
        </is>
      </c>
      <c r="D716" s="58" t="n">
        <v>-23.466314</v>
      </c>
      <c r="E716" s="58" t="n">
        <v>-46.668689</v>
      </c>
    </row>
    <row r="717">
      <c r="A717" t="n">
        <v>130001455</v>
      </c>
      <c r="B717" t="inlineStr">
        <is>
          <t>R. Gomes Leal, 106</t>
        </is>
      </c>
      <c r="C717" t="inlineStr">
        <is>
          <t>Ref.: R Augusto Gil/ R Fernando Pessoa</t>
        </is>
      </c>
      <c r="D717" s="58" t="n">
        <v>-23.46758</v>
      </c>
      <c r="E717" s="58" t="n">
        <v>-46.666354</v>
      </c>
    </row>
    <row r="718">
      <c r="A718" t="n">
        <v>130001456</v>
      </c>
      <c r="B718" t="inlineStr">
        <is>
          <t>R. Gomes Leal, 350</t>
        </is>
      </c>
      <c r="C718" t="inlineStr">
        <is>
          <t>Ref.: R Fernando Pessoa/ R Nicolau Tolentino De Almeida</t>
        </is>
      </c>
      <c r="D718" s="58" t="n">
        <v>-23.466931</v>
      </c>
      <c r="E718" s="58" t="n">
        <v>-46.664257</v>
      </c>
    </row>
    <row r="719">
      <c r="A719" t="n">
        <v>130001523</v>
      </c>
      <c r="B719" t="inlineStr">
        <is>
          <t>Av. Parada Pinto, 1380</t>
        </is>
      </c>
      <c r="C719" t="inlineStr">
        <is>
          <t>Ref.: R Vinte E Dois De Agosto/ R Felisberto Freire</t>
        </is>
      </c>
      <c r="D719" s="58" t="n">
        <v>-23.469456</v>
      </c>
      <c r="E719" s="58" t="n">
        <v>-46.656819</v>
      </c>
    </row>
    <row r="720">
      <c r="A720" t="n">
        <v>130001524</v>
      </c>
      <c r="B720" t="inlineStr">
        <is>
          <t>Av. Parada Pinto, 1722</t>
        </is>
      </c>
      <c r="C720" t="inlineStr">
        <is>
          <t>Ref.: R. José Brito Broca</t>
        </is>
      </c>
      <c r="D720" s="58" t="n">
        <v>-23.470099</v>
      </c>
      <c r="E720" s="58" t="n">
        <v>-46.654124</v>
      </c>
    </row>
    <row r="721">
      <c r="A721" t="n">
        <v>130001526</v>
      </c>
      <c r="B721" t="inlineStr">
        <is>
          <t>Av. Parada Pinto, 1813</t>
        </is>
      </c>
      <c r="C721" t="inlineStr">
        <is>
          <t>Ref.: R Jose Brito Broca/ Vel Um</t>
        </is>
      </c>
      <c r="D721" s="58" t="n">
        <v>-23.470281</v>
      </c>
      <c r="E721" s="58" t="n">
        <v>-46.653117</v>
      </c>
    </row>
    <row r="722">
      <c r="A722" t="n">
        <v>130001527</v>
      </c>
      <c r="B722" t="inlineStr">
        <is>
          <t>Av. Parada Pinto, 1860</t>
        </is>
      </c>
      <c r="C722" t="inlineStr">
        <is>
          <t>Ref.: Vel Um/ R Jose Ferreira De Castro</t>
        </is>
      </c>
      <c r="D722" s="58" t="n">
        <v>-23.470847</v>
      </c>
      <c r="E722" s="58" t="n">
        <v>-46.652457</v>
      </c>
    </row>
    <row r="723">
      <c r="A723" t="n">
        <v>130001528</v>
      </c>
      <c r="B723" t="inlineStr">
        <is>
          <t>Av. Parada Pinto, 2077</t>
        </is>
      </c>
      <c r="C723" t="inlineStr">
        <is>
          <t>Ref.: R Capitao Arminio Gaia/ R Tavannes</t>
        </is>
      </c>
      <c r="D723" s="58" t="n">
        <v>-23.471014</v>
      </c>
      <c r="E723" s="58" t="n">
        <v>-46.650802</v>
      </c>
    </row>
    <row r="724">
      <c r="A724" t="n">
        <v>130001530</v>
      </c>
      <c r="B724" t="inlineStr">
        <is>
          <t>Av. Parada Pinto, 2335</t>
        </is>
      </c>
      <c r="C724" t="inlineStr">
        <is>
          <t>Ref.: R Antonio Dias Da Silva/ R Vaud</t>
        </is>
      </c>
      <c r="D724" s="58" t="n">
        <v>-23.469862</v>
      </c>
      <c r="E724" s="58" t="n">
        <v>-46.648761</v>
      </c>
    </row>
    <row r="725">
      <c r="A725" t="n">
        <v>130001531</v>
      </c>
      <c r="B725" t="inlineStr">
        <is>
          <t>Av. Parada Pinto, 2531</t>
        </is>
      </c>
      <c r="C725" t="inlineStr">
        <is>
          <t>Ref.: R General Isidoro Dias Lopes/ Av Coronel Manuel Py</t>
        </is>
      </c>
      <c r="D725" s="58" t="n">
        <v>-23.469402</v>
      </c>
      <c r="E725" s="58" t="n">
        <v>-46.646851</v>
      </c>
    </row>
    <row r="726">
      <c r="A726" t="n">
        <v>130001616</v>
      </c>
      <c r="B726" t="inlineStr">
        <is>
          <t>R. Fernando Pessoa, 407</t>
        </is>
      </c>
      <c r="C726" t="inlineStr">
        <is>
          <t>Ref.: R Joao De Deus Ramos/ R Gil Vicente</t>
        </is>
      </c>
      <c r="D726" s="58" t="n">
        <v>-23.467085</v>
      </c>
      <c r="E726" s="58" t="n">
        <v>-46.662916</v>
      </c>
    </row>
    <row r="727">
      <c r="A727" t="n">
        <v>130001617</v>
      </c>
      <c r="B727" t="inlineStr">
        <is>
          <t>R. Fernando Pessoa, 408</t>
        </is>
      </c>
      <c r="C727" t="inlineStr">
        <is>
          <t>Ref.: R Odassy Mazzali / R Gomes Leal</t>
        </is>
      </c>
      <c r="D727" s="58" t="n">
        <v>-23.467298</v>
      </c>
      <c r="E727" s="58" t="n">
        <v>-46.662228</v>
      </c>
    </row>
    <row r="728">
      <c r="A728" t="n">
        <v>130001620</v>
      </c>
      <c r="B728" t="inlineStr">
        <is>
          <t>R. Felisberto Freire, 86</t>
        </is>
      </c>
      <c r="C728" t="inlineStr">
        <is>
          <t>Ref.: R Vinte E Oito De Janeiro/ Av Parada Pinto</t>
        </is>
      </c>
      <c r="D728" s="58" t="n">
        <v>-23.469482</v>
      </c>
      <c r="E728" s="58" t="n">
        <v>-46.655229</v>
      </c>
    </row>
    <row r="729">
      <c r="A729" t="n">
        <v>130001621</v>
      </c>
      <c r="B729" t="inlineStr">
        <is>
          <t>R. Odassi Nazzali, 132</t>
        </is>
      </c>
      <c r="C729" t="inlineStr">
        <is>
          <t>Ref.: Av Parada Pinto/ R Fernando Pessoa</t>
        </is>
      </c>
      <c r="D729" s="58" t="n">
        <v>-23.468827</v>
      </c>
      <c r="E729" s="58" t="n">
        <v>-46.66037</v>
      </c>
    </row>
    <row r="730">
      <c r="A730" t="n">
        <v>130001622</v>
      </c>
      <c r="B730" t="inlineStr">
        <is>
          <t>R. Odassi Nazzali, 310</t>
        </is>
      </c>
      <c r="C730" t="inlineStr">
        <is>
          <t>Ref.: Av Parada Pinto/ R Fernando Pessoa</t>
        </is>
      </c>
      <c r="D730" s="58" t="n">
        <v>-23.467658</v>
      </c>
      <c r="E730" s="58" t="n">
        <v>-46.661153</v>
      </c>
    </row>
    <row r="731">
      <c r="A731" t="n">
        <v>150010325</v>
      </c>
      <c r="B731" t="inlineStr">
        <is>
          <t>Av. Dr. Lino De Moraes Leme, 91</t>
        </is>
      </c>
      <c r="C731" t="inlineStr">
        <is>
          <t>Ref.: R Tapes/ R Pantaleao Teles</t>
        </is>
      </c>
      <c r="D731" s="58" t="n">
        <v>-23.633571</v>
      </c>
      <c r="E731" s="58" t="n">
        <v>-46.660305</v>
      </c>
    </row>
    <row r="732">
      <c r="A732" t="n">
        <v>150010326</v>
      </c>
      <c r="B732" t="inlineStr">
        <is>
          <t>Av. Dr. Lino De Moraes Leme, 55</t>
        </is>
      </c>
      <c r="C732" t="inlineStr">
        <is>
          <t>Ref.: R Tapes/ R Pantaleao Teles</t>
        </is>
      </c>
      <c r="D732" s="58" t="n">
        <v>-23.633165</v>
      </c>
      <c r="E732" s="58" t="n">
        <v>-46.659984</v>
      </c>
    </row>
    <row r="733">
      <c r="A733" t="n">
        <v>150010505</v>
      </c>
      <c r="B733" t="inlineStr">
        <is>
          <t>R. Tamoios, 60</t>
        </is>
      </c>
      <c r="C733" t="inlineStr">
        <is>
          <t>Ref.: Rua Pe. Leonardo</t>
        </is>
      </c>
      <c r="D733" s="58" t="n">
        <v>-23.629699</v>
      </c>
      <c r="E733" s="58" t="n">
        <v>-46.666439</v>
      </c>
    </row>
    <row r="734">
      <c r="A734" t="n">
        <v>150010506</v>
      </c>
      <c r="B734" t="inlineStr">
        <is>
          <t>R. Tamoios, 186</t>
        </is>
      </c>
      <c r="C734" t="inlineStr">
        <is>
          <t>Ref.: Rua Visconde De Ouros</t>
        </is>
      </c>
      <c r="D734" s="58" t="n">
        <v>-23.630154</v>
      </c>
      <c r="E734" s="58" t="n">
        <v>-46.66537</v>
      </c>
    </row>
    <row r="735">
      <c r="A735" t="n">
        <v>150010507</v>
      </c>
      <c r="B735" t="inlineStr">
        <is>
          <t>R. Tamoios, 410</t>
        </is>
      </c>
      <c r="C735" t="inlineStr">
        <is>
          <t>Ref.: Rua Galileu</t>
        </is>
      </c>
      <c r="D735" s="58" t="n">
        <v>-23.631071</v>
      </c>
      <c r="E735" s="58" t="n">
        <v>-46.663482</v>
      </c>
    </row>
    <row r="736">
      <c r="A736" t="n">
        <v>150010508</v>
      </c>
      <c r="B736" t="inlineStr">
        <is>
          <t>R. Tamoios, 466</t>
        </is>
      </c>
      <c r="C736" t="inlineStr">
        <is>
          <t>Ref.: Rua Profa. Heloísa Carneiro</t>
        </is>
      </c>
      <c r="D736" s="58" t="n">
        <v>-23.631368</v>
      </c>
      <c r="E736" s="58" t="n">
        <v>-46.662981</v>
      </c>
    </row>
    <row r="737">
      <c r="A737" t="n">
        <v>150010509</v>
      </c>
      <c r="B737" t="inlineStr">
        <is>
          <t>R. Tamoios, 584</t>
        </is>
      </c>
      <c r="C737" t="inlineStr">
        <is>
          <t>Ref.: Rua Carlos Pinto Alves</t>
        </is>
      </c>
      <c r="D737" s="58" t="n">
        <v>-23.63187</v>
      </c>
      <c r="E737" s="58" t="n">
        <v>-46.661799</v>
      </c>
    </row>
    <row r="738">
      <c r="A738" t="n">
        <v>150010510</v>
      </c>
      <c r="B738" t="inlineStr">
        <is>
          <t>R. Tamoios, 650</t>
        </is>
      </c>
      <c r="C738" t="inlineStr">
        <is>
          <t>Ref.: Rua Carlos Pinto Alves</t>
        </is>
      </c>
      <c r="D738" s="58" t="n">
        <v>-23.632162</v>
      </c>
      <c r="E738" s="58" t="n">
        <v>-46.661363</v>
      </c>
    </row>
    <row r="739">
      <c r="A739" t="n">
        <v>150010513</v>
      </c>
      <c r="B739" t="inlineStr">
        <is>
          <t>Av. Pedro Bueno, 908</t>
        </is>
      </c>
      <c r="C739" t="inlineStr">
        <is>
          <t>Ref.: R Monsenhor Antonio Pepe/ R Guilherme Rehder</t>
        </is>
      </c>
      <c r="D739" s="58" t="n">
        <v>-23.636839</v>
      </c>
      <c r="E739" s="58" t="n">
        <v>-46.651735</v>
      </c>
    </row>
    <row r="740">
      <c r="A740" t="n">
        <v>150010514</v>
      </c>
      <c r="B740" t="inlineStr">
        <is>
          <t>Av. Pedro Bueno, 1194</t>
        </is>
      </c>
      <c r="C740" t="inlineStr">
        <is>
          <t>Ref.: R Dom Otavio De Miranda/ R Almeida Ferraz</t>
        </is>
      </c>
      <c r="D740" s="58" t="n">
        <v>-23.637831</v>
      </c>
      <c r="E740" s="58" t="n">
        <v>-46.653988</v>
      </c>
    </row>
    <row r="741">
      <c r="A741" t="n">
        <v>150010515</v>
      </c>
      <c r="B741" t="inlineStr">
        <is>
          <t>Av. Pedro Bueno, 1448</t>
        </is>
      </c>
      <c r="C741" t="inlineStr">
        <is>
          <t>Ref.: R Haroldo Paranhos/ R Claudio Mendonca</t>
        </is>
      </c>
      <c r="D741" s="58" t="n">
        <v>-23.637999</v>
      </c>
      <c r="E741" s="58" t="n">
        <v>-46.656406</v>
      </c>
    </row>
    <row r="742">
      <c r="A742" t="n">
        <v>150010516</v>
      </c>
      <c r="B742" t="inlineStr">
        <is>
          <t>Av. João Pedro Cardoso, 465</t>
        </is>
      </c>
      <c r="C742" t="inlineStr">
        <is>
          <t>Ref.: R Simoes Pinto/ R Nicolau Zarvos</t>
        </is>
      </c>
      <c r="D742" s="58" t="n">
        <v>-23.636713</v>
      </c>
      <c r="E742" s="58" t="n">
        <v>-46.657783</v>
      </c>
    </row>
    <row r="743">
      <c r="A743" t="n">
        <v>150010517</v>
      </c>
      <c r="B743" t="inlineStr">
        <is>
          <t>Av. João Pedro Cardoso, 131</t>
        </is>
      </c>
      <c r="C743" t="inlineStr">
        <is>
          <t>Ref.: R Tobias Monteiro/ R Embaixador Coelho De Almeida</t>
        </is>
      </c>
      <c r="D743" s="58" t="n">
        <v>-23.634797</v>
      </c>
      <c r="E743" s="58" t="n">
        <v>-46.65943</v>
      </c>
    </row>
    <row r="744">
      <c r="A744" t="n">
        <v>150010518</v>
      </c>
      <c r="B744" t="inlineStr">
        <is>
          <t>Av. João Pedro Cardoso, 158</t>
        </is>
      </c>
      <c r="C744" t="inlineStr">
        <is>
          <t>Ref.: R Conde De La Hure/ R Ribeiroles</t>
        </is>
      </c>
      <c r="D744" s="58" t="n">
        <v>-23.635038</v>
      </c>
      <c r="E744" s="58" t="n">
        <v>-46.65895</v>
      </c>
    </row>
    <row r="745">
      <c r="A745" t="n">
        <v>150010519</v>
      </c>
      <c r="B745" t="inlineStr">
        <is>
          <t>Av. João Pedro Cardoso, 562</t>
        </is>
      </c>
      <c r="C745" t="inlineStr">
        <is>
          <t>Ref.: R Doutor Mario Mourao/ R Hugo Taddey</t>
        </is>
      </c>
      <c r="D745" s="58" t="n">
        <v>-23.637806</v>
      </c>
      <c r="E745" s="58" t="n">
        <v>-46.658034</v>
      </c>
    </row>
    <row r="746">
      <c r="A746" t="n">
        <v>150010520</v>
      </c>
      <c r="B746" t="inlineStr">
        <is>
          <t>Av. Pedro Bueno, 1499</t>
        </is>
      </c>
      <c r="C746" t="inlineStr">
        <is>
          <t>Ref.: R Haroldo Paranhos/ Pc Olga Simon Poyares</t>
        </is>
      </c>
      <c r="D746" s="58" t="n">
        <v>-23.638325</v>
      </c>
      <c r="E746" s="58" t="n">
        <v>-46.656897</v>
      </c>
    </row>
    <row r="747">
      <c r="A747" t="n">
        <v>150010521</v>
      </c>
      <c r="B747" t="inlineStr">
        <is>
          <t>Av. Pedro Bueno, 1149</t>
        </is>
      </c>
      <c r="C747" t="inlineStr">
        <is>
          <t>Ref.: R Almeida Ferraz/ R Guilherme Rehder</t>
        </is>
      </c>
      <c r="D747" s="58" t="n">
        <v>-23.638065</v>
      </c>
      <c r="E747" s="58" t="n">
        <v>-46.65346</v>
      </c>
    </row>
    <row r="748">
      <c r="A748" t="n">
        <v>150010522</v>
      </c>
      <c r="B748" t="inlineStr">
        <is>
          <t>Av. Pedro Bueno, 817</t>
        </is>
      </c>
      <c r="C748" t="inlineStr">
        <is>
          <t>Ref.: R Acacio Vasconcelos/ R Desembargador Alipio Bastos</t>
        </is>
      </c>
      <c r="D748" s="58" t="n">
        <v>-23.636332</v>
      </c>
      <c r="E748" s="58" t="n">
        <v>-46.650826</v>
      </c>
    </row>
    <row r="749">
      <c r="A749" t="n">
        <v>150015554</v>
      </c>
      <c r="B749" t="inlineStr">
        <is>
          <t>Lineu Gomes</t>
        </is>
      </c>
      <c r="C749" t="inlineStr">
        <is>
          <t>Av. Washington Luiz, 6718 Ref.: Sentido B/C - Frente Aeroporto</t>
        </is>
      </c>
      <c r="D749" s="58" t="n">
        <v>-23.624632</v>
      </c>
      <c r="E749" s="58" t="n">
        <v>-46.661414</v>
      </c>
    </row>
    <row r="750">
      <c r="A750" t="n">
        <v>150015556</v>
      </c>
      <c r="B750" t="inlineStr">
        <is>
          <t>Félix De Sousa</t>
        </is>
      </c>
      <c r="C750" t="inlineStr">
        <is>
          <t>Av. Washington Luiz, 6973 Ref.: R Felix De Sousa/ R Visconde De Aguiar Toledo</t>
        </is>
      </c>
      <c r="D750" s="58" t="n">
        <v>-23.622724</v>
      </c>
      <c r="E750" s="58" t="n">
        <v>-46.661917</v>
      </c>
    </row>
    <row r="751">
      <c r="A751" t="n">
        <v>150015557</v>
      </c>
      <c r="B751" t="inlineStr">
        <is>
          <t>Av. Washington Luiz, 6675</t>
        </is>
      </c>
      <c r="C751" t="inlineStr">
        <is>
          <t>Ref.: Rua Renascença</t>
        </is>
      </c>
      <c r="D751" s="58" t="n">
        <v>-23.624982</v>
      </c>
      <c r="E751" s="58" t="n">
        <v>-46.661854</v>
      </c>
    </row>
    <row r="752">
      <c r="A752" t="n">
        <v>200008598</v>
      </c>
      <c r="B752" t="inlineStr">
        <is>
          <t>R. Francisca De Paula, 1003</t>
        </is>
      </c>
      <c r="C752" t="inlineStr">
        <is>
          <t>Ref.: R Amarais/ R Virginia</t>
        </is>
      </c>
      <c r="D752" s="58" t="n">
        <v>-23.561173</v>
      </c>
      <c r="E752" s="58" t="n">
        <v>-46.532188</v>
      </c>
    </row>
    <row r="753">
      <c r="A753" t="n">
        <v>200008599</v>
      </c>
      <c r="B753" t="inlineStr">
        <is>
          <t>R. Francisca De Paula, 1102</t>
        </is>
      </c>
      <c r="C753" t="inlineStr">
        <is>
          <t>Ref.: R. Amarais / R. Cruz Jobim</t>
        </is>
      </c>
      <c r="D753" s="58" t="n">
        <v>-23.561464</v>
      </c>
      <c r="E753" s="58" t="n">
        <v>-46.532421</v>
      </c>
    </row>
    <row r="754">
      <c r="A754" t="n">
        <v>200008600</v>
      </c>
      <c r="B754" t="inlineStr">
        <is>
          <t>R. Francisca De Paula, 507</t>
        </is>
      </c>
      <c r="C754" t="inlineStr">
        <is>
          <t>Ref.: R Maria Inacia Da Conceicao/ R Gabriel Andrioli</t>
        </is>
      </c>
      <c r="D754" s="58" t="n">
        <v>-23.558798</v>
      </c>
      <c r="E754" s="58" t="n">
        <v>-46.53067</v>
      </c>
    </row>
    <row r="755">
      <c r="A755" t="n">
        <v>200008601</v>
      </c>
      <c r="B755" t="inlineStr">
        <is>
          <t>R. Francisca De Paula, 504</t>
        </is>
      </c>
      <c r="C755" t="inlineStr">
        <is>
          <t>Ref.: Tr Carlos Magno/ R Augusto Reginato</t>
        </is>
      </c>
      <c r="D755" s="58" t="n">
        <v>-23.558463</v>
      </c>
      <c r="E755" s="58" t="n">
        <v>-46.530592</v>
      </c>
    </row>
    <row r="756">
      <c r="A756" t="n">
        <v>200008602</v>
      </c>
      <c r="B756" t="inlineStr">
        <is>
          <t>R. Francisca De Paula, 167</t>
        </is>
      </c>
      <c r="C756" t="inlineStr">
        <is>
          <t>Ref.: R Rogerio Giorgi/ R Ricardo Bertolini</t>
        </is>
      </c>
      <c r="D756" s="58" t="n">
        <v>-23.555048</v>
      </c>
      <c r="E756" s="58" t="n">
        <v>-46.528355</v>
      </c>
    </row>
    <row r="757">
      <c r="A757" t="n">
        <v>200008614</v>
      </c>
      <c r="B757" t="inlineStr">
        <is>
          <t>Av. Dr. Norberto Mayer, 429</t>
        </is>
      </c>
      <c r="C757" t="inlineStr">
        <is>
          <t>Av. Dr. Norberto Mayer, 429 Ref.: R Almirante Giachetta/ R Ponta De Leste</t>
        </is>
      </c>
      <c r="D757" s="58" t="n">
        <v>-23.556408</v>
      </c>
      <c r="E757" s="58" t="n">
        <v>-46.537463</v>
      </c>
    </row>
    <row r="758">
      <c r="A758" t="n">
        <v>200008615</v>
      </c>
      <c r="B758" t="inlineStr">
        <is>
          <t>Av. Dr. Norberto Mayer, 197</t>
        </is>
      </c>
      <c r="C758" t="inlineStr">
        <is>
          <t>Ref.: R Ponta De Leste/ R Geraldo Correa</t>
        </is>
      </c>
      <c r="D758" s="58" t="n">
        <v>-23.55704</v>
      </c>
      <c r="E758" s="58" t="n">
        <v>-46.539376</v>
      </c>
    </row>
    <row r="759">
      <c r="A759" t="n">
        <v>200008616</v>
      </c>
      <c r="B759" t="inlineStr">
        <is>
          <t>R. Lutécia, 1380</t>
        </is>
      </c>
      <c r="C759" t="inlineStr">
        <is>
          <t>Ref.: R Geraldo Correa/ R Lobo</t>
        </is>
      </c>
      <c r="D759" s="58" t="n">
        <v>-23.555664</v>
      </c>
      <c r="E759" s="58" t="n">
        <v>-46.542712</v>
      </c>
    </row>
    <row r="760">
      <c r="A760" t="n">
        <v>200008617</v>
      </c>
      <c r="B760" t="inlineStr">
        <is>
          <t>R. Lutécia</t>
        </is>
      </c>
      <c r="C760" t="inlineStr">
        <is>
          <t>Ref.: R Geraldo Correa/ R Lobo - Ed. Varandas Da Lutecia</t>
        </is>
      </c>
      <c r="D760" s="58" t="n">
        <v>-23.55546</v>
      </c>
      <c r="E760" s="58" t="n">
        <v>-46.542802</v>
      </c>
    </row>
    <row r="761">
      <c r="A761" t="n">
        <v>200008619</v>
      </c>
      <c r="B761" t="inlineStr">
        <is>
          <t>R. Lutécia, 994</t>
        </is>
      </c>
      <c r="C761" t="inlineStr">
        <is>
          <t>Ref.: R Luzia Da Conceicao Moraes/ R Xiririca</t>
        </is>
      </c>
      <c r="D761" s="58" t="n">
        <v>-23.552406</v>
      </c>
      <c r="E761" s="58" t="n">
        <v>-46.543066</v>
      </c>
    </row>
    <row r="762">
      <c r="A762" t="n">
        <v>200008620</v>
      </c>
      <c r="B762" t="inlineStr">
        <is>
          <t>R. Lutécia</t>
        </is>
      </c>
      <c r="C762" t="inlineStr">
        <is>
          <t>Ref.: R Renato Rinaldi/ R Joao Vieira Prioste</t>
        </is>
      </c>
      <c r="D762" s="58" t="n">
        <v>-23.550379</v>
      </c>
      <c r="E762" s="58" t="n">
        <v>-46.541864</v>
      </c>
    </row>
    <row r="763">
      <c r="A763" t="n">
        <v>200008621</v>
      </c>
      <c r="B763" t="inlineStr">
        <is>
          <t>R. Lutécia, 698</t>
        </is>
      </c>
      <c r="C763" t="inlineStr">
        <is>
          <t>Ref.: R Descanso/ R Renato Rinaldi</t>
        </is>
      </c>
      <c r="D763" s="58" t="n">
        <v>-23.550016</v>
      </c>
      <c r="E763" s="58" t="n">
        <v>-46.54181</v>
      </c>
    </row>
    <row r="764">
      <c r="A764" t="n">
        <v>200008626</v>
      </c>
      <c r="B764" t="inlineStr">
        <is>
          <t>R. Lutécia, 517</t>
        </is>
      </c>
      <c r="C764" t="inlineStr">
        <is>
          <t>Ref.: R Engenheiro Pegado/ R Rogerio Giorgi</t>
        </is>
      </c>
      <c r="D764" s="58" t="n">
        <v>-23.548599</v>
      </c>
      <c r="E764" s="58" t="n">
        <v>-46.540939</v>
      </c>
    </row>
    <row r="765">
      <c r="A765" t="n">
        <v>200008628</v>
      </c>
      <c r="B765" t="inlineStr">
        <is>
          <t>Av. Guilherme Giorge, 721</t>
        </is>
      </c>
      <c r="C765" t="inlineStr">
        <is>
          <t>Ref.: R Luzia Da Conceicao Moraes/ R Do Corrego</t>
        </is>
      </c>
      <c r="D765" s="58" t="n">
        <v>-23.552802</v>
      </c>
      <c r="E765" s="58" t="n">
        <v>-46.544411</v>
      </c>
    </row>
    <row r="766">
      <c r="A766" t="n">
        <v>200008629</v>
      </c>
      <c r="B766" t="inlineStr">
        <is>
          <t>Av. Guilherme Giorge, 790</t>
        </is>
      </c>
      <c r="C766" t="inlineStr">
        <is>
          <t>Ref.: R Luzia Da Conceicao Moraes/ R Do Corrego</t>
        </is>
      </c>
      <c r="D766" s="58" t="n">
        <v>-23.553285</v>
      </c>
      <c r="E766" s="58" t="n">
        <v>-46.544765</v>
      </c>
    </row>
    <row r="767">
      <c r="A767" t="n">
        <v>200008630</v>
      </c>
      <c r="B767" t="inlineStr">
        <is>
          <t>Av. Guilherme Giorge, 1130</t>
        </is>
      </c>
      <c r="C767" t="inlineStr">
        <is>
          <t>Ref.: R Boreal/ R Palas</t>
        </is>
      </c>
      <c r="D767" s="58" t="n">
        <v>-23.556576</v>
      </c>
      <c r="E767" s="58" t="n">
        <v>-46.544824</v>
      </c>
    </row>
    <row r="768">
      <c r="A768" t="n">
        <v>200008631</v>
      </c>
      <c r="B768" t="inlineStr">
        <is>
          <t>Av. Guilherme Giorge, 1320</t>
        </is>
      </c>
      <c r="C768" t="inlineStr">
        <is>
          <t>Ref.: R Boreal/ R Palas</t>
        </is>
      </c>
      <c r="D768" s="58" t="n">
        <v>-23.556769</v>
      </c>
      <c r="E768" s="58" t="n">
        <v>-46.544808</v>
      </c>
    </row>
    <row r="769">
      <c r="A769" t="n">
        <v>200008632</v>
      </c>
      <c r="B769" t="inlineStr">
        <is>
          <t>Av. Guilherme Giorge, 1612</t>
        </is>
      </c>
      <c r="C769" t="inlineStr">
        <is>
          <t>Ref.: R Bailique/ R Guaragi</t>
        </is>
      </c>
      <c r="D769" s="58" t="n">
        <v>-23.559452</v>
      </c>
      <c r="E769" s="58" t="n">
        <v>-46.543784</v>
      </c>
    </row>
    <row r="770">
      <c r="A770" t="n">
        <v>200008633</v>
      </c>
      <c r="B770" t="inlineStr">
        <is>
          <t>Av. Guilherme Giorge, 1615</t>
        </is>
      </c>
      <c r="C770" t="inlineStr">
        <is>
          <t>Ref.: R Bailique/ R Guaragi</t>
        </is>
      </c>
      <c r="D770" s="58" t="n">
        <v>-23.559588</v>
      </c>
      <c r="E770" s="58" t="n">
        <v>-46.543626</v>
      </c>
    </row>
    <row r="771">
      <c r="A771" t="n">
        <v>200008638</v>
      </c>
      <c r="B771" t="inlineStr">
        <is>
          <t>R. Lutécia, 1994</t>
        </is>
      </c>
      <c r="C771" t="inlineStr">
        <is>
          <t>Ref.: R Picinguaba/ Al Rainha Santa</t>
        </is>
      </c>
      <c r="D771" s="58" t="n">
        <v>-23.560939</v>
      </c>
      <c r="E771" s="58" t="n">
        <v>-46.540744</v>
      </c>
    </row>
    <row r="772">
      <c r="A772" t="n">
        <v>200008640</v>
      </c>
      <c r="B772" t="inlineStr">
        <is>
          <t>Al. Rainha Santa, 210</t>
        </is>
      </c>
      <c r="C772" t="inlineStr">
        <is>
          <t>Ref.: R Condeuba/ R Geraldo Correa</t>
        </is>
      </c>
      <c r="D772" s="58" t="n">
        <v>-23.558792</v>
      </c>
      <c r="E772" s="58" t="n">
        <v>-46.539719</v>
      </c>
    </row>
    <row r="773">
      <c r="A773" t="n">
        <v>200008641</v>
      </c>
      <c r="B773" t="inlineStr">
        <is>
          <t>Al. Rainha Santa, 374</t>
        </is>
      </c>
      <c r="C773" t="inlineStr">
        <is>
          <t>Ref.: R Geraldo Correa/ R Picinguaba</t>
        </is>
      </c>
      <c r="D773" s="58" t="n">
        <v>-23.557803</v>
      </c>
      <c r="E773" s="58" t="n">
        <v>-46.538613</v>
      </c>
    </row>
    <row r="774">
      <c r="A774" t="n">
        <v>200008642</v>
      </c>
      <c r="B774" t="inlineStr">
        <is>
          <t>R. Picinguaba, 576</t>
        </is>
      </c>
      <c r="C774" t="inlineStr">
        <is>
          <t>Ref.: R Florentinos/ R Forquilha</t>
        </is>
      </c>
      <c r="D774" s="58" t="n">
        <v>-23.557144</v>
      </c>
      <c r="E774" s="58" t="n">
        <v>-46.537505</v>
      </c>
    </row>
    <row r="775">
      <c r="A775" t="n">
        <v>200008643</v>
      </c>
      <c r="B775" t="inlineStr">
        <is>
          <t>R. Lutécia</t>
        </is>
      </c>
      <c r="C775" t="inlineStr">
        <is>
          <t>Ref.: Emei Prof. Alberto Mesquita De Camargo</t>
        </is>
      </c>
      <c r="D775" s="58" t="n">
        <v>-23.55775</v>
      </c>
      <c r="E775" s="58" t="n">
        <v>-46.541869</v>
      </c>
    </row>
    <row r="776">
      <c r="A776" t="n">
        <v>200008693</v>
      </c>
      <c r="B776" t="inlineStr">
        <is>
          <t>R. Caçaquera, 358</t>
        </is>
      </c>
      <c r="C776" t="inlineStr">
        <is>
          <t>Ref.: R Mestinho/ R Mororo</t>
        </is>
      </c>
      <c r="D776" s="58" t="n">
        <v>-23.555059</v>
      </c>
      <c r="E776" s="58" t="n">
        <v>-46.553053</v>
      </c>
    </row>
    <row r="777">
      <c r="A777" t="n">
        <v>200008694</v>
      </c>
      <c r="B777" t="inlineStr">
        <is>
          <t>R. Caçaquera, 167</t>
        </is>
      </c>
      <c r="C777" t="inlineStr">
        <is>
          <t>Ref.: R Mestinho/ R Mororo</t>
        </is>
      </c>
      <c r="D777" s="58" t="n">
        <v>-23.553796</v>
      </c>
      <c r="E777" s="58" t="n">
        <v>-46.553091</v>
      </c>
    </row>
    <row r="778">
      <c r="A778" t="n">
        <v>200008695</v>
      </c>
      <c r="B778" t="inlineStr">
        <is>
          <t>R. Caçaquera, 122</t>
        </is>
      </c>
      <c r="C778" t="inlineStr">
        <is>
          <t>Ref.: R Mestinho/ R Vale Formoso</t>
        </is>
      </c>
      <c r="D778" s="58" t="n">
        <v>-23.553388</v>
      </c>
      <c r="E778" s="58" t="n">
        <v>-46.552953</v>
      </c>
    </row>
    <row r="779">
      <c r="A779" t="n">
        <v>200008696</v>
      </c>
      <c r="B779" t="inlineStr">
        <is>
          <t>R. Nova Jerusalém, 1153</t>
        </is>
      </c>
      <c r="C779" t="inlineStr">
        <is>
          <t>Ref.: Pc Conceicao Do Herval/ Vel Jayme Iavelberg</t>
        </is>
      </c>
      <c r="D779" s="58" t="n">
        <v>-23.551947</v>
      </c>
      <c r="E779" s="58" t="n">
        <v>-46.55162</v>
      </c>
    </row>
    <row r="780">
      <c r="A780" t="n">
        <v>200008697</v>
      </c>
      <c r="B780" t="inlineStr">
        <is>
          <t>R. Nova Jerusalém, 1154</t>
        </is>
      </c>
      <c r="C780" t="inlineStr">
        <is>
          <t>Ref.: Pc Conceicao Do Herval/ Vel Jayme Iavelberg</t>
        </is>
      </c>
      <c r="D780" s="58" t="n">
        <v>-23.552035</v>
      </c>
      <c r="E780" s="58" t="n">
        <v>-46.5516</v>
      </c>
    </row>
    <row r="781">
      <c r="A781" t="n">
        <v>200008698</v>
      </c>
      <c r="B781" t="inlineStr">
        <is>
          <t>R. Nova Jerusalém, 899</t>
        </is>
      </c>
      <c r="C781" t="inlineStr">
        <is>
          <t>Ref.: R Bacarira/ R Perucaba</t>
        </is>
      </c>
      <c r="D781" s="58" t="n">
        <v>-23.550058</v>
      </c>
      <c r="E781" s="58" t="n">
        <v>-46.55009</v>
      </c>
    </row>
    <row r="782">
      <c r="A782" t="n">
        <v>200008699</v>
      </c>
      <c r="B782" t="inlineStr">
        <is>
          <t>R. Nova Jerusalém, 882</t>
        </is>
      </c>
      <c r="C782" t="inlineStr">
        <is>
          <t>Ref.: R Bacarira/ R Perucaba</t>
        </is>
      </c>
      <c r="D782" s="58" t="n">
        <v>-23.55001</v>
      </c>
      <c r="E782" s="58" t="n">
        <v>-46.550152</v>
      </c>
    </row>
    <row r="783">
      <c r="A783" t="n">
        <v>200008701</v>
      </c>
      <c r="B783" t="inlineStr">
        <is>
          <t>R. Nova Jerusalém, 626</t>
        </is>
      </c>
      <c r="C783" t="inlineStr">
        <is>
          <t>Ref.: Tr Absinto/ R Pero Nunes</t>
        </is>
      </c>
      <c r="D783" s="58" t="n">
        <v>-23.547812</v>
      </c>
      <c r="E783" s="58" t="n">
        <v>-46.549552</v>
      </c>
    </row>
    <row r="784">
      <c r="A784" t="n">
        <v>200008702</v>
      </c>
      <c r="B784" t="inlineStr">
        <is>
          <t>R. Azevedo Soares, 2798</t>
        </is>
      </c>
      <c r="C784" t="inlineStr">
        <is>
          <t>Ref.: R Coronel Mendonca/ R Nova Jerusalem</t>
        </is>
      </c>
      <c r="D784" s="58" t="n">
        <v>-23.546826</v>
      </c>
      <c r="E784" s="58" t="n">
        <v>-46.549745</v>
      </c>
    </row>
    <row r="785">
      <c r="A785" t="n">
        <v>200008703</v>
      </c>
      <c r="B785" t="inlineStr">
        <is>
          <t>R. Azevedo Soares, 2750</t>
        </is>
      </c>
      <c r="C785" t="inlineStr">
        <is>
          <t>Ref.: R Coronel Mendonca/ R Coronel Mendonca</t>
        </is>
      </c>
      <c r="D785" s="58" t="n">
        <v>-23.546821</v>
      </c>
      <c r="E785" s="58" t="n">
        <v>-46.550227</v>
      </c>
    </row>
    <row r="786">
      <c r="A786" t="n">
        <v>200008704</v>
      </c>
      <c r="B786" t="inlineStr">
        <is>
          <t>R. Azevedo Soares, 2551</t>
        </is>
      </c>
      <c r="C786" t="inlineStr">
        <is>
          <t>Ref.: R Matos Guerra/ R Professor Edmundo Xavier</t>
        </is>
      </c>
      <c r="D786" s="58" t="n">
        <v>-23.546446</v>
      </c>
      <c r="E786" s="58" t="n">
        <v>-46.552475</v>
      </c>
    </row>
    <row r="787">
      <c r="A787" t="n">
        <v>200008705</v>
      </c>
      <c r="B787" t="inlineStr">
        <is>
          <t>R. Azevedo Soares, 2538</t>
        </is>
      </c>
      <c r="C787" t="inlineStr">
        <is>
          <t>Ref.: R Matos Guerra/ R Professor Edmundo Xavier</t>
        </is>
      </c>
      <c r="D787" s="58" t="n">
        <v>-23.546498</v>
      </c>
      <c r="E787" s="58" t="n">
        <v>-46.552397</v>
      </c>
    </row>
    <row r="788">
      <c r="A788" t="n">
        <v>200008706</v>
      </c>
      <c r="B788" t="inlineStr">
        <is>
          <t>R. Azevedo Soares, 2275</t>
        </is>
      </c>
      <c r="C788" t="inlineStr">
        <is>
          <t>Ref.: R Antonio Fernandes De Abreu/ R Antonio De Barros</t>
        </is>
      </c>
      <c r="D788" s="58" t="n">
        <v>-23.546579</v>
      </c>
      <c r="E788" s="58" t="n">
        <v>-46.554769</v>
      </c>
    </row>
    <row r="789">
      <c r="A789" t="n">
        <v>200008802</v>
      </c>
      <c r="B789" t="inlineStr">
        <is>
          <t>R. Serra De Botucatu, 2041</t>
        </is>
      </c>
      <c r="C789" t="inlineStr">
        <is>
          <t>Ref.: R Sete De Outubro/ R Dom Manuel Da Cruz</t>
        </is>
      </c>
      <c r="D789" s="58" t="n">
        <v>-23.540708</v>
      </c>
      <c r="E789" s="58" t="n">
        <v>-46.552102</v>
      </c>
    </row>
    <row r="790">
      <c r="A790" t="n">
        <v>200008803</v>
      </c>
      <c r="B790" t="inlineStr">
        <is>
          <t>R. Serra De Botucatu, 1791</t>
        </is>
      </c>
      <c r="C790" t="inlineStr">
        <is>
          <t>Ref.: R Joaquim Pinto/ Viela Jose Joaquim De Lima</t>
        </is>
      </c>
      <c r="D790" s="58" t="n">
        <v>-23.541212</v>
      </c>
      <c r="E790" s="58" t="n">
        <v>-46.554749</v>
      </c>
    </row>
    <row r="791">
      <c r="A791" t="n">
        <v>200012182</v>
      </c>
      <c r="B791" t="inlineStr">
        <is>
          <t>R. Antônio De Barros, 2821</t>
        </is>
      </c>
      <c r="C791" t="inlineStr">
        <is>
          <t>Ref.: R Guaxupe/ R Afonso Henrique</t>
        </is>
      </c>
      <c r="D791" s="58" t="n">
        <v>-23.554931</v>
      </c>
      <c r="E791" s="58" t="n">
        <v>-46.553974</v>
      </c>
    </row>
    <row r="792">
      <c r="A792" t="n">
        <v>200012183</v>
      </c>
      <c r="B792" t="inlineStr">
        <is>
          <t>R. Antônio De Barros, 2637</t>
        </is>
      </c>
      <c r="C792" t="inlineStr">
        <is>
          <t>Ref.: R Vale Formoso/ R Mestinho</t>
        </is>
      </c>
      <c r="D792" s="58" t="n">
        <v>-23.553342</v>
      </c>
      <c r="E792" s="58" t="n">
        <v>-46.553841</v>
      </c>
    </row>
    <row r="793">
      <c r="A793" t="n">
        <v>200012184</v>
      </c>
      <c r="B793" t="inlineStr">
        <is>
          <t>R. Antônio De Barros, 2501</t>
        </is>
      </c>
      <c r="C793" t="inlineStr">
        <is>
          <t>Ref.: R Ferreira Franca/ R Vale Formoso</t>
        </is>
      </c>
      <c r="D793" s="58" t="n">
        <v>-23.552163</v>
      </c>
      <c r="E793" s="58" t="n">
        <v>-46.553987</v>
      </c>
    </row>
    <row r="794">
      <c r="A794" t="n">
        <v>200012186</v>
      </c>
      <c r="B794" t="inlineStr">
        <is>
          <t>R. Antônio De Barros, 2231</t>
        </is>
      </c>
      <c r="C794" t="inlineStr">
        <is>
          <t>Ref.: R Passos Ourique/ R Professor Pedreira De Freitas</t>
        </is>
      </c>
      <c r="D794" s="58" t="n">
        <v>-23.549501</v>
      </c>
      <c r="E794" s="58" t="n">
        <v>-46.554687</v>
      </c>
    </row>
    <row r="795">
      <c r="A795" t="n">
        <v>200012188</v>
      </c>
      <c r="B795" t="inlineStr">
        <is>
          <t>R. Antônio De Barros, 2033</t>
        </is>
      </c>
      <c r="C795" t="inlineStr">
        <is>
          <t>Ref.: R Santa Gertrudes/ R Sao Gil</t>
        </is>
      </c>
      <c r="D795" s="58" t="n">
        <v>-23.547969</v>
      </c>
      <c r="E795" s="58" t="n">
        <v>-46.555098</v>
      </c>
    </row>
    <row r="796">
      <c r="A796" t="n">
        <v>200012214</v>
      </c>
      <c r="B796" t="inlineStr">
        <is>
          <t>Av. Cons. Carrão, 190</t>
        </is>
      </c>
      <c r="C796" t="inlineStr">
        <is>
          <t>Ref.: R Ibicaba/ R Melo Freire</t>
        </is>
      </c>
      <c r="D796" s="58" t="n">
        <v>-23.537709</v>
      </c>
      <c r="E796" s="58" t="n">
        <v>-46.556311</v>
      </c>
    </row>
    <row r="797">
      <c r="A797" t="n">
        <v>200012216</v>
      </c>
      <c r="B797" t="inlineStr">
        <is>
          <t>Av. Cons. Carrão, 460</t>
        </is>
      </c>
      <c r="C797" t="inlineStr">
        <is>
          <t>Ref.: R Flamengo/ R Joao Gomes Ribeiro</t>
        </is>
      </c>
      <c r="D797" s="58" t="n">
        <v>-23.539232</v>
      </c>
      <c r="E797" s="58" t="n">
        <v>-46.55372</v>
      </c>
    </row>
    <row r="798">
      <c r="A798" t="n">
        <v>200012219</v>
      </c>
      <c r="B798" t="inlineStr">
        <is>
          <t>Av. Cons. Carrão, 700</t>
        </is>
      </c>
      <c r="C798" t="inlineStr">
        <is>
          <t>Ref.: R Coronel Jose Da Mota Bicudo/ R Serra De Botucatu</t>
        </is>
      </c>
      <c r="D798" s="58" t="n">
        <v>-23.54024</v>
      </c>
      <c r="E798" s="58" t="n">
        <v>-46.551547</v>
      </c>
    </row>
    <row r="799">
      <c r="A799" t="n">
        <v>200012220</v>
      </c>
      <c r="B799" t="inlineStr">
        <is>
          <t>Av. Cons. Carrão, 1047</t>
        </is>
      </c>
      <c r="C799" t="inlineStr">
        <is>
          <t>Ref.: R Tres Martelos/ R Comendador Gil Pinheiro</t>
        </is>
      </c>
      <c r="D799" s="58" t="n">
        <v>-23.541641</v>
      </c>
      <c r="E799" s="58" t="n">
        <v>-46.54909</v>
      </c>
    </row>
    <row r="800">
      <c r="A800" t="n">
        <v>200012221</v>
      </c>
      <c r="B800" t="inlineStr">
        <is>
          <t>R. Gonçalo Nunes, 242</t>
        </is>
      </c>
      <c r="C800" t="inlineStr">
        <is>
          <t>Ref.: R Rodrigues Velho/ R Cantagalo</t>
        </is>
      </c>
      <c r="D800" s="58" t="n">
        <v>-23.542538</v>
      </c>
      <c r="E800" s="58" t="n">
        <v>-46.549749</v>
      </c>
    </row>
    <row r="801">
      <c r="A801" t="n">
        <v>200012222</v>
      </c>
      <c r="B801" t="inlineStr">
        <is>
          <t>Av. Cons. Carrão, 1430</t>
        </is>
      </c>
      <c r="C801" t="inlineStr">
        <is>
          <t>Ref.: Tr Juan Navarro/ R Coronel Marques</t>
        </is>
      </c>
      <c r="D801" s="58" t="n">
        <v>-23.54381</v>
      </c>
      <c r="E801" s="58" t="n">
        <v>-46.546434</v>
      </c>
    </row>
    <row r="802">
      <c r="A802" t="n">
        <v>200012223</v>
      </c>
      <c r="B802" t="inlineStr">
        <is>
          <t>Av. Cons. Carrão, 1493</t>
        </is>
      </c>
      <c r="C802" t="inlineStr">
        <is>
          <t>Ref.: R Mariano De Sousa/ R Jaru</t>
        </is>
      </c>
      <c r="D802" s="58" t="n">
        <v>-23.544268</v>
      </c>
      <c r="E802" s="58" t="n">
        <v>-46.545979</v>
      </c>
    </row>
    <row r="803">
      <c r="A803" t="n">
        <v>200012224</v>
      </c>
      <c r="B803" t="inlineStr">
        <is>
          <t>Av. Cons. Carrão, 1719</t>
        </is>
      </c>
      <c r="C803" t="inlineStr">
        <is>
          <t>Ref.: R Valentim Xavier/ R Atucuri</t>
        </is>
      </c>
      <c r="D803" s="58" t="n">
        <v>-23.545523</v>
      </c>
      <c r="E803" s="58" t="n">
        <v>-46.544259</v>
      </c>
    </row>
    <row r="804">
      <c r="A804" t="n">
        <v>200012225</v>
      </c>
      <c r="B804" t="inlineStr">
        <is>
          <t>Av. Cons. Carrão, 1706</t>
        </is>
      </c>
      <c r="C804" t="inlineStr">
        <is>
          <t>Ref.: R Valentim Xavier/ R Atucuri</t>
        </is>
      </c>
      <c r="D804" s="58" t="n">
        <v>-23.545569</v>
      </c>
      <c r="E804" s="58" t="n">
        <v>-46.544448</v>
      </c>
    </row>
    <row r="805">
      <c r="A805" t="n">
        <v>200012226</v>
      </c>
      <c r="B805" t="inlineStr">
        <is>
          <t>Av. Cons. Carrão, 1865</t>
        </is>
      </c>
      <c r="C805" t="inlineStr">
        <is>
          <t>Ref.: R Evangelina/ R Dentista Barreto</t>
        </is>
      </c>
      <c r="D805" s="58" t="n">
        <v>-23.546075</v>
      </c>
      <c r="E805" s="58" t="n">
        <v>-46.543005</v>
      </c>
    </row>
    <row r="806">
      <c r="A806" t="n">
        <v>200012227</v>
      </c>
      <c r="B806" t="inlineStr">
        <is>
          <t>Av. Cons. Carrão, 2043</t>
        </is>
      </c>
      <c r="C806" t="inlineStr">
        <is>
          <t>Ref.: Av Guilherme Giorge/ R Lutecia</t>
        </is>
      </c>
      <c r="D806" s="58" t="n">
        <v>-23.546919</v>
      </c>
      <c r="E806" s="58" t="n">
        <v>-46.541095</v>
      </c>
    </row>
    <row r="807">
      <c r="A807" t="n">
        <v>200012234</v>
      </c>
      <c r="B807" t="inlineStr">
        <is>
          <t>Av. Cons. Carrão, 2148</t>
        </is>
      </c>
      <c r="C807" t="inlineStr">
        <is>
          <t>Ref.: Av Guilherme Giorge/ R Lutecia</t>
        </is>
      </c>
      <c r="D807" s="58" t="n">
        <v>-23.547288</v>
      </c>
      <c r="E807" s="58" t="n">
        <v>-46.540673</v>
      </c>
    </row>
    <row r="808">
      <c r="A808" t="n">
        <v>200012235</v>
      </c>
      <c r="B808" t="inlineStr">
        <is>
          <t>Av. Cons. Carrão, 1904</t>
        </is>
      </c>
      <c r="C808" t="inlineStr">
        <is>
          <t>Ref.: R Evangelina/ R Dentista Barreto</t>
        </is>
      </c>
      <c r="D808" s="58" t="n">
        <v>-23.546358</v>
      </c>
      <c r="E808" s="58" t="n">
        <v>-46.542718</v>
      </c>
    </row>
    <row r="809">
      <c r="A809" t="n">
        <v>200012340</v>
      </c>
      <c r="B809" t="inlineStr">
        <is>
          <t>Av. Dezenove De Janeiro, 290</t>
        </is>
      </c>
      <c r="C809" t="inlineStr">
        <is>
          <t>Ref.: R Pedro Voss/ R Monguba</t>
        </is>
      </c>
      <c r="D809" s="58" t="n">
        <v>-23.555076</v>
      </c>
      <c r="E809" s="58" t="n">
        <v>-46.526409</v>
      </c>
    </row>
    <row r="810">
      <c r="A810" t="n">
        <v>200012426</v>
      </c>
      <c r="B810" t="inlineStr">
        <is>
          <t>Terminal Vila Carrão - Plataforma D</t>
        </is>
      </c>
      <c r="C810" t="inlineStr">
        <is>
          <t>Term. Vila Carrão - Plataforma D Ref.: Plat. D - Ponto 15</t>
        </is>
      </c>
      <c r="D810" s="58" t="n">
        <v>-23.558514</v>
      </c>
      <c r="E810" s="58" t="n">
        <v>-46.52233</v>
      </c>
    </row>
    <row r="811">
      <c r="A811" t="n">
        <v>200012435</v>
      </c>
      <c r="B811" t="inlineStr">
        <is>
          <t>Terminal Vila Carrão - Plataforma E</t>
        </is>
      </c>
      <c r="C811" t="inlineStr">
        <is>
          <t>Term. Vila Carrão - Plataforma E Ref.: Ponto 20 - Plataforma E</t>
        </is>
      </c>
      <c r="D811" s="58" t="n">
        <v>-23.558268</v>
      </c>
      <c r="E811" s="58" t="n">
        <v>-46.522539</v>
      </c>
    </row>
    <row r="812">
      <c r="A812" t="n">
        <v>200012485</v>
      </c>
      <c r="B812" t="inlineStr">
        <is>
          <t>Av. Cde. De Frontin, 450</t>
        </is>
      </c>
      <c r="C812" t="inlineStr">
        <is>
          <t>Ref.: R Pinhalzinho/ R Alegre</t>
        </is>
      </c>
      <c r="D812" s="58" t="n">
        <v>-23.536074</v>
      </c>
      <c r="E812" s="58" t="n">
        <v>-46.552903</v>
      </c>
    </row>
    <row r="813">
      <c r="A813" t="n">
        <v>200012626</v>
      </c>
      <c r="B813" t="inlineStr">
        <is>
          <t>Av. Aricanduva, 2600</t>
        </is>
      </c>
      <c r="C813" t="inlineStr">
        <is>
          <t>Ref.: R Aluminio/ R Ganges</t>
        </is>
      </c>
      <c r="D813" s="58" t="n">
        <v>-23.547206</v>
      </c>
      <c r="E813" s="58" t="n">
        <v>-46.527485</v>
      </c>
    </row>
    <row r="814">
      <c r="A814" t="n">
        <v>200012638</v>
      </c>
      <c r="B814" t="inlineStr">
        <is>
          <t>Av. Aricanduva, 3465</t>
        </is>
      </c>
      <c r="C814" t="inlineStr">
        <is>
          <t>Ref.: R Ministro Carlos Maximiliano/ Av Mendonca Drumond</t>
        </is>
      </c>
      <c r="D814" s="58" t="n">
        <v>-23.552636</v>
      </c>
      <c r="E814" s="58" t="n">
        <v>-46.51895</v>
      </c>
    </row>
    <row r="815">
      <c r="A815" t="n">
        <v>200012645</v>
      </c>
      <c r="B815" t="inlineStr">
        <is>
          <t>Av. Aricanduva, 1003</t>
        </is>
      </c>
      <c r="C815" t="inlineStr">
        <is>
          <t>Ref.: R Coronel Soares Neiva/ R Julio Colaco</t>
        </is>
      </c>
      <c r="D815" s="58" t="n">
        <v>-23.539733</v>
      </c>
      <c r="E815" s="58" t="n">
        <v>-46.54186</v>
      </c>
    </row>
    <row r="816">
      <c r="A816" t="n">
        <v>200012647</v>
      </c>
      <c r="B816" t="inlineStr">
        <is>
          <t>Av. Aricanduva, 310</t>
        </is>
      </c>
      <c r="C816" t="inlineStr">
        <is>
          <t>Ref.: Rua Alferes Frazão</t>
        </is>
      </c>
      <c r="D816" s="58" t="n">
        <v>-23.537099</v>
      </c>
      <c r="E816" s="58" t="n">
        <v>-46.547826</v>
      </c>
    </row>
    <row r="817">
      <c r="A817" t="n">
        <v>200012648</v>
      </c>
      <c r="B817" t="inlineStr">
        <is>
          <t>Av. Aricanduva, 500</t>
        </is>
      </c>
      <c r="C817" t="inlineStr">
        <is>
          <t>Ref.: R Doutor Alarico Siveira/ R Serra De Botucatu</t>
        </is>
      </c>
      <c r="D817" s="58" t="n">
        <v>-23.539097</v>
      </c>
      <c r="E817" s="58" t="n">
        <v>-46.545377</v>
      </c>
    </row>
    <row r="818">
      <c r="A818" t="n">
        <v>200012649</v>
      </c>
      <c r="B818" t="inlineStr">
        <is>
          <t>Av. Aricanduva, 1054</t>
        </is>
      </c>
      <c r="C818" t="inlineStr">
        <is>
          <t>Ref.: R Julio Colaco/ R Moravia</t>
        </is>
      </c>
      <c r="D818" s="58" t="n">
        <v>-23.540579</v>
      </c>
      <c r="E818" s="58" t="n">
        <v>-46.541481</v>
      </c>
    </row>
    <row r="819">
      <c r="A819" t="n">
        <v>200012650</v>
      </c>
      <c r="B819" t="inlineStr">
        <is>
          <t>Av. Aricanduva, 1292</t>
        </is>
      </c>
      <c r="C819" t="inlineStr">
        <is>
          <t>Ref.: R Silveira Bueno/ R Moravia - Próximo A Passarela Jerson Antônio Brito F°</t>
        </is>
      </c>
      <c r="D819" s="58" t="n">
        <v>-23.541488</v>
      </c>
      <c r="E819" s="58" t="n">
        <v>-46.538769</v>
      </c>
    </row>
    <row r="820">
      <c r="A820" t="n">
        <v>200012651</v>
      </c>
      <c r="B820" t="inlineStr">
        <is>
          <t>Av. Aricanduva, 1680</t>
        </is>
      </c>
      <c r="C820" t="inlineStr">
        <is>
          <t>Ref.: R Zambeze/ R Baquia</t>
        </is>
      </c>
      <c r="D820" s="58" t="n">
        <v>-23.542515</v>
      </c>
      <c r="E820" s="58" t="n">
        <v>-46.534437</v>
      </c>
    </row>
    <row r="821">
      <c r="A821" t="n">
        <v>200012652</v>
      </c>
      <c r="B821" t="inlineStr">
        <is>
          <t>Av. Aricanduva, 1100</t>
        </is>
      </c>
      <c r="C821" t="inlineStr">
        <is>
          <t>Ref.: R Tumucumaque/ R Ganges -- Próximo Passarela Eduardo Manna</t>
        </is>
      </c>
      <c r="D821" s="58" t="n">
        <v>-23.544374</v>
      </c>
      <c r="E821" s="58" t="n">
        <v>-46.530736</v>
      </c>
    </row>
    <row r="822">
      <c r="A822" t="n">
        <v>200012653</v>
      </c>
      <c r="B822" t="inlineStr">
        <is>
          <t>Av. Aricanduva, 3476</t>
        </is>
      </c>
      <c r="C822" t="inlineStr">
        <is>
          <t>Ref.: R Joao Domingues Oliveira/ R Doutor Alencar Guimaraes</t>
        </is>
      </c>
      <c r="D822" s="58" t="n">
        <v>-23.552265</v>
      </c>
      <c r="E822" s="58" t="n">
        <v>-46.520804</v>
      </c>
    </row>
    <row r="823">
      <c r="A823" t="n">
        <v>200012667</v>
      </c>
      <c r="B823" t="inlineStr">
        <is>
          <t>Av. Aricanduva, 2880</t>
        </is>
      </c>
      <c r="C823" t="inlineStr">
        <is>
          <t>Ref.: R Astarte/ R Astarte</t>
        </is>
      </c>
      <c r="D823" s="58" t="n">
        <v>-23.549546</v>
      </c>
      <c r="E823" s="58" t="n">
        <v>-46.524954</v>
      </c>
    </row>
    <row r="824">
      <c r="A824" t="n">
        <v>200012692</v>
      </c>
      <c r="B824" t="inlineStr">
        <is>
          <t>Av. Aricanduva, 3164</t>
        </is>
      </c>
      <c r="C824" t="inlineStr">
        <is>
          <t>Ref.: R Santo Perussi/ R Barao De Itamaraca</t>
        </is>
      </c>
      <c r="D824" s="58" t="n">
        <v>-23.550953</v>
      </c>
      <c r="E824" s="58" t="n">
        <v>-46.523137</v>
      </c>
    </row>
    <row r="825">
      <c r="A825" t="n">
        <v>240012627</v>
      </c>
      <c r="B825" t="inlineStr">
        <is>
          <t>Av. Aricanduva, 7351</t>
        </is>
      </c>
      <c r="C825" t="inlineStr">
        <is>
          <t>Ref.: R Igarape Azul/ R Lourenco Lemos</t>
        </is>
      </c>
      <c r="D825" s="58" t="n">
        <v>-23.580955</v>
      </c>
      <c r="E825" s="58" t="n">
        <v>-46.491704</v>
      </c>
    </row>
    <row r="826">
      <c r="A826" t="n">
        <v>240012628</v>
      </c>
      <c r="B826" t="inlineStr">
        <is>
          <t>Av. Aricanduva, 9555</t>
        </is>
      </c>
      <c r="C826" t="inlineStr">
        <is>
          <t>Ref.: R Ijucapirama/ R Igarapé Azul</t>
        </is>
      </c>
      <c r="D826" s="58" t="n">
        <v>-23.578568</v>
      </c>
      <c r="E826" s="58" t="n">
        <v>-46.494846</v>
      </c>
    </row>
    <row r="827">
      <c r="A827" t="n">
        <v>240012629</v>
      </c>
      <c r="B827" t="inlineStr">
        <is>
          <t>Av. Aricanduva, 6759</t>
        </is>
      </c>
      <c r="C827" t="inlineStr">
        <is>
          <t>Ref.: R Ijucapirama/ R Igarape Azul</t>
        </is>
      </c>
      <c r="D827" s="58" t="n">
        <v>-23.578459</v>
      </c>
      <c r="E827" s="58" t="n">
        <v>-46.496807</v>
      </c>
    </row>
    <row r="828">
      <c r="A828" t="n">
        <v>240012630</v>
      </c>
      <c r="B828" t="inlineStr">
        <is>
          <t>Av. Aricanduva, 6949</t>
        </is>
      </c>
      <c r="C828" t="inlineStr">
        <is>
          <t>Ref.: R Ijucapirama/ Av Matapi</t>
        </is>
      </c>
      <c r="D828" s="58" t="n">
        <v>-23.576389</v>
      </c>
      <c r="E828" s="58" t="n">
        <v>-46.501534</v>
      </c>
    </row>
    <row r="829">
      <c r="A829" t="n">
        <v>240012631</v>
      </c>
      <c r="B829" t="inlineStr">
        <is>
          <t>Av. Aricanduva, 6599</t>
        </is>
      </c>
      <c r="C829" t="inlineStr">
        <is>
          <t>Ref.: Av Dos Latinos/ Av Matapi</t>
        </is>
      </c>
      <c r="D829" s="58" t="n">
        <v>-23.573008</v>
      </c>
      <c r="E829" s="58" t="n">
        <v>-46.503786</v>
      </c>
    </row>
    <row r="830">
      <c r="A830" t="n">
        <v>240012632</v>
      </c>
      <c r="B830" t="inlineStr">
        <is>
          <t>Av. Aricanduva, 5831</t>
        </is>
      </c>
      <c r="C830" t="inlineStr">
        <is>
          <t>Ref.: Av Dos Latinos/ Av Gualtar</t>
        </is>
      </c>
      <c r="D830" s="58" t="n">
        <v>-23.569732</v>
      </c>
      <c r="E830" s="58" t="n">
        <v>-46.503946</v>
      </c>
    </row>
    <row r="831">
      <c r="A831" t="n">
        <v>240012633</v>
      </c>
      <c r="B831" t="inlineStr">
        <is>
          <t>Av. Aricanduva, 5555</t>
        </is>
      </c>
      <c r="C831" t="inlineStr">
        <is>
          <t>Ref.: Av Principal/ Av Gualtar</t>
        </is>
      </c>
      <c r="D831" s="58" t="n">
        <v>-23.565637</v>
      </c>
      <c r="E831" s="58" t="n">
        <v>-46.507066</v>
      </c>
    </row>
    <row r="832">
      <c r="A832" t="n">
        <v>240012634</v>
      </c>
      <c r="B832" t="inlineStr">
        <is>
          <t>Av. Aricanduva, 4869</t>
        </is>
      </c>
      <c r="C832" t="inlineStr">
        <is>
          <t>Ref.: Av Belarmino Ferreira/ R Fortuna De Minas</t>
        </is>
      </c>
      <c r="D832" s="58" t="n">
        <v>-23.561294</v>
      </c>
      <c r="E832" s="58" t="n">
        <v>-46.510952</v>
      </c>
    </row>
    <row r="833">
      <c r="A833" t="n">
        <v>240012635</v>
      </c>
      <c r="B833" t="inlineStr">
        <is>
          <t>Av. Aricanduva, 4053</t>
        </is>
      </c>
      <c r="C833" t="inlineStr">
        <is>
          <t>Ref.: R Arrabalde Da Ponte/ R Adustina</t>
        </is>
      </c>
      <c r="D833" s="58" t="n">
        <v>-23.558855</v>
      </c>
      <c r="E833" s="58" t="n">
        <v>-46.51335</v>
      </c>
    </row>
    <row r="834">
      <c r="A834" t="n">
        <v>240012636</v>
      </c>
      <c r="B834" t="inlineStr">
        <is>
          <t>Av. Aricanduva, 5999</t>
        </is>
      </c>
      <c r="C834" t="inlineStr">
        <is>
          <t>Ref.: R Mario Da Cunha Canto/ Av Itaquera</t>
        </is>
      </c>
      <c r="D834" s="58" t="n">
        <v>-23.555788</v>
      </c>
      <c r="E834" s="58" t="n">
        <v>-46.516398</v>
      </c>
    </row>
    <row r="835">
      <c r="A835" t="n">
        <v>240012637</v>
      </c>
      <c r="B835" t="inlineStr">
        <is>
          <t>Av. Aricanduva, 5225</t>
        </is>
      </c>
      <c r="C835" t="inlineStr">
        <is>
          <t>Ref.: R Frederico Severo/ R Mario Da Cunha Canto</t>
        </is>
      </c>
      <c r="D835" s="58" t="n">
        <v>-23.557565</v>
      </c>
      <c r="E835" s="58" t="n">
        <v>-46.514822</v>
      </c>
    </row>
    <row r="836">
      <c r="A836" t="n">
        <v>240012666</v>
      </c>
      <c r="B836" t="inlineStr">
        <is>
          <t>Av. Aricanduva, 7996</t>
        </is>
      </c>
      <c r="C836" t="inlineStr">
        <is>
          <t>Ref.: R Funilandia/ R Ana Santesso</t>
        </is>
      </c>
      <c r="D836" s="58" t="n">
        <v>-23.579227</v>
      </c>
      <c r="E836" s="58" t="n">
        <v>-46.49476</v>
      </c>
    </row>
    <row r="837">
      <c r="A837" t="n">
        <v>250005835</v>
      </c>
      <c r="B837" t="inlineStr">
        <is>
          <t>R. Márcio Beck Machado</t>
        </is>
      </c>
      <c r="C837" t="inlineStr">
        <is>
          <t>Ref.: R Arroio Oriunfo / R Souza Ramos</t>
        </is>
      </c>
      <c r="D837" s="58" t="n">
        <v>-23.580728</v>
      </c>
      <c r="E837" s="58" t="n">
        <v>-46.413697</v>
      </c>
    </row>
    <row r="838">
      <c r="A838" t="n">
        <v>250005836</v>
      </c>
      <c r="B838" t="inlineStr">
        <is>
          <t>R. Márcio Beck Machado</t>
        </is>
      </c>
      <c r="C838" t="inlineStr">
        <is>
          <t>Ref.: R Arroio Sarandi/ Estrada Do Iguatemi</t>
        </is>
      </c>
      <c r="D838" s="58" t="n">
        <v>-23.580706</v>
      </c>
      <c r="E838" s="58" t="n">
        <v>-46.41388</v>
      </c>
    </row>
    <row r="839">
      <c r="A839" t="n">
        <v>250005901</v>
      </c>
      <c r="B839" t="inlineStr">
        <is>
          <t>Terminal Cidade Tiradentes - Plataforma 3</t>
        </is>
      </c>
      <c r="C839" t="inlineStr">
        <is>
          <t>Ref.: Av Naylor De Oliveira/ Av Dos Metalurgicos</t>
        </is>
      </c>
      <c r="D839" s="58" t="n">
        <v>-23.58297</v>
      </c>
      <c r="E839" s="58" t="n">
        <v>-46.408029</v>
      </c>
    </row>
    <row r="840">
      <c r="A840" t="n">
        <v>250005911</v>
      </c>
      <c r="B840" t="inlineStr">
        <is>
          <t>Terminal Cidade Tiradentes - Plataforma 3</t>
        </is>
      </c>
      <c r="C840" t="inlineStr">
        <is>
          <t>Ref.: Av Naylor De Oliveira/ Av Dos Metalurgicos</t>
        </is>
      </c>
      <c r="D840" s="58" t="n">
        <v>-23.583068</v>
      </c>
      <c r="E840" s="58" t="n">
        <v>-46.407673</v>
      </c>
    </row>
    <row r="841">
      <c r="A841" t="n">
        <v>250005913</v>
      </c>
      <c r="B841" t="inlineStr">
        <is>
          <t>Terminal Cidade Tiradentes - Plataforma 3</t>
        </is>
      </c>
      <c r="C841" t="inlineStr">
        <is>
          <t>Ref.: Av Naylor De Oliveira/ Av Dos Metalurgicos</t>
        </is>
      </c>
      <c r="D841" s="58" t="n">
        <v>-23.583119</v>
      </c>
      <c r="E841" s="58" t="n">
        <v>-46.407454</v>
      </c>
    </row>
    <row r="842">
      <c r="A842" t="n">
        <v>250005914</v>
      </c>
      <c r="B842" t="inlineStr">
        <is>
          <t>Terminal Cidade Tiradentes - Plataforma 3</t>
        </is>
      </c>
      <c r="C842" t="inlineStr">
        <is>
          <t>Term. Cidade Tiradentes - Plataforma 3 Ref.: Plataforma 3 - Pmv 17</t>
        </is>
      </c>
      <c r="D842" s="58" t="n">
        <v>-23.583151</v>
      </c>
      <c r="E842" s="58" t="n">
        <v>-46.407326</v>
      </c>
    </row>
    <row r="843">
      <c r="A843" t="n">
        <v>250012242</v>
      </c>
      <c r="B843" t="inlineStr">
        <is>
          <t>Estr. Iguatemi, 2016</t>
        </is>
      </c>
      <c r="C843" t="inlineStr">
        <is>
          <t>Ref.: Rua Nascer Do Sol</t>
        </is>
      </c>
      <c r="D843" s="58" t="n">
        <v>-23.590201</v>
      </c>
      <c r="E843" s="58" t="n">
        <v>-46.416527</v>
      </c>
    </row>
    <row r="844">
      <c r="A844" t="n">
        <v>250012256</v>
      </c>
      <c r="B844" t="inlineStr">
        <is>
          <t>Estr. Iguatemi, 2751</t>
        </is>
      </c>
      <c r="C844" t="inlineStr">
        <is>
          <t>Ref.: Rua Juá Mirim - Supermercado Negreiros Baia 11</t>
        </is>
      </c>
      <c r="D844" s="58" t="n">
        <v>-23.583232</v>
      </c>
      <c r="E844" s="58" t="n">
        <v>-46.415122</v>
      </c>
    </row>
    <row r="845">
      <c r="A845" t="n">
        <v>250012257</v>
      </c>
      <c r="B845" t="inlineStr">
        <is>
          <t>Estr. Iguatemi, 2587</t>
        </is>
      </c>
      <c r="C845" t="inlineStr">
        <is>
          <t>Ref.: Rua Ismael Cardona</t>
        </is>
      </c>
      <c r="D845" s="58" t="n">
        <v>-23.586015</v>
      </c>
      <c r="E845" s="58" t="n">
        <v>-46.414865</v>
      </c>
    </row>
    <row r="846">
      <c r="A846" t="n">
        <v>250012258</v>
      </c>
      <c r="B846" t="inlineStr">
        <is>
          <t>Estr. Iguatemi, 2143</t>
        </is>
      </c>
      <c r="C846" t="inlineStr">
        <is>
          <t>Ref.: Sitio Mirim - Baia 06</t>
        </is>
      </c>
      <c r="D846" s="58" t="n">
        <v>-23.587879</v>
      </c>
      <c r="E846" s="58" t="n">
        <v>-46.415085</v>
      </c>
    </row>
    <row r="847">
      <c r="A847" t="n">
        <v>250012259</v>
      </c>
      <c r="B847" t="inlineStr">
        <is>
          <t>Estr. Iguatemi, 1991</t>
        </is>
      </c>
      <c r="C847" t="inlineStr">
        <is>
          <t>Ref.: Rua Nascer Do Sol - Ponto 05 A</t>
        </is>
      </c>
      <c r="D847" s="58" t="n">
        <v>-23.590448</v>
      </c>
      <c r="E847" s="58" t="n">
        <v>-46.416793</v>
      </c>
    </row>
    <row r="848">
      <c r="A848" t="n">
        <v>320012237</v>
      </c>
      <c r="B848" t="inlineStr">
        <is>
          <t>Av. Ragueb Chohfi, 5425</t>
        </is>
      </c>
      <c r="C848" t="inlineStr">
        <is>
          <t>Ref.: Av. Bento Guelfi</t>
        </is>
      </c>
      <c r="D848" s="58" t="n">
        <v>-23.596087</v>
      </c>
      <c r="E848" s="58" t="n">
        <v>-46.434942</v>
      </c>
    </row>
    <row r="849">
      <c r="A849" t="n">
        <v>320012238</v>
      </c>
      <c r="B849" t="inlineStr">
        <is>
          <t>Av. Ragueb Chohfi, 5940</t>
        </is>
      </c>
      <c r="C849" t="inlineStr">
        <is>
          <t>Ref.: Oposto Estrada Do Aricanduva</t>
        </is>
      </c>
      <c r="D849" s="58" t="n">
        <v>-23.595261</v>
      </c>
      <c r="E849" s="58" t="n">
        <v>-46.430009</v>
      </c>
    </row>
    <row r="850">
      <c r="A850" t="n">
        <v>320012241</v>
      </c>
      <c r="B850" t="inlineStr">
        <is>
          <t>Av. Ragueb Chohfi, 7020</t>
        </is>
      </c>
      <c r="C850" t="inlineStr">
        <is>
          <t>Ref.: Est Do Palanque</t>
        </is>
      </c>
      <c r="D850" s="58" t="n">
        <v>-23.594283</v>
      </c>
      <c r="E850" s="58" t="n">
        <v>-46.420105</v>
      </c>
    </row>
    <row r="851">
      <c r="A851" t="n">
        <v>320012260</v>
      </c>
      <c r="B851" t="inlineStr">
        <is>
          <t>Estr. Iguatemi, 7357</t>
        </is>
      </c>
      <c r="C851" t="inlineStr">
        <is>
          <t>Ref.: Est Do Palanque/ Ragueb Chohfi - Ponto 5</t>
        </is>
      </c>
      <c r="D851" s="58" t="n">
        <v>-23.593482</v>
      </c>
      <c r="E851" s="58" t="n">
        <v>-46.418655</v>
      </c>
    </row>
    <row r="852">
      <c r="A852" t="n">
        <v>320012264</v>
      </c>
      <c r="B852" t="inlineStr">
        <is>
          <t>Av. Ragueb Chohfi, 5387</t>
        </is>
      </c>
      <c r="C852" t="inlineStr">
        <is>
          <t>Ref.: R Folclore Infantil/ R Jose Alcaide</t>
        </is>
      </c>
      <c r="D852" s="58" t="n">
        <v>-23.595442</v>
      </c>
      <c r="E852" s="58" t="n">
        <v>-46.434092</v>
      </c>
    </row>
    <row r="853">
      <c r="A853" t="n">
        <v>320012267</v>
      </c>
      <c r="B853" t="inlineStr">
        <is>
          <t>Av. Ragueb Chohfi, 4813</t>
        </is>
      </c>
      <c r="C853" t="inlineStr">
        <is>
          <t>Ref.: R Pedro Lour0 - Escola Simão Mathias</t>
        </is>
      </c>
      <c r="D853" s="58" t="n">
        <v>-23.595179</v>
      </c>
      <c r="E853" s="58" t="n">
        <v>-46.439069</v>
      </c>
    </row>
    <row r="854">
      <c r="A854" t="n">
        <v>320012272</v>
      </c>
      <c r="B854" t="inlineStr">
        <is>
          <t>Av. Ragueb Chohfi, 2967</t>
        </is>
      </c>
      <c r="C854" t="inlineStr">
        <is>
          <t>Ref.: Rua Chaime</t>
        </is>
      </c>
      <c r="D854" s="58" t="n">
        <v>-23.596897</v>
      </c>
      <c r="E854" s="58" t="n">
        <v>-46.456753</v>
      </c>
    </row>
    <row r="855">
      <c r="A855" t="n">
        <v>320012280</v>
      </c>
      <c r="B855" t="inlineStr">
        <is>
          <t>Av. Ragueb Chohfi, 2901</t>
        </is>
      </c>
      <c r="C855" t="inlineStr">
        <is>
          <t>Ref.: R Embitiba/ R Chaime</t>
        </is>
      </c>
      <c r="D855" s="58" t="n">
        <v>-23.597436</v>
      </c>
      <c r="E855" s="58" t="n">
        <v>-46.457182</v>
      </c>
    </row>
    <row r="856">
      <c r="A856" t="n">
        <v>320012281</v>
      </c>
      <c r="B856" t="inlineStr">
        <is>
          <t>Av. Ragueb Chohfi, 3386</t>
        </is>
      </c>
      <c r="C856" t="inlineStr">
        <is>
          <t>Ref.: R Joao Macedo/ R Joao Carlos Ferreira</t>
        </is>
      </c>
      <c r="D856" s="58" t="n">
        <v>-23.596054</v>
      </c>
      <c r="E856" s="58" t="n">
        <v>-46.452658</v>
      </c>
    </row>
    <row r="857">
      <c r="A857" t="n">
        <v>320012282</v>
      </c>
      <c r="B857" t="inlineStr">
        <is>
          <t>Av. Ragueb Chohfi, 3674</t>
        </is>
      </c>
      <c r="C857" t="inlineStr">
        <is>
          <t>Ref.: R Lorenzo Penna/ R Fortim Itapoa</t>
        </is>
      </c>
      <c r="D857" s="58" t="n">
        <v>-23.595094</v>
      </c>
      <c r="E857" s="58" t="n">
        <v>-46.450309</v>
      </c>
    </row>
    <row r="858">
      <c r="A858" t="n">
        <v>320012285</v>
      </c>
      <c r="B858" t="inlineStr">
        <is>
          <t>Av. Ragueb Chohfi, 4750</t>
        </is>
      </c>
      <c r="C858" t="inlineStr">
        <is>
          <t>Ref.: R Pedro Louro/ R Francisco Barbosa</t>
        </is>
      </c>
      <c r="D858" s="58" t="n">
        <v>-23.595204</v>
      </c>
      <c r="E858" s="58" t="n">
        <v>-46.440045</v>
      </c>
    </row>
    <row r="859">
      <c r="A859" t="n">
        <v>320012286</v>
      </c>
      <c r="B859" t="inlineStr">
        <is>
          <t>Av. Ragueb Chohfi, 5055</t>
        </is>
      </c>
      <c r="C859" t="inlineStr">
        <is>
          <t>Ref.: R Luiza De Jesus Ferreira/ R Professor Pedro Antonio Pimentel</t>
        </is>
      </c>
      <c r="D859" s="58" t="n">
        <v>-23.595878</v>
      </c>
      <c r="E859" s="58" t="n">
        <v>-46.437616</v>
      </c>
    </row>
    <row r="860">
      <c r="A860" t="n">
        <v>370010511</v>
      </c>
      <c r="B860" t="inlineStr">
        <is>
          <t>Av. Pedro Bueno, 204</t>
        </is>
      </c>
      <c r="C860" t="inlineStr">
        <is>
          <t>Ref.: Av Engenheiro Armando De Arruda Pereira/ R Barros Brotero</t>
        </is>
      </c>
      <c r="D860" s="58" t="n">
        <v>-23.633241</v>
      </c>
      <c r="E860" s="58" t="n">
        <v>-46.647334</v>
      </c>
    </row>
    <row r="861">
      <c r="A861" t="n">
        <v>370010512</v>
      </c>
      <c r="B861" t="inlineStr">
        <is>
          <t>Av. Pedro Bueno, 552</t>
        </is>
      </c>
      <c r="C861" t="inlineStr">
        <is>
          <t>Ref.: Rua João Gabi</t>
        </is>
      </c>
      <c r="D861" s="58" t="n">
        <v>-23.635369</v>
      </c>
      <c r="E861" s="58" t="n">
        <v>-46.648608</v>
      </c>
    </row>
    <row r="862">
      <c r="A862" t="n">
        <v>370010523</v>
      </c>
      <c r="B862" t="inlineStr">
        <is>
          <t>Av. Pedro Bueno, 571</t>
        </is>
      </c>
      <c r="C862" t="inlineStr">
        <is>
          <t>Ref.: R Perdigao Nogueira/ R Monsenhor Basilio Pereira</t>
        </is>
      </c>
      <c r="D862" s="58" t="n">
        <v>-23.63559</v>
      </c>
      <c r="E862" s="58" t="n">
        <v>-46.648897</v>
      </c>
    </row>
    <row r="863">
      <c r="A863" t="n">
        <v>370010524</v>
      </c>
      <c r="B863" t="inlineStr">
        <is>
          <t>Av. Pedro Bueno, 167</t>
        </is>
      </c>
      <c r="C863" t="inlineStr">
        <is>
          <t>Ref.: Av Engenheiro Armando De Arruda Pereira/ R Barros Brotero</t>
        </is>
      </c>
      <c r="D863" s="58" t="n">
        <v>-23.633005</v>
      </c>
      <c r="E863" s="58" t="n">
        <v>-46.647183</v>
      </c>
    </row>
    <row r="864">
      <c r="A864" t="n">
        <v>370013664</v>
      </c>
      <c r="B864" t="inlineStr">
        <is>
          <t>Av. Eng. Armando De Arruda Pereira, 2864</t>
        </is>
      </c>
      <c r="C864" t="inlineStr">
        <is>
          <t>Ref.: Rua Doutor Valter Pinto</t>
        </is>
      </c>
      <c r="D864" s="58" t="n">
        <v>-23.651533</v>
      </c>
      <c r="E864" s="58" t="n">
        <v>-46.638912</v>
      </c>
    </row>
    <row r="865">
      <c r="A865" t="n">
        <v>370013737</v>
      </c>
      <c r="B865" t="inlineStr">
        <is>
          <t>Av. Eng. Armando De Arruda Pereira, 2731</t>
        </is>
      </c>
      <c r="C865" t="inlineStr">
        <is>
          <t>Ref.: Rua Joao Turriano</t>
        </is>
      </c>
      <c r="D865" s="58" t="n">
        <v>-23.651266</v>
      </c>
      <c r="E865" s="58" t="n">
        <v>-46.638906</v>
      </c>
    </row>
    <row r="866">
      <c r="A866" t="n">
        <v>370013738</v>
      </c>
      <c r="B866" t="inlineStr">
        <is>
          <t>Av. Eng. Armando De Arruda Pereira, 3111</t>
        </is>
      </c>
      <c r="C866" t="inlineStr">
        <is>
          <t>Ref.: Rua Das Perolas</t>
        </is>
      </c>
      <c r="D866" s="58" t="n">
        <v>-23.653044</v>
      </c>
      <c r="E866" s="58" t="n">
        <v>-46.636905</v>
      </c>
    </row>
    <row r="867">
      <c r="A867" t="n">
        <v>380003692</v>
      </c>
      <c r="B867" t="inlineStr">
        <is>
          <t>Av. Edu Chaves, 505</t>
        </is>
      </c>
      <c r="C867" t="inlineStr">
        <is>
          <t>Ref.: Av Sanatorio/ R S Jose De Serzedelos</t>
        </is>
      </c>
      <c r="D867" s="58" t="n">
        <v>-23.472076</v>
      </c>
      <c r="E867" s="58" t="n">
        <v>-46.571756</v>
      </c>
    </row>
    <row r="868">
      <c r="A868" t="n">
        <v>380003693</v>
      </c>
      <c r="B868" t="inlineStr">
        <is>
          <t>Av. Luís Stamatis, 1200</t>
        </is>
      </c>
      <c r="C868" t="inlineStr">
        <is>
          <t>Ref.: R Rubens/ R Alto Paraguai</t>
        </is>
      </c>
      <c r="D868" s="58" t="n">
        <v>-23.469921</v>
      </c>
      <c r="E868" s="58" t="n">
        <v>-46.573794</v>
      </c>
    </row>
    <row r="869">
      <c r="A869" t="n">
        <v>380003694</v>
      </c>
      <c r="B869" t="inlineStr">
        <is>
          <t>Av. Luís Stamatis, 1183</t>
        </is>
      </c>
      <c r="C869" t="inlineStr">
        <is>
          <t>Ref.: Av Edu Chaves/ R Prf. Heinrich Nordhoff</t>
        </is>
      </c>
      <c r="D869" s="58" t="n">
        <v>-23.469947</v>
      </c>
      <c r="E869" s="58" t="n">
        <v>-46.573427</v>
      </c>
    </row>
    <row r="870">
      <c r="A870" t="n">
        <v>380003696</v>
      </c>
      <c r="B870" t="inlineStr">
        <is>
          <t>Av. Luís Stamatis, 1013</t>
        </is>
      </c>
      <c r="C870" t="inlineStr">
        <is>
          <t>Ref.: R Rubens/lopes Da Costa</t>
        </is>
      </c>
      <c r="D870" s="58" t="n">
        <v>-23.469419</v>
      </c>
      <c r="E870" s="58" t="n">
        <v>-46.575513</v>
      </c>
    </row>
    <row r="871">
      <c r="A871" t="n">
        <v>380003704</v>
      </c>
      <c r="B871" t="inlineStr">
        <is>
          <t>Av. Luís Stamatis, 656</t>
        </is>
      </c>
      <c r="C871" t="inlineStr">
        <is>
          <t>Ref.: R Ima. Emerenciana/ Av Mendes Da Rocha</t>
        </is>
      </c>
      <c r="D871" s="58" t="n">
        <v>-23.468804</v>
      </c>
      <c r="E871" s="58" t="n">
        <v>-46.578526</v>
      </c>
    </row>
    <row r="872">
      <c r="A872" t="n">
        <v>380003705</v>
      </c>
      <c r="B872" t="inlineStr">
        <is>
          <t>Av. Luís Stamatis, 716</t>
        </is>
      </c>
      <c r="C872" t="inlineStr">
        <is>
          <t>Ref.: R Freire Bastos/ R Ima. Emerenciana</t>
        </is>
      </c>
      <c r="D872" s="58" t="n">
        <v>-23.468646</v>
      </c>
      <c r="E872" s="58" t="n">
        <v>-46.579103</v>
      </c>
    </row>
    <row r="873">
      <c r="A873" t="n">
        <v>380004053</v>
      </c>
      <c r="B873" t="inlineStr">
        <is>
          <t>Av. Guapira, 2674</t>
        </is>
      </c>
      <c r="C873" t="inlineStr">
        <is>
          <t>Ref.: Av Guapira/ R Ima. Filomena/praça Doutor João Batista Vasques</t>
        </is>
      </c>
      <c r="D873" s="58" t="n">
        <v>-23.465801</v>
      </c>
      <c r="E873" s="58" t="n">
        <v>-46.583785</v>
      </c>
    </row>
    <row r="874">
      <c r="A874" t="n">
        <v>380004054</v>
      </c>
      <c r="B874" t="inlineStr">
        <is>
          <t>Av. Guapira, 2862</t>
        </is>
      </c>
      <c r="C874" t="inlineStr">
        <is>
          <t>Ref.: R Irma Filomena/ R Benjamin Pereira / Ee Julio Pestana</t>
        </is>
      </c>
      <c r="D874" s="58" t="n">
        <v>-23.465098</v>
      </c>
      <c r="E874" s="58" t="n">
        <v>-46.583492</v>
      </c>
    </row>
    <row r="875">
      <c r="A875" t="n">
        <v>380004219</v>
      </c>
      <c r="B875" t="inlineStr">
        <is>
          <t>Av. Antônio Cesar Neto, 257</t>
        </is>
      </c>
      <c r="C875" t="inlineStr">
        <is>
          <t>Ref.: R Edouard Manet</t>
        </is>
      </c>
      <c r="D875" s="58" t="n">
        <v>-23.460256</v>
      </c>
      <c r="E875" s="58" t="n">
        <v>-46.583458</v>
      </c>
    </row>
    <row r="876">
      <c r="A876" t="n">
        <v>380004223</v>
      </c>
      <c r="B876" t="inlineStr">
        <is>
          <t>Av. Antônio Cesar Neto, 283</t>
        </is>
      </c>
      <c r="C876" t="inlineStr">
        <is>
          <t>Av. Antônio Cesar Neto, 283 Ref.: R Alcy Borges Dos Santos/ R Edouard Manet</t>
        </is>
      </c>
      <c r="D876" s="58" t="n">
        <v>-23.461738</v>
      </c>
      <c r="E876" s="58" t="n">
        <v>-46.582907</v>
      </c>
    </row>
    <row r="877">
      <c r="A877" t="n">
        <v>380004232</v>
      </c>
      <c r="B877" t="inlineStr">
        <is>
          <t>Av. Paulo Lincoln Do Valle Pontin, 261</t>
        </is>
      </c>
      <c r="C877" t="inlineStr">
        <is>
          <t>Ref.: R Vereador Jose De Moura/ R Jayme Roso</t>
        </is>
      </c>
      <c r="D877" s="58" t="n">
        <v>-23.46306</v>
      </c>
      <c r="E877" s="58" t="n">
        <v>-46.585206</v>
      </c>
    </row>
    <row r="878">
      <c r="A878" t="n">
        <v>380004233</v>
      </c>
      <c r="B878" t="inlineStr">
        <is>
          <t>Av. Paulo Lincoln Do Valle Pontin, 226</t>
        </is>
      </c>
      <c r="C878" t="inlineStr">
        <is>
          <t>Ref.: R Vereador Jose De Moura/ R Jayme Roso</t>
        </is>
      </c>
      <c r="D878" s="58" t="n">
        <v>-23.463285</v>
      </c>
      <c r="E878" s="58" t="n">
        <v>-46.585008</v>
      </c>
    </row>
    <row r="879">
      <c r="A879" t="n">
        <v>380004306</v>
      </c>
      <c r="B879" t="inlineStr">
        <is>
          <t>Av. Luís Stamatis, 103</t>
        </is>
      </c>
      <c r="C879" t="inlineStr">
        <is>
          <t>Ref.: R Eugenia Bresser/ Av Guapira</t>
        </is>
      </c>
      <c r="D879" s="58" t="n">
        <v>-23.46775</v>
      </c>
      <c r="E879" s="58" t="n">
        <v>-46.583788</v>
      </c>
    </row>
    <row r="880">
      <c r="A880" t="n">
        <v>380004307</v>
      </c>
      <c r="B880" t="inlineStr">
        <is>
          <t>Av. Luís Stamatis, 248</t>
        </is>
      </c>
      <c r="C880" t="inlineStr">
        <is>
          <t>Ref.: R Joao Teixeira De Barros/ R Eugenia Bresser</t>
        </is>
      </c>
      <c r="D880" s="58" t="n">
        <v>-23.468041</v>
      </c>
      <c r="E880" s="58" t="n">
        <v>-46.582709</v>
      </c>
    </row>
    <row r="881">
      <c r="A881" t="n">
        <v>380004308</v>
      </c>
      <c r="B881" t="inlineStr">
        <is>
          <t>Av. Luís Stamatis, 443</t>
        </is>
      </c>
      <c r="C881" t="inlineStr">
        <is>
          <t>Ref.: Tr Joao Luis Paiva/ R Joao Teixeira De Barros</t>
        </is>
      </c>
      <c r="D881" s="58" t="n">
        <v>-23.468264</v>
      </c>
      <c r="E881" s="58" t="n">
        <v>-46.581021</v>
      </c>
    </row>
    <row r="882">
      <c r="A882" t="n">
        <v>380004309</v>
      </c>
      <c r="B882" t="inlineStr">
        <is>
          <t>Av. Luís Stamatis, 560</t>
        </is>
      </c>
      <c r="C882" t="inlineStr">
        <is>
          <t>Ref.: R Irma Emerenciana/ Tr Joao Luis Paiva</t>
        </is>
      </c>
      <c r="D882" s="58" t="n">
        <v>-23.468489</v>
      </c>
      <c r="E882" s="58" t="n">
        <v>-46.580301</v>
      </c>
    </row>
    <row r="883">
      <c r="A883" t="n">
        <v>380004373</v>
      </c>
      <c r="B883" t="inlineStr">
        <is>
          <t>Av. Paulo Lincoln Do Valle Pontin, 550</t>
        </is>
      </c>
      <c r="C883" t="inlineStr">
        <is>
          <t>Ref.: R Angelo Aloisio/ R Alcy Borges Dos Santos</t>
        </is>
      </c>
      <c r="D883" s="58" t="n">
        <v>-23.460485</v>
      </c>
      <c r="E883" s="58" t="n">
        <v>-46.585565</v>
      </c>
    </row>
    <row r="884">
      <c r="A884" t="n">
        <v>490016414</v>
      </c>
      <c r="B884" t="inlineStr">
        <is>
          <t>Av. Vinte E Três De Maio</t>
        </is>
      </c>
      <c r="C884" t="inlineStr">
        <is>
          <t>Ref.: Centro Cultural</t>
        </is>
      </c>
      <c r="D884" s="58" t="n">
        <v>-23.572344</v>
      </c>
      <c r="E884" s="58" t="n">
        <v>-46.640902</v>
      </c>
    </row>
    <row r="885">
      <c r="A885" t="n">
        <v>490016415</v>
      </c>
      <c r="B885" t="inlineStr">
        <is>
          <t>Av. Vinte E Três De Maio</t>
        </is>
      </c>
      <c r="C885" t="inlineStr">
        <is>
          <t>Ref.: Tr Carneiro/ R Pedroso</t>
        </is>
      </c>
      <c r="D885" s="58" t="n">
        <v>-23.563404</v>
      </c>
      <c r="E885" s="58" t="n">
        <v>-46.640031</v>
      </c>
    </row>
    <row r="886">
      <c r="A886" t="n">
        <v>490016416</v>
      </c>
      <c r="B886" t="inlineStr">
        <is>
          <t>Av. Vinte E Três De Maio</t>
        </is>
      </c>
      <c r="C886" t="inlineStr">
        <is>
          <t>Ref.: Vdto Condessa De Sao Joaquim/ R Jaceguai</t>
        </is>
      </c>
      <c r="D886" s="58" t="n">
        <v>-23.557395</v>
      </c>
      <c r="E886" s="58" t="n">
        <v>-46.637872</v>
      </c>
    </row>
    <row r="887">
      <c r="A887" t="n">
        <v>490016448</v>
      </c>
      <c r="B887" t="inlineStr">
        <is>
          <t>Av. Vinte E Três De Maio</t>
        </is>
      </c>
      <c r="C887" t="inlineStr">
        <is>
          <t>Ref.: R Maestro Cardim/ Vdto Pedroso</t>
        </is>
      </c>
      <c r="D887" s="58" t="n">
        <v>-23.559797</v>
      </c>
      <c r="E887" s="58" t="n">
        <v>-46.63945</v>
      </c>
    </row>
    <row r="888">
      <c r="A888" t="n">
        <v>490016449</v>
      </c>
      <c r="B888" t="inlineStr">
        <is>
          <t>Av. Vinte E Três De Maio</t>
        </is>
      </c>
      <c r="C888" t="inlineStr">
        <is>
          <t>Ref.: Vdto Paraiso/ Vdto Beneficencia Portuguesa</t>
        </is>
      </c>
      <c r="D888" s="58" t="n">
        <v>-23.572826</v>
      </c>
      <c r="E888" s="58" t="n">
        <v>-46.641237</v>
      </c>
    </row>
    <row r="889">
      <c r="A889" t="n">
        <v>510001529</v>
      </c>
      <c r="B889" t="inlineStr">
        <is>
          <t>Av. Parada Pinto, 2204</t>
        </is>
      </c>
      <c r="C889" t="inlineStr">
        <is>
          <t>Ref.: R Elza Guimaraes/ R Domingos Jose Sapienza</t>
        </is>
      </c>
      <c r="D889" s="58" t="n">
        <v>-23.470571</v>
      </c>
      <c r="E889" s="58" t="n">
        <v>-46.649599</v>
      </c>
    </row>
    <row r="890">
      <c r="A890" t="n">
        <v>510001666</v>
      </c>
      <c r="B890" t="inlineStr">
        <is>
          <t>Av. Ultramarino</t>
        </is>
      </c>
      <c r="C890" t="inlineStr">
        <is>
          <t>Ref.: R Lacerda Marques/ Av Direitos Humanos</t>
        </is>
      </c>
      <c r="D890" s="58" t="n">
        <v>-23.475146</v>
      </c>
      <c r="E890" s="58" t="n">
        <v>-46.638937</v>
      </c>
    </row>
    <row r="891">
      <c r="A891" t="n">
        <v>510001667</v>
      </c>
      <c r="B891" t="inlineStr">
        <is>
          <t>Av. Ultramarino</t>
        </is>
      </c>
      <c r="C891" t="inlineStr">
        <is>
          <t>Ref.: Av Direitos Humanos/ Pça. Ver. Antônio Sampaio</t>
        </is>
      </c>
      <c r="D891" s="58" t="n">
        <v>-23.475042</v>
      </c>
      <c r="E891" s="58" t="n">
        <v>-46.638946</v>
      </c>
    </row>
    <row r="892">
      <c r="A892" t="n">
        <v>510001668</v>
      </c>
      <c r="B892" t="inlineStr">
        <is>
          <t>Av. Ultramarino, 548</t>
        </is>
      </c>
      <c r="C892" t="inlineStr">
        <is>
          <t>Ref.: Tr Cadimas/ Tr Lida Borelli</t>
        </is>
      </c>
      <c r="D892" s="58" t="n">
        <v>-23.473185</v>
      </c>
      <c r="E892" s="58" t="n">
        <v>-46.639886</v>
      </c>
    </row>
    <row r="893">
      <c r="A893" t="n">
        <v>510001669</v>
      </c>
      <c r="B893" t="inlineStr">
        <is>
          <t>Av. Ultramarino, 490</t>
        </is>
      </c>
      <c r="C893" t="inlineStr">
        <is>
          <t>Ref.: R Ouchi/ Tr Cadimas</t>
        </is>
      </c>
      <c r="D893" s="58" t="n">
        <v>-23.473266</v>
      </c>
      <c r="E893" s="58" t="n">
        <v>-46.639929</v>
      </c>
    </row>
    <row r="894">
      <c r="A894" t="n">
        <v>510001670</v>
      </c>
      <c r="B894" t="inlineStr">
        <is>
          <t>Av. Ultramarino, 809</t>
        </is>
      </c>
      <c r="C894" t="inlineStr">
        <is>
          <t>Ref.: Rua Liestal</t>
        </is>
      </c>
      <c r="D894" s="58" t="n">
        <v>-23.471168</v>
      </c>
      <c r="E894" s="58" t="n">
        <v>-46.641775</v>
      </c>
    </row>
    <row r="895">
      <c r="A895" t="n">
        <v>510001671</v>
      </c>
      <c r="B895" t="inlineStr">
        <is>
          <t>Av. Ultramarino, 900</t>
        </is>
      </c>
      <c r="C895" t="inlineStr">
        <is>
          <t>Ref.: R Liestal/ R Herison</t>
        </is>
      </c>
      <c r="D895" s="58" t="n">
        <v>-23.471008</v>
      </c>
      <c r="E895" s="58" t="n">
        <v>-46.642696</v>
      </c>
    </row>
    <row r="896">
      <c r="A896" t="n">
        <v>510001673</v>
      </c>
      <c r="B896" t="inlineStr">
        <is>
          <t>Av. Ultramarino, 1178</t>
        </is>
      </c>
      <c r="C896" t="inlineStr">
        <is>
          <t>Ref.: R Casa Ilha Da Madeira/ Av Parada Pinto</t>
        </is>
      </c>
      <c r="D896" s="58" t="n">
        <v>-23.469498</v>
      </c>
      <c r="E896" s="58" t="n">
        <v>-46.644877</v>
      </c>
    </row>
    <row r="897">
      <c r="A897" t="n">
        <v>510001696</v>
      </c>
      <c r="B897" t="inlineStr">
        <is>
          <t>Av. Zumkeller, 251</t>
        </is>
      </c>
      <c r="C897" t="inlineStr">
        <is>
          <t>Ref.: Av Do Guaca/ R Ponta Grossa</t>
        </is>
      </c>
      <c r="D897" s="58" t="n">
        <v>-23.476791</v>
      </c>
      <c r="E897" s="58" t="n">
        <v>-46.633776</v>
      </c>
    </row>
    <row r="898">
      <c r="A898" t="n">
        <v>510001697</v>
      </c>
      <c r="B898" t="inlineStr">
        <is>
          <t>Av. Zumkeller, 234</t>
        </is>
      </c>
      <c r="C898" t="inlineStr">
        <is>
          <t>Ref.: R Ponta Grossa/ Av Do Guaca</t>
        </is>
      </c>
      <c r="D898" s="58" t="n">
        <v>-23.47696</v>
      </c>
      <c r="E898" s="58" t="n">
        <v>-46.63361</v>
      </c>
    </row>
    <row r="899">
      <c r="A899" t="n">
        <v>510001698</v>
      </c>
      <c r="B899" t="inlineStr">
        <is>
          <t>R. Voluntários Da Pátria, 4840</t>
        </is>
      </c>
      <c r="C899" t="inlineStr">
        <is>
          <t>Ref.: R Jacarapinima/ R Sousa Lopes</t>
        </is>
      </c>
      <c r="D899" s="58" t="n">
        <v>-23.47919</v>
      </c>
      <c r="E899" s="58" t="n">
        <v>-46.632559</v>
      </c>
    </row>
    <row r="900">
      <c r="A900" t="n">
        <v>510001699</v>
      </c>
      <c r="B900" t="inlineStr">
        <is>
          <t>R. Voluntários Da Pátria, 4873</t>
        </is>
      </c>
      <c r="C900" t="inlineStr">
        <is>
          <t>Ref.: R Professor Jose Pardelli/ R Jacarapinima</t>
        </is>
      </c>
      <c r="D900" s="58" t="n">
        <v>-23.479368</v>
      </c>
      <c r="E900" s="58" t="n">
        <v>-46.632621</v>
      </c>
    </row>
    <row r="901">
      <c r="A901" t="n">
        <v>510001700</v>
      </c>
      <c r="B901" t="inlineStr">
        <is>
          <t>R. Voluntários Da Pátria, 4573</t>
        </is>
      </c>
      <c r="C901" t="inlineStr">
        <is>
          <t>Ref.: Av. Engº Caetano Alvares/praça Rotary Clube De São Paulo Norte</t>
        </is>
      </c>
      <c r="D901" s="58" t="n">
        <v>-23.482482</v>
      </c>
      <c r="E901" s="58" t="n">
        <v>-46.631963</v>
      </c>
    </row>
    <row r="902">
      <c r="A902" t="n">
        <v>510001701</v>
      </c>
      <c r="B902" t="inlineStr">
        <is>
          <t>R. Voluntários Da Pátria</t>
        </is>
      </c>
      <c r="C902" t="inlineStr">
        <is>
          <t>Ref.: Av Eng. Caetano Alvares/ R. Professor Valerio Giuli</t>
        </is>
      </c>
      <c r="D902" s="58" t="n">
        <v>-23.482286</v>
      </c>
      <c r="E902" s="58" t="n">
        <v>-46.631945</v>
      </c>
    </row>
    <row r="903">
      <c r="A903" t="n">
        <v>510001932</v>
      </c>
      <c r="B903" t="inlineStr">
        <is>
          <t>Av. Ultramarino, 111</t>
        </is>
      </c>
      <c r="C903" t="inlineStr">
        <is>
          <t>Ref.: R Luciano Freire/ R Emigdio Carbonari</t>
        </is>
      </c>
      <c r="D903" s="58" t="n">
        <v>-23.475997</v>
      </c>
      <c r="E903" s="58" t="n">
        <v>-46.637459</v>
      </c>
    </row>
    <row r="904">
      <c r="A904" t="n">
        <v>510001933</v>
      </c>
      <c r="B904" t="inlineStr">
        <is>
          <t>Av. Ultramarino, 78</t>
        </is>
      </c>
      <c r="C904" t="inlineStr">
        <is>
          <t>Ref.: R Luciano Freire/ V-ped Guaracoba</t>
        </is>
      </c>
      <c r="D904" s="58" t="n">
        <v>-23.476139</v>
      </c>
      <c r="E904" s="58" t="n">
        <v>-46.637177</v>
      </c>
    </row>
    <row r="905">
      <c r="A905" t="n">
        <v>510001934</v>
      </c>
      <c r="B905" t="inlineStr">
        <is>
          <t>R. Iris Leonor, 189</t>
        </is>
      </c>
      <c r="C905" t="inlineStr">
        <is>
          <t>Ref.: Av Ultramarino/ R Odivelas</t>
        </is>
      </c>
      <c r="D905" s="58" t="n">
        <v>-23.476804</v>
      </c>
      <c r="E905" s="58" t="n">
        <v>-46.636377</v>
      </c>
    </row>
    <row r="906">
      <c r="A906" t="n">
        <v>510001935</v>
      </c>
      <c r="B906" t="inlineStr">
        <is>
          <t>R. Iris Leonor, 132</t>
        </is>
      </c>
      <c r="C906" t="inlineStr">
        <is>
          <t>Ref.: R Jose Jeronimo Vasconcelos/ R Odivelas</t>
        </is>
      </c>
      <c r="D906" s="58" t="n">
        <v>-23.476796</v>
      </c>
      <c r="E906" s="58" t="n">
        <v>-46.635724</v>
      </c>
    </row>
    <row r="907">
      <c r="A907" t="n">
        <v>530015150</v>
      </c>
      <c r="B907" t="inlineStr">
        <is>
          <t>Ac. Acesso A</t>
        </is>
      </c>
      <c r="C907" t="inlineStr">
        <is>
          <t>Ref.: R Doutor Astolfo Araujo/ Vdto General Marcondes Salgado</t>
        </is>
      </c>
      <c r="D907" s="58" t="n">
        <v>-23.583773</v>
      </c>
      <c r="E907" s="58" t="n">
        <v>-46.652583</v>
      </c>
    </row>
    <row r="908">
      <c r="A908" t="n">
        <v>530015151</v>
      </c>
      <c r="B908" t="inlineStr">
        <is>
          <t>Av. Vinte E Três De Maio</t>
        </is>
      </c>
      <c r="C908" t="inlineStr">
        <is>
          <t>Ref.: Rua Curitiba / Acesso A Av. Pedro Alvares Cabral</t>
        </is>
      </c>
      <c r="D908" s="58" t="n">
        <v>-23.582629</v>
      </c>
      <c r="E908" s="58" t="n">
        <v>-46.652386</v>
      </c>
    </row>
    <row r="909">
      <c r="A909" t="n">
        <v>530015179</v>
      </c>
      <c r="B909" t="inlineStr">
        <is>
          <t>Av. Vinte E Três De Maio</t>
        </is>
      </c>
      <c r="C909" t="inlineStr">
        <is>
          <t>Ref.: Vdto Tutoia/ Av Pedro Alvares Cabral</t>
        </is>
      </c>
      <c r="D909" s="58" t="n">
        <v>-23.581764</v>
      </c>
      <c r="E909" s="58" t="n">
        <v>-46.650262</v>
      </c>
    </row>
    <row r="910">
      <c r="A910" t="n">
        <v>530015184</v>
      </c>
      <c r="B910" t="inlineStr">
        <is>
          <t>Av. Moreira Guimarães, 510</t>
        </is>
      </c>
      <c r="C910" t="inlineStr">
        <is>
          <t>Ref.: Av Jandira/ Av Jamaris</t>
        </is>
      </c>
      <c r="D910" s="58" t="n">
        <v>-23.611589</v>
      </c>
      <c r="E910" s="58" t="n">
        <v>-46.656429</v>
      </c>
    </row>
    <row r="911">
      <c r="A911" t="n">
        <v>530015185</v>
      </c>
      <c r="B911" t="inlineStr">
        <is>
          <t>Av. Moreira Guimarães</t>
        </is>
      </c>
      <c r="C911" t="inlineStr">
        <is>
          <t>Ref.: Av Aratas/ Av Irai</t>
        </is>
      </c>
      <c r="D911" s="58" t="n">
        <v>-23.613477</v>
      </c>
      <c r="E911" s="58" t="n">
        <v>-46.658198</v>
      </c>
    </row>
    <row r="912">
      <c r="A912" t="n">
        <v>530015186</v>
      </c>
      <c r="B912" t="inlineStr">
        <is>
          <t>Av. Pedro Alvares Cabral</t>
        </is>
      </c>
      <c r="C912" t="inlineStr">
        <is>
          <t>Ref.: Av Quarto Centenario/ Complexo Viario Ayrton Senna</t>
        </is>
      </c>
      <c r="D912" s="58" t="n">
        <v>-23.589427</v>
      </c>
      <c r="E912" s="58" t="n">
        <v>-46.652329</v>
      </c>
    </row>
    <row r="913">
      <c r="A913" t="n">
        <v>530015187</v>
      </c>
      <c r="B913" t="inlineStr">
        <is>
          <t>Av. Prof. Ascendino Reis, 560</t>
        </is>
      </c>
      <c r="C913" t="inlineStr">
        <is>
          <t>Ref.: Vdto Borges Lagoa - Hosp Edmundo Vasconcelos</t>
        </is>
      </c>
      <c r="D913" s="58" t="n">
        <v>-23.595542</v>
      </c>
      <c r="E913" s="58" t="n">
        <v>-46.650933</v>
      </c>
    </row>
    <row r="914">
      <c r="A914" t="n">
        <v>530015188</v>
      </c>
      <c r="B914" t="inlineStr">
        <is>
          <t>Av. Prof. Ascendino Reis, 724</t>
        </is>
      </c>
      <c r="C914" t="inlineStr">
        <is>
          <t>Ref.: R Pedro De Toledo/ R Borges Lagoa</t>
        </is>
      </c>
      <c r="D914" s="58" t="n">
        <v>-23.597453</v>
      </c>
      <c r="E914" s="58" t="n">
        <v>-46.651094</v>
      </c>
    </row>
    <row r="915">
      <c r="A915" t="n">
        <v>530015189</v>
      </c>
      <c r="B915" t="inlineStr">
        <is>
          <t>Av. Prof. Ascendino Reis, 830</t>
        </is>
      </c>
      <c r="C915" t="inlineStr">
        <is>
          <t>Ref.: R Pedro De Toledo/ Av Rubem Berta</t>
        </is>
      </c>
      <c r="D915" s="58" t="n">
        <v>-23.598417</v>
      </c>
      <c r="E915" s="58" t="n">
        <v>-46.6512</v>
      </c>
    </row>
    <row r="916">
      <c r="A916" t="n">
        <v>530015190</v>
      </c>
      <c r="B916" t="inlineStr">
        <is>
          <t>Av. Rubem Berta</t>
        </is>
      </c>
      <c r="C916" t="inlineStr">
        <is>
          <t>Ref.: Av Onze De Junho/ Av Professor Ascendino Reis</t>
        </is>
      </c>
      <c r="D916" s="58" t="n">
        <v>-23.601046</v>
      </c>
      <c r="E916" s="58" t="n">
        <v>-46.651431</v>
      </c>
    </row>
    <row r="917">
      <c r="A917" t="n">
        <v>530015191</v>
      </c>
      <c r="B917" t="inlineStr">
        <is>
          <t>Av. Rubem Berta</t>
        </is>
      </c>
      <c r="C917" t="inlineStr">
        <is>
          <t>Ref.: Al Canuri/ Av Piassanguaba</t>
        </is>
      </c>
      <c r="D917" s="58" t="n">
        <v>-23.60486</v>
      </c>
      <c r="E917" s="58" t="n">
        <v>-46.651787</v>
      </c>
    </row>
    <row r="918">
      <c r="A918" t="n">
        <v>530015192</v>
      </c>
      <c r="B918" t="inlineStr">
        <is>
          <t>Av. Rubem Berta</t>
        </is>
      </c>
      <c r="C918" t="inlineStr">
        <is>
          <t>Ref.: Al Uanana/ Av Indianopolis</t>
        </is>
      </c>
      <c r="D918" s="58" t="n">
        <v>-23.606932</v>
      </c>
      <c r="E918" s="58" t="n">
        <v>-46.652313</v>
      </c>
    </row>
    <row r="919">
      <c r="A919" t="n">
        <v>530015193</v>
      </c>
      <c r="B919" t="inlineStr">
        <is>
          <t>Av. Moreira Guimarães</t>
        </is>
      </c>
      <c r="C919" t="inlineStr">
        <is>
          <t>Ref.: Av Moema/ Av Divino Salvador</t>
        </is>
      </c>
      <c r="D919" s="58" t="n">
        <v>-23.60883</v>
      </c>
      <c r="E919" s="58" t="n">
        <v>-46.654005</v>
      </c>
    </row>
    <row r="920">
      <c r="A920" t="n">
        <v>540014084</v>
      </c>
      <c r="B920" t="inlineStr">
        <is>
          <t>R. Siqueira Bueno, 868</t>
        </is>
      </c>
      <c r="C920" t="inlineStr">
        <is>
          <t>Ref.: R Serra Da Bocaina/ R Taquari</t>
        </is>
      </c>
      <c r="D920" s="58" t="n">
        <v>-23.546288</v>
      </c>
      <c r="E920" s="58" t="n">
        <v>-46.591934</v>
      </c>
    </row>
    <row r="921">
      <c r="A921" t="n">
        <v>540014085</v>
      </c>
      <c r="B921" t="inlineStr">
        <is>
          <t>R. Siqueira Bueno, 1098</t>
        </is>
      </c>
      <c r="C921" t="inlineStr">
        <is>
          <t>Ref.: R Diamantino/ R Professor Machado Tolosa</t>
        </is>
      </c>
      <c r="D921" s="58" t="n">
        <v>-23.547958</v>
      </c>
      <c r="E921" s="58" t="n">
        <v>-46.590361</v>
      </c>
    </row>
    <row r="922">
      <c r="A922" t="n">
        <v>540014086</v>
      </c>
      <c r="B922" t="inlineStr">
        <is>
          <t>R. Siqueira Bueno, 1328</t>
        </is>
      </c>
      <c r="C922" t="inlineStr">
        <is>
          <t>Ref.: Tr Siqueira Bueno/ R Tobias Barreto</t>
        </is>
      </c>
      <c r="D922" s="58" t="n">
        <v>-23.549599</v>
      </c>
      <c r="E922" s="58" t="n">
        <v>-46.588837</v>
      </c>
    </row>
    <row r="923">
      <c r="A923" t="n">
        <v>540014144</v>
      </c>
      <c r="B923" t="inlineStr">
        <is>
          <t>Juventus B/C</t>
        </is>
      </c>
      <c r="C923" t="inlineStr">
        <is>
          <t>Av. Paes De Barros, 2621 Ref.: R Juventus/ R Coronel Joviniano Brandao</t>
        </is>
      </c>
      <c r="D923" s="58" t="n">
        <v>-23.573775</v>
      </c>
      <c r="E923" s="58" t="n">
        <v>-46.587448</v>
      </c>
    </row>
    <row r="924">
      <c r="A924" t="n">
        <v>540014145</v>
      </c>
      <c r="B924" t="inlineStr">
        <is>
          <t>Juventus C/B</t>
        </is>
      </c>
      <c r="C924" t="inlineStr">
        <is>
          <t>Av. Paes De Barros, 2562 Ref.: R Juventus/ R Coronel Joviniano Brandao</t>
        </is>
      </c>
      <c r="D924" s="58" t="n">
        <v>-23.573402</v>
      </c>
      <c r="E924" s="58" t="n">
        <v>-46.587489</v>
      </c>
    </row>
    <row r="925">
      <c r="A925" t="n">
        <v>540014146</v>
      </c>
      <c r="B925" t="inlineStr">
        <is>
          <t>São Cristóvão C/B</t>
        </is>
      </c>
      <c r="C925" t="inlineStr">
        <is>
          <t>Av. Paes De Barros, 2226 Ref.: R Terenas/ R Manuel Vieira Souza</t>
        </is>
      </c>
      <c r="D925" s="58" t="n">
        <v>-23.570096</v>
      </c>
      <c r="E925" s="58" t="n">
        <v>-46.587572</v>
      </c>
    </row>
    <row r="926">
      <c r="A926" t="n">
        <v>540014147</v>
      </c>
      <c r="B926" t="inlineStr">
        <is>
          <t>São Cristóvão B/C</t>
        </is>
      </c>
      <c r="C926" t="inlineStr">
        <is>
          <t>Av. Paes De Barros, 2199 Ref.: R Terenas/ R Manuel Vieira Souza</t>
        </is>
      </c>
      <c r="D926" s="58" t="n">
        <v>-23.569692</v>
      </c>
      <c r="E926" s="58" t="n">
        <v>-46.587742</v>
      </c>
    </row>
    <row r="927">
      <c r="A927" t="n">
        <v>540014148</v>
      </c>
      <c r="B927" t="inlineStr">
        <is>
          <t>Bixira C/B</t>
        </is>
      </c>
      <c r="C927" t="inlineStr">
        <is>
          <t>Av. Paes De Barros, 1766 Ref.: R Bixira/ R Isabel Dias</t>
        </is>
      </c>
      <c r="D927" s="58" t="n">
        <v>-23.567646</v>
      </c>
      <c r="E927" s="58" t="n">
        <v>-46.590692</v>
      </c>
    </row>
    <row r="928">
      <c r="A928" t="n">
        <v>540014149</v>
      </c>
      <c r="B928" t="inlineStr">
        <is>
          <t>Bixira B/C</t>
        </is>
      </c>
      <c r="C928" t="inlineStr">
        <is>
          <t>Av. Paes De Barros, 1697 Ref.: R Bixira/ R Emboacava</t>
        </is>
      </c>
      <c r="D928" s="58" t="n">
        <v>-23.567176</v>
      </c>
      <c r="E928" s="58" t="n">
        <v>-46.591552</v>
      </c>
    </row>
    <row r="929">
      <c r="A929" t="n">
        <v>540014150</v>
      </c>
      <c r="B929" t="inlineStr">
        <is>
          <t>Guaimbe C/B</t>
        </is>
      </c>
      <c r="C929" t="inlineStr">
        <is>
          <t>Av. Paes De Barros, 1306 Ref.: R Guaimbe/ R Came</t>
        </is>
      </c>
      <c r="D929" s="58" t="n">
        <v>-23.565522</v>
      </c>
      <c r="E929" s="58" t="n">
        <v>-46.594744</v>
      </c>
    </row>
    <row r="930">
      <c r="A930" t="n">
        <v>540014151</v>
      </c>
      <c r="B930" t="inlineStr">
        <is>
          <t>Guaimbe B/C</t>
        </is>
      </c>
      <c r="C930" t="inlineStr">
        <is>
          <t>Av. Paes De Barros, 1219 Ref.: R Guaimbe/ R Jumana</t>
        </is>
      </c>
      <c r="D930" s="58" t="n">
        <v>-23.565074</v>
      </c>
      <c r="E930" s="58" t="n">
        <v>-46.595431</v>
      </c>
    </row>
    <row r="931">
      <c r="A931" t="n">
        <v>540014152</v>
      </c>
      <c r="B931" t="inlineStr">
        <is>
          <t>Inhomerim C/B</t>
        </is>
      </c>
      <c r="C931" t="inlineStr">
        <is>
          <t>Av. Paes De Barros, 844 Ref.: R Ezequiel Ramos/ R Visconde De Inhomerim</t>
        </is>
      </c>
      <c r="D931" s="58" t="n">
        <v>-23.56248</v>
      </c>
      <c r="E931" s="58" t="n">
        <v>-46.597946</v>
      </c>
    </row>
    <row r="932">
      <c r="A932" t="n">
        <v>540014153</v>
      </c>
      <c r="B932" t="inlineStr">
        <is>
          <t>Inhomerim B/C</t>
        </is>
      </c>
      <c r="C932" t="inlineStr">
        <is>
          <t>Av. Paes De Barros, 755 Ref.: R Visconde De Inhomerim/ R Curupace</t>
        </is>
      </c>
      <c r="D932" s="58" t="n">
        <v>-23.561786</v>
      </c>
      <c r="E932" s="58" t="n">
        <v>-46.598446</v>
      </c>
    </row>
    <row r="933">
      <c r="A933" t="n">
        <v>540014154</v>
      </c>
      <c r="B933" t="inlineStr">
        <is>
          <t>Oratorio C/B</t>
        </is>
      </c>
      <c r="C933" t="inlineStr">
        <is>
          <t>Av. Paes De Barros, 167 Ref.: Tr Francisco Santurini/ R Leocadia Cintra</t>
        </is>
      </c>
      <c r="D933" s="58" t="n">
        <v>-23.55684</v>
      </c>
      <c r="E933" s="58" t="n">
        <v>-46.600202</v>
      </c>
    </row>
    <row r="934">
      <c r="A934" t="n">
        <v>540014155</v>
      </c>
      <c r="B934" t="inlineStr">
        <is>
          <t>R. Taquari, 156</t>
        </is>
      </c>
      <c r="C934" t="inlineStr">
        <is>
          <t>Ref.: R Javari/ R Dos Trilhos</t>
        </is>
      </c>
      <c r="D934" s="58" t="n">
        <v>-23.553968</v>
      </c>
      <c r="E934" s="58" t="n">
        <v>-46.600079</v>
      </c>
    </row>
    <row r="935">
      <c r="A935" t="n">
        <v>540014156</v>
      </c>
      <c r="B935" t="inlineStr">
        <is>
          <t>R. Taquari, 156</t>
        </is>
      </c>
      <c r="C935" t="inlineStr">
        <is>
          <t>Ref.: R Javari/ R Dos Trilhos -- Em Frente Ao Armarinhos Fernando</t>
        </is>
      </c>
      <c r="D935" s="58" t="n">
        <v>-23.553976</v>
      </c>
      <c r="E935" s="58" t="n">
        <v>-46.599752</v>
      </c>
    </row>
    <row r="936">
      <c r="A936" t="n">
        <v>540014157</v>
      </c>
      <c r="B936" t="inlineStr">
        <is>
          <t>Pça. Ciro Pontes</t>
        </is>
      </c>
      <c r="C936" t="inlineStr">
        <is>
          <t>Ref.: R Bresser/ R Taquari</t>
        </is>
      </c>
      <c r="D936" s="58" t="n">
        <v>-23.552051</v>
      </c>
      <c r="E936" s="58" t="n">
        <v>-46.599756</v>
      </c>
    </row>
    <row r="937">
      <c r="A937" t="n">
        <v>540014159</v>
      </c>
      <c r="B937" t="inlineStr">
        <is>
          <t>R. Bresser, 2376</t>
        </is>
      </c>
      <c r="C937" t="inlineStr">
        <is>
          <t>Ref.: Ac Esquerdo Vd Bresser/ Pc Ciro Pontes</t>
        </is>
      </c>
      <c r="D937" s="58" t="n">
        <v>-23.549703</v>
      </c>
      <c r="E937" s="58" t="n">
        <v>-46.60125</v>
      </c>
    </row>
    <row r="938">
      <c r="A938" t="n">
        <v>540014160</v>
      </c>
      <c r="B938" t="inlineStr">
        <is>
          <t>R. Dos Trilhos, 894</t>
        </is>
      </c>
      <c r="C938" t="inlineStr">
        <is>
          <t>Ref.: R Visconde De Laguna/ R Taquari</t>
        </is>
      </c>
      <c r="D938" s="58" t="n">
        <v>-23.553229</v>
      </c>
      <c r="E938" s="58" t="n">
        <v>-46.601569</v>
      </c>
    </row>
    <row r="939">
      <c r="A939" t="n">
        <v>540014161</v>
      </c>
      <c r="B939" t="inlineStr">
        <is>
          <t>R. Taquari, 84</t>
        </is>
      </c>
      <c r="C939" t="inlineStr">
        <is>
          <t>Ref.: Pc Ciro Pontes/ R Bresser</t>
        </is>
      </c>
      <c r="D939" s="58" t="n">
        <v>-23.552722</v>
      </c>
      <c r="E939" s="58" t="n">
        <v>-46.599195</v>
      </c>
    </row>
    <row r="940">
      <c r="A940" t="n">
        <v>540014163</v>
      </c>
      <c r="B940" t="inlineStr">
        <is>
          <t>R. Taquari, 556</t>
        </is>
      </c>
      <c r="C940" t="inlineStr">
        <is>
          <t>Ref.: R Catarina Braida/ Pc Ciro Pontes</t>
        </is>
      </c>
      <c r="D940" s="58" t="n">
        <v>-23.55106</v>
      </c>
      <c r="E940" s="58" t="n">
        <v>-46.597429</v>
      </c>
    </row>
    <row r="941">
      <c r="A941" t="n">
        <v>540014164</v>
      </c>
      <c r="B941" t="inlineStr">
        <is>
          <t>R. Taquari, 1058</t>
        </is>
      </c>
      <c r="C941" t="inlineStr">
        <is>
          <t>Ref.: R Paqueta/ R Sapucaia</t>
        </is>
      </c>
      <c r="D941" s="58" t="n">
        <v>-23.547957</v>
      </c>
      <c r="E941" s="58" t="n">
        <v>-46.594215</v>
      </c>
    </row>
    <row r="942">
      <c r="A942" t="n">
        <v>540014165</v>
      </c>
      <c r="B942" t="inlineStr">
        <is>
          <t>R. Paraupava, 74</t>
        </is>
      </c>
      <c r="C942" t="inlineStr">
        <is>
          <t>Ref.: R Taquari/ R Caa Acu</t>
        </is>
      </c>
      <c r="D942" s="58" t="n">
        <v>-23.547138</v>
      </c>
      <c r="E942" s="58" t="n">
        <v>-46.592349</v>
      </c>
    </row>
    <row r="943">
      <c r="A943" t="n">
        <v>540014169</v>
      </c>
      <c r="B943" t="inlineStr">
        <is>
          <t>R. Tobias Barreto, 305</t>
        </is>
      </c>
      <c r="C943" t="inlineStr">
        <is>
          <t>Ref.: R Dos Trilhos/ R Cassandoca</t>
        </is>
      </c>
      <c r="D943" s="58" t="n">
        <v>-23.554838</v>
      </c>
      <c r="E943" s="58" t="n">
        <v>-46.591717</v>
      </c>
    </row>
    <row r="944">
      <c r="A944" t="n">
        <v>540014171</v>
      </c>
      <c r="B944" t="inlineStr">
        <is>
          <t>R. Tobias Barreto, 557</t>
        </is>
      </c>
      <c r="C944" t="inlineStr">
        <is>
          <t>Ref.: R Souza Leao/ R Sapucaia</t>
        </is>
      </c>
      <c r="D944" s="58" t="n">
        <v>-23.552647</v>
      </c>
      <c r="E944" s="58" t="n">
        <v>-46.590898</v>
      </c>
    </row>
    <row r="945">
      <c r="A945" t="n">
        <v>540014173</v>
      </c>
      <c r="B945" t="inlineStr">
        <is>
          <t>R. Tobias Barreto, 789</t>
        </is>
      </c>
      <c r="C945" t="inlineStr">
        <is>
          <t>Ref.: R Itabaiana/ R Doutor Ernesto Moreira</t>
        </is>
      </c>
      <c r="D945" s="58" t="n">
        <v>-23.551133</v>
      </c>
      <c r="E945" s="58" t="n">
        <v>-46.589329</v>
      </c>
    </row>
    <row r="946">
      <c r="A946" t="n">
        <v>540014183</v>
      </c>
      <c r="B946" t="inlineStr">
        <is>
          <t>Pça. Dos Industriários, 1611</t>
        </is>
      </c>
      <c r="C946" t="inlineStr">
        <is>
          <t>Ref.: R Jeronimo De Mendonca/ R Benedita Maria Cardoso</t>
        </is>
      </c>
      <c r="D946" s="58" t="n">
        <v>-23.554107</v>
      </c>
      <c r="E946" s="58" t="n">
        <v>-46.593653</v>
      </c>
    </row>
    <row r="947">
      <c r="A947" t="n">
        <v>540014236</v>
      </c>
      <c r="B947" t="inlineStr">
        <is>
          <t>R. Da Mooca, 3031</t>
        </is>
      </c>
      <c r="C947" t="inlineStr">
        <is>
          <t>Ref.: R Dos Capitaes Mores/ R Domingos De Oliveira</t>
        </is>
      </c>
      <c r="D947" s="58" t="n">
        <v>-23.556068</v>
      </c>
      <c r="E947" s="58" t="n">
        <v>-46.595694</v>
      </c>
    </row>
    <row r="948">
      <c r="A948" t="n">
        <v>540014254</v>
      </c>
      <c r="B948" t="inlineStr">
        <is>
          <t>R. Ipanema, 626</t>
        </is>
      </c>
      <c r="C948" t="inlineStr">
        <is>
          <t>R. Ipanema, 626 Ref.: R Hipodromo/ R Guarapuava</t>
        </is>
      </c>
      <c r="D948" s="58" t="n">
        <v>-23.54683</v>
      </c>
      <c r="E948" s="58" t="n">
        <v>-46.606474</v>
      </c>
    </row>
    <row r="949">
      <c r="A949" t="n">
        <v>540014259</v>
      </c>
      <c r="B949" t="inlineStr">
        <is>
          <t>R. Do Hipódromo, 1110</t>
        </is>
      </c>
      <c r="C949" t="inlineStr">
        <is>
          <t>Ref.: R Frei Gaspar/ Av Alcantara Machado</t>
        </is>
      </c>
      <c r="D949" s="58" t="n">
        <v>-23.548543</v>
      </c>
      <c r="E949" s="58" t="n">
        <v>-46.606207</v>
      </c>
    </row>
    <row r="950">
      <c r="A950" t="n">
        <v>540014575</v>
      </c>
      <c r="B950" t="inlineStr">
        <is>
          <t>Av. Alcântara Machado, 1505</t>
        </is>
      </c>
      <c r="C950" t="inlineStr">
        <is>
          <t>Ref.: R Conselheiro Lafaiette/ R Doutor Almeida Lima</t>
        </is>
      </c>
      <c r="D950" s="58" t="n">
        <v>-23.551636</v>
      </c>
      <c r="E950" s="58" t="n">
        <v>-46.608719</v>
      </c>
    </row>
    <row r="951">
      <c r="A951" t="n">
        <v>540014576</v>
      </c>
      <c r="B951" t="inlineStr">
        <is>
          <t>Av. Alcântara Machado, 2180</t>
        </is>
      </c>
      <c r="C951" t="inlineStr">
        <is>
          <t>Ref.: R Guarapuava/ R Do Hipodromo</t>
        </is>
      </c>
      <c r="D951" s="58" t="n">
        <v>-23.54926</v>
      </c>
      <c r="E951" s="58" t="n">
        <v>-46.604342</v>
      </c>
    </row>
    <row r="952">
      <c r="A952" t="n">
        <v>540014577</v>
      </c>
      <c r="B952" t="inlineStr">
        <is>
          <t>Instituto Brasileiro De Controle Do Cancer</t>
        </is>
      </c>
      <c r="C952" t="inlineStr">
        <is>
          <t>Av. Alcântara Machado, 2576 Ref.: R Joao Tobias/ Ac Esquerdo Vd Bresser</t>
        </is>
      </c>
      <c r="D952" s="58" t="n">
        <v>-23.547464</v>
      </c>
      <c r="E952" s="58" t="n">
        <v>-46.601027</v>
      </c>
    </row>
    <row r="953">
      <c r="A953" t="n">
        <v>540014578</v>
      </c>
      <c r="B953" t="inlineStr">
        <is>
          <t>Av. Alcântara Machado, 2988</t>
        </is>
      </c>
      <c r="C953" t="inlineStr">
        <is>
          <t>Ref.: R Jaibaras/ R Doutor Siqueira Cardoso</t>
        </is>
      </c>
      <c r="D953" s="58" t="n">
        <v>-23.545496</v>
      </c>
      <c r="E953" s="58" t="n">
        <v>-46.597145</v>
      </c>
    </row>
    <row r="954">
      <c r="A954" t="n">
        <v>540014584</v>
      </c>
      <c r="B954" t="inlineStr">
        <is>
          <t>Av. Alcântara Machado, 3198</t>
        </is>
      </c>
      <c r="C954" t="inlineStr">
        <is>
          <t>Ref.: R Doutor Fomm / Vdto Guadalajara</t>
        </is>
      </c>
      <c r="D954" s="58" t="n">
        <v>-23.544691</v>
      </c>
      <c r="E954" s="58" t="n">
        <v>-46.595242</v>
      </c>
    </row>
    <row r="955">
      <c r="A955" t="n">
        <v>540014585</v>
      </c>
      <c r="B955" t="inlineStr">
        <is>
          <t>Instituto Brasileiro De Controle Do Cancer</t>
        </is>
      </c>
      <c r="C955" t="inlineStr">
        <is>
          <t>Av. Alcântara Machado, 2713 Ref.: Ac Direito Vd Bresser/ R Pires Do Rio</t>
        </is>
      </c>
      <c r="D955" s="58" t="n">
        <v>-23.546269</v>
      </c>
      <c r="E955" s="58" t="n">
        <v>-46.599898</v>
      </c>
    </row>
    <row r="956">
      <c r="A956" t="n">
        <v>540014586</v>
      </c>
      <c r="B956" t="inlineStr">
        <is>
          <t>Av. Alcântara Machado, 2105</t>
        </is>
      </c>
      <c r="C956" t="inlineStr">
        <is>
          <t>Ref.: R Guarapuava/ R Do Hipodromo</t>
        </is>
      </c>
      <c r="D956" s="58" t="n">
        <v>-23.549079</v>
      </c>
      <c r="E956" s="58" t="n">
        <v>-46.60482</v>
      </c>
    </row>
    <row r="957">
      <c r="A957" t="n">
        <v>540014587</v>
      </c>
      <c r="B957" t="inlineStr">
        <is>
          <t>Av. Alcântara Machado, 1555</t>
        </is>
      </c>
      <c r="C957" t="inlineStr">
        <is>
          <t>Ref.: R Conselheiro Lafaiette/ R Doutor Almeida Lima</t>
        </is>
      </c>
      <c r="D957" s="58" t="n">
        <v>-23.551705</v>
      </c>
      <c r="E957" s="58" t="n">
        <v>-46.609688</v>
      </c>
    </row>
    <row r="958">
      <c r="A958" t="n">
        <v>570014287</v>
      </c>
      <c r="B958" t="inlineStr">
        <is>
          <t>Museu Cmtc</t>
        </is>
      </c>
      <c r="C958" t="inlineStr">
        <is>
          <t>Av. Cruzeiro Do Sul, 780 Ref.: R Paulino Guimaraes/ R Guapore</t>
        </is>
      </c>
      <c r="D958" s="58" t="n">
        <v>-23.524361</v>
      </c>
      <c r="E958" s="58" t="n">
        <v>-46.625203</v>
      </c>
    </row>
    <row r="959">
      <c r="A959" t="n">
        <v>570014302</v>
      </c>
      <c r="B959" t="inlineStr">
        <is>
          <t>R. Silva Teles, 1405</t>
        </is>
      </c>
      <c r="C959" t="inlineStr">
        <is>
          <t>Ref.: R Joaquim Carlos/ R Paulo Andrighetti</t>
        </is>
      </c>
      <c r="D959" s="58" t="n">
        <v>-23.526749</v>
      </c>
      <c r="E959" s="58" t="n">
        <v>-46.607212</v>
      </c>
    </row>
    <row r="960">
      <c r="A960" t="n">
        <v>570014303</v>
      </c>
      <c r="B960" t="inlineStr">
        <is>
          <t>R. Silva Teles, 1167</t>
        </is>
      </c>
      <c r="C960" t="inlineStr">
        <is>
          <t>Ref.: Av Pedroso Da Silveira/ R Siqueira Afonso</t>
        </is>
      </c>
      <c r="D960" s="58" t="n">
        <v>-23.528289</v>
      </c>
      <c r="E960" s="58" t="n">
        <v>-46.608792</v>
      </c>
    </row>
    <row r="961">
      <c r="A961" t="n">
        <v>570014304</v>
      </c>
      <c r="B961" t="inlineStr">
        <is>
          <t>R. Silva Teles, 933</t>
        </is>
      </c>
      <c r="C961" t="inlineStr">
        <is>
          <t>Ref.: R Godoi Preto/ R Cachoeira</t>
        </is>
      </c>
      <c r="D961" s="58" t="n">
        <v>-23.529665</v>
      </c>
      <c r="E961" s="58" t="n">
        <v>-46.610244</v>
      </c>
    </row>
    <row r="962">
      <c r="A962" t="n">
        <v>570014305</v>
      </c>
      <c r="B962" t="inlineStr">
        <is>
          <t>R. Silva Teles, 707</t>
        </is>
      </c>
      <c r="C962" t="inlineStr">
        <is>
          <t>Ref.: R Joao Boemer/ R Rio Bonito</t>
        </is>
      </c>
      <c r="D962" s="58" t="n">
        <v>-23.531303</v>
      </c>
      <c r="E962" s="58" t="n">
        <v>-46.611862</v>
      </c>
    </row>
    <row r="963">
      <c r="A963" t="n">
        <v>570014306</v>
      </c>
      <c r="B963" t="inlineStr">
        <is>
          <t>R. Silva Teles, 489</t>
        </is>
      </c>
      <c r="C963" t="inlineStr">
        <is>
          <t>Ref.: R Bresser/ R Julia Bresser</t>
        </is>
      </c>
      <c r="D963" s="58" t="n">
        <v>-23.532725</v>
      </c>
      <c r="E963" s="58" t="n">
        <v>-46.613323</v>
      </c>
    </row>
    <row r="964">
      <c r="A964" t="n">
        <v>580007517</v>
      </c>
      <c r="B964" t="inlineStr">
        <is>
          <t>Av. Aricanduva, 8734</t>
        </is>
      </c>
      <c r="C964" t="inlineStr">
        <is>
          <t>Ref.: R Porto Das Armadias/ R Pastor Adarcy De Oliveira</t>
        </is>
      </c>
      <c r="D964" s="58" t="n">
        <v>-23.590556</v>
      </c>
      <c r="E964" s="58" t="n">
        <v>-46.477887</v>
      </c>
    </row>
    <row r="965">
      <c r="A965" t="n">
        <v>580007531</v>
      </c>
      <c r="B965" t="inlineStr">
        <is>
          <t>Av. Aricanduva, 12011</t>
        </is>
      </c>
      <c r="C965" t="inlineStr">
        <is>
          <t>Ref.: R Itapirinaia / Estr Da Fazenda Do Carmo</t>
        </is>
      </c>
      <c r="D965" s="58" t="n">
        <v>-23.592422</v>
      </c>
      <c r="E965" s="58" t="n">
        <v>-46.472395</v>
      </c>
    </row>
    <row r="966">
      <c r="A966" t="n">
        <v>580007606</v>
      </c>
      <c r="B966" t="inlineStr">
        <is>
          <t>Av. Aricanduva, 7867</t>
        </is>
      </c>
      <c r="C966" t="inlineStr">
        <is>
          <t>Ref.: Av Afonso De Sampaio E Souza/ Est Da Barroca Funda</t>
        </is>
      </c>
      <c r="D966" s="58" t="n">
        <v>-23.582875</v>
      </c>
      <c r="E966" s="58" t="n">
        <v>-46.489874</v>
      </c>
    </row>
    <row r="967">
      <c r="A967" t="n">
        <v>670013043</v>
      </c>
      <c r="B967" t="inlineStr">
        <is>
          <t>Av. Dq. De Caxias, 394</t>
        </is>
      </c>
      <c r="C967" t="inlineStr">
        <is>
          <t>Ref.: Al Barao De Campinas/ Al Barao De Limeira</t>
        </is>
      </c>
      <c r="D967" s="58" t="n">
        <v>-23.538475</v>
      </c>
      <c r="E967" s="58" t="n">
        <v>-46.645237</v>
      </c>
    </row>
    <row r="968">
      <c r="A968" t="n">
        <v>670014118</v>
      </c>
      <c r="B968" t="inlineStr">
        <is>
          <t>R. Mauá, 66</t>
        </is>
      </c>
      <c r="C968" t="inlineStr">
        <is>
          <t>Ref.: Largo General Osorio/ R Dos Protestantes</t>
        </is>
      </c>
      <c r="D968" s="58" t="n">
        <v>-23.535154</v>
      </c>
      <c r="E968" s="58" t="n">
        <v>-46.638689</v>
      </c>
    </row>
    <row r="969">
      <c r="A969" t="n">
        <v>670016451</v>
      </c>
      <c r="B969" t="inlineStr">
        <is>
          <t>Av. Vinte E Três De Maio</t>
        </is>
      </c>
      <c r="C969" t="inlineStr">
        <is>
          <t>Ref.: Viaduto Dona Paulinia/ Vdto Brigadeiro Luiz Antonio</t>
        </is>
      </c>
      <c r="D969" s="58" t="n">
        <v>-23.552222</v>
      </c>
      <c r="E969" s="58" t="n">
        <v>-46.636898</v>
      </c>
    </row>
    <row r="970">
      <c r="A970" t="n">
        <v>700013961</v>
      </c>
      <c r="B970" t="inlineStr">
        <is>
          <t>Al. Nothmann, 1076</t>
        </is>
      </c>
      <c r="C970" t="inlineStr">
        <is>
          <t>Ref.: R General Julio Marcondes Salgado/ R Vitorino Carmilo</t>
        </is>
      </c>
      <c r="D970" s="58" t="n">
        <v>-23.535457</v>
      </c>
      <c r="E970" s="58" t="n">
        <v>-46.650729</v>
      </c>
    </row>
    <row r="971">
      <c r="A971" t="n">
        <v>700016123</v>
      </c>
      <c r="B971" t="inlineStr">
        <is>
          <t>R. Das Palmeiras, 247</t>
        </is>
      </c>
      <c r="C971" t="inlineStr">
        <is>
          <t>Ref.: Al Glete/ Al Nothmann</t>
        </is>
      </c>
      <c r="D971" s="58" t="n">
        <v>-23.537158</v>
      </c>
      <c r="E971" s="58" t="n">
        <v>-46.651492</v>
      </c>
    </row>
    <row r="972">
      <c r="A972" t="n">
        <v>700016430</v>
      </c>
      <c r="B972" t="inlineStr">
        <is>
          <t>Al. Glete, 1049</t>
        </is>
      </c>
      <c r="C972" t="inlineStr">
        <is>
          <t>Ref.: R Das Palmeiras/ Av Sao Joao</t>
        </is>
      </c>
      <c r="D972" s="58" t="n">
        <v>-23.537484</v>
      </c>
      <c r="E972" s="58" t="n">
        <v>-46.650581</v>
      </c>
    </row>
    <row r="973">
      <c r="A973" t="n">
        <v>700016854</v>
      </c>
      <c r="B973" t="inlineStr">
        <is>
          <t>R. Sebastião Pereira, 245</t>
        </is>
      </c>
      <c r="C973" t="inlineStr">
        <is>
          <t>Ref.: R Barao De Joatinga/ R Ana Cintra</t>
        </is>
      </c>
      <c r="D973" s="58" t="n">
        <v>-23.539418</v>
      </c>
      <c r="E973" s="58" t="n">
        <v>-46.649066</v>
      </c>
    </row>
    <row r="974">
      <c r="A974" t="n">
        <v>700016864</v>
      </c>
      <c r="B974" t="inlineStr">
        <is>
          <t>Av. Dq. De Caxias, 170</t>
        </is>
      </c>
      <c r="C974" t="inlineStr">
        <is>
          <t>Ref.: R Doutor Frederico Steidel/ Av Sao Joao</t>
        </is>
      </c>
      <c r="D974" s="58" t="n">
        <v>-23.54041</v>
      </c>
      <c r="E974" s="58" t="n">
        <v>-46.646322</v>
      </c>
    </row>
    <row r="975">
      <c r="A975" t="n">
        <v>710000635</v>
      </c>
      <c r="B975" t="inlineStr">
        <is>
          <t>Parada 2</t>
        </is>
      </c>
      <c r="C975" t="inlineStr">
        <is>
          <t>Av. Cruzeiro Do Sul, 3200 Ref.: R Leite De Morais/ R Doutor Gabriel Piza</t>
        </is>
      </c>
      <c r="D975" s="58" t="n">
        <v>-23.50225</v>
      </c>
      <c r="E975" s="58" t="n">
        <v>-46.624476</v>
      </c>
    </row>
    <row r="976">
      <c r="A976" t="n">
        <v>710000636</v>
      </c>
      <c r="B976" t="inlineStr">
        <is>
          <t>Parada 1</t>
        </is>
      </c>
      <c r="C976" t="inlineStr">
        <is>
          <t>Av. Cruzeiro Do Sul, 3201 Ref.: R Doutor Gabriel Piza/ R Leite De Morais</t>
        </is>
      </c>
      <c r="D976" s="58" t="n">
        <v>-23.502511</v>
      </c>
      <c r="E976" s="58" t="n">
        <v>-46.624921</v>
      </c>
    </row>
    <row r="977">
      <c r="A977" t="n">
        <v>710000637</v>
      </c>
      <c r="B977" t="inlineStr">
        <is>
          <t>R. Leite De Morais</t>
        </is>
      </c>
      <c r="C977" t="inlineStr">
        <is>
          <t>R. Leite De Morais Ref.: Av Cruzeiro Do Sul/ R Ezequiel Freire</t>
        </is>
      </c>
      <c r="D977" s="58" t="n">
        <v>-23.503152</v>
      </c>
      <c r="E977" s="58" t="n">
        <v>-46.623698</v>
      </c>
    </row>
    <row r="978">
      <c r="A978" t="n">
        <v>710000646</v>
      </c>
      <c r="B978" t="inlineStr">
        <is>
          <t>R. Olavo Egídio, 62</t>
        </is>
      </c>
      <c r="C978" t="inlineStr">
        <is>
          <t>Ref.: R Conselheiro Saraiva/ R Doutor Olavo Egidio</t>
        </is>
      </c>
      <c r="D978" s="58" t="n">
        <v>-23.499859</v>
      </c>
      <c r="E978" s="58" t="n">
        <v>-46.625196</v>
      </c>
    </row>
    <row r="979">
      <c r="A979" t="n">
        <v>710000651</v>
      </c>
      <c r="B979" t="inlineStr">
        <is>
          <t>R. Voluntários Da Pátria, 1658</t>
        </is>
      </c>
      <c r="C979" t="inlineStr">
        <is>
          <t>Ref.: R Alfredo Guedes/r Alferes Magalhaes</t>
        </is>
      </c>
      <c r="D979" s="58" t="n">
        <v>-23.505411</v>
      </c>
      <c r="E979" s="58" t="n">
        <v>-46.62622</v>
      </c>
    </row>
    <row r="980">
      <c r="A980" t="n">
        <v>710000653</v>
      </c>
      <c r="B980" t="inlineStr">
        <is>
          <t>Av. Cruzeiro Do Sul, 2762</t>
        </is>
      </c>
      <c r="C980" t="inlineStr">
        <is>
          <t>Ref.: R Alfredo Guedes/ Av General Ataliba Leonel</t>
        </is>
      </c>
      <c r="D980" s="58" t="n">
        <v>-23.506563</v>
      </c>
      <c r="E980" s="58" t="n">
        <v>-46.624676</v>
      </c>
    </row>
    <row r="981">
      <c r="A981" t="n">
        <v>710000954</v>
      </c>
      <c r="B981" t="inlineStr">
        <is>
          <t>Av. Cruzeiro Do Sul, 1741</t>
        </is>
      </c>
      <c r="C981" t="inlineStr">
        <is>
          <t>Ref.: R Mal. Odylio Dennys/ Tvp Profa Lindya Clemente</t>
        </is>
      </c>
      <c r="D981" s="58" t="n">
        <v>-23.516007</v>
      </c>
      <c r="E981" s="58" t="n">
        <v>-46.62536</v>
      </c>
    </row>
    <row r="982">
      <c r="A982" t="n">
        <v>710000958</v>
      </c>
      <c r="B982" t="inlineStr">
        <is>
          <t>R. Voluntários Da Pátria, 1332</t>
        </is>
      </c>
      <c r="C982" t="inlineStr">
        <is>
          <t>Ref.: R Forca Publica/ Av Gen. Ataliba Leonel</t>
        </is>
      </c>
      <c r="D982" s="58" t="n">
        <v>-23.508752</v>
      </c>
      <c r="E982" s="58" t="n">
        <v>-46.626145</v>
      </c>
    </row>
    <row r="983">
      <c r="A983" t="n">
        <v>710000959</v>
      </c>
      <c r="B983" t="inlineStr">
        <is>
          <t>R. Voluntários Da Pátria, 1166</t>
        </is>
      </c>
      <c r="C983" t="inlineStr">
        <is>
          <t>Ref.: R Paulo Setubal/ R Forca Publica</t>
        </is>
      </c>
      <c r="D983" s="58" t="n">
        <v>-23.510225</v>
      </c>
      <c r="E983" s="58" t="n">
        <v>-46.626113</v>
      </c>
    </row>
    <row r="984">
      <c r="A984" t="n">
        <v>710000966</v>
      </c>
      <c r="B984" t="inlineStr">
        <is>
          <t>R. Paineira Do Campo, 45</t>
        </is>
      </c>
      <c r="C984" t="inlineStr">
        <is>
          <t>Ref.: R Voluntarios Da Patria/ Pc Campo De Bagatelle</t>
        </is>
      </c>
      <c r="D984" s="58" t="n">
        <v>-23.513173</v>
      </c>
      <c r="E984" s="58" t="n">
        <v>-46.626863</v>
      </c>
    </row>
    <row r="985">
      <c r="A985" t="n">
        <v>710000969</v>
      </c>
      <c r="B985" t="inlineStr">
        <is>
          <t>Av. Cruzeiro Do Sul, 2463</t>
        </is>
      </c>
      <c r="C985" t="inlineStr">
        <is>
          <t>Ref.: R Forca Publica/ Av Gen. Ataliba Leonel</t>
        </is>
      </c>
      <c r="D985" s="58" t="n">
        <v>-23.509213</v>
      </c>
      <c r="E985" s="58" t="n">
        <v>-46.625087</v>
      </c>
    </row>
    <row r="986">
      <c r="A986" t="n">
        <v>710000972</v>
      </c>
      <c r="B986" t="inlineStr">
        <is>
          <t>Av. Cruzeiro Do Sul, 2424</t>
        </is>
      </c>
      <c r="C986" t="inlineStr">
        <is>
          <t>Ref.: R Manoel Dos Santos Netto/ Av Gen. Ataliba Leonel</t>
        </is>
      </c>
      <c r="D986" s="58" t="n">
        <v>-23.509648</v>
      </c>
      <c r="E986" s="58" t="n">
        <v>-46.624735</v>
      </c>
    </row>
    <row r="987">
      <c r="A987" t="n">
        <v>710001702</v>
      </c>
      <c r="B987" t="inlineStr">
        <is>
          <t>R. Voluntários Da Pátria, 4280</t>
        </is>
      </c>
      <c r="C987" t="inlineStr">
        <is>
          <t>Ref.: R Sta Rita De Cassia/ Av Eng. Caetano Alvares</t>
        </is>
      </c>
      <c r="D987" s="58" t="n">
        <v>-23.483811</v>
      </c>
      <c r="E987" s="58" t="n">
        <v>-46.630994</v>
      </c>
    </row>
    <row r="988">
      <c r="A988" t="n">
        <v>710001703</v>
      </c>
      <c r="B988" t="inlineStr">
        <is>
          <t>R. Voluntários Da Pátria, 4075</t>
        </is>
      </c>
      <c r="C988" t="inlineStr">
        <is>
          <t>Ref.: R Sta Rita De Cassia/ R Dr. Luis Lustosa Da Silva</t>
        </is>
      </c>
      <c r="D988" s="58" t="n">
        <v>-23.485295</v>
      </c>
      <c r="E988" s="58" t="n">
        <v>-46.62914</v>
      </c>
    </row>
    <row r="989">
      <c r="A989" t="n">
        <v>710001704</v>
      </c>
      <c r="B989" t="inlineStr">
        <is>
          <t>R. Voluntários Da Pátria, 3958</t>
        </is>
      </c>
      <c r="C989" t="inlineStr">
        <is>
          <t>Ref.: R Lucia Goulart Cerqueira/ R Dr. Luis Lustosa Da Silva</t>
        </is>
      </c>
      <c r="D989" s="58" t="n">
        <v>-23.485945</v>
      </c>
      <c r="E989" s="58" t="n">
        <v>-46.628223</v>
      </c>
    </row>
    <row r="990">
      <c r="A990" t="n">
        <v>710001705</v>
      </c>
      <c r="B990" t="inlineStr">
        <is>
          <t>R. Voluntários Da Pátria, 3744</t>
        </is>
      </c>
      <c r="C990" t="inlineStr">
        <is>
          <t>Ref.: R Lucia Goulart Cerqueira/ R Dr. Luis Lustosa Da Silva</t>
        </is>
      </c>
      <c r="D990" s="58" t="n">
        <v>-23.487151</v>
      </c>
      <c r="E990" s="58" t="n">
        <v>-46.626798</v>
      </c>
    </row>
    <row r="991">
      <c r="A991" t="n">
        <v>710001706</v>
      </c>
      <c r="B991" t="inlineStr">
        <is>
          <t>R. Voluntários Da Pátria, 3566</t>
        </is>
      </c>
      <c r="C991" t="inlineStr">
        <is>
          <t>Ref.: R Dr. Guilherme Cristofel/ R Tome Ferreira</t>
        </is>
      </c>
      <c r="D991" s="58" t="n">
        <v>-23.48895</v>
      </c>
      <c r="E991" s="58" t="n">
        <v>-46.626352</v>
      </c>
    </row>
    <row r="992">
      <c r="A992" t="n">
        <v>710001707</v>
      </c>
      <c r="B992" t="inlineStr">
        <is>
          <t>R. Voluntários Da Pátria, 3401</t>
        </is>
      </c>
      <c r="C992" t="inlineStr">
        <is>
          <t>Ref.: R Manoel De Soveral/ R Antonio Pereira De Sousa</t>
        </is>
      </c>
      <c r="D992" s="58" t="n">
        <v>-23.490338</v>
      </c>
      <c r="E992" s="58" t="n">
        <v>-46.626183</v>
      </c>
    </row>
    <row r="993">
      <c r="A993" t="n">
        <v>710001708</v>
      </c>
      <c r="B993" t="inlineStr">
        <is>
          <t>R. Voluntários Da Pátria, 3458</t>
        </is>
      </c>
      <c r="C993" t="inlineStr">
        <is>
          <t>Ref.: R Antonio Pereira De Sousa/ R Manoel De Soveral</t>
        </is>
      </c>
      <c r="D993" s="58" t="n">
        <v>-23.489761</v>
      </c>
      <c r="E993" s="58" t="n">
        <v>-46.62622</v>
      </c>
    </row>
    <row r="994">
      <c r="A994" t="n">
        <v>710002155</v>
      </c>
      <c r="B994" t="inlineStr">
        <is>
          <t>R. Voluntários Da Pátria, 3147</t>
        </is>
      </c>
      <c r="C994" t="inlineStr">
        <is>
          <t>Ref.: R Voluntarios Da Patria/ R Ana Benvinda De Andrade</t>
        </is>
      </c>
      <c r="D994" s="58" t="n">
        <v>-23.492514</v>
      </c>
      <c r="E994" s="58" t="n">
        <v>-46.626107</v>
      </c>
    </row>
    <row r="995">
      <c r="A995" t="n">
        <v>710002156</v>
      </c>
      <c r="B995" t="inlineStr">
        <is>
          <t>R. Voluntários Da Pátria, 3158</t>
        </is>
      </c>
      <c r="C995" t="inlineStr">
        <is>
          <t>Ref.: R Ana Benvinda De Andrade/ R Dr. Artur Guimaraes</t>
        </is>
      </c>
      <c r="D995" s="58" t="n">
        <v>-23.492479</v>
      </c>
      <c r="E995" s="58" t="n">
        <v>-46.625986</v>
      </c>
    </row>
    <row r="996">
      <c r="A996" t="n">
        <v>710002157</v>
      </c>
      <c r="B996" t="inlineStr">
        <is>
          <t>R. Paulo Gonçalves, 89</t>
        </is>
      </c>
      <c r="C996" t="inlineStr">
        <is>
          <t>Ref.: R Francisco Baruel/ R Estefania Mendes Pereira</t>
        </is>
      </c>
      <c r="D996" s="58" t="n">
        <v>-23.496183</v>
      </c>
      <c r="E996" s="58" t="n">
        <v>-46.627756</v>
      </c>
    </row>
    <row r="997">
      <c r="A997" t="n">
        <v>710002158</v>
      </c>
      <c r="B997" t="inlineStr">
        <is>
          <t>R. Paulo Gonçalves, 88</t>
        </is>
      </c>
      <c r="C997" t="inlineStr">
        <is>
          <t>Ref.: R Estefania Mendes Pereira/ R Francisco Baruel</t>
        </is>
      </c>
      <c r="D997" s="58" t="n">
        <v>-23.496111</v>
      </c>
      <c r="E997" s="58" t="n">
        <v>-46.627651</v>
      </c>
    </row>
    <row r="998">
      <c r="A998" t="n">
        <v>710002302</v>
      </c>
      <c r="B998" t="inlineStr">
        <is>
          <t>R. Cons. Saraiva, 189</t>
        </is>
      </c>
      <c r="C998" t="inlineStr">
        <is>
          <t>Ref.: R Voluntarios Da Patria/ Av Cruzeiro Do Sul</t>
        </is>
      </c>
      <c r="D998" s="58" t="n">
        <v>-23.499019</v>
      </c>
      <c r="E998" s="58" t="n">
        <v>-46.62512</v>
      </c>
    </row>
    <row r="999">
      <c r="A999" t="n">
        <v>710017208</v>
      </c>
      <c r="B999" t="inlineStr">
        <is>
          <t>Av. Cruzeiro Do Sul, 2092</t>
        </is>
      </c>
      <c r="C999" t="inlineStr">
        <is>
          <t>Ref.: R Gabriel Prestes/ R Cel. Antonio De Carvalho</t>
        </is>
      </c>
      <c r="D999" s="58" t="n">
        <v>-23.512707</v>
      </c>
      <c r="E999" s="58" t="n">
        <v>-46.624814</v>
      </c>
    </row>
    <row r="1000">
      <c r="A1000" t="n">
        <v>710017212</v>
      </c>
      <c r="B1000" t="inlineStr">
        <is>
          <t>Av. Cruzeiro Do Sul, 2195</t>
        </is>
      </c>
      <c r="C1000" t="inlineStr">
        <is>
          <t>Ref.: R Sta Eulalia/ R Gabriel Prestes</t>
        </is>
      </c>
      <c r="D1000" s="58" t="n">
        <v>-23.511995</v>
      </c>
      <c r="E1000" s="58" t="n">
        <v>-46.62519</v>
      </c>
    </row>
    <row r="1001">
      <c r="A1001" t="n">
        <v>710017213</v>
      </c>
      <c r="B1001" t="inlineStr">
        <is>
          <t>Av. Cruzeiro Do Sul, 1877</t>
        </is>
      </c>
      <c r="C1001" t="inlineStr">
        <is>
          <t>Ref.: R Cerqueira Leite/r Pe. Ildefonso</t>
        </is>
      </c>
      <c r="D1001" s="58" t="n">
        <v>-23.51403</v>
      </c>
      <c r="E1001" s="58" t="n">
        <v>-46.625298</v>
      </c>
    </row>
    <row r="1002">
      <c r="A1002" t="n">
        <v>710017220</v>
      </c>
      <c r="B1002" t="inlineStr">
        <is>
          <t>Pça. Miguel Delgado, 138</t>
        </is>
      </c>
      <c r="C1002" t="inlineStr">
        <is>
          <t>Ref.: Pc Miguel Delgado/ R Cel. Arbues</t>
        </is>
      </c>
      <c r="D1002" s="58" t="n">
        <v>-23.494275</v>
      </c>
      <c r="E1002" s="58" t="n">
        <v>-46.627261</v>
      </c>
    </row>
    <row r="1003">
      <c r="A1003" t="n">
        <v>710017221</v>
      </c>
      <c r="B1003" t="inlineStr">
        <is>
          <t>R. Francisca Júlia, 28</t>
        </is>
      </c>
      <c r="C1003" t="inlineStr">
        <is>
          <t>Ref.: R Cel. Arbues/r Voluntarios Da Patria</t>
        </is>
      </c>
      <c r="D1003" s="58" t="n">
        <v>-23.494545</v>
      </c>
      <c r="E1003" s="58" t="n">
        <v>-46.626546</v>
      </c>
    </row>
    <row r="1004">
      <c r="A1004" t="n">
        <v>740006387</v>
      </c>
      <c r="B1004" t="inlineStr">
        <is>
          <t>Av. Do Oratório, 3466</t>
        </is>
      </c>
      <c r="C1004" t="inlineStr">
        <is>
          <t>Ref.: R Vitoria Do Mearim/ R Antonio Marques Juliao</t>
        </is>
      </c>
      <c r="D1004" s="58" t="n">
        <v>-23.598413</v>
      </c>
      <c r="E1004" s="58" t="n">
        <v>-46.538982</v>
      </c>
    </row>
    <row r="1005">
      <c r="A1005" t="n">
        <v>740006388</v>
      </c>
      <c r="B1005" t="inlineStr">
        <is>
          <t>Av. Do Oratório, 3331</t>
        </is>
      </c>
      <c r="C1005" t="inlineStr">
        <is>
          <t>Ref.: R General Roque Da Silva Palmeiro/ R Miguel Desiato</t>
        </is>
      </c>
      <c r="D1005" s="58" t="n">
        <v>-23.597858</v>
      </c>
      <c r="E1005" s="58" t="n">
        <v>-46.540386</v>
      </c>
    </row>
    <row r="1006">
      <c r="A1006" t="n">
        <v>740006389</v>
      </c>
      <c r="B1006" t="inlineStr">
        <is>
          <t>Av. Do Oratório, 3083</t>
        </is>
      </c>
      <c r="C1006" t="inlineStr">
        <is>
          <t>Ref.: R Doutor Silvio Noronha/ R Carlos Cesar</t>
        </is>
      </c>
      <c r="D1006" s="58" t="n">
        <v>-23.596581</v>
      </c>
      <c r="E1006" s="58" t="n">
        <v>-46.541908</v>
      </c>
    </row>
    <row r="1007">
      <c r="A1007" t="n">
        <v>740006390</v>
      </c>
      <c r="B1007" t="inlineStr">
        <is>
          <t>Av. Do Oratório, 3016</t>
        </is>
      </c>
      <c r="C1007" t="inlineStr">
        <is>
          <t>Ref.: R Maesto Furio Franceschini/ R Barlavento</t>
        </is>
      </c>
      <c r="D1007" s="58" t="n">
        <v>-23.596304</v>
      </c>
      <c r="E1007" s="58" t="n">
        <v>-46.542526</v>
      </c>
    </row>
    <row r="1008">
      <c r="A1008" t="n">
        <v>740006395</v>
      </c>
      <c r="B1008" t="inlineStr">
        <is>
          <t>Av. Do Oratório, 2358</t>
        </is>
      </c>
      <c r="C1008" t="inlineStr">
        <is>
          <t>Ref.: Av Sao Lucas/ R David Barione</t>
        </is>
      </c>
      <c r="D1008" s="58" t="n">
        <v>-23.592739</v>
      </c>
      <c r="E1008" s="58" t="n">
        <v>-46.546898</v>
      </c>
    </row>
    <row r="1009">
      <c r="A1009" t="n">
        <v>740006396</v>
      </c>
      <c r="B1009" t="inlineStr">
        <is>
          <t>Av. Do Oratório</t>
        </is>
      </c>
      <c r="C1009" t="inlineStr">
        <is>
          <t>Ref.: Av Sao Lucas/ R David Barione</t>
        </is>
      </c>
      <c r="D1009" s="58" t="n">
        <v>-23.592247</v>
      </c>
      <c r="E1009" s="58" t="n">
        <v>-46.547264</v>
      </c>
    </row>
    <row r="1010">
      <c r="A1010" t="n">
        <v>740006398</v>
      </c>
      <c r="B1010" t="inlineStr">
        <is>
          <t>Av. Do Oratório, 2022</t>
        </is>
      </c>
      <c r="C1010" t="inlineStr">
        <is>
          <t>Ref.: R Doutor Arnaldo Barbosa/ R Professor Maximo De Moura Santos</t>
        </is>
      </c>
      <c r="D1010" s="58" t="n">
        <v>-23.591593</v>
      </c>
      <c r="E1010" s="58" t="n">
        <v>-46.549591</v>
      </c>
    </row>
    <row r="1011">
      <c r="A1011" t="n">
        <v>740006399</v>
      </c>
      <c r="B1011" t="inlineStr">
        <is>
          <t>Av. Do Oratório, 1997</t>
        </is>
      </c>
      <c r="C1011" t="inlineStr">
        <is>
          <t>Ref.: R Coronel Jose Da Silva Neto/ R Professor Lelis Vilas Boas</t>
        </is>
      </c>
      <c r="D1011" s="58" t="n">
        <v>-23.591309</v>
      </c>
      <c r="E1011" s="58" t="n">
        <v>-46.550262</v>
      </c>
    </row>
    <row r="1012">
      <c r="A1012" t="n">
        <v>740006400</v>
      </c>
      <c r="B1012" t="inlineStr">
        <is>
          <t>Av. Do Oratório, 1661</t>
        </is>
      </c>
      <c r="C1012" t="inlineStr">
        <is>
          <t>Ref.: R Bartolomeu Correa Bueno/ R Lupe Cotrim Garaude</t>
        </is>
      </c>
      <c r="D1012" s="58" t="n">
        <v>-23.589857</v>
      </c>
      <c r="E1012" s="58" t="n">
        <v>-46.552551</v>
      </c>
    </row>
    <row r="1013">
      <c r="A1013" t="n">
        <v>740006410</v>
      </c>
      <c r="B1013" t="inlineStr">
        <is>
          <t>R. Suzana, 1259</t>
        </is>
      </c>
      <c r="C1013" t="inlineStr">
        <is>
          <t>Ref.: R Marcelo Muller/ Av Alberto Ramos</t>
        </is>
      </c>
      <c r="D1013" s="58" t="n">
        <v>-23.583422</v>
      </c>
      <c r="E1013" s="58" t="n">
        <v>-46.56345</v>
      </c>
    </row>
    <row r="1014">
      <c r="A1014" t="n">
        <v>740006411</v>
      </c>
      <c r="B1014" t="inlineStr">
        <is>
          <t>R. Suzana, 1112</t>
        </is>
      </c>
      <c r="C1014" t="inlineStr">
        <is>
          <t>Ref.: R Sao Joao Do Sabugi/ R Marcelo Muller</t>
        </is>
      </c>
      <c r="D1014" s="58" t="n">
        <v>-23.584595</v>
      </c>
      <c r="E1014" s="58" t="n">
        <v>-46.564362</v>
      </c>
    </row>
    <row r="1015">
      <c r="A1015" t="n">
        <v>740006412</v>
      </c>
      <c r="B1015" t="inlineStr">
        <is>
          <t>R. Suzana, 778</t>
        </is>
      </c>
      <c r="C1015" t="inlineStr">
        <is>
          <t>Ref.: R Sao Jose Da Tapera/ R Sales</t>
        </is>
      </c>
      <c r="D1015" s="58" t="n">
        <v>-23.587395</v>
      </c>
      <c r="E1015" s="58" t="n">
        <v>-46.563259</v>
      </c>
    </row>
    <row r="1016">
      <c r="A1016" t="n">
        <v>740006413</v>
      </c>
      <c r="B1016" t="inlineStr">
        <is>
          <t>R. Suzana, 748</t>
        </is>
      </c>
      <c r="C1016" t="inlineStr">
        <is>
          <t>Ref.: R Sao Jose Da Tapera/ R Sales</t>
        </is>
      </c>
      <c r="D1016" s="58" t="n">
        <v>-23.587673</v>
      </c>
      <c r="E1016" s="58" t="n">
        <v>-46.562923</v>
      </c>
    </row>
    <row r="1017">
      <c r="A1017" t="n">
        <v>740006414</v>
      </c>
      <c r="B1017" t="inlineStr">
        <is>
          <t>R. Suzana, 478</t>
        </is>
      </c>
      <c r="C1017" t="inlineStr">
        <is>
          <t>Ref.: R Alexandre Gutierrez/ R Sao Jose Da Tapera</t>
        </is>
      </c>
      <c r="D1017" s="58" t="n">
        <v>-23.589537</v>
      </c>
      <c r="E1017" s="58" t="n">
        <v>-46.561378</v>
      </c>
    </row>
    <row r="1018">
      <c r="A1018" t="n">
        <v>740006415</v>
      </c>
      <c r="B1018" t="inlineStr">
        <is>
          <t>R. Suzana, 423</t>
        </is>
      </c>
      <c r="C1018" t="inlineStr">
        <is>
          <t>Ref.: R Sideropolis/ R Edgard Da Mata Machado</t>
        </is>
      </c>
      <c r="D1018" s="58" t="n">
        <v>-23.589996</v>
      </c>
      <c r="E1018" s="58" t="n">
        <v>-46.561089</v>
      </c>
    </row>
    <row r="1019">
      <c r="A1019" t="n">
        <v>740006416</v>
      </c>
      <c r="B1019" t="inlineStr">
        <is>
          <t>R. Suzana, 223</t>
        </is>
      </c>
      <c r="C1019" t="inlineStr">
        <is>
          <t>Ref.: R Betume/ R Gama Barros</t>
        </is>
      </c>
      <c r="D1019" s="58" t="n">
        <v>-23.591472</v>
      </c>
      <c r="E1019" s="58" t="n">
        <v>-46.559872</v>
      </c>
    </row>
    <row r="1020">
      <c r="A1020" t="n">
        <v>740006417</v>
      </c>
      <c r="B1020" t="inlineStr">
        <is>
          <t>R. Suzana, 206</t>
        </is>
      </c>
      <c r="C1020" t="inlineStr">
        <is>
          <t>Ref.: R Betume/ R Gama Barros</t>
        </is>
      </c>
      <c r="D1020" s="58" t="n">
        <v>-23.591585</v>
      </c>
      <c r="E1020" s="58" t="n">
        <v>-46.559708</v>
      </c>
    </row>
    <row r="1021">
      <c r="A1021" t="n">
        <v>740006419</v>
      </c>
      <c r="B1021" t="inlineStr">
        <is>
          <t>R. Dario Meira, 52</t>
        </is>
      </c>
      <c r="C1021" t="inlineStr">
        <is>
          <t>Ref.: Rua Ipuiuna</t>
        </is>
      </c>
      <c r="D1021" s="58" t="n">
        <v>-23.593626</v>
      </c>
      <c r="E1021" s="58" t="n">
        <v>-46.557762</v>
      </c>
    </row>
    <row r="1022">
      <c r="A1022" t="n">
        <v>740006420</v>
      </c>
      <c r="B1022" t="inlineStr">
        <is>
          <t>R. Orlando Calixto, 607</t>
        </is>
      </c>
      <c r="C1022" t="inlineStr">
        <is>
          <t>Ref.: R Secundino Domingues/ R Marcelo Muller</t>
        </is>
      </c>
      <c r="D1022" s="58" t="n">
        <v>-23.594067</v>
      </c>
      <c r="E1022" s="58" t="n">
        <v>-46.555099</v>
      </c>
    </row>
    <row r="1023">
      <c r="A1023" t="n">
        <v>740006489</v>
      </c>
      <c r="B1023" t="inlineStr">
        <is>
          <t>R. Antônio Marques Julião, 72</t>
        </is>
      </c>
      <c r="C1023" t="inlineStr">
        <is>
          <t>Ref.: R Manduruva/ Av Do Oratorio</t>
        </is>
      </c>
      <c r="D1023" s="58" t="n">
        <v>-23.599138</v>
      </c>
      <c r="E1023" s="58" t="n">
        <v>-46.538795</v>
      </c>
    </row>
    <row r="1024">
      <c r="A1024" t="n">
        <v>740006490</v>
      </c>
      <c r="B1024" t="inlineStr">
        <is>
          <t>R. Antônio Marques Julião, 121</t>
        </is>
      </c>
      <c r="C1024" t="inlineStr">
        <is>
          <t>Ref.: R Erva Imperial/ R Manduruva</t>
        </is>
      </c>
      <c r="D1024" s="58" t="n">
        <v>-23.599609</v>
      </c>
      <c r="E1024" s="58" t="n">
        <v>-46.539001</v>
      </c>
    </row>
    <row r="1025">
      <c r="A1025" t="n">
        <v>740006491</v>
      </c>
      <c r="B1025" t="inlineStr">
        <is>
          <t>R. Antônio Marques Julião, 262</t>
        </is>
      </c>
      <c r="C1025" t="inlineStr">
        <is>
          <t>Ref.: Praça Sonia Aparecida De Lima</t>
        </is>
      </c>
      <c r="D1025" s="58" t="n">
        <v>-23.600863</v>
      </c>
      <c r="E1025" s="58" t="n">
        <v>-46.539299</v>
      </c>
    </row>
    <row r="1026">
      <c r="A1026" t="n">
        <v>740006492</v>
      </c>
      <c r="B1026" t="inlineStr">
        <is>
          <t>R. Antônio Marques Julião, 258</t>
        </is>
      </c>
      <c r="C1026" t="inlineStr">
        <is>
          <t>Ref.: Praça Sonia Aparecida De Lima</t>
        </is>
      </c>
      <c r="D1026" s="58" t="n">
        <v>-23.601097</v>
      </c>
      <c r="E1026" s="58" t="n">
        <v>-46.539573</v>
      </c>
    </row>
    <row r="1027">
      <c r="A1027" t="n">
        <v>740006493</v>
      </c>
      <c r="B1027" t="inlineStr">
        <is>
          <t>R. Balata, 35</t>
        </is>
      </c>
      <c r="C1027" t="inlineStr">
        <is>
          <t>R. Balata, 35 Ref.: R Antonio Marques Juliao/ R Caopia</t>
        </is>
      </c>
      <c r="D1027" s="58" t="n">
        <v>-23.601643</v>
      </c>
      <c r="E1027" s="58" t="n">
        <v>-46.539501</v>
      </c>
    </row>
    <row r="1028">
      <c r="A1028" t="n">
        <v>740006514</v>
      </c>
      <c r="B1028" t="inlineStr">
        <is>
          <t>Av. Brumado De Minas, 270</t>
        </is>
      </c>
      <c r="C1028" t="inlineStr">
        <is>
          <t>Ref.: R Ipuiuna/ R Jose Jeraissati</t>
        </is>
      </c>
      <c r="D1028" s="58" t="n">
        <v>-23.593412</v>
      </c>
      <c r="E1028" s="58" t="n">
        <v>-46.559258</v>
      </c>
    </row>
    <row r="1029">
      <c r="A1029" t="n">
        <v>740006518</v>
      </c>
      <c r="B1029" t="inlineStr">
        <is>
          <t>R. Artia, 322</t>
        </is>
      </c>
      <c r="C1029" t="inlineStr">
        <is>
          <t>Ref.: Rua Secundino Domingues</t>
        </is>
      </c>
      <c r="D1029" s="58" t="n">
        <v>-23.59211</v>
      </c>
      <c r="E1029" s="58" t="n">
        <v>-46.556931</v>
      </c>
    </row>
    <row r="1030">
      <c r="A1030" t="n">
        <v>740006519</v>
      </c>
      <c r="B1030" t="inlineStr">
        <is>
          <t>R. Orlando Calixto, 128</t>
        </is>
      </c>
      <c r="C1030" t="inlineStr">
        <is>
          <t>Ref.: R Urucurituba/ Av Do Oratorio</t>
        </is>
      </c>
      <c r="D1030" s="58" t="n">
        <v>-23.590025</v>
      </c>
      <c r="E1030" s="58" t="n">
        <v>-46.554176</v>
      </c>
    </row>
    <row r="1031">
      <c r="A1031" t="n">
        <v>740006520</v>
      </c>
      <c r="B1031" t="inlineStr">
        <is>
          <t>R. Orlando Calixto, 427</t>
        </is>
      </c>
      <c r="C1031" t="inlineStr">
        <is>
          <t>Ref.: R Atuba/ R Urucurituba</t>
        </is>
      </c>
      <c r="D1031" s="58" t="n">
        <v>-23.592756</v>
      </c>
      <c r="E1031" s="58" t="n">
        <v>-46.554363</v>
      </c>
    </row>
    <row r="1032">
      <c r="A1032" t="n">
        <v>740006522</v>
      </c>
      <c r="B1032" t="inlineStr">
        <is>
          <t>R. Pe. Pedro Rota, 365</t>
        </is>
      </c>
      <c r="C1032" t="inlineStr">
        <is>
          <t>Ref.: R Professor Aldebar De Castro/ R Doutor Miguel Bombarda</t>
        </is>
      </c>
      <c r="D1032" s="58" t="n">
        <v>-23.59371</v>
      </c>
      <c r="E1032" s="58" t="n">
        <v>-46.552765</v>
      </c>
    </row>
    <row r="1033">
      <c r="A1033" t="n">
        <v>740006523</v>
      </c>
      <c r="B1033" t="inlineStr">
        <is>
          <t>R. Pe. Pedro Rota, 21</t>
        </is>
      </c>
      <c r="C1033" t="inlineStr">
        <is>
          <t>Ref.: R Visconde De Saboia/ Av Do Oratorio</t>
        </is>
      </c>
      <c r="D1033" s="58" t="n">
        <v>-23.591463</v>
      </c>
      <c r="E1033" s="58" t="n">
        <v>-46.550793</v>
      </c>
    </row>
    <row r="1034">
      <c r="A1034" t="n">
        <v>740006525</v>
      </c>
      <c r="B1034" t="inlineStr">
        <is>
          <t>R. Herwis, 863</t>
        </is>
      </c>
      <c r="C1034" t="inlineStr">
        <is>
          <t>Ref.: R Atilio Santucci/ R Barros Sobrinho</t>
        </is>
      </c>
      <c r="D1034" s="58" t="n">
        <v>-23.587135</v>
      </c>
      <c r="E1034" s="58" t="n">
        <v>-46.543087</v>
      </c>
    </row>
    <row r="1035">
      <c r="A1035" t="n">
        <v>740006526</v>
      </c>
      <c r="B1035" t="inlineStr">
        <is>
          <t>R. Solidônio Leite, 2613</t>
        </is>
      </c>
      <c r="C1035" t="inlineStr">
        <is>
          <t>Ref.: Pc Virgilio Lucio/ R Helio Tomas</t>
        </is>
      </c>
      <c r="D1035" s="58" t="n">
        <v>-23.58696</v>
      </c>
      <c r="E1035" s="58" t="n">
        <v>-46.533993</v>
      </c>
    </row>
    <row r="1036">
      <c r="A1036" t="n">
        <v>740006528</v>
      </c>
      <c r="B1036" t="inlineStr">
        <is>
          <t>R. Solidônio Leite, 2232</t>
        </is>
      </c>
      <c r="C1036" t="inlineStr">
        <is>
          <t>Ref.: R Anhumas/ R Edmundo Juventino Fuentes</t>
        </is>
      </c>
      <c r="D1036" s="58" t="n">
        <v>-23.585682</v>
      </c>
      <c r="E1036" s="58" t="n">
        <v>-46.537422</v>
      </c>
    </row>
    <row r="1037">
      <c r="A1037" t="n">
        <v>740006529</v>
      </c>
      <c r="B1037" t="inlineStr">
        <is>
          <t>R. Solidônio Leite, 2081</t>
        </is>
      </c>
      <c r="C1037" t="inlineStr">
        <is>
          <t>Ref.: R Jamaxi/ R Padre Marcel Cutsem</t>
        </is>
      </c>
      <c r="D1037" s="58" t="n">
        <v>-23.585022</v>
      </c>
      <c r="E1037" s="58" t="n">
        <v>-46.538876</v>
      </c>
    </row>
    <row r="1038">
      <c r="A1038" t="n">
        <v>740006530</v>
      </c>
      <c r="B1038" t="inlineStr">
        <is>
          <t>R. Solidônio Leite, 2044</t>
        </is>
      </c>
      <c r="C1038" t="inlineStr">
        <is>
          <t>Ref.: R Jamaxi/ R Padre Marcel Cutsem</t>
        </is>
      </c>
      <c r="D1038" s="58" t="n">
        <v>-23.584944</v>
      </c>
      <c r="E1038" s="58" t="n">
        <v>-46.539181</v>
      </c>
    </row>
    <row r="1039">
      <c r="A1039" t="n">
        <v>740006531</v>
      </c>
      <c r="B1039" t="inlineStr">
        <is>
          <t>R. Solidônio Leite, 1835</t>
        </is>
      </c>
      <c r="C1039" t="inlineStr">
        <is>
          <t>Ref.: R Silvio Brant Correia/ R Herwis</t>
        </is>
      </c>
      <c r="D1039" s="58" t="n">
        <v>-23.584156</v>
      </c>
      <c r="E1039" s="58" t="n">
        <v>-46.541084</v>
      </c>
    </row>
    <row r="1040">
      <c r="A1040" t="n">
        <v>740006532</v>
      </c>
      <c r="B1040" t="inlineStr">
        <is>
          <t>R. Solidônio Leite, 1800</t>
        </is>
      </c>
      <c r="C1040" t="inlineStr">
        <is>
          <t>Ref.: R Silvio Brant Correia/ R Herwis</t>
        </is>
      </c>
      <c r="D1040" s="58" t="n">
        <v>-23.58411</v>
      </c>
      <c r="E1040" s="58" t="n">
        <v>-46.541382</v>
      </c>
    </row>
    <row r="1041">
      <c r="A1041" t="n">
        <v>740006605</v>
      </c>
      <c r="B1041" t="inlineStr">
        <is>
          <t>Av. S. Lucas, 101</t>
        </is>
      </c>
      <c r="C1041" t="inlineStr">
        <is>
          <t>Ref.: R Leonardo Vilas Boas/ R Do Arquipelago</t>
        </is>
      </c>
      <c r="D1041" s="58" t="n">
        <v>-23.593901</v>
      </c>
      <c r="E1041" s="58" t="n">
        <v>-46.546753</v>
      </c>
    </row>
    <row r="1042">
      <c r="A1042" t="n">
        <v>740006632</v>
      </c>
      <c r="B1042" t="inlineStr">
        <is>
          <t>R. Secundino Domingues, 477</t>
        </is>
      </c>
      <c r="C1042" t="inlineStr">
        <is>
          <t>Ref.: Rua Jaguarari</t>
        </is>
      </c>
      <c r="D1042" s="58" t="n">
        <v>-23.59099</v>
      </c>
      <c r="E1042" s="58" t="n">
        <v>-46.557373</v>
      </c>
    </row>
    <row r="1043">
      <c r="A1043" t="n">
        <v>740006634</v>
      </c>
      <c r="B1043" t="inlineStr">
        <is>
          <t>R. Secundino Domingues, 179</t>
        </is>
      </c>
      <c r="C1043" t="inlineStr">
        <is>
          <t>Ref.: Rua Felipe Cardelino</t>
        </is>
      </c>
      <c r="D1043" s="58" t="n">
        <v>-23.588875</v>
      </c>
      <c r="E1043" s="58" t="n">
        <v>-46.559128</v>
      </c>
    </row>
    <row r="1044">
      <c r="A1044" t="n">
        <v>740006635</v>
      </c>
      <c r="B1044" t="inlineStr">
        <is>
          <t>R. Secundino Domingues, 1</t>
        </is>
      </c>
      <c r="C1044" t="inlineStr">
        <is>
          <t>Ref.: Rua Segismund Domingues</t>
        </is>
      </c>
      <c r="D1044" s="58" t="n">
        <v>-23.587797</v>
      </c>
      <c r="E1044" s="58" t="n">
        <v>-46.560062</v>
      </c>
    </row>
    <row r="1045">
      <c r="A1045" t="n">
        <v>740006636</v>
      </c>
      <c r="B1045" t="inlineStr">
        <is>
          <t>Av. Alberto Ramos, 510</t>
        </is>
      </c>
      <c r="C1045" t="inlineStr">
        <is>
          <t>Ref.: R Gloria Do Goita/ Tr Junco Do Serido</t>
        </is>
      </c>
      <c r="D1045" s="58" t="n">
        <v>-23.585359</v>
      </c>
      <c r="E1045" s="58" t="n">
        <v>-46.561909</v>
      </c>
    </row>
    <row r="1046">
      <c r="A1046" t="n">
        <v>740006637</v>
      </c>
      <c r="B1046" t="inlineStr">
        <is>
          <t>Av. Alberto Ramos, 255</t>
        </is>
      </c>
      <c r="C1046" t="inlineStr">
        <is>
          <t>Ref.: R Gloria Do Goita/ Tr Junco Do Serido</t>
        </is>
      </c>
      <c r="D1046" s="58" t="n">
        <v>-23.58514</v>
      </c>
      <c r="E1046" s="58" t="n">
        <v>-46.56192</v>
      </c>
    </row>
    <row r="1047">
      <c r="A1047" t="n">
        <v>740006638</v>
      </c>
      <c r="B1047" t="inlineStr">
        <is>
          <t>Av. Alberto Ramos, 40</t>
        </is>
      </c>
      <c r="C1047" t="inlineStr">
        <is>
          <t>Ref.: R General Irulegui Cunha/ R Susana</t>
        </is>
      </c>
      <c r="D1047" s="58" t="n">
        <v>-23.583311</v>
      </c>
      <c r="E1047" s="58" t="n">
        <v>-46.562836</v>
      </c>
    </row>
    <row r="1048">
      <c r="A1048" t="n">
        <v>740006714</v>
      </c>
      <c r="B1048" t="inlineStr">
        <is>
          <t>Av. Vila Ema, 3647</t>
        </is>
      </c>
      <c r="C1048" t="inlineStr">
        <is>
          <t>Ref.: R Arneiroz/ R Boca Do Acre</t>
        </is>
      </c>
      <c r="D1048" s="58" t="n">
        <v>-23.587599</v>
      </c>
      <c r="E1048" s="58" t="n">
        <v>-46.543934</v>
      </c>
    </row>
    <row r="1049">
      <c r="A1049" t="n">
        <v>740006715</v>
      </c>
      <c r="B1049" t="inlineStr">
        <is>
          <t>Av. Vila Ema, 3648</t>
        </is>
      </c>
      <c r="C1049" t="inlineStr">
        <is>
          <t>Ref.: Rua Arneiroz / Rua Boca Do Acre</t>
        </is>
      </c>
      <c r="D1049" s="58" t="n">
        <v>-23.587675</v>
      </c>
      <c r="E1049" s="58" t="n">
        <v>-46.543976</v>
      </c>
    </row>
    <row r="1050">
      <c r="A1050" t="n">
        <v>740006716</v>
      </c>
      <c r="B1050" t="inlineStr">
        <is>
          <t>Av. Vila Ema, 3472</t>
        </is>
      </c>
      <c r="C1050" t="inlineStr">
        <is>
          <t>Ref.: Rua Andre De Frias / Tr Maria De Lorena</t>
        </is>
      </c>
      <c r="D1050" s="58" t="n">
        <v>-23.58648</v>
      </c>
      <c r="E1050" s="58" t="n">
        <v>-46.544956</v>
      </c>
    </row>
    <row r="1051">
      <c r="A1051" t="n">
        <v>740006717</v>
      </c>
      <c r="B1051" t="inlineStr">
        <is>
          <t>Av. Vila Ema, 3459</t>
        </is>
      </c>
      <c r="C1051" t="inlineStr">
        <is>
          <t>Ref.: Rua Andre De Frias/ Tr Maria De Lorena</t>
        </is>
      </c>
      <c r="D1051" s="58" t="n">
        <v>-23.586241</v>
      </c>
      <c r="E1051" s="58" t="n">
        <v>-46.545039</v>
      </c>
    </row>
    <row r="1052">
      <c r="A1052" t="n">
        <v>740006718</v>
      </c>
      <c r="B1052" t="inlineStr">
        <is>
          <t>Av. Vila Ema, 3292</t>
        </is>
      </c>
      <c r="C1052" t="inlineStr">
        <is>
          <t>Ref.: Rua Bento Sabino Dos Reis / Rua Augusto Fetzer</t>
        </is>
      </c>
      <c r="D1052" s="58" t="n">
        <v>-23.585125</v>
      </c>
      <c r="E1052" s="58" t="n">
        <v>-46.546085</v>
      </c>
    </row>
    <row r="1053">
      <c r="A1053" t="n">
        <v>740006719</v>
      </c>
      <c r="B1053" t="inlineStr">
        <is>
          <t>Av. Vila Ema, 2955</t>
        </is>
      </c>
      <c r="C1053" t="inlineStr">
        <is>
          <t>Ref.: Rua Joao Graeber - B/C</t>
        </is>
      </c>
      <c r="D1053" s="58" t="n">
        <v>-23.58328</v>
      </c>
      <c r="E1053" s="58" t="n">
        <v>-46.54851</v>
      </c>
    </row>
    <row r="1054">
      <c r="A1054" t="n">
        <v>740006720</v>
      </c>
      <c r="B1054" t="inlineStr">
        <is>
          <t>Av. Vila Ema, 2884</t>
        </is>
      </c>
      <c r="C1054" t="inlineStr">
        <is>
          <t>Ref.: Rua Henrique Gabriel Forli / Rua Taufik Kurban</t>
        </is>
      </c>
      <c r="D1054" s="58" t="n">
        <v>-23.583073</v>
      </c>
      <c r="E1054" s="58" t="n">
        <v>-46.549473</v>
      </c>
    </row>
    <row r="1055">
      <c r="A1055" t="n">
        <v>740006721</v>
      </c>
      <c r="B1055" t="inlineStr">
        <is>
          <t>Av. Vila Ema, 2698</t>
        </is>
      </c>
      <c r="C1055" t="inlineStr">
        <is>
          <t>Ref.: Rua Lessing / Rua Tupixas</t>
        </is>
      </c>
      <c r="D1055" s="58" t="n">
        <v>-23.582457</v>
      </c>
      <c r="E1055" s="58" t="n">
        <v>-46.550968</v>
      </c>
    </row>
    <row r="1056">
      <c r="A1056" t="n">
        <v>740006722</v>
      </c>
      <c r="B1056" t="inlineStr">
        <is>
          <t>Av. Vila Ema, 2623</t>
        </is>
      </c>
      <c r="C1056" t="inlineStr">
        <is>
          <t>Ref.: Rua Quatigua - B/C</t>
        </is>
      </c>
      <c r="D1056" s="58" t="n">
        <v>-23.582121</v>
      </c>
      <c r="E1056" s="58" t="n">
        <v>-46.55159</v>
      </c>
    </row>
    <row r="1057">
      <c r="A1057" t="n">
        <v>740006723</v>
      </c>
      <c r="B1057" t="inlineStr">
        <is>
          <t>Av. Vila Ema, 2465</t>
        </is>
      </c>
      <c r="C1057" t="inlineStr">
        <is>
          <t>Ref.: Rua Gomes / Rua Jabiaçu</t>
        </is>
      </c>
      <c r="D1057" s="58" t="n">
        <v>-23.581678</v>
      </c>
      <c r="E1057" s="58" t="n">
        <v>-46.553089</v>
      </c>
    </row>
    <row r="1058">
      <c r="A1058" t="n">
        <v>740006724</v>
      </c>
      <c r="B1058" t="inlineStr">
        <is>
          <t>Av. Vila Ema, 2398</t>
        </is>
      </c>
      <c r="C1058" t="inlineStr">
        <is>
          <t>Ref.: Rua Ribeiropolis / Rua Gomes</t>
        </is>
      </c>
      <c r="D1058" s="58" t="n">
        <v>-23.581663</v>
      </c>
      <c r="E1058" s="58" t="n">
        <v>-46.553623</v>
      </c>
    </row>
    <row r="1059">
      <c r="A1059" t="n">
        <v>740006725</v>
      </c>
      <c r="B1059" t="inlineStr">
        <is>
          <t>Av. Vila Ema, 2180</t>
        </is>
      </c>
      <c r="C1059" t="inlineStr">
        <is>
          <t>Ref.: Rua Genaro Arila Arensanz / Rua Herman Frank</t>
        </is>
      </c>
      <c r="D1059" s="58" t="n">
        <v>-23.581236</v>
      </c>
      <c r="E1059" s="58" t="n">
        <v>-46.555214</v>
      </c>
    </row>
    <row r="1060">
      <c r="A1060" t="n">
        <v>740006727</v>
      </c>
      <c r="B1060" t="inlineStr">
        <is>
          <t>Av. Vila Ema, 1950</t>
        </is>
      </c>
      <c r="C1060" t="inlineStr">
        <is>
          <t>Ref.: Rua Antonio Gomes / Rua Ana De Araujo Paula</t>
        </is>
      </c>
      <c r="D1060" s="58" t="n">
        <v>-23.58091</v>
      </c>
      <c r="E1060" s="58" t="n">
        <v>-46.558018</v>
      </c>
    </row>
    <row r="1061">
      <c r="A1061" t="n">
        <v>740006728</v>
      </c>
      <c r="B1061" t="inlineStr">
        <is>
          <t>Av. Vila Ema, 1733</t>
        </is>
      </c>
      <c r="C1061" t="inlineStr">
        <is>
          <t>Ref.: Rua Silvio De Sousa / Rua Ana De Araujo Paula</t>
        </is>
      </c>
      <c r="D1061" s="58" t="n">
        <v>-23.580687</v>
      </c>
      <c r="E1061" s="58" t="n">
        <v>-46.56007</v>
      </c>
    </row>
    <row r="1062">
      <c r="A1062" t="n">
        <v>740006729</v>
      </c>
      <c r="B1062" t="inlineStr">
        <is>
          <t>Av. Vila Ema, 1668</t>
        </is>
      </c>
      <c r="C1062" t="inlineStr">
        <is>
          <t>Ref.: Rua Silvio De Sousa / Rua Manoel Vieira Pinto</t>
        </is>
      </c>
      <c r="D1062" s="58" t="n">
        <v>-23.58091</v>
      </c>
      <c r="E1062" s="58" t="n">
        <v>-46.560658</v>
      </c>
    </row>
    <row r="1063">
      <c r="A1063" t="n">
        <v>740006730</v>
      </c>
      <c r="B1063" t="inlineStr">
        <is>
          <t>Av. Vila Ema, 1542</t>
        </is>
      </c>
      <c r="C1063" t="inlineStr">
        <is>
          <t>Ref.: Rua São Gotardo / Rua Nupeba</t>
        </is>
      </c>
      <c r="D1063" s="58" t="n">
        <v>-23.581104</v>
      </c>
      <c r="E1063" s="58" t="n">
        <v>-46.561829</v>
      </c>
    </row>
    <row r="1064">
      <c r="A1064" t="n">
        <v>740006731</v>
      </c>
      <c r="B1064" t="inlineStr">
        <is>
          <t>Av. Vila Ema, 1490</t>
        </is>
      </c>
      <c r="C1064" t="inlineStr">
        <is>
          <t>Ref.: Rua Viconde De Goiania / Rua Batuns</t>
        </is>
      </c>
      <c r="D1064" s="58" t="n">
        <v>-23.581272</v>
      </c>
      <c r="E1064" s="58" t="n">
        <v>-46.562321</v>
      </c>
    </row>
    <row r="1065">
      <c r="A1065" t="n">
        <v>740012712</v>
      </c>
      <c r="B1065" t="inlineStr">
        <is>
          <t>Av. Prof. Luiz Ignácio Anhaia Mello, 2568</t>
        </is>
      </c>
      <c r="C1065" t="inlineStr">
        <is>
          <t>Ref.: Motel Marselha -- Rua Sao Joao Do Sabugi</t>
        </is>
      </c>
      <c r="D1065" s="58" t="n">
        <v>-23.582819</v>
      </c>
      <c r="E1065" s="58" t="n">
        <v>-46.565456</v>
      </c>
    </row>
    <row r="1066">
      <c r="A1066" t="n">
        <v>750006127</v>
      </c>
      <c r="B1066" t="inlineStr">
        <is>
          <t>Av. Mateo Bei, 3419</t>
        </is>
      </c>
      <c r="C1066" t="inlineStr">
        <is>
          <t>Ref.: R Doutor Felice Buscaglia/ R Ernesto Manograsso</t>
        </is>
      </c>
      <c r="D1066" s="58" t="n">
        <v>-23.610315</v>
      </c>
      <c r="E1066" s="58" t="n">
        <v>-46.476571</v>
      </c>
    </row>
    <row r="1067">
      <c r="A1067" t="n">
        <v>750006129</v>
      </c>
      <c r="B1067" t="inlineStr">
        <is>
          <t>Av. Mateo Bei, 3244</t>
        </is>
      </c>
      <c r="C1067" t="inlineStr">
        <is>
          <t>Ref.: R Doutor Felice Buscaglia/ R Doutor Edmur Whitaker</t>
        </is>
      </c>
      <c r="D1067" s="58" t="n">
        <v>-23.609144</v>
      </c>
      <c r="E1067" s="58" t="n">
        <v>-46.477522</v>
      </c>
    </row>
    <row r="1068">
      <c r="A1068" t="n">
        <v>750006130</v>
      </c>
      <c r="B1068" t="inlineStr">
        <is>
          <t>Av. Mateo Bei, 3247</t>
        </is>
      </c>
      <c r="C1068" t="inlineStr">
        <is>
          <t>Ref.: R Doutor Felice Buscaglia/ R Doutor Edmur Whitaker</t>
        </is>
      </c>
      <c r="D1068" s="58" t="n">
        <v>-23.609027</v>
      </c>
      <c r="E1068" s="58" t="n">
        <v>-46.477473</v>
      </c>
    </row>
    <row r="1069">
      <c r="A1069" t="n">
        <v>750006131</v>
      </c>
      <c r="B1069" t="inlineStr">
        <is>
          <t>Av. Mateo Bei, 3096</t>
        </is>
      </c>
      <c r="C1069" t="inlineStr">
        <is>
          <t>Ref.: R Doutor Edmur Whitaker/ R Francisco Cordelli</t>
        </is>
      </c>
      <c r="D1069" s="58" t="n">
        <v>-23.607854</v>
      </c>
      <c r="E1069" s="58" t="n">
        <v>-46.478384</v>
      </c>
    </row>
    <row r="1070">
      <c r="A1070" t="n">
        <v>750006132</v>
      </c>
      <c r="B1070" t="inlineStr">
        <is>
          <t>Av. Mateo Bei, 3019</t>
        </is>
      </c>
      <c r="C1070" t="inlineStr">
        <is>
          <t>Ref.: R Doutor Edmur Whitaker/ R Francisco Cordelli</t>
        </is>
      </c>
      <c r="D1070" s="58" t="n">
        <v>-23.607272</v>
      </c>
      <c r="E1070" s="58" t="n">
        <v>-46.478632</v>
      </c>
    </row>
    <row r="1071">
      <c r="A1071" t="n">
        <v>750006133</v>
      </c>
      <c r="B1071" t="inlineStr">
        <is>
          <t>Av. Mateo Bei, 2787</t>
        </is>
      </c>
      <c r="C1071" t="inlineStr">
        <is>
          <t>Ref.: R Doutor Raul Manso Sayao Filho/ R Tita Ruffo</t>
        </is>
      </c>
      <c r="D1071" s="58" t="n">
        <v>-23.605526</v>
      </c>
      <c r="E1071" s="58" t="n">
        <v>-46.479935</v>
      </c>
    </row>
    <row r="1072">
      <c r="A1072" t="n">
        <v>750006134</v>
      </c>
      <c r="B1072" t="inlineStr">
        <is>
          <t>Av. Mateo Bei, 2750</t>
        </is>
      </c>
      <c r="C1072" t="inlineStr">
        <is>
          <t>Ref.: R Doutor Raul Manso Sayao Filho/ R Tita Ruffo</t>
        </is>
      </c>
      <c r="D1072" s="58" t="n">
        <v>-23.605347</v>
      </c>
      <c r="E1072" s="58" t="n">
        <v>-46.480235</v>
      </c>
    </row>
    <row r="1073">
      <c r="A1073" t="n">
        <v>750006135</v>
      </c>
      <c r="B1073" t="inlineStr">
        <is>
          <t>Av. Mateo Bei, 2540</t>
        </is>
      </c>
      <c r="C1073" t="inlineStr">
        <is>
          <t>Ref.: R Carlos Vivaldi/ R Luis Pita</t>
        </is>
      </c>
      <c r="D1073" s="58" t="n">
        <v>-23.603999</v>
      </c>
      <c r="E1073" s="58" t="n">
        <v>-46.481406</v>
      </c>
    </row>
    <row r="1074">
      <c r="A1074" t="n">
        <v>750006136</v>
      </c>
      <c r="B1074" t="inlineStr">
        <is>
          <t>Av. Mateo Bei, 2511</t>
        </is>
      </c>
      <c r="C1074" t="inlineStr">
        <is>
          <t>Ref.: R Carlos Vivaldi/ R Luis Pita</t>
        </is>
      </c>
      <c r="D1074" s="58" t="n">
        <v>-23.603563</v>
      </c>
      <c r="E1074" s="58" t="n">
        <v>-46.481637</v>
      </c>
    </row>
    <row r="1075">
      <c r="A1075" t="n">
        <v>750006137</v>
      </c>
      <c r="B1075" t="inlineStr">
        <is>
          <t>Av. Mateo Bei, 2225</t>
        </is>
      </c>
      <c r="C1075" t="inlineStr">
        <is>
          <t>Ref.: R Margarida Cardoso Dos Santos/ R Vitorio Azzalin</t>
        </is>
      </c>
      <c r="D1075" s="58" t="n">
        <v>-23.601568</v>
      </c>
      <c r="E1075" s="58" t="n">
        <v>-46.483311</v>
      </c>
    </row>
    <row r="1076">
      <c r="A1076" t="n">
        <v>750006138</v>
      </c>
      <c r="B1076" t="inlineStr">
        <is>
          <t>Av. Mateo Bei, 2200</t>
        </is>
      </c>
      <c r="C1076" t="inlineStr">
        <is>
          <t>Ref.: R Margarida Cardoso Dos Santos/ R Vitorio Azzalin</t>
        </is>
      </c>
      <c r="D1076" s="58" t="n">
        <v>-23.601488</v>
      </c>
      <c r="E1076" s="58" t="n">
        <v>-46.483501</v>
      </c>
    </row>
    <row r="1077">
      <c r="A1077" t="n">
        <v>750006139</v>
      </c>
      <c r="B1077" t="inlineStr">
        <is>
          <t>R. Ribeiro Duarte, 791</t>
        </is>
      </c>
      <c r="C1077" t="inlineStr">
        <is>
          <t>Ref.: Vel Seis/ R Alberto De Macedo</t>
        </is>
      </c>
      <c r="D1077" s="58" t="n">
        <v>-23.619518</v>
      </c>
      <c r="E1077" s="58" t="n">
        <v>-46.481167</v>
      </c>
    </row>
    <row r="1078">
      <c r="A1078" t="n">
        <v>750006140</v>
      </c>
      <c r="B1078" t="inlineStr">
        <is>
          <t>R. Ribeiro Duarte, 758</t>
        </is>
      </c>
      <c r="C1078" t="inlineStr">
        <is>
          <t>Ref.: Vel Seis/ R Alberto De Macedo</t>
        </is>
      </c>
      <c r="D1078" s="58" t="n">
        <v>-23.619272</v>
      </c>
      <c r="E1078" s="58" t="n">
        <v>-46.481285</v>
      </c>
    </row>
    <row r="1079">
      <c r="A1079" t="n">
        <v>750006141</v>
      </c>
      <c r="B1079" t="inlineStr">
        <is>
          <t>R. Ribeiro Duarte, 556</t>
        </is>
      </c>
      <c r="C1079" t="inlineStr">
        <is>
          <t>Ref.: R Professor Mendes Pimentel/ R Liberato Barroso</t>
        </is>
      </c>
      <c r="D1079" s="58" t="n">
        <v>-23.617483</v>
      </c>
      <c r="E1079" s="58" t="n">
        <v>-46.481487</v>
      </c>
    </row>
    <row r="1080">
      <c r="A1080" t="n">
        <v>750006142</v>
      </c>
      <c r="B1080" t="inlineStr">
        <is>
          <t>R. Ribeiro Duarte, 455</t>
        </is>
      </c>
      <c r="C1080" t="inlineStr">
        <is>
          <t>Ref.: R Liberato Barroso/ R General Dionisio Cerqueira</t>
        </is>
      </c>
      <c r="D1080" s="58" t="n">
        <v>-23.616661</v>
      </c>
      <c r="E1080" s="58" t="n">
        <v>-46.481392</v>
      </c>
    </row>
    <row r="1081">
      <c r="A1081" t="n">
        <v>750006143</v>
      </c>
      <c r="B1081" t="inlineStr">
        <is>
          <t>R. Ribeiro Duarte, 322</t>
        </is>
      </c>
      <c r="C1081" t="inlineStr">
        <is>
          <t>Ref.: R General Dionisio Cerqueira/ R Ministro Luis Sparano</t>
        </is>
      </c>
      <c r="D1081" s="58" t="n">
        <v>-23.615427</v>
      </c>
      <c r="E1081" s="58" t="n">
        <v>-46.481758</v>
      </c>
    </row>
    <row r="1082">
      <c r="A1082" t="n">
        <v>750006144</v>
      </c>
      <c r="B1082" t="inlineStr">
        <is>
          <t>R. Min. Luiz Sparano, 104</t>
        </is>
      </c>
      <c r="C1082" t="inlineStr">
        <is>
          <t>Ref.: R Ribeiro Duarte/ R Sao Sergio</t>
        </is>
      </c>
      <c r="D1082" s="58" t="n">
        <v>-23.61375</v>
      </c>
      <c r="E1082" s="58" t="n">
        <v>-46.482262</v>
      </c>
    </row>
    <row r="1083">
      <c r="A1083" t="n">
        <v>750006145</v>
      </c>
      <c r="B1083" t="inlineStr">
        <is>
          <t>R. Min. Luiz Sparano, 105</t>
        </is>
      </c>
      <c r="C1083" t="inlineStr">
        <is>
          <t>Ref.: R Ribeiro Duarte/ R Sao Sergio</t>
        </is>
      </c>
      <c r="D1083" s="58" t="n">
        <v>-23.613667</v>
      </c>
      <c r="E1083" s="58" t="n">
        <v>-46.482311</v>
      </c>
    </row>
    <row r="1084">
      <c r="A1084" t="n">
        <v>750006146</v>
      </c>
      <c r="B1084" t="inlineStr">
        <is>
          <t>Av. Tte. Lauro Sodre, 601</t>
        </is>
      </c>
      <c r="C1084" t="inlineStr">
        <is>
          <t>Ref.: R Jose De Gois E Morais/ R Acrisio Santana</t>
        </is>
      </c>
      <c r="D1084" s="58" t="n">
        <v>-23.61573</v>
      </c>
      <c r="E1084" s="58" t="n">
        <v>-46.484447</v>
      </c>
    </row>
    <row r="1085">
      <c r="A1085" t="n">
        <v>750006147</v>
      </c>
      <c r="B1085" t="inlineStr">
        <is>
          <t>R. Gabriel Soares, 80</t>
        </is>
      </c>
      <c r="C1085" t="inlineStr">
        <is>
          <t>Ref.: Av.tenente Lauro Sodré</t>
        </is>
      </c>
      <c r="D1085" s="58" t="n">
        <v>-23.620405</v>
      </c>
      <c r="E1085" s="58" t="n">
        <v>-46.482769</v>
      </c>
    </row>
    <row r="1086">
      <c r="A1086" t="n">
        <v>750006148</v>
      </c>
      <c r="B1086" t="inlineStr">
        <is>
          <t>R. Gabriel Soares, 123</t>
        </is>
      </c>
      <c r="C1086" t="inlineStr">
        <is>
          <t>Ref.: R Manuel Marino Tapia/ R Rubens Cotrim</t>
        </is>
      </c>
      <c r="D1086" s="58" t="n">
        <v>-23.620236</v>
      </c>
      <c r="E1086" s="58" t="n">
        <v>-46.482644</v>
      </c>
    </row>
    <row r="1087">
      <c r="A1087" t="n">
        <v>750006195</v>
      </c>
      <c r="B1087" t="inlineStr">
        <is>
          <t>Av. Mateo Bei, 1160</t>
        </is>
      </c>
      <c r="C1087" t="inlineStr">
        <is>
          <t>Ref.: R Coronel Ernesto Duprat/ R Amelia Augusta Rodrigues</t>
        </is>
      </c>
      <c r="D1087" s="58" t="n">
        <v>-23.593411</v>
      </c>
      <c r="E1087" s="58" t="n">
        <v>-46.488529</v>
      </c>
    </row>
    <row r="1088">
      <c r="A1088" t="n">
        <v>750006196</v>
      </c>
      <c r="B1088" t="inlineStr">
        <is>
          <t>Av. Mateo Bei, 1181</t>
        </is>
      </c>
      <c r="C1088" t="inlineStr">
        <is>
          <t>Ref.: R Coronel Ernesto Duprat/ R Amelia Augusta Rodrigues</t>
        </is>
      </c>
      <c r="D1088" s="58" t="n">
        <v>-23.593672</v>
      </c>
      <c r="E1088" s="58" t="n">
        <v>-46.488267</v>
      </c>
    </row>
    <row r="1089">
      <c r="A1089" t="n">
        <v>750006197</v>
      </c>
      <c r="B1089" t="inlineStr">
        <is>
          <t>Av. Mateo Bei, 1408</t>
        </is>
      </c>
      <c r="C1089" t="inlineStr">
        <is>
          <t>Ref.: R Amelia Augusta Rodrigues/ R Alessandro Giulio Dell Aringa</t>
        </is>
      </c>
      <c r="D1089" s="58" t="n">
        <v>-23.595564</v>
      </c>
      <c r="E1089" s="58" t="n">
        <v>-46.487706</v>
      </c>
    </row>
    <row r="1090">
      <c r="A1090" t="n">
        <v>750006198</v>
      </c>
      <c r="B1090" t="inlineStr">
        <is>
          <t>Av. Mateo Bei, 1473</t>
        </is>
      </c>
      <c r="C1090" t="inlineStr">
        <is>
          <t>Ref.: R Alessandro Giulio Dell Aringa/ R Professor Brasilio Barni</t>
        </is>
      </c>
      <c r="D1090" s="58" t="n">
        <v>-23.595961</v>
      </c>
      <c r="E1090" s="58" t="n">
        <v>-46.48744</v>
      </c>
    </row>
    <row r="1091">
      <c r="A1091" t="n">
        <v>750006199</v>
      </c>
      <c r="B1091" t="inlineStr">
        <is>
          <t>Av. Mateo Bei, 1641</t>
        </is>
      </c>
      <c r="C1091" t="inlineStr">
        <is>
          <t>Ref.: R Professor Brasilio Barni/ R Professor Jose Decio Machado Gaia</t>
        </is>
      </c>
      <c r="D1091" s="58" t="n">
        <v>-23.597441</v>
      </c>
      <c r="E1091" s="58" t="n">
        <v>-46.486771</v>
      </c>
    </row>
    <row r="1092">
      <c r="A1092" t="n">
        <v>750006200</v>
      </c>
      <c r="B1092" t="inlineStr">
        <is>
          <t>Av. Mateo Bei, 1732</t>
        </is>
      </c>
      <c r="C1092" t="inlineStr">
        <is>
          <t>Ref.: R Paulino Cursi/ R Professor Jose Decio Machado Gaia</t>
        </is>
      </c>
      <c r="D1092" s="58" t="n">
        <v>-23.598186</v>
      </c>
      <c r="E1092" s="58" t="n">
        <v>-46.486331</v>
      </c>
    </row>
    <row r="1093">
      <c r="A1093" t="n">
        <v>750006201</v>
      </c>
      <c r="B1093" t="inlineStr">
        <is>
          <t>Av. Mateo Bei, 1911</t>
        </is>
      </c>
      <c r="C1093" t="inlineStr">
        <is>
          <t>Ref.: R Doutor Aureliano Da Silva Arruda/ R Paulino Cursi</t>
        </is>
      </c>
      <c r="D1093" s="58" t="n">
        <v>-23.599342</v>
      </c>
      <c r="E1093" s="58" t="n">
        <v>-46.48523</v>
      </c>
    </row>
    <row r="1094">
      <c r="A1094" t="n">
        <v>750006202</v>
      </c>
      <c r="B1094" t="inlineStr">
        <is>
          <t>Av. Mateo Bei, 2050</t>
        </is>
      </c>
      <c r="C1094" t="inlineStr">
        <is>
          <t>Ref.: R Doutor Aureliano Da Silva Arruda/ R Vitorio Azzalin</t>
        </is>
      </c>
      <c r="D1094" s="58" t="n">
        <v>-23.600157</v>
      </c>
      <c r="E1094" s="58" t="n">
        <v>-46.484634</v>
      </c>
    </row>
    <row r="1095">
      <c r="A1095" t="n">
        <v>750006278</v>
      </c>
      <c r="B1095" t="inlineStr">
        <is>
          <t>R. Campo Florido, 21</t>
        </is>
      </c>
      <c r="C1095" t="inlineStr">
        <is>
          <t>Ref.: R Francisco Da Costa Machado/ Av Pirapitinga</t>
        </is>
      </c>
      <c r="D1095" s="58" t="n">
        <v>-23.594084</v>
      </c>
      <c r="E1095" s="58" t="n">
        <v>-46.499695</v>
      </c>
    </row>
    <row r="1096">
      <c r="A1096" t="n">
        <v>750006279</v>
      </c>
      <c r="B1096" t="inlineStr">
        <is>
          <t>Av. Pirapitinga, 11</t>
        </is>
      </c>
      <c r="C1096" t="inlineStr">
        <is>
          <t>Ref.: R Taiobeiras/ R Pedrinopolis</t>
        </is>
      </c>
      <c r="D1096" s="58" t="n">
        <v>-23.595108</v>
      </c>
      <c r="E1096" s="58" t="n">
        <v>-46.499462</v>
      </c>
    </row>
    <row r="1097">
      <c r="A1097" t="n">
        <v>750006280</v>
      </c>
      <c r="B1097" t="inlineStr">
        <is>
          <t>R. Douradoquara, 90</t>
        </is>
      </c>
      <c r="C1097" t="inlineStr">
        <is>
          <t>Ref.: R Basilio Martins De Lisboa/ R Dom Gregorio Dos Anjos</t>
        </is>
      </c>
      <c r="D1097" s="58" t="n">
        <v>-23.596592</v>
      </c>
      <c r="E1097" s="58" t="n">
        <v>-46.501122</v>
      </c>
    </row>
    <row r="1098">
      <c r="A1098" t="n">
        <v>750006281</v>
      </c>
      <c r="B1098" t="inlineStr">
        <is>
          <t>R. Douradoquara, 77</t>
        </is>
      </c>
      <c r="C1098" t="inlineStr">
        <is>
          <t>Ref.: Rua Dom Gregorio Dos Anjos</t>
        </is>
      </c>
      <c r="D1098" s="58" t="n">
        <v>-23.59656</v>
      </c>
      <c r="E1098" s="58" t="n">
        <v>-46.501293</v>
      </c>
    </row>
    <row r="1099">
      <c r="A1099" t="n">
        <v>750006282</v>
      </c>
      <c r="B1099" t="inlineStr">
        <is>
          <t>R. Douradoquara</t>
        </is>
      </c>
      <c r="C1099" t="inlineStr">
        <is>
          <t>Ref.: Pc Catas Altas/ R Turvolandia</t>
        </is>
      </c>
      <c r="D1099" s="58" t="n">
        <v>-23.595301</v>
      </c>
      <c r="E1099" s="58" t="n">
        <v>-46.502678</v>
      </c>
    </row>
    <row r="1100">
      <c r="A1100" t="n">
        <v>750006285</v>
      </c>
      <c r="B1100" t="inlineStr">
        <is>
          <t>R. Cachoeira Do Campo, 348</t>
        </is>
      </c>
      <c r="C1100" t="inlineStr">
        <is>
          <t>Ref.: R Caiana/ R Da Ecologia</t>
        </is>
      </c>
      <c r="D1100" s="58" t="n">
        <v>-23.595196</v>
      </c>
      <c r="E1100" s="58" t="n">
        <v>-46.503071</v>
      </c>
    </row>
    <row r="1101">
      <c r="A1101" t="n">
        <v>750006772</v>
      </c>
      <c r="B1101" t="inlineStr">
        <is>
          <t>Terminal S. Mateus - Plat. A</t>
        </is>
      </c>
      <c r="C1101" t="inlineStr">
        <is>
          <t>Ref.: Av Sapopemba/ Pc Felisberto Fernandes Da Silva</t>
        </is>
      </c>
      <c r="D1101" s="58" t="n">
        <v>-23.612541</v>
      </c>
      <c r="E1101" s="58" t="n">
        <v>-46.476368</v>
      </c>
    </row>
    <row r="1102">
      <c r="A1102" t="n">
        <v>750007514</v>
      </c>
      <c r="B1102" t="inlineStr">
        <is>
          <t>Av. Aricanduva, 7676</t>
        </is>
      </c>
      <c r="C1102" t="inlineStr">
        <is>
          <t>Ref.: R Bericopone/ R Caetano Rodrigues</t>
        </is>
      </c>
      <c r="D1102" s="58" t="n">
        <v>-23.583778</v>
      </c>
      <c r="E1102" s="58" t="n">
        <v>-46.490261</v>
      </c>
    </row>
    <row r="1103">
      <c r="A1103" t="n">
        <v>750007515</v>
      </c>
      <c r="B1103" t="inlineStr">
        <is>
          <t>Av. Aricanduva, 8140</t>
        </is>
      </c>
      <c r="C1103" t="inlineStr">
        <is>
          <t>Ref.: R Pacheco Gato/ R Cristovao De Oliveira</t>
        </is>
      </c>
      <c r="D1103" s="58" t="n">
        <v>-23.586888</v>
      </c>
      <c r="E1103" s="58" t="n">
        <v>-46.487178</v>
      </c>
    </row>
    <row r="1104">
      <c r="A1104" t="n">
        <v>750007516</v>
      </c>
      <c r="B1104" t="inlineStr">
        <is>
          <t>Av. Aricanduva, 8240</t>
        </is>
      </c>
      <c r="C1104" t="inlineStr">
        <is>
          <t>Ref.: R Pacheco Gato/ R Cristovao De Oliveira</t>
        </is>
      </c>
      <c r="D1104" s="58" t="n">
        <v>-23.587204</v>
      </c>
      <c r="E1104" s="58" t="n">
        <v>-46.483632</v>
      </c>
    </row>
    <row r="1105">
      <c r="A1105" t="n">
        <v>750007518</v>
      </c>
      <c r="B1105" t="inlineStr">
        <is>
          <t>Av. Aricanduva, 12170</t>
        </is>
      </c>
      <c r="C1105" t="inlineStr">
        <is>
          <t>Ref.: R Pastor Adarcy De Oliveira/ R Amorim Viana</t>
        </is>
      </c>
      <c r="D1105" s="58" t="n">
        <v>-23.593046</v>
      </c>
      <c r="E1105" s="58" t="n">
        <v>-46.471685</v>
      </c>
    </row>
    <row r="1106">
      <c r="A1106" t="n">
        <v>750012296</v>
      </c>
      <c r="B1106" t="inlineStr">
        <is>
          <t>Av. Rio Das Pedras, 3620</t>
        </is>
      </c>
      <c r="C1106" t="inlineStr">
        <is>
          <t>Ref.: R Funilandia/ Av Luis Pires De Minas</t>
        </is>
      </c>
      <c r="D1106" s="58" t="n">
        <v>-23.581548</v>
      </c>
      <c r="E1106" s="58" t="n">
        <v>-46.498345</v>
      </c>
    </row>
    <row r="1107">
      <c r="A1107" t="n">
        <v>750012297</v>
      </c>
      <c r="B1107" t="inlineStr">
        <is>
          <t>Av. Rio Das Pedras, 3893</t>
        </is>
      </c>
      <c r="C1107" t="inlineStr">
        <is>
          <t>Ref.: R Doutor Mario Rodrigues Louza/ R Francisco Queiroz Matos</t>
        </is>
      </c>
      <c r="D1107" s="58" t="n">
        <v>-23.583122</v>
      </c>
      <c r="E1107" s="58" t="n">
        <v>-46.49607</v>
      </c>
    </row>
    <row r="1108">
      <c r="A1108" t="n">
        <v>750012298</v>
      </c>
      <c r="B1108" t="inlineStr">
        <is>
          <t>Av. Rio Das Pedras, 4088</t>
        </is>
      </c>
      <c r="C1108" t="inlineStr">
        <is>
          <t>Ref.: R Pocos De Caldas/ R Angelo Santesso</t>
        </is>
      </c>
      <c r="D1108" s="58" t="n">
        <v>-23.583883</v>
      </c>
      <c r="E1108" s="58" t="n">
        <v>-46.493806</v>
      </c>
    </row>
    <row r="1109">
      <c r="A1109" t="n">
        <v>750012299</v>
      </c>
      <c r="B1109" t="inlineStr">
        <is>
          <t>Av. Rio Das Pedras, 4117</t>
        </is>
      </c>
      <c r="C1109" t="inlineStr">
        <is>
          <t>Ref.: R Pocos De Caldas/ R Ana Santesso</t>
        </is>
      </c>
      <c r="D1109" s="58" t="n">
        <v>-23.583688</v>
      </c>
      <c r="E1109" s="58" t="n">
        <v>-46.493855</v>
      </c>
    </row>
    <row r="1110">
      <c r="A1110" t="n">
        <v>750012300</v>
      </c>
      <c r="B1110" t="inlineStr">
        <is>
          <t>Av. Rio Das Pedras, 3837</t>
        </is>
      </c>
      <c r="C1110" t="inlineStr">
        <is>
          <t>Ref.: R Felisberto Augusto De Oliveira/ R Doutor Mario Rodrigues Louza</t>
        </is>
      </c>
      <c r="D1110" s="58" t="n">
        <v>-23.582829</v>
      </c>
      <c r="E1110" s="58" t="n">
        <v>-46.4963</v>
      </c>
    </row>
    <row r="1111">
      <c r="A1111" t="n">
        <v>750012301</v>
      </c>
      <c r="B1111" t="inlineStr">
        <is>
          <t>Av. Rio Das Pedras, 3521</t>
        </is>
      </c>
      <c r="C1111" t="inlineStr">
        <is>
          <t>Ref.: R Funilandia/ R Capinopolis</t>
        </is>
      </c>
      <c r="D1111" s="58" t="n">
        <v>-23.581094</v>
      </c>
      <c r="E1111" s="58" t="n">
        <v>-46.498731</v>
      </c>
    </row>
    <row r="1112">
      <c r="A1112" t="n">
        <v>750012664</v>
      </c>
      <c r="B1112" t="inlineStr">
        <is>
          <t>Av. Aricanduva, 6640</t>
        </is>
      </c>
      <c r="C1112" t="inlineStr">
        <is>
          <t>Ref.: R Lamim/ R Capinopolis</t>
        </is>
      </c>
      <c r="D1112" s="58" t="n">
        <v>-23.578822</v>
      </c>
      <c r="E1112" s="58" t="n">
        <v>-46.498679</v>
      </c>
    </row>
    <row r="1113">
      <c r="A1113" t="n">
        <v>750012665</v>
      </c>
      <c r="B1113" t="inlineStr">
        <is>
          <t>Av. Aricanduva, 7786</t>
        </is>
      </c>
      <c r="C1113" t="inlineStr">
        <is>
          <t>Ref.: R Funilandia/ R Ana Santesso</t>
        </is>
      </c>
      <c r="D1113" s="58" t="n">
        <v>-23.579057</v>
      </c>
      <c r="E1113" s="58" t="n">
        <v>-46.496567</v>
      </c>
    </row>
    <row r="1114">
      <c r="A1114" t="n">
        <v>780005491</v>
      </c>
      <c r="B1114" t="inlineStr">
        <is>
          <t>Av. Da Barreira Grande, 3029</t>
        </is>
      </c>
      <c r="C1114" t="inlineStr">
        <is>
          <t>Ref.: R Amelia Vanso Magnoli/ R James Nares</t>
        </is>
      </c>
      <c r="D1114" s="58" t="n">
        <v>-23.589513</v>
      </c>
      <c r="E1114" s="58" t="n">
        <v>-46.508274</v>
      </c>
    </row>
    <row r="1115">
      <c r="A1115" t="n">
        <v>780005530</v>
      </c>
      <c r="B1115" t="inlineStr">
        <is>
          <t>Av. Da Barreira Grande, 2079</t>
        </is>
      </c>
      <c r="C1115" t="inlineStr">
        <is>
          <t>Ref.: R Pedro De Castro Velho/ Av Lauro Xerfan</t>
        </is>
      </c>
      <c r="D1115" s="58" t="n">
        <v>-23.587144</v>
      </c>
      <c r="E1115" s="58" t="n">
        <v>-46.516306</v>
      </c>
    </row>
    <row r="1116">
      <c r="A1116" t="n">
        <v>780005531</v>
      </c>
      <c r="B1116" t="inlineStr">
        <is>
          <t>Av. Da Barreira Grande, 1965</t>
        </is>
      </c>
      <c r="C1116" t="inlineStr">
        <is>
          <t>Ref.: R Raio De Sol/ Av Lauro Xerfan</t>
        </is>
      </c>
      <c r="D1116" s="58" t="n">
        <v>-23.586829</v>
      </c>
      <c r="E1116" s="58" t="n">
        <v>-46.517275</v>
      </c>
    </row>
    <row r="1117">
      <c r="A1117" t="n">
        <v>780005532</v>
      </c>
      <c r="B1117" t="inlineStr">
        <is>
          <t>Av. Da Barreira Grande, 1710</t>
        </is>
      </c>
      <c r="C1117" t="inlineStr">
        <is>
          <t>Ref.: R Castelo Rodrigo/ R Garcez Do Nascimento</t>
        </is>
      </c>
      <c r="D1117" s="58" t="n">
        <v>-23.585695</v>
      </c>
      <c r="E1117" s="58" t="n">
        <v>-46.518895</v>
      </c>
    </row>
    <row r="1118">
      <c r="A1118" t="n">
        <v>780005533</v>
      </c>
      <c r="B1118" t="inlineStr">
        <is>
          <t>Av. Da Barreira Grande, 1679</t>
        </is>
      </c>
      <c r="C1118" t="inlineStr">
        <is>
          <t>Ref.: R Alger/av. Inconfidencia Mineira</t>
        </is>
      </c>
      <c r="D1118" s="58" t="n">
        <v>-23.585387</v>
      </c>
      <c r="E1118" s="58" t="n">
        <v>-46.519471</v>
      </c>
    </row>
    <row r="1119">
      <c r="A1119" t="n">
        <v>780005553</v>
      </c>
      <c r="B1119" t="inlineStr">
        <is>
          <t>Av. Da Barreira Grande, 1548</t>
        </is>
      </c>
      <c r="C1119" t="inlineStr">
        <is>
          <t>Ref.: R Engenheiro Pinto Martins/ Av Inconfidencia Mineira</t>
        </is>
      </c>
      <c r="D1119" s="58" t="n">
        <v>-23.584881</v>
      </c>
      <c r="E1119" s="58" t="n">
        <v>-46.520702</v>
      </c>
    </row>
    <row r="1120">
      <c r="A1120" t="n">
        <v>780005555</v>
      </c>
      <c r="B1120" t="inlineStr">
        <is>
          <t>Av. Da Barreira Grande, 1209</t>
        </is>
      </c>
      <c r="C1120" t="inlineStr">
        <is>
          <t>Ref.: R Sylvio Pesseti/ R Acaron</t>
        </is>
      </c>
      <c r="D1120" s="58" t="n">
        <v>-23.584891</v>
      </c>
      <c r="E1120" s="58" t="n">
        <v>-46.523695</v>
      </c>
    </row>
    <row r="1121">
      <c r="A1121" t="n">
        <v>780005556</v>
      </c>
      <c r="B1121" t="inlineStr">
        <is>
          <t>Av. Da Barreira Grande, 1156</t>
        </is>
      </c>
      <c r="C1121" t="inlineStr">
        <is>
          <t>Ref.: R Acaron/ R Arambare</t>
        </is>
      </c>
      <c r="D1121" s="58" t="n">
        <v>-23.585013</v>
      </c>
      <c r="E1121" s="58" t="n">
        <v>-46.524172</v>
      </c>
    </row>
    <row r="1122">
      <c r="A1122" t="n">
        <v>780006287</v>
      </c>
      <c r="B1122" t="inlineStr">
        <is>
          <t>R. Nova Brasília, 75</t>
        </is>
      </c>
      <c r="C1122" t="inlineStr">
        <is>
          <t>Ref.: R Canoeiros/ Tr Jorge Gomes</t>
        </is>
      </c>
      <c r="D1122" s="58" t="n">
        <v>-23.594848</v>
      </c>
      <c r="E1122" s="58" t="n">
        <v>-46.50552</v>
      </c>
    </row>
    <row r="1123">
      <c r="A1123" t="n">
        <v>780006289</v>
      </c>
      <c r="B1123" t="inlineStr">
        <is>
          <t>R. Nova Brasília, 367</t>
        </is>
      </c>
      <c r="C1123" t="inlineStr">
        <is>
          <t>Ref.: R Mara Rosa/ R Luis Antonio Da Costa</t>
        </is>
      </c>
      <c r="D1123" s="58" t="n">
        <v>-23.59684</v>
      </c>
      <c r="E1123" s="58" t="n">
        <v>-46.507156</v>
      </c>
    </row>
    <row r="1124">
      <c r="A1124" t="n">
        <v>780006290</v>
      </c>
      <c r="B1124" t="inlineStr">
        <is>
          <t>R. Nova Brasília, 408</t>
        </is>
      </c>
      <c r="C1124" t="inlineStr">
        <is>
          <t>Ref.: R Mara Rosa/ R Luis Antonio Da Costa</t>
        </is>
      </c>
      <c r="D1124" s="58" t="n">
        <v>-23.597092</v>
      </c>
      <c r="E1124" s="58" t="n">
        <v>-46.507294</v>
      </c>
    </row>
    <row r="1125">
      <c r="A1125" t="n">
        <v>780006291</v>
      </c>
      <c r="B1125" t="inlineStr">
        <is>
          <t>R. Nova Brasília, 857</t>
        </is>
      </c>
      <c r="C1125" t="inlineStr">
        <is>
          <t>Ref.: R Manuel Vilalobos/ R Hermes Silva</t>
        </is>
      </c>
      <c r="D1125" s="58" t="n">
        <v>-23.59812</v>
      </c>
      <c r="E1125" s="58" t="n">
        <v>-46.510948</v>
      </c>
    </row>
    <row r="1126">
      <c r="A1126" t="n">
        <v>780006292</v>
      </c>
      <c r="B1126" t="inlineStr">
        <is>
          <t>R. Nova Brasília, 902</t>
        </is>
      </c>
      <c r="C1126" t="inlineStr">
        <is>
          <t>Ref.: R Manuel Vilalobos/ R Jose De Oliveira China</t>
        </is>
      </c>
      <c r="D1126" s="58" t="n">
        <v>-23.598066</v>
      </c>
      <c r="E1126" s="58" t="n">
        <v>-46.511506</v>
      </c>
    </row>
    <row r="1127">
      <c r="A1127" t="n">
        <v>780006293</v>
      </c>
      <c r="B1127" t="inlineStr">
        <is>
          <t>R. Gen. Porfírio Da Paz, 2209</t>
        </is>
      </c>
      <c r="C1127" t="inlineStr">
        <is>
          <t>Ref.: R Antonio Batista De Oliveira/ R General Porfirio Da Paz</t>
        </is>
      </c>
      <c r="D1127" s="58" t="n">
        <v>-23.599382</v>
      </c>
      <c r="E1127" s="58" t="n">
        <v>-46.513718</v>
      </c>
    </row>
    <row r="1128">
      <c r="A1128" t="n">
        <v>780006294</v>
      </c>
      <c r="B1128" t="inlineStr">
        <is>
          <t>R. Gen. Porfírio Da Paz, 2208</t>
        </is>
      </c>
      <c r="C1128" t="inlineStr">
        <is>
          <t>Ref.: R Antonio Batista De Oliveira/ R General Porfirio Da Paz</t>
        </is>
      </c>
      <c r="D1128" s="58" t="n">
        <v>-23.599253</v>
      </c>
      <c r="E1128" s="58" t="n">
        <v>-46.513878</v>
      </c>
    </row>
    <row r="1129">
      <c r="A1129" t="n">
        <v>780006296</v>
      </c>
      <c r="B1129" t="inlineStr">
        <is>
          <t>R. Gen. Porfírio Da Paz, 1250</t>
        </is>
      </c>
      <c r="C1129" t="inlineStr">
        <is>
          <t>Ref.: Av Israel Fonseca/ R Borges De Medeiros</t>
        </is>
      </c>
      <c r="D1129" s="58" t="n">
        <v>-23.595395</v>
      </c>
      <c r="E1129" s="58" t="n">
        <v>-46.518266</v>
      </c>
    </row>
    <row r="1130">
      <c r="A1130" t="n">
        <v>780006297</v>
      </c>
      <c r="B1130" t="inlineStr">
        <is>
          <t>R. Gen. Porfírio Da Paz, 1171</t>
        </is>
      </c>
      <c r="C1130" t="inlineStr">
        <is>
          <t>Ref.: R Dos Gerentes/ R Do Cambio</t>
        </is>
      </c>
      <c r="D1130" s="58" t="n">
        <v>-23.594952</v>
      </c>
      <c r="E1130" s="58" t="n">
        <v>-46.518517</v>
      </c>
    </row>
    <row r="1131">
      <c r="A1131" t="n">
        <v>780006298</v>
      </c>
      <c r="B1131" t="inlineStr">
        <is>
          <t>R. Gen. Porfírio Da Paz, 815</t>
        </is>
      </c>
      <c r="C1131" t="inlineStr">
        <is>
          <t>Ref.: Tr Margaridas Ao Vento/ R Guilherme Studart</t>
        </is>
      </c>
      <c r="D1131" s="58" t="n">
        <v>-23.592155</v>
      </c>
      <c r="E1131" s="58" t="n">
        <v>-46.519497</v>
      </c>
    </row>
    <row r="1132">
      <c r="A1132" t="n">
        <v>780006299</v>
      </c>
      <c r="B1132" t="inlineStr">
        <is>
          <t>R. Gen. Porfírio Da Paz, 778</t>
        </is>
      </c>
      <c r="C1132" t="inlineStr">
        <is>
          <t>Ref.: R Dos Tesoureiros/ R Guilherme Studart</t>
        </is>
      </c>
      <c r="D1132" s="58" t="n">
        <v>-23.591862</v>
      </c>
      <c r="E1132" s="58" t="n">
        <v>-46.519516</v>
      </c>
    </row>
    <row r="1133">
      <c r="A1133" t="n">
        <v>780006300</v>
      </c>
      <c r="B1133" t="inlineStr">
        <is>
          <t>R. Gen. Porfírio Da Paz, 8</t>
        </is>
      </c>
      <c r="C1133" t="inlineStr">
        <is>
          <t>Ref.: R Dos Correntistas/ Av Da Barreira Grande</t>
        </is>
      </c>
      <c r="D1133" s="58" t="n">
        <v>-23.585976</v>
      </c>
      <c r="E1133" s="58" t="n">
        <v>-46.518754</v>
      </c>
    </row>
    <row r="1134">
      <c r="A1134" t="n">
        <v>780006301</v>
      </c>
      <c r="B1134" t="inlineStr">
        <is>
          <t>R. Gen. Porfírio Da Paz, 378</t>
        </is>
      </c>
      <c r="C1134" t="inlineStr">
        <is>
          <t>Ref.: R Da Bolsa/ R Dos Cambistas</t>
        </is>
      </c>
      <c r="D1134" s="58" t="n">
        <v>-23.588725</v>
      </c>
      <c r="E1134" s="58" t="n">
        <v>-46.520204</v>
      </c>
    </row>
    <row r="1135">
      <c r="A1135" t="n">
        <v>780006302</v>
      </c>
      <c r="B1135" t="inlineStr">
        <is>
          <t>R. Gen. Porfírio Da Paz, 543</t>
        </is>
      </c>
      <c r="C1135" t="inlineStr">
        <is>
          <t>Ref.: R Dos Financeiros/ R Da Bolsa</t>
        </is>
      </c>
      <c r="D1135" s="58" t="n">
        <v>-23.589783</v>
      </c>
      <c r="E1135" s="58" t="n">
        <v>-46.519875</v>
      </c>
    </row>
    <row r="1136">
      <c r="A1136" t="n">
        <v>780006303</v>
      </c>
      <c r="B1136" t="inlineStr">
        <is>
          <t>R. Gen. Porfírio Da Paz, 564</t>
        </is>
      </c>
      <c r="C1136" t="inlineStr">
        <is>
          <t>Ref.: R Dos Financeiros/ R Da Bolsa</t>
        </is>
      </c>
      <c r="D1136" s="58" t="n">
        <v>-23.590101</v>
      </c>
      <c r="E1136" s="58" t="n">
        <v>-46.519718</v>
      </c>
    </row>
    <row r="1137">
      <c r="A1137" t="n">
        <v>780006304</v>
      </c>
      <c r="B1137" t="inlineStr">
        <is>
          <t>R. Gen. Porfírio Da Paz, 1822</t>
        </is>
      </c>
      <c r="C1137" t="inlineStr">
        <is>
          <t>Ref.: R Antonio Batista De Oliveira/ R Marselha</t>
        </is>
      </c>
      <c r="D1137" s="58" t="n">
        <v>-23.596457</v>
      </c>
      <c r="E1137" s="58" t="n">
        <v>-46.513729</v>
      </c>
    </row>
    <row r="1138">
      <c r="A1138" t="n">
        <v>780006305</v>
      </c>
      <c r="B1138" t="inlineStr">
        <is>
          <t>R. Gen. Porfírio Da Paz, 1915</t>
        </is>
      </c>
      <c r="C1138" t="inlineStr">
        <is>
          <t>Ref.: R Manoel Do Sacramento/ R Manchester</t>
        </is>
      </c>
      <c r="D1138" s="58" t="n">
        <v>-23.59716</v>
      </c>
      <c r="E1138" s="58" t="n">
        <v>-46.513457</v>
      </c>
    </row>
    <row r="1139">
      <c r="A1139" t="n">
        <v>780006319</v>
      </c>
      <c r="B1139" t="inlineStr">
        <is>
          <t>R. Dr. Domingos Americano, 431</t>
        </is>
      </c>
      <c r="C1139" t="inlineStr">
        <is>
          <t>R. Dr. Domingos Americano, 431 Ref.: R Coronel Petrarca De Mesquita/ R Edouard Corbiere</t>
        </is>
      </c>
      <c r="D1139" s="58" t="n">
        <v>-23.591545</v>
      </c>
      <c r="E1139" s="58" t="n">
        <v>-46.516174</v>
      </c>
    </row>
    <row r="1140">
      <c r="A1140" t="n">
        <v>780006356</v>
      </c>
      <c r="B1140" t="inlineStr">
        <is>
          <t>Av. Francisco Vieira Bueno, 625</t>
        </is>
      </c>
      <c r="C1140" t="inlineStr">
        <is>
          <t>Ref.: Pc Guilherme De Salisbury/ Av Egidio Martins</t>
        </is>
      </c>
      <c r="D1140" s="58" t="n">
        <v>-23.59392</v>
      </c>
      <c r="E1140" s="58" t="n">
        <v>-46.526478</v>
      </c>
    </row>
    <row r="1141">
      <c r="A1141" t="n">
        <v>780006357</v>
      </c>
      <c r="B1141" t="inlineStr">
        <is>
          <t>Av. Francisco Vieira Bueno, 612</t>
        </is>
      </c>
      <c r="C1141" t="inlineStr">
        <is>
          <t>Ref.: Pc Guilherme De Salisbury/ Av Egidio Martins</t>
        </is>
      </c>
      <c r="D1141" s="58" t="n">
        <v>-23.593969</v>
      </c>
      <c r="E1141" s="58" t="n">
        <v>-46.526588</v>
      </c>
    </row>
    <row r="1142">
      <c r="A1142" t="n">
        <v>780006358</v>
      </c>
      <c r="B1142" t="inlineStr">
        <is>
          <t>Av. Francisco Vieira Bueno, 380</t>
        </is>
      </c>
      <c r="C1142" t="inlineStr">
        <is>
          <t>Ref.: R Frederico Jahn/ R Chiquinha Gonzaga</t>
        </is>
      </c>
      <c r="D1142" s="58" t="n">
        <v>-23.592583</v>
      </c>
      <c r="E1142" s="58" t="n">
        <v>-46.527985</v>
      </c>
    </row>
    <row r="1143">
      <c r="A1143" t="n">
        <v>780006359</v>
      </c>
      <c r="B1143" t="inlineStr">
        <is>
          <t>Av. Francisco Vieira Bueno, 309</t>
        </is>
      </c>
      <c r="C1143" t="inlineStr">
        <is>
          <t>Ref.: R Frederico Jahn/ R Chiquinha Gonzaga</t>
        </is>
      </c>
      <c r="D1143" s="58" t="n">
        <v>-23.592014</v>
      </c>
      <c r="E1143" s="58" t="n">
        <v>-46.528442</v>
      </c>
    </row>
    <row r="1144">
      <c r="A1144" t="n">
        <v>780006360</v>
      </c>
      <c r="B1144" t="inlineStr">
        <is>
          <t>Av. Francisco Vieira Bueno, 156</t>
        </is>
      </c>
      <c r="C1144" t="inlineStr">
        <is>
          <t>Ref.: R Jose Ingenieros/ R Professor Cortines Laxo</t>
        </is>
      </c>
      <c r="D1144" s="58" t="n">
        <v>-23.591072</v>
      </c>
      <c r="E1144" s="58" t="n">
        <v>-46.529655</v>
      </c>
    </row>
    <row r="1145">
      <c r="A1145" t="n">
        <v>780006361</v>
      </c>
      <c r="B1145" t="inlineStr">
        <is>
          <t>Av. Francisco Vieira Bueno, 23</t>
        </is>
      </c>
      <c r="C1145" t="inlineStr">
        <is>
          <t>Ref.: R Professor Cortines Laxo/ R Desembargador Veloso De Oliveira</t>
        </is>
      </c>
      <c r="D1145" s="58" t="n">
        <v>-23.590343</v>
      </c>
      <c r="E1145" s="58" t="n">
        <v>-46.530388</v>
      </c>
    </row>
    <row r="1146">
      <c r="A1146" t="n">
        <v>780006363</v>
      </c>
      <c r="B1146" t="inlineStr">
        <is>
          <t>Av. Eng. Feijó Bitencourt, 162</t>
        </is>
      </c>
      <c r="C1146" t="inlineStr">
        <is>
          <t>Ref.: Rua Álvaro Moreira</t>
        </is>
      </c>
      <c r="D1146" s="58" t="n">
        <v>-23.588377</v>
      </c>
      <c r="E1146" s="58" t="n">
        <v>-46.529762</v>
      </c>
    </row>
    <row r="1147">
      <c r="A1147" t="n">
        <v>780006364</v>
      </c>
      <c r="B1147" t="inlineStr">
        <is>
          <t>Av. Eng. Feijó Bitencourt, 568</t>
        </is>
      </c>
      <c r="C1147" t="inlineStr">
        <is>
          <t>Ref.: Rua Inácio De Loiola</t>
        </is>
      </c>
      <c r="D1147" s="58" t="n">
        <v>-23.586178</v>
      </c>
      <c r="E1147" s="58" t="n">
        <v>-46.526409</v>
      </c>
    </row>
    <row r="1148">
      <c r="A1148" t="n">
        <v>780006365</v>
      </c>
      <c r="B1148" t="inlineStr">
        <is>
          <t>Av. Eng. Feijó Bitencourt, 609</t>
        </is>
      </c>
      <c r="C1148" t="inlineStr">
        <is>
          <t>Ref.: Rua Inácio De Loiola</t>
        </is>
      </c>
      <c r="D1148" s="58" t="n">
        <v>-23.586002</v>
      </c>
      <c r="E1148" s="58" t="n">
        <v>-46.526329</v>
      </c>
    </row>
    <row r="1149">
      <c r="A1149" t="n">
        <v>780006665</v>
      </c>
      <c r="B1149" t="inlineStr">
        <is>
          <t>Av. Sapopemba, 6495</t>
        </is>
      </c>
      <c r="C1149" t="inlineStr">
        <is>
          <t>Ref.: R Antonio De Paula Souza/ R Nicola Farelli</t>
        </is>
      </c>
      <c r="D1149" s="58" t="n">
        <v>-23.588324</v>
      </c>
      <c r="E1149" s="58" t="n">
        <v>-46.532253</v>
      </c>
    </row>
    <row r="1150">
      <c r="A1150" t="n">
        <v>780006666</v>
      </c>
      <c r="B1150" t="inlineStr">
        <is>
          <t>Av. Sapopemba, 6574</t>
        </is>
      </c>
      <c r="C1150" t="inlineStr">
        <is>
          <t>Ref.: R Antonio De Paula Souza/ R Rodolfo Bernardelli</t>
        </is>
      </c>
      <c r="D1150" s="58" t="n">
        <v>-23.588995</v>
      </c>
      <c r="E1150" s="58" t="n">
        <v>-46.532238</v>
      </c>
    </row>
    <row r="1151">
      <c r="A1151" t="n">
        <v>780006667</v>
      </c>
      <c r="B1151" t="inlineStr">
        <is>
          <t>Av. Sapopemba, 6832</t>
        </is>
      </c>
      <c r="C1151" t="inlineStr">
        <is>
          <t>Ref.: R Mossoro/ R Aureliano Do Amaral</t>
        </is>
      </c>
      <c r="D1151" s="58" t="n">
        <v>-23.590878</v>
      </c>
      <c r="E1151" s="58" t="n">
        <v>-46.531338</v>
      </c>
    </row>
    <row r="1152">
      <c r="A1152" t="n">
        <v>780006668</v>
      </c>
      <c r="B1152" t="inlineStr">
        <is>
          <t>Av. Sapopemba, 6897</t>
        </is>
      </c>
      <c r="C1152" t="inlineStr">
        <is>
          <t>Ref.: R Joao Tauler/ R Tales</t>
        </is>
      </c>
      <c r="D1152" s="58" t="n">
        <v>-23.59127</v>
      </c>
      <c r="E1152" s="58" t="n">
        <v>-46.530575</v>
      </c>
    </row>
    <row r="1153">
      <c r="A1153" t="n">
        <v>780006669</v>
      </c>
      <c r="B1153" t="inlineStr">
        <is>
          <t>Av. Sapopemba, 7098</t>
        </is>
      </c>
      <c r="C1153" t="inlineStr">
        <is>
          <t>Ref.: R Tales/ R Posidonio</t>
        </is>
      </c>
      <c r="D1153" s="58" t="n">
        <v>-23.592424</v>
      </c>
      <c r="E1153" s="58" t="n">
        <v>-46.529217</v>
      </c>
    </row>
    <row r="1154">
      <c r="A1154" t="n">
        <v>780006670</v>
      </c>
      <c r="B1154" t="inlineStr">
        <is>
          <t>Av. Sapopemba, 7235</t>
        </is>
      </c>
      <c r="C1154" t="inlineStr">
        <is>
          <t>Ref.: R Posidonio/ R Antonio Muniz Fagundes</t>
        </is>
      </c>
      <c r="D1154" s="58" t="n">
        <v>-23.593187</v>
      </c>
      <c r="E1154" s="58" t="n">
        <v>-46.528202</v>
      </c>
    </row>
    <row r="1155">
      <c r="A1155" t="n">
        <v>780006671</v>
      </c>
      <c r="B1155" t="inlineStr">
        <is>
          <t>Av. Sapopemba, 7420</t>
        </is>
      </c>
      <c r="C1155" t="inlineStr">
        <is>
          <t>Ref.: R Doutor Eugenio Casillo/ R Padre Atilio Garret</t>
        </is>
      </c>
      <c r="D1155" s="58" t="n">
        <v>-23.594477</v>
      </c>
      <c r="E1155" s="58" t="n">
        <v>-46.526997</v>
      </c>
    </row>
    <row r="1156">
      <c r="A1156" t="n">
        <v>780006795</v>
      </c>
      <c r="B1156" t="inlineStr">
        <is>
          <t>Av. Sapopemba, 8842</t>
        </is>
      </c>
      <c r="C1156" t="inlineStr">
        <is>
          <t>Ref.: R Jose Joaquim/ R Obelisco</t>
        </is>
      </c>
      <c r="D1156" s="58" t="n">
        <v>-23.599413</v>
      </c>
      <c r="E1156" s="58" t="n">
        <v>-46.514931</v>
      </c>
    </row>
    <row r="1157">
      <c r="A1157" t="n">
        <v>780006796</v>
      </c>
      <c r="B1157" t="inlineStr">
        <is>
          <t>Av. Sapopemba, 9267</t>
        </is>
      </c>
      <c r="C1157" t="inlineStr">
        <is>
          <t>Ref.: R Alberto Gomes Leite/ R Francisco Vaz Coelho</t>
        </is>
      </c>
      <c r="D1157" s="58" t="n">
        <v>-23.601803</v>
      </c>
      <c r="E1157" s="58" t="n">
        <v>-46.511272</v>
      </c>
    </row>
    <row r="1158">
      <c r="A1158" t="n">
        <v>780006797</v>
      </c>
      <c r="B1158" t="inlineStr">
        <is>
          <t>Av. Sapopemba, 9317</t>
        </is>
      </c>
      <c r="C1158" t="inlineStr">
        <is>
          <t>Ref.: R Alberto Gomes Leite/ R Francisco Vaz Coelho</t>
        </is>
      </c>
      <c r="D1158" s="58" t="n">
        <v>-23.602112</v>
      </c>
      <c r="E1158" s="58" t="n">
        <v>-46.510853</v>
      </c>
    </row>
    <row r="1159">
      <c r="A1159" t="n">
        <v>780006798</v>
      </c>
      <c r="B1159" t="inlineStr">
        <is>
          <t>Av. Sapopemba, 9524</t>
        </is>
      </c>
      <c r="C1159" t="inlineStr">
        <is>
          <t>Ref.: R Ferreira De Abreu/ R Hugo De Barros</t>
        </is>
      </c>
      <c r="D1159" s="58" t="n">
        <v>-23.603739</v>
      </c>
      <c r="E1159" s="58" t="n">
        <v>-46.509769</v>
      </c>
    </row>
    <row r="1160">
      <c r="A1160" t="n">
        <v>780006799</v>
      </c>
      <c r="B1160" t="inlineStr">
        <is>
          <t>Av. Sapopemba, 9517</t>
        </is>
      </c>
      <c r="C1160" t="inlineStr">
        <is>
          <t>Ref.: R Ferreira De Abreu/ R Hugo De Barros</t>
        </is>
      </c>
      <c r="D1160" s="58" t="n">
        <v>-23.60375</v>
      </c>
      <c r="E1160" s="58" t="n">
        <v>-46.509602</v>
      </c>
    </row>
    <row r="1161">
      <c r="A1161" t="n">
        <v>780006802</v>
      </c>
      <c r="B1161" t="inlineStr">
        <is>
          <t>Av. Sapopemba, 10254</t>
        </is>
      </c>
      <c r="C1161" t="inlineStr">
        <is>
          <t>Ref.: Av Lourival Fontes/ R Felice Tosi</t>
        </is>
      </c>
      <c r="D1161" s="58" t="n">
        <v>-23.60919</v>
      </c>
      <c r="E1161" s="58" t="n">
        <v>-46.505589</v>
      </c>
    </row>
    <row r="1162">
      <c r="A1162" t="n">
        <v>780006803</v>
      </c>
      <c r="B1162" t="inlineStr">
        <is>
          <t>Av. Sapopemba, 10828</t>
        </is>
      </c>
      <c r="C1162" t="inlineStr">
        <is>
          <t>Ref.: R Doutor Edgard Pinto Cesar/ Av Custodio De Sa E Faria</t>
        </is>
      </c>
      <c r="D1162" s="58" t="n">
        <v>-23.613508</v>
      </c>
      <c r="E1162" s="58" t="n">
        <v>-46.503876</v>
      </c>
    </row>
    <row r="1163">
      <c r="A1163" t="n">
        <v>780006804</v>
      </c>
      <c r="B1163" t="inlineStr">
        <is>
          <t>Av. Sapopemba, 11236</t>
        </is>
      </c>
      <c r="C1163" t="inlineStr">
        <is>
          <t>Ref.: R Leite Furtado/ R Cristovao De Vasconcelos</t>
        </is>
      </c>
      <c r="D1163" s="58" t="n">
        <v>-23.614735</v>
      </c>
      <c r="E1163" s="58" t="n">
        <v>-46.500458</v>
      </c>
    </row>
    <row r="1164">
      <c r="A1164" t="n">
        <v>780006805</v>
      </c>
      <c r="B1164" t="inlineStr">
        <is>
          <t>Av. Sapopemba, 11456</t>
        </is>
      </c>
      <c r="C1164" t="inlineStr">
        <is>
          <t>Ref.: Tr Canto Nostalgico/ R Tenente Godofredo Cerqueira Leite</t>
        </is>
      </c>
      <c r="D1164" s="58" t="n">
        <v>-23.614399</v>
      </c>
      <c r="E1164" s="58" t="n">
        <v>-46.498676</v>
      </c>
    </row>
    <row r="1165">
      <c r="A1165" t="n">
        <v>780006806</v>
      </c>
      <c r="B1165" t="inlineStr">
        <is>
          <t>Av. Sapopemba, 11604</t>
        </is>
      </c>
      <c r="C1165" t="inlineStr">
        <is>
          <t>Ref.: R Soldado Candido Da Luz Paiva/ R Cabo Fleury Silva</t>
        </is>
      </c>
      <c r="D1165" s="58" t="n">
        <v>-23.614197</v>
      </c>
      <c r="E1165" s="58" t="n">
        <v>-46.496002</v>
      </c>
    </row>
    <row r="1166">
      <c r="A1166" t="n">
        <v>780006807</v>
      </c>
      <c r="B1166" t="inlineStr">
        <is>
          <t>Av. Sapopemba, 11760</t>
        </is>
      </c>
      <c r="C1166" t="inlineStr">
        <is>
          <t>Ref.: R Antonio Adorno/ Av Joao Rodrigues Ruiz</t>
        </is>
      </c>
      <c r="D1166" s="58" t="n">
        <v>-23.612932</v>
      </c>
      <c r="E1166" s="58" t="n">
        <v>-46.494419</v>
      </c>
    </row>
    <row r="1167">
      <c r="A1167" t="n">
        <v>780006808</v>
      </c>
      <c r="B1167" t="inlineStr">
        <is>
          <t>Av. Sapopemba, 12180</t>
        </is>
      </c>
      <c r="C1167" t="inlineStr">
        <is>
          <t>Ref.: R Antonio Leal Da Silva/ R Padre Antonio</t>
        </is>
      </c>
      <c r="D1167" s="58" t="n">
        <v>-23.612978</v>
      </c>
      <c r="E1167" s="58" t="n">
        <v>-46.491238</v>
      </c>
    </row>
    <row r="1168">
      <c r="A1168" t="n">
        <v>780006809</v>
      </c>
      <c r="B1168" t="inlineStr">
        <is>
          <t>Av. Sapopemba, 12152</t>
        </is>
      </c>
      <c r="C1168" t="inlineStr">
        <is>
          <t>Ref.: R Antonio Leal Da Silva/ R Alfonso Este -- Fundos Da Emef Prof. Giuseppe Tavolaro</t>
        </is>
      </c>
      <c r="D1168" s="58" t="n">
        <v>-23.613066</v>
      </c>
      <c r="E1168" s="58" t="n">
        <v>-46.489243</v>
      </c>
    </row>
    <row r="1169">
      <c r="A1169" t="n">
        <v>780006810</v>
      </c>
      <c r="B1169" t="inlineStr">
        <is>
          <t>Estação Fazenda Da Juta - Monotrilho</t>
        </is>
      </c>
      <c r="C1169" t="inlineStr">
        <is>
          <t>Av. Sapopemba, 12581 Ref.: Rua Benjamim De Tudela</t>
        </is>
      </c>
      <c r="D1169" s="58" t="n">
        <v>-23.612118</v>
      </c>
      <c r="E1169" s="58" t="n">
        <v>-46.487686</v>
      </c>
    </row>
    <row r="1170">
      <c r="A1170" t="n">
        <v>780006813</v>
      </c>
      <c r="B1170" t="inlineStr">
        <is>
          <t>Av. Sapopemba, 12727</t>
        </is>
      </c>
      <c r="C1170" t="inlineStr">
        <is>
          <t>Ref.: Av Tenente Lauro Sodre/ R Eduardo Antonio De Paula</t>
        </is>
      </c>
      <c r="D1170" s="58" t="n">
        <v>-23.61013</v>
      </c>
      <c r="E1170" s="58" t="n">
        <v>-46.48542</v>
      </c>
    </row>
    <row r="1171">
      <c r="A1171" t="n">
        <v>780006815</v>
      </c>
      <c r="B1171" t="inlineStr">
        <is>
          <t>Av. Sapopemba, 12127</t>
        </is>
      </c>
      <c r="C1171" t="inlineStr">
        <is>
          <t>Ref.: R Antonio Leal Da Silva/ R Padre Antonio</t>
        </is>
      </c>
      <c r="D1171" s="58" t="n">
        <v>-23.612774</v>
      </c>
      <c r="E1171" s="58" t="n">
        <v>-46.491543</v>
      </c>
    </row>
    <row r="1172">
      <c r="A1172" t="n">
        <v>780006816</v>
      </c>
      <c r="B1172" t="inlineStr">
        <is>
          <t>Av. Sapopemba, 11837</t>
        </is>
      </c>
      <c r="C1172" t="inlineStr">
        <is>
          <t>Ref.: R Antonio Adorno/ Av Joao Rodrigues Ruiz</t>
        </is>
      </c>
      <c r="D1172" s="58" t="n">
        <v>-23.612751</v>
      </c>
      <c r="E1172" s="58" t="n">
        <v>-46.494671</v>
      </c>
    </row>
    <row r="1173">
      <c r="A1173" t="n">
        <v>780006817</v>
      </c>
      <c r="B1173" t="inlineStr">
        <is>
          <t>Av. Sapopemba, 11625</t>
        </is>
      </c>
      <c r="C1173" t="inlineStr">
        <is>
          <t>Ref.: R Sargento Max Wolf Filho/ R Cabo Gastao Gama</t>
        </is>
      </c>
      <c r="D1173" s="58" t="n">
        <v>-23.614038</v>
      </c>
      <c r="E1173" s="58" t="n">
        <v>-46.497448</v>
      </c>
    </row>
    <row r="1174">
      <c r="A1174" t="n">
        <v>780006818</v>
      </c>
      <c r="B1174" t="inlineStr">
        <is>
          <t>Av. Sapopemba, 11180</t>
        </is>
      </c>
      <c r="C1174" t="inlineStr">
        <is>
          <t>Ref.: Av Arquiteto Vilanova Artigas/ R Leite Furtado</t>
        </is>
      </c>
      <c r="D1174" s="58" t="n">
        <v>-23.614635</v>
      </c>
      <c r="E1174" s="58" t="n">
        <v>-46.501312</v>
      </c>
    </row>
    <row r="1175">
      <c r="A1175" t="n">
        <v>780006820</v>
      </c>
      <c r="B1175" t="inlineStr">
        <is>
          <t>Av. Sapopemba, 10226</t>
        </is>
      </c>
      <c r="C1175" t="inlineStr">
        <is>
          <t>Ref.: Av Lourival Fontes/ R Felice Tosi</t>
        </is>
      </c>
      <c r="D1175" s="58" t="n">
        <v>-23.608767</v>
      </c>
      <c r="E1175" s="58" t="n">
        <v>-46.505836</v>
      </c>
    </row>
    <row r="1176">
      <c r="A1176" t="n">
        <v>780006821</v>
      </c>
      <c r="B1176" t="inlineStr">
        <is>
          <t>Av. Sapopemba, 9829</t>
        </is>
      </c>
      <c r="C1176" t="inlineStr">
        <is>
          <t>Ref.: R Francisca Marinho/ R Doutor Frederico Martins Da Costa Carvalho</t>
        </is>
      </c>
      <c r="D1176" s="58" t="n">
        <v>-23.605759</v>
      </c>
      <c r="E1176" s="58" t="n">
        <v>-46.507977</v>
      </c>
    </row>
    <row r="1177">
      <c r="A1177" t="n">
        <v>790015062</v>
      </c>
      <c r="B1177" t="inlineStr">
        <is>
          <t>Cruz Vermelha Brasileira</t>
        </is>
      </c>
      <c r="C1177" t="inlineStr">
        <is>
          <t>Av. Moreira Guimarães, 699 Ref.: Av Aratas/ Av Juruce</t>
        </is>
      </c>
      <c r="D1177" s="58" t="n">
        <v>-23.613139</v>
      </c>
      <c r="E1177" s="58" t="n">
        <v>-46.657569</v>
      </c>
    </row>
    <row r="1178">
      <c r="A1178" t="n">
        <v>790015063</v>
      </c>
      <c r="B1178" t="inlineStr">
        <is>
          <t>Av. Moreira Guimarães</t>
        </is>
      </c>
      <c r="C1178" t="inlineStr">
        <is>
          <t>Ref.: Av Ceci/ Av Jamaris</t>
        </is>
      </c>
      <c r="D1178" s="58" t="n">
        <v>-23.61007</v>
      </c>
      <c r="E1178" s="58" t="n">
        <v>-46.654486</v>
      </c>
    </row>
    <row r="1179">
      <c r="A1179" t="n">
        <v>790015064</v>
      </c>
      <c r="B1179" t="inlineStr">
        <is>
          <t>Av. Rubem Berta, 1111</t>
        </is>
      </c>
      <c r="C1179" t="inlineStr">
        <is>
          <t>Ref.: Al Dos Camaiuras/ Av Indianopolis</t>
        </is>
      </c>
      <c r="D1179" s="58" t="n">
        <v>-23.607706</v>
      </c>
      <c r="E1179" s="58" t="n">
        <v>-46.652211</v>
      </c>
    </row>
    <row r="1180">
      <c r="A1180" t="n">
        <v>790015065</v>
      </c>
      <c r="B1180" t="inlineStr">
        <is>
          <t>Av. Rubem Berta</t>
        </is>
      </c>
      <c r="C1180" t="inlineStr">
        <is>
          <t>Ref.: Ac Av Jose Maria Whitaker/ R Luis Gois</t>
        </is>
      </c>
      <c r="D1180" s="58" t="n">
        <v>-23.603025</v>
      </c>
      <c r="E1180" s="58" t="n">
        <v>-46.651028</v>
      </c>
    </row>
    <row r="1181">
      <c r="A1181" t="n">
        <v>790015146</v>
      </c>
      <c r="B1181" t="inlineStr">
        <is>
          <t>Av. Rubem Berta</t>
        </is>
      </c>
      <c r="C1181" t="inlineStr">
        <is>
          <t>Ref.: R Doutor Afonso Baccari/ R Agostinho Rodrigues Filho</t>
        </is>
      </c>
      <c r="D1181" s="58" t="n">
        <v>-23.600041</v>
      </c>
      <c r="E1181" s="58" t="n">
        <v>-46.650737</v>
      </c>
    </row>
    <row r="1182">
      <c r="A1182" t="n">
        <v>800012673</v>
      </c>
      <c r="B1182" t="inlineStr">
        <is>
          <t>Pq. D. Pedro II</t>
        </is>
      </c>
      <c r="C1182" t="inlineStr">
        <is>
          <t>Ref.: R Alexandria/ R Tabatinguera</t>
        </is>
      </c>
      <c r="D1182" s="58" t="n">
        <v>-23.550286</v>
      </c>
      <c r="E1182" s="58" t="n">
        <v>-46.628571</v>
      </c>
    </row>
    <row r="1183">
      <c r="A1183" t="n">
        <v>800015291</v>
      </c>
      <c r="B1183" t="inlineStr">
        <is>
          <t>Pq. D. Pedro II</t>
        </is>
      </c>
      <c r="C1183" t="inlineStr">
        <is>
          <t>Ref.: R General Carneiro/ R Hercules Florence</t>
        </is>
      </c>
      <c r="D1183" s="58" t="n">
        <v>-23.54611</v>
      </c>
      <c r="E1183" s="58" t="n">
        <v>-46.631254</v>
      </c>
    </row>
    <row r="1184">
      <c r="A1184" t="n">
        <v>800016417</v>
      </c>
      <c r="B1184" t="inlineStr">
        <is>
          <t>Av. Vinte E Três De Maio</t>
        </is>
      </c>
      <c r="C1184" t="inlineStr">
        <is>
          <t>Ref.: Vdto Doutor Manuel Jose Chaves/ Ac Vd Manuel Jose Chaves - Sentido Centro</t>
        </is>
      </c>
      <c r="D1184" s="58" t="n">
        <v>-23.552752</v>
      </c>
      <c r="E1184" s="58" t="n">
        <v>-46.636557</v>
      </c>
    </row>
    <row r="1185">
      <c r="A1185" t="n">
        <v>800016531</v>
      </c>
      <c r="B1185" t="inlineStr">
        <is>
          <t>Terminal Parque Dom Pedro II - Plat 04</t>
        </is>
      </c>
      <c r="C1185" t="inlineStr">
        <is>
          <t>Term. Parque Dom Pedro II - Plat 04 Ref.: Av Do Estado/ Vdto Antonio Nakashima - (pmv - 42).</t>
        </is>
      </c>
      <c r="D1185" s="58" t="n">
        <v>-23.547891</v>
      </c>
      <c r="E1185" s="58" t="n">
        <v>-46.629487</v>
      </c>
    </row>
    <row r="1186">
      <c r="A1186" t="n">
        <v>820005518</v>
      </c>
      <c r="B1186" t="inlineStr">
        <is>
          <t>Parada 3 - Metrô Tatuapé</t>
        </is>
      </c>
      <c r="C1186" t="inlineStr">
        <is>
          <t>R. Cruz Alta Ref.: Metro Tatuape/ R Caraguataí</t>
        </is>
      </c>
      <c r="D1186" s="58" t="n">
        <v>-23.541278</v>
      </c>
      <c r="E1186" s="58" t="n">
        <v>-46.577545</v>
      </c>
    </row>
    <row r="1187">
      <c r="A1187" t="n">
        <v>820005546</v>
      </c>
      <c r="B1187" t="inlineStr">
        <is>
          <t>Parada 2 - Metrô Tatuapé</t>
        </is>
      </c>
      <c r="C1187" t="inlineStr">
        <is>
          <t>R. Melo Freire Ref.: Metro Tatuape/ R Tuiuti</t>
        </is>
      </c>
      <c r="D1187" s="58" t="n">
        <v>-23.540824</v>
      </c>
      <c r="E1187" s="58" t="n">
        <v>-46.576025</v>
      </c>
    </row>
    <row r="1188">
      <c r="A1188" t="n">
        <v>820008420</v>
      </c>
      <c r="B1188" t="inlineStr">
        <is>
          <t>R. Tuiuti, 2040</t>
        </is>
      </c>
      <c r="C1188" t="inlineStr">
        <is>
          <t>Ref.: R Fernao Tavares/ R Padre Estevao Pernet</t>
        </is>
      </c>
      <c r="D1188" s="58" t="n">
        <v>-23.543557</v>
      </c>
      <c r="E1188" s="58" t="n">
        <v>-46.574812</v>
      </c>
    </row>
    <row r="1189">
      <c r="A1189" t="n">
        <v>820008486</v>
      </c>
      <c r="B1189" t="inlineStr">
        <is>
          <t>R. Tuiuti, 2440</t>
        </is>
      </c>
      <c r="C1189" t="inlineStr">
        <is>
          <t>Ref.: R Cantagalo/ R Francisco Paulo</t>
        </is>
      </c>
      <c r="D1189" s="58" t="n">
        <v>-23.546881</v>
      </c>
      <c r="E1189" s="58" t="n">
        <v>-46.573986</v>
      </c>
    </row>
    <row r="1190">
      <c r="A1190" t="n">
        <v>820008575</v>
      </c>
      <c r="B1190" t="inlineStr">
        <is>
          <t>R. Tuiuti, 2750</t>
        </is>
      </c>
      <c r="C1190" t="inlineStr">
        <is>
          <t>Ref.: R Euclides Pacheco/ R Azevedo Soares</t>
        </is>
      </c>
      <c r="D1190" s="58" t="n">
        <v>-23.549718</v>
      </c>
      <c r="E1190" s="58" t="n">
        <v>-46.573335</v>
      </c>
    </row>
    <row r="1191">
      <c r="A1191" t="n">
        <v>820008761</v>
      </c>
      <c r="B1191" t="inlineStr">
        <is>
          <t>R. Serra De Braganca, 584</t>
        </is>
      </c>
      <c r="C1191" t="inlineStr">
        <is>
          <t>Ref.: Rua Serra De Japi</t>
        </is>
      </c>
      <c r="D1191" s="58" t="n">
        <v>-23.545278</v>
      </c>
      <c r="E1191" s="58" t="n">
        <v>-46.569665</v>
      </c>
    </row>
    <row r="1192">
      <c r="A1192" t="n">
        <v>820008804</v>
      </c>
      <c r="B1192" t="inlineStr">
        <is>
          <t>R. Serra De Botucatu, 1487</t>
        </is>
      </c>
      <c r="C1192" t="inlineStr">
        <is>
          <t>Ref.: R Antonio De Barros/ Tr Major Brito</t>
        </is>
      </c>
      <c r="D1192" s="58" t="n">
        <v>-23.541712</v>
      </c>
      <c r="E1192" s="58" t="n">
        <v>-46.557403</v>
      </c>
    </row>
    <row r="1193">
      <c r="A1193" t="n">
        <v>820008806</v>
      </c>
      <c r="B1193" t="inlineStr">
        <is>
          <t>R. Serra De Botucatu, 979</t>
        </is>
      </c>
      <c r="C1193" t="inlineStr">
        <is>
          <t>Ref.: R Apucarana/ R Monte Serrat</t>
        </is>
      </c>
      <c r="D1193" s="58" t="n">
        <v>-23.542718</v>
      </c>
      <c r="E1193" s="58" t="n">
        <v>-46.562499</v>
      </c>
    </row>
    <row r="1194">
      <c r="A1194" t="n">
        <v>820008807</v>
      </c>
      <c r="B1194" t="inlineStr">
        <is>
          <t>R. Serra De Botucatu, 749</t>
        </is>
      </c>
      <c r="C1194" t="inlineStr">
        <is>
          <t>Ref.: R Vilela/ R Apucarana</t>
        </is>
      </c>
      <c r="D1194" s="58" t="n">
        <v>-23.543134</v>
      </c>
      <c r="E1194" s="58" t="n">
        <v>-46.56462</v>
      </c>
    </row>
    <row r="1195">
      <c r="A1195" t="n">
        <v>820008812</v>
      </c>
      <c r="B1195" t="inlineStr">
        <is>
          <t>R. Pe. Adelino (pc Silvio Romero), 33</t>
        </is>
      </c>
      <c r="C1195" t="inlineStr">
        <is>
          <t>Ref.: R Tuiuti/ R Isidro Tinoco</t>
        </is>
      </c>
      <c r="D1195" s="58" t="n">
        <v>-23.545177</v>
      </c>
      <c r="E1195" s="58" t="n">
        <v>-46.574072</v>
      </c>
    </row>
    <row r="1196">
      <c r="A1196" t="n">
        <v>820008836</v>
      </c>
      <c r="B1196" t="inlineStr">
        <is>
          <t>R. Emília Marengo, 291</t>
        </is>
      </c>
      <c r="C1196" t="inlineStr">
        <is>
          <t>Ref.: R Itapura/ R Eleonora Cintra</t>
        </is>
      </c>
      <c r="D1196" s="58" t="n">
        <v>-23.552964</v>
      </c>
      <c r="E1196" s="58" t="n">
        <v>-46.564355</v>
      </c>
    </row>
    <row r="1197">
      <c r="A1197" t="n">
        <v>820008845</v>
      </c>
      <c r="B1197" t="inlineStr">
        <is>
          <t>R. Coelho Lisboa, 461</t>
        </is>
      </c>
      <c r="C1197" t="inlineStr">
        <is>
          <t>Ref.: R Euclides Pacheco/ R Emilio Mallet</t>
        </is>
      </c>
      <c r="D1197" s="58" t="n">
        <v>-23.548502</v>
      </c>
      <c r="E1197" s="58" t="n">
        <v>-46.571958</v>
      </c>
    </row>
    <row r="1198">
      <c r="A1198" t="n">
        <v>820008846</v>
      </c>
      <c r="B1198" t="inlineStr">
        <is>
          <t>R. Coelho Lisboa, 305</t>
        </is>
      </c>
      <c r="C1198" t="inlineStr">
        <is>
          <t>Ref.: R Cantagalo/ R Professora Aida Spinelli Campana</t>
        </is>
      </c>
      <c r="D1198" s="58" t="n">
        <v>-23.546956</v>
      </c>
      <c r="E1198" s="58" t="n">
        <v>-46.572248</v>
      </c>
    </row>
    <row r="1199">
      <c r="A1199" t="n">
        <v>820008856</v>
      </c>
      <c r="B1199" t="inlineStr">
        <is>
          <t>R. Tijuco Preto, 821</t>
        </is>
      </c>
      <c r="C1199" t="inlineStr">
        <is>
          <t>Ref.: R Airi/ R Itapura</t>
        </is>
      </c>
      <c r="D1199" s="58" t="n">
        <v>-23.543182</v>
      </c>
      <c r="E1199" s="58" t="n">
        <v>-46.567794</v>
      </c>
    </row>
    <row r="1200">
      <c r="A1200" t="n">
        <v>820008857</v>
      </c>
      <c r="B1200" t="inlineStr">
        <is>
          <t>R. Tijuco Preto, 671</t>
        </is>
      </c>
      <c r="C1200" t="inlineStr">
        <is>
          <t>Ref.: R Serra Do Japi/ R Airi</t>
        </is>
      </c>
      <c r="D1200" s="58" t="n">
        <v>-23.543492</v>
      </c>
      <c r="E1200" s="58" t="n">
        <v>-46.569272</v>
      </c>
    </row>
    <row r="1201">
      <c r="A1201" t="n">
        <v>820012014</v>
      </c>
      <c r="B1201" t="inlineStr">
        <is>
          <t>Av. Cde. De Frontin, 542</t>
        </is>
      </c>
      <c r="C1201" t="inlineStr">
        <is>
          <t>Ref.: R Pinhalzinho/ Vdto Engenheiro Alberto Badra</t>
        </is>
      </c>
      <c r="D1201" s="58" t="n">
        <v>-23.535617</v>
      </c>
      <c r="E1201" s="58" t="n">
        <v>-46.55258</v>
      </c>
    </row>
    <row r="1202">
      <c r="A1202" t="n">
        <v>820012166</v>
      </c>
      <c r="B1202" t="inlineStr">
        <is>
          <t>R. Emília Marengo, 0</t>
        </is>
      </c>
      <c r="C1202" t="inlineStr">
        <is>
          <t>Ref.: R Terebe/ R Apucarana</t>
        </is>
      </c>
      <c r="D1202" s="58" t="n">
        <v>-23.553154</v>
      </c>
      <c r="E1202" s="58" t="n">
        <v>-46.562116</v>
      </c>
    </row>
    <row r="1203">
      <c r="A1203" t="n">
        <v>820012169</v>
      </c>
      <c r="B1203" t="inlineStr">
        <is>
          <t>R. Emília Marengo, 737</t>
        </is>
      </c>
      <c r="C1203" t="inlineStr">
        <is>
          <t>Ref.: R Dona Januaria/ R Joaquina Augusta Sa Dos Anjos</t>
        </is>
      </c>
      <c r="D1203" s="58" t="n">
        <v>-23.55443</v>
      </c>
      <c r="E1203" s="58" t="n">
        <v>-46.559991</v>
      </c>
    </row>
    <row r="1204">
      <c r="A1204" t="n">
        <v>820012185</v>
      </c>
      <c r="B1204" t="inlineStr">
        <is>
          <t>R. Antônio De Barros, 2443</t>
        </is>
      </c>
      <c r="C1204" t="inlineStr">
        <is>
          <t>Ref.: Rua Aguapei/rua Ferreira França</t>
        </is>
      </c>
      <c r="D1204" s="58" t="n">
        <v>-23.551826</v>
      </c>
      <c r="E1204" s="58" t="n">
        <v>-46.554193</v>
      </c>
    </row>
    <row r="1205">
      <c r="A1205" t="n">
        <v>820012187</v>
      </c>
      <c r="B1205" t="inlineStr">
        <is>
          <t>R. Antônio De Barros, 2160</t>
        </is>
      </c>
      <c r="C1205" t="inlineStr">
        <is>
          <t>Ref.: R Passos Ourique/ R Sao Gil</t>
        </is>
      </c>
      <c r="D1205" s="58" t="n">
        <v>-23.549082</v>
      </c>
      <c r="E1205" s="58" t="n">
        <v>-46.554891</v>
      </c>
    </row>
    <row r="1206">
      <c r="A1206" t="n">
        <v>820012199</v>
      </c>
      <c r="B1206" t="inlineStr">
        <is>
          <t>R. Azevedo Soares, 1750</t>
        </is>
      </c>
      <c r="C1206" t="inlineStr">
        <is>
          <t>Ref.: R Delfino Casal De Rey/ R Monte Serrat</t>
        </is>
      </c>
      <c r="D1206" s="58" t="n">
        <v>-23.547625</v>
      </c>
      <c r="E1206" s="58" t="n">
        <v>-46.559548</v>
      </c>
    </row>
    <row r="1207">
      <c r="A1207" t="n">
        <v>820012202</v>
      </c>
      <c r="B1207" t="inlineStr">
        <is>
          <t>R. Azevedo Soares, 1338</t>
        </is>
      </c>
      <c r="C1207" t="inlineStr">
        <is>
          <t>Ref.: R Alberto Luchetti/ R Gilberto Barilari</t>
        </is>
      </c>
      <c r="D1207" s="58" t="n">
        <v>-23.548421</v>
      </c>
      <c r="E1207" s="58" t="n">
        <v>-46.563839</v>
      </c>
    </row>
    <row r="1208">
      <c r="A1208" t="n">
        <v>820012204</v>
      </c>
      <c r="B1208" t="inlineStr">
        <is>
          <t>R. Azevedo Soares, 1126</t>
        </is>
      </c>
      <c r="C1208" t="inlineStr">
        <is>
          <t>Ref.: R Miguel Venditi/ R Itapura</t>
        </is>
      </c>
      <c r="D1208" s="58" t="n">
        <v>-23.548807</v>
      </c>
      <c r="E1208" s="58" t="n">
        <v>-46.565861</v>
      </c>
    </row>
    <row r="1209">
      <c r="A1209" t="n">
        <v>820012208</v>
      </c>
      <c r="B1209" t="inlineStr">
        <is>
          <t>R. Azevedo Soares, 548</t>
        </is>
      </c>
      <c r="C1209" t="inlineStr">
        <is>
          <t>Ref.: R Coelho Lisboa/ R Da Saudade</t>
        </is>
      </c>
      <c r="D1209" s="58" t="n">
        <v>-23.549911</v>
      </c>
      <c r="E1209" s="58" t="n">
        <v>-46.57136</v>
      </c>
    </row>
    <row r="1210">
      <c r="A1210" t="n">
        <v>820012209</v>
      </c>
      <c r="B1210" t="inlineStr">
        <is>
          <t>Lgo. Nsa. Sra. Do Bom Parto, 126</t>
        </is>
      </c>
      <c r="C1210" t="inlineStr">
        <is>
          <t>Ref.: Largo Nossa Senhora Do Bom Parto/ R Dona Candida</t>
        </is>
      </c>
      <c r="D1210" s="58" t="n">
        <v>-23.549365</v>
      </c>
      <c r="E1210" s="58" t="n">
        <v>-46.568766</v>
      </c>
    </row>
    <row r="1211">
      <c r="A1211" t="n">
        <v>820012486</v>
      </c>
      <c r="B1211" t="inlineStr">
        <is>
          <t>Av. Cde. De Frontin, 0</t>
        </is>
      </c>
      <c r="C1211" t="inlineStr">
        <is>
          <t>Ref.: Vdto Conselheiro Carrao/ R Antonio De Barros</t>
        </is>
      </c>
      <c r="D1211" s="58" t="n">
        <v>-23.536706</v>
      </c>
      <c r="E1211" s="58" t="n">
        <v>-46.557728</v>
      </c>
    </row>
    <row r="1212">
      <c r="A1212" t="n">
        <v>820012500</v>
      </c>
      <c r="B1212" t="inlineStr">
        <is>
          <t>Metrô Carrão - Parada 2</t>
        </is>
      </c>
      <c r="C1212" t="inlineStr">
        <is>
          <t>R. Melo Freire Ref.: R Apucarana</t>
        </is>
      </c>
      <c r="D1212" s="58" t="n">
        <v>-23.538501</v>
      </c>
      <c r="E1212" s="58" t="n">
        <v>-46.564517</v>
      </c>
    </row>
    <row r="1213">
      <c r="A1213" t="n">
        <v>870008567</v>
      </c>
      <c r="B1213" t="inlineStr">
        <is>
          <t>R. Curuena, 130</t>
        </is>
      </c>
      <c r="C1213" t="inlineStr">
        <is>
          <t>Ref.: R Aurora Das Dores/ R Alves De Almeida</t>
        </is>
      </c>
      <c r="D1213" s="58" t="n">
        <v>-23.574133</v>
      </c>
      <c r="E1213" s="58" t="n">
        <v>-46.533462</v>
      </c>
    </row>
    <row r="1214">
      <c r="A1214" t="n">
        <v>870008578</v>
      </c>
      <c r="B1214" t="inlineStr">
        <is>
          <t>Av. Trumain, 13</t>
        </is>
      </c>
      <c r="C1214" t="inlineStr">
        <is>
          <t>Ref.: Av Professor Carini/ Av Flor De Vila Formosa</t>
        </is>
      </c>
      <c r="D1214" s="58" t="n">
        <v>-23.566644</v>
      </c>
      <c r="E1214" s="58" t="n">
        <v>-46.536041</v>
      </c>
    </row>
    <row r="1215">
      <c r="A1215" t="n">
        <v>870008593</v>
      </c>
      <c r="B1215" t="inlineStr">
        <is>
          <t>Av. Flor De Vila Formosa, 59</t>
        </is>
      </c>
      <c r="C1215" t="inlineStr">
        <is>
          <t>Ref.: Av Trumain/ R Azevedo Brito</t>
        </is>
      </c>
      <c r="D1215" s="58" t="n">
        <v>-23.566198</v>
      </c>
      <c r="E1215" s="58" t="n">
        <v>-46.53579</v>
      </c>
    </row>
    <row r="1216">
      <c r="A1216" t="n">
        <v>870008594</v>
      </c>
      <c r="B1216" t="inlineStr">
        <is>
          <t>Av. Flor De Vila Formosa, 346</t>
        </is>
      </c>
      <c r="C1216" t="inlineStr">
        <is>
          <t>Ref.: Rua Muniz Barreiros</t>
        </is>
      </c>
      <c r="D1216" s="58" t="n">
        <v>-23.564392</v>
      </c>
      <c r="E1216" s="58" t="n">
        <v>-46.533913</v>
      </c>
    </row>
    <row r="1217">
      <c r="A1217" t="n">
        <v>870008595</v>
      </c>
      <c r="B1217" t="inlineStr">
        <is>
          <t>Av. Flor De Vila Formosa, 13</t>
        </is>
      </c>
      <c r="C1217" t="inlineStr">
        <is>
          <t>Ref.: R Nova Trento/ Av Flor De Vila Formosa</t>
        </is>
      </c>
      <c r="D1217" s="58" t="n">
        <v>-23.564296</v>
      </c>
      <c r="E1217" s="58" t="n">
        <v>-46.533916</v>
      </c>
    </row>
    <row r="1218">
      <c r="A1218" t="n">
        <v>870008596</v>
      </c>
      <c r="B1218" t="inlineStr">
        <is>
          <t>Av. Flor De Vila Formosa, 529</t>
        </is>
      </c>
      <c r="C1218" t="inlineStr">
        <is>
          <t>Ref.: R Banharao/ R Pereira Barbosa</t>
        </is>
      </c>
      <c r="D1218" s="58" t="n">
        <v>-23.563371</v>
      </c>
      <c r="E1218" s="58" t="n">
        <v>-46.532568</v>
      </c>
    </row>
    <row r="1219">
      <c r="A1219" t="n">
        <v>870008634</v>
      </c>
      <c r="B1219" t="inlineStr">
        <is>
          <t>Av. Guilherme Giorge, 1772</t>
        </is>
      </c>
      <c r="C1219" t="inlineStr">
        <is>
          <t>Ref.: R Amoeca/ R Pretoria</t>
        </is>
      </c>
      <c r="D1219" s="58" t="n">
        <v>-23.561711</v>
      </c>
      <c r="E1219" s="58" t="n">
        <v>-46.543344</v>
      </c>
    </row>
    <row r="1220">
      <c r="A1220" t="n">
        <v>870008635</v>
      </c>
      <c r="B1220" t="inlineStr">
        <is>
          <t>Av. Guilherme Giorge, 1773</t>
        </is>
      </c>
      <c r="C1220" t="inlineStr">
        <is>
          <t>Ref.: R Amoeca/ R Pretoria</t>
        </is>
      </c>
      <c r="D1220" s="58" t="n">
        <v>-23.561795</v>
      </c>
      <c r="E1220" s="58" t="n">
        <v>-46.543333</v>
      </c>
    </row>
    <row r="1221">
      <c r="A1221" t="n">
        <v>870008636</v>
      </c>
      <c r="B1221" t="inlineStr">
        <is>
          <t>R. Oswaldo Arouca, 71</t>
        </is>
      </c>
      <c r="C1221" t="inlineStr">
        <is>
          <t>Ref.: R Venus/ R Iru</t>
        </is>
      </c>
      <c r="D1221" s="58" t="n">
        <v>-23.56243</v>
      </c>
      <c r="E1221" s="58" t="n">
        <v>-46.54202</v>
      </c>
    </row>
    <row r="1222">
      <c r="A1222" t="n">
        <v>870008637</v>
      </c>
      <c r="B1222" t="inlineStr">
        <is>
          <t>R. Oswaldo Arouca, 126</t>
        </is>
      </c>
      <c r="C1222" t="inlineStr">
        <is>
          <t>Ref.: R Venus/ R Iru</t>
        </is>
      </c>
      <c r="D1222" s="58" t="n">
        <v>-23.562153</v>
      </c>
      <c r="E1222" s="58" t="n">
        <v>-46.541591</v>
      </c>
    </row>
    <row r="1223">
      <c r="A1223" t="n">
        <v>870008644</v>
      </c>
      <c r="B1223" t="inlineStr">
        <is>
          <t>R. Vênus, 56</t>
        </is>
      </c>
      <c r="C1223" t="inlineStr">
        <is>
          <t>Ref.: Praça Inspetor Pedro Gomes</t>
        </is>
      </c>
      <c r="D1223" s="58" t="n">
        <v>-23.563449</v>
      </c>
      <c r="E1223" s="58" t="n">
        <v>-46.542618</v>
      </c>
    </row>
    <row r="1224">
      <c r="A1224" t="n">
        <v>870008645</v>
      </c>
      <c r="B1224" t="inlineStr">
        <is>
          <t>R. Caparão, 150</t>
        </is>
      </c>
      <c r="C1224" t="inlineStr">
        <is>
          <t>Ref.: R Filhas Do Sagrado Coracao/ Av Dedo De Deus</t>
        </is>
      </c>
      <c r="D1224" s="58" t="n">
        <v>-23.565094</v>
      </c>
      <c r="E1224" s="58" t="n">
        <v>-46.538427</v>
      </c>
    </row>
    <row r="1225">
      <c r="A1225" t="n">
        <v>870008646</v>
      </c>
      <c r="B1225" t="inlineStr">
        <is>
          <t>R. Cabinari, 339</t>
        </is>
      </c>
      <c r="C1225" t="inlineStr">
        <is>
          <t>Ref.: R Filhas Do Sagrado Coracao/ Av Trumain</t>
        </is>
      </c>
      <c r="D1225" s="58" t="n">
        <v>-23.564917</v>
      </c>
      <c r="E1225" s="58" t="n">
        <v>-46.53651</v>
      </c>
    </row>
    <row r="1226">
      <c r="A1226" t="n">
        <v>870008647</v>
      </c>
      <c r="B1226" t="inlineStr">
        <is>
          <t>R. Filhas Do Sagrado Coracão, 242</t>
        </is>
      </c>
      <c r="C1226" t="inlineStr">
        <is>
          <t>Ref.: R Planalto/ R Venus</t>
        </is>
      </c>
      <c r="D1226" s="58" t="n">
        <v>-23.565444</v>
      </c>
      <c r="E1226" s="58" t="n">
        <v>-46.538135</v>
      </c>
    </row>
    <row r="1227">
      <c r="A1227" t="n">
        <v>870008648</v>
      </c>
      <c r="B1227" t="inlineStr">
        <is>
          <t>R. Filhas Do Sagrado Coracão, 191</t>
        </is>
      </c>
      <c r="C1227" t="inlineStr">
        <is>
          <t>Ref.: R Planalto/ R Venus</t>
        </is>
      </c>
      <c r="D1227" s="58" t="n">
        <v>-23.565704</v>
      </c>
      <c r="E1227" s="58" t="n">
        <v>-46.538686</v>
      </c>
    </row>
    <row r="1228">
      <c r="A1228" t="n">
        <v>870008649</v>
      </c>
      <c r="B1228" t="inlineStr">
        <is>
          <t>Pça. Dr. Sampaio Vidal, 49</t>
        </is>
      </c>
      <c r="C1228" t="inlineStr">
        <is>
          <t>Ref.: R Arapoca/ Pc Doutor Sampaio Vidal</t>
        </is>
      </c>
      <c r="D1228" s="58" t="n">
        <v>-23.567317</v>
      </c>
      <c r="E1228" s="58" t="n">
        <v>-46.541184</v>
      </c>
    </row>
    <row r="1229">
      <c r="A1229" t="n">
        <v>870008650</v>
      </c>
      <c r="B1229" t="inlineStr">
        <is>
          <t>Pça. Dr. Sampaio Vidal, 108</t>
        </is>
      </c>
      <c r="C1229" t="inlineStr">
        <is>
          <t>Ref.: R Cristovao Girao/ R Argonautas</t>
        </is>
      </c>
      <c r="D1229" s="58" t="n">
        <v>-23.568129</v>
      </c>
      <c r="E1229" s="58" t="n">
        <v>-46.54094</v>
      </c>
    </row>
    <row r="1230">
      <c r="A1230" t="n">
        <v>870008661</v>
      </c>
      <c r="B1230" t="inlineStr">
        <is>
          <t>R. Mandioré, 592</t>
        </is>
      </c>
      <c r="C1230" t="inlineStr">
        <is>
          <t>Ref.: R Santa Batilde/ R Araiporanga</t>
        </is>
      </c>
      <c r="D1230" s="58" t="n">
        <v>-23.570047</v>
      </c>
      <c r="E1230" s="58" t="n">
        <v>-46.548228</v>
      </c>
    </row>
    <row r="1231">
      <c r="A1231" t="n">
        <v>870008662</v>
      </c>
      <c r="B1231" t="inlineStr">
        <is>
          <t>R. Mandioré, 551</t>
        </is>
      </c>
      <c r="C1231" t="inlineStr">
        <is>
          <t>Ref.: R Santa Batilde/ R Araiporanga</t>
        </is>
      </c>
      <c r="D1231" s="58" t="n">
        <v>-23.569873</v>
      </c>
      <c r="E1231" s="58" t="n">
        <v>-46.547963</v>
      </c>
    </row>
    <row r="1232">
      <c r="A1232" t="n">
        <v>870008663</v>
      </c>
      <c r="B1232" t="inlineStr">
        <is>
          <t>R. Mandioré</t>
        </is>
      </c>
      <c r="C1232" t="inlineStr">
        <is>
          <t>Ref.: Pc Sao Ciriaco/ R Chamatu</t>
        </is>
      </c>
      <c r="D1232" s="58" t="n">
        <v>-23.568939</v>
      </c>
      <c r="E1232" s="58" t="n">
        <v>-46.545709</v>
      </c>
    </row>
    <row r="1233">
      <c r="A1233" t="n">
        <v>870008664</v>
      </c>
      <c r="B1233" t="inlineStr">
        <is>
          <t>R. Mandioré</t>
        </is>
      </c>
      <c r="C1233" t="inlineStr">
        <is>
          <t>Ref.: Pc Sao Ciriaco/ R Chamatu</t>
        </is>
      </c>
      <c r="D1233" s="58" t="n">
        <v>-23.568789</v>
      </c>
      <c r="E1233" s="58" t="n">
        <v>-46.545742</v>
      </c>
    </row>
    <row r="1234">
      <c r="A1234" t="n">
        <v>870008665</v>
      </c>
      <c r="B1234" t="inlineStr">
        <is>
          <t>R. Saigon, 71</t>
        </is>
      </c>
      <c r="C1234" t="inlineStr">
        <is>
          <t>Ref.: Pc Skal/ R Argonautas</t>
        </is>
      </c>
      <c r="D1234" s="58" t="n">
        <v>-23.567705</v>
      </c>
      <c r="E1234" s="58" t="n">
        <v>-46.543923</v>
      </c>
    </row>
    <row r="1235">
      <c r="A1235" t="n">
        <v>870008666</v>
      </c>
      <c r="B1235" t="inlineStr">
        <is>
          <t>Av. Dr. Eduardo Cotching, 2130</t>
        </is>
      </c>
      <c r="C1235" t="inlineStr">
        <is>
          <t>Ref.: Pc Skal/ Av Doutor Eduardo Cotching</t>
        </is>
      </c>
      <c r="D1235" s="58" t="n">
        <v>-23.567338</v>
      </c>
      <c r="E1235" s="58" t="n">
        <v>-46.542693</v>
      </c>
    </row>
    <row r="1236">
      <c r="A1236" t="n">
        <v>870008667</v>
      </c>
      <c r="B1236" t="inlineStr">
        <is>
          <t>Av. Dr. Eduardo Cotching, 2143</t>
        </is>
      </c>
      <c r="C1236" t="inlineStr">
        <is>
          <t>Ref.: Pc Skal/ Av Doutor Eduardo Cotching</t>
        </is>
      </c>
      <c r="D1236" s="58" t="n">
        <v>-23.567282</v>
      </c>
      <c r="E1236" s="58" t="n">
        <v>-46.54254</v>
      </c>
    </row>
    <row r="1237">
      <c r="A1237" t="n">
        <v>870008668</v>
      </c>
      <c r="B1237" t="inlineStr">
        <is>
          <t>Pça. Diogo De Aguirre, 7</t>
        </is>
      </c>
      <c r="C1237" t="inlineStr">
        <is>
          <t>Ref.: Pc Diogo De Aguirre/ R Arace</t>
        </is>
      </c>
      <c r="D1237" s="58" t="n">
        <v>-23.563634</v>
      </c>
      <c r="E1237" s="58" t="n">
        <v>-46.542912</v>
      </c>
    </row>
    <row r="1238">
      <c r="A1238" t="n">
        <v>870008669</v>
      </c>
      <c r="B1238" t="inlineStr">
        <is>
          <t>R. Arapacu, 138</t>
        </is>
      </c>
      <c r="C1238" t="inlineStr">
        <is>
          <t>Ref.: R Tauande/ Av Doutor Eduardo Cotching</t>
        </is>
      </c>
      <c r="D1238" s="58" t="n">
        <v>-23.564323</v>
      </c>
      <c r="E1238" s="58" t="n">
        <v>-46.549818</v>
      </c>
    </row>
    <row r="1239">
      <c r="A1239" t="n">
        <v>870008670</v>
      </c>
      <c r="B1239" t="inlineStr">
        <is>
          <t>R. Arapacu, 261</t>
        </is>
      </c>
      <c r="C1239" t="inlineStr">
        <is>
          <t>Ref.: R Anjo Custodio/ R Maestro Bernardo Leo M Federowski</t>
        </is>
      </c>
      <c r="D1239" s="58" t="n">
        <v>-23.565475</v>
      </c>
      <c r="E1239" s="58" t="n">
        <v>-46.550229</v>
      </c>
    </row>
    <row r="1240">
      <c r="A1240" t="n">
        <v>870008671</v>
      </c>
      <c r="B1240" t="inlineStr">
        <is>
          <t>R. Arapacu, 314</t>
        </is>
      </c>
      <c r="C1240" t="inlineStr">
        <is>
          <t>Ref.: Pc Monsenhor Heladio Laurini/ R Goncalo Coelho</t>
        </is>
      </c>
      <c r="D1240" s="58" t="n">
        <v>-23.566563</v>
      </c>
      <c r="E1240" s="58" t="n">
        <v>-46.552035</v>
      </c>
    </row>
    <row r="1241">
      <c r="A1241" t="n">
        <v>870008673</v>
      </c>
      <c r="B1241" t="inlineStr">
        <is>
          <t>R. Da. Vitória Speers, 850</t>
        </is>
      </c>
      <c r="C1241" t="inlineStr">
        <is>
          <t>Ref.: Rua São Marinho</t>
        </is>
      </c>
      <c r="D1241" s="58" t="n">
        <v>-23.568871</v>
      </c>
      <c r="E1241" s="58" t="n">
        <v>-46.553043</v>
      </c>
    </row>
    <row r="1242">
      <c r="A1242" t="n">
        <v>870008676</v>
      </c>
      <c r="B1242" t="inlineStr">
        <is>
          <t>R. Da. Vitória Speers, 1020</t>
        </is>
      </c>
      <c r="C1242" t="inlineStr">
        <is>
          <t>Ref.: Pc Leao X/ R Codajas</t>
        </is>
      </c>
      <c r="D1242" s="58" t="n">
        <v>-23.569936</v>
      </c>
      <c r="E1242" s="58" t="n">
        <v>-46.551121</v>
      </c>
    </row>
    <row r="1243">
      <c r="A1243" t="n">
        <v>870008677</v>
      </c>
      <c r="B1243" t="inlineStr">
        <is>
          <t>R. Codajás, 35</t>
        </is>
      </c>
      <c r="C1243" t="inlineStr">
        <is>
          <t>Ref.: R Dona Vitoria Speers/ R Santa Batilde</t>
        </is>
      </c>
      <c r="D1243" s="58" t="n">
        <v>-23.569992</v>
      </c>
      <c r="E1243" s="58" t="n">
        <v>-46.55012</v>
      </c>
    </row>
    <row r="1244">
      <c r="A1244" t="n">
        <v>870008678</v>
      </c>
      <c r="B1244" t="inlineStr">
        <is>
          <t>Pça. Nsa. Sra. Das Vitórias, 214</t>
        </is>
      </c>
      <c r="C1244" t="inlineStr">
        <is>
          <t>Ref.: Av Doutor Eduardo Cotching/ Pc Nossa Senhora Das Vitorias</t>
        </is>
      </c>
      <c r="D1244" s="58" t="n">
        <v>-23.564833</v>
      </c>
      <c r="E1244" s="58" t="n">
        <v>-46.54876</v>
      </c>
    </row>
    <row r="1245">
      <c r="A1245" t="n">
        <v>870008679</v>
      </c>
      <c r="B1245" t="inlineStr">
        <is>
          <t>R. Catuquina, 347</t>
        </is>
      </c>
      <c r="C1245" t="inlineStr">
        <is>
          <t>Ref.: R Guaxupe/ R Sao Joao Gualberto</t>
        </is>
      </c>
      <c r="D1245" s="58" t="n">
        <v>-23.561057</v>
      </c>
      <c r="E1245" s="58" t="n">
        <v>-46.548193</v>
      </c>
    </row>
    <row r="1246">
      <c r="A1246" t="n">
        <v>870008680</v>
      </c>
      <c r="B1246" t="inlineStr">
        <is>
          <t>R. Catuquina, 494</t>
        </is>
      </c>
      <c r="C1246" t="inlineStr">
        <is>
          <t>Ref.: R Sao Joao Gualberto/ R Guaxupe</t>
        </is>
      </c>
      <c r="D1246" s="58" t="n">
        <v>-23.560004</v>
      </c>
      <c r="E1246" s="58" t="n">
        <v>-46.547655</v>
      </c>
    </row>
    <row r="1247">
      <c r="A1247" t="n">
        <v>870008681</v>
      </c>
      <c r="B1247" t="inlineStr">
        <is>
          <t>R. Catuquina, 537</t>
        </is>
      </c>
      <c r="C1247" t="inlineStr">
        <is>
          <t>Ref.: R Sao Joao Gualberto/ R Visconde De Balsemao</t>
        </is>
      </c>
      <c r="D1247" s="58" t="n">
        <v>-23.559578</v>
      </c>
      <c r="E1247" s="58" t="n">
        <v>-46.54768</v>
      </c>
    </row>
    <row r="1248">
      <c r="A1248" t="n">
        <v>870008682</v>
      </c>
      <c r="B1248" t="inlineStr">
        <is>
          <t>R. Bailique, 138</t>
        </is>
      </c>
      <c r="C1248" t="inlineStr">
        <is>
          <t>Ref.: R Ascensao / R Maria Bloco</t>
        </is>
      </c>
      <c r="D1248" s="58" t="n">
        <v>-23.559661</v>
      </c>
      <c r="E1248" s="58" t="n">
        <v>-46.54464</v>
      </c>
    </row>
    <row r="1249">
      <c r="A1249" t="n">
        <v>870008683</v>
      </c>
      <c r="B1249" t="inlineStr">
        <is>
          <t>R. Bailique</t>
        </is>
      </c>
      <c r="C1249" t="inlineStr">
        <is>
          <t>Ref.: R Ascencao/ Av Guilherme Giorge</t>
        </is>
      </c>
      <c r="D1249" s="58" t="n">
        <v>-23.559704</v>
      </c>
      <c r="E1249" s="58" t="n">
        <v>-46.54412</v>
      </c>
    </row>
    <row r="1250">
      <c r="A1250" t="n">
        <v>870008685</v>
      </c>
      <c r="B1250" t="inlineStr">
        <is>
          <t>R. Pretoria, 541</t>
        </is>
      </c>
      <c r="C1250" t="inlineStr">
        <is>
          <t>Ref.: R Sao Constancio/ Praca Sao Constancio</t>
        </is>
      </c>
      <c r="D1250" s="58" t="n">
        <v>-23.561253</v>
      </c>
      <c r="E1250" s="58" t="n">
        <v>-46.549983</v>
      </c>
    </row>
    <row r="1251">
      <c r="A1251" t="n">
        <v>870008686</v>
      </c>
      <c r="B1251" t="inlineStr">
        <is>
          <t>R. Pretoria, 444</t>
        </is>
      </c>
      <c r="C1251" t="inlineStr">
        <is>
          <t>Ref.: R Sao Constancio/ Praca Sao Constancio</t>
        </is>
      </c>
      <c r="D1251" s="58" t="n">
        <v>-23.560522</v>
      </c>
      <c r="E1251" s="58" t="n">
        <v>-46.550875</v>
      </c>
    </row>
    <row r="1252">
      <c r="A1252" t="n">
        <v>870008687</v>
      </c>
      <c r="B1252" t="inlineStr">
        <is>
          <t>R. Pretoria, 313</t>
        </is>
      </c>
      <c r="C1252" t="inlineStr">
        <is>
          <t>Ref.: R Caturai/ R Curupa</t>
        </is>
      </c>
      <c r="D1252" s="58" t="n">
        <v>-23.559683</v>
      </c>
      <c r="E1252" s="58" t="n">
        <v>-46.551555</v>
      </c>
    </row>
    <row r="1253">
      <c r="A1253" t="n">
        <v>870008688</v>
      </c>
      <c r="B1253" t="inlineStr">
        <is>
          <t>R. Curupá, 319</t>
        </is>
      </c>
      <c r="C1253" t="inlineStr">
        <is>
          <t>Ref.: R Guaxupe/ R Pretoria</t>
        </is>
      </c>
      <c r="D1253" s="58" t="n">
        <v>-23.558143</v>
      </c>
      <c r="E1253" s="58" t="n">
        <v>-46.551829</v>
      </c>
    </row>
    <row r="1254">
      <c r="A1254" t="n">
        <v>870008689</v>
      </c>
      <c r="B1254" t="inlineStr">
        <is>
          <t>R. Curupá, 254</t>
        </is>
      </c>
      <c r="C1254" t="inlineStr">
        <is>
          <t>Ref.: R Dos Povoadores/ R Guaxupe</t>
        </is>
      </c>
      <c r="D1254" s="58" t="n">
        <v>-23.557678</v>
      </c>
      <c r="E1254" s="58" t="n">
        <v>-46.551563</v>
      </c>
    </row>
    <row r="1255">
      <c r="A1255" t="n">
        <v>870008690</v>
      </c>
      <c r="B1255" t="inlineStr">
        <is>
          <t>R. Curupá, 127</t>
        </is>
      </c>
      <c r="C1255" t="inlineStr">
        <is>
          <t>Ref.: R Cacaquera/ R Dos Povoadores</t>
        </is>
      </c>
      <c r="D1255" s="58" t="n">
        <v>-23.556723</v>
      </c>
      <c r="E1255" s="58" t="n">
        <v>-46.550764</v>
      </c>
    </row>
    <row r="1256">
      <c r="A1256" t="n">
        <v>870008691</v>
      </c>
      <c r="B1256" t="inlineStr">
        <is>
          <t>R. Caçaquera, 612</t>
        </is>
      </c>
      <c r="C1256" t="inlineStr">
        <is>
          <t>Ref.: R Curupa/ R Gelasio Pimenta</t>
        </is>
      </c>
      <c r="D1256" s="58" t="n">
        <v>-23.555916</v>
      </c>
      <c r="E1256" s="58" t="n">
        <v>-46.550928</v>
      </c>
    </row>
    <row r="1257">
      <c r="A1257" t="n">
        <v>870008692</v>
      </c>
      <c r="B1257" t="inlineStr">
        <is>
          <t>R. Caçaquera, 507</t>
        </is>
      </c>
      <c r="C1257" t="inlineStr">
        <is>
          <t>Ref.: R Curupa/ R Gelasio Pimenta</t>
        </is>
      </c>
      <c r="D1257" s="58" t="n">
        <v>-23.555513</v>
      </c>
      <c r="E1257" s="58" t="n">
        <v>-46.551705</v>
      </c>
    </row>
    <row r="1258">
      <c r="A1258" t="n">
        <v>870008707</v>
      </c>
      <c r="B1258" t="inlineStr">
        <is>
          <t>Av. Dr. Eduardo Cotching, 903</t>
        </is>
      </c>
      <c r="C1258" t="inlineStr">
        <is>
          <t>Ref.: Tr Mario Ghirelli/ Pc Santo Atanasio</t>
        </is>
      </c>
      <c r="D1258" s="58" t="n">
        <v>-23.562661</v>
      </c>
      <c r="E1258" s="58" t="n">
        <v>-46.552134</v>
      </c>
    </row>
    <row r="1259">
      <c r="A1259" t="n">
        <v>870008708</v>
      </c>
      <c r="B1259" t="inlineStr">
        <is>
          <t>Av. Dr. Eduardo Cotching, 902</t>
        </is>
      </c>
      <c r="C1259" t="inlineStr">
        <is>
          <t>Ref.: Tr Mario Ghirelli/ Pc Santo Atanasio</t>
        </is>
      </c>
      <c r="D1259" s="58" t="n">
        <v>-23.562727</v>
      </c>
      <c r="E1259" s="58" t="n">
        <v>-46.552031</v>
      </c>
    </row>
    <row r="1260">
      <c r="A1260" t="n">
        <v>870008709</v>
      </c>
      <c r="B1260" t="inlineStr">
        <is>
          <t>Av. Dr. Eduardo Cotching, 679</t>
        </is>
      </c>
      <c r="C1260" t="inlineStr">
        <is>
          <t>Ref.: Pc Coxim/ R Curupa</t>
        </is>
      </c>
      <c r="D1260" s="58" t="n">
        <v>-23.562683</v>
      </c>
      <c r="E1260" s="58" t="n">
        <v>-46.554585</v>
      </c>
    </row>
    <row r="1261">
      <c r="A1261" t="n">
        <v>870008712</v>
      </c>
      <c r="B1261" t="inlineStr">
        <is>
          <t>Av. Reg. Feijó, 1739</t>
        </is>
      </c>
      <c r="C1261" t="inlineStr">
        <is>
          <t>Ref.: R Gabriel Grupello/ R Arnaldo Rosa</t>
        </is>
      </c>
      <c r="D1261" s="58" t="n">
        <v>-23.561985</v>
      </c>
      <c r="E1261" s="58" t="n">
        <v>-46.561399</v>
      </c>
    </row>
    <row r="1262">
      <c r="A1262" t="n">
        <v>870008713</v>
      </c>
      <c r="B1262" t="inlineStr">
        <is>
          <t>Av. Reg. Feijó, 1269</t>
        </is>
      </c>
      <c r="C1262" t="inlineStr">
        <is>
          <t>Ref.: Av Vereador Abel Ferreira/ R Jacob Fath</t>
        </is>
      </c>
      <c r="D1262" s="58" t="n">
        <v>-23.560993</v>
      </c>
      <c r="E1262" s="58" t="n">
        <v>-46.564621</v>
      </c>
    </row>
    <row r="1263">
      <c r="A1263" t="n">
        <v>870008714</v>
      </c>
      <c r="B1263" t="inlineStr">
        <is>
          <t>Av. Reg. Feijó, 1295</t>
        </is>
      </c>
      <c r="C1263" t="inlineStr">
        <is>
          <t>Ref.: Av Vereador Abel Ferreira/ R Jacob Fath</t>
        </is>
      </c>
      <c r="D1263" s="58" t="n">
        <v>-23.560715</v>
      </c>
      <c r="E1263" s="58" t="n">
        <v>-46.564919</v>
      </c>
    </row>
    <row r="1264">
      <c r="A1264" t="n">
        <v>870008834</v>
      </c>
      <c r="B1264" t="inlineStr">
        <is>
          <t>R. Emília Marengo, 57</t>
        </is>
      </c>
      <c r="C1264" t="inlineStr">
        <is>
          <t>Ref.: R Adrianopolis/ R Otelo Rizzo</t>
        </is>
      </c>
      <c r="D1264" s="58" t="n">
        <v>-23.552789</v>
      </c>
      <c r="E1264" s="58" t="n">
        <v>-46.566541</v>
      </c>
    </row>
    <row r="1265">
      <c r="A1265" t="n">
        <v>870008835</v>
      </c>
      <c r="B1265" t="inlineStr">
        <is>
          <t>R. Emília Marengo, 160</t>
        </is>
      </c>
      <c r="C1265" t="inlineStr">
        <is>
          <t>Ref.: R Mozart De Andrade/ R Doutor Roberto Reid Kalley</t>
        </is>
      </c>
      <c r="D1265" s="58" t="n">
        <v>-23.552958</v>
      </c>
      <c r="E1265" s="58" t="n">
        <v>-46.565717</v>
      </c>
    </row>
    <row r="1266">
      <c r="A1266" t="n">
        <v>870008839</v>
      </c>
      <c r="B1266" t="inlineStr">
        <is>
          <t>R. Eleonora Cintra, 530</t>
        </is>
      </c>
      <c r="C1266" t="inlineStr">
        <is>
          <t>Ref.: R Jose Alexandre Almeida Luiz/ R Canuto Abreu</t>
        </is>
      </c>
      <c r="D1266" s="58" t="n">
        <v>-23.556275</v>
      </c>
      <c r="E1266" s="58" t="n">
        <v>-46.560128</v>
      </c>
    </row>
    <row r="1267">
      <c r="A1267" t="n">
        <v>870008842</v>
      </c>
      <c r="B1267" t="inlineStr">
        <is>
          <t>R. Antônio Alves Barril, 355</t>
        </is>
      </c>
      <c r="C1267" t="inlineStr">
        <is>
          <t>Ref.: R Professor Joao De Oliveira Torres/ Av Regente Feijo -- Super. Carrefour</t>
        </is>
      </c>
      <c r="D1267" s="58" t="n">
        <v>-23.559666</v>
      </c>
      <c r="E1267" s="58" t="n">
        <v>-46.561038</v>
      </c>
    </row>
    <row r="1268">
      <c r="A1268" t="n">
        <v>870008843</v>
      </c>
      <c r="B1268" t="inlineStr">
        <is>
          <t>R. Antônio Alves Barril, 355</t>
        </is>
      </c>
      <c r="C1268" t="inlineStr">
        <is>
          <t>Ref.: R Professor Joao De Oliveira Torres/ Av Regente Feijo</t>
        </is>
      </c>
      <c r="D1268" s="58" t="n">
        <v>-23.559182</v>
      </c>
      <c r="E1268" s="58" t="n">
        <v>-46.56089</v>
      </c>
    </row>
    <row r="1269">
      <c r="A1269" t="n">
        <v>870012167</v>
      </c>
      <c r="B1269" t="inlineStr">
        <is>
          <t>R. Emília Marengo, 476</t>
        </is>
      </c>
      <c r="C1269" t="inlineStr">
        <is>
          <t>Ref.: R Terebe/ R Maripa</t>
        </is>
      </c>
      <c r="D1269" s="58" t="n">
        <v>-23.553243</v>
      </c>
      <c r="E1269" s="58" t="n">
        <v>-46.562684</v>
      </c>
    </row>
    <row r="1270">
      <c r="A1270" t="n">
        <v>870012170</v>
      </c>
      <c r="B1270" t="inlineStr">
        <is>
          <t>R. Emília Marengo, 856</t>
        </is>
      </c>
      <c r="C1270" t="inlineStr">
        <is>
          <t>Ref.: R Joaquim Sabino/ Tr Anezio Collepicolo</t>
        </is>
      </c>
      <c r="D1270" s="58" t="n">
        <v>-23.554782</v>
      </c>
      <c r="E1270" s="58" t="n">
        <v>-46.559576</v>
      </c>
    </row>
    <row r="1271">
      <c r="A1271" t="n">
        <v>870012174</v>
      </c>
      <c r="B1271" t="inlineStr">
        <is>
          <t>R. Acurui</t>
        </is>
      </c>
      <c r="C1271" t="inlineStr">
        <is>
          <t>Ref.: R Antonio De Barros/ Pc Bela Lorena</t>
        </is>
      </c>
      <c r="D1271" s="58" t="n">
        <v>-23.557163</v>
      </c>
      <c r="E1271" s="58" t="n">
        <v>-46.553294</v>
      </c>
    </row>
    <row r="1272">
      <c r="A1272" t="n">
        <v>870012175</v>
      </c>
      <c r="B1272" t="inlineStr">
        <is>
          <t>R. Acurui, 292</t>
        </is>
      </c>
      <c r="C1272" t="inlineStr">
        <is>
          <t>Ref.: Pc Bela Lorena/ R Curupa</t>
        </is>
      </c>
      <c r="D1272" s="58" t="n">
        <v>-23.558302</v>
      </c>
      <c r="E1272" s="58" t="n">
        <v>-46.553164</v>
      </c>
    </row>
    <row r="1273">
      <c r="A1273" t="n">
        <v>870012176</v>
      </c>
      <c r="B1273" t="inlineStr">
        <is>
          <t>R. Acurui, 493</t>
        </is>
      </c>
      <c r="C1273" t="inlineStr">
        <is>
          <t>Ref.: R Curupa/ Pc Santo Atanasio</t>
        </is>
      </c>
      <c r="D1273" s="58" t="n">
        <v>-23.559913</v>
      </c>
      <c r="E1273" s="58" t="n">
        <v>-46.55289</v>
      </c>
    </row>
    <row r="1274">
      <c r="A1274" t="n">
        <v>870012177</v>
      </c>
      <c r="B1274" t="inlineStr">
        <is>
          <t>R. Acurui, 512</t>
        </is>
      </c>
      <c r="C1274" t="inlineStr">
        <is>
          <t>Ref.: R Curupa/ Pc Santo Atanasio</t>
        </is>
      </c>
      <c r="D1274" s="58" t="n">
        <v>-23.560412</v>
      </c>
      <c r="E1274" s="58" t="n">
        <v>-46.552953</v>
      </c>
    </row>
    <row r="1275">
      <c r="A1275" t="n">
        <v>870012179</v>
      </c>
      <c r="B1275" t="inlineStr">
        <is>
          <t>Pça. Sto. Atanásio, 720</t>
        </is>
      </c>
      <c r="C1275" t="inlineStr">
        <is>
          <t>Ref.: Av Doutor Eduardo Cotching/ R Djair Pereira De Macedo</t>
        </is>
      </c>
      <c r="D1275" s="58" t="n">
        <v>-23.562273</v>
      </c>
      <c r="E1275" s="58" t="n">
        <v>-46.55199</v>
      </c>
    </row>
    <row r="1276">
      <c r="A1276" t="n">
        <v>870012180</v>
      </c>
      <c r="B1276" t="inlineStr">
        <is>
          <t>Av. Dr. Eduardo Cotching, 1137</t>
        </is>
      </c>
      <c r="C1276" t="inlineStr">
        <is>
          <t>Ref.: R Catuquina/ R Santa Brigida</t>
        </is>
      </c>
      <c r="D1276" s="58" t="n">
        <v>-23.562648</v>
      </c>
      <c r="E1276" s="58" t="n">
        <v>-46.550092</v>
      </c>
    </row>
    <row r="1277">
      <c r="A1277" t="n">
        <v>870012181</v>
      </c>
      <c r="B1277" t="inlineStr">
        <is>
          <t>R. Antônio De Barros, 2896</t>
        </is>
      </c>
      <c r="C1277" t="inlineStr">
        <is>
          <t>Ref.: R Guaxupe/ Av Emilia Marengo</t>
        </is>
      </c>
      <c r="D1277" s="58" t="n">
        <v>-23.555367</v>
      </c>
      <c r="E1277" s="58" t="n">
        <v>-46.554098</v>
      </c>
    </row>
    <row r="1278">
      <c r="A1278" t="n">
        <v>870012600</v>
      </c>
      <c r="B1278" t="inlineStr">
        <is>
          <t>Av. Dr. Eduardo Cotching, 1504</t>
        </is>
      </c>
      <c r="C1278" t="inlineStr">
        <is>
          <t>Ref.: Pc Nossa Senhora Das Vitorias/ R Asfaltite</t>
        </is>
      </c>
      <c r="D1278" s="58" t="n">
        <v>-23.564496</v>
      </c>
      <c r="E1278" s="58" t="n">
        <v>-46.547592</v>
      </c>
    </row>
    <row r="1279">
      <c r="A1279" t="n">
        <v>870012601</v>
      </c>
      <c r="B1279" t="inlineStr">
        <is>
          <t>Av. Dr. Eduardo Cotching, 1278</t>
        </is>
      </c>
      <c r="C1279" t="inlineStr">
        <is>
          <t>Ref.: Pc Nossa Senhora Das Vitorias/ R Arapaco</t>
        </is>
      </c>
      <c r="D1279" s="58" t="n">
        <v>-23.563527</v>
      </c>
      <c r="E1279" s="58" t="n">
        <v>-46.549358</v>
      </c>
    </row>
    <row r="1280">
      <c r="A1280" t="n">
        <v>870012602</v>
      </c>
      <c r="B1280" t="inlineStr">
        <is>
          <t>Av. Dr. Eduardo Cotching, 1495</t>
        </is>
      </c>
      <c r="C1280" t="inlineStr">
        <is>
          <t>Ref.: Pc Nossa Senhora Das Vitorias/ R Asfaltite</t>
        </is>
      </c>
      <c r="D1280" s="58" t="n">
        <v>-23.56438</v>
      </c>
      <c r="E1280" s="58" t="n">
        <v>-46.547461</v>
      </c>
    </row>
    <row r="1281">
      <c r="A1281" t="n">
        <v>870012603</v>
      </c>
      <c r="B1281" t="inlineStr">
        <is>
          <t>Av. Dr. Eduardo Cotching, 1892</t>
        </is>
      </c>
      <c r="C1281" t="inlineStr">
        <is>
          <t>Ref.: Pc Canarias/ R Saigon</t>
        </is>
      </c>
      <c r="D1281" s="58" t="n">
        <v>-23.566325</v>
      </c>
      <c r="E1281" s="58" t="n">
        <v>-46.544512</v>
      </c>
    </row>
    <row r="1282">
      <c r="A1282" t="n">
        <v>870012605</v>
      </c>
      <c r="B1282" t="inlineStr">
        <is>
          <t>Av. João XxIII, 85</t>
        </is>
      </c>
      <c r="C1282" t="inlineStr">
        <is>
          <t>Ref.: Av Renata/ R Almirante Silvado</t>
        </is>
      </c>
      <c r="D1282" s="58" t="n">
        <v>-23.570561</v>
      </c>
      <c r="E1282" s="58" t="n">
        <v>-46.53943</v>
      </c>
    </row>
    <row r="1283">
      <c r="A1283" t="n">
        <v>870012606</v>
      </c>
      <c r="B1283" t="inlineStr">
        <is>
          <t>Av. João XxIII, 162</t>
        </is>
      </c>
      <c r="C1283" t="inlineStr">
        <is>
          <t>Ref.: Av Renata/ R Almirante Silvado</t>
        </is>
      </c>
      <c r="D1283" s="58" t="n">
        <v>-23.570966</v>
      </c>
      <c r="E1283" s="58" t="n">
        <v>-46.538651</v>
      </c>
    </row>
    <row r="1284">
      <c r="A1284" t="n">
        <v>870012607</v>
      </c>
      <c r="B1284" t="inlineStr">
        <is>
          <t>Av. João XxIII, 313</t>
        </is>
      </c>
      <c r="C1284" t="inlineStr">
        <is>
          <t>Ref.: R Fabio/ R Labrea</t>
        </is>
      </c>
      <c r="D1284" s="58" t="n">
        <v>-23.571375</v>
      </c>
      <c r="E1284" s="58" t="n">
        <v>-46.537373</v>
      </c>
    </row>
    <row r="1285">
      <c r="A1285" t="n">
        <v>870012608</v>
      </c>
      <c r="B1285" t="inlineStr">
        <is>
          <t>Av. João XxIII, 360</t>
        </is>
      </c>
      <c r="C1285" t="inlineStr">
        <is>
          <t>Ref.: R Labrea/ R Dom Jose</t>
        </is>
      </c>
      <c r="D1285" s="58" t="n">
        <v>-23.571622</v>
      </c>
      <c r="E1285" s="58" t="n">
        <v>-46.537027</v>
      </c>
    </row>
    <row r="1286">
      <c r="A1286" t="n">
        <v>870012610</v>
      </c>
      <c r="B1286" t="inlineStr">
        <is>
          <t>Av. João XxIII, 637</t>
        </is>
      </c>
      <c r="C1286" t="inlineStr">
        <is>
          <t>Ref.: R Dom Jose/ Av Antonio Manograsso</t>
        </is>
      </c>
      <c r="D1286" s="58" t="n">
        <v>-23.572673</v>
      </c>
      <c r="E1286" s="58" t="n">
        <v>-46.534519</v>
      </c>
    </row>
    <row r="1287">
      <c r="A1287" t="n">
        <v>870012612</v>
      </c>
      <c r="B1287" t="inlineStr">
        <is>
          <t>Av. Dr. Eduardo Cotching, 1800</t>
        </is>
      </c>
      <c r="C1287" t="inlineStr">
        <is>
          <t>Ref.: R Cristovao Girao/ Av Doutor Eduardo Cotching</t>
        </is>
      </c>
      <c r="D1287" s="58" t="n">
        <v>-23.56565</v>
      </c>
      <c r="E1287" s="58" t="n">
        <v>-46.544878</v>
      </c>
    </row>
    <row r="1288">
      <c r="A1288" t="n">
        <v>910000773</v>
      </c>
      <c r="B1288" t="inlineStr">
        <is>
          <t>Av. Das Cerejeiras, 1134</t>
        </is>
      </c>
      <c r="C1288" t="inlineStr">
        <is>
          <t>Ref.: R Casa Da Moeda/ Pc Chiba</t>
        </is>
      </c>
      <c r="D1288" s="58" t="n">
        <v>-23.507294</v>
      </c>
      <c r="E1288" s="58" t="n">
        <v>-46.577927</v>
      </c>
    </row>
    <row r="1289">
      <c r="A1289" t="n">
        <v>910000774</v>
      </c>
      <c r="B1289" t="inlineStr">
        <is>
          <t>Av. Das Cerejeiras, 795</t>
        </is>
      </c>
      <c r="C1289" t="inlineStr">
        <is>
          <t>Ref.: Pc Eduardo Rabelo/ R Casa Da Moeda</t>
        </is>
      </c>
      <c r="D1289" s="58" t="n">
        <v>-23.507882</v>
      </c>
      <c r="E1289" s="58" t="n">
        <v>-46.580082</v>
      </c>
    </row>
    <row r="1290">
      <c r="A1290" t="n">
        <v>910000775</v>
      </c>
      <c r="B1290" t="inlineStr">
        <is>
          <t>Av. Das Cerejeiras, 930</t>
        </is>
      </c>
      <c r="C1290" t="inlineStr">
        <is>
          <t>Ref.: Pc Chiba/ R Casa Da Moeda</t>
        </is>
      </c>
      <c r="D1290" s="58" t="n">
        <v>-23.508101</v>
      </c>
      <c r="E1290" s="58" t="n">
        <v>-46.579566</v>
      </c>
    </row>
    <row r="1291">
      <c r="A1291" t="n">
        <v>910000776</v>
      </c>
      <c r="B1291" t="inlineStr">
        <is>
          <t>Av. Das Cerejeiras, 666</t>
        </is>
      </c>
      <c r="C1291" t="inlineStr">
        <is>
          <t>Ref.: Pc Eduardo Rabelo/ R Romeu Pandolpho</t>
        </is>
      </c>
      <c r="D1291" s="58" t="n">
        <v>-23.509514</v>
      </c>
      <c r="E1291" s="58" t="n">
        <v>-46.58036</v>
      </c>
    </row>
    <row r="1292">
      <c r="A1292" t="n">
        <v>910000778</v>
      </c>
      <c r="B1292" t="inlineStr">
        <is>
          <t>Av. Das Cerejeiras, 318</t>
        </is>
      </c>
      <c r="C1292" t="inlineStr">
        <is>
          <t>Ref.: R Cecilia Meireles/ R Romeu Pandolpho</t>
        </is>
      </c>
      <c r="D1292" s="58" t="n">
        <v>-23.5127</v>
      </c>
      <c r="E1292" s="58" t="n">
        <v>-46.580385</v>
      </c>
    </row>
    <row r="1293">
      <c r="A1293" t="n">
        <v>910000779</v>
      </c>
      <c r="B1293" t="inlineStr">
        <is>
          <t>Av. Das Cerejeiras, 135</t>
        </is>
      </c>
      <c r="C1293" t="inlineStr">
        <is>
          <t>Ref.: R Cecilia Meireles/ R Araritaguaba</t>
        </is>
      </c>
      <c r="D1293" s="58" t="n">
        <v>-23.513685</v>
      </c>
      <c r="E1293" s="58" t="n">
        <v>-46.581427</v>
      </c>
    </row>
    <row r="1294">
      <c r="A1294" t="n">
        <v>910000780</v>
      </c>
      <c r="B1294" t="inlineStr">
        <is>
          <t>Av. Das Cerejeiras, 136</t>
        </is>
      </c>
      <c r="C1294" t="inlineStr">
        <is>
          <t>Ref.: R Araritaguaba/ R Cecilia Meireles</t>
        </is>
      </c>
      <c r="D1294" s="58" t="n">
        <v>-23.513836</v>
      </c>
      <c r="E1294" s="58" t="n">
        <v>-46.581435</v>
      </c>
    </row>
    <row r="1295">
      <c r="A1295" t="n">
        <v>910000808</v>
      </c>
      <c r="B1295" t="inlineStr">
        <is>
          <t>R. Sg. Miguel De Souza Filho, 22</t>
        </is>
      </c>
      <c r="C1295" t="inlineStr">
        <is>
          <t>Ref.: R Soldado Jose Fernandes Da Silva/ Rod Presidente Dutra</t>
        </is>
      </c>
      <c r="D1295" s="58" t="n">
        <v>-23.506573</v>
      </c>
      <c r="E1295" s="58" t="n">
        <v>-46.571859</v>
      </c>
    </row>
    <row r="1296">
      <c r="A1296" t="n">
        <v>910000809</v>
      </c>
      <c r="B1296" t="inlineStr">
        <is>
          <t>R. Sg. Miguel De Souza Filho, 23</t>
        </is>
      </c>
      <c r="C1296" t="inlineStr">
        <is>
          <t>Ref.: Av Bandeirantes Do Sul/ R Soldado Jose Vivanco Solano</t>
        </is>
      </c>
      <c r="D1296" s="58" t="n">
        <v>-23.506449</v>
      </c>
      <c r="E1296" s="58" t="n">
        <v>-46.57165</v>
      </c>
    </row>
    <row r="1297">
      <c r="A1297" t="n">
        <v>910000810</v>
      </c>
      <c r="B1297" t="inlineStr">
        <is>
          <t>Av. Tte. Amaro Felicíssimo Da Silveira, 1841</t>
        </is>
      </c>
      <c r="C1297" t="inlineStr">
        <is>
          <t>Ref.: Rod Presidente Dutra/ R Soldado Francisco Vitoriano</t>
        </is>
      </c>
      <c r="D1297" s="58" t="n">
        <v>-23.509367</v>
      </c>
      <c r="E1297" s="58" t="n">
        <v>-46.571245</v>
      </c>
    </row>
    <row r="1298">
      <c r="A1298" t="n">
        <v>910000811</v>
      </c>
      <c r="B1298" t="inlineStr">
        <is>
          <t>Av. Tte. Amaro Felicíssimo Da Silveira, 1792</t>
        </is>
      </c>
      <c r="C1298" t="inlineStr">
        <is>
          <t>Ref.: R Gentil Bispo/ R Soldado Aristides Gouveia</t>
        </is>
      </c>
      <c r="D1298" s="58" t="n">
        <v>-23.50932</v>
      </c>
      <c r="E1298" s="58" t="n">
        <v>-46.570891</v>
      </c>
    </row>
    <row r="1299">
      <c r="A1299" t="n">
        <v>910000812</v>
      </c>
      <c r="B1299" t="inlineStr">
        <is>
          <t>Av. Tte. Amaro Felicíssimo Da Silveira, 1399</t>
        </is>
      </c>
      <c r="C1299" t="inlineStr">
        <is>
          <t>Ref.: R Soldado Dionisio Chagas/ R Segundo Sargento Assad Feres</t>
        </is>
      </c>
      <c r="D1299" s="58" t="n">
        <v>-23.512851</v>
      </c>
      <c r="E1299" s="58" t="n">
        <v>-46.571388</v>
      </c>
    </row>
    <row r="1300">
      <c r="A1300" t="n">
        <v>910000813</v>
      </c>
      <c r="B1300" t="inlineStr">
        <is>
          <t>Al. 1º Sg. Basílio Nogueira Da Costa, 11</t>
        </is>
      </c>
      <c r="C1300" t="inlineStr">
        <is>
          <t>Ref.: Av Tenente Amaro Felicissimo Da Silveira/</t>
        </is>
      </c>
      <c r="D1300" s="58" t="n">
        <v>-23.514216</v>
      </c>
      <c r="E1300" s="58" t="n">
        <v>-46.57085</v>
      </c>
    </row>
    <row r="1301">
      <c r="A1301" t="n">
        <v>910000815</v>
      </c>
      <c r="B1301" t="inlineStr">
        <is>
          <t>Pça. Novo Mundo, 87</t>
        </is>
      </c>
      <c r="C1301" t="inlineStr">
        <is>
          <t>Ref.: Al Segundo Sargento Ananias Holanda De Oliveira/ R Sargento Jose Pessoto Sobrinho</t>
        </is>
      </c>
      <c r="D1301" s="58" t="n">
        <v>-23.517778</v>
      </c>
      <c r="E1301" s="58" t="n">
        <v>-46.568545</v>
      </c>
    </row>
    <row r="1302">
      <c r="A1302" t="n">
        <v>910000816</v>
      </c>
      <c r="B1302" t="inlineStr">
        <is>
          <t>Pça. Novo Mundo, 168</t>
        </is>
      </c>
      <c r="C1302" t="inlineStr">
        <is>
          <t>Ref.: L Segundo Sargento Nevio Baracho Dos Santos/ Al Subtenente Aviador Francisco Hierro</t>
        </is>
      </c>
      <c r="D1302" s="58" t="n">
        <v>-23.517083</v>
      </c>
      <c r="E1302" s="58" t="n">
        <v>-46.567642</v>
      </c>
    </row>
    <row r="1303">
      <c r="A1303" t="n">
        <v>910000817</v>
      </c>
      <c r="B1303" t="inlineStr">
        <is>
          <t>Al. 2º Sg. Andiras Nogueira De Abreu, 456</t>
        </is>
      </c>
      <c r="C1303" t="inlineStr">
        <is>
          <t>Ref.: R Cabo Basilio Zequim Junior/ R Soldado Jose Vicente De Paula</t>
        </is>
      </c>
      <c r="D1303" s="58" t="n">
        <v>-23.519371</v>
      </c>
      <c r="E1303" s="58" t="n">
        <v>-46.566428</v>
      </c>
    </row>
    <row r="1304">
      <c r="A1304" t="n">
        <v>910000818</v>
      </c>
      <c r="B1304" t="inlineStr">
        <is>
          <t>Al. 2º Sg. Andiras Nogueira De Abreu, 122</t>
        </is>
      </c>
      <c r="C1304" t="inlineStr">
        <is>
          <t>Ref.: R Doutor Vidal Reis/ R Carmina Ianetta Fanganiello</t>
        </is>
      </c>
      <c r="D1304" s="58" t="n">
        <v>-23.521399</v>
      </c>
      <c r="E1304" s="58" t="n">
        <v>-46.564471</v>
      </c>
    </row>
    <row r="1305">
      <c r="A1305" t="n">
        <v>910000820</v>
      </c>
      <c r="B1305" t="inlineStr">
        <is>
          <t>Av. Emílio Giaquinto, 397</t>
        </is>
      </c>
      <c r="C1305" t="inlineStr">
        <is>
          <t>Ref.: R Francisco Fanganielo/ R Fritz Jank</t>
        </is>
      </c>
      <c r="D1305" s="58" t="n">
        <v>-23.5213</v>
      </c>
      <c r="E1305" s="58" t="n">
        <v>-46.562138</v>
      </c>
    </row>
    <row r="1306">
      <c r="A1306" t="n">
        <v>910000823</v>
      </c>
      <c r="B1306" t="inlineStr">
        <is>
          <t>Al. 2º Sg. Névio Baracho Dos Santos, 357</t>
        </is>
      </c>
      <c r="C1306" t="inlineStr">
        <is>
          <t>Ref.: R Doutor Vidal Reis/ R Fritz Jank</t>
        </is>
      </c>
      <c r="D1306" s="58" t="n">
        <v>-23.517578</v>
      </c>
      <c r="E1306" s="58" t="n">
        <v>-46.56339</v>
      </c>
    </row>
    <row r="1307">
      <c r="A1307" t="n">
        <v>910000827</v>
      </c>
      <c r="B1307" t="inlineStr">
        <is>
          <t>Av. José Maria Fernandes, 118</t>
        </is>
      </c>
      <c r="C1307" t="inlineStr">
        <is>
          <t>Ref.: R Soldado Joao Americo Da Silva/ R Cabo Antonio Alves</t>
        </is>
      </c>
      <c r="D1307" s="58" t="n">
        <v>-23.515269</v>
      </c>
      <c r="E1307" s="58" t="n">
        <v>-46.568098</v>
      </c>
    </row>
    <row r="1308">
      <c r="A1308" t="n">
        <v>910000828</v>
      </c>
      <c r="B1308" t="inlineStr">
        <is>
          <t>Av. José Maria Fernandes, 208</t>
        </is>
      </c>
      <c r="C1308" t="inlineStr">
        <is>
          <t>Ref.: R Sd. Otto Unger/ R Cb. Jose Da Silva</t>
        </is>
      </c>
      <c r="D1308" s="58" t="n">
        <v>-23.514584</v>
      </c>
      <c r="E1308" s="58" t="n">
        <v>-46.567908</v>
      </c>
    </row>
    <row r="1309">
      <c r="A1309" t="n">
        <v>910000830</v>
      </c>
      <c r="B1309" t="inlineStr">
        <is>
          <t>Av. José Maria Fernandes, 631</t>
        </is>
      </c>
      <c r="C1309" t="inlineStr">
        <is>
          <t>Ref.: R Sd. Antonio Matias De Camargo/ R Srg. Jeter Augusto Pereira</t>
        </is>
      </c>
      <c r="D1309" s="58" t="n">
        <v>-23.510655</v>
      </c>
      <c r="E1309" s="58" t="n">
        <v>-46.567951</v>
      </c>
    </row>
    <row r="1310">
      <c r="A1310" t="n">
        <v>910000832</v>
      </c>
      <c r="B1310" t="inlineStr">
        <is>
          <t>R. Cel. Dilermano Brisola, 267</t>
        </is>
      </c>
      <c r="C1310" t="inlineStr">
        <is>
          <t>Ref.: R Pedro Taques Pires/ R Jose Barbosa De Lima</t>
        </is>
      </c>
      <c r="D1310" s="58" t="n">
        <v>-23.508541</v>
      </c>
      <c r="E1310" s="58" t="n">
        <v>-46.563519</v>
      </c>
    </row>
    <row r="1311">
      <c r="A1311" t="n">
        <v>910000833</v>
      </c>
      <c r="B1311" t="inlineStr">
        <is>
          <t>R. Cel. Dilermano Brisola, 280</t>
        </is>
      </c>
      <c r="C1311" t="inlineStr">
        <is>
          <t>Ref.: R Pedro Taques Pires/ R Jose Barbosa De Lima</t>
        </is>
      </c>
      <c r="D1311" s="58" t="n">
        <v>-23.508548</v>
      </c>
      <c r="E1311" s="58" t="n">
        <v>-46.563296</v>
      </c>
    </row>
    <row r="1312">
      <c r="A1312" t="n">
        <v>910000834</v>
      </c>
      <c r="B1312" t="inlineStr">
        <is>
          <t>R. Pedro Taques Pires, 273</t>
        </is>
      </c>
      <c r="C1312" t="inlineStr">
        <is>
          <t>Ref.: R Joao De Lara Da Cunha/ R Roque Soares Medella</t>
        </is>
      </c>
      <c r="D1312" s="58" t="n">
        <v>-23.509661</v>
      </c>
      <c r="E1312" s="58" t="n">
        <v>-46.562508</v>
      </c>
    </row>
    <row r="1313">
      <c r="A1313" t="n">
        <v>910000835</v>
      </c>
      <c r="B1313" t="inlineStr">
        <is>
          <t>R. Pedro Taques Pires, 73</t>
        </is>
      </c>
      <c r="C1313" t="inlineStr">
        <is>
          <t>Ref.: R Tome Rodrigues Da Silva/ R Tome Rodrigues Da Silva</t>
        </is>
      </c>
      <c r="D1313" s="58" t="n">
        <v>-23.511563</v>
      </c>
      <c r="E1313" s="58" t="n">
        <v>-46.563017</v>
      </c>
    </row>
    <row r="1314">
      <c r="A1314" t="n">
        <v>910000840</v>
      </c>
      <c r="B1314" t="inlineStr">
        <is>
          <t>R. Sd. José Vicente De Paula, 62</t>
        </is>
      </c>
      <c r="C1314" t="inlineStr">
        <is>
          <t>Ref.: R T-srg. Joao Soares Faria/ Av Serafim Goncalves Pereira</t>
        </is>
      </c>
      <c r="D1314" s="58" t="n">
        <v>-23.521333</v>
      </c>
      <c r="E1314" s="58" t="n">
        <v>-46.56757</v>
      </c>
    </row>
    <row r="1315">
      <c r="A1315" t="n">
        <v>910000841</v>
      </c>
      <c r="B1315" t="inlineStr">
        <is>
          <t>R. 3º Sg. João Lopes Filho, 365</t>
        </is>
      </c>
      <c r="C1315" t="inlineStr">
        <is>
          <t>Ref.: R Sd. Euripedes Rodrigues Lima/ R Sd. Jose Pires Barbosa Filho</t>
        </is>
      </c>
      <c r="D1315" s="58" t="n">
        <v>-23.522084</v>
      </c>
      <c r="E1315" s="58" t="n">
        <v>-46.569773</v>
      </c>
    </row>
    <row r="1316">
      <c r="A1316" t="n">
        <v>910000842</v>
      </c>
      <c r="B1316" t="inlineStr">
        <is>
          <t>R. 3º Sg. João Lopes Filho, 424</t>
        </is>
      </c>
      <c r="C1316" t="inlineStr">
        <is>
          <t>Ref.: R Sd. Euripedes Rodrigues Lima/ R Sd. Jose Pires Barbosa Filho</t>
        </is>
      </c>
      <c r="D1316" s="58" t="n">
        <v>-23.521366</v>
      </c>
      <c r="E1316" s="58" t="n">
        <v>-46.569725</v>
      </c>
    </row>
    <row r="1317">
      <c r="A1317" t="n">
        <v>910000845</v>
      </c>
      <c r="B1317" t="inlineStr">
        <is>
          <t>R. Cel. Dilermano Brisola, 13</t>
        </is>
      </c>
      <c r="C1317" t="inlineStr">
        <is>
          <t>Ref.: R Sd. Francisco Gomes De Souza/ Av Amadeu Poli</t>
        </is>
      </c>
      <c r="D1317" s="58" t="n">
        <v>-23.508471</v>
      </c>
      <c r="E1317" s="58" t="n">
        <v>-46.56597</v>
      </c>
    </row>
    <row r="1318">
      <c r="A1318" t="n">
        <v>910000862</v>
      </c>
      <c r="B1318" t="inlineStr">
        <is>
          <t>Av. Guilherme Cotching, 1933</t>
        </is>
      </c>
      <c r="C1318" t="inlineStr">
        <is>
          <t>Ref.: R Araritaguaba/ R Da Gavea</t>
        </is>
      </c>
      <c r="D1318" s="58" t="n">
        <v>-23.51315</v>
      </c>
      <c r="E1318" s="58" t="n">
        <v>-46.585745</v>
      </c>
    </row>
    <row r="1319">
      <c r="A1319" t="n">
        <v>910000863</v>
      </c>
      <c r="B1319" t="inlineStr">
        <is>
          <t>Av. Guilherme Cotching, 1920</t>
        </is>
      </c>
      <c r="C1319" t="inlineStr">
        <is>
          <t>Ref.: R Araritaguaba/ R Da Gavea</t>
        </is>
      </c>
      <c r="D1319" s="58" t="n">
        <v>-23.513402</v>
      </c>
      <c r="E1319" s="58" t="n">
        <v>-46.585636</v>
      </c>
    </row>
    <row r="1320">
      <c r="A1320" t="n">
        <v>910000864</v>
      </c>
      <c r="B1320" t="inlineStr">
        <is>
          <t>Av. Guilherme Cotching, 1757</t>
        </is>
      </c>
      <c r="C1320" t="inlineStr">
        <is>
          <t>Ref.: Largo Da Vila Maria/ R Da Gavea/praça Santo Eduardo</t>
        </is>
      </c>
      <c r="D1320" s="58" t="n">
        <v>-23.514433</v>
      </c>
      <c r="E1320" s="58" t="n">
        <v>-46.586795</v>
      </c>
    </row>
    <row r="1321">
      <c r="A1321" t="n">
        <v>910000865</v>
      </c>
      <c r="B1321" t="inlineStr">
        <is>
          <t>Av. Guilherme Cotching, 1600</t>
        </is>
      </c>
      <c r="C1321" t="inlineStr">
        <is>
          <t>Ref.: Largo Da Vila Maria/ R Margarino Torres/praça Santo Eduardo</t>
        </is>
      </c>
      <c r="D1321" s="58" t="n">
        <v>-23.515836</v>
      </c>
      <c r="E1321" s="58" t="n">
        <v>-46.587562</v>
      </c>
    </row>
    <row r="1322">
      <c r="A1322" t="n">
        <v>910000866</v>
      </c>
      <c r="B1322" t="inlineStr">
        <is>
          <t>Av. Guilherme Cotching, 1551</t>
        </is>
      </c>
      <c r="C1322" t="inlineStr">
        <is>
          <t>Ref.: Largo Da Vila Maria/ R Margarino Torres</t>
        </is>
      </c>
      <c r="D1322" s="58" t="n">
        <v>-23.515935</v>
      </c>
      <c r="E1322" s="58" t="n">
        <v>-46.588021</v>
      </c>
    </row>
    <row r="1323">
      <c r="A1323" t="n">
        <v>910000867</v>
      </c>
      <c r="B1323" t="inlineStr">
        <is>
          <t>Av. Guilherme Cotching, 1139</t>
        </is>
      </c>
      <c r="C1323" t="inlineStr">
        <is>
          <t>Ref.: R Prfa. Maria J. Barone Fernandes/ R Diamantina</t>
        </is>
      </c>
      <c r="D1323" s="58" t="n">
        <v>-23.519042</v>
      </c>
      <c r="E1323" s="58" t="n">
        <v>-46.590414</v>
      </c>
    </row>
    <row r="1324">
      <c r="A1324" t="n">
        <v>910000868</v>
      </c>
      <c r="B1324" t="inlineStr">
        <is>
          <t>Av. Guilherme Cotching, 1298</t>
        </is>
      </c>
      <c r="C1324" t="inlineStr">
        <is>
          <t>Ref.: R D. Luis Felipe De Orleans/ R Prfa. Maria J. Barone Fernandes</t>
        </is>
      </c>
      <c r="D1324" s="58" t="n">
        <v>-23.518022</v>
      </c>
      <c r="E1324" s="58" t="n">
        <v>-46.589262</v>
      </c>
    </row>
    <row r="1325">
      <c r="A1325" t="n">
        <v>910000869</v>
      </c>
      <c r="B1325" t="inlineStr">
        <is>
          <t>Av. Guilherme Cotching, 915</t>
        </is>
      </c>
      <c r="C1325" t="inlineStr">
        <is>
          <t>Ref.: R Diamantina/ R Andarai</t>
        </is>
      </c>
      <c r="D1325" s="58" t="n">
        <v>-23.520711</v>
      </c>
      <c r="E1325" s="58" t="n">
        <v>-46.591641</v>
      </c>
    </row>
    <row r="1326">
      <c r="A1326" t="n">
        <v>910000870</v>
      </c>
      <c r="B1326" t="inlineStr">
        <is>
          <t>Av. Guilherme Cotching, 980</t>
        </is>
      </c>
      <c r="C1326" t="inlineStr">
        <is>
          <t>Ref.: R Diamantina/ R Andarai</t>
        </is>
      </c>
      <c r="D1326" s="58" t="n">
        <v>-23.520743</v>
      </c>
      <c r="E1326" s="58" t="n">
        <v>-46.591433</v>
      </c>
    </row>
    <row r="1327">
      <c r="A1327" t="n">
        <v>910000871</v>
      </c>
      <c r="B1327" t="inlineStr">
        <is>
          <t>Av. Guilherme Cotching, 647</t>
        </is>
      </c>
      <c r="C1327" t="inlineStr">
        <is>
          <t>Ref.: R Alcantara/ R Antonio Fonseca</t>
        </is>
      </c>
      <c r="D1327" s="58" t="n">
        <v>-23.522699</v>
      </c>
      <c r="E1327" s="58" t="n">
        <v>-46.593296</v>
      </c>
    </row>
    <row r="1328">
      <c r="A1328" t="n">
        <v>910000872</v>
      </c>
      <c r="B1328" t="inlineStr">
        <is>
          <t>Av. Guilherme Cotching, 640</t>
        </is>
      </c>
      <c r="C1328" t="inlineStr">
        <is>
          <t>Ref.: R Alcantara/ R Antonio Fonseca</t>
        </is>
      </c>
      <c r="D1328" s="58" t="n">
        <v>-23.522858</v>
      </c>
      <c r="E1328" s="58" t="n">
        <v>-46.593093</v>
      </c>
    </row>
    <row r="1329">
      <c r="A1329" t="n">
        <v>910000888</v>
      </c>
      <c r="B1329" t="inlineStr">
        <is>
          <t>Av. Alberto Byington, 889</t>
        </is>
      </c>
      <c r="C1329" t="inlineStr">
        <is>
          <t>Ref.: Pc Cosmorama/ R Lobo Miranda</t>
        </is>
      </c>
      <c r="D1329" s="58" t="n">
        <v>-23.506655</v>
      </c>
      <c r="E1329" s="58" t="n">
        <v>-46.58982</v>
      </c>
    </row>
    <row r="1330">
      <c r="A1330" t="n">
        <v>910000889</v>
      </c>
      <c r="B1330" t="inlineStr">
        <is>
          <t>Av. Alberto Byington, 1142</t>
        </is>
      </c>
      <c r="C1330" t="inlineStr">
        <is>
          <t>Ref.: R Lobo Miranda/ Pc Cosmorama</t>
        </is>
      </c>
      <c r="D1330" s="58" t="n">
        <v>-23.505312</v>
      </c>
      <c r="E1330" s="58" t="n">
        <v>-46.591327</v>
      </c>
    </row>
    <row r="1331">
      <c r="A1331" t="n">
        <v>910000890</v>
      </c>
      <c r="B1331" t="inlineStr">
        <is>
          <t>Av. Alberto Byington, 1189</t>
        </is>
      </c>
      <c r="C1331" t="inlineStr">
        <is>
          <t>Ref.: R Lobo Miranda/ R Lobo Miranda</t>
        </is>
      </c>
      <c r="D1331" s="58" t="n">
        <v>-23.504966</v>
      </c>
      <c r="E1331" s="58" t="n">
        <v>-46.591666</v>
      </c>
    </row>
    <row r="1332">
      <c r="A1332" t="n">
        <v>910000891</v>
      </c>
      <c r="B1332" t="inlineStr">
        <is>
          <t>Av. Alberto Byington, 1390</t>
        </is>
      </c>
      <c r="C1332" t="inlineStr">
        <is>
          <t>Ref.: Tv Francisco Jose De Mello/ R Gen. Mendes</t>
        </is>
      </c>
      <c r="D1332" s="58" t="n">
        <v>-23.503309</v>
      </c>
      <c r="E1332" s="58" t="n">
        <v>-46.591604</v>
      </c>
    </row>
    <row r="1333">
      <c r="A1333" t="n">
        <v>910000892</v>
      </c>
      <c r="B1333" t="inlineStr">
        <is>
          <t>Av. Alberto Byington, 1632</t>
        </is>
      </c>
      <c r="C1333" t="inlineStr">
        <is>
          <t>Ref.: Pc Maria Montessori/ Pc Rio Brilhante</t>
        </is>
      </c>
      <c r="D1333" s="58" t="n">
        <v>-23.501391</v>
      </c>
      <c r="E1333" s="58" t="n">
        <v>-46.590241</v>
      </c>
    </row>
    <row r="1334">
      <c r="A1334" t="n">
        <v>910000893</v>
      </c>
      <c r="B1334" t="inlineStr">
        <is>
          <t>Av. Alberto Byington, 1669</t>
        </is>
      </c>
      <c r="C1334" t="inlineStr">
        <is>
          <t>Ref.: Tv Fernao Martins Da Costa/ R Gen. Mendes</t>
        </is>
      </c>
      <c r="D1334" s="58" t="n">
        <v>-23.50115</v>
      </c>
      <c r="E1334" s="58" t="n">
        <v>-46.590131</v>
      </c>
    </row>
    <row r="1335">
      <c r="A1335" t="n">
        <v>910000909</v>
      </c>
      <c r="B1335" t="inlineStr">
        <is>
          <t>R. Pe. Saboia De Medeiros, 204</t>
        </is>
      </c>
      <c r="C1335" t="inlineStr">
        <is>
          <t>Ref.: R Tupirana/ R Dr. Afrodisio Vidigal</t>
        </is>
      </c>
      <c r="D1335" s="58" t="n">
        <v>-23.499934</v>
      </c>
      <c r="E1335" s="58" t="n">
        <v>-46.588268</v>
      </c>
    </row>
    <row r="1336">
      <c r="A1336" t="n">
        <v>910000910</v>
      </c>
      <c r="B1336" t="inlineStr">
        <is>
          <t>R. Pe. Saboia De Medeiros, 363</t>
        </is>
      </c>
      <c r="C1336" t="inlineStr">
        <is>
          <t>Ref.: Tv Da Percussao/ R Tupirana</t>
        </is>
      </c>
      <c r="D1336" s="58" t="n">
        <v>-23.498694</v>
      </c>
      <c r="E1336" s="58" t="n">
        <v>-46.587415</v>
      </c>
    </row>
    <row r="1337">
      <c r="A1337" t="n">
        <v>910000911</v>
      </c>
      <c r="B1337" t="inlineStr">
        <is>
          <t>Pça. Marcelino Machado, 519</t>
        </is>
      </c>
      <c r="C1337" t="inlineStr">
        <is>
          <t>Ref.: R Sta Fe Do Sul</t>
        </is>
      </c>
      <c r="D1337" s="58" t="n">
        <v>-23.497959</v>
      </c>
      <c r="E1337" s="58" t="n">
        <v>-46.586212</v>
      </c>
    </row>
    <row r="1338">
      <c r="A1338" t="n">
        <v>910000912</v>
      </c>
      <c r="B1338" t="inlineStr">
        <is>
          <t>R. Pe. Saboia De Medeiros, 559</t>
        </is>
      </c>
      <c r="C1338" t="inlineStr">
        <is>
          <t>Ref.: Tv Da Percussao/ R Tupirana</t>
        </is>
      </c>
      <c r="D1338" s="58" t="n">
        <v>-23.497451</v>
      </c>
      <c r="E1338" s="58" t="n">
        <v>-46.586063</v>
      </c>
    </row>
    <row r="1339">
      <c r="A1339" t="n">
        <v>910001875</v>
      </c>
      <c r="B1339" t="inlineStr">
        <is>
          <t>Av. Morvan Dias De Figueiredo, 6900</t>
        </is>
      </c>
      <c r="C1339" t="inlineStr">
        <is>
          <t>Ref.: Av Emilio Giaquinto/ R Francisco Fanganiello</t>
        </is>
      </c>
      <c r="D1339" s="58" t="n">
        <v>-23.522591</v>
      </c>
      <c r="E1339" s="58" t="n">
        <v>-46.561954</v>
      </c>
    </row>
    <row r="1340">
      <c r="A1340" t="n">
        <v>910001877</v>
      </c>
      <c r="B1340" t="inlineStr">
        <is>
          <t>Av. Morvan Dias De Figueiredo, 0</t>
        </is>
      </c>
      <c r="C1340" t="inlineStr">
        <is>
          <t>Ref.: Av Serafim Goncalves Pereira/ R T-srg. Joao Soares Faria</t>
        </is>
      </c>
      <c r="D1340" s="58" t="n">
        <v>-23.524288</v>
      </c>
      <c r="E1340" s="58" t="n">
        <v>-46.567832</v>
      </c>
    </row>
    <row r="1341">
      <c r="A1341" t="n">
        <v>910002007</v>
      </c>
      <c r="B1341" t="inlineStr">
        <is>
          <t>Av. Guilherme Cotching, 380</t>
        </is>
      </c>
      <c r="C1341" t="inlineStr">
        <is>
          <t>Ref.: R Antonio Fonseca/ Av Nadir Dias De Figueiredo</t>
        </is>
      </c>
      <c r="D1341" s="58" t="n">
        <v>-23.524854</v>
      </c>
      <c r="E1341" s="58" t="n">
        <v>-46.594915</v>
      </c>
    </row>
    <row r="1342">
      <c r="A1342" t="n">
        <v>910002008</v>
      </c>
      <c r="B1342" t="inlineStr">
        <is>
          <t>Pça. Cosmorama</t>
        </is>
      </c>
      <c r="C1342" t="inlineStr">
        <is>
          <t>Ref.: R Iacanga/ R Porangatu</t>
        </is>
      </c>
      <c r="D1342" s="58" t="n">
        <v>-23.506548</v>
      </c>
      <c r="E1342" s="58" t="n">
        <v>-46.589295</v>
      </c>
    </row>
    <row r="1343">
      <c r="A1343" t="n">
        <v>910002009</v>
      </c>
      <c r="B1343" t="inlineStr">
        <is>
          <t>R. Mere Amedéa, 904</t>
        </is>
      </c>
      <c r="C1343" t="inlineStr">
        <is>
          <t>Ref.: Pc Cosmorama/ R Silvio Leandro</t>
        </is>
      </c>
      <c r="D1343" s="58" t="n">
        <v>-23.507186</v>
      </c>
      <c r="E1343" s="58" t="n">
        <v>-46.589209</v>
      </c>
    </row>
    <row r="1344">
      <c r="A1344" t="n">
        <v>910002010</v>
      </c>
      <c r="B1344" t="inlineStr">
        <is>
          <t>R. Mere Amedéa, 771</t>
        </is>
      </c>
      <c r="C1344" t="inlineStr">
        <is>
          <t>Ref.: R Silvio Leandro/ R Sem Nome</t>
        </is>
      </c>
      <c r="D1344" s="58" t="n">
        <v>-23.508293</v>
      </c>
      <c r="E1344" s="58" t="n">
        <v>-46.588915</v>
      </c>
    </row>
    <row r="1345">
      <c r="A1345" t="n">
        <v>910002011</v>
      </c>
      <c r="B1345" t="inlineStr">
        <is>
          <t>R. Mere Amedéa, 518</t>
        </is>
      </c>
      <c r="C1345" t="inlineStr">
        <is>
          <t>Ref.: R Horacio De Castilho/ R Sem Nome</t>
        </is>
      </c>
      <c r="D1345" s="58" t="n">
        <v>-23.509295</v>
      </c>
      <c r="E1345" s="58" t="n">
        <v>-46.587494</v>
      </c>
    </row>
    <row r="1346">
      <c r="A1346" t="n">
        <v>910002012</v>
      </c>
      <c r="B1346" t="inlineStr">
        <is>
          <t>R. Mere Amedéa, 401</t>
        </is>
      </c>
      <c r="C1346" t="inlineStr">
        <is>
          <t>Ref.: Tv Nicolas De Marle/ R Sem Nome</t>
        </is>
      </c>
      <c r="D1346" s="58" t="n">
        <v>-23.510144</v>
      </c>
      <c r="E1346" s="58" t="n">
        <v>-46.587457</v>
      </c>
    </row>
    <row r="1347">
      <c r="A1347" t="n">
        <v>910002013</v>
      </c>
      <c r="B1347" t="inlineStr">
        <is>
          <t>R. Mere Amedéa, 294</t>
        </is>
      </c>
      <c r="C1347" t="inlineStr">
        <is>
          <t>Ref.: R Horacio De Castilho/ Pc Nossa Senhora Da Candelaria</t>
        </is>
      </c>
      <c r="D1347" s="58" t="n">
        <v>-23.51069</v>
      </c>
      <c r="E1347" s="58" t="n">
        <v>-46.586865</v>
      </c>
    </row>
    <row r="1348">
      <c r="A1348" t="n">
        <v>910002022</v>
      </c>
      <c r="B1348" t="inlineStr">
        <is>
          <t>R. Araritáguaba, 1138</t>
        </is>
      </c>
      <c r="C1348" t="inlineStr">
        <is>
          <t>Ref.: R Amambai/ R Eli</t>
        </is>
      </c>
      <c r="D1348" s="58" t="n">
        <v>-23.514112</v>
      </c>
      <c r="E1348" s="58" t="n">
        <v>-46.583125</v>
      </c>
    </row>
    <row r="1349">
      <c r="A1349" t="n">
        <v>910002023</v>
      </c>
      <c r="B1349" t="inlineStr">
        <is>
          <t>R. Araritáguaba, 1193</t>
        </is>
      </c>
      <c r="C1349" t="inlineStr">
        <is>
          <t>Ref.: R Dr. Edson De Melo/ R Sem Nome</t>
        </is>
      </c>
      <c r="D1349" s="58" t="n">
        <v>-23.514197</v>
      </c>
      <c r="E1349" s="58" t="n">
        <v>-46.582564</v>
      </c>
    </row>
    <row r="1350">
      <c r="A1350" t="n">
        <v>910002024</v>
      </c>
      <c r="B1350" t="inlineStr">
        <is>
          <t>R. Osaka, 521</t>
        </is>
      </c>
      <c r="C1350" t="inlineStr">
        <is>
          <t>Ref.: Av Das Cerejeiras/ R Taka</t>
        </is>
      </c>
      <c r="D1350" s="58" t="n">
        <v>-23.505969</v>
      </c>
      <c r="E1350" s="58" t="n">
        <v>-46.576819</v>
      </c>
    </row>
    <row r="1351">
      <c r="A1351" t="n">
        <v>910002025</v>
      </c>
      <c r="B1351" t="inlineStr">
        <is>
          <t>R. Osaka, 656</t>
        </is>
      </c>
      <c r="C1351" t="inlineStr">
        <is>
          <t>Ref.: Vla Forte Rio Grande/ R Srg. Miguel De Souza Filho</t>
        </is>
      </c>
      <c r="D1351" s="58" t="n">
        <v>-23.505504</v>
      </c>
      <c r="E1351" s="58" t="n">
        <v>-46.575783</v>
      </c>
    </row>
    <row r="1352">
      <c r="A1352" t="n">
        <v>910002026</v>
      </c>
      <c r="B1352" t="inlineStr">
        <is>
          <t>R. Osaka, 820</t>
        </is>
      </c>
      <c r="C1352" t="inlineStr">
        <is>
          <t>Ref.: Vla Forte Rio Grande/ R Srg. Miguel De Souza Filho</t>
        </is>
      </c>
      <c r="D1352" s="58" t="n">
        <v>-23.505257</v>
      </c>
      <c r="E1352" s="58" t="n">
        <v>-46.574162</v>
      </c>
    </row>
    <row r="1353">
      <c r="A1353" t="n">
        <v>910002027</v>
      </c>
      <c r="B1353" t="inlineStr">
        <is>
          <t>R. Osaka, 943</t>
        </is>
      </c>
      <c r="C1353" t="inlineStr">
        <is>
          <t>Ref.: R Taka/ R Sem Nome</t>
        </is>
      </c>
      <c r="D1353" s="58" t="n">
        <v>-23.505222</v>
      </c>
      <c r="E1353" s="58" t="n">
        <v>-46.573816</v>
      </c>
    </row>
    <row r="1354">
      <c r="A1354" t="n">
        <v>910003282</v>
      </c>
      <c r="B1354" t="inlineStr">
        <is>
          <t>R. Sd. Osvaldo Lellis, 8</t>
        </is>
      </c>
      <c r="C1354" t="inlineStr">
        <is>
          <t>Ref.: Avenida Jose Maria Fernsndes</t>
        </is>
      </c>
      <c r="D1354" s="58" t="n">
        <v>-23.50803</v>
      </c>
      <c r="E1354" s="58" t="n">
        <v>-46.567367</v>
      </c>
    </row>
    <row r="1355">
      <c r="A1355" t="n">
        <v>910003778</v>
      </c>
      <c r="B1355" t="inlineStr">
        <is>
          <t>Av. Conceição, 4030</t>
        </is>
      </c>
      <c r="C1355" t="inlineStr">
        <is>
          <t>Ref.: R Secundino Veiga/ R Estevao Melio</t>
        </is>
      </c>
      <c r="D1355" s="58" t="n">
        <v>-23.495193</v>
      </c>
      <c r="E1355" s="58" t="n">
        <v>-46.578781</v>
      </c>
    </row>
    <row r="1356">
      <c r="A1356" t="n">
        <v>910003782</v>
      </c>
      <c r="B1356" t="inlineStr">
        <is>
          <t>Av. Conceição, 3804</t>
        </is>
      </c>
      <c r="C1356" t="inlineStr">
        <is>
          <t>Ref.: Av Belisario Pena/ Av Dr. Benedito Estevao Dos Santos</t>
        </is>
      </c>
      <c r="D1356" s="58" t="n">
        <v>-23.49503</v>
      </c>
      <c r="E1356" s="58" t="n">
        <v>-46.580862</v>
      </c>
    </row>
    <row r="1357">
      <c r="A1357" t="n">
        <v>910003784</v>
      </c>
      <c r="B1357" t="inlineStr">
        <is>
          <t>Av. Conceição, 3544</t>
        </is>
      </c>
      <c r="C1357" t="inlineStr">
        <is>
          <t>Ref.: Av Belisario Pena/ Av Dr. Benedito Estevao Dos Santos</t>
        </is>
      </c>
      <c r="D1357" s="58" t="n">
        <v>-23.494814</v>
      </c>
      <c r="E1357" s="58" t="n">
        <v>-46.583202</v>
      </c>
    </row>
    <row r="1358">
      <c r="A1358" t="n">
        <v>910003785</v>
      </c>
      <c r="B1358" t="inlineStr">
        <is>
          <t>Av. Conceição, 3473</t>
        </is>
      </c>
      <c r="C1358" t="inlineStr">
        <is>
          <t>Ref.: Tv Joao Escobar/ R Crispim Duarte</t>
        </is>
      </c>
      <c r="D1358" s="58" t="n">
        <v>-23.494848</v>
      </c>
      <c r="E1358" s="58" t="n">
        <v>-46.584185</v>
      </c>
    </row>
    <row r="1359">
      <c r="A1359" t="n">
        <v>910003786</v>
      </c>
      <c r="B1359" t="inlineStr">
        <is>
          <t>Av. Conceição, 3294</t>
        </is>
      </c>
      <c r="C1359" t="inlineStr">
        <is>
          <t>Ref.: R Francisco Medeiros Jordao/av Conceicao</t>
        </is>
      </c>
      <c r="D1359" s="58" t="n">
        <v>-23.49562</v>
      </c>
      <c r="E1359" s="58" t="n">
        <v>-46.585261</v>
      </c>
    </row>
    <row r="1360">
      <c r="A1360" t="n">
        <v>910017229</v>
      </c>
      <c r="B1360" t="inlineStr">
        <is>
          <t>Av. Alberto Byington, 1421</t>
        </is>
      </c>
      <c r="C1360" t="inlineStr">
        <is>
          <t>Ref.: R Gen. Mendes/ Pc Rio Brilhante</t>
        </is>
      </c>
      <c r="D1360" s="58" t="n">
        <v>-23.502971</v>
      </c>
      <c r="E1360" s="58" t="n">
        <v>-46.591418</v>
      </c>
    </row>
    <row r="1361">
      <c r="A1361" t="n">
        <v>920015147</v>
      </c>
      <c r="B1361" t="inlineStr">
        <is>
          <t>Av. Prof. Ascendino Reis, 2524</t>
        </is>
      </c>
      <c r="C1361" t="inlineStr">
        <is>
          <t>Ref.: R Pedro De Toledo/ R Loefgreen</t>
        </is>
      </c>
      <c r="D1361" s="58" t="n">
        <v>-23.598129</v>
      </c>
      <c r="E1361" s="58" t="n">
        <v>-46.650541</v>
      </c>
    </row>
    <row r="1362">
      <c r="A1362" t="n">
        <v>920015148</v>
      </c>
      <c r="B1362" t="inlineStr">
        <is>
          <t>Av. Prof. Ascendino Reis, 411</t>
        </is>
      </c>
      <c r="C1362" t="inlineStr">
        <is>
          <t>Ref.: R Estado De Israel/ R Doutor Diogo De Faria</t>
        </is>
      </c>
      <c r="D1362" s="58" t="n">
        <v>-23.594253</v>
      </c>
      <c r="E1362" s="58" t="n">
        <v>-46.650263</v>
      </c>
    </row>
    <row r="1363">
      <c r="A1363" t="n">
        <v>920015180</v>
      </c>
      <c r="B1363" t="inlineStr">
        <is>
          <t>Av. Vinte E Três De Maio</t>
        </is>
      </c>
      <c r="C1363" t="inlineStr">
        <is>
          <t>Ref.: R Coronel Oscar Porto/ Vdto Tutoia</t>
        </is>
      </c>
      <c r="D1363" s="58" t="n">
        <v>-23.578271</v>
      </c>
      <c r="E1363" s="58" t="n">
        <v>-46.645494</v>
      </c>
    </row>
    <row r="1364">
      <c r="A1364" t="n">
        <v>920015181</v>
      </c>
      <c r="B1364" t="inlineStr">
        <is>
          <t>Av. Vinte E Três De Maio</t>
        </is>
      </c>
      <c r="C1364" t="inlineStr">
        <is>
          <t>Ref.: R Campo Valero/ R Coronel Oscar Porto</t>
        </is>
      </c>
      <c r="D1364" s="58" t="n">
        <v>-23.577542</v>
      </c>
      <c r="E1364" s="58" t="n">
        <v>-46.644944</v>
      </c>
    </row>
    <row r="1365">
      <c r="A1365" t="n">
        <v>930012639</v>
      </c>
      <c r="B1365" t="inlineStr">
        <is>
          <t>Av. Aricanduva, 3575</t>
        </is>
      </c>
      <c r="C1365" t="inlineStr">
        <is>
          <t>Ref.: Av Dalila/ R Inacio Costa</t>
        </is>
      </c>
      <c r="D1365" s="58" t="n">
        <v>-23.550393</v>
      </c>
      <c r="E1365" s="58" t="n">
        <v>-46.522907</v>
      </c>
    </row>
    <row r="1366">
      <c r="A1366" t="n">
        <v>930012640</v>
      </c>
      <c r="B1366" t="inlineStr">
        <is>
          <t>Av. Aricanduva, 2969</t>
        </is>
      </c>
      <c r="C1366" t="inlineStr">
        <is>
          <t>Ref.: R Porto Lucena/ Av Dalila</t>
        </is>
      </c>
      <c r="D1366" s="58" t="n">
        <v>-23.54815</v>
      </c>
      <c r="E1366" s="58" t="n">
        <v>-46.525203</v>
      </c>
    </row>
    <row r="1367">
      <c r="A1367" t="n">
        <v>930012641</v>
      </c>
      <c r="B1367" t="inlineStr">
        <is>
          <t>Av. Aricanduva, 2663</t>
        </is>
      </c>
      <c r="C1367" t="inlineStr">
        <is>
          <t>Ref.: R Baltazar Pinto/ R Aurelio Pinheiro</t>
        </is>
      </c>
      <c r="D1367" s="58" t="n">
        <v>-23.54637</v>
      </c>
      <c r="E1367" s="58" t="n">
        <v>-46.527494</v>
      </c>
    </row>
    <row r="1368">
      <c r="A1368" t="n">
        <v>930012642</v>
      </c>
      <c r="B1368" t="inlineStr">
        <is>
          <t>Av. Aricanduva, 2111</t>
        </is>
      </c>
      <c r="C1368" t="inlineStr">
        <is>
          <t>Ref.: R Sebastiao De Andrade/ R Aurelio Pinheiro</t>
        </is>
      </c>
      <c r="D1368" s="58" t="n">
        <v>-23.543834</v>
      </c>
      <c r="E1368" s="58" t="n">
        <v>-46.530419</v>
      </c>
    </row>
    <row r="1369">
      <c r="A1369" t="n">
        <v>930012643</v>
      </c>
      <c r="B1369" t="inlineStr">
        <is>
          <t>Av. Aricanduva, 1771</t>
        </is>
      </c>
      <c r="C1369" t="inlineStr">
        <is>
          <t>Ref.: R Benedita De Paula Coelho/ R Yolanda Xande Nunes</t>
        </is>
      </c>
      <c r="D1369" s="58" t="n">
        <v>-23.541663</v>
      </c>
      <c r="E1369" s="58" t="n">
        <v>-46.534494</v>
      </c>
    </row>
    <row r="1370">
      <c r="A1370" t="n">
        <v>930012646</v>
      </c>
      <c r="B1370" t="inlineStr">
        <is>
          <t>Av. Aricanduva, 339</t>
        </is>
      </c>
      <c r="C1370" t="inlineStr">
        <is>
          <t>Ref.: Pc Maria Alves Galvao Da Silva</t>
        </is>
      </c>
      <c r="D1370" s="58" t="n">
        <v>-23.537649</v>
      </c>
      <c r="E1370" s="58" t="n">
        <v>-46.546345</v>
      </c>
    </row>
    <row r="1371">
      <c r="A1371" t="n">
        <v>940003687</v>
      </c>
      <c r="B1371" t="inlineStr">
        <is>
          <t>Av. Edu Chaves, 854</t>
        </is>
      </c>
      <c r="C1371" t="inlineStr">
        <is>
          <t>Ref.: R Fernando Elias/ Av Roland Garros</t>
        </is>
      </c>
      <c r="D1371" s="58" t="n">
        <v>-23.474935</v>
      </c>
      <c r="E1371" s="58" t="n">
        <v>-46.570268</v>
      </c>
    </row>
    <row r="1372">
      <c r="A1372" t="n">
        <v>940003688</v>
      </c>
      <c r="B1372" t="inlineStr">
        <is>
          <t>Av. Edu Chaves, 847</t>
        </is>
      </c>
      <c r="C1372" t="inlineStr">
        <is>
          <t>Ref.: R Dr. Jose Gustavo Nunes/ R Bom Jesus Da Cachoeira</t>
        </is>
      </c>
      <c r="D1372" s="58" t="n">
        <v>-23.474819</v>
      </c>
      <c r="E1372" s="58" t="n">
        <v>-46.570245</v>
      </c>
    </row>
    <row r="1373">
      <c r="A1373" t="n">
        <v>940003689</v>
      </c>
      <c r="B1373" t="inlineStr">
        <is>
          <t>Av. Edu Chaves, 662</t>
        </is>
      </c>
      <c r="C1373" t="inlineStr">
        <is>
          <t>Ref.: R Dr. Arlindo De Assis/r Carlos Rodrigues De Barros</t>
        </is>
      </c>
      <c r="D1373" s="58" t="n">
        <v>-23.473411</v>
      </c>
      <c r="E1373" s="58" t="n">
        <v>-46.571159</v>
      </c>
    </row>
    <row r="1374">
      <c r="A1374" t="n">
        <v>940003690</v>
      </c>
      <c r="B1374" t="inlineStr">
        <is>
          <t>Av. Edu Chaves, 687</t>
        </is>
      </c>
      <c r="C1374" t="inlineStr">
        <is>
          <t>Ref.: R Pascoal Pavan/ Tv Maria Martins Da Silva/r.carlos Rodrigues De Barros</t>
        </is>
      </c>
      <c r="D1374" s="58" t="n">
        <v>-23.473631</v>
      </c>
      <c r="E1374" s="58" t="n">
        <v>-46.57092</v>
      </c>
    </row>
    <row r="1375">
      <c r="A1375" t="n">
        <v>940003715</v>
      </c>
      <c r="B1375" t="inlineStr">
        <is>
          <t>Av. Mendes Da Rocha, 1168</t>
        </is>
      </c>
      <c r="C1375" t="inlineStr">
        <is>
          <t>Ref.: R Aureliopolis/ Av Roland Garros</t>
        </is>
      </c>
      <c r="D1375" s="58" t="n">
        <v>-23.477174</v>
      </c>
      <c r="E1375" s="58" t="n">
        <v>-46.573696</v>
      </c>
    </row>
    <row r="1376">
      <c r="A1376" t="n">
        <v>940003716</v>
      </c>
      <c r="B1376" t="inlineStr">
        <is>
          <t>Av. Mendes Da Rocha, 891</t>
        </is>
      </c>
      <c r="C1376" t="inlineStr">
        <is>
          <t>Ref.: R Bernardo Mengozzi/ Av Carlos Dos Santos</t>
        </is>
      </c>
      <c r="D1376" s="58" t="n">
        <v>-23.479309</v>
      </c>
      <c r="E1376" s="58" t="n">
        <v>-46.572592</v>
      </c>
    </row>
    <row r="1377">
      <c r="A1377" t="n">
        <v>940003717</v>
      </c>
      <c r="B1377" t="inlineStr">
        <is>
          <t>Av. Mendes Da Rocha, 846</t>
        </is>
      </c>
      <c r="C1377" t="inlineStr">
        <is>
          <t>Ref.: V-ped Nalanda/ Av Carlos Dos Santos</t>
        </is>
      </c>
      <c r="D1377" s="58" t="n">
        <v>-23.479684</v>
      </c>
      <c r="E1377" s="58" t="n">
        <v>-46.5723</v>
      </c>
    </row>
    <row r="1378">
      <c r="A1378" t="n">
        <v>940003718</v>
      </c>
      <c r="B1378" t="inlineStr">
        <is>
          <t>Pça. Erotides De Campos</t>
        </is>
      </c>
      <c r="C1378" t="inlineStr">
        <is>
          <t>Ref.: R Basilio Alves Morango/ Av Mendes Da Rocha</t>
        </is>
      </c>
      <c r="D1378" s="58" t="n">
        <v>-23.481108</v>
      </c>
      <c r="E1378" s="58" t="n">
        <v>-46.571617</v>
      </c>
    </row>
    <row r="1379">
      <c r="A1379" t="n">
        <v>940003721</v>
      </c>
      <c r="B1379" t="inlineStr">
        <is>
          <t>Pça. Erotides De Campos, 617</t>
        </is>
      </c>
      <c r="C1379" t="inlineStr">
        <is>
          <t>Ref.: R Basilio Alves Morango/ Av Mendes Da Rocha</t>
        </is>
      </c>
      <c r="D1379" s="58" t="n">
        <v>-23.481374</v>
      </c>
      <c r="E1379" s="58" t="n">
        <v>-46.571349</v>
      </c>
    </row>
    <row r="1380">
      <c r="A1380" t="n">
        <v>940003723</v>
      </c>
      <c r="B1380" t="inlineStr">
        <is>
          <t>Av. Mendes Da Rocha, 471</t>
        </is>
      </c>
      <c r="C1380" t="inlineStr">
        <is>
          <t>Ref.: Tv Edgar Adrian/ Av Antenor Navarro</t>
        </is>
      </c>
      <c r="D1380" s="58" t="n">
        <v>-23.482842</v>
      </c>
      <c r="E1380" s="58" t="n">
        <v>-46.57066</v>
      </c>
    </row>
    <row r="1381">
      <c r="A1381" t="n">
        <v>940003724</v>
      </c>
      <c r="B1381" t="inlineStr">
        <is>
          <t>Av. Mendes Da Rocha, 398</t>
        </is>
      </c>
      <c r="C1381" t="inlineStr">
        <is>
          <t>Ref.: R Itamonte/ Av Antenor Navarro</t>
        </is>
      </c>
      <c r="D1381" s="58" t="n">
        <v>-23.483274</v>
      </c>
      <c r="E1381" s="58" t="n">
        <v>-46.5703</v>
      </c>
    </row>
    <row r="1382">
      <c r="A1382" t="n">
        <v>940003725</v>
      </c>
      <c r="B1382" t="inlineStr">
        <is>
          <t>Av. Mendes Da Rocha, 287</t>
        </is>
      </c>
      <c r="C1382" t="inlineStr">
        <is>
          <t>Ref.: Tr Francisco Artigas/ R Itamonte</t>
        </is>
      </c>
      <c r="D1382" s="58" t="n">
        <v>-23.484274</v>
      </c>
      <c r="E1382" s="58" t="n">
        <v>-46.569909</v>
      </c>
    </row>
    <row r="1383">
      <c r="A1383" t="n">
        <v>940003726</v>
      </c>
      <c r="B1383" t="inlineStr">
        <is>
          <t>Av. Mendes Da Rocha, 236</t>
        </is>
      </c>
      <c r="C1383" t="inlineStr">
        <is>
          <t>Ref.: R Itamonte/ R Jota Carlos</t>
        </is>
      </c>
      <c r="D1383" s="58" t="n">
        <v>-23.4846</v>
      </c>
      <c r="E1383" s="58" t="n">
        <v>-46.569552</v>
      </c>
    </row>
    <row r="1384">
      <c r="A1384" t="n">
        <v>940003727</v>
      </c>
      <c r="B1384" t="inlineStr">
        <is>
          <t>Av. Mendes Da Rocha, 19</t>
        </is>
      </c>
      <c r="C1384" t="inlineStr">
        <is>
          <t>Ref.: R Floriano De Godoi/ Pc Carlos Koseritz</t>
        </is>
      </c>
      <c r="D1384" s="58" t="n">
        <v>-23.486383</v>
      </c>
      <c r="E1384" s="58" t="n">
        <v>-46.56872</v>
      </c>
    </row>
    <row r="1385">
      <c r="A1385" t="n">
        <v>940003728</v>
      </c>
      <c r="B1385" t="inlineStr">
        <is>
          <t>Av. Mendes Da Rocha, 36</t>
        </is>
      </c>
      <c r="C1385" t="inlineStr">
        <is>
          <t>Ref.: R Floriano De Godoi/ Pc Carlos Koseritz</t>
        </is>
      </c>
      <c r="D1385" s="58" t="n">
        <v>-23.486187</v>
      </c>
      <c r="E1385" s="58" t="n">
        <v>-46.568678</v>
      </c>
    </row>
    <row r="1386">
      <c r="A1386" t="n">
        <v>940003756</v>
      </c>
      <c r="B1386" t="inlineStr">
        <is>
          <t>Av. Roland Garros, 1906</t>
        </is>
      </c>
      <c r="C1386" t="inlineStr">
        <is>
          <t>Ref.: Av Edu Chaves/ R Jose Batista De Paula</t>
        </is>
      </c>
      <c r="D1386" s="58" t="n">
        <v>-23.475467</v>
      </c>
      <c r="E1386" s="58" t="n">
        <v>-46.570202</v>
      </c>
    </row>
    <row r="1387">
      <c r="A1387" t="n">
        <v>940003757</v>
      </c>
      <c r="B1387" t="inlineStr">
        <is>
          <t>Av. Roland Garros, 1815</t>
        </is>
      </c>
      <c r="C1387" t="inlineStr">
        <is>
          <t>Ref.: Tv Tempestade/ Av Edu Chaves</t>
        </is>
      </c>
      <c r="D1387" s="58" t="n">
        <v>-23.475776</v>
      </c>
      <c r="E1387" s="58" t="n">
        <v>-46.571298</v>
      </c>
    </row>
    <row r="1388">
      <c r="A1388" t="n">
        <v>940003767</v>
      </c>
      <c r="B1388" t="inlineStr">
        <is>
          <t>Av. João Simão De Castro, 193</t>
        </is>
      </c>
      <c r="C1388" t="inlineStr">
        <is>
          <t>Ref.: R Alonso Peres/ R Sergio Leite De Camargo</t>
        </is>
      </c>
      <c r="D1388" s="58" t="n">
        <v>-23.489172</v>
      </c>
      <c r="E1388" s="58" t="n">
        <v>-46.570624</v>
      </c>
    </row>
    <row r="1389">
      <c r="A1389" t="n">
        <v>940003780</v>
      </c>
      <c r="B1389" t="inlineStr">
        <is>
          <t>Av. Conceição, 4141</t>
        </is>
      </c>
      <c r="C1389" t="inlineStr">
        <is>
          <t>Ref.: R S Delfino/ R Gil Castelo Branco</t>
        </is>
      </c>
      <c r="D1389" s="58" t="n">
        <v>-23.495286</v>
      </c>
      <c r="E1389" s="58" t="n">
        <v>-46.577611</v>
      </c>
    </row>
    <row r="1390">
      <c r="A1390" t="n">
        <v>940003781</v>
      </c>
      <c r="B1390" t="inlineStr">
        <is>
          <t>Av. Conceição, 3847</t>
        </is>
      </c>
      <c r="C1390" t="inlineStr">
        <is>
          <t>Ref.: R Armando Paim/ R Pe. Agostinho Jorge</t>
        </is>
      </c>
      <c r="D1390" s="58" t="n">
        <v>-23.494944</v>
      </c>
      <c r="E1390" s="58" t="n">
        <v>-46.580475</v>
      </c>
    </row>
    <row r="1391">
      <c r="A1391" t="n">
        <v>940003783</v>
      </c>
      <c r="B1391" t="inlineStr">
        <is>
          <t>Av. Conceição, 3669</t>
        </is>
      </c>
      <c r="C1391" t="inlineStr">
        <is>
          <t>Ref.: R Rev. Israel Vieira Ferreira/ Tv Joao Escobar</t>
        </is>
      </c>
      <c r="D1391" s="58" t="n">
        <v>-23.494796</v>
      </c>
      <c r="E1391" s="58" t="n">
        <v>-46.582184</v>
      </c>
    </row>
    <row r="1392">
      <c r="A1392" t="n">
        <v>940003787</v>
      </c>
      <c r="B1392" t="inlineStr">
        <is>
          <t>Av. Conceição, 3271</t>
        </is>
      </c>
      <c r="C1392" t="inlineStr">
        <is>
          <t>Ref.: R Crispim Duarte/ R Francisco Medeiros Jordao</t>
        </is>
      </c>
      <c r="D1392" s="58" t="n">
        <v>-23.495802</v>
      </c>
      <c r="E1392" s="58" t="n">
        <v>-46.585606</v>
      </c>
    </row>
    <row r="1393">
      <c r="A1393" t="n">
        <v>940003886</v>
      </c>
      <c r="B1393" t="inlineStr">
        <is>
          <t>Av. João Simão De Castro, 311</t>
        </is>
      </c>
      <c r="C1393" t="inlineStr">
        <is>
          <t>Ref.: R Criciuma/ Av Jaci Toledo</t>
        </is>
      </c>
      <c r="D1393" s="58" t="n">
        <v>-23.489237</v>
      </c>
      <c r="E1393" s="58" t="n">
        <v>-46.572996</v>
      </c>
    </row>
    <row r="1394">
      <c r="A1394" t="n">
        <v>940004032</v>
      </c>
      <c r="B1394" t="inlineStr">
        <is>
          <t>Av. João Simão De Castro</t>
        </is>
      </c>
      <c r="C1394" t="inlineStr">
        <is>
          <t>Ref.: Praça Lupercio Basseto Morelatto</t>
        </is>
      </c>
      <c r="D1394" s="58" t="n">
        <v>-23.489418</v>
      </c>
      <c r="E1394" s="58" t="n">
        <v>-46.570809</v>
      </c>
    </row>
    <row r="1395">
      <c r="A1395" t="n">
        <v>940004126</v>
      </c>
      <c r="B1395" t="inlineStr">
        <is>
          <t>Av. Roland Garros, 1551</t>
        </is>
      </c>
      <c r="C1395" t="inlineStr">
        <is>
          <t>Ref.: Av Mendes Da Rocha/ R Sta Rita Do Passa Quatro</t>
        </is>
      </c>
      <c r="D1395" s="58" t="n">
        <v>-23.476885</v>
      </c>
      <c r="E1395" s="58" t="n">
        <v>-46.573615</v>
      </c>
    </row>
    <row r="1396">
      <c r="A1396" t="n">
        <v>940004358</v>
      </c>
      <c r="B1396" t="inlineStr">
        <is>
          <t>Av. Prof. Castro Júnior, 213</t>
        </is>
      </c>
      <c r="C1396" t="inlineStr">
        <is>
          <t>Ref.: R Abdenage Da Costa Moreira/ R Aguiar Cardoso</t>
        </is>
      </c>
      <c r="D1396" s="58" t="n">
        <v>-23.494704</v>
      </c>
      <c r="E1396" s="58" t="n">
        <v>-46.5756</v>
      </c>
    </row>
    <row r="1397">
      <c r="A1397" t="n">
        <v>940004359</v>
      </c>
      <c r="B1397" t="inlineStr">
        <is>
          <t>Av. João Simão De Castro, 337</t>
        </is>
      </c>
      <c r="C1397" t="inlineStr">
        <is>
          <t>Ref.: Av Jaci Toledo/ R Criciuma</t>
        </is>
      </c>
      <c r="D1397" s="58" t="n">
        <v>-23.48946</v>
      </c>
      <c r="E1397" s="58" t="n">
        <v>-46.57264</v>
      </c>
    </row>
    <row r="1398">
      <c r="A1398" t="n">
        <v>940004420</v>
      </c>
      <c r="B1398" t="inlineStr">
        <is>
          <t>Av. Prof. Castro Júnior, 154</t>
        </is>
      </c>
      <c r="C1398" t="inlineStr">
        <is>
          <t>Ref.: R Abdenage Da Costa Moreira/ Pc Angelo Conti</t>
        </is>
      </c>
      <c r="D1398" s="58" t="n">
        <v>-23.493982</v>
      </c>
      <c r="E1398" s="58" t="n">
        <v>-46.575205</v>
      </c>
    </row>
    <row r="1399">
      <c r="A1399" t="n">
        <v>940004427</v>
      </c>
      <c r="B1399" t="inlineStr">
        <is>
          <t>Pça. Ângelo Conti, 174</t>
        </is>
      </c>
      <c r="C1399" t="inlineStr">
        <is>
          <t>Ref.: R Goianesia/ R Francisco Franco Machado</t>
        </is>
      </c>
      <c r="D1399" s="58" t="n">
        <v>-23.49189</v>
      </c>
      <c r="E1399" s="58" t="n">
        <v>-46.57449</v>
      </c>
    </row>
    <row r="1400">
      <c r="A1400" t="n">
        <v>950006421</v>
      </c>
      <c r="B1400" t="inlineStr">
        <is>
          <t>R. Costa Barros, 981</t>
        </is>
      </c>
      <c r="C1400" t="inlineStr">
        <is>
          <t>Ref.: R Iguara/ R Hermeto Lima</t>
        </is>
      </c>
      <c r="D1400" s="58" t="n">
        <v>-23.595953</v>
      </c>
      <c r="E1400" s="58" t="n">
        <v>-46.556797</v>
      </c>
    </row>
    <row r="1401">
      <c r="A1401" t="n">
        <v>950006422</v>
      </c>
      <c r="B1401" t="inlineStr">
        <is>
          <t>R. Costa Barros, 944</t>
        </is>
      </c>
      <c r="C1401" t="inlineStr">
        <is>
          <t>Ref.: R Iguara/ R Hermeto Lima</t>
        </is>
      </c>
      <c r="D1401" s="58" t="n">
        <v>-23.5959</v>
      </c>
      <c r="E1401" s="58" t="n">
        <v>-46.557163</v>
      </c>
    </row>
    <row r="1402">
      <c r="A1402" t="n">
        <v>950006423</v>
      </c>
      <c r="B1402" t="inlineStr">
        <is>
          <t>R. Costa Barros, 683</t>
        </is>
      </c>
      <c r="C1402" t="inlineStr">
        <is>
          <t>Ref.: R Hermeto Lima/ R Paratinquara</t>
        </is>
      </c>
      <c r="D1402" s="58" t="n">
        <v>-23.597004</v>
      </c>
      <c r="E1402" s="58" t="n">
        <v>-46.559162</v>
      </c>
    </row>
    <row r="1403">
      <c r="A1403" t="n">
        <v>950006424</v>
      </c>
      <c r="B1403" t="inlineStr">
        <is>
          <t>R. Costa Barros, 698</t>
        </is>
      </c>
      <c r="C1403" t="inlineStr">
        <is>
          <t>Ref.: R Hermeto Lima/ R Paratinquara</t>
        </is>
      </c>
      <c r="D1403" s="58" t="n">
        <v>-23.596769</v>
      </c>
      <c r="E1403" s="58" t="n">
        <v>-46.558907</v>
      </c>
    </row>
    <row r="1404">
      <c r="A1404" t="n">
        <v>950006425</v>
      </c>
      <c r="B1404" t="inlineStr">
        <is>
          <t>R. Costa Barros, 544</t>
        </is>
      </c>
      <c r="C1404" t="inlineStr">
        <is>
          <t>Ref.: R Bispo Eugenio Demazemod/ R Campo Belo</t>
        </is>
      </c>
      <c r="D1404" s="58" t="n">
        <v>-23.597702</v>
      </c>
      <c r="E1404" s="58" t="n">
        <v>-46.560154</v>
      </c>
    </row>
    <row r="1405">
      <c r="A1405" t="n">
        <v>950006426</v>
      </c>
      <c r="B1405" t="inlineStr">
        <is>
          <t>R. Costa Barros, 505</t>
        </is>
      </c>
      <c r="C1405" t="inlineStr">
        <is>
          <t>Ref.: R Bispo Eugenio Demazemod/ R Campo Belo</t>
        </is>
      </c>
      <c r="D1405" s="58" t="n">
        <v>-23.597643</v>
      </c>
      <c r="E1405" s="58" t="n">
        <v>-46.560394</v>
      </c>
    </row>
    <row r="1406">
      <c r="A1406" t="n">
        <v>950006427</v>
      </c>
      <c r="B1406" t="inlineStr">
        <is>
          <t>R. Costa Barros, 351</t>
        </is>
      </c>
      <c r="C1406" t="inlineStr">
        <is>
          <t>Ref.: R Campo Belo/ R Morapena</t>
        </is>
      </c>
      <c r="D1406" s="58" t="n">
        <v>-23.59761</v>
      </c>
      <c r="E1406" s="58" t="n">
        <v>-46.561813</v>
      </c>
    </row>
    <row r="1407">
      <c r="A1407" t="n">
        <v>950006428</v>
      </c>
      <c r="B1407" t="inlineStr">
        <is>
          <t>R. Costa Barros, 286</t>
        </is>
      </c>
      <c r="C1407" t="inlineStr">
        <is>
          <t>Ref.: Rua Morapena</t>
        </is>
      </c>
      <c r="D1407" s="58" t="n">
        <v>-23.597506</v>
      </c>
      <c r="E1407" s="58" t="n">
        <v>-46.5625</v>
      </c>
    </row>
    <row r="1408">
      <c r="A1408" t="n">
        <v>950006429</v>
      </c>
      <c r="B1408" t="inlineStr">
        <is>
          <t>R. Costa Barros, 177</t>
        </is>
      </c>
      <c r="C1408" t="inlineStr">
        <is>
          <t>Ref.: R Nova Iguacu/ R Morapena</t>
        </is>
      </c>
      <c r="D1408" s="58" t="n">
        <v>-23.597305</v>
      </c>
      <c r="E1408" s="58" t="n">
        <v>-46.563587</v>
      </c>
    </row>
    <row r="1409">
      <c r="A1409" t="n">
        <v>950006430</v>
      </c>
      <c r="B1409" t="inlineStr">
        <is>
          <t>R. Costa Barros, 144</t>
        </is>
      </c>
      <c r="C1409" t="inlineStr">
        <is>
          <t>Ref.: R Doutor Vicente Giacaglini/ R Nova Iguacu</t>
        </is>
      </c>
      <c r="D1409" s="58" t="n">
        <v>-23.597416</v>
      </c>
      <c r="E1409" s="58" t="n">
        <v>-46.563915</v>
      </c>
    </row>
    <row r="1410">
      <c r="A1410" t="n">
        <v>950006431</v>
      </c>
      <c r="B1410" t="inlineStr">
        <is>
          <t>R. Costa Barros, 63</t>
        </is>
      </c>
      <c r="C1410" t="inlineStr">
        <is>
          <t>Ref.: R Doutor Vicente Giacaglini/ R Nova Iguacu</t>
        </is>
      </c>
      <c r="D1410" s="58" t="n">
        <v>-23.597327</v>
      </c>
      <c r="E1410" s="58" t="n">
        <v>-46.564591</v>
      </c>
    </row>
    <row r="1411">
      <c r="A1411" t="n">
        <v>950006432</v>
      </c>
      <c r="B1411" t="inlineStr">
        <is>
          <t>R. Das Giestas, 1480</t>
        </is>
      </c>
      <c r="C1411" t="inlineStr">
        <is>
          <t>Ref.: R Savigni/ R Fernandes Sardinha</t>
        </is>
      </c>
      <c r="D1411" s="58" t="n">
        <v>-23.597313</v>
      </c>
      <c r="E1411" s="58" t="n">
        <v>-46.566406</v>
      </c>
    </row>
    <row r="1412">
      <c r="A1412" t="n">
        <v>950006555</v>
      </c>
      <c r="B1412" t="inlineStr">
        <is>
          <t>R. Das Giestas, 1117</t>
        </is>
      </c>
      <c r="C1412" t="inlineStr">
        <is>
          <t>Ref.: R Santo Amasio/ R Paramu</t>
        </is>
      </c>
      <c r="D1412" s="58" t="n">
        <v>-23.596117</v>
      </c>
      <c r="E1412" s="58" t="n">
        <v>-46.569424</v>
      </c>
    </row>
    <row r="1413">
      <c r="A1413" t="n">
        <v>950006556</v>
      </c>
      <c r="B1413" t="inlineStr">
        <is>
          <t>R. Das Giestas, 1256</t>
        </is>
      </c>
      <c r="C1413" t="inlineStr">
        <is>
          <t>Ref.: Rua Paramu</t>
        </is>
      </c>
      <c r="D1413" s="58" t="n">
        <v>-23.596498</v>
      </c>
      <c r="E1413" s="58" t="n">
        <v>-46.568161</v>
      </c>
    </row>
    <row r="1414">
      <c r="A1414" t="n">
        <v>950006557</v>
      </c>
      <c r="B1414" t="inlineStr">
        <is>
          <t>R. Das Giestas, 1307</t>
        </is>
      </c>
      <c r="C1414" t="inlineStr">
        <is>
          <t>Ref.: R Paramu/ R Orlando</t>
        </is>
      </c>
      <c r="D1414" s="58" t="n">
        <v>-23.596661</v>
      </c>
      <c r="E1414" s="58" t="n">
        <v>-46.567616</v>
      </c>
    </row>
    <row r="1415">
      <c r="A1415" t="n">
        <v>950006615</v>
      </c>
      <c r="B1415" t="inlineStr">
        <is>
          <t>R. Ituverava, 444</t>
        </is>
      </c>
      <c r="C1415" t="inlineStr">
        <is>
          <t>Ref.: R Pindamonhangaba/ R Limeira</t>
        </is>
      </c>
      <c r="D1415" s="58" t="n">
        <v>-23.585238</v>
      </c>
      <c r="E1415" s="58" t="n">
        <v>-46.585716</v>
      </c>
    </row>
    <row r="1416">
      <c r="A1416" t="n">
        <v>950006616</v>
      </c>
      <c r="B1416" t="inlineStr">
        <is>
          <t>Av. Zelina, 167</t>
        </is>
      </c>
      <c r="C1416" t="inlineStr">
        <is>
          <t>Ref.: R Jundiapeba/ R Marechal Malet</t>
        </is>
      </c>
      <c r="D1416" s="58" t="n">
        <v>-23.588903</v>
      </c>
      <c r="E1416" s="58" t="n">
        <v>-46.582291</v>
      </c>
    </row>
    <row r="1417">
      <c r="A1417" t="n">
        <v>950006617</v>
      </c>
      <c r="B1417" t="inlineStr">
        <is>
          <t>Av. Zelina, 204</t>
        </is>
      </c>
      <c r="C1417" t="inlineStr">
        <is>
          <t>Ref.: R Jundiapeba/ R Marechal Malet</t>
        </is>
      </c>
      <c r="D1417" s="58" t="n">
        <v>-23.589069</v>
      </c>
      <c r="E1417" s="58" t="n">
        <v>-46.582031</v>
      </c>
    </row>
    <row r="1418">
      <c r="A1418" t="n">
        <v>950006618</v>
      </c>
      <c r="B1418" t="inlineStr">
        <is>
          <t>Av. Zelina, 444</t>
        </is>
      </c>
      <c r="C1418" t="inlineStr">
        <is>
          <t>Ref.: Rua Monteiro Soares Filho</t>
        </is>
      </c>
      <c r="D1418" s="58" t="n">
        <v>-23.58942</v>
      </c>
      <c r="E1418" s="58" t="n">
        <v>-46.579678</v>
      </c>
    </row>
    <row r="1419">
      <c r="A1419" t="n">
        <v>950006619</v>
      </c>
      <c r="B1419" t="inlineStr">
        <is>
          <t>Av. Zelina, 481</t>
        </is>
      </c>
      <c r="C1419" t="inlineStr">
        <is>
          <t>Ref.: R Monteiro Soares Filho/ R Tamuanas</t>
        </is>
      </c>
      <c r="D1419" s="58" t="n">
        <v>-23.589382</v>
      </c>
      <c r="E1419" s="58" t="n">
        <v>-46.579308</v>
      </c>
    </row>
    <row r="1420">
      <c r="A1420" t="n">
        <v>950006620</v>
      </c>
      <c r="B1420" t="inlineStr">
        <is>
          <t>Av. Zelina, 670</t>
        </is>
      </c>
      <c r="C1420" t="inlineStr">
        <is>
          <t>Ref.: R Inhagapi/ R Manaias</t>
        </is>
      </c>
      <c r="D1420" s="58" t="n">
        <v>-23.589746</v>
      </c>
      <c r="E1420" s="58" t="n">
        <v>-46.577511</v>
      </c>
    </row>
    <row r="1421">
      <c r="A1421" t="n">
        <v>950006621</v>
      </c>
      <c r="B1421" t="inlineStr">
        <is>
          <t>Av. Zelina, 843</t>
        </is>
      </c>
      <c r="C1421" t="inlineStr">
        <is>
          <t>Ref.: R Rio Do Peixe/ R Inacio</t>
        </is>
      </c>
      <c r="D1421" s="58" t="n">
        <v>-23.589901</v>
      </c>
      <c r="E1421" s="58" t="n">
        <v>-46.575886</v>
      </c>
    </row>
    <row r="1422">
      <c r="A1422" t="n">
        <v>950006622</v>
      </c>
      <c r="B1422" t="inlineStr">
        <is>
          <t>Av. Zelina, 980</t>
        </is>
      </c>
      <c r="C1422" t="inlineStr">
        <is>
          <t>Ref.: R Barao Do Pirai/ R Rio Do Peixe</t>
        </is>
      </c>
      <c r="D1422" s="58" t="n">
        <v>-23.5902</v>
      </c>
      <c r="E1422" s="58" t="n">
        <v>-46.57452</v>
      </c>
    </row>
    <row r="1423">
      <c r="A1423" t="n">
        <v>950006623</v>
      </c>
      <c r="B1423" t="inlineStr">
        <is>
          <t>Av. Zelina, 1111</t>
        </is>
      </c>
      <c r="C1423" t="inlineStr">
        <is>
          <t>Ref.: R Campos Novos/ R Doutor Antonio Macedo Lima</t>
        </is>
      </c>
      <c r="D1423" s="58" t="n">
        <v>-23.590324</v>
      </c>
      <c r="E1423" s="58" t="n">
        <v>-46.573074</v>
      </c>
    </row>
    <row r="1424">
      <c r="A1424" t="n">
        <v>950006624</v>
      </c>
      <c r="B1424" t="inlineStr">
        <is>
          <t>Av. Zelina, 1268</t>
        </is>
      </c>
      <c r="C1424" t="inlineStr">
        <is>
          <t>Ref.: R Meru/ R Saruma</t>
        </is>
      </c>
      <c r="D1424" s="58" t="n">
        <v>-23.59062</v>
      </c>
      <c r="E1424" s="58" t="n">
        <v>-46.571671</v>
      </c>
    </row>
    <row r="1425">
      <c r="A1425" t="n">
        <v>950006625</v>
      </c>
      <c r="B1425" t="inlineStr">
        <is>
          <t>Av. Zelina, 1503</t>
        </is>
      </c>
      <c r="C1425" t="inlineStr">
        <is>
          <t>Ref.: R Saruma/ Av Jose Da Nobrega Botelho</t>
        </is>
      </c>
      <c r="D1425" s="58" t="n">
        <v>-23.5907</v>
      </c>
      <c r="E1425" s="58" t="n">
        <v>-46.570896</v>
      </c>
    </row>
    <row r="1426">
      <c r="A1426" t="n">
        <v>950006626</v>
      </c>
      <c r="B1426" t="inlineStr">
        <is>
          <t>Av. José Da Nóbrega Botelho, 28</t>
        </is>
      </c>
      <c r="C1426" t="inlineStr">
        <is>
          <t>Ref.: R Caetano Pimentel Do Vabo/ R Doutora Esmeralda Mendes Policine</t>
        </is>
      </c>
      <c r="D1426" s="58" t="n">
        <v>-23.591047</v>
      </c>
      <c r="E1426" s="58" t="n">
        <v>-46.569141</v>
      </c>
    </row>
    <row r="1427">
      <c r="A1427" t="n">
        <v>950006627</v>
      </c>
      <c r="B1427" t="inlineStr">
        <is>
          <t>Av. José Da Nóbrega Botelho</t>
        </is>
      </c>
      <c r="C1427" t="inlineStr">
        <is>
          <t>Ref.: R Doutora Esmeralda Mendes Policine/ Av Francisco Falconi</t>
        </is>
      </c>
      <c r="D1427" s="58" t="n">
        <v>-23.591263</v>
      </c>
      <c r="E1427" s="58" t="n">
        <v>-46.567295</v>
      </c>
    </row>
    <row r="1428">
      <c r="A1428" t="n">
        <v>950006628</v>
      </c>
      <c r="B1428" t="inlineStr">
        <is>
          <t>Av. Francisco Falconi, 1066</t>
        </is>
      </c>
      <c r="C1428" t="inlineStr">
        <is>
          <t>Ref.: Av Jose Da Nobrega Botelho/ R Joao Vieira De Carvalho</t>
        </is>
      </c>
      <c r="D1428" s="58" t="n">
        <v>-23.591904</v>
      </c>
      <c r="E1428" s="58" t="n">
        <v>-46.566563</v>
      </c>
    </row>
    <row r="1429">
      <c r="A1429" t="n">
        <v>950006629</v>
      </c>
      <c r="B1429" t="inlineStr">
        <is>
          <t>Av. Francisco Falconi, 1452</t>
        </is>
      </c>
      <c r="C1429" t="inlineStr">
        <is>
          <t>Ref.: R Joao Vieira De Carvalho/ R Jose Jeraissati</t>
        </is>
      </c>
      <c r="D1429" s="58" t="n">
        <v>-23.593487</v>
      </c>
      <c r="E1429" s="58" t="n">
        <v>-46.562817</v>
      </c>
    </row>
    <row r="1430">
      <c r="A1430" t="n">
        <v>950006630</v>
      </c>
      <c r="B1430" t="inlineStr">
        <is>
          <t>R. José Jeraissati, 141</t>
        </is>
      </c>
      <c r="C1430" t="inlineStr">
        <is>
          <t>Ref.: R Iguara/ R Tamirim</t>
        </is>
      </c>
      <c r="D1430" s="58" t="n">
        <v>-23.593513</v>
      </c>
      <c r="E1430" s="58" t="n">
        <v>-46.560841</v>
      </c>
    </row>
    <row r="1431">
      <c r="A1431" t="n">
        <v>950006631</v>
      </c>
      <c r="B1431" t="inlineStr">
        <is>
          <t>R. José Jeraissati, 142</t>
        </is>
      </c>
      <c r="C1431" t="inlineStr">
        <is>
          <t>Ref.: R Iguara/ R Tamirim</t>
        </is>
      </c>
      <c r="D1431" s="58" t="n">
        <v>-23.593517</v>
      </c>
      <c r="E1431" s="58" t="n">
        <v>-46.560753</v>
      </c>
    </row>
    <row r="1432">
      <c r="A1432" t="n">
        <v>950006650</v>
      </c>
      <c r="B1432" t="inlineStr">
        <is>
          <t>Av. Francisco Falconi, 1453</t>
        </is>
      </c>
      <c r="C1432" t="inlineStr">
        <is>
          <t>Ref.: R Joao Vieira De Carvalho/ R Jose Jeraissati</t>
        </is>
      </c>
      <c r="D1432" s="58" t="n">
        <v>-23.593203</v>
      </c>
      <c r="E1432" s="58" t="n">
        <v>-46.562988</v>
      </c>
    </row>
    <row r="1433">
      <c r="A1433" t="n">
        <v>950006674</v>
      </c>
      <c r="B1433" t="inlineStr">
        <is>
          <t>R. Igaratá</t>
        </is>
      </c>
      <c r="C1433" t="inlineStr">
        <is>
          <t>Ref.: R Igarata/ R Amparo</t>
        </is>
      </c>
      <c r="D1433" s="58" t="n">
        <v>-23.587931</v>
      </c>
      <c r="E1433" s="58" t="n">
        <v>-46.586464</v>
      </c>
    </row>
    <row r="1434">
      <c r="A1434" t="n">
        <v>950006688</v>
      </c>
      <c r="B1434" t="inlineStr">
        <is>
          <t>R. Rio Do Peixe, 805</t>
        </is>
      </c>
      <c r="C1434" t="inlineStr">
        <is>
          <t>Ref.: R Das Verbenas/ R Santa Adeodata</t>
        </is>
      </c>
      <c r="D1434" s="58" t="n">
        <v>-23.594927</v>
      </c>
      <c r="E1434" s="58" t="n">
        <v>-46.569534</v>
      </c>
    </row>
    <row r="1435">
      <c r="A1435" t="n">
        <v>950006689</v>
      </c>
      <c r="B1435" t="inlineStr">
        <is>
          <t>R. Rio Do Peixe, 651</t>
        </is>
      </c>
      <c r="C1435" t="inlineStr">
        <is>
          <t>Ref.: R Santa Adeodata/ R Das Verbenas</t>
        </is>
      </c>
      <c r="D1435" s="58" t="n">
        <v>-23.594166</v>
      </c>
      <c r="E1435" s="58" t="n">
        <v>-46.570656</v>
      </c>
    </row>
    <row r="1436">
      <c r="A1436" t="n">
        <v>950006690</v>
      </c>
      <c r="B1436" t="inlineStr">
        <is>
          <t>R. Rio Do Peixe, 421</t>
        </is>
      </c>
      <c r="C1436" t="inlineStr">
        <is>
          <t>Ref.: R Das Roseiras/ R Das Heras</t>
        </is>
      </c>
      <c r="D1436" s="58" t="n">
        <v>-23.592808</v>
      </c>
      <c r="E1436" s="58" t="n">
        <v>-46.572445</v>
      </c>
    </row>
    <row r="1437">
      <c r="A1437" t="n">
        <v>950006691</v>
      </c>
      <c r="B1437" t="inlineStr">
        <is>
          <t>R. Rio Do Peixe, 157</t>
        </is>
      </c>
      <c r="C1437" t="inlineStr">
        <is>
          <t>Ref.: R Itacarambi/ Av Zelina</t>
        </is>
      </c>
      <c r="D1437" s="58" t="n">
        <v>-23.591139</v>
      </c>
      <c r="E1437" s="58" t="n">
        <v>-46.57428</v>
      </c>
    </row>
    <row r="1438">
      <c r="A1438" t="n">
        <v>950006692</v>
      </c>
      <c r="B1438" t="inlineStr">
        <is>
          <t>R. Inácio, 832</t>
        </is>
      </c>
      <c r="C1438" t="inlineStr">
        <is>
          <t>Ref.: R Itacarambi/ R Das Roseiras</t>
        </is>
      </c>
      <c r="D1438" s="58" t="n">
        <v>-23.591658</v>
      </c>
      <c r="E1438" s="58" t="n">
        <v>-46.574806</v>
      </c>
    </row>
    <row r="1439">
      <c r="A1439" t="n">
        <v>950006693</v>
      </c>
      <c r="B1439" t="inlineStr">
        <is>
          <t>R. Inácio, 1006</t>
        </is>
      </c>
      <c r="C1439" t="inlineStr">
        <is>
          <t>Ref.: Rua Das Roseiras</t>
        </is>
      </c>
      <c r="D1439" s="58" t="n">
        <v>-23.593153</v>
      </c>
      <c r="E1439" s="58" t="n">
        <v>-46.573456</v>
      </c>
    </row>
    <row r="1440">
      <c r="A1440" t="n">
        <v>950006694</v>
      </c>
      <c r="B1440" t="inlineStr">
        <is>
          <t>R. Das Mimosas, 212</t>
        </is>
      </c>
      <c r="C1440" t="inlineStr">
        <is>
          <t>Ref.: R Dos Climatis/ R Das Heras</t>
        </is>
      </c>
      <c r="D1440" s="58" t="n">
        <v>-23.594736</v>
      </c>
      <c r="E1440" s="58" t="n">
        <v>-46.571892</v>
      </c>
    </row>
    <row r="1441">
      <c r="A1441" t="n">
        <v>950006800</v>
      </c>
      <c r="B1441" t="inlineStr">
        <is>
          <t>R. Tomaz Izzo, 39</t>
        </is>
      </c>
      <c r="C1441" t="inlineStr">
        <is>
          <t>Ref.: R Sao Luis Do Paraitinga/ R Amparo</t>
        </is>
      </c>
      <c r="D1441" s="58" t="n">
        <v>-23.589128</v>
      </c>
      <c r="E1441" s="58" t="n">
        <v>-46.584763</v>
      </c>
    </row>
    <row r="1442">
      <c r="A1442" t="n">
        <v>950012711</v>
      </c>
      <c r="B1442" t="inlineStr">
        <is>
          <t>Av. Prof. Luiz Ignácio Anhaia Mello, 2700</t>
        </is>
      </c>
      <c r="C1442" t="inlineStr">
        <is>
          <t>Ref.: Av Francisco Falconi/ R Doutor Paulo Aranha Peixoto De Azevedo</t>
        </is>
      </c>
      <c r="D1442" s="58" t="n">
        <v>-23.583073</v>
      </c>
      <c r="E1442" s="58" t="n">
        <v>-46.567852</v>
      </c>
    </row>
    <row r="1443">
      <c r="A1443" t="n">
        <v>950012726</v>
      </c>
      <c r="B1443" t="inlineStr">
        <is>
          <t>Av. Prof. Luiz Ignácio Anhaia Mello, 2921</t>
        </is>
      </c>
      <c r="C1443" t="inlineStr">
        <is>
          <t>Ref.: Av Jacinto Menezes Palhares/ R Sao Joao Do Sabugi</t>
        </is>
      </c>
      <c r="D1443" s="58" t="n">
        <v>-23.582535</v>
      </c>
      <c r="E1443" s="58" t="n">
        <v>-46.565811</v>
      </c>
    </row>
    <row r="1444">
      <c r="A1444" t="n">
        <v>950012727</v>
      </c>
      <c r="B1444" t="inlineStr">
        <is>
          <t>Av. Prof. Luiz Ignácio Anhaia Mello, 2655</t>
        </is>
      </c>
      <c r="C1444" t="inlineStr">
        <is>
          <t>Ref.: Av Francisco Falconi/ R Doutor Paulo Aranha Peixoto De Azevedo</t>
        </is>
      </c>
      <c r="D1444" s="58" t="n">
        <v>-23.582731</v>
      </c>
      <c r="E1444" s="58" t="n">
        <v>-46.568226</v>
      </c>
    </row>
    <row r="1445">
      <c r="A1445" t="n">
        <v>950014141</v>
      </c>
      <c r="B1445" t="inlineStr">
        <is>
          <t>Chamanta B/C</t>
        </is>
      </c>
      <c r="C1445" t="inlineStr">
        <is>
          <t>Av. Paes De Barros, 3281 Ref.: R Chamanta/ R Capitao Pacheco E Chaves</t>
        </is>
      </c>
      <c r="D1445" s="58" t="n">
        <v>-23.579601</v>
      </c>
      <c r="E1445" s="58" t="n">
        <v>-46.586834</v>
      </c>
    </row>
    <row r="1446">
      <c r="A1446" t="n">
        <v>950014142</v>
      </c>
      <c r="B1446" t="inlineStr">
        <is>
          <t>Chamanta C/B</t>
        </is>
      </c>
      <c r="C1446" t="inlineStr">
        <is>
          <t>Av. Paes De Barros, 3322 Ref.: R Chamanta/ R Capitao Pacheco E Chaves</t>
        </is>
      </c>
      <c r="D1446" s="58" t="n">
        <v>-23.580002</v>
      </c>
      <c r="E1446" s="58" t="n">
        <v>-46.586843</v>
      </c>
    </row>
    <row r="1447">
      <c r="A1447" t="n">
        <v>950014189</v>
      </c>
      <c r="B1447" t="inlineStr">
        <is>
          <t>Parada Ibitirama / Pça. Pe Damião</t>
        </is>
      </c>
      <c r="C1447" t="inlineStr">
        <is>
          <t>R. Ibitirama, 11 Ref.: R Do Orfanato/ R Indaia</t>
        </is>
      </c>
      <c r="D1447" s="58" t="n">
        <v>-23.581958</v>
      </c>
      <c r="E1447" s="58" t="n">
        <v>-46.585405</v>
      </c>
    </row>
    <row r="1448">
      <c r="A1448" t="n">
        <v>950014268</v>
      </c>
      <c r="B1448" t="inlineStr">
        <is>
          <t>Av. Prof. Luiz Ignácio Anhaia Mello, 1376</t>
        </is>
      </c>
      <c r="C1448" t="inlineStr">
        <is>
          <t>Ref.: R Doutor Roberto Feijo/ R Virgilio</t>
        </is>
      </c>
      <c r="D1448" s="58" t="n">
        <v>-23.584885</v>
      </c>
      <c r="E1448" s="58" t="n">
        <v>-46.58007</v>
      </c>
    </row>
    <row r="1449">
      <c r="A1449" t="n">
        <v>950014269</v>
      </c>
      <c r="B1449" t="inlineStr">
        <is>
          <t>Av. Prof. Luiz Ignácio Anhaia Mello, 2046</t>
        </is>
      </c>
      <c r="C1449" t="inlineStr">
        <is>
          <t>Ref.: R Mendonca Corte Real/ R Pinheiro Guimaraes</t>
        </is>
      </c>
      <c r="D1449" s="58" t="n">
        <v>-23.583261</v>
      </c>
      <c r="E1449" s="58" t="n">
        <v>-46.574093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F2" sqref="F2"/>
    </sheetView>
  </sheetViews>
  <sheetFormatPr baseColWidth="8" defaultRowHeight="15"/>
  <cols>
    <col width="10.85546875" bestFit="1" customWidth="1" min="1" max="1"/>
    <col width="12.28515625" customWidth="1" min="2" max="2"/>
    <col width="12.5703125" bestFit="1" customWidth="1" min="3" max="3"/>
    <col width="27.140625" bestFit="1" customWidth="1" min="4" max="4"/>
    <col width="13.85546875" customWidth="1" min="5" max="5"/>
    <col width="11.140625" customWidth="1" min="6" max="6"/>
    <col width="45.42578125" customWidth="1" min="10" max="10"/>
  </cols>
  <sheetData>
    <row r="1">
      <c r="A1" s="34" t="inlineStr">
        <is>
          <t>trip_id</t>
        </is>
      </c>
      <c r="B1" s="34" t="inlineStr">
        <is>
          <t>route_id</t>
        </is>
      </c>
      <c r="C1" s="34" t="inlineStr">
        <is>
          <t>service_id</t>
        </is>
      </c>
      <c r="D1" s="34" t="inlineStr">
        <is>
          <t>trip_headsign</t>
        </is>
      </c>
      <c r="E1" s="34" t="inlineStr">
        <is>
          <t>direction_id</t>
        </is>
      </c>
      <c r="F1" s="34" t="inlineStr">
        <is>
          <t>shape_id</t>
        </is>
      </c>
    </row>
    <row r="2">
      <c r="A2" s="32" t="inlineStr">
        <is>
          <t>118C-10-0</t>
        </is>
      </c>
      <c r="B2" s="32">
        <f>_xlfn.XLOOKUP("118C-10",Routes[route_id],Routes[route_id],"Não encontrado")</f>
        <v/>
      </c>
      <c r="C2" s="32">
        <f>_xlfn.XLOOKUP("USD",Calendar[service_id],Calendar[service_id],"Não encontrado")</f>
        <v/>
      </c>
      <c r="D2" s="32" t="inlineStr">
        <is>
          <t>Term. Amaral Gurgel</t>
        </is>
      </c>
      <c r="E2" s="32" t="n">
        <v>0</v>
      </c>
      <c r="F2" s="32" t="n">
        <v>83498</v>
      </c>
    </row>
    <row r="3">
      <c r="A3" s="33" t="inlineStr">
        <is>
          <t>118C-10-1</t>
        </is>
      </c>
      <c r="B3" s="33">
        <f>_xlfn.XLOOKUP("118C-10",Routes[route_id],Routes[route_id],"Não encontrado")</f>
        <v/>
      </c>
      <c r="C3" s="33">
        <f>_xlfn.XLOOKUP("USD",Calendar[service_id],Calendar[service_id],"Não encontrado")</f>
        <v/>
      </c>
      <c r="D3" s="33" t="inlineStr">
        <is>
          <t>Jd. Pery Alto</t>
        </is>
      </c>
      <c r="E3" s="33" t="n">
        <v>1</v>
      </c>
      <c r="F3" s="33" t="n">
        <v>83500</v>
      </c>
    </row>
    <row r="4">
      <c r="A4" s="32" t="inlineStr">
        <is>
          <t>175T-10-0</t>
        </is>
      </c>
      <c r="B4" s="32">
        <f>_xlfn.XLOOKUP("175T-10",Routes[route_id],Routes[route_id],"Não encontrado")</f>
        <v/>
      </c>
      <c r="C4" s="32">
        <f>_xlfn.XLOOKUP("USD",Calendar[service_id],Calendar[service_id],"Não encontrado")</f>
        <v/>
      </c>
      <c r="D4" s="32" t="inlineStr">
        <is>
          <t>Metrô Jabaquara</t>
        </is>
      </c>
      <c r="E4" s="32" t="n">
        <v>0</v>
      </c>
      <c r="F4" s="32" t="n">
        <v>83710</v>
      </c>
    </row>
    <row r="5">
      <c r="A5" s="33" t="inlineStr">
        <is>
          <t>175T-10-1</t>
        </is>
      </c>
      <c r="B5" s="33">
        <f>_xlfn.XLOOKUP("175T-10",Routes[route_id],Routes[route_id],"Não encontrado")</f>
        <v/>
      </c>
      <c r="C5" s="33">
        <f>_xlfn.XLOOKUP("USD",Calendar[service_id],Calendar[service_id],"Não encontrado")</f>
        <v/>
      </c>
      <c r="D5" s="33" t="inlineStr">
        <is>
          <t>Metrô Santana</t>
        </is>
      </c>
      <c r="E5" s="33" t="n">
        <v>1</v>
      </c>
      <c r="F5" s="33" t="n">
        <v>61848</v>
      </c>
    </row>
    <row r="6">
      <c r="A6" s="32" t="inlineStr">
        <is>
          <t>272N-10-0</t>
        </is>
      </c>
      <c r="B6" s="32">
        <f>_xlfn.XLOOKUP("272N-10",Routes[route_id],Routes[route_id],"Não encontrado")</f>
        <v/>
      </c>
      <c r="C6" s="32">
        <f>_xlfn.XLOOKUP("US_",Calendar[service_id],Calendar[service_id],"Não encontrado")</f>
        <v/>
      </c>
      <c r="D6" s="32" t="inlineStr">
        <is>
          <t>Pq. D. Pedro Ii</t>
        </is>
      </c>
      <c r="E6" s="32" t="n">
        <v>0</v>
      </c>
      <c r="F6" s="32" t="n">
        <v>85855</v>
      </c>
    </row>
    <row r="7">
      <c r="A7" s="33" t="inlineStr">
        <is>
          <t>3029-10-0</t>
        </is>
      </c>
      <c r="B7" s="33">
        <f>_xlfn.XLOOKUP("3029-10",Routes[route_id],Routes[route_id],"Não encontrado")</f>
        <v/>
      </c>
      <c r="C7" s="33">
        <f>_xlfn.XLOOKUP("USD",Calendar[service_id],Calendar[service_id],"Não encontrado")</f>
        <v/>
      </c>
      <c r="D7" s="33" t="inlineStr">
        <is>
          <t>Metrô Tatuapé</t>
        </is>
      </c>
      <c r="E7" s="33" t="n">
        <v>0</v>
      </c>
      <c r="F7" s="33" t="n">
        <v>81611</v>
      </c>
    </row>
    <row r="8">
      <c r="A8" s="32" t="inlineStr">
        <is>
          <t>3029-10-1</t>
        </is>
      </c>
      <c r="B8" s="32">
        <f>_xlfn.XLOOKUP("3029-10",Routes[route_id],Routes[route_id],"Não encontrado")</f>
        <v/>
      </c>
      <c r="C8" s="32">
        <f>_xlfn.XLOOKUP("USD",Calendar[service_id],Calendar[service_id],"Não encontrado")</f>
        <v/>
      </c>
      <c r="D8" s="32" t="inlineStr">
        <is>
          <t>Jd. Das Rosas</t>
        </is>
      </c>
      <c r="E8" s="32" t="n">
        <v>1</v>
      </c>
      <c r="F8" s="32" t="n">
        <v>81612</v>
      </c>
    </row>
    <row r="9">
      <c r="A9" s="33" t="inlineStr">
        <is>
          <t>311C-10-0</t>
        </is>
      </c>
      <c r="B9" s="33">
        <f>_xlfn.XLOOKUP("311C-10",Routes[route_id],Routes[route_id],"Não encontrado")</f>
        <v/>
      </c>
      <c r="C9" s="33">
        <f>_xlfn.XLOOKUP("USD",Calendar[service_id],Calendar[service_id],"Não encontrado")</f>
        <v/>
      </c>
      <c r="D9" s="33" t="inlineStr">
        <is>
          <t>Bom Retiro</t>
        </is>
      </c>
      <c r="E9" s="33" t="n">
        <v>0</v>
      </c>
      <c r="F9" s="33" t="n">
        <v>83369</v>
      </c>
    </row>
    <row r="10">
      <c r="A10" s="32" t="inlineStr">
        <is>
          <t>311C-10-1</t>
        </is>
      </c>
      <c r="B10" s="32">
        <f>_xlfn.XLOOKUP("311C-10",Routes[route_id],Routes[route_id],"Não encontrado")</f>
        <v/>
      </c>
      <c r="C10" s="32">
        <f>_xlfn.XLOOKUP("USD",Calendar[service_id],Calendar[service_id],"Não encontrado")</f>
        <v/>
      </c>
      <c r="D10" s="32" t="inlineStr">
        <is>
          <t>Pq. São Lucas</t>
        </is>
      </c>
      <c r="E10" s="32" t="n">
        <v>1</v>
      </c>
      <c r="F10" s="32" t="n">
        <v>80167</v>
      </c>
    </row>
    <row r="11">
      <c r="A11" s="33" t="inlineStr">
        <is>
          <t>351F-10-0</t>
        </is>
      </c>
      <c r="B11" s="33">
        <f>_xlfn.XLOOKUP("351F-10",Routes[route_id],Routes[route_id],"Não encontrado")</f>
        <v/>
      </c>
      <c r="C11" s="33">
        <f>_xlfn.XLOOKUP("USD",Calendar[service_id],Calendar[service_id],"Não encontrado")</f>
        <v/>
      </c>
      <c r="D11" s="33" t="inlineStr">
        <is>
          <t>Term. Vl. Carrão</t>
        </is>
      </c>
      <c r="E11" s="33" t="n">
        <v>0</v>
      </c>
      <c r="F11" s="33" t="n">
        <v>53601</v>
      </c>
    </row>
    <row r="12">
      <c r="A12" s="32" t="inlineStr">
        <is>
          <t>351F-10-1</t>
        </is>
      </c>
      <c r="B12" s="32">
        <f>_xlfn.XLOOKUP("351F-10",Routes[route_id],Routes[route_id],"Não encontrado")</f>
        <v/>
      </c>
      <c r="C12" s="32">
        <f>_xlfn.XLOOKUP("USD",Calendar[service_id],Calendar[service_id],"Não encontrado")</f>
        <v/>
      </c>
      <c r="D12" s="32" t="inlineStr">
        <is>
          <t>Jaçanã</t>
        </is>
      </c>
      <c r="E12" s="32" t="n">
        <v>1</v>
      </c>
      <c r="F12" s="32" t="n">
        <v>80404</v>
      </c>
    </row>
    <row r="13">
      <c r="A13" s="33" t="inlineStr">
        <is>
          <t>372U-10-0</t>
        </is>
      </c>
      <c r="B13" s="33">
        <f>_xlfn.XLOOKUP("372U-10",Routes[route_id],Routes[route_id],"Não encontrado")</f>
        <v/>
      </c>
      <c r="C13" s="33">
        <f>_xlfn.XLOOKUP("USD",Calendar[service_id],Calendar[service_id],"Não encontrado")</f>
        <v/>
      </c>
      <c r="D13" s="33" t="inlineStr">
        <is>
          <t>Metrô Tatuapé</t>
        </is>
      </c>
      <c r="E13" s="33" t="n">
        <v>0</v>
      </c>
      <c r="F13" s="33" t="n">
        <v>47323</v>
      </c>
    </row>
    <row r="14">
      <c r="A14" s="32" t="inlineStr">
        <is>
          <t>372U-10-1</t>
        </is>
      </c>
      <c r="B14" s="32">
        <f>_xlfn.XLOOKUP("372U-10",Routes[route_id],Routes[route_id],"Não encontrado")</f>
        <v/>
      </c>
      <c r="C14" s="32">
        <f>_xlfn.XLOOKUP("USD",Calendar[service_id],Calendar[service_id],"Não encontrado")</f>
        <v/>
      </c>
      <c r="D14" s="32" t="inlineStr">
        <is>
          <t>Vl. Sta. Isabel</t>
        </is>
      </c>
      <c r="E14" s="32" t="n">
        <v>1</v>
      </c>
      <c r="F14" s="32" t="n">
        <v>82132</v>
      </c>
    </row>
    <row r="15">
      <c r="A15" s="33" t="inlineStr">
        <is>
          <t>373M-10-0</t>
        </is>
      </c>
      <c r="B15" s="33">
        <f>_xlfn.XLOOKUP("373M-10",Routes[route_id],Routes[route_id],"Não encontrado")</f>
        <v/>
      </c>
      <c r="C15" s="33">
        <f>_xlfn.XLOOKUP("USD",Calendar[service_id],Calendar[service_id],"Não encontrado")</f>
        <v/>
      </c>
      <c r="D15" s="33" t="inlineStr">
        <is>
          <t>Shop. Metrô Tatuapé</t>
        </is>
      </c>
      <c r="E15" s="33" t="n">
        <v>0</v>
      </c>
      <c r="F15" s="33" t="n">
        <v>84816</v>
      </c>
    </row>
    <row r="16">
      <c r="A16" s="32" t="inlineStr">
        <is>
          <t>373M-10-1</t>
        </is>
      </c>
      <c r="B16" s="32">
        <f>_xlfn.XLOOKUP("373M-10",Routes[route_id],Routes[route_id],"Não encontrado")</f>
        <v/>
      </c>
      <c r="C16" s="32">
        <f>_xlfn.XLOOKUP("USD",Calendar[service_id],Calendar[service_id],"Não encontrado")</f>
        <v/>
      </c>
      <c r="D16" s="32" t="inlineStr">
        <is>
          <t>Jd. Guairacá</t>
        </is>
      </c>
      <c r="E16" s="32" t="n">
        <v>1</v>
      </c>
      <c r="F16" s="32" t="n">
        <v>84817</v>
      </c>
    </row>
    <row r="17">
      <c r="A17" s="33" t="inlineStr">
        <is>
          <t>373T-10-0</t>
        </is>
      </c>
      <c r="B17" s="33">
        <f>_xlfn.XLOOKUP("373T-10",Routes[route_id],Routes[route_id],"Não encontrado")</f>
        <v/>
      </c>
      <c r="C17" s="33">
        <f>_xlfn.XLOOKUP("USD",Calendar[service_id],Calendar[service_id],"Não encontrado")</f>
        <v/>
      </c>
      <c r="D17" s="33" t="inlineStr">
        <is>
          <t>Metrô Bresser</t>
        </is>
      </c>
      <c r="E17" s="33" t="n">
        <v>0</v>
      </c>
      <c r="F17" s="33" t="n">
        <v>83160</v>
      </c>
    </row>
    <row r="18">
      <c r="A18" s="32" t="inlineStr">
        <is>
          <t>373T-10-1</t>
        </is>
      </c>
      <c r="B18" s="32">
        <f>_xlfn.XLOOKUP("373T-10",Routes[route_id],Routes[route_id],"Não encontrado")</f>
        <v/>
      </c>
      <c r="C18" s="32">
        <f>_xlfn.XLOOKUP("USD",Calendar[service_id],Calendar[service_id],"Não encontrado")</f>
        <v/>
      </c>
      <c r="D18" s="32" t="inlineStr">
        <is>
          <t>Jd. Itápolis</t>
        </is>
      </c>
      <c r="E18" s="32" t="n">
        <v>1</v>
      </c>
      <c r="F18" s="32" t="n">
        <v>83161</v>
      </c>
    </row>
    <row r="19">
      <c r="A19" s="33" t="inlineStr">
        <is>
          <t>3762-10-0</t>
        </is>
      </c>
      <c r="B19" s="33">
        <f>_xlfn.XLOOKUP("3762-10",Routes[route_id],Routes[route_id],"Não encontrado")</f>
        <v/>
      </c>
      <c r="C19" s="33">
        <f>_xlfn.XLOOKUP("USD",Calendar[service_id],Calendar[service_id],"Não encontrado")</f>
        <v/>
      </c>
      <c r="D19" s="33" t="inlineStr">
        <is>
          <t>Metrô Tatuapé</t>
        </is>
      </c>
      <c r="E19" s="33" t="n">
        <v>0</v>
      </c>
      <c r="F19" s="33" t="n">
        <v>80380</v>
      </c>
    </row>
    <row r="20">
      <c r="A20" s="32" t="inlineStr">
        <is>
          <t>3762-10-1</t>
        </is>
      </c>
      <c r="B20" s="32">
        <f>_xlfn.XLOOKUP("3762-10",Routes[route_id],Routes[route_id],"Não encontrado")</f>
        <v/>
      </c>
      <c r="C20" s="32">
        <f>_xlfn.XLOOKUP("USD",Calendar[service_id],Calendar[service_id],"Não encontrado")</f>
        <v/>
      </c>
      <c r="D20" s="32" t="inlineStr">
        <is>
          <t>Jd. Iva</t>
        </is>
      </c>
      <c r="E20" s="32" t="n">
        <v>1</v>
      </c>
      <c r="F20" s="32" t="n">
        <v>53119</v>
      </c>
    </row>
    <row r="21">
      <c r="A21" s="33" t="inlineStr">
        <is>
          <t>3763-10-0</t>
        </is>
      </c>
      <c r="B21" s="33">
        <f>_xlfn.XLOOKUP("3763-10",Routes[route_id],Routes[route_id],"Não encontrado")</f>
        <v/>
      </c>
      <c r="C21" s="33">
        <f>_xlfn.XLOOKUP("USD",Calendar[service_id],Calendar[service_id],"Não encontrado")</f>
        <v/>
      </c>
      <c r="D21" s="33" t="inlineStr">
        <is>
          <t>Metrô Tatuapé</t>
        </is>
      </c>
      <c r="E21" s="33" t="n">
        <v>0</v>
      </c>
      <c r="F21" s="33" t="n">
        <v>80388</v>
      </c>
    </row>
    <row r="22">
      <c r="A22" s="32" t="inlineStr">
        <is>
          <t>3763-10-1</t>
        </is>
      </c>
      <c r="B22" s="32">
        <f>_xlfn.XLOOKUP("3763-10",Routes[route_id],Routes[route_id],"Não encontrado")</f>
        <v/>
      </c>
      <c r="C22" s="32">
        <f>_xlfn.XLOOKUP("USD",Calendar[service_id],Calendar[service_id],"Não encontrado")</f>
        <v/>
      </c>
      <c r="D22" s="32" t="inlineStr">
        <is>
          <t>Term. Vl. Carrão</t>
        </is>
      </c>
      <c r="E22" s="32" t="n">
        <v>1</v>
      </c>
      <c r="F22" s="32" t="n">
        <v>67944</v>
      </c>
    </row>
    <row r="23">
      <c r="A23" s="33" t="inlineStr">
        <is>
          <t>407F-10-0</t>
        </is>
      </c>
      <c r="B23" s="33">
        <f>_xlfn.XLOOKUP("407F-10",Routes[route_id],Routes[route_id],"Não encontrado")</f>
        <v/>
      </c>
      <c r="C23" s="33">
        <f>_xlfn.XLOOKUP("USD",Calendar[service_id],Calendar[service_id],"Não encontrado")</f>
        <v/>
      </c>
      <c r="D23" s="33" t="inlineStr">
        <is>
          <t>Metrô Belém</t>
        </is>
      </c>
      <c r="E23" s="33" t="n">
        <v>0</v>
      </c>
      <c r="F23" s="33" t="n">
        <v>82049</v>
      </c>
    </row>
    <row r="24">
      <c r="A24" s="32" t="inlineStr">
        <is>
          <t>407F-10-1</t>
        </is>
      </c>
      <c r="B24" s="32">
        <f>_xlfn.XLOOKUP("407F-10",Routes[route_id],Routes[route_id],"Não encontrado")</f>
        <v/>
      </c>
      <c r="C24" s="32">
        <f>_xlfn.XLOOKUP("USD",Calendar[service_id],Calendar[service_id],"Não encontrado")</f>
        <v/>
      </c>
      <c r="D24" s="32" t="inlineStr">
        <is>
          <t>Term. São Mateus</t>
        </is>
      </c>
      <c r="E24" s="32" t="n">
        <v>1</v>
      </c>
      <c r="F24" s="32" t="n">
        <v>82135</v>
      </c>
    </row>
    <row r="25">
      <c r="A25" s="33" t="inlineStr">
        <is>
          <t>4313-10-0</t>
        </is>
      </c>
      <c r="B25" s="33">
        <f>_xlfn.XLOOKUP("4313-10",Routes[route_id],Routes[route_id],"Não encontrado")</f>
        <v/>
      </c>
      <c r="C25" s="33">
        <f>_xlfn.XLOOKUP("USD",Calendar[service_id],Calendar[service_id],"Não encontrado")</f>
        <v/>
      </c>
      <c r="D25" s="33" t="inlineStr">
        <is>
          <t>Term. Pq. D. Pedro Ii</t>
        </is>
      </c>
      <c r="E25" s="33" t="n">
        <v>0</v>
      </c>
      <c r="F25" s="33" t="n">
        <v>84525</v>
      </c>
    </row>
    <row r="26">
      <c r="A26" s="32" t="inlineStr">
        <is>
          <t>4313-10-1</t>
        </is>
      </c>
      <c r="B26" s="32">
        <f>_xlfn.XLOOKUP("4313-10",Routes[route_id],Routes[route_id],"Não encontrado")</f>
        <v/>
      </c>
      <c r="C26" s="32">
        <f>_xlfn.XLOOKUP("USD",Calendar[service_id],Calendar[service_id],"Não encontrado")</f>
        <v/>
      </c>
      <c r="D26" s="32" t="inlineStr">
        <is>
          <t>Term. Cid. Tiradentes</t>
        </is>
      </c>
      <c r="E26" s="32" t="n">
        <v>1</v>
      </c>
      <c r="F26" s="32" t="n">
        <v>84526</v>
      </c>
    </row>
    <row r="27">
      <c r="A27" s="33" t="inlineStr">
        <is>
          <t>574W-10-0</t>
        </is>
      </c>
      <c r="B27" s="33">
        <f>_xlfn.XLOOKUP("574W-10",Routes[route_id],Routes[route_id],"Não encontrado")</f>
        <v/>
      </c>
      <c r="C27" s="33">
        <f>_xlfn.XLOOKUP("USD",Calendar[service_id],Calendar[service_id],"Não encontrado")</f>
        <v/>
      </c>
      <c r="D27" s="33" t="inlineStr">
        <is>
          <t>Metrô Belém</t>
        </is>
      </c>
      <c r="E27" s="33" t="n">
        <v>0</v>
      </c>
      <c r="F27" s="33" t="n">
        <v>83170</v>
      </c>
    </row>
    <row r="28">
      <c r="A28" s="32" t="inlineStr">
        <is>
          <t>574W-10-1</t>
        </is>
      </c>
      <c r="B28" s="32">
        <f>_xlfn.XLOOKUP("574W-10",Routes[route_id],Routes[route_id],"Não encontrado")</f>
        <v/>
      </c>
      <c r="C28" s="32">
        <f>_xlfn.XLOOKUP("USD",Calendar[service_id],Calendar[service_id],"Não encontrado")</f>
        <v/>
      </c>
      <c r="D28" s="32" t="inlineStr">
        <is>
          <t>Jd. Walkiria</t>
        </is>
      </c>
      <c r="E28" s="32" t="n">
        <v>1</v>
      </c>
      <c r="F28" s="32" t="n">
        <v>82115</v>
      </c>
    </row>
    <row r="29">
      <c r="A29" s="33" t="inlineStr">
        <is>
          <t>CPTM L07-0</t>
        </is>
      </c>
      <c r="B29" s="33">
        <f>_xlfn.XLOOKUP("CPTM L07",Routes[route_id],Routes[route_id],"Não encontrado")</f>
        <v/>
      </c>
      <c r="C29" s="33">
        <f>_xlfn.XLOOKUP("USD",Calendar[service_id],Calendar[service_id],"Não encontrado")</f>
        <v/>
      </c>
      <c r="D29" s="33" t="inlineStr">
        <is>
          <t>JUNDIAI</t>
        </is>
      </c>
      <c r="E29" s="33" t="n">
        <v>0</v>
      </c>
      <c r="F29" s="33" t="n">
        <v>17846</v>
      </c>
    </row>
    <row r="30">
      <c r="A30" s="32" t="inlineStr">
        <is>
          <t>CPTM L07-1</t>
        </is>
      </c>
      <c r="B30" s="32">
        <f>_xlfn.XLOOKUP("CPTM L07",Routes[route_id],Routes[route_id],"Não encontrado")</f>
        <v/>
      </c>
      <c r="C30" s="32">
        <f>_xlfn.XLOOKUP("USD",Calendar[service_id],Calendar[service_id],"Não encontrado")</f>
        <v/>
      </c>
      <c r="D30" s="32" t="inlineStr">
        <is>
          <t>BARRA FUNDA</t>
        </is>
      </c>
      <c r="E30" s="32" t="n">
        <v>1</v>
      </c>
      <c r="F30" s="32" t="n">
        <v>17847</v>
      </c>
    </row>
    <row r="31">
      <c r="A31" s="33" t="inlineStr">
        <is>
          <t>CPTM L08-0</t>
        </is>
      </c>
      <c r="B31" s="33">
        <f>_xlfn.XLOOKUP("CPTM L08",Routes[route_id],Routes[route_id],"Não encontrado")</f>
        <v/>
      </c>
      <c r="C31" s="33">
        <f>_xlfn.XLOOKUP("USD",Calendar[service_id],Calendar[service_id],"Não encontrado")</f>
        <v/>
      </c>
      <c r="D31" s="33" t="inlineStr">
        <is>
          <t>AMADOR BUENO</t>
        </is>
      </c>
      <c r="E31" s="33" t="n">
        <v>0</v>
      </c>
      <c r="F31" s="33" t="n">
        <v>17848</v>
      </c>
    </row>
    <row r="32">
      <c r="A32" s="32" t="inlineStr">
        <is>
          <t>CPTM L08-1</t>
        </is>
      </c>
      <c r="B32" s="32">
        <f>_xlfn.XLOOKUP("CPTM L08",Routes[route_id],Routes[route_id],"Não encontrado")</f>
        <v/>
      </c>
      <c r="C32" s="32">
        <f>_xlfn.XLOOKUP("USD",Calendar[service_id],Calendar[service_id],"Não encontrado")</f>
        <v/>
      </c>
      <c r="D32" s="32" t="inlineStr">
        <is>
          <t>JULIO PRESTES</t>
        </is>
      </c>
      <c r="E32" s="32" t="n">
        <v>1</v>
      </c>
      <c r="F32" s="32" t="n">
        <v>17849</v>
      </c>
    </row>
    <row r="33">
      <c r="A33" s="33" t="inlineStr">
        <is>
          <t>CPTM L09-0</t>
        </is>
      </c>
      <c r="B33" s="33">
        <f>_xlfn.XLOOKUP("CPTM L09",Routes[route_id],Routes[route_id],"Não encontrado")</f>
        <v/>
      </c>
      <c r="C33" s="33">
        <f>_xlfn.XLOOKUP("USD",Calendar[service_id],Calendar[service_id],"Não encontrado")</f>
        <v/>
      </c>
      <c r="D33" s="33" t="inlineStr">
        <is>
          <t>VARGINHA</t>
        </is>
      </c>
      <c r="E33" s="33" t="n">
        <v>0</v>
      </c>
      <c r="F33" s="33" t="n">
        <v>17850</v>
      </c>
    </row>
    <row r="34">
      <c r="A34" s="32" t="inlineStr">
        <is>
          <t>CPTM L09-1</t>
        </is>
      </c>
      <c r="B34" s="32">
        <f>_xlfn.XLOOKUP("CPTM L09",Routes[route_id],Routes[route_id],"Não encontrado")</f>
        <v/>
      </c>
      <c r="C34" s="32">
        <f>_xlfn.XLOOKUP("USD",Calendar[service_id],Calendar[service_id],"Não encontrado")</f>
        <v/>
      </c>
      <c r="D34" s="32" t="inlineStr">
        <is>
          <t>OSASCO</t>
        </is>
      </c>
      <c r="E34" s="32" t="n">
        <v>1</v>
      </c>
      <c r="F34" s="32" t="n">
        <v>17851</v>
      </c>
    </row>
    <row r="35">
      <c r="A35" s="33" t="inlineStr">
        <is>
          <t>CPTM L10-0</t>
        </is>
      </c>
      <c r="B35" s="33">
        <f>_xlfn.XLOOKUP("CPTM L10",Routes[route_id],Routes[route_id],"Não encontrado")</f>
        <v/>
      </c>
      <c r="C35" s="33">
        <f>_xlfn.XLOOKUP("USD",Calendar[service_id],Calendar[service_id],"Não encontrado")</f>
        <v/>
      </c>
      <c r="D35" s="33" t="inlineStr">
        <is>
          <t>RIO GRANDE DA SERRA</t>
        </is>
      </c>
      <c r="E35" s="33" t="n">
        <v>0</v>
      </c>
      <c r="F35" s="33" t="n">
        <v>17852</v>
      </c>
    </row>
    <row r="36">
      <c r="A36" s="32" t="inlineStr">
        <is>
          <t>CPTM L10-1</t>
        </is>
      </c>
      <c r="B36" s="32">
        <f>_xlfn.XLOOKUP("CPTM L10",Routes[route_id],Routes[route_id],"Não encontrado")</f>
        <v/>
      </c>
      <c r="C36" s="32">
        <f>_xlfn.XLOOKUP("USD",Calendar[service_id],Calendar[service_id],"Não encontrado")</f>
        <v/>
      </c>
      <c r="D36" s="32" t="inlineStr">
        <is>
          <t>BARRA FUNDA</t>
        </is>
      </c>
      <c r="E36" s="32" t="n">
        <v>1</v>
      </c>
      <c r="F36" s="32" t="n">
        <v>17853</v>
      </c>
    </row>
    <row r="37">
      <c r="A37" s="33" t="inlineStr">
        <is>
          <t>CPTM L11-0</t>
        </is>
      </c>
      <c r="B37" s="33">
        <f>_xlfn.XLOOKUP("CPTM L11",Routes[route_id],Routes[route_id],"Não encontrado")</f>
        <v/>
      </c>
      <c r="C37" s="33">
        <f>_xlfn.XLOOKUP("USD",Calendar[service_id],Calendar[service_id],"Não encontrado")</f>
        <v/>
      </c>
      <c r="D37" s="33" t="inlineStr">
        <is>
          <t>ESTUDANTES</t>
        </is>
      </c>
      <c r="E37" s="33" t="n">
        <v>0</v>
      </c>
      <c r="F37" s="33" t="n">
        <v>17854</v>
      </c>
    </row>
    <row r="38">
      <c r="A38" s="32" t="inlineStr">
        <is>
          <t>CPTM L11-1</t>
        </is>
      </c>
      <c r="B38" s="32">
        <f>_xlfn.XLOOKUP("CPTM L11",Routes[route_id],Routes[route_id],"Não encontrado")</f>
        <v/>
      </c>
      <c r="C38" s="32">
        <f>_xlfn.XLOOKUP("USD",Calendar[service_id],Calendar[service_id],"Não encontrado")</f>
        <v/>
      </c>
      <c r="D38" s="32" t="inlineStr">
        <is>
          <t>BARRA FUNDA</t>
        </is>
      </c>
      <c r="E38" s="32" t="n">
        <v>1</v>
      </c>
      <c r="F38" s="32" t="n">
        <v>17855</v>
      </c>
    </row>
    <row r="39">
      <c r="A39" s="33" t="inlineStr">
        <is>
          <t>CPTM L12-0</t>
        </is>
      </c>
      <c r="B39" s="33">
        <f>_xlfn.XLOOKUP("CPTM L12",Routes[route_id],Routes[route_id],"Não encontrado")</f>
        <v/>
      </c>
      <c r="C39" s="33">
        <f>_xlfn.XLOOKUP("USD",Calendar[service_id],Calendar[service_id],"Não encontrado")</f>
        <v/>
      </c>
      <c r="D39" s="33" t="inlineStr">
        <is>
          <t>CALMON VIANA</t>
        </is>
      </c>
      <c r="E39" s="33" t="n">
        <v>0</v>
      </c>
      <c r="F39" s="33" t="n">
        <v>17856</v>
      </c>
    </row>
    <row r="40">
      <c r="A40" s="32" t="inlineStr">
        <is>
          <t>CPTM L12-1</t>
        </is>
      </c>
      <c r="B40" s="32">
        <f>_xlfn.XLOOKUP("CPTM L12",Routes[route_id],Routes[route_id],"Não encontrado")</f>
        <v/>
      </c>
      <c r="C40" s="32">
        <f>_xlfn.XLOOKUP("USD",Calendar[service_id],Calendar[service_id],"Não encontrado")</f>
        <v/>
      </c>
      <c r="D40" s="32" t="inlineStr">
        <is>
          <t>BRAS</t>
        </is>
      </c>
      <c r="E40" s="32" t="n">
        <v>1</v>
      </c>
      <c r="F40" s="32" t="n">
        <v>17857</v>
      </c>
    </row>
    <row r="41">
      <c r="A41" s="33" t="inlineStr">
        <is>
          <t>CPTM L13-0</t>
        </is>
      </c>
      <c r="B41" s="33">
        <f>_xlfn.XLOOKUP("CPTM L13",Routes[route_id],Routes[route_id],"Não encontrado")</f>
        <v/>
      </c>
      <c r="C41" s="33">
        <f>_xlfn.XLOOKUP("USD",Calendar[service_id],Calendar[service_id],"Não encontrado")</f>
        <v/>
      </c>
      <c r="D41" s="33" t="inlineStr">
        <is>
          <t>AEROPORTO DE GUARULHOS</t>
        </is>
      </c>
      <c r="E41" s="33" t="n">
        <v>0</v>
      </c>
      <c r="F41" s="33" t="n">
        <v>68752</v>
      </c>
    </row>
    <row r="42">
      <c r="A42" s="32" t="inlineStr">
        <is>
          <t>CPTM L13-1</t>
        </is>
      </c>
      <c r="B42" s="32">
        <f>_xlfn.XLOOKUP("CPTM L13",Routes[route_id],Routes[route_id],"Não encontrado")</f>
        <v/>
      </c>
      <c r="C42" s="32">
        <f>_xlfn.XLOOKUP("USD",Calendar[service_id],Calendar[service_id],"Não encontrado")</f>
        <v/>
      </c>
      <c r="D42" s="32" t="inlineStr">
        <is>
          <t>ENGENHEIRO GOULART</t>
        </is>
      </c>
      <c r="E42" s="32" t="n">
        <v>1</v>
      </c>
      <c r="F42" s="32" t="n">
        <v>68753</v>
      </c>
    </row>
    <row r="43">
      <c r="A43" s="33" t="inlineStr">
        <is>
          <t>METRÔ 15-0</t>
        </is>
      </c>
      <c r="B43" s="33">
        <f>_xlfn.XLOOKUP("METRÔ 15",Routes[route_id],Routes[route_id],"Não encontrado")</f>
        <v/>
      </c>
      <c r="C43" s="33">
        <f>_xlfn.XLOOKUP("USD",Calendar[service_id],Calendar[service_id],"Não encontrado")</f>
        <v/>
      </c>
      <c r="D43" s="33" t="inlineStr">
        <is>
          <t>JARDIM COLONIAL</t>
        </is>
      </c>
      <c r="E43" s="33" t="n">
        <v>0</v>
      </c>
      <c r="F43" s="33" t="n">
        <v>60011</v>
      </c>
    </row>
    <row r="44">
      <c r="A44" s="32" t="inlineStr">
        <is>
          <t>METRÔ 15-1</t>
        </is>
      </c>
      <c r="B44" s="32">
        <f>_xlfn.XLOOKUP("METRÔ 15",Routes[route_id],Routes[route_id],"Não encontrado")</f>
        <v/>
      </c>
      <c r="C44" s="32">
        <f>_xlfn.XLOOKUP("USD",Calendar[service_id],Calendar[service_id],"Não encontrado")</f>
        <v/>
      </c>
      <c r="D44" s="32" t="inlineStr">
        <is>
          <t>VILA PRUDENTE</t>
        </is>
      </c>
      <c r="E44" s="32" t="n">
        <v>1</v>
      </c>
      <c r="F44" s="32" t="n">
        <v>60012</v>
      </c>
    </row>
    <row r="45">
      <c r="A45" s="33" t="inlineStr">
        <is>
          <t>METRÔ L1-0</t>
        </is>
      </c>
      <c r="B45" s="33">
        <f>_xlfn.XLOOKUP("METRÔ L1",Routes[route_id],Routes[route_id],"Não encontrado")</f>
        <v/>
      </c>
      <c r="C45" s="33">
        <f>_xlfn.XLOOKUP("USD",Calendar[service_id],Calendar[service_id],"Não encontrado")</f>
        <v/>
      </c>
      <c r="D45" s="33" t="inlineStr">
        <is>
          <t>TUCURUVI</t>
        </is>
      </c>
      <c r="E45" s="33" t="n">
        <v>0</v>
      </c>
      <c r="F45" s="33" t="n">
        <v>17838</v>
      </c>
    </row>
    <row r="46">
      <c r="A46" s="32" t="inlineStr">
        <is>
          <t>METRÔ L1-1</t>
        </is>
      </c>
      <c r="B46" s="32">
        <f>_xlfn.XLOOKUP("METRÔ L1",Routes[route_id],Routes[route_id],"Não encontrado")</f>
        <v/>
      </c>
      <c r="C46" s="32">
        <f>_xlfn.XLOOKUP("USD",Calendar[service_id],Calendar[service_id],"Não encontrado")</f>
        <v/>
      </c>
      <c r="D46" s="32" t="inlineStr">
        <is>
          <t>JABAQUARA</t>
        </is>
      </c>
      <c r="E46" s="32" t="n">
        <v>1</v>
      </c>
      <c r="F46" s="32" t="n">
        <v>17839</v>
      </c>
    </row>
    <row r="47">
      <c r="A47" s="33" t="inlineStr">
        <is>
          <t>METRÔ L2-0</t>
        </is>
      </c>
      <c r="B47" s="33">
        <f>_xlfn.XLOOKUP("METRÔ L2",Routes[route_id],Routes[route_id],"Não encontrado")</f>
        <v/>
      </c>
      <c r="C47" s="33">
        <f>_xlfn.XLOOKUP("USD",Calendar[service_id],Calendar[service_id],"Não encontrado")</f>
        <v/>
      </c>
      <c r="D47" s="33" t="inlineStr">
        <is>
          <t>VILA MADALENA</t>
        </is>
      </c>
      <c r="E47" s="33" t="n">
        <v>0</v>
      </c>
      <c r="F47" s="33" t="n">
        <v>17840</v>
      </c>
    </row>
    <row r="48">
      <c r="A48" s="32" t="inlineStr">
        <is>
          <t>METRÔ L2-1</t>
        </is>
      </c>
      <c r="B48" s="32">
        <f>_xlfn.XLOOKUP("METRÔ L2",Routes[route_id],Routes[route_id],"Não encontrado")</f>
        <v/>
      </c>
      <c r="C48" s="32">
        <f>_xlfn.XLOOKUP("USD",Calendar[service_id],Calendar[service_id],"Não encontrado")</f>
        <v/>
      </c>
      <c r="D48" s="32" t="inlineStr">
        <is>
          <t>VILA PRUDENTE</t>
        </is>
      </c>
      <c r="E48" s="32" t="n">
        <v>1</v>
      </c>
      <c r="F48" s="32" t="n">
        <v>17841</v>
      </c>
    </row>
    <row r="49">
      <c r="A49" s="33" t="inlineStr">
        <is>
          <t>METRÔ L3-0</t>
        </is>
      </c>
      <c r="B49" s="33">
        <f>_xlfn.XLOOKUP("METRÔ L3",Routes[route_id],Routes[route_id],"Não encontrado")</f>
        <v/>
      </c>
      <c r="C49" s="33">
        <f>_xlfn.XLOOKUP("USD",Calendar[service_id],Calendar[service_id],"Não encontrado")</f>
        <v/>
      </c>
      <c r="D49" s="33" t="inlineStr">
        <is>
          <t>CORINTHIANS - ITAQUERA</t>
        </is>
      </c>
      <c r="E49" s="33" t="n">
        <v>0</v>
      </c>
      <c r="F49" s="33" t="n">
        <v>17842</v>
      </c>
    </row>
    <row r="50">
      <c r="A50" s="32" t="inlineStr">
        <is>
          <t>METRÔ L3-1</t>
        </is>
      </c>
      <c r="B50" s="32">
        <f>_xlfn.XLOOKUP("METRÔ L3",Routes[route_id],Routes[route_id],"Não encontrado")</f>
        <v/>
      </c>
      <c r="C50" s="32">
        <f>_xlfn.XLOOKUP("USD",Calendar[service_id],Calendar[service_id],"Não encontrado")</f>
        <v/>
      </c>
      <c r="D50" s="32" t="inlineStr">
        <is>
          <t>PALMEIRAS - BARRA FUNDA</t>
        </is>
      </c>
      <c r="E50" s="32" t="n">
        <v>1</v>
      </c>
      <c r="F50" s="32" t="n">
        <v>17843</v>
      </c>
    </row>
    <row r="51">
      <c r="A51" s="33" t="inlineStr">
        <is>
          <t>METRÔ L4-0</t>
        </is>
      </c>
      <c r="B51" s="33">
        <f>_xlfn.XLOOKUP("METRÔ L4",Routes[route_id],Routes[route_id],"Não encontrado")</f>
        <v/>
      </c>
      <c r="C51" s="33">
        <f>_xlfn.XLOOKUP("USD",Calendar[service_id],Calendar[service_id],"Não encontrado")</f>
        <v/>
      </c>
      <c r="D51" s="33" t="inlineStr">
        <is>
          <t>VILA SÔNIA</t>
        </is>
      </c>
      <c r="E51" s="33" t="n">
        <v>0</v>
      </c>
      <c r="F51" s="33" t="n">
        <v>40777</v>
      </c>
    </row>
    <row r="52">
      <c r="A52" s="32" t="inlineStr">
        <is>
          <t>METRÔ L4-1</t>
        </is>
      </c>
      <c r="B52" s="32">
        <f>_xlfn.XLOOKUP("METRÔ L4",Routes[route_id],Routes[route_id],"Não encontrado")</f>
        <v/>
      </c>
      <c r="C52" s="32">
        <f>_xlfn.XLOOKUP("USD",Calendar[service_id],Calendar[service_id],"Não encontrado")</f>
        <v/>
      </c>
      <c r="D52" s="32" t="inlineStr">
        <is>
          <t>LUZ</t>
        </is>
      </c>
      <c r="E52" s="32" t="n">
        <v>1</v>
      </c>
      <c r="F52" s="32" t="n">
        <v>40778</v>
      </c>
    </row>
    <row r="53">
      <c r="A53" s="33" t="inlineStr">
        <is>
          <t>METRÔ L5-0</t>
        </is>
      </c>
      <c r="B53" s="33">
        <f>_xlfn.XLOOKUP("METRÔ L5",Routes[route_id],Routes[route_id],"Não encontrado")</f>
        <v/>
      </c>
      <c r="C53" s="33">
        <f>_xlfn.XLOOKUP("USD",Calendar[service_id],Calendar[service_id],"Não encontrado")</f>
        <v/>
      </c>
      <c r="D53" s="33" t="inlineStr">
        <is>
          <t>CAPAO REDONDO</t>
        </is>
      </c>
      <c r="E53" s="33" t="n">
        <v>0</v>
      </c>
      <c r="F53" s="33" t="n">
        <v>17844</v>
      </c>
    </row>
    <row r="54">
      <c r="A54" s="32" t="inlineStr">
        <is>
          <t>METRÔ L5-1</t>
        </is>
      </c>
      <c r="B54" s="32">
        <f>_xlfn.XLOOKUP("METRÔ L5",Routes[route_id],Routes[route_id],"Não encontrado")</f>
        <v/>
      </c>
      <c r="C54" s="32">
        <f>_xlfn.XLOOKUP("USD",Calendar[service_id],Calendar[service_id],"Não encontrado")</f>
        <v/>
      </c>
      <c r="D54" s="32" t="inlineStr">
        <is>
          <t>CHÁCARA KLABIN</t>
        </is>
      </c>
      <c r="E54" s="32" t="n">
        <v>1</v>
      </c>
      <c r="F54" s="32" t="n">
        <v>17845</v>
      </c>
    </row>
    <row r="55">
      <c r="A55" s="33" t="inlineStr">
        <is>
          <t>METRÔ L6-0</t>
        </is>
      </c>
      <c r="B55" s="33">
        <f>_xlfn.XLOOKUP("METRÔ L6",Routes[route_id],Routes[route_id],"Não encontrado")</f>
        <v/>
      </c>
      <c r="C55" s="33">
        <f>_xlfn.XLOOKUP("U__",Calendar[service_id],Calendar[service_id],"Não encontrado")</f>
        <v/>
      </c>
      <c r="D55" s="33" t="inlineStr">
        <is>
          <t>PERDIZES</t>
        </is>
      </c>
      <c r="E55" s="33" t="n">
        <v>0</v>
      </c>
      <c r="F55" s="33" t="n">
        <v>86249</v>
      </c>
    </row>
    <row r="56">
      <c r="A56" s="32" t="inlineStr">
        <is>
          <t>METRÔ L6-1</t>
        </is>
      </c>
      <c r="B56" s="32">
        <f>_xlfn.XLOOKUP("METRÔ L6",Routes[route_id],Routes[route_id],"Não encontrado")</f>
        <v/>
      </c>
      <c r="C56" s="32">
        <f>_xlfn.XLOOKUP("U__",Calendar[service_id],Calendar[service_id],"Não encontrado")</f>
        <v/>
      </c>
      <c r="D56" s="32" t="inlineStr">
        <is>
          <t>JOÃO PAULO I</t>
        </is>
      </c>
      <c r="E56" s="32" t="n">
        <v>1</v>
      </c>
      <c r="F56" s="32" t="n">
        <v>86250</v>
      </c>
    </row>
    <row r="57">
      <c r="A57" s="33" t="inlineStr">
        <is>
          <t>METRÔ17A-0</t>
        </is>
      </c>
      <c r="B57" s="33">
        <f>_xlfn.XLOOKUP("METRÔ17A",Routes[route_id],Routes[route_id],"Não encontrado")</f>
        <v/>
      </c>
      <c r="C57" s="33">
        <f>_xlfn.XLOOKUP("U__",Calendar[service_id],Calendar[service_id],"Não encontrado")</f>
        <v/>
      </c>
      <c r="D57" s="33" t="inlineStr">
        <is>
          <t>AEROPORTO DE CONGONHAS</t>
        </is>
      </c>
      <c r="E57" s="33" t="n">
        <v>0</v>
      </c>
      <c r="F57" s="33" t="n">
        <v>86241</v>
      </c>
    </row>
    <row r="58">
      <c r="A58" s="32" t="inlineStr">
        <is>
          <t>METRÔ17A-1</t>
        </is>
      </c>
      <c r="B58" s="32">
        <f>_xlfn.XLOOKUP("METRÔ17A",Routes[route_id],Routes[route_id],"Não encontrado")</f>
        <v/>
      </c>
      <c r="C58" s="32">
        <f>_xlfn.XLOOKUP("U__",Calendar[service_id],Calendar[service_id],"Não encontrado")</f>
        <v/>
      </c>
      <c r="D58" s="32" t="inlineStr">
        <is>
          <t>MORUMBI</t>
        </is>
      </c>
      <c r="E58" s="32" t="n">
        <v>1</v>
      </c>
      <c r="F58" s="32" t="n">
        <v>86242</v>
      </c>
    </row>
    <row r="59">
      <c r="A59" s="33" t="inlineStr">
        <is>
          <t>METRÔ17W-0</t>
        </is>
      </c>
      <c r="B59" s="33">
        <f>_xlfn.XLOOKUP("METRÔ17W",Routes[route_id],Routes[route_id],"Não encontrado")</f>
        <v/>
      </c>
      <c r="C59" s="33">
        <f>_xlfn.XLOOKUP("U__",Calendar[service_id],Calendar[service_id],"Não encontrado")</f>
        <v/>
      </c>
      <c r="D59" s="33" t="inlineStr">
        <is>
          <t>WASHINGTON LUÍS</t>
        </is>
      </c>
      <c r="E59" s="33" t="n">
        <v>0</v>
      </c>
      <c r="F59" s="33" t="n">
        <v>86245</v>
      </c>
    </row>
    <row r="60">
      <c r="A60" s="35" t="inlineStr">
        <is>
          <t>METRÔ17W-1</t>
        </is>
      </c>
      <c r="B60" s="35">
        <f>_xlfn.XLOOKUP("METRÔ17W",Routes[route_id],Routes[route_id],"Não encontrado")</f>
        <v/>
      </c>
      <c r="C60" s="35">
        <f>_xlfn.XLOOKUP("U__",Calendar[service_id],Calendar[service_id],"Não encontrado")</f>
        <v/>
      </c>
      <c r="D60" s="35" t="inlineStr">
        <is>
          <t>BROOKLIN PAULISTA</t>
        </is>
      </c>
      <c r="E60" s="35" t="n">
        <v>1</v>
      </c>
      <c r="F60" s="35" t="n">
        <v>86247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DOS SANTOS AVELINO</dc:creator>
  <dcterms:created xsi:type="dcterms:W3CDTF">2026-10-17T15:48:30Z</dcterms:created>
  <dcterms:modified xsi:type="dcterms:W3CDTF">2026-10-18T01:30:59Z</dcterms:modified>
  <cp:lastModifiedBy>GABRIEL DOS SANTOS AVELINO</cp:lastModifiedBy>
</cp:coreProperties>
</file>